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_de_trabalho"/>
  <mc:AlternateContent xmlns:mc="http://schemas.openxmlformats.org/markup-compatibility/2006">
    <mc:Choice Requires="x15">
      <x15ac:absPath xmlns:x15ac="http://schemas.microsoft.com/office/spreadsheetml/2010/11/ac" url="https://giaretton0-my.sharepoint.com/personal/felippe_giaretton_com/Documents/OBRAS/FINATEC/26.1081.00. LITOTECAS/PLANILHA/Envio/"/>
    </mc:Choice>
  </mc:AlternateContent>
  <xr:revisionPtr revIDLastSave="1" documentId="8_{0F3A6CA2-3A56-4513-8E68-A3EDFA721CA4}" xr6:coauthVersionLast="47" xr6:coauthVersionMax="47" xr10:uidLastSave="{9934C844-8960-4252-8389-4588AB8A2F4C}"/>
  <bookViews>
    <workbookView xWindow="-57708" yWindow="-108" windowWidth="29016" windowHeight="15696" tabRatio="707" activeTab="1" xr2:uid="{00000000-000D-0000-FFFF-FFFF00000000}"/>
  </bookViews>
  <sheets>
    <sheet name="Resumo" sheetId="66" r:id="rId1"/>
    <sheet name="Planilha" sheetId="58" r:id="rId2"/>
    <sheet name="Fontes" sheetId="65" r:id="rId3"/>
    <sheet name="Mercado" sheetId="55" r:id="rId4"/>
    <sheet name="Insumos" sheetId="64" r:id="rId5"/>
    <sheet name="CPU" sheetId="10" r:id="rId6"/>
    <sheet name="ABC" sheetId="60" r:id="rId7"/>
    <sheet name="Cronograma" sheetId="59" r:id="rId8"/>
    <sheet name="BDI" sheetId="9" r:id="rId9"/>
    <sheet name="Apoio" sheetId="67" r:id="rId10"/>
  </sheets>
  <definedNames>
    <definedName name="\0" localSheetId="8">#REF!</definedName>
    <definedName name="\0">#REF!</definedName>
    <definedName name="______________JM1" localSheetId="8">#REF!</definedName>
    <definedName name="______________JM1" localSheetId="5">#REF!</definedName>
    <definedName name="______________JM1">#REF!</definedName>
    <definedName name="______________JM2" localSheetId="8">#REF!</definedName>
    <definedName name="______________JM2" localSheetId="5">#REF!</definedName>
    <definedName name="______________JM2">#REF!</definedName>
    <definedName name="______________JM3" localSheetId="8">#REF!</definedName>
    <definedName name="______________JM3" localSheetId="5">#REF!</definedName>
    <definedName name="______________JM3">#REF!</definedName>
    <definedName name="______________JM4" localSheetId="8">#REF!</definedName>
    <definedName name="______________JM4" localSheetId="5">#REF!</definedName>
    <definedName name="______________JM4">#REF!</definedName>
    <definedName name="______________JM5" localSheetId="8">#REF!</definedName>
    <definedName name="______________JM5" localSheetId="5">#REF!</definedName>
    <definedName name="______________JM5">#REF!</definedName>
    <definedName name="______________JM6" localSheetId="8">#REF!</definedName>
    <definedName name="______________JM6" localSheetId="5">#REF!</definedName>
    <definedName name="______________JM6">#REF!</definedName>
    <definedName name="______________PM1" localSheetId="8">#REF!</definedName>
    <definedName name="______________PM1" localSheetId="5">#REF!</definedName>
    <definedName name="______________PM1">#REF!</definedName>
    <definedName name="______________PM2" localSheetId="8">#REF!</definedName>
    <definedName name="______________PM2" localSheetId="5">#REF!</definedName>
    <definedName name="______________PM2">#REF!</definedName>
    <definedName name="______________PM3" localSheetId="8">#REF!</definedName>
    <definedName name="______________PM3" localSheetId="5">#REF!</definedName>
    <definedName name="______________PM3">#REF!</definedName>
    <definedName name="______________PM4" localSheetId="8">#REF!</definedName>
    <definedName name="______________PM4" localSheetId="5">#REF!</definedName>
    <definedName name="______________PM4">#REF!</definedName>
    <definedName name="______________PM5" localSheetId="8">#REF!</definedName>
    <definedName name="______________PM5" localSheetId="5">#REF!</definedName>
    <definedName name="______________PM5">#REF!</definedName>
    <definedName name="______________PM6" localSheetId="8">#REF!</definedName>
    <definedName name="______________PM6" localSheetId="5">#REF!</definedName>
    <definedName name="______________PM6">#REF!</definedName>
    <definedName name="_____________JM1" localSheetId="8">#REF!</definedName>
    <definedName name="_____________JM1" localSheetId="5">#REF!</definedName>
    <definedName name="_____________JM1">#REF!</definedName>
    <definedName name="_____________JM2" localSheetId="8">#REF!</definedName>
    <definedName name="_____________JM2" localSheetId="5">#REF!</definedName>
    <definedName name="_____________JM2">#REF!</definedName>
    <definedName name="_____________JM3" localSheetId="8">#REF!</definedName>
    <definedName name="_____________JM3" localSheetId="5">#REF!</definedName>
    <definedName name="_____________JM3">#REF!</definedName>
    <definedName name="_____________JM4" localSheetId="8">#REF!</definedName>
    <definedName name="_____________JM4" localSheetId="5">#REF!</definedName>
    <definedName name="_____________JM4">#REF!</definedName>
    <definedName name="_____________JM5" localSheetId="8">#REF!</definedName>
    <definedName name="_____________JM5" localSheetId="5">#REF!</definedName>
    <definedName name="_____________JM5">#REF!</definedName>
    <definedName name="_____________JM6" localSheetId="8">#REF!</definedName>
    <definedName name="_____________JM6" localSheetId="5">#REF!</definedName>
    <definedName name="_____________JM6">#REF!</definedName>
    <definedName name="_____________JM7" localSheetId="8">#REF!</definedName>
    <definedName name="_____________JM7">#REF!</definedName>
    <definedName name="_____________PM1" localSheetId="8">#REF!</definedName>
    <definedName name="_____________PM1" localSheetId="5">#REF!</definedName>
    <definedName name="_____________PM1">#REF!</definedName>
    <definedName name="_____________PM2" localSheetId="8">#REF!</definedName>
    <definedName name="_____________PM2" localSheetId="5">#REF!</definedName>
    <definedName name="_____________PM2">#REF!</definedName>
    <definedName name="_____________PM3" localSheetId="8">#REF!</definedName>
    <definedName name="_____________PM3" localSheetId="5">#REF!</definedName>
    <definedName name="_____________PM3">#REF!</definedName>
    <definedName name="_____________PM4" localSheetId="8">#REF!</definedName>
    <definedName name="_____________PM4" localSheetId="5">#REF!</definedName>
    <definedName name="_____________PM4">#REF!</definedName>
    <definedName name="_____________PM5" localSheetId="8">#REF!</definedName>
    <definedName name="_____________PM5" localSheetId="5">#REF!</definedName>
    <definedName name="_____________PM5">#REF!</definedName>
    <definedName name="_____________PM6" localSheetId="8">#REF!</definedName>
    <definedName name="_____________PM6" localSheetId="5">#REF!</definedName>
    <definedName name="_____________PM6">#REF!</definedName>
    <definedName name="____________JM1" localSheetId="8">#REF!</definedName>
    <definedName name="____________JM1" localSheetId="5">#REF!</definedName>
    <definedName name="____________JM1">#REF!</definedName>
    <definedName name="____________JM2" localSheetId="8">#REF!</definedName>
    <definedName name="____________JM2" localSheetId="5">#REF!</definedName>
    <definedName name="____________JM2">#REF!</definedName>
    <definedName name="____________JM3" localSheetId="8">#REF!</definedName>
    <definedName name="____________JM3" localSheetId="5">#REF!</definedName>
    <definedName name="____________JM3">#REF!</definedName>
    <definedName name="____________JM4" localSheetId="8">#REF!</definedName>
    <definedName name="____________JM4" localSheetId="5">#REF!</definedName>
    <definedName name="____________JM4">#REF!</definedName>
    <definedName name="____________JM5" localSheetId="8">#REF!</definedName>
    <definedName name="____________JM5" localSheetId="5">#REF!</definedName>
    <definedName name="____________JM5">#REF!</definedName>
    <definedName name="____________JM6" localSheetId="8">#REF!</definedName>
    <definedName name="____________JM6" localSheetId="5">#REF!</definedName>
    <definedName name="____________JM6">#REF!</definedName>
    <definedName name="____________PM1" localSheetId="8">#REF!</definedName>
    <definedName name="____________PM1" localSheetId="5">#REF!</definedName>
    <definedName name="____________PM1">#REF!</definedName>
    <definedName name="____________PM2" localSheetId="8">#REF!</definedName>
    <definedName name="____________PM2" localSheetId="5">#REF!</definedName>
    <definedName name="____________PM2">#REF!</definedName>
    <definedName name="____________PM3" localSheetId="8">#REF!</definedName>
    <definedName name="____________PM3" localSheetId="5">#REF!</definedName>
    <definedName name="____________PM3">#REF!</definedName>
    <definedName name="____________PM4" localSheetId="8">#REF!</definedName>
    <definedName name="____________PM4" localSheetId="5">#REF!</definedName>
    <definedName name="____________PM4">#REF!</definedName>
    <definedName name="____________PM5" localSheetId="8">#REF!</definedName>
    <definedName name="____________PM5" localSheetId="5">#REF!</definedName>
    <definedName name="____________PM5">#REF!</definedName>
    <definedName name="____________PM6" localSheetId="8">#REF!</definedName>
    <definedName name="____________PM6" localSheetId="5">#REF!</definedName>
    <definedName name="____________PM6">#REF!</definedName>
    <definedName name="___________JM1" localSheetId="8">#REF!</definedName>
    <definedName name="___________JM1" localSheetId="5">#REF!</definedName>
    <definedName name="___________JM1">#REF!</definedName>
    <definedName name="___________JM2" localSheetId="8">#REF!</definedName>
    <definedName name="___________JM2" localSheetId="5">#REF!</definedName>
    <definedName name="___________JM2">#REF!</definedName>
    <definedName name="___________JM3" localSheetId="8">#REF!</definedName>
    <definedName name="___________JM3" localSheetId="5">#REF!</definedName>
    <definedName name="___________JM3">#REF!</definedName>
    <definedName name="___________JM4" localSheetId="8">#REF!</definedName>
    <definedName name="___________JM4" localSheetId="5">#REF!</definedName>
    <definedName name="___________JM4">#REF!</definedName>
    <definedName name="___________JM5" localSheetId="8">#REF!</definedName>
    <definedName name="___________JM5" localSheetId="5">#REF!</definedName>
    <definedName name="___________JM5">#REF!</definedName>
    <definedName name="___________JM6" localSheetId="8">#REF!</definedName>
    <definedName name="___________JM6" localSheetId="5">#REF!</definedName>
    <definedName name="___________JM6">#REF!</definedName>
    <definedName name="___________PM1" localSheetId="8">#REF!</definedName>
    <definedName name="___________PM1" localSheetId="5">#REF!</definedName>
    <definedName name="___________PM1">#REF!</definedName>
    <definedName name="___________PM2" localSheetId="8">#REF!</definedName>
    <definedName name="___________PM2" localSheetId="5">#REF!</definedName>
    <definedName name="___________PM2">#REF!</definedName>
    <definedName name="___________PM3" localSheetId="8">#REF!</definedName>
    <definedName name="___________PM3" localSheetId="5">#REF!</definedName>
    <definedName name="___________PM3">#REF!</definedName>
    <definedName name="___________PM4" localSheetId="8">#REF!</definedName>
    <definedName name="___________PM4" localSheetId="5">#REF!</definedName>
    <definedName name="___________PM4">#REF!</definedName>
    <definedName name="___________PM5" localSheetId="8">#REF!</definedName>
    <definedName name="___________PM5" localSheetId="5">#REF!</definedName>
    <definedName name="___________PM5">#REF!</definedName>
    <definedName name="___________PM6" localSheetId="8">#REF!</definedName>
    <definedName name="___________PM6" localSheetId="5">#REF!</definedName>
    <definedName name="___________PM6">#REF!</definedName>
    <definedName name="__________JM1" localSheetId="8">#REF!</definedName>
    <definedName name="__________JM1" localSheetId="5">#REF!</definedName>
    <definedName name="__________JM1">#REF!</definedName>
    <definedName name="__________JM2" localSheetId="8">#REF!</definedName>
    <definedName name="__________JM2" localSheetId="5">#REF!</definedName>
    <definedName name="__________JM2">#REF!</definedName>
    <definedName name="__________JM3" localSheetId="8">#REF!</definedName>
    <definedName name="__________JM3" localSheetId="5">#REF!</definedName>
    <definedName name="__________JM3">#REF!</definedName>
    <definedName name="__________JM4" localSheetId="8">#REF!</definedName>
    <definedName name="__________JM4" localSheetId="5">#REF!</definedName>
    <definedName name="__________JM4">#REF!</definedName>
    <definedName name="__________JM5" localSheetId="8">#REF!</definedName>
    <definedName name="__________JM5" localSheetId="5">#REF!</definedName>
    <definedName name="__________JM5">#REF!</definedName>
    <definedName name="__________JM6" localSheetId="8">#REF!</definedName>
    <definedName name="__________JM6" localSheetId="5">#REF!</definedName>
    <definedName name="__________JM6">#REF!</definedName>
    <definedName name="__________PM1" localSheetId="8">#REF!</definedName>
    <definedName name="__________PM1" localSheetId="5">#REF!</definedName>
    <definedName name="__________PM1">#REF!</definedName>
    <definedName name="__________PM2" localSheetId="8">#REF!</definedName>
    <definedName name="__________PM2" localSheetId="5">#REF!</definedName>
    <definedName name="__________PM2">#REF!</definedName>
    <definedName name="__________PM3" localSheetId="8">#REF!</definedName>
    <definedName name="__________PM3" localSheetId="5">#REF!</definedName>
    <definedName name="__________PM3">#REF!</definedName>
    <definedName name="__________PM4" localSheetId="8">#REF!</definedName>
    <definedName name="__________PM4" localSheetId="5">#REF!</definedName>
    <definedName name="__________PM4">#REF!</definedName>
    <definedName name="__________PM5" localSheetId="8">#REF!</definedName>
    <definedName name="__________PM5" localSheetId="5">#REF!</definedName>
    <definedName name="__________PM5">#REF!</definedName>
    <definedName name="__________PM6" localSheetId="8">#REF!</definedName>
    <definedName name="__________PM6" localSheetId="5">#REF!</definedName>
    <definedName name="__________PM6">#REF!</definedName>
    <definedName name="_________JM1" localSheetId="8">#REF!</definedName>
    <definedName name="_________JM1" localSheetId="5">#REF!</definedName>
    <definedName name="_________JM1">#REF!</definedName>
    <definedName name="_________JM2" localSheetId="8">#REF!</definedName>
    <definedName name="_________JM2" localSheetId="5">#REF!</definedName>
    <definedName name="_________JM2">#REF!</definedName>
    <definedName name="_________JM3" localSheetId="8">#REF!</definedName>
    <definedName name="_________JM3" localSheetId="5">#REF!</definedName>
    <definedName name="_________JM3">#REF!</definedName>
    <definedName name="_________JM4" localSheetId="8">#REF!</definedName>
    <definedName name="_________JM4" localSheetId="5">#REF!</definedName>
    <definedName name="_________JM4">#REF!</definedName>
    <definedName name="_________JM5" localSheetId="8">#REF!</definedName>
    <definedName name="_________JM5" localSheetId="5">#REF!</definedName>
    <definedName name="_________JM5">#REF!</definedName>
    <definedName name="_________JM6" localSheetId="8">#REF!</definedName>
    <definedName name="_________JM6" localSheetId="5">#REF!</definedName>
    <definedName name="_________JM6">#REF!</definedName>
    <definedName name="_________PM1" localSheetId="8">#REF!</definedName>
    <definedName name="_________PM1" localSheetId="5">#REF!</definedName>
    <definedName name="_________PM1">#REF!</definedName>
    <definedName name="_________PM2" localSheetId="8">#REF!</definedName>
    <definedName name="_________PM2" localSheetId="5">#REF!</definedName>
    <definedName name="_________PM2">#REF!</definedName>
    <definedName name="_________PM3" localSheetId="8">#REF!</definedName>
    <definedName name="_________PM3" localSheetId="5">#REF!</definedName>
    <definedName name="_________PM3">#REF!</definedName>
    <definedName name="_________PM4" localSheetId="8">#REF!</definedName>
    <definedName name="_________PM4" localSheetId="5">#REF!</definedName>
    <definedName name="_________PM4">#REF!</definedName>
    <definedName name="_________PM5" localSheetId="8">#REF!</definedName>
    <definedName name="_________PM5" localSheetId="5">#REF!</definedName>
    <definedName name="_________PM5">#REF!</definedName>
    <definedName name="_________PM6" localSheetId="8">#REF!</definedName>
    <definedName name="_________PM6" localSheetId="5">#REF!</definedName>
    <definedName name="_________PM6">#REF!</definedName>
    <definedName name="_________PM7" localSheetId="8">#REF!</definedName>
    <definedName name="_________PM7">#REF!</definedName>
    <definedName name="________JM1" localSheetId="8">#REF!</definedName>
    <definedName name="________JM1" localSheetId="5">#REF!</definedName>
    <definedName name="________JM1">#REF!</definedName>
    <definedName name="________JM2" localSheetId="8">#REF!</definedName>
    <definedName name="________JM2" localSheetId="5">#REF!</definedName>
    <definedName name="________JM2">#REF!</definedName>
    <definedName name="________JM3" localSheetId="8">#REF!</definedName>
    <definedName name="________JM3" localSheetId="5">#REF!</definedName>
    <definedName name="________JM3">#REF!</definedName>
    <definedName name="________JM4" localSheetId="8">#REF!</definedName>
    <definedName name="________JM4" localSheetId="5">#REF!</definedName>
    <definedName name="________JM4">#REF!</definedName>
    <definedName name="________JM5" localSheetId="8">#REF!</definedName>
    <definedName name="________JM5" localSheetId="5">#REF!</definedName>
    <definedName name="________JM5">#REF!</definedName>
    <definedName name="________JM6" localSheetId="8">#REF!</definedName>
    <definedName name="________JM6" localSheetId="5">#REF!</definedName>
    <definedName name="________JM6">#REF!</definedName>
    <definedName name="________PM1" localSheetId="8">#REF!</definedName>
    <definedName name="________PM1" localSheetId="5">#REF!</definedName>
    <definedName name="________PM1">#REF!</definedName>
    <definedName name="________PM2" localSheetId="8">#REF!</definedName>
    <definedName name="________PM2" localSheetId="5">#REF!</definedName>
    <definedName name="________PM2">#REF!</definedName>
    <definedName name="________PM3" localSheetId="8">#REF!</definedName>
    <definedName name="________PM3" localSheetId="5">#REF!</definedName>
    <definedName name="________PM3">#REF!</definedName>
    <definedName name="________PM4" localSheetId="8">#REF!</definedName>
    <definedName name="________PM4" localSheetId="5">#REF!</definedName>
    <definedName name="________PM4">#REF!</definedName>
    <definedName name="________PM5" localSheetId="8">#REF!</definedName>
    <definedName name="________PM5" localSheetId="5">#REF!</definedName>
    <definedName name="________PM5">#REF!</definedName>
    <definedName name="________PM6" localSheetId="8">#REF!</definedName>
    <definedName name="________PM6" localSheetId="5">#REF!</definedName>
    <definedName name="________PM6">#REF!</definedName>
    <definedName name="_______JM1" localSheetId="8">#REF!</definedName>
    <definedName name="_______JM1" localSheetId="5">#REF!</definedName>
    <definedName name="_______JM1">#REF!</definedName>
    <definedName name="_______JM2" localSheetId="8">#REF!</definedName>
    <definedName name="_______JM2" localSheetId="5">#REF!</definedName>
    <definedName name="_______JM2">#REF!</definedName>
    <definedName name="_______JM3" localSheetId="8">#REF!</definedName>
    <definedName name="_______JM3" localSheetId="5">#REF!</definedName>
    <definedName name="_______JM3">#REF!</definedName>
    <definedName name="_______JM4" localSheetId="8">#REF!</definedName>
    <definedName name="_______JM4" localSheetId="5">#REF!</definedName>
    <definedName name="_______JM4">#REF!</definedName>
    <definedName name="_______JM5" localSheetId="8">#REF!</definedName>
    <definedName name="_______JM5" localSheetId="5">#REF!</definedName>
    <definedName name="_______JM5">#REF!</definedName>
    <definedName name="_______JM6" localSheetId="8">#REF!</definedName>
    <definedName name="_______JM6" localSheetId="5">#REF!</definedName>
    <definedName name="_______JM6">#REF!</definedName>
    <definedName name="_______PM1" localSheetId="8">#REF!</definedName>
    <definedName name="_______PM1" localSheetId="5">#REF!</definedName>
    <definedName name="_______PM1">#REF!</definedName>
    <definedName name="_______PM2" localSheetId="8">#REF!</definedName>
    <definedName name="_______PM2" localSheetId="5">#REF!</definedName>
    <definedName name="_______PM2">#REF!</definedName>
    <definedName name="_______PM3" localSheetId="8">#REF!</definedName>
    <definedName name="_______PM3" localSheetId="5">#REF!</definedName>
    <definedName name="_______PM3">#REF!</definedName>
    <definedName name="_______PM4" localSheetId="8">#REF!</definedName>
    <definedName name="_______PM4" localSheetId="5">#REF!</definedName>
    <definedName name="_______PM4">#REF!</definedName>
    <definedName name="_______PM5" localSheetId="8">#REF!</definedName>
    <definedName name="_______PM5" localSheetId="5">#REF!</definedName>
    <definedName name="_______PM5">#REF!</definedName>
    <definedName name="_______PM6" localSheetId="8">#REF!</definedName>
    <definedName name="_______PM6" localSheetId="5">#REF!</definedName>
    <definedName name="_______PM6">#REF!</definedName>
    <definedName name="______JM1" localSheetId="8">#REF!</definedName>
    <definedName name="______JM1" localSheetId="5">#REF!</definedName>
    <definedName name="______JM1">#REF!</definedName>
    <definedName name="______JM2" localSheetId="8">#REF!</definedName>
    <definedName name="______JM2" localSheetId="5">#REF!</definedName>
    <definedName name="______JM2">#REF!</definedName>
    <definedName name="______JM3" localSheetId="8">#REF!</definedName>
    <definedName name="______JM3" localSheetId="5">#REF!</definedName>
    <definedName name="______JM3">#REF!</definedName>
    <definedName name="______JM4" localSheetId="8">#REF!</definedName>
    <definedName name="______JM4" localSheetId="5">#REF!</definedName>
    <definedName name="______JM4">#REF!</definedName>
    <definedName name="______JM5" localSheetId="8">#REF!</definedName>
    <definedName name="______JM5" localSheetId="5">#REF!</definedName>
    <definedName name="______JM5">#REF!</definedName>
    <definedName name="______JM6" localSheetId="8">#REF!</definedName>
    <definedName name="______JM6" localSheetId="5">#REF!</definedName>
    <definedName name="______JM6">#REF!</definedName>
    <definedName name="______PM1" localSheetId="8">#REF!</definedName>
    <definedName name="______PM1" localSheetId="5">#REF!</definedName>
    <definedName name="______PM1">#REF!</definedName>
    <definedName name="______PM2" localSheetId="8">#REF!</definedName>
    <definedName name="______PM2" localSheetId="5">#REF!</definedName>
    <definedName name="______PM2">#REF!</definedName>
    <definedName name="______PM3" localSheetId="8">#REF!</definedName>
    <definedName name="______PM3" localSheetId="5">#REF!</definedName>
    <definedName name="______PM3">#REF!</definedName>
    <definedName name="______PM4" localSheetId="8">#REF!</definedName>
    <definedName name="______PM4" localSheetId="5">#REF!</definedName>
    <definedName name="______PM4">#REF!</definedName>
    <definedName name="______PM5" localSheetId="8">#REF!</definedName>
    <definedName name="______PM5" localSheetId="5">#REF!</definedName>
    <definedName name="______PM5">#REF!</definedName>
    <definedName name="______PM6" localSheetId="8">#REF!</definedName>
    <definedName name="______PM6" localSheetId="5">#REF!</definedName>
    <definedName name="______PM6">#REF!</definedName>
    <definedName name="_____JM1" localSheetId="8">#REF!</definedName>
    <definedName name="_____JM1" localSheetId="5">#REF!</definedName>
    <definedName name="_____JM1">#REF!</definedName>
    <definedName name="_____JM2" localSheetId="8">#REF!</definedName>
    <definedName name="_____JM2" localSheetId="5">#REF!</definedName>
    <definedName name="_____JM2">#REF!</definedName>
    <definedName name="_____JM3" localSheetId="8">#REF!</definedName>
    <definedName name="_____JM3" localSheetId="5">#REF!</definedName>
    <definedName name="_____JM3">#REF!</definedName>
    <definedName name="_____JM4" localSheetId="8">#REF!</definedName>
    <definedName name="_____JM4" localSheetId="5">#REF!</definedName>
    <definedName name="_____JM4">#REF!</definedName>
    <definedName name="_____JM5" localSheetId="8">#REF!</definedName>
    <definedName name="_____JM5" localSheetId="5">#REF!</definedName>
    <definedName name="_____JM5">#REF!</definedName>
    <definedName name="_____JM6" localSheetId="8">#REF!</definedName>
    <definedName name="_____JM6" localSheetId="5">#REF!</definedName>
    <definedName name="_____JM6">#REF!</definedName>
    <definedName name="_____PM1" localSheetId="8">#REF!</definedName>
    <definedName name="_____PM1" localSheetId="5">#REF!</definedName>
    <definedName name="_____PM1">#REF!</definedName>
    <definedName name="_____PM2" localSheetId="8">#REF!</definedName>
    <definedName name="_____PM2" localSheetId="5">#REF!</definedName>
    <definedName name="_____PM2">#REF!</definedName>
    <definedName name="_____PM3" localSheetId="8">#REF!</definedName>
    <definedName name="_____PM3" localSheetId="5">#REF!</definedName>
    <definedName name="_____PM3">#REF!</definedName>
    <definedName name="_____PM4" localSheetId="8">#REF!</definedName>
    <definedName name="_____PM4" localSheetId="5">#REF!</definedName>
    <definedName name="_____PM4">#REF!</definedName>
    <definedName name="_____PM5" localSheetId="8">#REF!</definedName>
    <definedName name="_____PM5" localSheetId="5">#REF!</definedName>
    <definedName name="_____PM5">#REF!</definedName>
    <definedName name="_____PM6" localSheetId="8">#REF!</definedName>
    <definedName name="_____PM6" localSheetId="5">#REF!</definedName>
    <definedName name="_____PM6">#REF!</definedName>
    <definedName name="_____zE01">#REF!</definedName>
    <definedName name="_____zG02">#REF!</definedName>
    <definedName name="_____zJ01">#REF!</definedName>
    <definedName name="_____zJ03">#REF!</definedName>
    <definedName name="_____zP03">#REF!</definedName>
    <definedName name="_____zP04">#REF!</definedName>
    <definedName name="_____zP05">#REF!</definedName>
    <definedName name="_____zP08">#REF!</definedName>
    <definedName name="____JM1" localSheetId="8">#REF!</definedName>
    <definedName name="____JM1" localSheetId="5">#REF!</definedName>
    <definedName name="____JM1">#REF!</definedName>
    <definedName name="____JM2" localSheetId="8">#REF!</definedName>
    <definedName name="____JM2" localSheetId="5">#REF!</definedName>
    <definedName name="____JM2">#REF!</definedName>
    <definedName name="____JM3" localSheetId="8">#REF!</definedName>
    <definedName name="____JM3" localSheetId="5">#REF!</definedName>
    <definedName name="____JM3">#REF!</definedName>
    <definedName name="____JM4" localSheetId="8">#REF!</definedName>
    <definedName name="____JM4" localSheetId="5">#REF!</definedName>
    <definedName name="____JM4">#REF!</definedName>
    <definedName name="____JM5" localSheetId="8">#REF!</definedName>
    <definedName name="____JM5" localSheetId="5">#REF!</definedName>
    <definedName name="____JM5">#REF!</definedName>
    <definedName name="____JM6" localSheetId="8">#REF!</definedName>
    <definedName name="____JM6" localSheetId="5">#REF!</definedName>
    <definedName name="____JM6">#REF!</definedName>
    <definedName name="____PM1" localSheetId="8">#REF!</definedName>
    <definedName name="____PM1" localSheetId="5">#REF!</definedName>
    <definedName name="____PM1">#REF!</definedName>
    <definedName name="____PM2" localSheetId="8">#REF!</definedName>
    <definedName name="____PM2" localSheetId="5">#REF!</definedName>
    <definedName name="____PM2">#REF!</definedName>
    <definedName name="____PM3" localSheetId="8">#REF!</definedName>
    <definedName name="____PM3" localSheetId="5">#REF!</definedName>
    <definedName name="____PM3">#REF!</definedName>
    <definedName name="____PM4" localSheetId="8">#REF!</definedName>
    <definedName name="____PM4" localSheetId="5">#REF!</definedName>
    <definedName name="____PM4">#REF!</definedName>
    <definedName name="____PM5" localSheetId="8">#REF!</definedName>
    <definedName name="____PM5" localSheetId="5">#REF!</definedName>
    <definedName name="____PM5">#REF!</definedName>
    <definedName name="____PM6" localSheetId="8">#REF!</definedName>
    <definedName name="____PM6" localSheetId="5">#REF!</definedName>
    <definedName name="____PM6">#REF!</definedName>
    <definedName name="____zE01">#REF!</definedName>
    <definedName name="____zG02">#REF!</definedName>
    <definedName name="____zJ01">#REF!</definedName>
    <definedName name="____zJ03">#REF!</definedName>
    <definedName name="____zP03">#REF!</definedName>
    <definedName name="____zP04">#REF!</definedName>
    <definedName name="____zP05">#REF!</definedName>
    <definedName name="____zP08">#REF!</definedName>
    <definedName name="____zP12">#REF!</definedName>
    <definedName name="___JM1" localSheetId="8">#REF!</definedName>
    <definedName name="___JM1" localSheetId="5">#REF!</definedName>
    <definedName name="___JM1">#REF!</definedName>
    <definedName name="___JM2" localSheetId="8">#REF!</definedName>
    <definedName name="___JM2" localSheetId="5">#REF!</definedName>
    <definedName name="___JM2">#REF!</definedName>
    <definedName name="___JM3" localSheetId="8">#REF!</definedName>
    <definedName name="___JM3" localSheetId="5">#REF!</definedName>
    <definedName name="___JM3">#REF!</definedName>
    <definedName name="___JM4" localSheetId="8">#REF!</definedName>
    <definedName name="___JM4" localSheetId="5">#REF!</definedName>
    <definedName name="___JM4">#REF!</definedName>
    <definedName name="___JM5" localSheetId="8">#REF!</definedName>
    <definedName name="___JM5" localSheetId="5">#REF!</definedName>
    <definedName name="___JM5">#REF!</definedName>
    <definedName name="___JM6" localSheetId="8">#REF!</definedName>
    <definedName name="___JM6" localSheetId="5">#REF!</definedName>
    <definedName name="___JM6">#REF!</definedName>
    <definedName name="___PM1" localSheetId="8">#REF!</definedName>
    <definedName name="___PM1" localSheetId="5">#REF!</definedName>
    <definedName name="___PM1">#REF!</definedName>
    <definedName name="___PM2" localSheetId="8">#REF!</definedName>
    <definedName name="___PM2" localSheetId="5">#REF!</definedName>
    <definedName name="___PM2">#REF!</definedName>
    <definedName name="___PM3" localSheetId="8">#REF!</definedName>
    <definedName name="___PM3" localSheetId="5">#REF!</definedName>
    <definedName name="___PM3">#REF!</definedName>
    <definedName name="___PM4" localSheetId="8">#REF!</definedName>
    <definedName name="___PM4" localSheetId="5">#REF!</definedName>
    <definedName name="___PM4">#REF!</definedName>
    <definedName name="___PM5" localSheetId="8">#REF!</definedName>
    <definedName name="___PM5" localSheetId="5">#REF!</definedName>
    <definedName name="___PM5">#REF!</definedName>
    <definedName name="___PM6" localSheetId="8">#REF!</definedName>
    <definedName name="___PM6" localSheetId="5">#REF!</definedName>
    <definedName name="___PM6">#REF!</definedName>
    <definedName name="___zE01">#REF!</definedName>
    <definedName name="___zG02">#REF!</definedName>
    <definedName name="___zJ01">#REF!</definedName>
    <definedName name="___zJ03">#REF!</definedName>
    <definedName name="___zP03">#REF!</definedName>
    <definedName name="___zP04">#REF!</definedName>
    <definedName name="___zP05">#REF!</definedName>
    <definedName name="___zP08">#REF!</definedName>
    <definedName name="___zP12">#REF!</definedName>
    <definedName name="__FEV97">#REF!</definedName>
    <definedName name="__JM1" localSheetId="8">#REF!</definedName>
    <definedName name="__JM1" localSheetId="5">#REF!</definedName>
    <definedName name="__JM1">#REF!</definedName>
    <definedName name="__JM2" localSheetId="8">#REF!</definedName>
    <definedName name="__JM2" localSheetId="5">#REF!</definedName>
    <definedName name="__JM2">#REF!</definedName>
    <definedName name="__JM3" localSheetId="8">#REF!</definedName>
    <definedName name="__JM3" localSheetId="5">#REF!</definedName>
    <definedName name="__JM3">#REF!</definedName>
    <definedName name="__JM4" localSheetId="8">#REF!</definedName>
    <definedName name="__JM4" localSheetId="5">#REF!</definedName>
    <definedName name="__JM4">#REF!</definedName>
    <definedName name="__JM5" localSheetId="8">#REF!</definedName>
    <definedName name="__JM5" localSheetId="5">#REF!</definedName>
    <definedName name="__JM5">#REF!</definedName>
    <definedName name="__JM6" localSheetId="8">#REF!</definedName>
    <definedName name="__JM6" localSheetId="5">#REF!</definedName>
    <definedName name="__JM6">#REF!</definedName>
    <definedName name="__PM1" localSheetId="8">#REF!</definedName>
    <definedName name="__PM1" localSheetId="5">#REF!</definedName>
    <definedName name="__PM1">#REF!</definedName>
    <definedName name="__PM2" localSheetId="8">#REF!</definedName>
    <definedName name="__PM2" localSheetId="5">#REF!</definedName>
    <definedName name="__PM2">#REF!</definedName>
    <definedName name="__PM3" localSheetId="8">#REF!</definedName>
    <definedName name="__PM3" localSheetId="5">#REF!</definedName>
    <definedName name="__PM3">#REF!</definedName>
    <definedName name="__PM4" localSheetId="8">#REF!</definedName>
    <definedName name="__PM4" localSheetId="5">#REF!</definedName>
    <definedName name="__PM4">#REF!</definedName>
    <definedName name="__PM5" localSheetId="8">#REF!</definedName>
    <definedName name="__PM5" localSheetId="5">#REF!</definedName>
    <definedName name="__PM5">#REF!</definedName>
    <definedName name="__PM6" localSheetId="8">#REF!</definedName>
    <definedName name="__PM6" localSheetId="5">#REF!</definedName>
    <definedName name="__PM6">#REF!</definedName>
    <definedName name="__xlfn_IFERROR">NA()</definedName>
    <definedName name="__zE01">#REF!</definedName>
    <definedName name="__zG02">#REF!</definedName>
    <definedName name="__zJ01">#REF!</definedName>
    <definedName name="__zJ03">#REF!</definedName>
    <definedName name="__zP03">#REF!</definedName>
    <definedName name="__zP04">#REF!</definedName>
    <definedName name="__zP05">#REF!</definedName>
    <definedName name="__zP08">#REF!</definedName>
    <definedName name="__zP12">#REF!</definedName>
    <definedName name="_0" localSheetId="8">#REF!</definedName>
    <definedName name="_0">#REF!</definedName>
    <definedName name="_0_11" localSheetId="8">#REF!</definedName>
    <definedName name="_0_11">#REF!</definedName>
    <definedName name="_0_12" localSheetId="8">#REF!</definedName>
    <definedName name="_0_12">#REF!</definedName>
    <definedName name="_0_13" localSheetId="8">#REF!</definedName>
    <definedName name="_0_13">#REF!</definedName>
    <definedName name="_0_33" localSheetId="8">#REF!</definedName>
    <definedName name="_0_33">#REF!</definedName>
    <definedName name="_0_34" localSheetId="8">#REF!</definedName>
    <definedName name="_0_34">#REF!</definedName>
    <definedName name="_a" localSheetId="8">#REF!</definedName>
    <definedName name="_a">#REF!</definedName>
    <definedName name="_B">#REF!</definedName>
    <definedName name="_BD2" localSheetId="8">#REF!</definedName>
    <definedName name="_BD2">#REF!</definedName>
    <definedName name="_coberta_estrutura" localSheetId="8">#REF!</definedName>
    <definedName name="_coberta_estrutura">#REF!</definedName>
    <definedName name="_esc15" localSheetId="8">#REF!</definedName>
    <definedName name="_esc15">#REF!</definedName>
    <definedName name="_esc4" localSheetId="8">#REF!</definedName>
    <definedName name="_esc4">#REF!</definedName>
    <definedName name="_esc6" localSheetId="8">#REF!</definedName>
    <definedName name="_esc6">#REF!</definedName>
    <definedName name="_FEV97">#REF!</definedName>
    <definedName name="_Fill" localSheetId="8" hidden="1">#REF!</definedName>
    <definedName name="_Fill" localSheetId="5" hidden="1">#REF!</definedName>
    <definedName name="_Fill" hidden="1">#REF!</definedName>
    <definedName name="_xlnm._FilterDatabase" localSheetId="6" hidden="1">ABC!$A$8:$F$933</definedName>
    <definedName name="_xlnm._FilterDatabase" localSheetId="8" hidden="1">#REF!</definedName>
    <definedName name="_xlnm._FilterDatabase" localSheetId="5" hidden="1">CPU!$A$9:$L$3622</definedName>
    <definedName name="_xlnm._FilterDatabase" localSheetId="7" hidden="1">Cronograma!$B$12:$O$207</definedName>
    <definedName name="_xlnm._FilterDatabase" localSheetId="2" hidden="1">Fontes!$A$5:$P$631</definedName>
    <definedName name="_xlnm._FilterDatabase" localSheetId="1" hidden="1">Planilha!$A$12:$O$1205</definedName>
    <definedName name="_xlnm._FilterDatabase" hidden="1">#REF!</definedName>
    <definedName name="_JM1" localSheetId="8">#REF!</definedName>
    <definedName name="_JM1" localSheetId="5">#REF!</definedName>
    <definedName name="_JM1">#REF!</definedName>
    <definedName name="_JM2" localSheetId="8">#REF!</definedName>
    <definedName name="_JM2" localSheetId="5">#REF!</definedName>
    <definedName name="_JM2">#REF!</definedName>
    <definedName name="_JM3" localSheetId="8">#REF!</definedName>
    <definedName name="_JM3" localSheetId="5">#REF!</definedName>
    <definedName name="_JM3">#REF!</definedName>
    <definedName name="_JM4" localSheetId="8">#REF!</definedName>
    <definedName name="_JM4" localSheetId="5">#REF!</definedName>
    <definedName name="_JM4">#REF!</definedName>
    <definedName name="_JM5" localSheetId="8">#REF!</definedName>
    <definedName name="_JM5" localSheetId="5">#REF!</definedName>
    <definedName name="_JM5">#REF!</definedName>
    <definedName name="_JM6" localSheetId="8">#REF!</definedName>
    <definedName name="_JM6" localSheetId="5">#REF!</definedName>
    <definedName name="_JM6">#REF!</definedName>
    <definedName name="_Key1" localSheetId="8" hidden="1">#REF!</definedName>
    <definedName name="_Key1" localSheetId="5" hidden="1">#REF!</definedName>
    <definedName name="_Key1" hidden="1">#REF!</definedName>
    <definedName name="_MAT1" localSheetId="8">#REF!</definedName>
    <definedName name="_MAT1">#REF!</definedName>
    <definedName name="_Order1" hidden="1">255</definedName>
    <definedName name="_Order2" hidden="1">255</definedName>
    <definedName name="_PM1" localSheetId="8">#REF!</definedName>
    <definedName name="_PM1" localSheetId="5">#REF!</definedName>
    <definedName name="_PM1">#REF!</definedName>
    <definedName name="_PM2" localSheetId="8">#REF!</definedName>
    <definedName name="_PM2" localSheetId="5">#REF!</definedName>
    <definedName name="_PM2">#REF!</definedName>
    <definedName name="_PM3" localSheetId="8">#REF!</definedName>
    <definedName name="_PM3" localSheetId="5">#REF!</definedName>
    <definedName name="_PM3">#REF!</definedName>
    <definedName name="_PM4" localSheetId="8">#REF!</definedName>
    <definedName name="_PM4" localSheetId="5">#REF!</definedName>
    <definedName name="_PM4">#REF!</definedName>
    <definedName name="_PM5" localSheetId="8">#REF!</definedName>
    <definedName name="_PM5" localSheetId="5">#REF!</definedName>
    <definedName name="_PM5">#REF!</definedName>
    <definedName name="_PM6" localSheetId="8">#REF!</definedName>
    <definedName name="_PM6" localSheetId="5">#REF!</definedName>
    <definedName name="_PM6">#REF!</definedName>
    <definedName name="_rP4" localSheetId="8">#REF!</definedName>
    <definedName name="_rP4">#REF!</definedName>
    <definedName name="_rP5" localSheetId="8">#REF!</definedName>
    <definedName name="_rP5">#REF!</definedName>
    <definedName name="_rP6" localSheetId="8">#REF!</definedName>
    <definedName name="_rP6">#REF!</definedName>
    <definedName name="_rP7" localSheetId="8">#REF!</definedName>
    <definedName name="_rP7">#REF!</definedName>
    <definedName name="_Sort" localSheetId="8" hidden="1">#REF!</definedName>
    <definedName name="_Sort" localSheetId="5" hidden="1">#REF!</definedName>
    <definedName name="_Sort" hidden="1">#REF!</definedName>
    <definedName name="_SR1">OFFSET(#REF!,1,,COUNTA(#REF!),1)</definedName>
    <definedName name="_xJ1" localSheetId="8">#REF!</definedName>
    <definedName name="_xJ1">#REF!</definedName>
    <definedName name="_xJ2" localSheetId="8">#REF!</definedName>
    <definedName name="_xJ2">#REF!</definedName>
    <definedName name="_xJ3" localSheetId="8">#REF!</definedName>
    <definedName name="_xJ3">#REF!</definedName>
    <definedName name="_xP4" localSheetId="8">#REF!</definedName>
    <definedName name="_xP4">#REF!</definedName>
    <definedName name="_xP5" localSheetId="8">#REF!</definedName>
    <definedName name="_xP5">#REF!</definedName>
    <definedName name="_xP6" localSheetId="8">#REF!</definedName>
    <definedName name="_xP6">#REF!</definedName>
    <definedName name="_xP7" localSheetId="8">#REF!</definedName>
    <definedName name="_xP7">#REF!</definedName>
    <definedName name="_Z">#REF!</definedName>
    <definedName name="_zE01">#REF!</definedName>
    <definedName name="_zG02">#REF!</definedName>
    <definedName name="_zJ01">#REF!</definedName>
    <definedName name="_zJ03">#REF!</definedName>
    <definedName name="_zP03">#REF!</definedName>
    <definedName name="_zP04">#REF!</definedName>
    <definedName name="_zP05">#REF!</definedName>
    <definedName name="_zP08">#REF!</definedName>
    <definedName name="_zP12">#REF!</definedName>
    <definedName name="A" localSheetId="8" hidden="1">{#N/A,#N/A,FALSE,"Planilha";#N/A,#N/A,FALSE,"Resumo";#N/A,#N/A,FALSE,"Fisico";#N/A,#N/A,FALSE,"Financeiro";#N/A,#N/A,FALSE,"Financeiro"}</definedName>
    <definedName name="A" localSheetId="5" hidden="1">{#N/A,#N/A,FALSE,"Planilha";#N/A,#N/A,FALSE,"Resumo";#N/A,#N/A,FALSE,"Fisico";#N/A,#N/A,FALSE,"Financeiro";#N/A,#N/A,FALSE,"Financeiro"}</definedName>
    <definedName name="A" hidden="1">{#N/A,#N/A,FALSE,"Planilha";#N/A,#N/A,FALSE,"Resumo";#N/A,#N/A,FALSE,"Fisico";#N/A,#N/A,FALSE,"Financeiro";#N/A,#N/A,FALSE,"Financeiro"}</definedName>
    <definedName name="A_1" localSheetId="8" hidden="1">{#N/A,#N/A,FALSE,"Planilha";#N/A,#N/A,FALSE,"Resumo";#N/A,#N/A,FALSE,"Fisico";#N/A,#N/A,FALSE,"Financeiro";#N/A,#N/A,FALSE,"Financeiro"}</definedName>
    <definedName name="A_1" localSheetId="5" hidden="1">{#N/A,#N/A,FALSE,"Planilha";#N/A,#N/A,FALSE,"Resumo";#N/A,#N/A,FALSE,"Fisico";#N/A,#N/A,FALSE,"Financeiro";#N/A,#N/A,FALSE,"Financeiro"}</definedName>
    <definedName name="A_1" hidden="1">{#N/A,#N/A,FALSE,"Planilha";#N/A,#N/A,FALSE,"Resumo";#N/A,#N/A,FALSE,"Fisico";#N/A,#N/A,FALSE,"Financeiro";#N/A,#N/A,FALSE,"Financeiro"}</definedName>
    <definedName name="aa">#REF!</definedName>
    <definedName name="aaA" localSheetId="8">#REF!</definedName>
    <definedName name="aaA">#REF!</definedName>
    <definedName name="abr">#REF!</definedName>
    <definedName name="AC">#REF!</definedName>
    <definedName name="Adir">"C:\GPO\Ferreira Guedes\Metro Fortaleza\SEINFRA- 2018 - OBRAS CIVIS LINHA LESTE METRÔ - FORTALEZA\Tabelas"</definedName>
    <definedName name="ADM_1_1PAV_C_18" localSheetId="8">#REF!</definedName>
    <definedName name="ADM_1_1PAV_C_18">#REF!</definedName>
    <definedName name="ADM_1_1PAV_C_20" localSheetId="8">#REF!</definedName>
    <definedName name="ADM_1_1PAV_C_20">#REF!</definedName>
    <definedName name="ADM_1_1PAV_C_22" localSheetId="8">#REF!</definedName>
    <definedName name="ADM_1_1PAV_C_22">#REF!</definedName>
    <definedName name="ADM_1_1PAV_C_24" localSheetId="8">#REF!</definedName>
    <definedName name="ADM_1_1PAV_C_24">#REF!</definedName>
    <definedName name="ADM_1_1PAV_C_26" localSheetId="8">#REF!</definedName>
    <definedName name="ADM_1_1PAV_C_26">#REF!</definedName>
    <definedName name="ADM_1_2PAV_C_18" localSheetId="8">#REF!</definedName>
    <definedName name="ADM_1_2PAV_C_18">#REF!</definedName>
    <definedName name="ADM_1_2PAV_C_20" localSheetId="8">#REF!</definedName>
    <definedName name="ADM_1_2PAV_C_20">#REF!</definedName>
    <definedName name="ADM_1_2PAV_C_22" localSheetId="8">#REF!</definedName>
    <definedName name="ADM_1_2PAV_C_22">#REF!</definedName>
    <definedName name="ADM_1_2PAV_C_24" localSheetId="8">#REF!</definedName>
    <definedName name="ADM_1_2PAV_C_24">#REF!</definedName>
    <definedName name="ADM_1_2PAV_C_26" localSheetId="8">#REF!</definedName>
    <definedName name="ADM_1_2PAV_C_26">#REF!</definedName>
    <definedName name="ADM_1_3PAV_C_18" localSheetId="8">#REF!</definedName>
    <definedName name="ADM_1_3PAV_C_18">#REF!</definedName>
    <definedName name="ADM_1_3PAV_C_20" localSheetId="8">#REF!</definedName>
    <definedName name="ADM_1_3PAV_C_20">#REF!</definedName>
    <definedName name="ADM_1_3PAV_C_22" localSheetId="8">#REF!</definedName>
    <definedName name="ADM_1_3PAV_C_22">#REF!</definedName>
    <definedName name="ADM_1_3PAV_C_24" localSheetId="8">#REF!</definedName>
    <definedName name="ADM_1_3PAV_C_24">#REF!</definedName>
    <definedName name="ADM_1_3PAV_C_26" localSheetId="8">#REF!</definedName>
    <definedName name="ADM_1_3PAV_C_26">#REF!</definedName>
    <definedName name="ADM_1_4PAV_C_18" localSheetId="8">#REF!</definedName>
    <definedName name="ADM_1_4PAV_C_18">#REF!</definedName>
    <definedName name="ADM_1_4PAV_C_20" localSheetId="8">#REF!</definedName>
    <definedName name="ADM_1_4PAV_C_20">#REF!</definedName>
    <definedName name="ADM_1_4PAV_C_22" localSheetId="8">#REF!</definedName>
    <definedName name="ADM_1_4PAV_C_22">#REF!</definedName>
    <definedName name="ADM_1_4PAV_C_24" localSheetId="8">#REF!</definedName>
    <definedName name="ADM_1_4PAV_C_24">#REF!</definedName>
    <definedName name="ADM_1_4PAV_C_26" localSheetId="8">#REF!</definedName>
    <definedName name="ADM_1_4PAV_C_26">#REF!</definedName>
    <definedName name="ADM_1_C_18" localSheetId="8">#REF!</definedName>
    <definedName name="ADM_1_C_18">#REF!</definedName>
    <definedName name="ADM_1_C_20" localSheetId="8">#REF!</definedName>
    <definedName name="ADM_1_C_20">#REF!</definedName>
    <definedName name="ADM_1_C_22" localSheetId="8">#REF!</definedName>
    <definedName name="ADM_1_C_22">#REF!</definedName>
    <definedName name="ADM_1_C_24" localSheetId="8">#REF!</definedName>
    <definedName name="ADM_1_C_24">#REF!</definedName>
    <definedName name="ADM_1_C_26" localSheetId="8">#REF!</definedName>
    <definedName name="ADM_1_C_26">#REF!</definedName>
    <definedName name="ADM_2_1PAV_C_18" localSheetId="8">#REF!</definedName>
    <definedName name="ADM_2_1PAV_C_18">#REF!</definedName>
    <definedName name="ADM_2_1PAV_C_20" localSheetId="8">#REF!</definedName>
    <definedName name="ADM_2_1PAV_C_20">#REF!</definedName>
    <definedName name="ADM_2_1PAV_C_22" localSheetId="8">#REF!</definedName>
    <definedName name="ADM_2_1PAV_C_22">#REF!</definedName>
    <definedName name="ADM_2_1PAV_C_24" localSheetId="8">#REF!</definedName>
    <definedName name="ADM_2_1PAV_C_24">#REF!</definedName>
    <definedName name="ADM_2_1PAV_C_26" localSheetId="8">#REF!</definedName>
    <definedName name="ADM_2_1PAV_C_26">#REF!</definedName>
    <definedName name="ADM_2_2PAV_C_18" localSheetId="8">#REF!</definedName>
    <definedName name="ADM_2_2PAV_C_18">#REF!</definedName>
    <definedName name="ADM_2_2PAV_C_20" localSheetId="8">#REF!</definedName>
    <definedName name="ADM_2_2PAV_C_20">#REF!</definedName>
    <definedName name="ADM_2_2PAV_C_22" localSheetId="8">#REF!</definedName>
    <definedName name="ADM_2_2PAV_C_22">#REF!</definedName>
    <definedName name="ADM_2_2PAV_C_24" localSheetId="8">#REF!</definedName>
    <definedName name="ADM_2_2PAV_C_24">#REF!</definedName>
    <definedName name="ADM_2_2PAV_C_26" localSheetId="8">#REF!</definedName>
    <definedName name="ADM_2_2PAV_C_26">#REF!</definedName>
    <definedName name="ADM_2_3PAV_C_18" localSheetId="8">#REF!</definedName>
    <definedName name="ADM_2_3PAV_C_18">#REF!</definedName>
    <definedName name="ADM_2_3PAV_C_20" localSheetId="8">#REF!</definedName>
    <definedName name="ADM_2_3PAV_C_20">#REF!</definedName>
    <definedName name="ADM_2_3PAV_C_22" localSheetId="8">#REF!</definedName>
    <definedName name="ADM_2_3PAV_C_22">#REF!</definedName>
    <definedName name="ADM_2_3PAV_C_24" localSheetId="8">#REF!</definedName>
    <definedName name="ADM_2_3PAV_C_24">#REF!</definedName>
    <definedName name="ADM_2_3PAV_C_26" localSheetId="8">#REF!</definedName>
    <definedName name="ADM_2_3PAV_C_26">#REF!</definedName>
    <definedName name="ADM_2_4PAV_C_18" localSheetId="8">#REF!</definedName>
    <definedName name="ADM_2_4PAV_C_18">#REF!</definedName>
    <definedName name="ADM_2_4PAV_C_20" localSheetId="8">#REF!</definedName>
    <definedName name="ADM_2_4PAV_C_20">#REF!</definedName>
    <definedName name="ADM_2_4PAV_C_22" localSheetId="8">#REF!</definedName>
    <definedName name="ADM_2_4PAV_C_22">#REF!</definedName>
    <definedName name="ADM_2_4PAV_C_24" localSheetId="8">#REF!</definedName>
    <definedName name="ADM_2_4PAV_C_24">#REF!</definedName>
    <definedName name="ADM_2_4PAV_C_26" localSheetId="8">#REF!</definedName>
    <definedName name="ADM_2_4PAV_C_26">#REF!</definedName>
    <definedName name="ADM_2_C_18" localSheetId="8">#REF!</definedName>
    <definedName name="ADM_2_C_18">#REF!</definedName>
    <definedName name="ADM_2_C_20" localSheetId="8">#REF!</definedName>
    <definedName name="ADM_2_C_20">#REF!</definedName>
    <definedName name="ADM_2_C_22" localSheetId="8">#REF!</definedName>
    <definedName name="ADM_2_C_22">#REF!</definedName>
    <definedName name="ADM_2_C_24" localSheetId="8">#REF!</definedName>
    <definedName name="ADM_2_C_24">#REF!</definedName>
    <definedName name="ADM_2_C_26" localSheetId="8">#REF!</definedName>
    <definedName name="ADM_2_C_26">#REF!</definedName>
    <definedName name="ADM_SUP_C_18" localSheetId="8">#REF!</definedName>
    <definedName name="ADM_SUP_C_18">#REF!</definedName>
    <definedName name="ADM_SUP_C_20" localSheetId="8">#REF!</definedName>
    <definedName name="ADM_SUP_C_20">#REF!</definedName>
    <definedName name="ADM_SUP_C_22" localSheetId="8">#REF!</definedName>
    <definedName name="ADM_SUP_C_22">#REF!</definedName>
    <definedName name="ADM_SUP_C_24" localSheetId="8">#REF!</definedName>
    <definedName name="ADM_SUP_C_24">#REF!</definedName>
    <definedName name="ADM_SUP_C_26" localSheetId="8">#REF!</definedName>
    <definedName name="ADM_SUP_C_26">#REF!</definedName>
    <definedName name="ADMINISTRATIVO" localSheetId="8">#REF!</definedName>
    <definedName name="ADMINISTRATIVO">#REF!</definedName>
    <definedName name="alvenaria" localSheetId="8">#REF!</definedName>
    <definedName name="alvenaria">#REF!</definedName>
    <definedName name="alvenariacucc" localSheetId="8">#REF!</definedName>
    <definedName name="alvenariacucc">#REF!</definedName>
    <definedName name="alvenariadetijolo" localSheetId="8">#REF!</definedName>
    <definedName name="alvenariadetijolo">#REF!</definedName>
    <definedName name="alvtihoceramicofurado" localSheetId="8">#REF!</definedName>
    <definedName name="alvtihoceramicofurado">#REF!</definedName>
    <definedName name="alvtijolo" localSheetId="8">#REF!</definedName>
    <definedName name="alvtijolo">#REF!</definedName>
    <definedName name="APSEG">#N/A</definedName>
    <definedName name="APTERREO" localSheetId="8">#REF!</definedName>
    <definedName name="APTERREO" localSheetId="5">#REF!</definedName>
    <definedName name="APTERREO">#REF!</definedName>
    <definedName name="APTERREO2" localSheetId="8">#REF!</definedName>
    <definedName name="APTERREO2" localSheetId="5">#REF!</definedName>
    <definedName name="APTERREO2">#REF!</definedName>
    <definedName name="AR_CONDICIONADO">#REF!</definedName>
    <definedName name="AR_CONDICIONADO_2">#REF!</definedName>
    <definedName name="_xlnm.Print_Area" localSheetId="6">ABC!$A$1:$F$958</definedName>
    <definedName name="_xlnm.Print_Area" localSheetId="8">BDI!#REF!</definedName>
    <definedName name="_xlnm.Print_Area" localSheetId="5">CPU!$A$1:$K$8916</definedName>
    <definedName name="_xlnm.Print_Area" localSheetId="7">Cronograma!$B$1:$N$204</definedName>
    <definedName name="_xlnm.Print_Area" localSheetId="4">Insumos!$A$1:$O$1126</definedName>
    <definedName name="_xlnm.Print_Area" localSheetId="3">Mercado!$C$1:$K$160</definedName>
    <definedName name="_xlnm.Print_Area" localSheetId="1">Planilha!$C$1:$M$1201</definedName>
    <definedName name="_xlnm.Print_Area" localSheetId="0">Resumo!$B$1:$D$47</definedName>
    <definedName name="_xlnm.Print_Area">#REF!</definedName>
    <definedName name="Área_impressão_IM" localSheetId="8">#REF!</definedName>
    <definedName name="Área_impressão_IM">#REF!</definedName>
    <definedName name="AREASEG">#N/A</definedName>
    <definedName name="AREAT" localSheetId="8">#REF!</definedName>
    <definedName name="AREAT" localSheetId="5">#REF!</definedName>
    <definedName name="AREAT">#REF!</definedName>
    <definedName name="AREIA" localSheetId="8">#REF!</definedName>
    <definedName name="AREIA">#REF!</definedName>
    <definedName name="as">#REF!</definedName>
    <definedName name="asaaas">#REF!</definedName>
    <definedName name="Asf" localSheetId="8">#REF!</definedName>
    <definedName name="Asf">#REF!</definedName>
    <definedName name="ASHRAE_Grupo_Espaços">#REF!</definedName>
    <definedName name="ass">#REF!</definedName>
    <definedName name="assasasa">#REF!</definedName>
    <definedName name="at">#REF!</definedName>
    <definedName name="atela">#REF!</definedName>
    <definedName name="ATERRO_MEC">#REF!</definedName>
    <definedName name="ATERRO_MEC_2">#REF!</definedName>
    <definedName name="AUDITORIO_C_18" localSheetId="8">#REF!</definedName>
    <definedName name="AUDITORIO_C_18">#REF!</definedName>
    <definedName name="AUDITORIO_C_20" localSheetId="8">#REF!</definedName>
    <definedName name="AUDITORIO_C_20">#REF!</definedName>
    <definedName name="AUDITORIO_C_22" localSheetId="8">#REF!</definedName>
    <definedName name="AUDITORIO_C_22">#REF!</definedName>
    <definedName name="AUDITORIO_C_24" localSheetId="8">#REF!</definedName>
    <definedName name="AUDITORIO_C_24">#REF!</definedName>
    <definedName name="AUDITORIO_C_26" localSheetId="8">#REF!</definedName>
    <definedName name="AUDITORIO_C_26">#REF!</definedName>
    <definedName name="B">#REF!</definedName>
    <definedName name="BALDRAMES">#REF!</definedName>
    <definedName name="BALDRAMES_2">#REF!</definedName>
    <definedName name="BANCADA" localSheetId="8">#REF!</definedName>
    <definedName name="BANCADA" localSheetId="5">#REF!</definedName>
    <definedName name="BANCADA">#REF!</definedName>
    <definedName name="BANCADAS" localSheetId="8">#REF!</definedName>
    <definedName name="BANCADAS" localSheetId="5">#REF!</definedName>
    <definedName name="BANCADAS">#REF!</definedName>
    <definedName name="BANCO" localSheetId="8">#REF!</definedName>
    <definedName name="BANCO">#REF!</definedName>
    <definedName name="_xlnm.Database" localSheetId="8">#REF!</definedName>
    <definedName name="_xlnm.Database" localSheetId="5">#REF!</definedName>
    <definedName name="_xlnm.Database">#REF!</definedName>
    <definedName name="Base">#REF!</definedName>
    <definedName name="BDI" localSheetId="8">#REF!</definedName>
    <definedName name="BDI" localSheetId="5">#REF!</definedName>
    <definedName name="BDI">#REF!</definedName>
    <definedName name="BDIF">#REF!</definedName>
    <definedName name="BDIG">#REF!</definedName>
    <definedName name="Bomba_putzmeister" localSheetId="8">#REF!</definedName>
    <definedName name="Bomba_putzmeister">#REF!</definedName>
    <definedName name="BRITA" localSheetId="8">#REF!</definedName>
    <definedName name="BRITA">#REF!</definedName>
    <definedName name="CA" localSheetId="8">#REF!</definedName>
    <definedName name="CA" localSheetId="5">#REF!</definedName>
    <definedName name="CA">#REF!</definedName>
    <definedName name="CAB">#REF!</definedName>
    <definedName name="CANTEIRO_OBRA">#REF!</definedName>
    <definedName name="CdaCto">2</definedName>
    <definedName name="CdaCun">2</definedName>
    <definedName name="CdaQtd">5</definedName>
    <definedName name="CdCto">2</definedName>
    <definedName name="CdCun">2</definedName>
    <definedName name="CdDersa">5</definedName>
    <definedName name="CdEmop">6</definedName>
    <definedName name="Cdir">"C:\GPO\Ferreira Guedes\Metro Fortaleza\SEINFRA- 2018 - OBRAS CIVIS LINHA LESTE METRÔ - FORTALEZA\GPO"</definedName>
    <definedName name="CdQtd">5</definedName>
    <definedName name="CdQtEqA">2</definedName>
    <definedName name="CdQtEqP">2</definedName>
    <definedName name="CdQtMoA">2</definedName>
    <definedName name="CdQtMoP">2</definedName>
    <definedName name="CdQtMpA">5</definedName>
    <definedName name="CdQtMpP">5</definedName>
    <definedName name="CdQtTrA">2</definedName>
    <definedName name="CdQtTrP">2</definedName>
    <definedName name="Cim" localSheetId="8">#REF!</definedName>
    <definedName name="Cim">#REF!</definedName>
    <definedName name="CIMENTO" localSheetId="8">#REF!</definedName>
    <definedName name="CIMENTO">#REF!</definedName>
    <definedName name="Cliente">#REF!</definedName>
    <definedName name="Cls">IFERROR(VLOOKUP(#REF!,BDI!REC,4,0),VLOOKUP(#REF!,SR,4,0))</definedName>
    <definedName name="COBERTA" localSheetId="8">#REF!</definedName>
    <definedName name="COBERTA">#REF!</definedName>
    <definedName name="cobertaemestruturametalica" localSheetId="8">#REF!</definedName>
    <definedName name="cobertaemestruturametalica">#REF!</definedName>
    <definedName name="COBERTANS" localSheetId="8">#REF!</definedName>
    <definedName name="COBERTANS">#REF!</definedName>
    <definedName name="COBERTURA">#REF!</definedName>
    <definedName name="COBERTURA_2">#REF!</definedName>
    <definedName name="Cod">#REF!</definedName>
    <definedName name="Codigo">#REF!</definedName>
    <definedName name="Código" localSheetId="8">#REF!</definedName>
    <definedName name="Código">#REF!</definedName>
    <definedName name="com">#REF!</definedName>
    <definedName name="CONCRETOS">#REF!</definedName>
    <definedName name="CONCRETOS_2">#REF!</definedName>
    <definedName name="Corpo">#REF!</definedName>
    <definedName name="CORRIMAO" localSheetId="8">#REF!</definedName>
    <definedName name="CORRIMAO">#REF!</definedName>
    <definedName name="CotPrd">IF(ISNA(VLOOKUP(#REF!,BDI!REC,1,0)),VLOOKUP(#REF!,SR,5,0),VLOOKUP(#REF!,BDI!REC,5,0))</definedName>
    <definedName name="CPAP">#REF!</definedName>
    <definedName name="CPUs">OFFSET(SRV,-1,,COUNTA(#REF!)+1,4)</definedName>
    <definedName name="CRIT">#REF!</definedName>
    <definedName name="ct">#REF!</definedName>
    <definedName name="cucaalvenariaestrutural" localSheetId="8">#REF!</definedName>
    <definedName name="cucaalvenariaestrutural">#REF!</definedName>
    <definedName name="CunImp">#N/A</definedName>
    <definedName name="CunPrd">#N/A</definedName>
    <definedName name="CV" localSheetId="8">#REF!</definedName>
    <definedName name="CV" localSheetId="5">#REF!</definedName>
    <definedName name="CV">#REF!</definedName>
    <definedName name="D" localSheetId="8">#REF!</definedName>
    <definedName name="D">#REF!</definedName>
    <definedName name="D_O">#REF!</definedName>
    <definedName name="Dados">#REF!</definedName>
    <definedName name="data">#REF!</definedName>
    <definedName name="data_base">#REF!</definedName>
    <definedName name="dd">#REF!</definedName>
    <definedName name="ddd">#REF!</definedName>
    <definedName name="dddd">#REF!</definedName>
    <definedName name="DEFLATOR" localSheetId="8">#REF!</definedName>
    <definedName name="DEFLATOR">#REF!</definedName>
    <definedName name="deflator1" localSheetId="8">#REF!</definedName>
    <definedName name="deflator1">#REF!</definedName>
    <definedName name="deflator2" localSheetId="8">#REF!</definedName>
    <definedName name="deflator2">#REF!</definedName>
    <definedName name="demolicao" localSheetId="8">#REF!</definedName>
    <definedName name="demolicao">#REF!</definedName>
    <definedName name="DEMOLIÇÕES">#REF!</definedName>
    <definedName name="DEMOLIÇÕES_2">#REF!</definedName>
    <definedName name="denize" localSheetId="8" hidden="1">#REF!</definedName>
    <definedName name="denize" hidden="1">#REF!</definedName>
    <definedName name="DEP_A_SUP_C_18" localSheetId="8">#REF!</definedName>
    <definedName name="DEP_A_SUP_C_18">#REF!</definedName>
    <definedName name="DEP_A_SUP_C_20" localSheetId="8">#REF!</definedName>
    <definedName name="DEP_A_SUP_C_20">#REF!</definedName>
    <definedName name="DEP_A_SUP_C_22" localSheetId="8">#REF!</definedName>
    <definedName name="DEP_A_SUP_C_22">#REF!</definedName>
    <definedName name="DEP_A_SUP_C_24" localSheetId="8">#REF!</definedName>
    <definedName name="DEP_A_SUP_C_24">#REF!</definedName>
    <definedName name="DEP_A_SUP_C_26" localSheetId="8">#REF!</definedName>
    <definedName name="DEP_A_SUP_C_26">#REF!</definedName>
    <definedName name="DEP_A_TER_C_18" localSheetId="8">#REF!</definedName>
    <definedName name="DEP_A_TER_C_18">#REF!</definedName>
    <definedName name="DEP_A_TER_C_20" localSheetId="8">#REF!</definedName>
    <definedName name="DEP_A_TER_C_20">#REF!</definedName>
    <definedName name="DEP_A_TER_C_22" localSheetId="8">#REF!</definedName>
    <definedName name="DEP_A_TER_C_22">#REF!</definedName>
    <definedName name="DEP_A_TER_C_24" localSheetId="8">#REF!</definedName>
    <definedName name="DEP_A_TER_C_24">#REF!</definedName>
    <definedName name="DEP_A_TER_C_26" localSheetId="8">#REF!</definedName>
    <definedName name="DEP_A_TER_C_26">#REF!</definedName>
    <definedName name="DEP_B_SUP_C_18" localSheetId="8">#REF!</definedName>
    <definedName name="DEP_B_SUP_C_18">#REF!</definedName>
    <definedName name="DEP_B_SUP_C_20" localSheetId="8">#REF!</definedName>
    <definedName name="DEP_B_SUP_C_20">#REF!</definedName>
    <definedName name="DEP_B_SUP_C_22" localSheetId="8">#REF!</definedName>
    <definedName name="DEP_B_SUP_C_22">#REF!</definedName>
    <definedName name="DEP_B_SUP_C_24" localSheetId="8">#REF!</definedName>
    <definedName name="DEP_B_SUP_C_24">#REF!</definedName>
    <definedName name="DEP_B_SUP_C_26" localSheetId="8">#REF!</definedName>
    <definedName name="DEP_B_SUP_C_26">#REF!</definedName>
    <definedName name="DEP_B_TER_C_18" localSheetId="8">#REF!</definedName>
    <definedName name="DEP_B_TER_C_18">#REF!</definedName>
    <definedName name="DEP_B_TER_C_20" localSheetId="8">#REF!</definedName>
    <definedName name="DEP_B_TER_C_20">#REF!</definedName>
    <definedName name="DEP_B_TER_C_22" localSheetId="8">#REF!</definedName>
    <definedName name="DEP_B_TER_C_22">#REF!</definedName>
    <definedName name="DEP_B_TER_C_24" localSheetId="8">#REF!</definedName>
    <definedName name="DEP_B_TER_C_24">#REF!</definedName>
    <definedName name="DEP_B_TER_C_26" localSheetId="8">#REF!</definedName>
    <definedName name="DEP_B_TER_C_26">#REF!</definedName>
    <definedName name="DISJUNTORES">#REF!</definedName>
    <definedName name="DISJUNTORES_2">#REF!</definedName>
    <definedName name="DIVERSOS">#REF!</definedName>
    <definedName name="DIVERSOS_2">#REF!</definedName>
    <definedName name="DIVISORIA" localSheetId="8">#REF!</definedName>
    <definedName name="DIVISORIA">#REF!</definedName>
    <definedName name="DMT">2</definedName>
    <definedName name="DRENAGEM" localSheetId="8">#REF!</definedName>
    <definedName name="DRENAGEM">#REF!</definedName>
    <definedName name="ededed">#N/A</definedName>
    <definedName name="Edit">#REF!</definedName>
    <definedName name="ELÉTRICA">#REF!</definedName>
    <definedName name="ELÉTRICA_2">#REF!</definedName>
    <definedName name="ELETRICAEQUIP">#REF!</definedName>
    <definedName name="ELETRICAEQUIP_2">#REF!</definedName>
    <definedName name="ELETRODUTO">#REF!</definedName>
    <definedName name="ELETRODUTO_2">#REF!</definedName>
    <definedName name="EmpAux">""</definedName>
    <definedName name="Empresa">#REF!</definedName>
    <definedName name="EQPTO" localSheetId="8">#REF!</definedName>
    <definedName name="EQPTO">#REF!</definedName>
    <definedName name="ES">#REF!</definedName>
    <definedName name="ESCAVAÇÃO">#REF!</definedName>
    <definedName name="ESCAVAÇÃO_2">#REF!</definedName>
    <definedName name="ESM">#REF!</definedName>
    <definedName name="Esquadrias" localSheetId="8">#REF!</definedName>
    <definedName name="Esquadrias">#REF!</definedName>
    <definedName name="ESQUADRIAS_2">#REF!</definedName>
    <definedName name="est">#REF!</definedName>
    <definedName name="Excel_BuiltIn__FilterDatabase">#REF!</definedName>
    <definedName name="Excel_BuiltIn__FilterDatabase_1">#REF!</definedName>
    <definedName name="Excel_BuiltIn__FilterDatabase_1_1_1">#REF!</definedName>
    <definedName name="Excel_BuiltIn__FilterDatabase_19" localSheetId="8">#REF!</definedName>
    <definedName name="Excel_BuiltIn__FilterDatabase_19">#REF!</definedName>
    <definedName name="Excel_BuiltIn__FilterDatabase_20" localSheetId="8">#REF!</definedName>
    <definedName name="Excel_BuiltIn__FilterDatabase_20">#REF!</definedName>
    <definedName name="Excel_BuiltIn__FilterDatabase_25" localSheetId="8">#REF!</definedName>
    <definedName name="Excel_BuiltIn__FilterDatabase_25">#REF!</definedName>
    <definedName name="Excel_BuiltIn__FilterDatabase_27" localSheetId="8">#REF!</definedName>
    <definedName name="Excel_BuiltIn__FilterDatabase_27">#REF!</definedName>
    <definedName name="Excel_BuiltIn__FilterDatabase_29" localSheetId="8">#REF!</definedName>
    <definedName name="Excel_BuiltIn__FilterDatabase_29">#REF!</definedName>
    <definedName name="Excel_BuiltIn__FilterDatabase_3">#REF!</definedName>
    <definedName name="Excel_BuiltIn__FilterDatabase_30" localSheetId="8">#REF!</definedName>
    <definedName name="Excel_BuiltIn__FilterDatabase_30">#REF!</definedName>
    <definedName name="Excel_BuiltIn__FilterDatabase_31" localSheetId="8">#REF!</definedName>
    <definedName name="Excel_BuiltIn__FilterDatabase_31">#REF!</definedName>
    <definedName name="Excel_BuiltIn__FilterDatabase_32" localSheetId="8">#REF!</definedName>
    <definedName name="Excel_BuiltIn__FilterDatabase_32">#REF!</definedName>
    <definedName name="Excel_BuiltIn__FilterDatabase_33" localSheetId="8">#REF!</definedName>
    <definedName name="Excel_BuiltIn__FilterDatabase_33">#REF!</definedName>
    <definedName name="Excel_BuiltIn__FilterDatabase_34" localSheetId="8">#REF!</definedName>
    <definedName name="Excel_BuiltIn__FilterDatabase_34">#REF!</definedName>
    <definedName name="Excel_BuiltIn__FilterDatabase_35" localSheetId="8">#REF!</definedName>
    <definedName name="Excel_BuiltIn__FilterDatabase_35">#REF!</definedName>
    <definedName name="Excel_BuiltIn_Database">#REF!</definedName>
    <definedName name="Excel_BuiltIn_Print_Area_1">"$#REF!.$A$1:$F$28"</definedName>
    <definedName name="Excel_BuiltIn_Print_Area_1_1">"$#REF!.$A$1:$F$28"</definedName>
    <definedName name="Excel_BuiltIn_Print_Area_1_1_1">NA()</definedName>
    <definedName name="Excel_BuiltIn_Print_Area_1_1_1_1">NA()</definedName>
    <definedName name="Excel_BuiltIn_Print_Area_1_1_1_1_1">NA()</definedName>
    <definedName name="Excel_BuiltIn_Print_Area_1_1_1_1_1_1">NA()</definedName>
    <definedName name="Excel_BuiltIn_Print_Area_1_1_1_1_1_1_1">NA()</definedName>
    <definedName name="Excel_BuiltIn_Print_Area_1_1_1_1_1_1_1_1">NA()</definedName>
    <definedName name="Excel_BuiltIn_Print_Area_1_1_1_1_1_1_1_1_1">NA()</definedName>
    <definedName name="Excel_BuiltIn_Print_Area_1_1_1_1_1_1_1_1_1_1">NA()</definedName>
    <definedName name="Excel_BuiltIn_Print_Area_1_1_1_1_1_1_1_1_1_1_1">NA()</definedName>
    <definedName name="Excel_BuiltIn_Print_Area_1_1_1_1_1_1_1_1_1_1_1_1">NA()</definedName>
    <definedName name="Excel_BuiltIn_Print_Area_1_1_1_1_1_1_1_1_1_1_1_1_1">NA()</definedName>
    <definedName name="Excel_BuiltIn_Print_Area_1_1_1_1_1_1_1_1_1_1_1_1_1_1">NA()</definedName>
    <definedName name="Excel_BuiltIn_Print_Area_1_1_1_1_1_1_1_1_1_1_1_1_1_1_1">"$#REF!.$A$1:$H$260"</definedName>
    <definedName name="Excel_BuiltIn_Print_Area_1_1_1_1_1_1_1_1_1_1_1_1_1_1_1_1">"$#REF!.$A$1:$H$98"</definedName>
    <definedName name="Excel_BuiltIn_Print_Area_1_1_1_1_1_1_1_1_1_1_1_1_1_1_1_1_1">"$#REF!.$#REF!$#REF!:$#REF!$#REF!"</definedName>
    <definedName name="Excel_BuiltIn_Print_Area_1_1_1_1_1_1_1_1_1_1_1_1_1_1_1_1_1_1">"$#REF!.$B$1:$H$1"</definedName>
    <definedName name="Excel_BuiltIn_Print_Area_1_1_1_1_1_1_1_1_1_1_1_1_1_1_1_1_1_1_1">"$#REF!.$#REF!$#REF!:$#REF!$#REF!"</definedName>
    <definedName name="Excel_BuiltIn_Print_Area_1_1_1_1_1_1_1_1_1_1_1_1_1_1_1_1_1_1_1_1">"$#REF!.$#REF!$#REF!:$#REF!$#REF!"</definedName>
    <definedName name="Excel_BuiltIn_Print_Area_1_1_1_1_1_1_1_1_1_1_1_1_1_1_1_1_1_1_1_1_1">"$#REF!.$#REF!$#REF!:$#REF!$#REF!"</definedName>
    <definedName name="Excel_BuiltIn_Print_Area_1_1_1_1_1_1_1_1_1_1_1_1_1_1_1_1_1_1_1_1_1_1">"$#REF!.$#REF!$#REF!:$#REF!$#REF!"</definedName>
    <definedName name="Excel_BuiltIn_Print_Area_10_1">NA()</definedName>
    <definedName name="Excel_BuiltIn_Print_Area_10_1_1">NA()</definedName>
    <definedName name="Excel_BuiltIn_Print_Area_10_1_1_1">NA()</definedName>
    <definedName name="Excel_BuiltIn_Print_Area_10_1_1_1_1">NA()</definedName>
    <definedName name="Excel_BuiltIn_Print_Area_10_1_1_1_1_1">NA()</definedName>
    <definedName name="Excel_BuiltIn_Print_Area_10_1_1_1_1_1_1">"$#REF!.$#REF!$#REF!:$#REF!$#REF!"</definedName>
    <definedName name="Excel_BuiltIn_Print_Area_10_1_1_1_1_1_1_1">"$#REF!.$#REF!$#REF!:$#REF!$#REF!"</definedName>
    <definedName name="Excel_BuiltIn_Print_Area_11">NA()</definedName>
    <definedName name="Excel_BuiltIn_Print_Area_11_1">NA()</definedName>
    <definedName name="Excel_BuiltIn_Print_Area_11_1_1">NA()</definedName>
    <definedName name="Excel_BuiltIn_Print_Area_11_1_1_1">NA()</definedName>
    <definedName name="Excel_BuiltIn_Print_Area_11_1_1_1_1">NA()</definedName>
    <definedName name="Excel_BuiltIn_Print_Area_11_1_1_1_1_1">"$#REF!.$#REF!$#REF!:$#REF!$#REF!"</definedName>
    <definedName name="Excel_BuiltIn_Print_Area_11_1_1_1_1_1_1">"$#REF!.$#REF!$#REF!:$#REF!$#REF!"</definedName>
    <definedName name="Excel_BuiltIn_Print_Area_11_1_1_1_1_1_1_1">"$#REF!.$#REF!$#REF!:$#REF!$#REF!"</definedName>
    <definedName name="Excel_BuiltIn_Print_Area_12_1">NA()</definedName>
    <definedName name="Excel_BuiltIn_Print_Area_12_1_1">NA()</definedName>
    <definedName name="Excel_BuiltIn_Print_Area_12_1_1_1">NA()</definedName>
    <definedName name="Excel_BuiltIn_Print_Area_12_1_1_1_1">NA()</definedName>
    <definedName name="Excel_BuiltIn_Print_Area_12_1_1_1_1_1">"$#REF!.$#REF!$#REF!:$#REF!$#REF!"</definedName>
    <definedName name="Excel_BuiltIn_Print_Area_13">NA()</definedName>
    <definedName name="Excel_BuiltIn_Print_Area_13_1">NA()</definedName>
    <definedName name="Excel_BuiltIn_Print_Area_13_1_1">NA()</definedName>
    <definedName name="Excel_BuiltIn_Print_Area_13_1_1_1">NA()</definedName>
    <definedName name="Excel_BuiltIn_Print_Area_13_1_1_1_1">NA()</definedName>
    <definedName name="Excel_BuiltIn_Print_Area_13_1_1_1_1_1">"$#REF!.$#REF!$#REF!:$#REF!$#REF!"</definedName>
    <definedName name="Excel_BuiltIn_Print_Area_13_1_1_1_1_1_1">"$#REF!.$#REF!$#REF!:$#REF!$#REF!"</definedName>
    <definedName name="Excel_BuiltIn_Print_Area_14">NA()</definedName>
    <definedName name="Excel_BuiltIn_Print_Area_14_1">NA()</definedName>
    <definedName name="Excel_BuiltIn_Print_Area_14_1_1">NA()</definedName>
    <definedName name="Excel_BuiltIn_Print_Area_14_1_1_1">"$#REF!.$#REF!$#REF!:$#REF!$#REF!"</definedName>
    <definedName name="Excel_BuiltIn_Print_Area_14_1_1_1_1">"$#REF!.$#REF!$#REF!:$#REF!$#REF!"</definedName>
    <definedName name="Excel_BuiltIn_Print_Area_15">NA()</definedName>
    <definedName name="Excel_BuiltIn_Print_Area_15_1">NA()</definedName>
    <definedName name="Excel_BuiltIn_Print_Area_15_1_1">NA()</definedName>
    <definedName name="Excel_BuiltIn_Print_Area_16">NA()</definedName>
    <definedName name="Excel_BuiltIn_Print_Area_16_1">NA()</definedName>
    <definedName name="Excel_BuiltIn_Print_Area_16_1_1">"$#REF!.$#REF!$#REF!:$#REF!$#REF!"</definedName>
    <definedName name="Excel_BuiltIn_Print_Area_17_1">NA()</definedName>
    <definedName name="Excel_BuiltIn_Print_Area_18">NA()</definedName>
    <definedName name="Excel_BuiltIn_Print_Area_18_1">NA()</definedName>
    <definedName name="Excel_BuiltIn_Print_Area_18_1_1">"$#REF!.$#REF!$#REF!:$#REF!$#REF!"</definedName>
    <definedName name="Excel_BuiltIn_Print_Area_19">NA()</definedName>
    <definedName name="Excel_BuiltIn_Print_Area_19_1" localSheetId="8">#REF!</definedName>
    <definedName name="Excel_BuiltIn_Print_Area_19_1">#REF!</definedName>
    <definedName name="Excel_BuiltIn_Print_Area_2">NA()</definedName>
    <definedName name="Excel_BuiltIn_Print_Area_2_1">#REF!</definedName>
    <definedName name="Excel_BuiltIn_Print_Area_2_1_1">NA()</definedName>
    <definedName name="Excel_BuiltIn_Print_Area_2_1_1_1">NA()</definedName>
    <definedName name="Excel_BuiltIn_Print_Area_2_1_1_1_1">NA()</definedName>
    <definedName name="Excel_BuiltIn_Print_Area_2_1_1_1_1_1">NA()</definedName>
    <definedName name="Excel_BuiltIn_Print_Area_2_1_1_1_1_1_1">NA()</definedName>
    <definedName name="Excel_BuiltIn_Print_Area_2_1_1_1_1_1_1_1">NA()</definedName>
    <definedName name="Excel_BuiltIn_Print_Area_2_1_1_1_1_1_1_1_1">NA()</definedName>
    <definedName name="Excel_BuiltIn_Print_Area_2_1_1_1_1_1_1_1_1_1">"$#REF!.$A$1:$H$258"</definedName>
    <definedName name="Excel_BuiltIn_Print_Area_2_1_1_1_1_1_1_1_1_1_1">"$#REF!.$A$1:$H$56"</definedName>
    <definedName name="Excel_BuiltIn_Print_Area_2_1_1_1_1_1_1_1_1_1_1_1">"$#REF!.$#REF!$#REF!:$#REF!$#REF!"</definedName>
    <definedName name="Excel_BuiltIn_Print_Area_2_1_1_1_1_1_1_1_1_1_1_1_1">"$#REF!.$#REF!$#REF!:$#REF!$#REF!"</definedName>
    <definedName name="Excel_BuiltIn_Print_Area_2_1_1_1_1_1_1_1_1_1_1_1_1_1">"$#REF!.$#REF!$#REF!:$#REF!$#REF!"</definedName>
    <definedName name="Excel_BuiltIn_Print_Area_2_1_1_1_1_1_1_1_1_1_1_1_1_1_1">"$#REF!.$#REF!$#REF!"</definedName>
    <definedName name="Excel_BuiltIn_Print_Area_2_1_1_1_1_1_1_1_1_1_1_1_1_1_1_1">"$#REF!.$#REF!$#REF!:$#REF!$#REF!"</definedName>
    <definedName name="Excel_BuiltIn_Print_Area_2_1_1_1_1_1_1_1_1_1_1_1_1_1_1_1_1">"$#REF!.$#REF!$#REF!:$#REF!$#REF!"</definedName>
    <definedName name="Excel_BuiltIn_Print_Area_2_1_1_1_1_1_1_1_1_1_1_1_1_1_1_1_1_1">"$#REF!.$#REF!$#REF!:$#REF!$#REF!"</definedName>
    <definedName name="Excel_BuiltIn_Print_Area_20_1" localSheetId="8">#REF!</definedName>
    <definedName name="Excel_BuiltIn_Print_Area_20_1">#REF!</definedName>
    <definedName name="Excel_BuiltIn_Print_Area_21_1" localSheetId="8">#REF!</definedName>
    <definedName name="Excel_BuiltIn_Print_Area_21_1">#REF!</definedName>
    <definedName name="Excel_BuiltIn_Print_Area_25" localSheetId="8">#REF!</definedName>
    <definedName name="Excel_BuiltIn_Print_Area_25">#REF!</definedName>
    <definedName name="Excel_BuiltIn_Print_Area_27" localSheetId="8">#REF!</definedName>
    <definedName name="Excel_BuiltIn_Print_Area_27">#REF!</definedName>
    <definedName name="Excel_BuiltIn_Print_Area_29" localSheetId="8">#REF!</definedName>
    <definedName name="Excel_BuiltIn_Print_Area_29">#REF!</definedName>
    <definedName name="Excel_BuiltIn_Print_Area_3">#REF!</definedName>
    <definedName name="Excel_BuiltIn_Print_Area_3_1">NA()</definedName>
    <definedName name="Excel_BuiltIn_Print_Area_3_1_1">NA()</definedName>
    <definedName name="Excel_BuiltIn_Print_Area_3_1_1_1">NA()</definedName>
    <definedName name="Excel_BuiltIn_Print_Area_3_1_1_1_1">NA()</definedName>
    <definedName name="Excel_BuiltIn_Print_Area_3_1_1_1_1_1">NA()</definedName>
    <definedName name="Excel_BuiltIn_Print_Area_3_1_1_1_1_1_1">NA()</definedName>
    <definedName name="Excel_BuiltIn_Print_Area_3_1_1_1_1_1_1_1">"$#REF!.$A$1:$H$258"</definedName>
    <definedName name="Excel_BuiltIn_Print_Area_3_1_1_1_1_1_1_1_1">"$#REF!.$B$1:$H$56"</definedName>
    <definedName name="Excel_BuiltIn_Print_Area_3_1_1_1_1_1_1_1_1_1">"$#REF!.$#REF!$#REF!:$#REF!$#REF!"</definedName>
    <definedName name="Excel_BuiltIn_Print_Area_3_1_1_1_1_1_1_1_1_1_1">"$#REF!.$#REF!$#REF!:$#REF!$#REF!"</definedName>
    <definedName name="Excel_BuiltIn_Print_Area_3_1_1_1_1_1_1_1_1_1_1_1">"$#REF!.$#REF!$#REF!:$#REF!$#REF!"</definedName>
    <definedName name="Excel_BuiltIn_Print_Area_3_1_1_1_1_1_1_1_1_1_1_1_1">"$#REF!.$#REF!$#REF!:$#REF!$#REF!"</definedName>
    <definedName name="Excel_BuiltIn_Print_Area_3_1_1_1_1_1_1_1_1_1_1_1_1_1">"$#REF!.$#REF!$#REF!:$#REF!$#REF!"</definedName>
    <definedName name="Excel_BuiltIn_Print_Area_30" localSheetId="8">#REF!</definedName>
    <definedName name="Excel_BuiltIn_Print_Area_30">#REF!</definedName>
    <definedName name="Excel_BuiltIn_Print_Area_31" localSheetId="8">#REF!</definedName>
    <definedName name="Excel_BuiltIn_Print_Area_31">#REF!</definedName>
    <definedName name="Excel_BuiltIn_Print_Area_32" localSheetId="8">#REF!</definedName>
    <definedName name="Excel_BuiltIn_Print_Area_32">#REF!</definedName>
    <definedName name="Excel_BuiltIn_Print_Area_33" localSheetId="8">#REF!</definedName>
    <definedName name="Excel_BuiltIn_Print_Area_33">#REF!</definedName>
    <definedName name="Excel_BuiltIn_Print_Area_34" localSheetId="8">#REF!</definedName>
    <definedName name="Excel_BuiltIn_Print_Area_34">#REF!</definedName>
    <definedName name="Excel_BuiltIn_Print_Area_4">NA()</definedName>
    <definedName name="Excel_BuiltIn_Print_Area_4_1">NA()</definedName>
    <definedName name="Excel_BuiltIn_Print_Area_4_1_1">NA()</definedName>
    <definedName name="Excel_BuiltIn_Print_Area_4_1_1_1">NA()</definedName>
    <definedName name="Excel_BuiltIn_Print_Area_4_1_1_1_1">NA()</definedName>
    <definedName name="Excel_BuiltIn_Print_Area_4_1_1_1_1_1">NA()</definedName>
    <definedName name="Excel_BuiltIn_Print_Area_4_1_1_1_1_1_1">NA()</definedName>
    <definedName name="Excel_BuiltIn_Print_Area_4_1_1_1_1_1_1_1">NA()</definedName>
    <definedName name="Excel_BuiltIn_Print_Area_4_1_1_1_1_1_1_1_1">"$#REF!.$A$1:$H$258"</definedName>
    <definedName name="Excel_BuiltIn_Print_Area_4_1_1_1_1_1_1_1_1_1">"$#REF!.$B$1:$H$56"</definedName>
    <definedName name="Excel_BuiltIn_Print_Area_4_1_1_1_1_1_1_1_1_1_1">"$#REF!.$#REF!$#REF!:$#REF!$#REF!"</definedName>
    <definedName name="Excel_BuiltIn_Print_Area_4_1_1_1_1_1_1_1_1_1_1_1">"$#REF!.$B$1:$H$1"</definedName>
    <definedName name="Excel_BuiltIn_Print_Area_4_1_1_1_1_1_1_1_1_1_1_1_1">"$#REF!.$#REF!$#REF!:$#REF!$#REF!"</definedName>
    <definedName name="Excel_BuiltIn_Print_Area_4_1_1_1_1_1_1_1_1_1_1_1_1_1">"$#REF!.$#REF!$#REF!:$#REF!$#REF!"</definedName>
    <definedName name="Excel_BuiltIn_Print_Area_4_1_1_1_1_1_1_1_1_1_1_1_1_1_1">"$#REF!.$#REF!$#REF!:$#REF!$#REF!"</definedName>
    <definedName name="Excel_BuiltIn_Print_Area_4_1_1_1_1_1_1_1_1_1_1_1_1_1_1_1">"$#REF!.$#REF!$#REF!:$#REF!$#REF!"</definedName>
    <definedName name="Excel_BuiltIn_Print_Area_5_1">NA()</definedName>
    <definedName name="Excel_BuiltIn_Print_Area_5_1_1">NA()</definedName>
    <definedName name="Excel_BuiltIn_Print_Area_5_1_1_1">NA()</definedName>
    <definedName name="Excel_BuiltIn_Print_Area_5_1_1_1_1">NA()</definedName>
    <definedName name="Excel_BuiltIn_Print_Area_5_1_1_1_1_1">NA()</definedName>
    <definedName name="Excel_BuiltIn_Print_Area_5_1_1_1_1_1_1">NA()</definedName>
    <definedName name="Excel_BuiltIn_Print_Area_5_1_1_1_1_1_1_1">"$#REF!.$A$1:$H$258"</definedName>
    <definedName name="Excel_BuiltIn_Print_Area_5_1_1_1_1_1_1_1_1">"$#REF!.$#REF!$#REF!:$#REF!$#REF!"</definedName>
    <definedName name="Excel_BuiltIn_Print_Area_5_1_1_1_1_1_1_1_1_1">"$#REF!.$#REF!$#REF!:$#REF!$#REF!"</definedName>
    <definedName name="Excel_BuiltIn_Print_Area_5_1_1_1_1_1_1_1_1_1_1">"$#REF!.$#REF!$#REF!:$#REF!$#REF!"</definedName>
    <definedName name="Excel_BuiltIn_Print_Area_5_1_1_1_1_1_1_1_1_1_1_1">"$#REF!.$#REF!$#REF!:$#REF!$#REF!"</definedName>
    <definedName name="Excel_BuiltIn_Print_Area_6">NA()</definedName>
    <definedName name="Excel_BuiltIn_Print_Area_6_1">NA()</definedName>
    <definedName name="Excel_BuiltIn_Print_Area_6_1_1">NA()</definedName>
    <definedName name="Excel_BuiltIn_Print_Area_6_1_1_1">NA()</definedName>
    <definedName name="Excel_BuiltIn_Print_Area_6_1_1_1_1">NA()</definedName>
    <definedName name="Excel_BuiltIn_Print_Area_6_1_1_1_1_1">NA()</definedName>
    <definedName name="Excel_BuiltIn_Print_Area_6_1_1_1_1_1_1">"$#REF!.$A$1:$H$258"</definedName>
    <definedName name="Excel_BuiltIn_Print_Area_6_1_1_1_1_1_1_1">"$#REF!.$A$1:$H$1"</definedName>
    <definedName name="Excel_BuiltIn_Print_Area_6_1_1_1_1_1_1_1_1">"$#REF!.$A$1:$H$1"</definedName>
    <definedName name="Excel_BuiltIn_Print_Area_6_1_1_1_1_1_1_1_1_1">"$#REF!.$#REF!$#REF!:$#REF!$#REF!"</definedName>
    <definedName name="Excel_BuiltIn_Print_Area_6_1_1_1_1_1_1_1_1_1_1">"$#REF!.$#REF!$#REF!:$#REF!$#REF!"</definedName>
    <definedName name="Excel_BuiltIn_Print_Area_6_1_1_1_1_1_1_1_1_1_1_1">"$#REF!.$#REF!$#REF!:$#REF!$#REF!"</definedName>
    <definedName name="Excel_BuiltIn_Print_Area_6_1_1_1_1_1_1_1_1_1_1_1_1">"$#REF!.$#REF!$#REF!:$#REF!$#REF!"</definedName>
    <definedName name="Excel_BuiltIn_Print_Area_6_1_1_1_1_1_1_1_1_1_1_1_1_1">"$#REF!.$#REF!$#REF!:$#REF!$#REF!"</definedName>
    <definedName name="Excel_BuiltIn_Print_Area_6_1_1_1_1_1_1_1_1_1_1_1_1_1_1">"$#REF!.$#REF!$#REF!:$#REF!$#REF!"</definedName>
    <definedName name="Excel_BuiltIn_Print_Area_7">NA()</definedName>
    <definedName name="Excel_BuiltIn_Print_Area_7_1">NA()</definedName>
    <definedName name="Excel_BuiltIn_Print_Area_7_1_1">NA()</definedName>
    <definedName name="Excel_BuiltIn_Print_Area_7_1_1_1">NA()</definedName>
    <definedName name="Excel_BuiltIn_Print_Area_7_1_1_1_1">NA()</definedName>
    <definedName name="Excel_BuiltIn_Print_Area_7_1_1_1_1_1">NA()</definedName>
    <definedName name="Excel_BuiltIn_Print_Area_7_1_1_1_1_1_1">NA()</definedName>
    <definedName name="Excel_BuiltIn_Print_Area_7_1_1_1_1_1_1_1">"$#REF!.$A$1:$H$258"</definedName>
    <definedName name="Excel_BuiltIn_Print_Area_7_1_1_1_1_1_1_1_1">"$#REF!.$#REF!$#REF!:$#REF!$#REF!"</definedName>
    <definedName name="Excel_BuiltIn_Print_Area_7_1_1_1_1_1_1_1_1_1">"$#REF!.$#REF!$#REF!:$#REF!$#REF!"</definedName>
    <definedName name="Excel_BuiltIn_Print_Area_8">NA()</definedName>
    <definedName name="Excel_BuiltIn_Print_Area_8_1">NA()</definedName>
    <definedName name="Excel_BuiltIn_Print_Area_8_1_1">NA()</definedName>
    <definedName name="Excel_BuiltIn_Print_Area_8_1_1_1">NA()</definedName>
    <definedName name="Excel_BuiltIn_Print_Area_8_1_1_1_1">NA()</definedName>
    <definedName name="Excel_BuiltIn_Print_Area_8_1_1_1_1_1">NA()</definedName>
    <definedName name="Excel_BuiltIn_Print_Area_8_1_1_1_1_1_1">"$#REF!.$B$1:$H$258"</definedName>
    <definedName name="Excel_BuiltIn_Print_Area_8_1_1_1_1_1_1_1">"$#REF!.$B$1:$H$1"</definedName>
    <definedName name="Excel_BuiltIn_Print_Area_8_1_1_1_1_1_1_1_1">"$#REF!.$#REF!$#REF!:$#REF!$#REF!"</definedName>
    <definedName name="Excel_BuiltIn_Print_Area_8_1_1_1_1_1_1_1_1_1">"$#REF!.$#REF!$#REF!:$#REF!$#REF!"</definedName>
    <definedName name="Excel_BuiltIn_Print_Area_8_1_1_1_1_1_1_1_1_1_1">"$#REF!.$#REF!$#REF!:$#REF!$#REF!"</definedName>
    <definedName name="Excel_BuiltIn_Print_Area_8_1_1_1_1_1_1_1_1_1_1_1">"$#REF!.$#REF!$#REF!:$#REF!$#REF!"</definedName>
    <definedName name="Excel_BuiltIn_Print_Area_9">NA()</definedName>
    <definedName name="Excel_BuiltIn_Print_Area_9_1">NA()</definedName>
    <definedName name="Excel_BuiltIn_Print_Area_9_1_1">NA()</definedName>
    <definedName name="Excel_BuiltIn_Print_Area_9_1_1_1">NA()</definedName>
    <definedName name="Excel_BuiltIn_Print_Area_9_1_1_1_1">NA()</definedName>
    <definedName name="Excel_BuiltIn_Print_Area_9_1_1_1_1_1">NA()</definedName>
    <definedName name="Excel_BuiltIn_Print_Area_9_1_1_1_1_1_1">"$#REF!.$A$1:$H$258"</definedName>
    <definedName name="Excel_BuiltIn_Print_Area_9_1_1_1_1_1_1_1">"$#REF!.$#REF!$#REF!:$#REF!$#REF!"</definedName>
    <definedName name="Excel_BuiltIn_Print_Area_9_1_1_1_1_1_1_1_1">"$#REF!.$#REF!$#REF!:$#REF!$#REF!"</definedName>
    <definedName name="Excel_BuiltIn_Print_Area_9_1_1_1_1_1_1_1_1_1">"$#REF!.$#REF!$#REF!:$#REF!$#REF!"</definedName>
    <definedName name="Excel_BuiltIn_Print_Titles_1">#REF!</definedName>
    <definedName name="Excel_BuiltIn_Print_Titles_1_1">(#REF!,#REF!)</definedName>
    <definedName name="Excel_BuiltIn_Print_Titles_1_1_1">(#REF!,#REF!)</definedName>
    <definedName name="Excel_BuiltIn_Print_Titles_1_1_1_1">(#REF!,#REF!)</definedName>
    <definedName name="Excel_BuiltIn_Print_Titles_1_1_1_1_1">(#REF!,#REF!)</definedName>
    <definedName name="Excel_BuiltIn_Print_Titles_1_1_1_1_1_1">NA()</definedName>
    <definedName name="Excel_BuiltIn_Print_Titles_1_1_1_1_1_1_1">NA()</definedName>
    <definedName name="Excel_BuiltIn_Print_Titles_1_1_1_1_1_1_1_1">"$#REF!.$A$13:$AMJ$13"</definedName>
    <definedName name="Excel_BuiltIn_Print_Titles_1_1_1_1_1_1_1_1_1">"$#REF!.$A$11:$AMJ$11"</definedName>
    <definedName name="Excel_BuiltIn_Print_Titles_1_1_1_1_1_1_1_1_1_1">"$#REF!.$A$11:$AMJ$11"</definedName>
    <definedName name="Excel_BuiltIn_Print_Titles_1_1_1_1_1_1_1_1_1_1_1">"$#REF!.$#REF!$#REF!:$#REF!$#REF!"</definedName>
    <definedName name="Excel_BuiltIn_Print_Titles_1_1_1_1_1_1_1_1_1_1_1_1">"$#REF!.$#REF!$#REF!:$#REF!$#REF!"</definedName>
    <definedName name="Excel_BuiltIn_Print_Titles_1_1_1_1_1_1_1_1_1_1_1_1_1">"$#REF!.$#REF!$#REF!:$#REF!$#REF!"</definedName>
    <definedName name="Excel_BuiltIn_Print_Titles_1_1_1_1_1_1_1_1_1_1_1_1_1_1">"$#REF!.$#REF!$#REF!:$#REF!$#REF!"</definedName>
    <definedName name="Excel_BuiltIn_Print_Titles_10_1">NA()</definedName>
    <definedName name="Excel_BuiltIn_Print_Titles_10_1_1">NA()</definedName>
    <definedName name="Excel_BuiltIn_Print_Titles_10_1_1_1">NA()</definedName>
    <definedName name="Excel_BuiltIn_Print_Titles_10_1_1_1_1">NA()</definedName>
    <definedName name="Excel_BuiltIn_Print_Titles_10_1_1_1_1_1">"$#REF!.$#REF!$#REF!:$#REF!$#REF!"</definedName>
    <definedName name="Excel_BuiltIn_Print_Titles_11">NA()</definedName>
    <definedName name="Excel_BuiltIn_Print_Titles_11_1">NA()</definedName>
    <definedName name="Excel_BuiltIn_Print_Titles_11_1_1">NA()</definedName>
    <definedName name="Excel_BuiltIn_Print_Titles_11_1_1_1">NA()</definedName>
    <definedName name="Excel_BuiltIn_Print_Titles_11_1_1_1_1">NA()</definedName>
    <definedName name="Excel_BuiltIn_Print_Titles_11_1_1_1_1_1">"$#REF!.$#REF!$#REF!:$#REF!$#REF!"</definedName>
    <definedName name="Excel_BuiltIn_Print_Titles_11_1_1_1_1_1_1">"$#REF!.$#REF!$#REF!:$#REF!$#REF!"</definedName>
    <definedName name="Excel_BuiltIn_Print_Titles_11_1_1_1_1_1_1_1">"$#REF!.$#REF!$#REF!:$#REF!$#REF!"</definedName>
    <definedName name="Excel_BuiltIn_Print_Titles_12_1">NA()</definedName>
    <definedName name="Excel_BuiltIn_Print_Titles_12_1_1">NA()</definedName>
    <definedName name="Excel_BuiltIn_Print_Titles_12_1_1_1">NA()</definedName>
    <definedName name="Excel_BuiltIn_Print_Titles_12_1_1_1_1">NA()</definedName>
    <definedName name="Excel_BuiltIn_Print_Titles_12_1_1_1_1_1">"$#REF!.$#REF!$#REF!:$#REF!$#REF!"</definedName>
    <definedName name="Excel_BuiltIn_Print_Titles_12_1_1_1_1_1_1">"$#REF!.$#REF!$#REF!:$#REF!$#REF!"</definedName>
    <definedName name="Excel_BuiltIn_Print_Titles_12_1_1_1_1_1_1_1">"$#REF!.$#REF!$#REF!:$#REF!$#REF!"</definedName>
    <definedName name="Excel_BuiltIn_Print_Titles_13">NA()</definedName>
    <definedName name="Excel_BuiltIn_Print_Titles_13_1">NA()</definedName>
    <definedName name="Excel_BuiltIn_Print_Titles_13_1_1">NA()</definedName>
    <definedName name="Excel_BuiltIn_Print_Titles_13_1_1_1">NA()</definedName>
    <definedName name="Excel_BuiltIn_Print_Titles_13_1_1_1_1">NA()</definedName>
    <definedName name="Excel_BuiltIn_Print_Titles_14">NA()</definedName>
    <definedName name="Excel_BuiltIn_Print_Titles_14_1">NA()</definedName>
    <definedName name="Excel_BuiltIn_Print_Titles_14_1_1">NA()</definedName>
    <definedName name="Excel_BuiltIn_Print_Titles_14_1_1_1">"$#REF!.$#REF!$#REF!:$#REF!$#REF!"</definedName>
    <definedName name="Excel_BuiltIn_Print_Titles_15">NA()</definedName>
    <definedName name="Excel_BuiltIn_Print_Titles_15_1">NA()</definedName>
    <definedName name="Excel_BuiltIn_Print_Titles_15_1_1">NA()</definedName>
    <definedName name="Excel_BuiltIn_Print_Titles_15_1_1_1">"$#REF!.$#REF!$#REF!:$#REF!$#REF!"</definedName>
    <definedName name="Excel_BuiltIn_Print_Titles_16">NA()</definedName>
    <definedName name="Excel_BuiltIn_Print_Titles_16_1">NA()</definedName>
    <definedName name="Excel_BuiltIn_Print_Titles_16_1_1">"$#REF!.$#REF!$#REF!:$#REF!$#REF!"</definedName>
    <definedName name="Excel_BuiltIn_Print_Titles_17">NA()</definedName>
    <definedName name="Excel_BuiltIn_Print_Titles_18">NA()</definedName>
    <definedName name="Excel_BuiltIn_Print_Titles_18_1">NA()</definedName>
    <definedName name="Excel_BuiltIn_Print_Titles_18_1_1">"$#REF!.$#REF!$#REF!:$#REF!$#REF!"</definedName>
    <definedName name="Excel_BuiltIn_Print_Titles_19_1" localSheetId="8">#REF!</definedName>
    <definedName name="Excel_BuiltIn_Print_Titles_19_1">#REF!</definedName>
    <definedName name="Excel_BuiltIn_Print_Titles_2">NA()</definedName>
    <definedName name="Excel_BuiltIn_Print_Titles_2_1">NA()</definedName>
    <definedName name="Excel_BuiltIn_Print_Titles_2_1_1">(#REF!,#REF!)</definedName>
    <definedName name="Excel_BuiltIn_Print_Titles_2_1_1_1">NA()</definedName>
    <definedName name="Excel_BuiltIn_Print_Titles_2_1_1_1_1">NA()</definedName>
    <definedName name="Excel_BuiltIn_Print_Titles_2_1_1_1_1_1">NA()</definedName>
    <definedName name="Excel_BuiltIn_Print_Titles_2_1_1_1_1_1_1">NA()</definedName>
    <definedName name="Excel_BuiltIn_Print_Titles_2_1_1_1_1_1_1_1">"$#REF!.$A$11:$AMJ$11"</definedName>
    <definedName name="Excel_BuiltIn_Print_Titles_2_1_1_1_1_1_1_1_1">"$#REF!.$#REF!$#REF!:$#REF!$#REF!"</definedName>
    <definedName name="Excel_BuiltIn_Print_Titles_2_1_1_1_1_1_1_1_1_1">"$#REF!.$#REF!$#REF!:$#REF!$#REF!"</definedName>
    <definedName name="Excel_BuiltIn_Print_Titles_2_1_1_1_1_1_1_1_1_1_1">"$#REF!.$#REF!$#REF!:$#REF!$#REF!"</definedName>
    <definedName name="Excel_BuiltIn_Print_Titles_2_1_1_1_1_1_1_1_1_1_1_1">"$#REF!.$#REF!$#REF!:$#REF!$#REF!"</definedName>
    <definedName name="Excel_BuiltIn_Print_Titles_2_1_1_1_1_1_1_1_1_1_1_1_1">"$#REF!.$#REF!$#REF!:$#REF!$#REF!"</definedName>
    <definedName name="Excel_BuiltIn_Print_Titles_20">"$#REF!.$#REF!$#REF!:$#REF!$#REF!"</definedName>
    <definedName name="Excel_BuiltIn_Print_Titles_20_1" localSheetId="8">#REF!</definedName>
    <definedName name="Excel_BuiltIn_Print_Titles_20_1">#REF!</definedName>
    <definedName name="Excel_BuiltIn_Print_Titles_21">"$#REF!.$#REF!$#REF!:$#REF!$#REF!"</definedName>
    <definedName name="Excel_BuiltIn_Print_Titles_24">"$#REF!.$#REF!$#REF!:$#REF!$#REF!"</definedName>
    <definedName name="Excel_BuiltIn_Print_Titles_25" localSheetId="8">#REF!</definedName>
    <definedName name="Excel_BuiltIn_Print_Titles_25">#REF!</definedName>
    <definedName name="Excel_BuiltIn_Print_Titles_27" localSheetId="8">#REF!</definedName>
    <definedName name="Excel_BuiltIn_Print_Titles_27">#REF!</definedName>
    <definedName name="Excel_BuiltIn_Print_Titles_29" localSheetId="8">#REF!</definedName>
    <definedName name="Excel_BuiltIn_Print_Titles_29">#REF!</definedName>
    <definedName name="Excel_BuiltIn_Print_Titles_3_1">NA()</definedName>
    <definedName name="Excel_BuiltIn_Print_Titles_3_1_1">NA()</definedName>
    <definedName name="Excel_BuiltIn_Print_Titles_3_1_1_1">NA()</definedName>
    <definedName name="Excel_BuiltIn_Print_Titles_3_1_1_1_1">NA()</definedName>
    <definedName name="Excel_BuiltIn_Print_Titles_3_1_1_1_1_1">NA()</definedName>
    <definedName name="Excel_BuiltIn_Print_Titles_3_1_1_1_1_1_1">NA()</definedName>
    <definedName name="Excel_BuiltIn_Print_Titles_3_1_1_1_1_1_1_1">"$#REF!.$A$11:$AMJ$11"</definedName>
    <definedName name="Excel_BuiltIn_Print_Titles_3_1_1_1_1_1_1_1_1">"$#REF!.$#REF!$#REF!:$#REF!$#REF!"</definedName>
    <definedName name="Excel_BuiltIn_Print_Titles_3_1_1_1_1_1_1_1_1_1">"$#REF!.$#REF!$#REF!:$#REF!$#REF!"</definedName>
    <definedName name="Excel_BuiltIn_Print_Titles_3_1_1_1_1_1_1_1_1_1_1">"$#REF!.$#REF!$#REF!:$#REF!$#REF!"</definedName>
    <definedName name="Excel_BuiltIn_Print_Titles_3_1_1_1_1_1_1_1_1_1_1_1">"$#REF!.$#REF!$#REF!:$#REF!$#REF!"</definedName>
    <definedName name="Excel_BuiltIn_Print_Titles_30" localSheetId="8">#REF!</definedName>
    <definedName name="Excel_BuiltIn_Print_Titles_30">#REF!</definedName>
    <definedName name="Excel_BuiltIn_Print_Titles_31" localSheetId="8">#REF!</definedName>
    <definedName name="Excel_BuiltIn_Print_Titles_31">#REF!</definedName>
    <definedName name="Excel_BuiltIn_Print_Titles_32" localSheetId="8">#REF!</definedName>
    <definedName name="Excel_BuiltIn_Print_Titles_32">#REF!</definedName>
    <definedName name="Excel_BuiltIn_Print_Titles_33" localSheetId="8">#REF!</definedName>
    <definedName name="Excel_BuiltIn_Print_Titles_33">#REF!</definedName>
    <definedName name="Excel_BuiltIn_Print_Titles_34" localSheetId="8">#REF!</definedName>
    <definedName name="Excel_BuiltIn_Print_Titles_34">#REF!</definedName>
    <definedName name="Excel_BuiltIn_Print_Titles_35" localSheetId="8">#REF!</definedName>
    <definedName name="Excel_BuiltIn_Print_Titles_35">#REF!</definedName>
    <definedName name="Excel_BuiltIn_Print_Titles_4">NA()</definedName>
    <definedName name="Excel_BuiltIn_Print_Titles_4_1">NA()</definedName>
    <definedName name="Excel_BuiltIn_Print_Titles_4_1_1">NA()</definedName>
    <definedName name="Excel_BuiltIn_Print_Titles_4_1_1_1">NA()</definedName>
    <definedName name="Excel_BuiltIn_Print_Titles_4_1_1_1_1">NA()</definedName>
    <definedName name="Excel_BuiltIn_Print_Titles_4_1_1_1_1_1">NA()</definedName>
    <definedName name="Excel_BuiltIn_Print_Titles_4_1_1_1_1_1_1">NA()</definedName>
    <definedName name="Excel_BuiltIn_Print_Titles_4_1_1_1_1_1_1_1">NA()</definedName>
    <definedName name="Excel_BuiltIn_Print_Titles_4_1_1_1_1_1_1_1_1">NA()</definedName>
    <definedName name="Excel_BuiltIn_Print_Titles_4_1_1_1_1_1_1_1_1_1">"$#REF!.$A$11:$AMJ$11"</definedName>
    <definedName name="Excel_BuiltIn_Print_Titles_4_1_1_1_1_1_1_1_1_1_1">"$#REF!.$#REF!$#REF!:$#REF!$#REF!"</definedName>
    <definedName name="Excel_BuiltIn_Print_Titles_4_1_1_1_1_1_1_1_1_1_1_1">"$#REF!.$#REF!$#REF!:$#REF!$#REF!"</definedName>
    <definedName name="Excel_BuiltIn_Print_Titles_4_1_1_1_1_1_1_1_1_1_1_1_1">"$#REF!.$#REF!$#REF!:$#REF!$#REF!"</definedName>
    <definedName name="Excel_BuiltIn_Print_Titles_4_1_1_1_1_1_1_1_1_1_1_1_1_1">"$#REF!.$#REF!$#REF!:$#REF!$#REF!"</definedName>
    <definedName name="Excel_BuiltIn_Print_Titles_4_1_1_1_1_1_1_1_1_1_1_1_1_1_1">"$#REF!.$#REF!$#REF!:$#REF!$#REF!"</definedName>
    <definedName name="Excel_BuiltIn_Print_Titles_4_1_1_1_1_1_1_1_1_1_1_1_1_1_1_1">"$#REF!.$#REF!$#REF!:$#REF!$#REF!"</definedName>
    <definedName name="Excel_BuiltIn_Print_Titles_4_1_1_1_1_1_1_1_1_1_1_1_1_1_1_1_1">"$#REF!.$#REF!$#REF!:$#REF!$#REF!"</definedName>
    <definedName name="Excel_BuiltIn_Print_Titles_5">NA()</definedName>
    <definedName name="Excel_BuiltIn_Print_Titles_5_1">NA()</definedName>
    <definedName name="Excel_BuiltIn_Print_Titles_5_1_1">NA()</definedName>
    <definedName name="Excel_BuiltIn_Print_Titles_5_1_1_1">NA()</definedName>
    <definedName name="Excel_BuiltIn_Print_Titles_5_1_1_1_1">NA()</definedName>
    <definedName name="Excel_BuiltIn_Print_Titles_5_1_1_1_1_1">NA()</definedName>
    <definedName name="Excel_BuiltIn_Print_Titles_5_1_1_1_1_1_1">NA()</definedName>
    <definedName name="Excel_BuiltIn_Print_Titles_5_1_1_1_1_1_1_1">NA()</definedName>
    <definedName name="Excel_BuiltIn_Print_Titles_5_1_1_1_1_1_1_1_1">"$#REF!.$A$11:$AMJ$11"</definedName>
    <definedName name="Excel_BuiltIn_Print_Titles_5_1_1_1_1_1_1_1_1_1">"$#REF!.$#REF!$#REF!:$#REF!$#REF!"</definedName>
    <definedName name="Excel_BuiltIn_Print_Titles_5_1_1_1_1_1_1_1_1_1_1">"$#REF!.$#REF!$#REF!:$#REF!$#REF!"</definedName>
    <definedName name="Excel_BuiltIn_Print_Titles_5_1_1_1_1_1_1_1_1_1_1_1">"$#REF!.$#REF!$#REF!:$#REF!$#REF!"</definedName>
    <definedName name="Excel_BuiltIn_Print_Titles_5_1_1_1_1_1_1_1_1_1_1_1_1">"$#REF!.$#REF!$#REF!:$#REF!$#REF!"</definedName>
    <definedName name="Excel_BuiltIn_Print_Titles_6">NA()</definedName>
    <definedName name="Excel_BuiltIn_Print_Titles_6_1">NA()</definedName>
    <definedName name="Excel_BuiltIn_Print_Titles_6_1_1">NA()</definedName>
    <definedName name="Excel_BuiltIn_Print_Titles_6_1_1_1">NA()</definedName>
    <definedName name="Excel_BuiltIn_Print_Titles_6_1_1_1_1">NA()</definedName>
    <definedName name="Excel_BuiltIn_Print_Titles_6_1_1_1_1_1">NA()</definedName>
    <definedName name="Excel_BuiltIn_Print_Titles_6_1_1_1_1_1_1">"$#REF!.$A$11:$AMJ$11"</definedName>
    <definedName name="Excel_BuiltIn_Print_Titles_6_1_1_1_1_1_1_1">"$#REF!.$#REF!$#REF!:$#REF!$#REF!"</definedName>
    <definedName name="Excel_BuiltIn_Print_Titles_6_1_1_1_1_1_1_1_1">"$#REF!.$#REF!$#REF!:$#REF!$#REF!"</definedName>
    <definedName name="Excel_BuiltIn_Print_Titles_6_1_1_1_1_1_1_1_1_1">"$#REF!.$#REF!$#REF!:$#REF!$#REF!"</definedName>
    <definedName name="Excel_BuiltIn_Print_Titles_6_1_1_1_1_1_1_1_1_1_1">"$#REF!.$#REF!$#REF!:$#REF!$#REF!"</definedName>
    <definedName name="Excel_BuiltIn_Print_Titles_6_1_1_1_1_1_1_1_1_1_1_1">"$#REF!.$#REF!$#REF!:$#REF!$#REF!"</definedName>
    <definedName name="Excel_BuiltIn_Print_Titles_6_1_1_1_1_1_1_1_1_1_1_1_1">"$#REF!.$#REF!$#REF!:$#REF!$#REF!"</definedName>
    <definedName name="Excel_BuiltIn_Print_Titles_7">NA()</definedName>
    <definedName name="Excel_BuiltIn_Print_Titles_7_1">NA()</definedName>
    <definedName name="Excel_BuiltIn_Print_Titles_7_1_1">NA()</definedName>
    <definedName name="Excel_BuiltIn_Print_Titles_7_1_1_1">NA()</definedName>
    <definedName name="Excel_BuiltIn_Print_Titles_7_1_1_1_1">NA()</definedName>
    <definedName name="Excel_BuiltIn_Print_Titles_7_1_1_1_1_1">NA()</definedName>
    <definedName name="Excel_BuiltIn_Print_Titles_7_1_1_1_1_1_1">NA()</definedName>
    <definedName name="Excel_BuiltIn_Print_Titles_7_1_1_1_1_1_1_1">"$#REF!.$A$11:$AMJ$11"</definedName>
    <definedName name="Excel_BuiltIn_Print_Titles_7_1_1_1_1_1_1_1_1">"$#REF!.$#REF!$#REF!:$#REF!$#REF!"</definedName>
    <definedName name="Excel_BuiltIn_Print_Titles_7_1_1_1_1_1_1_1_1_1">"$#REF!.$#REF!$#REF!:$#REF!$#REF!"</definedName>
    <definedName name="Excel_BuiltIn_Print_Titles_7_1_1_1_1_1_1_1_1_1_1">"$#REF!.$#REF!$#REF!:$#REF!$#REF!"</definedName>
    <definedName name="Excel_BuiltIn_Print_Titles_7_1_1_1_1_1_1_1_1_1_1_1">"$#REF!.$#REF!$#REF!:$#REF!$#REF!"</definedName>
    <definedName name="Excel_BuiltIn_Print_Titles_8">NA()</definedName>
    <definedName name="Excel_BuiltIn_Print_Titles_8_1">NA()</definedName>
    <definedName name="Excel_BuiltIn_Print_Titles_8_1_1">NA()</definedName>
    <definedName name="Excel_BuiltIn_Print_Titles_8_1_1_1">NA()</definedName>
    <definedName name="Excel_BuiltIn_Print_Titles_8_1_1_1_1">NA()</definedName>
    <definedName name="Excel_BuiltIn_Print_Titles_8_1_1_1_1_1">NA()</definedName>
    <definedName name="Excel_BuiltIn_Print_Titles_8_1_1_1_1_1_1">"$#REF!.$A$11:$AMJ$11"</definedName>
    <definedName name="Excel_BuiltIn_Print_Titles_8_1_1_1_1_1_1_1">"$#REF!.$#REF!$#REF!:$#REF!$#REF!"</definedName>
    <definedName name="Excel_BuiltIn_Print_Titles_8_1_1_1_1_1_1_1_1">"$#REF!.$#REF!$#REF!:$#REF!$#REF!"</definedName>
    <definedName name="Excel_BuiltIn_Print_Titles_8_1_1_1_1_1_1_1_1_1">"$#REF!.$#REF!$#REF!:$#REF!$#REF!"</definedName>
    <definedName name="Excel_BuiltIn_Print_Titles_9">NA()</definedName>
    <definedName name="Excel_BuiltIn_Print_Titles_9_1">NA()</definedName>
    <definedName name="Excel_BuiltIn_Print_Titles_9_1_1">NA()</definedName>
    <definedName name="Excel_BuiltIn_Print_Titles_9_1_1_1">NA()</definedName>
    <definedName name="Excel_BuiltIn_Print_Titles_9_1_1_1_1">NA()</definedName>
    <definedName name="Excel_BuiltIn_Print_Titles_9_1_1_1_1_1">NA()</definedName>
    <definedName name="Excel_BuiltIn_Print_Titles_9_1_1_1_1_1_1">"$#REF!.$A$11:$AMJ$11"</definedName>
    <definedName name="Excel_BuiltIn_Print_Titles_9_1_1_1_1_1_1_1">"$#REF!.$#REF!$#REF!:$#REF!$#REF!"</definedName>
    <definedName name="EXPOSIÇÃO_C_18" localSheetId="8">#REF!</definedName>
    <definedName name="EXPOSIÇÃO_C_18">#REF!</definedName>
    <definedName name="EXPOSIÇÃO_C_20" localSheetId="8">#REF!</definedName>
    <definedName name="EXPOSIÇÃO_C_20">#REF!</definedName>
    <definedName name="EXPOSIÇÃO_C_22" localSheetId="8">#REF!</definedName>
    <definedName name="EXPOSIÇÃO_C_22">#REF!</definedName>
    <definedName name="EXPOSIÇÃO_C_24" localSheetId="8">#REF!</definedName>
    <definedName name="EXPOSIÇÃO_C_24">#REF!</definedName>
    <definedName name="EXPOSIÇÃO_C_26" localSheetId="8">#REF!</definedName>
    <definedName name="EXPOSIÇÃO_C_26">#REF!</definedName>
    <definedName name="F_01_120">#REF!</definedName>
    <definedName name="F_01_150">#REF!</definedName>
    <definedName name="F_01_180">#REF!</definedName>
    <definedName name="F_01_210">#REF!</definedName>
    <definedName name="F_01_240">#REF!</definedName>
    <definedName name="F_01_270">#REF!</definedName>
    <definedName name="F_01_30">#REF!</definedName>
    <definedName name="F_01_300">#REF!</definedName>
    <definedName name="F_01_330">#REF!</definedName>
    <definedName name="F_01_360">#REF!</definedName>
    <definedName name="F_01_390">#REF!</definedName>
    <definedName name="F_01_420">#REF!</definedName>
    <definedName name="F_01_450">#REF!</definedName>
    <definedName name="F_01_480">#REF!</definedName>
    <definedName name="F_01_510">#REF!</definedName>
    <definedName name="F_01_540">#REF!</definedName>
    <definedName name="F_01_570">#REF!</definedName>
    <definedName name="F_01_60">#REF!</definedName>
    <definedName name="F_01_600">#REF!</definedName>
    <definedName name="F_01_630">#REF!</definedName>
    <definedName name="F_01_660">#REF!</definedName>
    <definedName name="F_01_690">#REF!</definedName>
    <definedName name="F_01_720">#REF!</definedName>
    <definedName name="F_01_90">#REF!</definedName>
    <definedName name="F_02_120">#REF!</definedName>
    <definedName name="F_02_150">#REF!</definedName>
    <definedName name="F_02_180">#REF!</definedName>
    <definedName name="F_02_210">#REF!</definedName>
    <definedName name="F_02_240">#REF!</definedName>
    <definedName name="F_02_270">#REF!</definedName>
    <definedName name="F_02_30">#REF!</definedName>
    <definedName name="F_02_300">#REF!</definedName>
    <definedName name="F_02_330">#REF!</definedName>
    <definedName name="F_02_360">#REF!</definedName>
    <definedName name="F_02_390">#REF!</definedName>
    <definedName name="F_02_420">#REF!</definedName>
    <definedName name="F_02_450">#REF!</definedName>
    <definedName name="F_02_480">#REF!</definedName>
    <definedName name="F_02_510">#REF!</definedName>
    <definedName name="F_02_540">#REF!</definedName>
    <definedName name="F_02_570">#REF!</definedName>
    <definedName name="F_02_60">#REF!</definedName>
    <definedName name="F_02_600">#REF!</definedName>
    <definedName name="F_02_630">#REF!</definedName>
    <definedName name="F_02_660">#REF!</definedName>
    <definedName name="F_02_690">#REF!</definedName>
    <definedName name="F_02_720">#REF!</definedName>
    <definedName name="F_02_90">#REF!</definedName>
    <definedName name="F_03_120">#REF!</definedName>
    <definedName name="F_03_150">#REF!</definedName>
    <definedName name="F_03_180">#REF!</definedName>
    <definedName name="F_03_210">#REF!</definedName>
    <definedName name="F_03_240">#REF!</definedName>
    <definedName name="F_03_270">#REF!</definedName>
    <definedName name="F_03_30">#REF!</definedName>
    <definedName name="F_03_300">#REF!</definedName>
    <definedName name="F_03_330">#REF!</definedName>
    <definedName name="F_03_360">#REF!</definedName>
    <definedName name="F_03_390">#REF!</definedName>
    <definedName name="F_03_420">#REF!</definedName>
    <definedName name="F_03_450">#REF!</definedName>
    <definedName name="F_03_480">#REF!</definedName>
    <definedName name="F_03_510">#REF!</definedName>
    <definedName name="F_03_540">#REF!</definedName>
    <definedName name="F_03_570">#REF!</definedName>
    <definedName name="F_03_60">#REF!</definedName>
    <definedName name="F_03_600">#REF!</definedName>
    <definedName name="F_03_630">#REF!</definedName>
    <definedName name="F_03_660">#REF!</definedName>
    <definedName name="F_03_690">#REF!</definedName>
    <definedName name="F_03_720">#REF!</definedName>
    <definedName name="F_03_90">#REF!</definedName>
    <definedName name="F_04_120">#REF!</definedName>
    <definedName name="F_04_150">#REF!</definedName>
    <definedName name="F_04_180">#REF!</definedName>
    <definedName name="F_04_210">#REF!</definedName>
    <definedName name="F_04_240">#REF!</definedName>
    <definedName name="F_04_270">#REF!</definedName>
    <definedName name="F_04_30">#REF!</definedName>
    <definedName name="F_04_300">#REF!</definedName>
    <definedName name="F_04_330">#REF!</definedName>
    <definedName name="F_04_360">#REF!</definedName>
    <definedName name="F_04_390">#REF!</definedName>
    <definedName name="F_04_420">#REF!</definedName>
    <definedName name="F_04_450">#REF!</definedName>
    <definedName name="F_04_480">#REF!</definedName>
    <definedName name="F_04_510">#REF!</definedName>
    <definedName name="F_04_540">#REF!</definedName>
    <definedName name="F_04_570">#REF!</definedName>
    <definedName name="F_04_60">#REF!</definedName>
    <definedName name="F_04_600">#REF!</definedName>
    <definedName name="F_04_630">#REF!</definedName>
    <definedName name="F_04_660">#REF!</definedName>
    <definedName name="F_04_690">#REF!</definedName>
    <definedName name="F_04_720">#REF!</definedName>
    <definedName name="F_04_90">#REF!</definedName>
    <definedName name="F_05_120">#REF!</definedName>
    <definedName name="F_05_150">#REF!</definedName>
    <definedName name="F_05_180">#REF!</definedName>
    <definedName name="F_05_210">#REF!</definedName>
    <definedName name="F_05_240">#REF!</definedName>
    <definedName name="F_05_270">#REF!</definedName>
    <definedName name="F_05_30">#REF!</definedName>
    <definedName name="F_05_300">#REF!</definedName>
    <definedName name="F_05_330">#REF!</definedName>
    <definedName name="F_05_360">#REF!</definedName>
    <definedName name="F_05_390">#REF!</definedName>
    <definedName name="F_05_420">#REF!</definedName>
    <definedName name="F_05_450">#REF!</definedName>
    <definedName name="F_05_480">#REF!</definedName>
    <definedName name="f_05_481">#REF!</definedName>
    <definedName name="F_05_510">#REF!</definedName>
    <definedName name="F_05_540">#REF!</definedName>
    <definedName name="F_05_570">#REF!</definedName>
    <definedName name="F_05_60">#REF!</definedName>
    <definedName name="F_05_600">#REF!</definedName>
    <definedName name="F_05_630">#REF!</definedName>
    <definedName name="F_05_660">#REF!</definedName>
    <definedName name="F_05_690">#REF!</definedName>
    <definedName name="F_05_720">#REF!</definedName>
    <definedName name="F_05_90">#REF!</definedName>
    <definedName name="F_06_120">#REF!</definedName>
    <definedName name="F_06_150">#REF!</definedName>
    <definedName name="F_06_180">#REF!</definedName>
    <definedName name="F_06_210">#REF!</definedName>
    <definedName name="F_06_240">#REF!</definedName>
    <definedName name="F_06_270">#REF!</definedName>
    <definedName name="F_06_30">#REF!</definedName>
    <definedName name="F_06_300">#REF!</definedName>
    <definedName name="F_06_330">#REF!</definedName>
    <definedName name="F_06_360">#REF!</definedName>
    <definedName name="F_06_390">#REF!</definedName>
    <definedName name="F_06_420">#REF!</definedName>
    <definedName name="F_06_450">#REF!</definedName>
    <definedName name="F_06_480">#REF!</definedName>
    <definedName name="F_06_510">#REF!</definedName>
    <definedName name="F_06_540">#REF!</definedName>
    <definedName name="F_06_570">#REF!</definedName>
    <definedName name="F_06_60">#REF!</definedName>
    <definedName name="F_06_600">#REF!</definedName>
    <definedName name="F_06_630">#REF!</definedName>
    <definedName name="F_06_660">#REF!</definedName>
    <definedName name="F_06_690">#REF!</definedName>
    <definedName name="F_06_720">#REF!</definedName>
    <definedName name="F_06_90">#REF!</definedName>
    <definedName name="F_07_120">#REF!</definedName>
    <definedName name="F_07_150">#REF!</definedName>
    <definedName name="F_07_180">#REF!</definedName>
    <definedName name="F_07_210">#REF!</definedName>
    <definedName name="F_07_240">#REF!</definedName>
    <definedName name="F_07_270">#REF!</definedName>
    <definedName name="F_07_30">#REF!</definedName>
    <definedName name="F_07_300">#REF!</definedName>
    <definedName name="F_07_330">#REF!</definedName>
    <definedName name="F_07_360">#REF!</definedName>
    <definedName name="F_07_390">#REF!</definedName>
    <definedName name="F_07_420">#REF!</definedName>
    <definedName name="F_07_450">#REF!</definedName>
    <definedName name="F_07_480">#REF!</definedName>
    <definedName name="F_07_510">#REF!</definedName>
    <definedName name="F_07_540">#REF!</definedName>
    <definedName name="F_07_570">#REF!</definedName>
    <definedName name="F_07_60">#REF!</definedName>
    <definedName name="F_07_600">#REF!</definedName>
    <definedName name="F_07_630">#REF!</definedName>
    <definedName name="F_07_660">#REF!</definedName>
    <definedName name="F_07_690">#REF!</definedName>
    <definedName name="F_07_720">#REF!</definedName>
    <definedName name="F_07_90">#REF!</definedName>
    <definedName name="F_08_120">#REF!</definedName>
    <definedName name="F_08_150">#REF!</definedName>
    <definedName name="F_08_180">#REF!</definedName>
    <definedName name="F_08_210">#REF!</definedName>
    <definedName name="F_08_240">#REF!</definedName>
    <definedName name="F_08_270">#REF!</definedName>
    <definedName name="F_08_30">#REF!</definedName>
    <definedName name="F_08_300">#REF!</definedName>
    <definedName name="F_08_330">#REF!</definedName>
    <definedName name="F_08_360">#REF!</definedName>
    <definedName name="F_08_390">#REF!</definedName>
    <definedName name="F_08_420">#REF!</definedName>
    <definedName name="F_08_450">#REF!</definedName>
    <definedName name="F_08_480">#REF!</definedName>
    <definedName name="F_08_510">#REF!</definedName>
    <definedName name="F_08_540">#REF!</definedName>
    <definedName name="F_08_570">#REF!</definedName>
    <definedName name="F_08_60">#REF!</definedName>
    <definedName name="F_08_600">#REF!</definedName>
    <definedName name="F_08_630">#REF!</definedName>
    <definedName name="F_08_660">#REF!</definedName>
    <definedName name="F_08_690">#REF!</definedName>
    <definedName name="F_08_720">#REF!</definedName>
    <definedName name="F_08_90">#REF!</definedName>
    <definedName name="F_09_120">#REF!</definedName>
    <definedName name="F_09_150">#REF!</definedName>
    <definedName name="F_09_180">#REF!</definedName>
    <definedName name="F_09_210">#REF!</definedName>
    <definedName name="F_09_240">#REF!</definedName>
    <definedName name="F_09_270">#REF!</definedName>
    <definedName name="F_09_30">#REF!</definedName>
    <definedName name="F_09_300">#REF!</definedName>
    <definedName name="F_09_330">#REF!</definedName>
    <definedName name="F_09_360">#REF!</definedName>
    <definedName name="F_09_390">#REF!</definedName>
    <definedName name="F_09_420">#REF!</definedName>
    <definedName name="F_09_450">#REF!</definedName>
    <definedName name="F_09_480">#REF!</definedName>
    <definedName name="F_09_510">#REF!</definedName>
    <definedName name="F_09_540">#REF!</definedName>
    <definedName name="F_09_570">#REF!</definedName>
    <definedName name="F_09_60">#REF!</definedName>
    <definedName name="F_09_600">#REF!</definedName>
    <definedName name="F_09_630">#REF!</definedName>
    <definedName name="F_09_660">#REF!</definedName>
    <definedName name="F_09_690">#REF!</definedName>
    <definedName name="F_09_720">#REF!</definedName>
    <definedName name="F_09_90">#REF!</definedName>
    <definedName name="F_10_120">#REF!</definedName>
    <definedName name="F_10_150">#REF!</definedName>
    <definedName name="F_10_180">#REF!</definedName>
    <definedName name="F_10_210">#REF!</definedName>
    <definedName name="F_10_240">#REF!</definedName>
    <definedName name="F_10_270">#REF!</definedName>
    <definedName name="F_10_30">#REF!</definedName>
    <definedName name="F_10_300">#REF!</definedName>
    <definedName name="F_10_330">#REF!</definedName>
    <definedName name="F_10_360">#REF!</definedName>
    <definedName name="F_10_390">#REF!</definedName>
    <definedName name="F_10_420">#REF!</definedName>
    <definedName name="F_10_450">#REF!</definedName>
    <definedName name="F_10_480">#REF!</definedName>
    <definedName name="F_10_510">#REF!</definedName>
    <definedName name="F_10_540">#REF!</definedName>
    <definedName name="F_10_570">#REF!</definedName>
    <definedName name="F_10_60">#REF!</definedName>
    <definedName name="F_10_600">#REF!</definedName>
    <definedName name="F_10_630">#REF!</definedName>
    <definedName name="F_10_660">#REF!</definedName>
    <definedName name="F_10_690">#REF!</definedName>
    <definedName name="F_10_720">#REF!</definedName>
    <definedName name="F_10_90">#REF!</definedName>
    <definedName name="F_11_120">#REF!</definedName>
    <definedName name="F_11_150">#REF!</definedName>
    <definedName name="F_11_180">#REF!</definedName>
    <definedName name="F_11_210">#REF!</definedName>
    <definedName name="F_11_240">#REF!</definedName>
    <definedName name="F_11_270">#REF!</definedName>
    <definedName name="F_11_30">#REF!</definedName>
    <definedName name="F_11_300">#REF!</definedName>
    <definedName name="F_11_330">#REF!</definedName>
    <definedName name="F_11_360">#REF!</definedName>
    <definedName name="F_11_390">#REF!</definedName>
    <definedName name="F_11_420">#REF!</definedName>
    <definedName name="F_11_450">#REF!</definedName>
    <definedName name="F_11_480">#REF!</definedName>
    <definedName name="F_11_510">#REF!</definedName>
    <definedName name="F_11_540">#REF!</definedName>
    <definedName name="F_11_570">#REF!</definedName>
    <definedName name="F_11_60">#REF!</definedName>
    <definedName name="F_11_600">#REF!</definedName>
    <definedName name="F_11_630">#REF!</definedName>
    <definedName name="F_11_660">#REF!</definedName>
    <definedName name="F_11_690">#REF!</definedName>
    <definedName name="F_11_720">#REF!</definedName>
    <definedName name="F_11_90">#REF!</definedName>
    <definedName name="F_12_120">#REF!</definedName>
    <definedName name="F_12_150">#REF!</definedName>
    <definedName name="F_12_180">#REF!</definedName>
    <definedName name="F_12_210">#REF!</definedName>
    <definedName name="F_12_240">#REF!</definedName>
    <definedName name="F_12_270">#REF!</definedName>
    <definedName name="F_12_30">#REF!</definedName>
    <definedName name="F_12_300">#REF!</definedName>
    <definedName name="F_12_330">#REF!</definedName>
    <definedName name="F_12_360">#REF!</definedName>
    <definedName name="F_12_390">#REF!</definedName>
    <definedName name="F_12_420">#REF!</definedName>
    <definedName name="F_12_450">#REF!</definedName>
    <definedName name="F_12_480">#REF!</definedName>
    <definedName name="F_12_510">#REF!</definedName>
    <definedName name="F_12_540">#REF!</definedName>
    <definedName name="F_12_570">#REF!</definedName>
    <definedName name="F_12_60">#REF!</definedName>
    <definedName name="F_12_600">#REF!</definedName>
    <definedName name="F_12_630">#REF!</definedName>
    <definedName name="F_12_660">#REF!</definedName>
    <definedName name="F_12_690">#REF!</definedName>
    <definedName name="F_12_720">#REF!</definedName>
    <definedName name="F_12_90">#REF!</definedName>
    <definedName name="F_13_120">#REF!</definedName>
    <definedName name="F_13_150">#REF!</definedName>
    <definedName name="F_13_180">#REF!</definedName>
    <definedName name="F_13_210">#REF!</definedName>
    <definedName name="F_13_240">#REF!</definedName>
    <definedName name="F_13_270">#REF!</definedName>
    <definedName name="F_13_30">#REF!</definedName>
    <definedName name="F_13_300">#REF!</definedName>
    <definedName name="F_13_330">#REF!</definedName>
    <definedName name="F_13_360">#REF!</definedName>
    <definedName name="F_13_390">#REF!</definedName>
    <definedName name="F_13_420">#REF!</definedName>
    <definedName name="F_13_450">#REF!</definedName>
    <definedName name="F_13_480">#REF!</definedName>
    <definedName name="F_13_510">#REF!</definedName>
    <definedName name="F_13_540">#REF!</definedName>
    <definedName name="F_13_570">#REF!</definedName>
    <definedName name="F_13_60">#REF!</definedName>
    <definedName name="F_13_600">#REF!</definedName>
    <definedName name="F_13_630">#REF!</definedName>
    <definedName name="F_13_660">#REF!</definedName>
    <definedName name="F_13_690">#REF!</definedName>
    <definedName name="F_13_720">#REF!</definedName>
    <definedName name="F_13_90">#REF!</definedName>
    <definedName name="F_14_120">#REF!</definedName>
    <definedName name="F_14_150">#REF!</definedName>
    <definedName name="F_14_180">#REF!</definedName>
    <definedName name="F_14_210">#REF!</definedName>
    <definedName name="F_14_240">#REF!</definedName>
    <definedName name="F_14_270">#REF!</definedName>
    <definedName name="F_14_30">#REF!</definedName>
    <definedName name="F_14_300">#REF!</definedName>
    <definedName name="F_14_330">#REF!</definedName>
    <definedName name="F_14_360">#REF!</definedName>
    <definedName name="F_14_390">#REF!</definedName>
    <definedName name="F_14_420">#REF!</definedName>
    <definedName name="F_14_450">#REF!</definedName>
    <definedName name="F_14_480">#REF!</definedName>
    <definedName name="F_14_510">#REF!</definedName>
    <definedName name="F_14_540">#REF!</definedName>
    <definedName name="F_14_570">#REF!</definedName>
    <definedName name="F_14_60">#REF!</definedName>
    <definedName name="F_14_600">#REF!</definedName>
    <definedName name="F_14_630">#REF!</definedName>
    <definedName name="F_14_660">#REF!</definedName>
    <definedName name="F_14_690">#REF!</definedName>
    <definedName name="F_14_720">#REF!</definedName>
    <definedName name="F_14_90">#REF!</definedName>
    <definedName name="F_15_120">#REF!</definedName>
    <definedName name="F_15_150">#REF!</definedName>
    <definedName name="F_15_180">#REF!</definedName>
    <definedName name="F_15_210">#REF!</definedName>
    <definedName name="F_15_240">#REF!</definedName>
    <definedName name="F_15_270">#REF!</definedName>
    <definedName name="F_15_30">#REF!</definedName>
    <definedName name="F_15_300">#REF!</definedName>
    <definedName name="F_15_330">#REF!</definedName>
    <definedName name="F_15_360">#REF!</definedName>
    <definedName name="F_15_390">#REF!</definedName>
    <definedName name="F_15_420">#REF!</definedName>
    <definedName name="F_15_450">#REF!</definedName>
    <definedName name="F_15_480">#REF!</definedName>
    <definedName name="F_15_510">#REF!</definedName>
    <definedName name="F_15_540">#REF!</definedName>
    <definedName name="F_15_570">#REF!</definedName>
    <definedName name="F_15_60">#REF!</definedName>
    <definedName name="F_15_600">#REF!</definedName>
    <definedName name="F_15_630">#REF!</definedName>
    <definedName name="F_15_660">#REF!</definedName>
    <definedName name="F_15_690">#REF!</definedName>
    <definedName name="F_15_720">#REF!</definedName>
    <definedName name="F_15_90">#REF!</definedName>
    <definedName name="F_16_120">#REF!</definedName>
    <definedName name="F_16_150">#REF!</definedName>
    <definedName name="F_16_180">#REF!</definedName>
    <definedName name="F_16_210">#REF!</definedName>
    <definedName name="F_16_240">#REF!</definedName>
    <definedName name="F_16_270">#REF!</definedName>
    <definedName name="F_16_30">#REF!</definedName>
    <definedName name="F_16_300">#REF!</definedName>
    <definedName name="F_16_330">#REF!</definedName>
    <definedName name="F_16_360">#REF!</definedName>
    <definedName name="F_16_390">#REF!</definedName>
    <definedName name="F_16_420">#REF!</definedName>
    <definedName name="F_16_450">#REF!</definedName>
    <definedName name="F_16_480">#REF!</definedName>
    <definedName name="F_16_510">#REF!</definedName>
    <definedName name="F_16_540">#REF!</definedName>
    <definedName name="F_16_570">#REF!</definedName>
    <definedName name="F_16_60">#REF!</definedName>
    <definedName name="F_16_600">#REF!</definedName>
    <definedName name="F_16_630">#REF!</definedName>
    <definedName name="F_16_660">#REF!</definedName>
    <definedName name="F_16_690">#REF!</definedName>
    <definedName name="F_16_720">#REF!</definedName>
    <definedName name="F_16_90">#REF!</definedName>
    <definedName name="F_17_120">#REF!</definedName>
    <definedName name="F_17_150">#REF!</definedName>
    <definedName name="F_17_180">#REF!</definedName>
    <definedName name="F_17_210">#REF!</definedName>
    <definedName name="F_17_240">#REF!</definedName>
    <definedName name="F_17_270">#REF!</definedName>
    <definedName name="F_17_30">#REF!</definedName>
    <definedName name="F_17_300">#REF!</definedName>
    <definedName name="F_17_330">#REF!</definedName>
    <definedName name="F_17_360">#REF!</definedName>
    <definedName name="F_17_390">#REF!</definedName>
    <definedName name="F_17_420">#REF!</definedName>
    <definedName name="F_17_450">#REF!</definedName>
    <definedName name="F_17_480">#REF!</definedName>
    <definedName name="F_17_510">#REF!</definedName>
    <definedName name="F_17_540">#REF!</definedName>
    <definedName name="F_17_570">#REF!</definedName>
    <definedName name="F_17_60">#REF!</definedName>
    <definedName name="F_17_600">#REF!</definedName>
    <definedName name="F_17_630">#REF!</definedName>
    <definedName name="F_17_660">#REF!</definedName>
    <definedName name="F_17_690">#REF!</definedName>
    <definedName name="F_17_720">#REF!</definedName>
    <definedName name="F_17_90">#REF!</definedName>
    <definedName name="F_18_120">#REF!</definedName>
    <definedName name="F_18_150">#REF!</definedName>
    <definedName name="F_18_180">#REF!</definedName>
    <definedName name="F_18_210">#REF!</definedName>
    <definedName name="F_18_240">#REF!</definedName>
    <definedName name="F_18_270">#REF!</definedName>
    <definedName name="F_18_30">#REF!</definedName>
    <definedName name="F_18_300">#REF!</definedName>
    <definedName name="F_18_330">#REF!</definedName>
    <definedName name="F_18_360">#REF!</definedName>
    <definedName name="F_18_390">#REF!</definedName>
    <definedName name="F_18_420">#REF!</definedName>
    <definedName name="F_18_450">#REF!</definedName>
    <definedName name="F_18_480">#REF!</definedName>
    <definedName name="F_18_510">#REF!</definedName>
    <definedName name="F_18_540">#REF!</definedName>
    <definedName name="F_18_570">#REF!</definedName>
    <definedName name="F_18_60">#REF!</definedName>
    <definedName name="F_18_600">#REF!</definedName>
    <definedName name="F_18_630">#REF!</definedName>
    <definedName name="F_18_660">#REF!</definedName>
    <definedName name="F_18_690">#REF!</definedName>
    <definedName name="F_18_720">#REF!</definedName>
    <definedName name="F_18_90">#REF!</definedName>
    <definedName name="F_19_120">#REF!</definedName>
    <definedName name="F_19_150">#REF!</definedName>
    <definedName name="F_19_180">#REF!</definedName>
    <definedName name="F_19_210">#REF!</definedName>
    <definedName name="F_19_240">#REF!</definedName>
    <definedName name="F_19_270">#REF!</definedName>
    <definedName name="F_19_30">#REF!</definedName>
    <definedName name="F_19_300">#REF!</definedName>
    <definedName name="F_19_330">#REF!</definedName>
    <definedName name="F_19_360">#REF!</definedName>
    <definedName name="F_19_390">#REF!</definedName>
    <definedName name="F_19_420">#REF!</definedName>
    <definedName name="F_19_450">#REF!</definedName>
    <definedName name="F_19_480">#REF!</definedName>
    <definedName name="F_19_510">#REF!</definedName>
    <definedName name="F_19_540">#REF!</definedName>
    <definedName name="F_19_570">#REF!</definedName>
    <definedName name="F_19_60">#REF!</definedName>
    <definedName name="F_19_600">#REF!</definedName>
    <definedName name="F_19_630">#REF!</definedName>
    <definedName name="F_19_660">#REF!</definedName>
    <definedName name="F_19_690">#REF!</definedName>
    <definedName name="F_19_720">#REF!</definedName>
    <definedName name="F_19_90">#REF!</definedName>
    <definedName name="F_20_120">#REF!</definedName>
    <definedName name="F_20_150">#REF!</definedName>
    <definedName name="F_20_180">#REF!</definedName>
    <definedName name="F_20_210">#REF!</definedName>
    <definedName name="F_20_240">#REF!</definedName>
    <definedName name="F_20_270">#REF!</definedName>
    <definedName name="F_20_30">#REF!</definedName>
    <definedName name="F_20_300">#REF!</definedName>
    <definedName name="F_20_330">#REF!</definedName>
    <definedName name="F_20_360">#REF!</definedName>
    <definedName name="F_20_390">#REF!</definedName>
    <definedName name="F_20_420">#REF!</definedName>
    <definedName name="F_20_450">#REF!</definedName>
    <definedName name="F_20_480">#REF!</definedName>
    <definedName name="F_20_510">#REF!</definedName>
    <definedName name="F_20_540">#REF!</definedName>
    <definedName name="F_20_570">#REF!</definedName>
    <definedName name="F_20_60">#REF!</definedName>
    <definedName name="F_20_600">#REF!</definedName>
    <definedName name="F_20_630">#REF!</definedName>
    <definedName name="F_20_660">#REF!</definedName>
    <definedName name="F_20_690">#REF!</definedName>
    <definedName name="F_20_720">#REF!</definedName>
    <definedName name="F_20_90">#REF!</definedName>
    <definedName name="F_21_120">#REF!</definedName>
    <definedName name="F_21_150">#REF!</definedName>
    <definedName name="F_21_180">#REF!</definedName>
    <definedName name="F_21_210">#REF!</definedName>
    <definedName name="F_21_240">#REF!</definedName>
    <definedName name="F_21_270">#REF!</definedName>
    <definedName name="F_21_30">#REF!</definedName>
    <definedName name="F_21_300">#REF!</definedName>
    <definedName name="F_21_330">#REF!</definedName>
    <definedName name="F_21_360">#REF!</definedName>
    <definedName name="F_21_390">#REF!</definedName>
    <definedName name="F_21_420">#REF!</definedName>
    <definedName name="F_21_450">#REF!</definedName>
    <definedName name="F_21_480">#REF!</definedName>
    <definedName name="F_21_510">#REF!</definedName>
    <definedName name="F_21_540">#REF!</definedName>
    <definedName name="F_21_570">#REF!</definedName>
    <definedName name="F_21_60">#REF!</definedName>
    <definedName name="F_21_600">#REF!</definedName>
    <definedName name="F_21_630">#REF!</definedName>
    <definedName name="F_21_660">#REF!</definedName>
    <definedName name="F_21_690">#REF!</definedName>
    <definedName name="F_21_720">#REF!</definedName>
    <definedName name="F_21_90">#REF!</definedName>
    <definedName name="F_22_120">#REF!</definedName>
    <definedName name="F_22_150">#REF!</definedName>
    <definedName name="F_22_180">#REF!</definedName>
    <definedName name="F_22_210">#REF!</definedName>
    <definedName name="F_22_240">#REF!</definedName>
    <definedName name="F_22_270">#REF!</definedName>
    <definedName name="F_22_30">#REF!</definedName>
    <definedName name="F_22_300">#REF!</definedName>
    <definedName name="F_22_330">#REF!</definedName>
    <definedName name="F_22_360">#REF!</definedName>
    <definedName name="F_22_390">#REF!</definedName>
    <definedName name="F_22_420">#REF!</definedName>
    <definedName name="F_22_450">#REF!</definedName>
    <definedName name="F_22_480">#REF!</definedName>
    <definedName name="F_22_510">#REF!</definedName>
    <definedName name="F_22_540">#REF!</definedName>
    <definedName name="F_22_570">#REF!</definedName>
    <definedName name="F_22_60">#REF!</definedName>
    <definedName name="F_22_600">#REF!</definedName>
    <definedName name="F_22_630">#REF!</definedName>
    <definedName name="F_22_660">#REF!</definedName>
    <definedName name="F_22_690">#REF!</definedName>
    <definedName name="F_22_720">#REF!</definedName>
    <definedName name="F_22_90">#REF!</definedName>
    <definedName name="F_23_120">#REF!</definedName>
    <definedName name="F_23_150">#REF!</definedName>
    <definedName name="F_23_180">#REF!</definedName>
    <definedName name="F_23_210">#REF!</definedName>
    <definedName name="F_23_240">#REF!</definedName>
    <definedName name="F_23_270">#REF!</definedName>
    <definedName name="F_23_30">#REF!</definedName>
    <definedName name="F_23_300">#REF!</definedName>
    <definedName name="F_23_330">#REF!</definedName>
    <definedName name="F_23_360">#REF!</definedName>
    <definedName name="F_23_390">#REF!</definedName>
    <definedName name="F_23_420">#REF!</definedName>
    <definedName name="F_23_450">#REF!</definedName>
    <definedName name="F_23_480">#REF!</definedName>
    <definedName name="F_23_510">#REF!</definedName>
    <definedName name="F_23_540">#REF!</definedName>
    <definedName name="F_23_570">#REF!</definedName>
    <definedName name="F_23_60">#REF!</definedName>
    <definedName name="F_23_600">#REF!</definedName>
    <definedName name="F_23_630">#REF!</definedName>
    <definedName name="F_23_660">#REF!</definedName>
    <definedName name="F_23_690">#REF!</definedName>
    <definedName name="F_23_720">#REF!</definedName>
    <definedName name="F_23_90">#REF!</definedName>
    <definedName name="F_24_120">#REF!</definedName>
    <definedName name="F_24_150">#REF!</definedName>
    <definedName name="F_24_180">#REF!</definedName>
    <definedName name="F_24_210">#REF!</definedName>
    <definedName name="F_24_240">#REF!</definedName>
    <definedName name="F_24_270">#REF!</definedName>
    <definedName name="F_24_30">#REF!</definedName>
    <definedName name="F_24_300">#REF!</definedName>
    <definedName name="F_24_330">#REF!</definedName>
    <definedName name="F_24_360">#REF!</definedName>
    <definedName name="F_24_390">#REF!</definedName>
    <definedName name="F_24_420">#REF!</definedName>
    <definedName name="F_24_450">#REF!</definedName>
    <definedName name="F_24_480">#REF!</definedName>
    <definedName name="F_24_510">#REF!</definedName>
    <definedName name="F_24_540">#REF!</definedName>
    <definedName name="F_24_570">#REF!</definedName>
    <definedName name="F_24_60">#REF!</definedName>
    <definedName name="F_24_600">#REF!</definedName>
    <definedName name="F_24_630">#REF!</definedName>
    <definedName name="F_24_660">#REF!</definedName>
    <definedName name="F_24_690">#REF!</definedName>
    <definedName name="F_24_720">#REF!</definedName>
    <definedName name="F_24_90">#REF!</definedName>
    <definedName name="F_25_120">#REF!</definedName>
    <definedName name="F_25_150">#REF!</definedName>
    <definedName name="F_25_180">#REF!</definedName>
    <definedName name="F_25_210">#REF!</definedName>
    <definedName name="F_25_240">#REF!</definedName>
    <definedName name="F_25_270">#REF!</definedName>
    <definedName name="F_25_30">#REF!</definedName>
    <definedName name="F_25_300">#REF!</definedName>
    <definedName name="F_25_330">#REF!</definedName>
    <definedName name="F_25_360">#REF!</definedName>
    <definedName name="F_25_390">#REF!</definedName>
    <definedName name="F_25_420">#REF!</definedName>
    <definedName name="F_25_450">#REF!</definedName>
    <definedName name="F_25_480">#REF!</definedName>
    <definedName name="F_25_510">#REF!</definedName>
    <definedName name="F_25_540">#REF!</definedName>
    <definedName name="F_25_570">#REF!</definedName>
    <definedName name="F_25_60">#REF!</definedName>
    <definedName name="F_25_600">#REF!</definedName>
    <definedName name="F_25_630">#REF!</definedName>
    <definedName name="F_25_660">#REF!</definedName>
    <definedName name="F_25_690">#REF!</definedName>
    <definedName name="F_25_720">#REF!</definedName>
    <definedName name="F_25_90">#REF!</definedName>
    <definedName name="F_26_120">#REF!</definedName>
    <definedName name="F_26_150">#REF!</definedName>
    <definedName name="F_26_180">#REF!</definedName>
    <definedName name="F_26_210">#REF!</definedName>
    <definedName name="F_26_240">#REF!</definedName>
    <definedName name="F_26_270">#REF!</definedName>
    <definedName name="F_26_30">#REF!</definedName>
    <definedName name="F_26_300">#REF!</definedName>
    <definedName name="F_26_330">#REF!</definedName>
    <definedName name="F_26_360">#REF!</definedName>
    <definedName name="F_26_390">#REF!</definedName>
    <definedName name="F_26_420">#REF!</definedName>
    <definedName name="F_26_450">#REF!</definedName>
    <definedName name="F_26_480">#REF!</definedName>
    <definedName name="F_26_510">#REF!</definedName>
    <definedName name="F_26_540">#REF!</definedName>
    <definedName name="F_26_570">#REF!</definedName>
    <definedName name="F_26_60">#REF!</definedName>
    <definedName name="F_26_600">#REF!</definedName>
    <definedName name="F_26_630">#REF!</definedName>
    <definedName name="F_26_660">#REF!</definedName>
    <definedName name="F_26_690">#REF!</definedName>
    <definedName name="F_26_720">#REF!</definedName>
    <definedName name="F_26_90">#REF!</definedName>
    <definedName name="F_27_120">#REF!</definedName>
    <definedName name="F_27_150">#REF!</definedName>
    <definedName name="F_27_180">#REF!</definedName>
    <definedName name="F_27_210">#REF!</definedName>
    <definedName name="F_27_240">#REF!</definedName>
    <definedName name="F_27_270">#REF!</definedName>
    <definedName name="F_27_30">#REF!</definedName>
    <definedName name="F_27_300">#REF!</definedName>
    <definedName name="F_27_330">#REF!</definedName>
    <definedName name="F_27_360">#REF!</definedName>
    <definedName name="F_27_390">#REF!</definedName>
    <definedName name="F_27_420">#REF!</definedName>
    <definedName name="F_27_450">#REF!</definedName>
    <definedName name="F_27_480">#REF!</definedName>
    <definedName name="F_27_510">#REF!</definedName>
    <definedName name="F_27_540">#REF!</definedName>
    <definedName name="F_27_570">#REF!</definedName>
    <definedName name="F_27_60">#REF!</definedName>
    <definedName name="F_27_600">#REF!</definedName>
    <definedName name="F_27_630">#REF!</definedName>
    <definedName name="F_27_660">#REF!</definedName>
    <definedName name="F_27_690">#REF!</definedName>
    <definedName name="F_27_720">#REF!</definedName>
    <definedName name="F_27_90">#REF!</definedName>
    <definedName name="F_28_120">#REF!</definedName>
    <definedName name="F_28_150">#REF!</definedName>
    <definedName name="F_28_180">#REF!</definedName>
    <definedName name="F_28_210">#REF!</definedName>
    <definedName name="F_28_240">#REF!</definedName>
    <definedName name="F_28_270">#REF!</definedName>
    <definedName name="F_28_30">#REF!</definedName>
    <definedName name="F_28_300">#REF!</definedName>
    <definedName name="F_28_330">#REF!</definedName>
    <definedName name="F_28_360">#REF!</definedName>
    <definedName name="F_28_390">#REF!</definedName>
    <definedName name="F_28_420">#REF!</definedName>
    <definedName name="F_28_450">#REF!</definedName>
    <definedName name="F_28_480">#REF!</definedName>
    <definedName name="F_28_510">#REF!</definedName>
    <definedName name="F_28_540">#REF!</definedName>
    <definedName name="F_28_570">#REF!</definedName>
    <definedName name="F_28_60">#REF!</definedName>
    <definedName name="F_28_600">#REF!</definedName>
    <definedName name="F_28_630">#REF!</definedName>
    <definedName name="F_28_660">#REF!</definedName>
    <definedName name="F_28_690">#REF!</definedName>
    <definedName name="F_28_720">#REF!</definedName>
    <definedName name="F_28_90">#REF!</definedName>
    <definedName name="F_29_120">#REF!</definedName>
    <definedName name="F_29_150">#REF!</definedName>
    <definedName name="F_29_180">#REF!</definedName>
    <definedName name="F_29_210">#REF!</definedName>
    <definedName name="F_29_240">#REF!</definedName>
    <definedName name="F_29_270">#REF!</definedName>
    <definedName name="F_29_30">#REF!</definedName>
    <definedName name="F_29_300">#REF!</definedName>
    <definedName name="F_29_330">#REF!</definedName>
    <definedName name="F_29_360">#REF!</definedName>
    <definedName name="F_29_390">#REF!</definedName>
    <definedName name="F_29_420">#REF!</definedName>
    <definedName name="F_29_450">#REF!</definedName>
    <definedName name="F_29_480">#REF!</definedName>
    <definedName name="F_29_510">#REF!</definedName>
    <definedName name="F_29_540">#REF!</definedName>
    <definedName name="F_29_570">#REF!</definedName>
    <definedName name="F_29_60">#REF!</definedName>
    <definedName name="F_29_600">#REF!</definedName>
    <definedName name="F_29_630">#REF!</definedName>
    <definedName name="F_29_660">#REF!</definedName>
    <definedName name="F_29_690">#REF!</definedName>
    <definedName name="F_29_720">#REF!</definedName>
    <definedName name="F_29_90">#REF!</definedName>
    <definedName name="F_30_120">#REF!</definedName>
    <definedName name="F_30_150">#REF!</definedName>
    <definedName name="F_30_180">#REF!</definedName>
    <definedName name="F_30_210">#REF!</definedName>
    <definedName name="F_30_240">#REF!</definedName>
    <definedName name="F_30_270">#REF!</definedName>
    <definedName name="F_30_30">#REF!</definedName>
    <definedName name="F_30_300">#REF!</definedName>
    <definedName name="F_30_330">#REF!</definedName>
    <definedName name="F_30_360">#REF!</definedName>
    <definedName name="F_30_390">#REF!</definedName>
    <definedName name="F_30_420">#REF!</definedName>
    <definedName name="F_30_450">#REF!</definedName>
    <definedName name="F_30_480">#REF!</definedName>
    <definedName name="F_30_510">#REF!</definedName>
    <definedName name="F_30_540">#REF!</definedName>
    <definedName name="F_30_570">#REF!</definedName>
    <definedName name="F_30_60">#REF!</definedName>
    <definedName name="F_30_600">#REF!</definedName>
    <definedName name="F_30_630">#REF!</definedName>
    <definedName name="F_30_660">#REF!</definedName>
    <definedName name="F_30_690">#REF!</definedName>
    <definedName name="F_30_720">#REF!</definedName>
    <definedName name="F_30_90">#REF!</definedName>
    <definedName name="F_31_120">#REF!</definedName>
    <definedName name="F_31_150">#REF!</definedName>
    <definedName name="F_31_180">#REF!</definedName>
    <definedName name="F_31_210">#REF!</definedName>
    <definedName name="F_31_240">#REF!</definedName>
    <definedName name="F_31_270">#REF!</definedName>
    <definedName name="F_31_30">#REF!</definedName>
    <definedName name="F_31_300">#REF!</definedName>
    <definedName name="F_31_330">#REF!</definedName>
    <definedName name="F_31_360">#REF!</definedName>
    <definedName name="F_31_390">#REF!</definedName>
    <definedName name="F_31_420">#REF!</definedName>
    <definedName name="F_31_450">#REF!</definedName>
    <definedName name="F_31_480">#REF!</definedName>
    <definedName name="F_31_510">#REF!</definedName>
    <definedName name="F_31_540">#REF!</definedName>
    <definedName name="F_31_570">#REF!</definedName>
    <definedName name="F_31_60">#REF!</definedName>
    <definedName name="F_31_600">#REF!</definedName>
    <definedName name="F_31_630">#REF!</definedName>
    <definedName name="F_31_660">#REF!</definedName>
    <definedName name="F_31_690">#REF!</definedName>
    <definedName name="F_31_720">#REF!</definedName>
    <definedName name="F_31_90">#REF!</definedName>
    <definedName name="F_32_120">#REF!</definedName>
    <definedName name="F_32_150">#REF!</definedName>
    <definedName name="F_32_180">#REF!</definedName>
    <definedName name="F_32_210">#REF!</definedName>
    <definedName name="F_32_240">#REF!</definedName>
    <definedName name="F_32_270">#REF!</definedName>
    <definedName name="F_32_30">#REF!</definedName>
    <definedName name="F_32_300">#REF!</definedName>
    <definedName name="F_32_330">#REF!</definedName>
    <definedName name="F_32_360">#REF!</definedName>
    <definedName name="F_32_390">#REF!</definedName>
    <definedName name="F_32_420">#REF!</definedName>
    <definedName name="F_32_450">#REF!</definedName>
    <definedName name="F_32_480">#REF!</definedName>
    <definedName name="F_32_510">#REF!</definedName>
    <definedName name="F_32_540">#REF!</definedName>
    <definedName name="F_32_570">#REF!</definedName>
    <definedName name="F_32_60">#REF!</definedName>
    <definedName name="F_32_600">#REF!</definedName>
    <definedName name="F_32_630">#REF!</definedName>
    <definedName name="F_32_660">#REF!</definedName>
    <definedName name="F_32_690">#REF!</definedName>
    <definedName name="F_32_720">#REF!</definedName>
    <definedName name="F_32_90">#REF!</definedName>
    <definedName name="F_33_120">#REF!</definedName>
    <definedName name="F_33_150">#REF!</definedName>
    <definedName name="F_33_180">#REF!</definedName>
    <definedName name="F_33_210">#REF!</definedName>
    <definedName name="F_33_240">#REF!</definedName>
    <definedName name="F_33_270">#REF!</definedName>
    <definedName name="F_33_30">#REF!</definedName>
    <definedName name="F_33_300">#REF!</definedName>
    <definedName name="F_33_330">#REF!</definedName>
    <definedName name="F_33_360">#REF!</definedName>
    <definedName name="F_33_390">#REF!</definedName>
    <definedName name="F_33_420">#REF!</definedName>
    <definedName name="F_33_450">#REF!</definedName>
    <definedName name="F_33_480">#REF!</definedName>
    <definedName name="F_33_510">#REF!</definedName>
    <definedName name="F_33_540">#REF!</definedName>
    <definedName name="F_33_570">#REF!</definedName>
    <definedName name="F_33_60">#REF!</definedName>
    <definedName name="F_33_600">#REF!</definedName>
    <definedName name="F_33_630">#REF!</definedName>
    <definedName name="F_33_660">#REF!</definedName>
    <definedName name="F_33_690">#REF!</definedName>
    <definedName name="F_33_720">#REF!</definedName>
    <definedName name="F_33_90">#REF!</definedName>
    <definedName name="F_34_120">#REF!</definedName>
    <definedName name="F_34_150">#REF!</definedName>
    <definedName name="F_34_180">#REF!</definedName>
    <definedName name="F_34_210">#REF!</definedName>
    <definedName name="F_34_240">#REF!</definedName>
    <definedName name="F_34_270">#REF!</definedName>
    <definedName name="F_34_30">#REF!</definedName>
    <definedName name="F_34_300">#REF!</definedName>
    <definedName name="F_34_330">#REF!</definedName>
    <definedName name="F_34_360">#REF!</definedName>
    <definedName name="F_34_390">#REF!</definedName>
    <definedName name="F_34_420">#REF!</definedName>
    <definedName name="F_34_450">#REF!</definedName>
    <definedName name="F_34_480">#REF!</definedName>
    <definedName name="F_34_510">#REF!</definedName>
    <definedName name="F_34_540">#REF!</definedName>
    <definedName name="F_34_570">#REF!</definedName>
    <definedName name="F_34_60">#REF!</definedName>
    <definedName name="F_34_600">#REF!</definedName>
    <definedName name="F_34_630">#REF!</definedName>
    <definedName name="F_34_660">#REF!</definedName>
    <definedName name="F_34_690">#REF!</definedName>
    <definedName name="F_34_720">#REF!</definedName>
    <definedName name="F_34_90">#REF!</definedName>
    <definedName name="F_35_120">#REF!</definedName>
    <definedName name="F_35_150">#REF!</definedName>
    <definedName name="F_35_180">#REF!</definedName>
    <definedName name="F_35_210">#REF!</definedName>
    <definedName name="F_35_240">#REF!</definedName>
    <definedName name="F_35_270">#REF!</definedName>
    <definedName name="F_35_30">#REF!</definedName>
    <definedName name="F_35_300">#REF!</definedName>
    <definedName name="F_35_330">#REF!</definedName>
    <definedName name="F_35_360">#REF!</definedName>
    <definedName name="F_35_390">#REF!</definedName>
    <definedName name="F_35_420">#REF!</definedName>
    <definedName name="F_35_450">#REF!</definedName>
    <definedName name="F_35_480">#REF!</definedName>
    <definedName name="F_35_510">#REF!</definedName>
    <definedName name="F_35_540">#REF!</definedName>
    <definedName name="F_35_570">#REF!</definedName>
    <definedName name="F_35_60">#REF!</definedName>
    <definedName name="F_35_600">#REF!</definedName>
    <definedName name="F_35_630">#REF!</definedName>
    <definedName name="F_35_660">#REF!</definedName>
    <definedName name="F_35_690">#REF!</definedName>
    <definedName name="F_35_720">#REF!</definedName>
    <definedName name="F_35_90">#REF!</definedName>
    <definedName name="F_36_120">#REF!</definedName>
    <definedName name="F_36_150">#REF!</definedName>
    <definedName name="F_36_180">#REF!</definedName>
    <definedName name="F_36_210">#REF!</definedName>
    <definedName name="F_36_240">#REF!</definedName>
    <definedName name="F_36_270">#REF!</definedName>
    <definedName name="F_36_30">#REF!</definedName>
    <definedName name="F_36_300">#REF!</definedName>
    <definedName name="F_36_330">#REF!</definedName>
    <definedName name="F_36_360">#REF!</definedName>
    <definedName name="F_36_390">#REF!</definedName>
    <definedName name="F_36_420">#REF!</definedName>
    <definedName name="F_36_450">#REF!</definedName>
    <definedName name="F_36_480">#REF!</definedName>
    <definedName name="F_36_510">#REF!</definedName>
    <definedName name="F_36_540">#REF!</definedName>
    <definedName name="F_36_570">#REF!</definedName>
    <definedName name="F_36_60">#REF!</definedName>
    <definedName name="F_36_600">#REF!</definedName>
    <definedName name="F_36_630">#REF!</definedName>
    <definedName name="F_36_660">#REF!</definedName>
    <definedName name="F_36_690">#REF!</definedName>
    <definedName name="F_36_720">#REF!</definedName>
    <definedName name="F_36_90">#REF!</definedName>
    <definedName name="F_37_120">#REF!</definedName>
    <definedName name="F_37_150">#REF!</definedName>
    <definedName name="F_37_180">#REF!</definedName>
    <definedName name="F_37_210">#REF!</definedName>
    <definedName name="F_37_240">#REF!</definedName>
    <definedName name="F_37_270">#REF!</definedName>
    <definedName name="F_37_30">#REF!</definedName>
    <definedName name="F_37_300">#REF!</definedName>
    <definedName name="F_37_330">#REF!</definedName>
    <definedName name="F_37_360">#REF!</definedName>
    <definedName name="F_37_390">#REF!</definedName>
    <definedName name="F_37_420">#REF!</definedName>
    <definedName name="F_37_450">#REF!</definedName>
    <definedName name="F_37_480">#REF!</definedName>
    <definedName name="F_37_510">#REF!</definedName>
    <definedName name="F_37_540">#REF!</definedName>
    <definedName name="F_37_570">#REF!</definedName>
    <definedName name="F_37_60">#REF!</definedName>
    <definedName name="F_37_600">#REF!</definedName>
    <definedName name="F_37_630">#REF!</definedName>
    <definedName name="F_37_660">#REF!</definedName>
    <definedName name="F_37_690">#REF!</definedName>
    <definedName name="F_37_720">#REF!</definedName>
    <definedName name="F_37_90">#REF!</definedName>
    <definedName name="F_38_120">#REF!</definedName>
    <definedName name="F_38_150">#REF!</definedName>
    <definedName name="F_38_180">#REF!</definedName>
    <definedName name="F_38_210">#REF!</definedName>
    <definedName name="F_38_240">#REF!</definedName>
    <definedName name="F_38_270">#REF!</definedName>
    <definedName name="F_38_30">#REF!</definedName>
    <definedName name="F_38_300">#REF!</definedName>
    <definedName name="F_38_330">#REF!</definedName>
    <definedName name="F_38_360">#REF!</definedName>
    <definedName name="F_38_390">#REF!</definedName>
    <definedName name="F_38_420">#REF!</definedName>
    <definedName name="F_38_450">#REF!</definedName>
    <definedName name="F_38_480">#REF!</definedName>
    <definedName name="F_38_510">#REF!</definedName>
    <definedName name="F_38_540">#REF!</definedName>
    <definedName name="F_38_570">#REF!</definedName>
    <definedName name="F_38_60">#REF!</definedName>
    <definedName name="F_38_600">#REF!</definedName>
    <definedName name="F_38_630">#REF!</definedName>
    <definedName name="F_38_660">#REF!</definedName>
    <definedName name="F_38_690">#REF!</definedName>
    <definedName name="F_38_720">#REF!</definedName>
    <definedName name="F_38_90">#REF!</definedName>
    <definedName name="F_39_120">#REF!</definedName>
    <definedName name="F_39_150">#REF!</definedName>
    <definedName name="F_39_180">#REF!</definedName>
    <definedName name="F_39_210">#REF!</definedName>
    <definedName name="F_39_240">#REF!</definedName>
    <definedName name="F_39_270">#REF!</definedName>
    <definedName name="F_39_30">#REF!</definedName>
    <definedName name="F_39_300">#REF!</definedName>
    <definedName name="F_39_330">#REF!</definedName>
    <definedName name="F_39_360">#REF!</definedName>
    <definedName name="F_39_390">#REF!</definedName>
    <definedName name="F_39_420">#REF!</definedName>
    <definedName name="F_39_450">#REF!</definedName>
    <definedName name="F_39_480">#REF!</definedName>
    <definedName name="F_39_510">#REF!</definedName>
    <definedName name="F_39_540">#REF!</definedName>
    <definedName name="F_39_570">#REF!</definedName>
    <definedName name="F_39_60">#REF!</definedName>
    <definedName name="F_39_600">#REF!</definedName>
    <definedName name="F_39_630">#REF!</definedName>
    <definedName name="F_39_660">#REF!</definedName>
    <definedName name="F_39_690">#REF!</definedName>
    <definedName name="F_39_720">#REF!</definedName>
    <definedName name="F_39_90">#REF!</definedName>
    <definedName name="F_40_120">#REF!</definedName>
    <definedName name="F_40_150">#REF!</definedName>
    <definedName name="F_40_180">#REF!</definedName>
    <definedName name="F_40_210">#REF!</definedName>
    <definedName name="F_40_240">#REF!</definedName>
    <definedName name="F_40_270">#REF!</definedName>
    <definedName name="F_40_30">#REF!</definedName>
    <definedName name="F_40_300">#REF!</definedName>
    <definedName name="F_40_330">#REF!</definedName>
    <definedName name="F_40_360">#REF!</definedName>
    <definedName name="F_40_390">#REF!</definedName>
    <definedName name="F_40_420">#REF!</definedName>
    <definedName name="F_40_450">#REF!</definedName>
    <definedName name="F_40_480">#REF!</definedName>
    <definedName name="F_40_510">#REF!</definedName>
    <definedName name="F_40_540">#REF!</definedName>
    <definedName name="F_40_570">#REF!</definedName>
    <definedName name="F_40_60">#REF!</definedName>
    <definedName name="F_40_600">#REF!</definedName>
    <definedName name="F_40_630">#REF!</definedName>
    <definedName name="F_40_660">#REF!</definedName>
    <definedName name="F_40_690">#REF!</definedName>
    <definedName name="F_40_720">#REF!</definedName>
    <definedName name="F_40_90">#REF!</definedName>
    <definedName name="fachada" localSheetId="8" hidden="1">#REF!</definedName>
    <definedName name="fachada" hidden="1">#REF!</definedName>
    <definedName name="fachadacucapici" localSheetId="8">#REF!</definedName>
    <definedName name="fachadacucapici">#REF!</definedName>
    <definedName name="FATOR" localSheetId="8">#REF!</definedName>
    <definedName name="FATOR" localSheetId="5">#REF!</definedName>
    <definedName name="FATOR">#REF!</definedName>
    <definedName name="FATOR1">"$#REF!.$#REF!$#REF!"</definedName>
    <definedName name="Ferragens" localSheetId="8">#REF!</definedName>
    <definedName name="Ferragens">#REF!</definedName>
    <definedName name="FERRO" localSheetId="8">#REF!</definedName>
    <definedName name="FERRO">#REF!</definedName>
    <definedName name="ff">#REF!</definedName>
    <definedName name="FIOS_CABOS">#REF!</definedName>
    <definedName name="FIOS_CABOS_2">#REF!</definedName>
    <definedName name="FoFo" localSheetId="8">#REF!</definedName>
    <definedName name="FoFo">#REF!</definedName>
    <definedName name="Forro" localSheetId="8">#REF!</definedName>
    <definedName name="Forro">#REF!</definedName>
    <definedName name="FR">#REF!</definedName>
    <definedName name="G_01" localSheetId="8">#REF!</definedName>
    <definedName name="G_01" localSheetId="5">#REF!</definedName>
    <definedName name="G_01">#REF!</definedName>
    <definedName name="G_02" localSheetId="8">#REF!</definedName>
    <definedName name="G_02" localSheetId="5">#REF!</definedName>
    <definedName name="G_02">#REF!</definedName>
    <definedName name="G_03" localSheetId="8">#REF!</definedName>
    <definedName name="G_03" localSheetId="5">#REF!</definedName>
    <definedName name="G_03">#REF!</definedName>
    <definedName name="G_04" localSheetId="8">#REF!</definedName>
    <definedName name="G_04" localSheetId="5">#REF!</definedName>
    <definedName name="G_04">#REF!</definedName>
    <definedName name="G_05" localSheetId="8">#REF!</definedName>
    <definedName name="G_05" localSheetId="5">#REF!</definedName>
    <definedName name="G_05">#REF!</definedName>
    <definedName name="G_06" localSheetId="8">#REF!</definedName>
    <definedName name="G_06" localSheetId="5">#REF!</definedName>
    <definedName name="G_06">#REF!</definedName>
    <definedName name="G_07" localSheetId="8">#REF!</definedName>
    <definedName name="G_07" localSheetId="5">#REF!</definedName>
    <definedName name="G_07">#REF!</definedName>
    <definedName name="G_08" localSheetId="8">#REF!</definedName>
    <definedName name="G_08" localSheetId="5">#REF!</definedName>
    <definedName name="G_08">#REF!</definedName>
    <definedName name="G_09" localSheetId="8">#REF!</definedName>
    <definedName name="G_09" localSheetId="5">#REF!</definedName>
    <definedName name="G_09">#REF!</definedName>
    <definedName name="G_10" localSheetId="8">#REF!</definedName>
    <definedName name="G_10" localSheetId="5">#REF!</definedName>
    <definedName name="G_10">#REF!</definedName>
    <definedName name="G_11" localSheetId="8">#REF!</definedName>
    <definedName name="G_11" localSheetId="5">#REF!</definedName>
    <definedName name="G_11">#REF!</definedName>
    <definedName name="G_12" localSheetId="8">#REF!</definedName>
    <definedName name="G_12" localSheetId="5">#REF!</definedName>
    <definedName name="G_12">#REF!</definedName>
    <definedName name="G_13" localSheetId="8">#REF!</definedName>
    <definedName name="G_13" localSheetId="5">#REF!</definedName>
    <definedName name="G_13">#REF!</definedName>
    <definedName name="G_14" localSheetId="8">#REF!</definedName>
    <definedName name="G_14" localSheetId="5">#REF!</definedName>
    <definedName name="G_14">#REF!</definedName>
    <definedName name="G_15" localSheetId="8">#REF!</definedName>
    <definedName name="G_15" localSheetId="5">#REF!</definedName>
    <definedName name="G_15">#REF!</definedName>
    <definedName name="G_16" localSheetId="8">#REF!</definedName>
    <definedName name="G_16" localSheetId="5">#REF!</definedName>
    <definedName name="G_16">#REF!</definedName>
    <definedName name="G_17" localSheetId="8">#REF!</definedName>
    <definedName name="G_17" localSheetId="5">#REF!</definedName>
    <definedName name="G_17">#REF!</definedName>
    <definedName name="G_18" localSheetId="8">#REF!</definedName>
    <definedName name="G_18" localSheetId="5">#REF!</definedName>
    <definedName name="G_18">#REF!</definedName>
    <definedName name="G_19" localSheetId="8">#REF!</definedName>
    <definedName name="G_19" localSheetId="5">#REF!</definedName>
    <definedName name="G_19">#REF!</definedName>
    <definedName name="G_20" localSheetId="8">#REF!</definedName>
    <definedName name="G_20" localSheetId="5">#REF!</definedName>
    <definedName name="G_20">#REF!</definedName>
    <definedName name="G_21" localSheetId="8">#REF!</definedName>
    <definedName name="G_21" localSheetId="5">#REF!</definedName>
    <definedName name="G_21">#REF!</definedName>
    <definedName name="G_22" localSheetId="8">#REF!</definedName>
    <definedName name="G_22" localSheetId="5">#REF!</definedName>
    <definedName name="G_22">#REF!</definedName>
    <definedName name="G_23" localSheetId="8">#REF!</definedName>
    <definedName name="G_23" localSheetId="5">#REF!</definedName>
    <definedName name="G_23">#REF!</definedName>
    <definedName name="G_24" localSheetId="8">#REF!</definedName>
    <definedName name="G_24" localSheetId="5">#REF!</definedName>
    <definedName name="G_24">#REF!</definedName>
    <definedName name="G_25" localSheetId="8">#REF!</definedName>
    <definedName name="G_25" localSheetId="5">#REF!</definedName>
    <definedName name="G_25">#REF!</definedName>
    <definedName name="G_26" localSheetId="8">#REF!</definedName>
    <definedName name="G_26" localSheetId="5">#REF!</definedName>
    <definedName name="G_26">#REF!</definedName>
    <definedName name="G_27" localSheetId="8">#REF!</definedName>
    <definedName name="G_27" localSheetId="5">#REF!</definedName>
    <definedName name="G_27">#REF!</definedName>
    <definedName name="G_28" localSheetId="8">#REF!</definedName>
    <definedName name="G_28" localSheetId="5">#REF!</definedName>
    <definedName name="G_28">#REF!</definedName>
    <definedName name="G_29" localSheetId="8">#REF!</definedName>
    <definedName name="G_29" localSheetId="5">#REF!</definedName>
    <definedName name="G_29">#REF!</definedName>
    <definedName name="G_30" localSheetId="8">#REF!</definedName>
    <definedName name="G_30" localSheetId="5">#REF!</definedName>
    <definedName name="G_30">#REF!</definedName>
    <definedName name="gen" localSheetId="8">#REF!</definedName>
    <definedName name="gen">#REF!</definedName>
    <definedName name="GERAL">#REF!</definedName>
    <definedName name="HIDRÁULICA">#REF!</definedName>
    <definedName name="HIDRÁULICA_2">#REF!</definedName>
    <definedName name="I" localSheetId="8">#REF!</definedName>
    <definedName name="I" localSheetId="5">#REF!</definedName>
    <definedName name="I">#REF!</definedName>
    <definedName name="IMPERMEABILIZAÇÃO">#REF!</definedName>
    <definedName name="IMPERMEABILIZAÇÃO_2">#REF!</definedName>
    <definedName name="insumos" localSheetId="8">#REF!</definedName>
    <definedName name="insumos">#REF!</definedName>
    <definedName name="INTERRUPTORES">#REF!</definedName>
    <definedName name="INTERRUPTORES_2">#REF!</definedName>
    <definedName name="IR" localSheetId="8">#REF!</definedName>
    <definedName name="IR" localSheetId="5">#REF!</definedName>
    <definedName name="IR">#REF!</definedName>
    <definedName name="ITEM" localSheetId="8">#REF!</definedName>
    <definedName name="ITEM">#REF!</definedName>
    <definedName name="IZA">(#REF!,#REF!,#REF!,#REF!,#REF!,#REF!)</definedName>
    <definedName name="JJSJS" localSheetId="8">#REF!</definedName>
    <definedName name="JJSJS">#REF!</definedName>
    <definedName name="JR_PAGE_ANCHOR_0_1">#REF!</definedName>
    <definedName name="K">#REF!</definedName>
    <definedName name="kkç1" localSheetId="8">#REF!</definedName>
    <definedName name="kkç1">#REF!</definedName>
    <definedName name="KKK">#REF!</definedName>
    <definedName name="L.S." localSheetId="8">#REF!</definedName>
    <definedName name="L.S." localSheetId="5">#REF!</definedName>
    <definedName name="L.S.">#REF!</definedName>
    <definedName name="LAGOINHA">#REF!</definedName>
    <definedName name="Lic">#REF!</definedName>
    <definedName name="Lista">#REF!</definedName>
    <definedName name="lklddsofioçreif" localSheetId="8">#REF!</definedName>
    <definedName name="lklddsofioçreif">#REF!</definedName>
    <definedName name="Local">#REF!</definedName>
    <definedName name="Lote">#REF!</definedName>
    <definedName name="LPI">#REF!</definedName>
    <definedName name="LS" localSheetId="8">#REF!</definedName>
    <definedName name="LS" localSheetId="5">#REF!</definedName>
    <definedName name="LS">#REF!</definedName>
    <definedName name="LUMINÁRIAS">#REF!</definedName>
    <definedName name="LUMINÁRIAS_2">#REF!</definedName>
    <definedName name="MADEIRA" localSheetId="8">#REF!</definedName>
    <definedName name="MADEIRA">#REF!</definedName>
    <definedName name="MARCSEG">#N/A</definedName>
    <definedName name="MARCT" localSheetId="8">#REF!</definedName>
    <definedName name="MARCT" localSheetId="5">#REF!</definedName>
    <definedName name="MARCT">#REF!</definedName>
    <definedName name="MAST" localSheetId="8">#REF!</definedName>
    <definedName name="MAST">#REF!</definedName>
    <definedName name="MAT" localSheetId="8">#REF!</definedName>
    <definedName name="MAT">#REF!</definedName>
    <definedName name="MATRIZ">#REF!</definedName>
    <definedName name="MATRIZlimpa">#REF!</definedName>
    <definedName name="MBV" localSheetId="8">#REF!</definedName>
    <definedName name="MBV">#REF!</definedName>
    <definedName name="MED">#REF!</definedName>
    <definedName name="MO" localSheetId="8">#REF!</definedName>
    <definedName name="MO">#REF!</definedName>
    <definedName name="Modelo">#REF!</definedName>
    <definedName name="movterra" localSheetId="8">#REF!</definedName>
    <definedName name="movterra">#REF!</definedName>
    <definedName name="N" localSheetId="8">#REF!</definedName>
    <definedName name="N" localSheetId="5">#REF!</definedName>
    <definedName name="N">#REF!</definedName>
    <definedName name="NF" localSheetId="8">#REF!</definedName>
    <definedName name="NF" localSheetId="5">#REF!</definedName>
    <definedName name="NF">#REF!</definedName>
    <definedName name="NLant">5</definedName>
    <definedName name="NLEq">4</definedName>
    <definedName name="NLmin">5</definedName>
    <definedName name="NLMo">6</definedName>
    <definedName name="NLMp">5</definedName>
    <definedName name="NLTr">3</definedName>
    <definedName name="Nome">#REF!</definedName>
    <definedName name="NOME_NOVO">#REF!</definedName>
    <definedName name="Objeto">#REF!</definedName>
    <definedName name="Obra">#REF!</definedName>
    <definedName name="OnOff">"ON"</definedName>
    <definedName name="orc" localSheetId="8" hidden="1">#REF!</definedName>
    <definedName name="orc" hidden="1">#REF!</definedName>
    <definedName name="Origem">#REF!</definedName>
    <definedName name="Par" localSheetId="8">#REF!</definedName>
    <definedName name="Par">#REF!</definedName>
    <definedName name="PAREDE">#REF!</definedName>
    <definedName name="PAREDES">#REF!</definedName>
    <definedName name="pasta2">#REF!</definedName>
    <definedName name="pasta3">#REF!</definedName>
    <definedName name="pasta4">#REF!</definedName>
    <definedName name="pasta6">#REF!</definedName>
    <definedName name="pasta7">#REF!</definedName>
    <definedName name="PAVIMENTAÇÃO" localSheetId="8">#REF!</definedName>
    <definedName name="PAVIMENTAÇÃO">#REF!</definedName>
    <definedName name="PE" localSheetId="8">#REF!</definedName>
    <definedName name="PE" localSheetId="5">#REF!</definedName>
    <definedName name="PE">#REF!</definedName>
    <definedName name="PEDRA" localSheetId="8">#REF!</definedName>
    <definedName name="PEDRA">#REF!</definedName>
    <definedName name="PINTURA">#REF!</definedName>
    <definedName name="PINTURA_2">#REF!</definedName>
    <definedName name="Pinturas" localSheetId="8">#REF!</definedName>
    <definedName name="Pinturas">#REF!</definedName>
    <definedName name="PISCINA" localSheetId="8">#REF!</definedName>
    <definedName name="PISCINA">#REF!</definedName>
    <definedName name="piscina2" localSheetId="8">#REF!</definedName>
    <definedName name="piscina2">#REF!</definedName>
    <definedName name="PISO">#REF!</definedName>
    <definedName name="Pisos" localSheetId="8">#REF!</definedName>
    <definedName name="Pisos">#REF!</definedName>
    <definedName name="PISOS_2">#REF!</definedName>
    <definedName name="PL_ABC" localSheetId="8">#REF!</definedName>
    <definedName name="PL_ABC">#REF!</definedName>
    <definedName name="Plan1">#REF!</definedName>
    <definedName name="planilha" localSheetId="8">#REF!</definedName>
    <definedName name="planilha">#REF!</definedName>
    <definedName name="PM" localSheetId="8">#REF!</definedName>
    <definedName name="PM">#REF!</definedName>
    <definedName name="PM_2">#REF!</definedName>
    <definedName name="Preço_Unitário" localSheetId="8">#REF!</definedName>
    <definedName name="Preço_Unitário" localSheetId="5">#REF!</definedName>
    <definedName name="Preço_Unitário">#REF!</definedName>
    <definedName name="PREDIORESUMO" hidden="1">{#N/A,#N/A,FALSE,"Planilha";#N/A,#N/A,FALSE,"Resumo";#N/A,#N/A,FALSE,"Fisico";#N/A,#N/A,FALSE,"Financeiro";#N/A,#N/A,FALSE,"Financeiro"}</definedName>
    <definedName name="Pressure">#REF!</definedName>
    <definedName name="pssta5">#REF!</definedName>
    <definedName name="PV" localSheetId="8">#REF!</definedName>
    <definedName name="PV" localSheetId="5">#REF!</definedName>
    <definedName name="PV">#REF!</definedName>
    <definedName name="PVC" localSheetId="8">#REF!</definedName>
    <definedName name="PVC">#REF!</definedName>
    <definedName name="PVC_BRANCO">#REF!</definedName>
    <definedName name="PVC_BRANCO_2">#REF!</definedName>
    <definedName name="PVCBRANCO">#REF!</definedName>
    <definedName name="PVCBRANCO_2">#REF!</definedName>
    <definedName name="QR">OFFSET(#REF!,1,,COUNTA(#REF!),7)</definedName>
    <definedName name="QS">OFFSET(#REF!,1,,COUNTA(#REF!),6)</definedName>
    <definedName name="QUADRO_CAIXA">#REF!</definedName>
    <definedName name="QUADRO_CAIXA_2">#REF!</definedName>
    <definedName name="Quantidade" localSheetId="8">#REF!</definedName>
    <definedName name="Quantidade" localSheetId="5">#REF!</definedName>
    <definedName name="Quantidade">#REF!</definedName>
    <definedName name="rampaescadas" localSheetId="8" hidden="1">#REF!</definedName>
    <definedName name="rampaescadas" hidden="1">#REF!</definedName>
    <definedName name="REA">#REF!</definedName>
    <definedName name="Reaj">#REF!</definedName>
    <definedName name="REC" localSheetId="8">#REF!</definedName>
    <definedName name="REC" localSheetId="5">#REF!</definedName>
    <definedName name="Redefinir_Área_de_Impressão" localSheetId="0">OFFSET(Impressão_Completa,0,0,#REF!)</definedName>
    <definedName name="Redefinir_Área_de_Impressão">OFFSET(Impressão_Completa,0,0,#REF!)</definedName>
    <definedName name="refw">#REF!</definedName>
    <definedName name="REG">#REF!</definedName>
    <definedName name="RES_CPS" localSheetId="8">#REF!</definedName>
    <definedName name="RES_CPS">#REF!</definedName>
    <definedName name="Responsável">#REF!</definedName>
    <definedName name="Revestimentos" localSheetId="8">#REF!</definedName>
    <definedName name="Revestimentos">#REF!</definedName>
    <definedName name="REVESTIMENTOS_2">#REF!</definedName>
    <definedName name="RODAPE">#REF!</definedName>
    <definedName name="Rodapé" localSheetId="8">#REF!</definedName>
    <definedName name="Rodapé">#REF!</definedName>
    <definedName name="RSECE_Grupo_Espaços">#REF!</definedName>
    <definedName name="S" localSheetId="8">#REF!</definedName>
    <definedName name="S">#REF!</definedName>
    <definedName name="Salario">2</definedName>
    <definedName name="SECRETARIAS">#REF!</definedName>
    <definedName name="SEINFRA15">#REF!</definedName>
    <definedName name="SELO" localSheetId="8">#REF!</definedName>
    <definedName name="SELO">#REF!</definedName>
    <definedName name="serv" localSheetId="8">#REF!</definedName>
    <definedName name="serv">#REF!</definedName>
    <definedName name="SERVIÇOS">#REF!</definedName>
    <definedName name="SG">#REF!</definedName>
    <definedName name="SG_01_01" localSheetId="8">#REF!</definedName>
    <definedName name="SG_01_01" localSheetId="5">#REF!</definedName>
    <definedName name="SG_01_01">#REF!</definedName>
    <definedName name="SG_01_02" localSheetId="8">#REF!</definedName>
    <definedName name="SG_01_02" localSheetId="5">#REF!</definedName>
    <definedName name="SG_01_02">#REF!</definedName>
    <definedName name="SG_01_03" localSheetId="8">#REF!</definedName>
    <definedName name="SG_01_03" localSheetId="5">#REF!</definedName>
    <definedName name="SG_01_03">#REF!</definedName>
    <definedName name="SG_01_04" localSheetId="8">#REF!</definedName>
    <definedName name="SG_01_04" localSheetId="5">#REF!</definedName>
    <definedName name="SG_01_04">#REF!</definedName>
    <definedName name="SG_01_05" localSheetId="8">#REF!</definedName>
    <definedName name="SG_01_05" localSheetId="5">#REF!</definedName>
    <definedName name="SG_01_05">#REF!</definedName>
    <definedName name="SG_01_06" localSheetId="8">#REF!</definedName>
    <definedName name="SG_01_06" localSheetId="5">#REF!</definedName>
    <definedName name="SG_01_06">#REF!</definedName>
    <definedName name="SG_01_07" localSheetId="8">#REF!</definedName>
    <definedName name="SG_01_07" localSheetId="5">#REF!</definedName>
    <definedName name="SG_01_07">#REF!</definedName>
    <definedName name="SG_01_08" localSheetId="8">#REF!</definedName>
    <definedName name="SG_01_08" localSheetId="5">#REF!</definedName>
    <definedName name="SG_01_08">#REF!</definedName>
    <definedName name="SG_01_09" localSheetId="8">#REF!</definedName>
    <definedName name="SG_01_09" localSheetId="5">#REF!</definedName>
    <definedName name="SG_01_09">#REF!</definedName>
    <definedName name="SG_01_10" localSheetId="8">#REF!</definedName>
    <definedName name="SG_01_10" localSheetId="5">#REF!</definedName>
    <definedName name="SG_01_10">#REF!</definedName>
    <definedName name="SG_01_11" localSheetId="8">#REF!</definedName>
    <definedName name="SG_01_11" localSheetId="5">#REF!</definedName>
    <definedName name="SG_01_11">#REF!</definedName>
    <definedName name="SG_01_12" localSheetId="8">#REF!</definedName>
    <definedName name="SG_01_12" localSheetId="5">#REF!</definedName>
    <definedName name="SG_01_12">#REF!</definedName>
    <definedName name="SG_01_13" localSheetId="8">#REF!</definedName>
    <definedName name="SG_01_13" localSheetId="5">#REF!</definedName>
    <definedName name="SG_01_13">#REF!</definedName>
    <definedName name="SG_01_14" localSheetId="8">#REF!</definedName>
    <definedName name="SG_01_14" localSheetId="5">#REF!</definedName>
    <definedName name="SG_01_14">#REF!</definedName>
    <definedName name="SG_01_15" localSheetId="8">#REF!</definedName>
    <definedName name="SG_01_15" localSheetId="5">#REF!</definedName>
    <definedName name="SG_01_15">#REF!</definedName>
    <definedName name="SG_01_16" localSheetId="8">#REF!</definedName>
    <definedName name="SG_01_16" localSheetId="5">#REF!</definedName>
    <definedName name="SG_01_16">#REF!</definedName>
    <definedName name="SG_01_17" localSheetId="8">#REF!</definedName>
    <definedName name="SG_01_17" localSheetId="5">#REF!</definedName>
    <definedName name="SG_01_17">#REF!</definedName>
    <definedName name="SG_01_18" localSheetId="8">#REF!</definedName>
    <definedName name="SG_01_18" localSheetId="5">#REF!</definedName>
    <definedName name="SG_01_18">#REF!</definedName>
    <definedName name="SG_01_19" localSheetId="8">#REF!</definedName>
    <definedName name="SG_01_19" localSheetId="5">#REF!</definedName>
    <definedName name="SG_01_19">#REF!</definedName>
    <definedName name="SG_01_20" localSheetId="8">#REF!</definedName>
    <definedName name="SG_01_20" localSheetId="5">#REF!</definedName>
    <definedName name="SG_01_20">#REF!</definedName>
    <definedName name="SG_01_21" localSheetId="8">#REF!</definedName>
    <definedName name="SG_01_21" localSheetId="5">#REF!</definedName>
    <definedName name="SG_01_21">#REF!</definedName>
    <definedName name="SG_01_22" localSheetId="8">#REF!</definedName>
    <definedName name="SG_01_22" localSheetId="5">#REF!</definedName>
    <definedName name="SG_01_22">#REF!</definedName>
    <definedName name="SG_01_23" localSheetId="8">#REF!</definedName>
    <definedName name="SG_01_23" localSheetId="5">#REF!</definedName>
    <definedName name="SG_01_23">#REF!</definedName>
    <definedName name="SG_01_24" localSheetId="8">#REF!</definedName>
    <definedName name="SG_01_24" localSheetId="5">#REF!</definedName>
    <definedName name="SG_01_24">#REF!</definedName>
    <definedName name="SG_01_25" localSheetId="8">#REF!</definedName>
    <definedName name="SG_01_25" localSheetId="5">#REF!</definedName>
    <definedName name="SG_01_25">#REF!</definedName>
    <definedName name="SG_01_26" localSheetId="8">#REF!</definedName>
    <definedName name="SG_01_26" localSheetId="5">#REF!</definedName>
    <definedName name="SG_01_26">#REF!</definedName>
    <definedName name="SG_01_27" localSheetId="8">#REF!</definedName>
    <definedName name="SG_01_27" localSheetId="5">#REF!</definedName>
    <definedName name="SG_01_27">#REF!</definedName>
    <definedName name="SG_01_28" localSheetId="8">#REF!</definedName>
    <definedName name="SG_01_28" localSheetId="5">#REF!</definedName>
    <definedName name="SG_01_28">#REF!</definedName>
    <definedName name="SG_01_29" localSheetId="8">#REF!</definedName>
    <definedName name="SG_01_29" localSheetId="5">#REF!</definedName>
    <definedName name="SG_01_29">#REF!</definedName>
    <definedName name="SG_01_30" localSheetId="8">#REF!</definedName>
    <definedName name="SG_01_30" localSheetId="5">#REF!</definedName>
    <definedName name="SG_01_30">#REF!</definedName>
    <definedName name="SG_02_01" localSheetId="8">#REF!</definedName>
    <definedName name="SG_02_01" localSheetId="5">#REF!</definedName>
    <definedName name="SG_02_01">#REF!</definedName>
    <definedName name="SG_02_02" localSheetId="8">#REF!</definedName>
    <definedName name="SG_02_02" localSheetId="5">#REF!</definedName>
    <definedName name="SG_02_02">#REF!</definedName>
    <definedName name="SG_02_03" localSheetId="8">#REF!</definedName>
    <definedName name="SG_02_03" localSheetId="5">#REF!</definedName>
    <definedName name="SG_02_03">#REF!</definedName>
    <definedName name="SG_02_04" localSheetId="8">#REF!</definedName>
    <definedName name="SG_02_04" localSheetId="5">#REF!</definedName>
    <definedName name="SG_02_04">#REF!</definedName>
    <definedName name="SG_02_05" localSheetId="8">#REF!</definedName>
    <definedName name="SG_02_05" localSheetId="5">#REF!</definedName>
    <definedName name="SG_02_05">#REF!</definedName>
    <definedName name="SG_02_06" localSheetId="8">#REF!</definedName>
    <definedName name="SG_02_06" localSheetId="5">#REF!</definedName>
    <definedName name="SG_02_06">#REF!</definedName>
    <definedName name="SG_02_07" localSheetId="8">#REF!</definedName>
    <definedName name="SG_02_07" localSheetId="5">#REF!</definedName>
    <definedName name="SG_02_07">#REF!</definedName>
    <definedName name="SG_02_08" localSheetId="8">#REF!</definedName>
    <definedName name="SG_02_08" localSheetId="5">#REF!</definedName>
    <definedName name="SG_02_08">#REF!</definedName>
    <definedName name="SG_02_09" localSheetId="8">#REF!</definedName>
    <definedName name="SG_02_09" localSheetId="5">#REF!</definedName>
    <definedName name="SG_02_09">#REF!</definedName>
    <definedName name="SG_02_10" localSheetId="8">#REF!</definedName>
    <definedName name="SG_02_10" localSheetId="5">#REF!</definedName>
    <definedName name="SG_02_10">#REF!</definedName>
    <definedName name="SG_02_11" localSheetId="8">#REF!</definedName>
    <definedName name="SG_02_11" localSheetId="5">#REF!</definedName>
    <definedName name="SG_02_11">#REF!</definedName>
    <definedName name="SG_02_12" localSheetId="8">#REF!</definedName>
    <definedName name="SG_02_12" localSheetId="5">#REF!</definedName>
    <definedName name="SG_02_12">#REF!</definedName>
    <definedName name="SG_02_13" localSheetId="8">#REF!</definedName>
    <definedName name="SG_02_13" localSheetId="5">#REF!</definedName>
    <definedName name="SG_02_13">#REF!</definedName>
    <definedName name="SG_02_14" localSheetId="8">#REF!</definedName>
    <definedName name="SG_02_14" localSheetId="5">#REF!</definedName>
    <definedName name="SG_02_14">#REF!</definedName>
    <definedName name="SG_02_15" localSheetId="8">#REF!</definedName>
    <definedName name="SG_02_15" localSheetId="5">#REF!</definedName>
    <definedName name="SG_02_15">#REF!</definedName>
    <definedName name="SG_02_16" localSheetId="8">#REF!</definedName>
    <definedName name="SG_02_16" localSheetId="5">#REF!</definedName>
    <definedName name="SG_02_16">#REF!</definedName>
    <definedName name="SG_02_17" localSheetId="8">#REF!</definedName>
    <definedName name="SG_02_17" localSheetId="5">#REF!</definedName>
    <definedName name="SG_02_17">#REF!</definedName>
    <definedName name="SG_02_18" localSheetId="8">#REF!</definedName>
    <definedName name="SG_02_18" localSheetId="5">#REF!</definedName>
    <definedName name="SG_02_18">#REF!</definedName>
    <definedName name="SG_02_19" localSheetId="8">#REF!</definedName>
    <definedName name="SG_02_19" localSheetId="5">#REF!</definedName>
    <definedName name="SG_02_19">#REF!</definedName>
    <definedName name="SG_02_20" localSheetId="8">#REF!</definedName>
    <definedName name="SG_02_20" localSheetId="5">#REF!</definedName>
    <definedName name="SG_02_20">#REF!</definedName>
    <definedName name="SG_02_21" localSheetId="8">#REF!</definedName>
    <definedName name="SG_02_21" localSheetId="5">#REF!</definedName>
    <definedName name="SG_02_21">#REF!</definedName>
    <definedName name="SG_02_22" localSheetId="8">#REF!</definedName>
    <definedName name="SG_02_22" localSheetId="5">#REF!</definedName>
    <definedName name="SG_02_22">#REF!</definedName>
    <definedName name="SG_02_23" localSheetId="8">#REF!</definedName>
    <definedName name="SG_02_23" localSheetId="5">#REF!</definedName>
    <definedName name="SG_02_23">#REF!</definedName>
    <definedName name="SG_02_24" localSheetId="8">#REF!</definedName>
    <definedName name="SG_02_24" localSheetId="5">#REF!</definedName>
    <definedName name="SG_02_24">#REF!</definedName>
    <definedName name="SG_02_25" localSheetId="8">#REF!</definedName>
    <definedName name="SG_02_25" localSheetId="5">#REF!</definedName>
    <definedName name="SG_02_25">#REF!</definedName>
    <definedName name="SG_02_26" localSheetId="8">#REF!</definedName>
    <definedName name="SG_02_26" localSheetId="5">#REF!</definedName>
    <definedName name="SG_02_26">#REF!</definedName>
    <definedName name="SG_02_27" localSheetId="8">#REF!</definedName>
    <definedName name="SG_02_27" localSheetId="5">#REF!</definedName>
    <definedName name="SG_02_27">#REF!</definedName>
    <definedName name="SG_02_28" localSheetId="8">#REF!</definedName>
    <definedName name="SG_02_28" localSheetId="5">#REF!</definedName>
    <definedName name="SG_02_28">#REF!</definedName>
    <definedName name="SG_02_29" localSheetId="8">#REF!</definedName>
    <definedName name="SG_02_29" localSheetId="5">#REF!</definedName>
    <definedName name="SG_02_29">#REF!</definedName>
    <definedName name="SG_02_30" localSheetId="8">#REF!</definedName>
    <definedName name="SG_02_30" localSheetId="5">#REF!</definedName>
    <definedName name="SG_02_30">#REF!</definedName>
    <definedName name="SG_03_01" localSheetId="8">#REF!</definedName>
    <definedName name="SG_03_01" localSheetId="5">#REF!</definedName>
    <definedName name="SG_03_01">#REF!</definedName>
    <definedName name="SG_03_02" localSheetId="8">#REF!</definedName>
    <definedName name="SG_03_02" localSheetId="5">#REF!</definedName>
    <definedName name="SG_03_02">#REF!</definedName>
    <definedName name="SG_03_03" localSheetId="8">#REF!</definedName>
    <definedName name="SG_03_03" localSheetId="5">#REF!</definedName>
    <definedName name="SG_03_03">#REF!</definedName>
    <definedName name="SG_03_04" localSheetId="8">#REF!</definedName>
    <definedName name="SG_03_04" localSheetId="5">#REF!</definedName>
    <definedName name="SG_03_04">#REF!</definedName>
    <definedName name="SG_03_05" localSheetId="8">#REF!</definedName>
    <definedName name="SG_03_05" localSheetId="5">#REF!</definedName>
    <definedName name="SG_03_05">#REF!</definedName>
    <definedName name="SG_03_06" localSheetId="8">#REF!</definedName>
    <definedName name="SG_03_06" localSheetId="5">#REF!</definedName>
    <definedName name="SG_03_06">#REF!</definedName>
    <definedName name="SG_03_07" localSheetId="8">#REF!</definedName>
    <definedName name="SG_03_07" localSheetId="5">#REF!</definedName>
    <definedName name="SG_03_07">#REF!</definedName>
    <definedName name="SG_03_08" localSheetId="8">#REF!</definedName>
    <definedName name="SG_03_08" localSheetId="5">#REF!</definedName>
    <definedName name="SG_03_08">#REF!</definedName>
    <definedName name="SG_03_09" localSheetId="8">#REF!</definedName>
    <definedName name="SG_03_09" localSheetId="5">#REF!</definedName>
    <definedName name="SG_03_09">#REF!</definedName>
    <definedName name="SG_03_10" localSheetId="8">#REF!</definedName>
    <definedName name="SG_03_10" localSheetId="5">#REF!</definedName>
    <definedName name="SG_03_10">#REF!</definedName>
    <definedName name="SG_03_11" localSheetId="8">#REF!</definedName>
    <definedName name="SG_03_11" localSheetId="5">#REF!</definedName>
    <definedName name="SG_03_11">#REF!</definedName>
    <definedName name="SG_03_12" localSheetId="8">#REF!</definedName>
    <definedName name="SG_03_12" localSheetId="5">#REF!</definedName>
    <definedName name="SG_03_12">#REF!</definedName>
    <definedName name="SG_03_13" localSheetId="8">#REF!</definedName>
    <definedName name="SG_03_13" localSheetId="5">#REF!</definedName>
    <definedName name="SG_03_13">#REF!</definedName>
    <definedName name="SG_03_14" localSheetId="8">#REF!</definedName>
    <definedName name="SG_03_14" localSheetId="5">#REF!</definedName>
    <definedName name="SG_03_14">#REF!</definedName>
    <definedName name="SG_03_15" localSheetId="8">#REF!</definedName>
    <definedName name="SG_03_15" localSheetId="5">#REF!</definedName>
    <definedName name="SG_03_15">#REF!</definedName>
    <definedName name="SG_03_16" localSheetId="8">#REF!</definedName>
    <definedName name="SG_03_16" localSheetId="5">#REF!</definedName>
    <definedName name="SG_03_16">#REF!</definedName>
    <definedName name="SG_03_17" localSheetId="8">#REF!</definedName>
    <definedName name="SG_03_17" localSheetId="5">#REF!</definedName>
    <definedName name="SG_03_17">#REF!</definedName>
    <definedName name="SG_03_18" localSheetId="8">#REF!</definedName>
    <definedName name="SG_03_18" localSheetId="5">#REF!</definedName>
    <definedName name="SG_03_18">#REF!</definedName>
    <definedName name="SG_03_19" localSheetId="8">#REF!</definedName>
    <definedName name="SG_03_19" localSheetId="5">#REF!</definedName>
    <definedName name="SG_03_19">#REF!</definedName>
    <definedName name="SG_03_20" localSheetId="8">#REF!</definedName>
    <definedName name="SG_03_20" localSheetId="5">#REF!</definedName>
    <definedName name="SG_03_20">#REF!</definedName>
    <definedName name="SG_03_21" localSheetId="8">#REF!</definedName>
    <definedName name="SG_03_21" localSheetId="5">#REF!</definedName>
    <definedName name="SG_03_21">#REF!</definedName>
    <definedName name="SG_03_22" localSheetId="8">#REF!</definedName>
    <definedName name="SG_03_22" localSheetId="5">#REF!</definedName>
    <definedName name="SG_03_22">#REF!</definedName>
    <definedName name="SG_03_23" localSheetId="8">#REF!</definedName>
    <definedName name="SG_03_23" localSheetId="5">#REF!</definedName>
    <definedName name="SG_03_23">#REF!</definedName>
    <definedName name="SG_03_24" localSheetId="8">#REF!</definedName>
    <definedName name="SG_03_24" localSheetId="5">#REF!</definedName>
    <definedName name="SG_03_24">#REF!</definedName>
    <definedName name="SG_03_25" localSheetId="8">#REF!</definedName>
    <definedName name="SG_03_25" localSheetId="5">#REF!</definedName>
    <definedName name="SG_03_25">#REF!</definedName>
    <definedName name="SG_03_26" localSheetId="8">#REF!</definedName>
    <definedName name="SG_03_26" localSheetId="5">#REF!</definedName>
    <definedName name="SG_03_26">#REF!</definedName>
    <definedName name="SG_03_27" localSheetId="8">#REF!</definedName>
    <definedName name="SG_03_27" localSheetId="5">#REF!</definedName>
    <definedName name="SG_03_27">#REF!</definedName>
    <definedName name="SG_03_28" localSheetId="8">#REF!</definedName>
    <definedName name="SG_03_28" localSheetId="5">#REF!</definedName>
    <definedName name="SG_03_28">#REF!</definedName>
    <definedName name="SG_03_29" localSheetId="8">#REF!</definedName>
    <definedName name="SG_03_29" localSheetId="5">#REF!</definedName>
    <definedName name="SG_03_29">#REF!</definedName>
    <definedName name="SG_03_30" localSheetId="8">#REF!</definedName>
    <definedName name="SG_03_30" localSheetId="5">#REF!</definedName>
    <definedName name="SG_03_30">#REF!</definedName>
    <definedName name="SG_04_01" localSheetId="8">#REF!</definedName>
    <definedName name="SG_04_01" localSheetId="5">#REF!</definedName>
    <definedName name="SG_04_01">#REF!</definedName>
    <definedName name="SG_04_02" localSheetId="8">#REF!</definedName>
    <definedName name="SG_04_02" localSheetId="5">#REF!</definedName>
    <definedName name="SG_04_02">#REF!</definedName>
    <definedName name="SG_04_03" localSheetId="8">#REF!</definedName>
    <definedName name="SG_04_03" localSheetId="5">#REF!</definedName>
    <definedName name="SG_04_03">#REF!</definedName>
    <definedName name="SG_04_04" localSheetId="8">#REF!</definedName>
    <definedName name="SG_04_04" localSheetId="5">#REF!</definedName>
    <definedName name="SG_04_04">#REF!</definedName>
    <definedName name="SG_04_05" localSheetId="8">#REF!</definedName>
    <definedName name="SG_04_05" localSheetId="5">#REF!</definedName>
    <definedName name="SG_04_05">#REF!</definedName>
    <definedName name="SG_04_06" localSheetId="8">#REF!</definedName>
    <definedName name="SG_04_06" localSheetId="5">#REF!</definedName>
    <definedName name="SG_04_06">#REF!</definedName>
    <definedName name="SG_04_07" localSheetId="8">#REF!</definedName>
    <definedName name="SG_04_07" localSheetId="5">#REF!</definedName>
    <definedName name="SG_04_07">#REF!</definedName>
    <definedName name="SG_04_08" localSheetId="8">#REF!</definedName>
    <definedName name="SG_04_08" localSheetId="5">#REF!</definedName>
    <definedName name="SG_04_08">#REF!</definedName>
    <definedName name="SG_04_09" localSheetId="8">#REF!</definedName>
    <definedName name="SG_04_09" localSheetId="5">#REF!</definedName>
    <definedName name="SG_04_09">#REF!</definedName>
    <definedName name="SG_04_10" localSheetId="8">#REF!</definedName>
    <definedName name="SG_04_10" localSheetId="5">#REF!</definedName>
    <definedName name="SG_04_10">#REF!</definedName>
    <definedName name="SG_04_11" localSheetId="8">#REF!</definedName>
    <definedName name="SG_04_11" localSheetId="5">#REF!</definedName>
    <definedName name="SG_04_11">#REF!</definedName>
    <definedName name="SG_04_12" localSheetId="8">#REF!</definedName>
    <definedName name="SG_04_12" localSheetId="5">#REF!</definedName>
    <definedName name="SG_04_12">#REF!</definedName>
    <definedName name="SG_04_13" localSheetId="8">#REF!</definedName>
    <definedName name="SG_04_13" localSheetId="5">#REF!</definedName>
    <definedName name="SG_04_13">#REF!</definedName>
    <definedName name="SG_04_14" localSheetId="8">#REF!</definedName>
    <definedName name="SG_04_14" localSheetId="5">#REF!</definedName>
    <definedName name="SG_04_14">#REF!</definedName>
    <definedName name="SG_04_15" localSheetId="8">#REF!</definedName>
    <definedName name="SG_04_15" localSheetId="5">#REF!</definedName>
    <definedName name="SG_04_15">#REF!</definedName>
    <definedName name="SG_04_16" localSheetId="8">#REF!</definedName>
    <definedName name="SG_04_16" localSheetId="5">#REF!</definedName>
    <definedName name="SG_04_16">#REF!</definedName>
    <definedName name="SG_04_17" localSheetId="8">#REF!</definedName>
    <definedName name="SG_04_17" localSheetId="5">#REF!</definedName>
    <definedName name="SG_04_17">#REF!</definedName>
    <definedName name="SG_04_18" localSheetId="8">#REF!</definedName>
    <definedName name="SG_04_18" localSheetId="5">#REF!</definedName>
    <definedName name="SG_04_18">#REF!</definedName>
    <definedName name="SG_04_19" localSheetId="8">#REF!</definedName>
    <definedName name="SG_04_19" localSheetId="5">#REF!</definedName>
    <definedName name="SG_04_19">#REF!</definedName>
    <definedName name="SG_04_20" localSheetId="8">#REF!</definedName>
    <definedName name="SG_04_20" localSheetId="5">#REF!</definedName>
    <definedName name="SG_04_20">#REF!</definedName>
    <definedName name="SG_04_21" localSheetId="8">#REF!</definedName>
    <definedName name="SG_04_21" localSheetId="5">#REF!</definedName>
    <definedName name="SG_04_21">#REF!</definedName>
    <definedName name="SG_04_22" localSheetId="8">#REF!</definedName>
    <definedName name="SG_04_22" localSheetId="5">#REF!</definedName>
    <definedName name="SG_04_22">#REF!</definedName>
    <definedName name="SG_04_23" localSheetId="8">#REF!</definedName>
    <definedName name="SG_04_23" localSheetId="5">#REF!</definedName>
    <definedName name="SG_04_23">#REF!</definedName>
    <definedName name="SG_04_24" localSheetId="8">#REF!</definedName>
    <definedName name="SG_04_24" localSheetId="5">#REF!</definedName>
    <definedName name="SG_04_24">#REF!</definedName>
    <definedName name="SG_04_25" localSheetId="8">#REF!</definedName>
    <definedName name="SG_04_25" localSheetId="5">#REF!</definedName>
    <definedName name="SG_04_25">#REF!</definedName>
    <definedName name="SG_04_26" localSheetId="8">#REF!</definedName>
    <definedName name="SG_04_26" localSheetId="5">#REF!</definedName>
    <definedName name="SG_04_26">#REF!</definedName>
    <definedName name="SG_04_27" localSheetId="8">#REF!</definedName>
    <definedName name="SG_04_27" localSheetId="5">#REF!</definedName>
    <definedName name="SG_04_27">#REF!</definedName>
    <definedName name="SG_04_28" localSheetId="8">#REF!</definedName>
    <definedName name="SG_04_28" localSheetId="5">#REF!</definedName>
    <definedName name="SG_04_28">#REF!</definedName>
    <definedName name="SG_04_29" localSheetId="8">#REF!</definedName>
    <definedName name="SG_04_29" localSheetId="5">#REF!</definedName>
    <definedName name="SG_04_29">#REF!</definedName>
    <definedName name="SG_04_30" localSheetId="8">#REF!</definedName>
    <definedName name="SG_04_30" localSheetId="5">#REF!</definedName>
    <definedName name="SG_04_30">#REF!</definedName>
    <definedName name="SG_05_01" localSheetId="8">#REF!</definedName>
    <definedName name="SG_05_01" localSheetId="5">#REF!</definedName>
    <definedName name="SG_05_01">#REF!</definedName>
    <definedName name="SG_05_02" localSheetId="8">#REF!</definedName>
    <definedName name="SG_05_02" localSheetId="5">#REF!</definedName>
    <definedName name="SG_05_02">#REF!</definedName>
    <definedName name="SG_05_03" localSheetId="8">#REF!</definedName>
    <definedName name="SG_05_03" localSheetId="5">#REF!</definedName>
    <definedName name="SG_05_03">#REF!</definedName>
    <definedName name="SG_05_04" localSheetId="8">#REF!</definedName>
    <definedName name="SG_05_04" localSheetId="5">#REF!</definedName>
    <definedName name="SG_05_04">#REF!</definedName>
    <definedName name="SG_05_05" localSheetId="8">#REF!</definedName>
    <definedName name="SG_05_05" localSheetId="5">#REF!</definedName>
    <definedName name="SG_05_05">#REF!</definedName>
    <definedName name="SG_05_06" localSheetId="8">#REF!</definedName>
    <definedName name="SG_05_06" localSheetId="5">#REF!</definedName>
    <definedName name="SG_05_06">#REF!</definedName>
    <definedName name="SG_05_07" localSheetId="8">#REF!</definedName>
    <definedName name="SG_05_07" localSheetId="5">#REF!</definedName>
    <definedName name="SG_05_07">#REF!</definedName>
    <definedName name="SG_05_08" localSheetId="8">#REF!</definedName>
    <definedName name="SG_05_08" localSheetId="5">#REF!</definedName>
    <definedName name="SG_05_08">#REF!</definedName>
    <definedName name="SG_05_09" localSheetId="8">#REF!</definedName>
    <definedName name="SG_05_09" localSheetId="5">#REF!</definedName>
    <definedName name="SG_05_09">#REF!</definedName>
    <definedName name="SG_05_10" localSheetId="8">#REF!</definedName>
    <definedName name="SG_05_10" localSheetId="5">#REF!</definedName>
    <definedName name="SG_05_10">#REF!</definedName>
    <definedName name="SG_05_11" localSheetId="8">#REF!</definedName>
    <definedName name="SG_05_11" localSheetId="5">#REF!</definedName>
    <definedName name="SG_05_11">#REF!</definedName>
    <definedName name="SG_05_12" localSheetId="8">#REF!</definedName>
    <definedName name="SG_05_12" localSheetId="5">#REF!</definedName>
    <definedName name="SG_05_12">#REF!</definedName>
    <definedName name="SG_05_13" localSheetId="8">#REF!</definedName>
    <definedName name="SG_05_13" localSheetId="5">#REF!</definedName>
    <definedName name="SG_05_13">#REF!</definedName>
    <definedName name="SG_05_14" localSheetId="8">#REF!</definedName>
    <definedName name="SG_05_14" localSheetId="5">#REF!</definedName>
    <definedName name="SG_05_14">#REF!</definedName>
    <definedName name="SG_05_15" localSheetId="8">#REF!</definedName>
    <definedName name="SG_05_15" localSheetId="5">#REF!</definedName>
    <definedName name="SG_05_15">#REF!</definedName>
    <definedName name="SG_05_16" localSheetId="8">#REF!</definedName>
    <definedName name="SG_05_16" localSheetId="5">#REF!</definedName>
    <definedName name="SG_05_16">#REF!</definedName>
    <definedName name="SG_05_17" localSheetId="8">#REF!</definedName>
    <definedName name="SG_05_17" localSheetId="5">#REF!</definedName>
    <definedName name="SG_05_17">#REF!</definedName>
    <definedName name="SG_05_18" localSheetId="8">#REF!</definedName>
    <definedName name="SG_05_18" localSheetId="5">#REF!</definedName>
    <definedName name="SG_05_18">#REF!</definedName>
    <definedName name="SG_05_19" localSheetId="8">#REF!</definedName>
    <definedName name="SG_05_19" localSheetId="5">#REF!</definedName>
    <definedName name="SG_05_19">#REF!</definedName>
    <definedName name="SG_05_20" localSheetId="8">#REF!</definedName>
    <definedName name="SG_05_20" localSheetId="5">#REF!</definedName>
    <definedName name="SG_05_20">#REF!</definedName>
    <definedName name="SG_05_21" localSheetId="8">#REF!</definedName>
    <definedName name="SG_05_21" localSheetId="5">#REF!</definedName>
    <definedName name="SG_05_21">#REF!</definedName>
    <definedName name="SG_05_22" localSheetId="8">#REF!</definedName>
    <definedName name="SG_05_22" localSheetId="5">#REF!</definedName>
    <definedName name="SG_05_22">#REF!</definedName>
    <definedName name="SG_05_23" localSheetId="8">#REF!</definedName>
    <definedName name="SG_05_23" localSheetId="5">#REF!</definedName>
    <definedName name="SG_05_23">#REF!</definedName>
    <definedName name="SG_05_24" localSheetId="8">#REF!</definedName>
    <definedName name="SG_05_24" localSheetId="5">#REF!</definedName>
    <definedName name="SG_05_24">#REF!</definedName>
    <definedName name="SG_05_25" localSheetId="8">#REF!</definedName>
    <definedName name="SG_05_25" localSheetId="5">#REF!</definedName>
    <definedName name="SG_05_25">#REF!</definedName>
    <definedName name="SG_05_26" localSheetId="8">#REF!</definedName>
    <definedName name="SG_05_26" localSheetId="5">#REF!</definedName>
    <definedName name="SG_05_26">#REF!</definedName>
    <definedName name="SG_05_27" localSheetId="8">#REF!</definedName>
    <definedName name="SG_05_27" localSheetId="5">#REF!</definedName>
    <definedName name="SG_05_27">#REF!</definedName>
    <definedName name="SG_05_28" localSheetId="8">#REF!</definedName>
    <definedName name="SG_05_28" localSheetId="5">#REF!</definedName>
    <definedName name="SG_05_28">#REF!</definedName>
    <definedName name="SG_05_29" localSheetId="8">#REF!</definedName>
    <definedName name="SG_05_29" localSheetId="5">#REF!</definedName>
    <definedName name="SG_05_29">#REF!</definedName>
    <definedName name="SG_05_30" localSheetId="8">#REF!</definedName>
    <definedName name="SG_05_30" localSheetId="5">#REF!</definedName>
    <definedName name="SG_05_30">#REF!</definedName>
    <definedName name="SG_06_01" localSheetId="8">#REF!</definedName>
    <definedName name="SG_06_01" localSheetId="5">#REF!</definedName>
    <definedName name="SG_06_01">#REF!</definedName>
    <definedName name="SG_06_02" localSheetId="8">#REF!</definedName>
    <definedName name="SG_06_02" localSheetId="5">#REF!</definedName>
    <definedName name="SG_06_02">#REF!</definedName>
    <definedName name="SG_06_03" localSheetId="8">#REF!</definedName>
    <definedName name="SG_06_03" localSheetId="5">#REF!</definedName>
    <definedName name="SG_06_03">#REF!</definedName>
    <definedName name="SG_06_04" localSheetId="8">#REF!</definedName>
    <definedName name="SG_06_04" localSheetId="5">#REF!</definedName>
    <definedName name="SG_06_04">#REF!</definedName>
    <definedName name="SG_06_05" localSheetId="8">#REF!</definedName>
    <definedName name="SG_06_05" localSheetId="5">#REF!</definedName>
    <definedName name="SG_06_05">#REF!</definedName>
    <definedName name="SG_06_06" localSheetId="8">#REF!</definedName>
    <definedName name="SG_06_06" localSheetId="5">#REF!</definedName>
    <definedName name="SG_06_06">#REF!</definedName>
    <definedName name="SG_06_07" localSheetId="8">#REF!</definedName>
    <definedName name="SG_06_07" localSheetId="5">#REF!</definedName>
    <definedName name="SG_06_07">#REF!</definedName>
    <definedName name="SG_06_08" localSheetId="8">#REF!</definedName>
    <definedName name="SG_06_08" localSheetId="5">#REF!</definedName>
    <definedName name="SG_06_08">#REF!</definedName>
    <definedName name="SG_06_09" localSheetId="8">#REF!</definedName>
    <definedName name="SG_06_09" localSheetId="5">#REF!</definedName>
    <definedName name="SG_06_09">#REF!</definedName>
    <definedName name="SG_06_10" localSheetId="8">#REF!</definedName>
    <definedName name="SG_06_10" localSheetId="5">#REF!</definedName>
    <definedName name="SG_06_10">#REF!</definedName>
    <definedName name="SG_06_11" localSheetId="8">#REF!</definedName>
    <definedName name="SG_06_11" localSheetId="5">#REF!</definedName>
    <definedName name="SG_06_11">#REF!</definedName>
    <definedName name="SG_06_12" localSheetId="8">#REF!</definedName>
    <definedName name="SG_06_12" localSheetId="5">#REF!</definedName>
    <definedName name="SG_06_12">#REF!</definedName>
    <definedName name="SG_06_13" localSheetId="8">#REF!</definedName>
    <definedName name="SG_06_13" localSheetId="5">#REF!</definedName>
    <definedName name="SG_06_13">#REF!</definedName>
    <definedName name="SG_06_14" localSheetId="8">#REF!</definedName>
    <definedName name="SG_06_14" localSheetId="5">#REF!</definedName>
    <definedName name="SG_06_14">#REF!</definedName>
    <definedName name="SG_06_15" localSheetId="8">#REF!</definedName>
    <definedName name="SG_06_15" localSheetId="5">#REF!</definedName>
    <definedName name="SG_06_15">#REF!</definedName>
    <definedName name="SG_06_16" localSheetId="8">#REF!</definedName>
    <definedName name="SG_06_16" localSheetId="5">#REF!</definedName>
    <definedName name="SG_06_16">#REF!</definedName>
    <definedName name="SG_06_17" localSheetId="8">#REF!</definedName>
    <definedName name="SG_06_17" localSheetId="5">#REF!</definedName>
    <definedName name="SG_06_17">#REF!</definedName>
    <definedName name="SG_06_18" localSheetId="8">#REF!</definedName>
    <definedName name="SG_06_18" localSheetId="5">#REF!</definedName>
    <definedName name="SG_06_18">#REF!</definedName>
    <definedName name="SG_06_19" localSheetId="8">#REF!</definedName>
    <definedName name="SG_06_19" localSheetId="5">#REF!</definedName>
    <definedName name="SG_06_19">#REF!</definedName>
    <definedName name="SG_06_20" localSheetId="8">#REF!</definedName>
    <definedName name="SG_06_20" localSheetId="5">#REF!</definedName>
    <definedName name="SG_06_20">#REF!</definedName>
    <definedName name="SG_06_21" localSheetId="8">#REF!</definedName>
    <definedName name="SG_06_21" localSheetId="5">#REF!</definedName>
    <definedName name="SG_06_21">#REF!</definedName>
    <definedName name="SG_06_22" localSheetId="8">#REF!</definedName>
    <definedName name="SG_06_22" localSheetId="5">#REF!</definedName>
    <definedName name="SG_06_22">#REF!</definedName>
    <definedName name="SG_06_23" localSheetId="8">#REF!</definedName>
    <definedName name="SG_06_23" localSheetId="5">#REF!</definedName>
    <definedName name="SG_06_23">#REF!</definedName>
    <definedName name="SG_06_24" localSheetId="8">#REF!</definedName>
    <definedName name="SG_06_24" localSheetId="5">#REF!</definedName>
    <definedName name="SG_06_24">#REF!</definedName>
    <definedName name="SG_06_25" localSheetId="8">#REF!</definedName>
    <definedName name="SG_06_25" localSheetId="5">#REF!</definedName>
    <definedName name="SG_06_25">#REF!</definedName>
    <definedName name="SG_06_26" localSheetId="8">#REF!</definedName>
    <definedName name="SG_06_26" localSheetId="5">#REF!</definedName>
    <definedName name="SG_06_26">#REF!</definedName>
    <definedName name="SG_06_27" localSheetId="8">#REF!</definedName>
    <definedName name="SG_06_27" localSheetId="5">#REF!</definedName>
    <definedName name="SG_06_27">#REF!</definedName>
    <definedName name="SG_06_28" localSheetId="8">#REF!</definedName>
    <definedName name="SG_06_28" localSheetId="5">#REF!</definedName>
    <definedName name="SG_06_28">#REF!</definedName>
    <definedName name="SG_06_29" localSheetId="8">#REF!</definedName>
    <definedName name="SG_06_29" localSheetId="5">#REF!</definedName>
    <definedName name="SG_06_29">#REF!</definedName>
    <definedName name="SG_06_30" localSheetId="8">#REF!</definedName>
    <definedName name="SG_06_30" localSheetId="5">#REF!</definedName>
    <definedName name="SG_06_30">#REF!</definedName>
    <definedName name="SG_07_01" localSheetId="8">#REF!</definedName>
    <definedName name="SG_07_01" localSheetId="5">#REF!</definedName>
    <definedName name="SG_07_01">#REF!</definedName>
    <definedName name="SG_07_02" localSheetId="8">#REF!</definedName>
    <definedName name="SG_07_02" localSheetId="5">#REF!</definedName>
    <definedName name="SG_07_02">#REF!</definedName>
    <definedName name="SG_07_03" localSheetId="8">#REF!</definedName>
    <definedName name="SG_07_03" localSheetId="5">#REF!</definedName>
    <definedName name="SG_07_03">#REF!</definedName>
    <definedName name="SG_07_04" localSheetId="8">#REF!</definedName>
    <definedName name="SG_07_04" localSheetId="5">#REF!</definedName>
    <definedName name="SG_07_04">#REF!</definedName>
    <definedName name="SG_07_05" localSheetId="8">#REF!</definedName>
    <definedName name="SG_07_05" localSheetId="5">#REF!</definedName>
    <definedName name="SG_07_05">#REF!</definedName>
    <definedName name="SG_07_06" localSheetId="8">#REF!</definedName>
    <definedName name="SG_07_06" localSheetId="5">#REF!</definedName>
    <definedName name="SG_07_06">#REF!</definedName>
    <definedName name="SG_07_07" localSheetId="8">#REF!</definedName>
    <definedName name="SG_07_07" localSheetId="5">#REF!</definedName>
    <definedName name="SG_07_07">#REF!</definedName>
    <definedName name="SG_07_08" localSheetId="8">#REF!</definedName>
    <definedName name="SG_07_08" localSheetId="5">#REF!</definedName>
    <definedName name="SG_07_08">#REF!</definedName>
    <definedName name="SG_07_09" localSheetId="8">#REF!</definedName>
    <definedName name="SG_07_09" localSheetId="5">#REF!</definedName>
    <definedName name="SG_07_09">#REF!</definedName>
    <definedName name="SG_07_10" localSheetId="8">#REF!</definedName>
    <definedName name="SG_07_10" localSheetId="5">#REF!</definedName>
    <definedName name="SG_07_10">#REF!</definedName>
    <definedName name="SG_07_11" localSheetId="8">#REF!</definedName>
    <definedName name="SG_07_11" localSheetId="5">#REF!</definedName>
    <definedName name="SG_07_11">#REF!</definedName>
    <definedName name="SG_07_12" localSheetId="8">#REF!</definedName>
    <definedName name="SG_07_12" localSheetId="5">#REF!</definedName>
    <definedName name="SG_07_12">#REF!</definedName>
    <definedName name="SG_07_13" localSheetId="8">#REF!</definedName>
    <definedName name="SG_07_13" localSheetId="5">#REF!</definedName>
    <definedName name="SG_07_13">#REF!</definedName>
    <definedName name="SG_07_14" localSheetId="8">#REF!</definedName>
    <definedName name="SG_07_14" localSheetId="5">#REF!</definedName>
    <definedName name="SG_07_14">#REF!</definedName>
    <definedName name="SG_07_15" localSheetId="8">#REF!</definedName>
    <definedName name="SG_07_15" localSheetId="5">#REF!</definedName>
    <definedName name="SG_07_15">#REF!</definedName>
    <definedName name="SG_07_16" localSheetId="8">#REF!</definedName>
    <definedName name="SG_07_16" localSheetId="5">#REF!</definedName>
    <definedName name="SG_07_16">#REF!</definedName>
    <definedName name="SG_07_17" localSheetId="8">#REF!</definedName>
    <definedName name="SG_07_17" localSheetId="5">#REF!</definedName>
    <definedName name="SG_07_17">#REF!</definedName>
    <definedName name="SG_07_18" localSheetId="8">#REF!</definedName>
    <definedName name="SG_07_18" localSheetId="5">#REF!</definedName>
    <definedName name="SG_07_18">#REF!</definedName>
    <definedName name="SG_07_19" localSheetId="8">#REF!</definedName>
    <definedName name="SG_07_19" localSheetId="5">#REF!</definedName>
    <definedName name="SG_07_19">#REF!</definedName>
    <definedName name="SG_07_20" localSheetId="8">#REF!</definedName>
    <definedName name="SG_07_20" localSheetId="5">#REF!</definedName>
    <definedName name="SG_07_20">#REF!</definedName>
    <definedName name="SG_07_21" localSheetId="8">#REF!</definedName>
    <definedName name="SG_07_21" localSheetId="5">#REF!</definedName>
    <definedName name="SG_07_21">#REF!</definedName>
    <definedName name="SG_07_22" localSheetId="8">#REF!</definedName>
    <definedName name="SG_07_22" localSheetId="5">#REF!</definedName>
    <definedName name="SG_07_22">#REF!</definedName>
    <definedName name="SG_07_23" localSheetId="8">#REF!</definedName>
    <definedName name="SG_07_23" localSheetId="5">#REF!</definedName>
    <definedName name="SG_07_23">#REF!</definedName>
    <definedName name="SG_07_24" localSheetId="8">#REF!</definedName>
    <definedName name="SG_07_24" localSheetId="5">#REF!</definedName>
    <definedName name="SG_07_24">#REF!</definedName>
    <definedName name="SG_07_25" localSheetId="8">#REF!</definedName>
    <definedName name="SG_07_25" localSheetId="5">#REF!</definedName>
    <definedName name="SG_07_25">#REF!</definedName>
    <definedName name="SG_07_255" localSheetId="8">#REF!</definedName>
    <definedName name="SG_07_255" localSheetId="5">#REF!</definedName>
    <definedName name="SG_07_255">#REF!</definedName>
    <definedName name="SG_07_26" localSheetId="8">#REF!</definedName>
    <definedName name="SG_07_26" localSheetId="5">#REF!</definedName>
    <definedName name="SG_07_26">#REF!</definedName>
    <definedName name="SG_07_27" localSheetId="8">#REF!</definedName>
    <definedName name="SG_07_27" localSheetId="5">#REF!</definedName>
    <definedName name="SG_07_27">#REF!</definedName>
    <definedName name="SG_07_28" localSheetId="8">#REF!</definedName>
    <definedName name="SG_07_28" localSheetId="5">#REF!</definedName>
    <definedName name="SG_07_28">#REF!</definedName>
    <definedName name="SG_07_29" localSheetId="8">#REF!</definedName>
    <definedName name="SG_07_29" localSheetId="5">#REF!</definedName>
    <definedName name="SG_07_29">#REF!</definedName>
    <definedName name="SG_07_30" localSheetId="8">#REF!</definedName>
    <definedName name="SG_07_30" localSheetId="5">#REF!</definedName>
    <definedName name="SG_07_30">#REF!</definedName>
    <definedName name="SG_08_01" localSheetId="8">#REF!</definedName>
    <definedName name="SG_08_01" localSheetId="5">#REF!</definedName>
    <definedName name="SG_08_01">#REF!</definedName>
    <definedName name="SG_08_02" localSheetId="8">#REF!</definedName>
    <definedName name="SG_08_02" localSheetId="5">#REF!</definedName>
    <definedName name="SG_08_02">#REF!</definedName>
    <definedName name="SG_08_03" localSheetId="8">#REF!</definedName>
    <definedName name="SG_08_03" localSheetId="5">#REF!</definedName>
    <definedName name="SG_08_03">#REF!</definedName>
    <definedName name="SG_08_04" localSheetId="8">#REF!</definedName>
    <definedName name="SG_08_04" localSheetId="5">#REF!</definedName>
    <definedName name="SG_08_04">#REF!</definedName>
    <definedName name="SG_08_05" localSheetId="8">#REF!</definedName>
    <definedName name="SG_08_05" localSheetId="5">#REF!</definedName>
    <definedName name="SG_08_05">#REF!</definedName>
    <definedName name="SG_08_06" localSheetId="8">#REF!</definedName>
    <definedName name="SG_08_06" localSheetId="5">#REF!</definedName>
    <definedName name="SG_08_06">#REF!</definedName>
    <definedName name="SG_08_07" localSheetId="8">#REF!</definedName>
    <definedName name="SG_08_07" localSheetId="5">#REF!</definedName>
    <definedName name="SG_08_07">#REF!</definedName>
    <definedName name="SG_08_08" localSheetId="8">#REF!</definedName>
    <definedName name="SG_08_08" localSheetId="5">#REF!</definedName>
    <definedName name="SG_08_08">#REF!</definedName>
    <definedName name="SG_08_09" localSheetId="8">#REF!</definedName>
    <definedName name="SG_08_09" localSheetId="5">#REF!</definedName>
    <definedName name="SG_08_09">#REF!</definedName>
    <definedName name="SG_08_10" localSheetId="8">#REF!</definedName>
    <definedName name="SG_08_10" localSheetId="5">#REF!</definedName>
    <definedName name="SG_08_10">#REF!</definedName>
    <definedName name="SG_08_11" localSheetId="8">#REF!</definedName>
    <definedName name="SG_08_11" localSheetId="5">#REF!</definedName>
    <definedName name="SG_08_11">#REF!</definedName>
    <definedName name="SG_08_12" localSheetId="8">#REF!</definedName>
    <definedName name="SG_08_12" localSheetId="5">#REF!</definedName>
    <definedName name="SG_08_12">#REF!</definedName>
    <definedName name="SG_08_13" localSheetId="8">#REF!</definedName>
    <definedName name="SG_08_13" localSheetId="5">#REF!</definedName>
    <definedName name="SG_08_13">#REF!</definedName>
    <definedName name="SG_08_14" localSheetId="8">#REF!</definedName>
    <definedName name="SG_08_14" localSheetId="5">#REF!</definedName>
    <definedName name="SG_08_14">#REF!</definedName>
    <definedName name="SG_08_15" localSheetId="8">#REF!</definedName>
    <definedName name="SG_08_15" localSheetId="5">#REF!</definedName>
    <definedName name="SG_08_15">#REF!</definedName>
    <definedName name="SG_08_16" localSheetId="8">#REF!</definedName>
    <definedName name="SG_08_16" localSheetId="5">#REF!</definedName>
    <definedName name="SG_08_16">#REF!</definedName>
    <definedName name="SG_08_17" localSheetId="8">#REF!</definedName>
    <definedName name="SG_08_17" localSheetId="5">#REF!</definedName>
    <definedName name="SG_08_17">#REF!</definedName>
    <definedName name="SG_08_18" localSheetId="8">#REF!</definedName>
    <definedName name="SG_08_18" localSheetId="5">#REF!</definedName>
    <definedName name="SG_08_18">#REF!</definedName>
    <definedName name="SG_08_19" localSheetId="8">#REF!</definedName>
    <definedName name="SG_08_19" localSheetId="5">#REF!</definedName>
    <definedName name="SG_08_19">#REF!</definedName>
    <definedName name="SG_08_20" localSheetId="8">#REF!</definedName>
    <definedName name="SG_08_20" localSheetId="5">#REF!</definedName>
    <definedName name="SG_08_20">#REF!</definedName>
    <definedName name="SG_08_21" localSheetId="8">#REF!</definedName>
    <definedName name="SG_08_21" localSheetId="5">#REF!</definedName>
    <definedName name="SG_08_21">#REF!</definedName>
    <definedName name="SG_08_22" localSheetId="8">#REF!</definedName>
    <definedName name="SG_08_22" localSheetId="5">#REF!</definedName>
    <definedName name="SG_08_22">#REF!</definedName>
    <definedName name="SG_08_23" localSheetId="8">#REF!</definedName>
    <definedName name="SG_08_23" localSheetId="5">#REF!</definedName>
    <definedName name="SG_08_23">#REF!</definedName>
    <definedName name="SG_08_24" localSheetId="8">#REF!</definedName>
    <definedName name="SG_08_24" localSheetId="5">#REF!</definedName>
    <definedName name="SG_08_24">#REF!</definedName>
    <definedName name="SG_08_25" localSheetId="8">#REF!</definedName>
    <definedName name="SG_08_25" localSheetId="5">#REF!</definedName>
    <definedName name="SG_08_25">#REF!</definedName>
    <definedName name="SG_08_26" localSheetId="8">#REF!</definedName>
    <definedName name="SG_08_26" localSheetId="5">#REF!</definedName>
    <definedName name="SG_08_26">#REF!</definedName>
    <definedName name="SG_08_27" localSheetId="8">#REF!</definedName>
    <definedName name="SG_08_27" localSheetId="5">#REF!</definedName>
    <definedName name="SG_08_27">#REF!</definedName>
    <definedName name="SG_08_28" localSheetId="8">#REF!</definedName>
    <definedName name="SG_08_28" localSheetId="5">#REF!</definedName>
    <definedName name="SG_08_28">#REF!</definedName>
    <definedName name="SG_08_29" localSheetId="8">#REF!</definedName>
    <definedName name="SG_08_29" localSheetId="5">#REF!</definedName>
    <definedName name="SG_08_29">#REF!</definedName>
    <definedName name="SG_08_30" localSheetId="8">#REF!</definedName>
    <definedName name="SG_08_30" localSheetId="5">#REF!</definedName>
    <definedName name="SG_08_30">#REF!</definedName>
    <definedName name="SG_09_01" localSheetId="8">#REF!</definedName>
    <definedName name="SG_09_01" localSheetId="5">#REF!</definedName>
    <definedName name="SG_09_01">#REF!</definedName>
    <definedName name="SG_09_02" localSheetId="8">#REF!</definedName>
    <definedName name="SG_09_02" localSheetId="5">#REF!</definedName>
    <definedName name="SG_09_02">#REF!</definedName>
    <definedName name="SG_09_03" localSheetId="8">#REF!</definedName>
    <definedName name="SG_09_03" localSheetId="5">#REF!</definedName>
    <definedName name="SG_09_03">#REF!</definedName>
    <definedName name="SG_09_04" localSheetId="8">#REF!</definedName>
    <definedName name="SG_09_04" localSheetId="5">#REF!</definedName>
    <definedName name="SG_09_04">#REF!</definedName>
    <definedName name="SG_09_05" localSheetId="8">#REF!</definedName>
    <definedName name="SG_09_05" localSheetId="5">#REF!</definedName>
    <definedName name="SG_09_05">#REF!</definedName>
    <definedName name="SG_09_06" localSheetId="8">#REF!</definedName>
    <definedName name="SG_09_06" localSheetId="5">#REF!</definedName>
    <definedName name="SG_09_06">#REF!</definedName>
    <definedName name="SG_09_07" localSheetId="8">#REF!</definedName>
    <definedName name="SG_09_07" localSheetId="5">#REF!</definedName>
    <definedName name="SG_09_07">#REF!</definedName>
    <definedName name="SG_09_08" localSheetId="8">#REF!</definedName>
    <definedName name="SG_09_08" localSheetId="5">#REF!</definedName>
    <definedName name="SG_09_08">#REF!</definedName>
    <definedName name="SG_09_09" localSheetId="8">#REF!</definedName>
    <definedName name="SG_09_09" localSheetId="5">#REF!</definedName>
    <definedName name="SG_09_09">#REF!</definedName>
    <definedName name="SG_09_10" localSheetId="8">#REF!</definedName>
    <definedName name="SG_09_10" localSheetId="5">#REF!</definedName>
    <definedName name="SG_09_10">#REF!</definedName>
    <definedName name="SG_09_11" localSheetId="8">#REF!</definedName>
    <definedName name="SG_09_11" localSheetId="5">#REF!</definedName>
    <definedName name="SG_09_11">#REF!</definedName>
    <definedName name="SG_09_12" localSheetId="8">#REF!</definedName>
    <definedName name="SG_09_12" localSheetId="5">#REF!</definedName>
    <definedName name="SG_09_12">#REF!</definedName>
    <definedName name="SG_09_13" localSheetId="8">#REF!</definedName>
    <definedName name="SG_09_13" localSheetId="5">#REF!</definedName>
    <definedName name="SG_09_13">#REF!</definedName>
    <definedName name="SG_09_14" localSheetId="8">#REF!</definedName>
    <definedName name="SG_09_14" localSheetId="5">#REF!</definedName>
    <definedName name="SG_09_14">#REF!</definedName>
    <definedName name="SG_09_15" localSheetId="8">#REF!</definedName>
    <definedName name="SG_09_15" localSheetId="5">#REF!</definedName>
    <definedName name="SG_09_15">#REF!</definedName>
    <definedName name="SG_09_16" localSheetId="8">#REF!</definedName>
    <definedName name="SG_09_16" localSheetId="5">#REF!</definedName>
    <definedName name="SG_09_16">#REF!</definedName>
    <definedName name="SG_09_17" localSheetId="8">#REF!</definedName>
    <definedName name="SG_09_17" localSheetId="5">#REF!</definedName>
    <definedName name="SG_09_17">#REF!</definedName>
    <definedName name="SG_09_18" localSheetId="8">#REF!</definedName>
    <definedName name="SG_09_18" localSheetId="5">#REF!</definedName>
    <definedName name="SG_09_18">#REF!</definedName>
    <definedName name="SG_09_19" localSheetId="8">#REF!</definedName>
    <definedName name="SG_09_19" localSheetId="5">#REF!</definedName>
    <definedName name="SG_09_19">#REF!</definedName>
    <definedName name="SG_09_20" localSheetId="8">#REF!</definedName>
    <definedName name="SG_09_20" localSheetId="5">#REF!</definedName>
    <definedName name="SG_09_20">#REF!</definedName>
    <definedName name="SG_09_21" localSheetId="8">#REF!</definedName>
    <definedName name="SG_09_21" localSheetId="5">#REF!</definedName>
    <definedName name="SG_09_21">#REF!</definedName>
    <definedName name="SG_09_22" localSheetId="8">#REF!</definedName>
    <definedName name="SG_09_22" localSheetId="5">#REF!</definedName>
    <definedName name="SG_09_22">#REF!</definedName>
    <definedName name="SG_09_23" localSheetId="8">#REF!</definedName>
    <definedName name="SG_09_23" localSheetId="5">#REF!</definedName>
    <definedName name="SG_09_23">#REF!</definedName>
    <definedName name="SG_09_24" localSheetId="8">#REF!</definedName>
    <definedName name="SG_09_24" localSheetId="5">#REF!</definedName>
    <definedName name="SG_09_24">#REF!</definedName>
    <definedName name="SG_09_25" localSheetId="8">#REF!</definedName>
    <definedName name="SG_09_25" localSheetId="5">#REF!</definedName>
    <definedName name="SG_09_25">#REF!</definedName>
    <definedName name="SG_09_256" localSheetId="8">#REF!</definedName>
    <definedName name="SG_09_256" localSheetId="5">#REF!</definedName>
    <definedName name="SG_09_256">#REF!</definedName>
    <definedName name="SG_09_26" localSheetId="8">#REF!</definedName>
    <definedName name="SG_09_26" localSheetId="5">#REF!</definedName>
    <definedName name="SG_09_26">#REF!</definedName>
    <definedName name="SG_09_27" localSheetId="8">#REF!</definedName>
    <definedName name="SG_09_27" localSheetId="5">#REF!</definedName>
    <definedName name="SG_09_27">#REF!</definedName>
    <definedName name="SG_09_28" localSheetId="8">#REF!</definedName>
    <definedName name="SG_09_28" localSheetId="5">#REF!</definedName>
    <definedName name="SG_09_28">#REF!</definedName>
    <definedName name="SG_09_29" localSheetId="8">#REF!</definedName>
    <definedName name="SG_09_29" localSheetId="5">#REF!</definedName>
    <definedName name="SG_09_29">#REF!</definedName>
    <definedName name="SG_09_30" localSheetId="8">#REF!</definedName>
    <definedName name="SG_09_30" localSheetId="5">#REF!</definedName>
    <definedName name="SG_09_30">#REF!</definedName>
    <definedName name="SG_10_01" localSheetId="8">#REF!</definedName>
    <definedName name="SG_10_01" localSheetId="5">#REF!</definedName>
    <definedName name="SG_10_01">#REF!</definedName>
    <definedName name="SG_10_02" localSheetId="8">#REF!</definedName>
    <definedName name="SG_10_02" localSheetId="5">#REF!</definedName>
    <definedName name="SG_10_02">#REF!</definedName>
    <definedName name="SG_10_03" localSheetId="8">#REF!</definedName>
    <definedName name="SG_10_03" localSheetId="5">#REF!</definedName>
    <definedName name="SG_10_03">#REF!</definedName>
    <definedName name="SG_10_04" localSheetId="8">#REF!</definedName>
    <definedName name="SG_10_04" localSheetId="5">#REF!</definedName>
    <definedName name="SG_10_04">#REF!</definedName>
    <definedName name="SG_10_05" localSheetId="8">#REF!</definedName>
    <definedName name="SG_10_05" localSheetId="5">#REF!</definedName>
    <definedName name="SG_10_05">#REF!</definedName>
    <definedName name="SG_10_06" localSheetId="8">#REF!</definedName>
    <definedName name="SG_10_06" localSheetId="5">#REF!</definedName>
    <definedName name="SG_10_06">#REF!</definedName>
    <definedName name="SG_10_07" localSheetId="8">#REF!</definedName>
    <definedName name="SG_10_07" localSheetId="5">#REF!</definedName>
    <definedName name="SG_10_07">#REF!</definedName>
    <definedName name="SG_10_08" localSheetId="8">#REF!</definedName>
    <definedName name="SG_10_08" localSheetId="5">#REF!</definedName>
    <definedName name="SG_10_08">#REF!</definedName>
    <definedName name="SG_10_09" localSheetId="8">#REF!</definedName>
    <definedName name="SG_10_09" localSheetId="5">#REF!</definedName>
    <definedName name="SG_10_09">#REF!</definedName>
    <definedName name="SG_10_10" localSheetId="8">#REF!</definedName>
    <definedName name="SG_10_10" localSheetId="5">#REF!</definedName>
    <definedName name="SG_10_10">#REF!</definedName>
    <definedName name="SG_10_11" localSheetId="8">#REF!</definedName>
    <definedName name="SG_10_11" localSheetId="5">#REF!</definedName>
    <definedName name="SG_10_11">#REF!</definedName>
    <definedName name="SG_10_12" localSheetId="8">#REF!</definedName>
    <definedName name="SG_10_12" localSheetId="5">#REF!</definedName>
    <definedName name="SG_10_12">#REF!</definedName>
    <definedName name="SG_10_13" localSheetId="8">#REF!</definedName>
    <definedName name="SG_10_13" localSheetId="5">#REF!</definedName>
    <definedName name="SG_10_13">#REF!</definedName>
    <definedName name="SG_10_14" localSheetId="8">#REF!</definedName>
    <definedName name="SG_10_14" localSheetId="5">#REF!</definedName>
    <definedName name="SG_10_14">#REF!</definedName>
    <definedName name="SG_10_15" localSheetId="8">#REF!</definedName>
    <definedName name="SG_10_15" localSheetId="5">#REF!</definedName>
    <definedName name="SG_10_15">#REF!</definedName>
    <definedName name="SG_10_16" localSheetId="8">#REF!</definedName>
    <definedName name="SG_10_16" localSheetId="5">#REF!</definedName>
    <definedName name="SG_10_16">#REF!</definedName>
    <definedName name="SG_10_17" localSheetId="8">#REF!</definedName>
    <definedName name="SG_10_17" localSheetId="5">#REF!</definedName>
    <definedName name="SG_10_17">#REF!</definedName>
    <definedName name="SG_10_18" localSheetId="8">#REF!</definedName>
    <definedName name="SG_10_18" localSheetId="5">#REF!</definedName>
    <definedName name="SG_10_18">#REF!</definedName>
    <definedName name="SG_10_19" localSheetId="8">#REF!</definedName>
    <definedName name="SG_10_19" localSheetId="5">#REF!</definedName>
    <definedName name="SG_10_19">#REF!</definedName>
    <definedName name="SG_10_20" localSheetId="8">#REF!</definedName>
    <definedName name="SG_10_20" localSheetId="5">#REF!</definedName>
    <definedName name="SG_10_20">#REF!</definedName>
    <definedName name="SG_10_21" localSheetId="8">#REF!</definedName>
    <definedName name="SG_10_21" localSheetId="5">#REF!</definedName>
    <definedName name="SG_10_21">#REF!</definedName>
    <definedName name="SG_10_22" localSheetId="8">#REF!</definedName>
    <definedName name="SG_10_22" localSheetId="5">#REF!</definedName>
    <definedName name="SG_10_22">#REF!</definedName>
    <definedName name="SG_10_23" localSheetId="8">#REF!</definedName>
    <definedName name="SG_10_23" localSheetId="5">#REF!</definedName>
    <definedName name="SG_10_23">#REF!</definedName>
    <definedName name="SG_10_24" localSheetId="8">#REF!</definedName>
    <definedName name="SG_10_24" localSheetId="5">#REF!</definedName>
    <definedName name="SG_10_24">#REF!</definedName>
    <definedName name="SG_10_25" localSheetId="8">#REF!</definedName>
    <definedName name="SG_10_25" localSheetId="5">#REF!</definedName>
    <definedName name="SG_10_25">#REF!</definedName>
    <definedName name="SG_10_26" localSheetId="8">#REF!</definedName>
    <definedName name="SG_10_26" localSheetId="5">#REF!</definedName>
    <definedName name="SG_10_26">#REF!</definedName>
    <definedName name="SG_10_27" localSheetId="8">#REF!</definedName>
    <definedName name="SG_10_27" localSheetId="5">#REF!</definedName>
    <definedName name="SG_10_27">#REF!</definedName>
    <definedName name="SG_10_28" localSheetId="8">#REF!</definedName>
    <definedName name="SG_10_28" localSheetId="5">#REF!</definedName>
    <definedName name="SG_10_28">#REF!</definedName>
    <definedName name="SG_10_29" localSheetId="8">#REF!</definedName>
    <definedName name="SG_10_29" localSheetId="5">#REF!</definedName>
    <definedName name="SG_10_29">#REF!</definedName>
    <definedName name="SG_10_30" localSheetId="8">#REF!</definedName>
    <definedName name="SG_10_30" localSheetId="5">#REF!</definedName>
    <definedName name="SG_10_30">#REF!</definedName>
    <definedName name="SG_11_01" localSheetId="8">#REF!</definedName>
    <definedName name="SG_11_01" localSheetId="5">#REF!</definedName>
    <definedName name="SG_11_01">#REF!</definedName>
    <definedName name="SG_11_02" localSheetId="8">#REF!</definedName>
    <definedName name="SG_11_02" localSheetId="5">#REF!</definedName>
    <definedName name="SG_11_02">#REF!</definedName>
    <definedName name="SG_11_03" localSheetId="8">#REF!</definedName>
    <definedName name="SG_11_03" localSheetId="5">#REF!</definedName>
    <definedName name="SG_11_03">#REF!</definedName>
    <definedName name="SG_11_04" localSheetId="8">#REF!</definedName>
    <definedName name="SG_11_04" localSheetId="5">#REF!</definedName>
    <definedName name="SG_11_04">#REF!</definedName>
    <definedName name="SG_11_05" localSheetId="8">#REF!</definedName>
    <definedName name="SG_11_05" localSheetId="5">#REF!</definedName>
    <definedName name="SG_11_05">#REF!</definedName>
    <definedName name="SG_11_06" localSheetId="8">#REF!</definedName>
    <definedName name="SG_11_06" localSheetId="5">#REF!</definedName>
    <definedName name="SG_11_06">#REF!</definedName>
    <definedName name="SG_11_07" localSheetId="8">#REF!</definedName>
    <definedName name="SG_11_07" localSheetId="5">#REF!</definedName>
    <definedName name="SG_11_07">#REF!</definedName>
    <definedName name="SG_11_08" localSheetId="8">#REF!</definedName>
    <definedName name="SG_11_08" localSheetId="5">#REF!</definedName>
    <definedName name="SG_11_08">#REF!</definedName>
    <definedName name="SG_11_09" localSheetId="8">#REF!</definedName>
    <definedName name="SG_11_09" localSheetId="5">#REF!</definedName>
    <definedName name="SG_11_09">#REF!</definedName>
    <definedName name="SG_11_10" localSheetId="8">#REF!</definedName>
    <definedName name="SG_11_10" localSheetId="5">#REF!</definedName>
    <definedName name="SG_11_10">#REF!</definedName>
    <definedName name="SG_11_11" localSheetId="8">#REF!</definedName>
    <definedName name="SG_11_11" localSheetId="5">#REF!</definedName>
    <definedName name="SG_11_11">#REF!</definedName>
    <definedName name="SG_11_12" localSheetId="8">#REF!</definedName>
    <definedName name="SG_11_12" localSheetId="5">#REF!</definedName>
    <definedName name="SG_11_12">#REF!</definedName>
    <definedName name="SG_11_13" localSheetId="8">#REF!</definedName>
    <definedName name="SG_11_13" localSheetId="5">#REF!</definedName>
    <definedName name="SG_11_13">#REF!</definedName>
    <definedName name="SG_11_14" localSheetId="8">#REF!</definedName>
    <definedName name="SG_11_14" localSheetId="5">#REF!</definedName>
    <definedName name="SG_11_14">#REF!</definedName>
    <definedName name="SG_11_15" localSheetId="8">#REF!</definedName>
    <definedName name="SG_11_15" localSheetId="5">#REF!</definedName>
    <definedName name="SG_11_15">#REF!</definedName>
    <definedName name="SG_11_16" localSheetId="8">#REF!</definedName>
    <definedName name="SG_11_16" localSheetId="5">#REF!</definedName>
    <definedName name="SG_11_16">#REF!</definedName>
    <definedName name="SG_11_17" localSheetId="8">#REF!</definedName>
    <definedName name="SG_11_17" localSheetId="5">#REF!</definedName>
    <definedName name="SG_11_17">#REF!</definedName>
    <definedName name="SG_11_18" localSheetId="8">#REF!</definedName>
    <definedName name="SG_11_18" localSheetId="5">#REF!</definedName>
    <definedName name="SG_11_18">#REF!</definedName>
    <definedName name="SG_11_19" localSheetId="8">#REF!</definedName>
    <definedName name="SG_11_19" localSheetId="5">#REF!</definedName>
    <definedName name="SG_11_19">#REF!</definedName>
    <definedName name="SG_11_20" localSheetId="8">#REF!</definedName>
    <definedName name="SG_11_20" localSheetId="5">#REF!</definedName>
    <definedName name="SG_11_20">#REF!</definedName>
    <definedName name="SG_11_21" localSheetId="8">#REF!</definedName>
    <definedName name="SG_11_21" localSheetId="5">#REF!</definedName>
    <definedName name="SG_11_21">#REF!</definedName>
    <definedName name="SG_11_22" localSheetId="8">#REF!</definedName>
    <definedName name="SG_11_22" localSheetId="5">#REF!</definedName>
    <definedName name="SG_11_22">#REF!</definedName>
    <definedName name="SG_11_23" localSheetId="8">#REF!</definedName>
    <definedName name="SG_11_23" localSheetId="5">#REF!</definedName>
    <definedName name="SG_11_23">#REF!</definedName>
    <definedName name="SG_11_24" localSheetId="8">#REF!</definedName>
    <definedName name="SG_11_24" localSheetId="5">#REF!</definedName>
    <definedName name="SG_11_24">#REF!</definedName>
    <definedName name="SG_11_25" localSheetId="8">#REF!</definedName>
    <definedName name="SG_11_25" localSheetId="5">#REF!</definedName>
    <definedName name="SG_11_25">#REF!</definedName>
    <definedName name="SG_11_26" localSheetId="8">#REF!</definedName>
    <definedName name="SG_11_26" localSheetId="5">#REF!</definedName>
    <definedName name="SG_11_26">#REF!</definedName>
    <definedName name="SG_11_27" localSheetId="8">#REF!</definedName>
    <definedName name="SG_11_27" localSheetId="5">#REF!</definedName>
    <definedName name="SG_11_27">#REF!</definedName>
    <definedName name="SG_11_28" localSheetId="8">#REF!</definedName>
    <definedName name="SG_11_28" localSheetId="5">#REF!</definedName>
    <definedName name="SG_11_28">#REF!</definedName>
    <definedName name="SG_11_29" localSheetId="8">#REF!</definedName>
    <definedName name="SG_11_29" localSheetId="5">#REF!</definedName>
    <definedName name="SG_11_29">#REF!</definedName>
    <definedName name="SG_11_30" localSheetId="8">#REF!</definedName>
    <definedName name="SG_11_30" localSheetId="5">#REF!</definedName>
    <definedName name="SG_11_30">#REF!</definedName>
    <definedName name="SG_12_01" localSheetId="8">#REF!</definedName>
    <definedName name="SG_12_01" localSheetId="5">#REF!</definedName>
    <definedName name="SG_12_01">#REF!</definedName>
    <definedName name="SG_12_02" localSheetId="8">#REF!</definedName>
    <definedName name="SG_12_02" localSheetId="5">#REF!</definedName>
    <definedName name="SG_12_02">#REF!</definedName>
    <definedName name="SG_12_03" localSheetId="8">#REF!</definedName>
    <definedName name="SG_12_03" localSheetId="5">#REF!</definedName>
    <definedName name="SG_12_03">#REF!</definedName>
    <definedName name="SG_12_04" localSheetId="8">#REF!</definedName>
    <definedName name="SG_12_04" localSheetId="5">#REF!</definedName>
    <definedName name="SG_12_04">#REF!</definedName>
    <definedName name="SG_12_05" localSheetId="8">#REF!</definedName>
    <definedName name="SG_12_05" localSheetId="5">#REF!</definedName>
    <definedName name="SG_12_05">#REF!</definedName>
    <definedName name="SG_12_06" localSheetId="8">#REF!</definedName>
    <definedName name="SG_12_06" localSheetId="5">#REF!</definedName>
    <definedName name="SG_12_06">#REF!</definedName>
    <definedName name="SG_12_07" localSheetId="8">#REF!</definedName>
    <definedName name="SG_12_07" localSheetId="5">#REF!</definedName>
    <definedName name="SG_12_07">#REF!</definedName>
    <definedName name="SG_12_08" localSheetId="8">#REF!</definedName>
    <definedName name="SG_12_08" localSheetId="5">#REF!</definedName>
    <definedName name="SG_12_08">#REF!</definedName>
    <definedName name="SG_12_09" localSheetId="8">#REF!</definedName>
    <definedName name="SG_12_09" localSheetId="5">#REF!</definedName>
    <definedName name="SG_12_09">#REF!</definedName>
    <definedName name="SG_12_10" localSheetId="8">#REF!</definedName>
    <definedName name="SG_12_10" localSheetId="5">#REF!</definedName>
    <definedName name="SG_12_10">#REF!</definedName>
    <definedName name="SG_12_11" localSheetId="8">#REF!</definedName>
    <definedName name="SG_12_11" localSheetId="5">#REF!</definedName>
    <definedName name="SG_12_11">#REF!</definedName>
    <definedName name="SG_12_12" localSheetId="8">#REF!</definedName>
    <definedName name="SG_12_12" localSheetId="5">#REF!</definedName>
    <definedName name="SG_12_12">#REF!</definedName>
    <definedName name="SG_12_13" localSheetId="8">#REF!</definedName>
    <definedName name="SG_12_13" localSheetId="5">#REF!</definedName>
    <definedName name="SG_12_13">#REF!</definedName>
    <definedName name="SG_12_14" localSheetId="8">#REF!</definedName>
    <definedName name="SG_12_14" localSheetId="5">#REF!</definedName>
    <definedName name="SG_12_14">#REF!</definedName>
    <definedName name="SG_12_15" localSheetId="8">#REF!</definedName>
    <definedName name="SG_12_15" localSheetId="5">#REF!</definedName>
    <definedName name="SG_12_15">#REF!</definedName>
    <definedName name="SG_12_16" localSheetId="8">#REF!</definedName>
    <definedName name="SG_12_16" localSheetId="5">#REF!</definedName>
    <definedName name="SG_12_16">#REF!</definedName>
    <definedName name="SG_12_17" localSheetId="8">#REF!</definedName>
    <definedName name="SG_12_17" localSheetId="5">#REF!</definedName>
    <definedName name="SG_12_17">#REF!</definedName>
    <definedName name="SG_12_18" localSheetId="8">#REF!</definedName>
    <definedName name="SG_12_18" localSheetId="5">#REF!</definedName>
    <definedName name="SG_12_18">#REF!</definedName>
    <definedName name="SG_12_19" localSheetId="8">#REF!</definedName>
    <definedName name="SG_12_19" localSheetId="5">#REF!</definedName>
    <definedName name="SG_12_19">#REF!</definedName>
    <definedName name="SG_12_20" localSheetId="8">#REF!</definedName>
    <definedName name="SG_12_20" localSheetId="5">#REF!</definedName>
    <definedName name="SG_12_20">#REF!</definedName>
    <definedName name="SG_12_21" localSheetId="8">#REF!</definedName>
    <definedName name="SG_12_21" localSheetId="5">#REF!</definedName>
    <definedName name="SG_12_21">#REF!</definedName>
    <definedName name="SG_12_22" localSheetId="8">#REF!</definedName>
    <definedName name="SG_12_22" localSheetId="5">#REF!</definedName>
    <definedName name="SG_12_22">#REF!</definedName>
    <definedName name="SG_12_23" localSheetId="8">#REF!</definedName>
    <definedName name="SG_12_23" localSheetId="5">#REF!</definedName>
    <definedName name="SG_12_23">#REF!</definedName>
    <definedName name="SG_12_24" localSheetId="8">#REF!</definedName>
    <definedName name="SG_12_24" localSheetId="5">#REF!</definedName>
    <definedName name="SG_12_24">#REF!</definedName>
    <definedName name="SG_12_25" localSheetId="8">#REF!</definedName>
    <definedName name="SG_12_25" localSheetId="5">#REF!</definedName>
    <definedName name="SG_12_25">#REF!</definedName>
    <definedName name="SG_12_26" localSheetId="8">#REF!</definedName>
    <definedName name="SG_12_26" localSheetId="5">#REF!</definedName>
    <definedName name="SG_12_26">#REF!</definedName>
    <definedName name="SG_12_27" localSheetId="8">#REF!</definedName>
    <definedName name="SG_12_27" localSheetId="5">#REF!</definedName>
    <definedName name="SG_12_27">#REF!</definedName>
    <definedName name="SG_12_28" localSheetId="8">#REF!</definedName>
    <definedName name="SG_12_28" localSheetId="5">#REF!</definedName>
    <definedName name="SG_12_28">#REF!</definedName>
    <definedName name="SG_12_29" localSheetId="8">#REF!</definedName>
    <definedName name="SG_12_29" localSheetId="5">#REF!</definedName>
    <definedName name="SG_12_29">#REF!</definedName>
    <definedName name="SG_12_30" localSheetId="8">#REF!</definedName>
    <definedName name="SG_12_30" localSheetId="5">#REF!</definedName>
    <definedName name="SG_12_30">#REF!</definedName>
    <definedName name="SG_13_01" localSheetId="8">#REF!</definedName>
    <definedName name="SG_13_01" localSheetId="5">#REF!</definedName>
    <definedName name="SG_13_01">#REF!</definedName>
    <definedName name="SG_13_02" localSheetId="8">#REF!</definedName>
    <definedName name="SG_13_02" localSheetId="5">#REF!</definedName>
    <definedName name="SG_13_02">#REF!</definedName>
    <definedName name="SG_13_03" localSheetId="8">#REF!</definedName>
    <definedName name="SG_13_03" localSheetId="5">#REF!</definedName>
    <definedName name="SG_13_03">#REF!</definedName>
    <definedName name="SG_13_04" localSheetId="8">#REF!</definedName>
    <definedName name="SG_13_04" localSheetId="5">#REF!</definedName>
    <definedName name="SG_13_04">#REF!</definedName>
    <definedName name="SG_13_05" localSheetId="8">#REF!</definedName>
    <definedName name="SG_13_05" localSheetId="5">#REF!</definedName>
    <definedName name="SG_13_05">#REF!</definedName>
    <definedName name="SG_13_06" localSheetId="8">#REF!</definedName>
    <definedName name="SG_13_06" localSheetId="5">#REF!</definedName>
    <definedName name="SG_13_06">#REF!</definedName>
    <definedName name="SG_13_07" localSheetId="8">#REF!</definedName>
    <definedName name="SG_13_07" localSheetId="5">#REF!</definedName>
    <definedName name="SG_13_07">#REF!</definedName>
    <definedName name="SG_13_08" localSheetId="8">#REF!</definedName>
    <definedName name="SG_13_08" localSheetId="5">#REF!</definedName>
    <definedName name="SG_13_08">#REF!</definedName>
    <definedName name="SG_13_09" localSheetId="8">#REF!</definedName>
    <definedName name="SG_13_09" localSheetId="5">#REF!</definedName>
    <definedName name="SG_13_09">#REF!</definedName>
    <definedName name="SG_13_10" localSheetId="8">#REF!</definedName>
    <definedName name="SG_13_10" localSheetId="5">#REF!</definedName>
    <definedName name="SG_13_10">#REF!</definedName>
    <definedName name="SG_13_11" localSheetId="8">#REF!</definedName>
    <definedName name="SG_13_11" localSheetId="5">#REF!</definedName>
    <definedName name="SG_13_11">#REF!</definedName>
    <definedName name="SG_13_12" localSheetId="8">#REF!</definedName>
    <definedName name="SG_13_12" localSheetId="5">#REF!</definedName>
    <definedName name="SG_13_12">#REF!</definedName>
    <definedName name="SG_13_13" localSheetId="8">#REF!</definedName>
    <definedName name="SG_13_13" localSheetId="5">#REF!</definedName>
    <definedName name="SG_13_13">#REF!</definedName>
    <definedName name="SG_13_14" localSheetId="8">#REF!</definedName>
    <definedName name="SG_13_14" localSheetId="5">#REF!</definedName>
    <definedName name="SG_13_14">#REF!</definedName>
    <definedName name="SG_13_15" localSheetId="8">#REF!</definedName>
    <definedName name="SG_13_15" localSheetId="5">#REF!</definedName>
    <definedName name="SG_13_15">#REF!</definedName>
    <definedName name="SG_13_16" localSheetId="8">#REF!</definedName>
    <definedName name="SG_13_16" localSheetId="5">#REF!</definedName>
    <definedName name="SG_13_16">#REF!</definedName>
    <definedName name="SG_13_17" localSheetId="8">#REF!</definedName>
    <definedName name="SG_13_17" localSheetId="5">#REF!</definedName>
    <definedName name="SG_13_17">#REF!</definedName>
    <definedName name="SG_13_18" localSheetId="8">#REF!</definedName>
    <definedName name="SG_13_18" localSheetId="5">#REF!</definedName>
    <definedName name="SG_13_18">#REF!</definedName>
    <definedName name="SG_13_19" localSheetId="8">#REF!</definedName>
    <definedName name="SG_13_19" localSheetId="5">#REF!</definedName>
    <definedName name="SG_13_19">#REF!</definedName>
    <definedName name="SG_13_20" localSheetId="8">#REF!</definedName>
    <definedName name="SG_13_20" localSheetId="5">#REF!</definedName>
    <definedName name="SG_13_20">#REF!</definedName>
    <definedName name="SG_13_21" localSheetId="8">#REF!</definedName>
    <definedName name="SG_13_21" localSheetId="5">#REF!</definedName>
    <definedName name="SG_13_21">#REF!</definedName>
    <definedName name="SG_13_22" localSheetId="8">#REF!</definedName>
    <definedName name="SG_13_22" localSheetId="5">#REF!</definedName>
    <definedName name="SG_13_22">#REF!</definedName>
    <definedName name="SG_13_23" localSheetId="8">#REF!</definedName>
    <definedName name="SG_13_23" localSheetId="5">#REF!</definedName>
    <definedName name="SG_13_23">#REF!</definedName>
    <definedName name="SG_13_24" localSheetId="8">#REF!</definedName>
    <definedName name="SG_13_24" localSheetId="5">#REF!</definedName>
    <definedName name="SG_13_24">#REF!</definedName>
    <definedName name="SG_13_25" localSheetId="8">#REF!</definedName>
    <definedName name="SG_13_25" localSheetId="5">#REF!</definedName>
    <definedName name="SG_13_25">#REF!</definedName>
    <definedName name="SG_13_26" localSheetId="8">#REF!</definedName>
    <definedName name="SG_13_26" localSheetId="5">#REF!</definedName>
    <definedName name="SG_13_26">#REF!</definedName>
    <definedName name="SG_13_27" localSheetId="8">#REF!</definedName>
    <definedName name="SG_13_27" localSheetId="5">#REF!</definedName>
    <definedName name="SG_13_27">#REF!</definedName>
    <definedName name="SG_13_28" localSheetId="8">#REF!</definedName>
    <definedName name="SG_13_28" localSheetId="5">#REF!</definedName>
    <definedName name="SG_13_28">#REF!</definedName>
    <definedName name="SG_13_29" localSheetId="8">#REF!</definedName>
    <definedName name="SG_13_29" localSheetId="5">#REF!</definedName>
    <definedName name="SG_13_29">#REF!</definedName>
    <definedName name="SG_13_30" localSheetId="8">#REF!</definedName>
    <definedName name="SG_13_30" localSheetId="5">#REF!</definedName>
    <definedName name="SG_13_30">#REF!</definedName>
    <definedName name="SG_14_01" localSheetId="8">#REF!</definedName>
    <definedName name="SG_14_01" localSheetId="5">#REF!</definedName>
    <definedName name="SG_14_01">#REF!</definedName>
    <definedName name="SG_14_02" localSheetId="8">#REF!</definedName>
    <definedName name="SG_14_02" localSheetId="5">#REF!</definedName>
    <definedName name="SG_14_02">#REF!</definedName>
    <definedName name="SG_14_03" localSheetId="8">#REF!</definedName>
    <definedName name="SG_14_03" localSheetId="5">#REF!</definedName>
    <definedName name="SG_14_03">#REF!</definedName>
    <definedName name="SG_14_04" localSheetId="8">#REF!</definedName>
    <definedName name="SG_14_04" localSheetId="5">#REF!</definedName>
    <definedName name="SG_14_04">#REF!</definedName>
    <definedName name="SG_14_05" localSheetId="8">#REF!</definedName>
    <definedName name="SG_14_05" localSheetId="5">#REF!</definedName>
    <definedName name="SG_14_05">#REF!</definedName>
    <definedName name="SG_14_06" localSheetId="8">#REF!</definedName>
    <definedName name="SG_14_06" localSheetId="5">#REF!</definedName>
    <definedName name="SG_14_06">#REF!</definedName>
    <definedName name="SG_14_07" localSheetId="8">#REF!</definedName>
    <definedName name="SG_14_07" localSheetId="5">#REF!</definedName>
    <definedName name="SG_14_07">#REF!</definedName>
    <definedName name="SG_14_08" localSheetId="8">#REF!</definedName>
    <definedName name="SG_14_08" localSheetId="5">#REF!</definedName>
    <definedName name="SG_14_08">#REF!</definedName>
    <definedName name="SG_14_09" localSheetId="8">#REF!</definedName>
    <definedName name="SG_14_09" localSheetId="5">#REF!</definedName>
    <definedName name="SG_14_09">#REF!</definedName>
    <definedName name="SG_14_10" localSheetId="8">#REF!</definedName>
    <definedName name="SG_14_10" localSheetId="5">#REF!</definedName>
    <definedName name="SG_14_10">#REF!</definedName>
    <definedName name="SG_14_11" localSheetId="8">#REF!</definedName>
    <definedName name="SG_14_11" localSheetId="5">#REF!</definedName>
    <definedName name="SG_14_11">#REF!</definedName>
    <definedName name="SG_14_12" localSheetId="8">#REF!</definedName>
    <definedName name="SG_14_12" localSheetId="5">#REF!</definedName>
    <definedName name="SG_14_12">#REF!</definedName>
    <definedName name="SG_14_13" localSheetId="8">#REF!</definedName>
    <definedName name="SG_14_13" localSheetId="5">#REF!</definedName>
    <definedName name="SG_14_13">#REF!</definedName>
    <definedName name="SG_14_14" localSheetId="8">#REF!</definedName>
    <definedName name="SG_14_14" localSheetId="5">#REF!</definedName>
    <definedName name="SG_14_14">#REF!</definedName>
    <definedName name="SG_14_15" localSheetId="8">#REF!</definedName>
    <definedName name="SG_14_15" localSheetId="5">#REF!</definedName>
    <definedName name="SG_14_15">#REF!</definedName>
    <definedName name="SG_14_16" localSheetId="8">#REF!</definedName>
    <definedName name="SG_14_16" localSheetId="5">#REF!</definedName>
    <definedName name="SG_14_16">#REF!</definedName>
    <definedName name="SG_14_17" localSheetId="8">#REF!</definedName>
    <definedName name="SG_14_17" localSheetId="5">#REF!</definedName>
    <definedName name="SG_14_17">#REF!</definedName>
    <definedName name="SG_14_18" localSheetId="8">#REF!</definedName>
    <definedName name="SG_14_18" localSheetId="5">#REF!</definedName>
    <definedName name="SG_14_18">#REF!</definedName>
    <definedName name="SG_14_19" localSheetId="8">#REF!</definedName>
    <definedName name="SG_14_19" localSheetId="5">#REF!</definedName>
    <definedName name="SG_14_19">#REF!</definedName>
    <definedName name="SG_14_20" localSheetId="8">#REF!</definedName>
    <definedName name="SG_14_20" localSheetId="5">#REF!</definedName>
    <definedName name="SG_14_20">#REF!</definedName>
    <definedName name="SG_14_21" localSheetId="8">#REF!</definedName>
    <definedName name="SG_14_21" localSheetId="5">#REF!</definedName>
    <definedName name="SG_14_21">#REF!</definedName>
    <definedName name="SG_14_22" localSheetId="8">#REF!</definedName>
    <definedName name="SG_14_22" localSheetId="5">#REF!</definedName>
    <definedName name="SG_14_22">#REF!</definedName>
    <definedName name="SG_14_23" localSheetId="8">#REF!</definedName>
    <definedName name="SG_14_23" localSheetId="5">#REF!</definedName>
    <definedName name="SG_14_23">#REF!</definedName>
    <definedName name="SG_14_24" localSheetId="8">#REF!</definedName>
    <definedName name="SG_14_24" localSheetId="5">#REF!</definedName>
    <definedName name="SG_14_24">#REF!</definedName>
    <definedName name="SG_14_25" localSheetId="8">#REF!</definedName>
    <definedName name="SG_14_25" localSheetId="5">#REF!</definedName>
    <definedName name="SG_14_25">#REF!</definedName>
    <definedName name="SG_14_26" localSheetId="8">#REF!</definedName>
    <definedName name="SG_14_26" localSheetId="5">#REF!</definedName>
    <definedName name="SG_14_26">#REF!</definedName>
    <definedName name="SG_14_27" localSheetId="8">#REF!</definedName>
    <definedName name="SG_14_27" localSheetId="5">#REF!</definedName>
    <definedName name="SG_14_27">#REF!</definedName>
    <definedName name="SG_14_28" localSheetId="8">#REF!</definedName>
    <definedName name="SG_14_28" localSheetId="5">#REF!</definedName>
    <definedName name="SG_14_28">#REF!</definedName>
    <definedName name="SG_14_29" localSheetId="8">#REF!</definedName>
    <definedName name="SG_14_29" localSheetId="5">#REF!</definedName>
    <definedName name="SG_14_29">#REF!</definedName>
    <definedName name="SG_14_30" localSheetId="8">#REF!</definedName>
    <definedName name="SG_14_30" localSheetId="5">#REF!</definedName>
    <definedName name="SG_14_30">#REF!</definedName>
    <definedName name="SG_15_01" localSheetId="8">#REF!</definedName>
    <definedName name="SG_15_01" localSheetId="5">#REF!</definedName>
    <definedName name="SG_15_01">#REF!</definedName>
    <definedName name="SG_15_02" localSheetId="8">#REF!</definedName>
    <definedName name="SG_15_02" localSheetId="5">#REF!</definedName>
    <definedName name="SG_15_02">#REF!</definedName>
    <definedName name="SG_15_03" localSheetId="8">#REF!</definedName>
    <definedName name="SG_15_03" localSheetId="5">#REF!</definedName>
    <definedName name="SG_15_03">#REF!</definedName>
    <definedName name="SG_15_04" localSheetId="8">#REF!</definedName>
    <definedName name="SG_15_04" localSheetId="5">#REF!</definedName>
    <definedName name="SG_15_04">#REF!</definedName>
    <definedName name="SG_15_05" localSheetId="8">#REF!</definedName>
    <definedName name="SG_15_05" localSheetId="5">#REF!</definedName>
    <definedName name="SG_15_05">#REF!</definedName>
    <definedName name="SG_15_06" localSheetId="8">#REF!</definedName>
    <definedName name="SG_15_06" localSheetId="5">#REF!</definedName>
    <definedName name="SG_15_06">#REF!</definedName>
    <definedName name="SG_15_07" localSheetId="8">#REF!</definedName>
    <definedName name="SG_15_07" localSheetId="5">#REF!</definedName>
    <definedName name="SG_15_07">#REF!</definedName>
    <definedName name="SG_15_08" localSheetId="8">#REF!</definedName>
    <definedName name="SG_15_08" localSheetId="5">#REF!</definedName>
    <definedName name="SG_15_08">#REF!</definedName>
    <definedName name="SG_15_09" localSheetId="8">#REF!</definedName>
    <definedName name="SG_15_09" localSheetId="5">#REF!</definedName>
    <definedName name="SG_15_09">#REF!</definedName>
    <definedName name="SG_15_10" localSheetId="8">#REF!</definedName>
    <definedName name="SG_15_10" localSheetId="5">#REF!</definedName>
    <definedName name="SG_15_10">#REF!</definedName>
    <definedName name="SG_15_11" localSheetId="8">#REF!</definedName>
    <definedName name="SG_15_11" localSheetId="5">#REF!</definedName>
    <definedName name="SG_15_11">#REF!</definedName>
    <definedName name="SG_15_12" localSheetId="8">#REF!</definedName>
    <definedName name="SG_15_12" localSheetId="5">#REF!</definedName>
    <definedName name="SG_15_12">#REF!</definedName>
    <definedName name="SG_15_13" localSheetId="8">#REF!</definedName>
    <definedName name="SG_15_13" localSheetId="5">#REF!</definedName>
    <definedName name="SG_15_13">#REF!</definedName>
    <definedName name="SG_15_14" localSheetId="8">#REF!</definedName>
    <definedName name="SG_15_14" localSheetId="5">#REF!</definedName>
    <definedName name="SG_15_14">#REF!</definedName>
    <definedName name="SG_15_15" localSheetId="8">#REF!</definedName>
    <definedName name="SG_15_15" localSheetId="5">#REF!</definedName>
    <definedName name="SG_15_15">#REF!</definedName>
    <definedName name="SG_15_16" localSheetId="8">#REF!</definedName>
    <definedName name="SG_15_16" localSheetId="5">#REF!</definedName>
    <definedName name="SG_15_16">#REF!</definedName>
    <definedName name="SG_15_17" localSheetId="8">#REF!</definedName>
    <definedName name="SG_15_17" localSheetId="5">#REF!</definedName>
    <definedName name="SG_15_17">#REF!</definedName>
    <definedName name="SG_15_18" localSheetId="8">#REF!</definedName>
    <definedName name="SG_15_18" localSheetId="5">#REF!</definedName>
    <definedName name="SG_15_18">#REF!</definedName>
    <definedName name="SG_15_19" localSheetId="8">#REF!</definedName>
    <definedName name="SG_15_19" localSheetId="5">#REF!</definedName>
    <definedName name="SG_15_19">#REF!</definedName>
    <definedName name="SG_15_20" localSheetId="8">#REF!</definedName>
    <definedName name="SG_15_20" localSheetId="5">#REF!</definedName>
    <definedName name="SG_15_20">#REF!</definedName>
    <definedName name="SG_15_21" localSheetId="8">#REF!</definedName>
    <definedName name="SG_15_21" localSheetId="5">#REF!</definedName>
    <definedName name="SG_15_21">#REF!</definedName>
    <definedName name="SG_15_22" localSheetId="8">#REF!</definedName>
    <definedName name="SG_15_22" localSheetId="5">#REF!</definedName>
    <definedName name="SG_15_22">#REF!</definedName>
    <definedName name="SG_15_23" localSheetId="8">#REF!</definedName>
    <definedName name="SG_15_23" localSheetId="5">#REF!</definedName>
    <definedName name="SG_15_23">#REF!</definedName>
    <definedName name="SG_15_24" localSheetId="8">#REF!</definedName>
    <definedName name="SG_15_24" localSheetId="5">#REF!</definedName>
    <definedName name="SG_15_24">#REF!</definedName>
    <definedName name="SG_15_25" localSheetId="8">#REF!</definedName>
    <definedName name="SG_15_25" localSheetId="5">#REF!</definedName>
    <definedName name="SG_15_25">#REF!</definedName>
    <definedName name="SG_15_26" localSheetId="8">#REF!</definedName>
    <definedName name="SG_15_26" localSheetId="5">#REF!</definedName>
    <definedName name="SG_15_26">#REF!</definedName>
    <definedName name="SG_15_27" localSheetId="8">#REF!</definedName>
    <definedName name="SG_15_27" localSheetId="5">#REF!</definedName>
    <definedName name="SG_15_27">#REF!</definedName>
    <definedName name="SG_15_28" localSheetId="8">#REF!</definedName>
    <definedName name="SG_15_28" localSheetId="5">#REF!</definedName>
    <definedName name="SG_15_28">#REF!</definedName>
    <definedName name="SG_15_29" localSheetId="8">#REF!</definedName>
    <definedName name="SG_15_29" localSheetId="5">#REF!</definedName>
    <definedName name="SG_15_29">#REF!</definedName>
    <definedName name="SG_15_30" localSheetId="8">#REF!</definedName>
    <definedName name="SG_15_30" localSheetId="5">#REF!</definedName>
    <definedName name="SG_15_30">#REF!</definedName>
    <definedName name="SG_16_01" localSheetId="8">#REF!</definedName>
    <definedName name="SG_16_01" localSheetId="5">#REF!</definedName>
    <definedName name="SG_16_01">#REF!</definedName>
    <definedName name="SG_16_02" localSheetId="8">#REF!</definedName>
    <definedName name="SG_16_02" localSheetId="5">#REF!</definedName>
    <definedName name="SG_16_02">#REF!</definedName>
    <definedName name="SG_16_03" localSheetId="8">#REF!</definedName>
    <definedName name="SG_16_03" localSheetId="5">#REF!</definedName>
    <definedName name="SG_16_03">#REF!</definedName>
    <definedName name="SG_16_04" localSheetId="8">#REF!</definedName>
    <definedName name="SG_16_04" localSheetId="5">#REF!</definedName>
    <definedName name="SG_16_04">#REF!</definedName>
    <definedName name="SG_16_05" localSheetId="8">#REF!</definedName>
    <definedName name="SG_16_05" localSheetId="5">#REF!</definedName>
    <definedName name="SG_16_05">#REF!</definedName>
    <definedName name="SG_16_06" localSheetId="8">#REF!</definedName>
    <definedName name="SG_16_06" localSheetId="5">#REF!</definedName>
    <definedName name="SG_16_06">#REF!</definedName>
    <definedName name="SG_16_07" localSheetId="8">#REF!</definedName>
    <definedName name="SG_16_07" localSheetId="5">#REF!</definedName>
    <definedName name="SG_16_07">#REF!</definedName>
    <definedName name="SG_16_08" localSheetId="8">#REF!</definedName>
    <definedName name="SG_16_08" localSheetId="5">#REF!</definedName>
    <definedName name="SG_16_08">#REF!</definedName>
    <definedName name="SG_16_09" localSheetId="8">#REF!</definedName>
    <definedName name="SG_16_09" localSheetId="5">#REF!</definedName>
    <definedName name="SG_16_09">#REF!</definedName>
    <definedName name="SG_16_10" localSheetId="8">#REF!</definedName>
    <definedName name="SG_16_10" localSheetId="5">#REF!</definedName>
    <definedName name="SG_16_10">#REF!</definedName>
    <definedName name="SG_16_11" localSheetId="8">#REF!</definedName>
    <definedName name="SG_16_11" localSheetId="5">#REF!</definedName>
    <definedName name="SG_16_11">#REF!</definedName>
    <definedName name="SG_16_12" localSheetId="8">#REF!</definedName>
    <definedName name="SG_16_12" localSheetId="5">#REF!</definedName>
    <definedName name="SG_16_12">#REF!</definedName>
    <definedName name="SG_16_13" localSheetId="8">#REF!</definedName>
    <definedName name="SG_16_13" localSheetId="5">#REF!</definedName>
    <definedName name="SG_16_13">#REF!</definedName>
    <definedName name="SG_16_14" localSheetId="8">#REF!</definedName>
    <definedName name="SG_16_14" localSheetId="5">#REF!</definedName>
    <definedName name="SG_16_14">#REF!</definedName>
    <definedName name="SG_16_15" localSheetId="8">#REF!</definedName>
    <definedName name="SG_16_15" localSheetId="5">#REF!</definedName>
    <definedName name="SG_16_15">#REF!</definedName>
    <definedName name="SG_16_16" localSheetId="8">#REF!</definedName>
    <definedName name="SG_16_16" localSheetId="5">#REF!</definedName>
    <definedName name="SG_16_16">#REF!</definedName>
    <definedName name="SG_16_17" localSheetId="8">#REF!</definedName>
    <definedName name="SG_16_17" localSheetId="5">#REF!</definedName>
    <definedName name="SG_16_17">#REF!</definedName>
    <definedName name="SG_16_18" localSheetId="8">#REF!</definedName>
    <definedName name="SG_16_18" localSheetId="5">#REF!</definedName>
    <definedName name="SG_16_18">#REF!</definedName>
    <definedName name="SG_16_19" localSheetId="8">#REF!</definedName>
    <definedName name="SG_16_19" localSheetId="5">#REF!</definedName>
    <definedName name="SG_16_19">#REF!</definedName>
    <definedName name="SG_16_20" localSheetId="8">#REF!</definedName>
    <definedName name="SG_16_20" localSheetId="5">#REF!</definedName>
    <definedName name="SG_16_20">#REF!</definedName>
    <definedName name="SG_16_21" localSheetId="8">#REF!</definedName>
    <definedName name="SG_16_21" localSheetId="5">#REF!</definedName>
    <definedName name="SG_16_21">#REF!</definedName>
    <definedName name="SG_16_22" localSheetId="8">#REF!</definedName>
    <definedName name="SG_16_22" localSheetId="5">#REF!</definedName>
    <definedName name="SG_16_22">#REF!</definedName>
    <definedName name="SG_16_23" localSheetId="8">#REF!</definedName>
    <definedName name="SG_16_23" localSheetId="5">#REF!</definedName>
    <definedName name="SG_16_23">#REF!</definedName>
    <definedName name="SG_16_24" localSheetId="8">#REF!</definedName>
    <definedName name="SG_16_24" localSheetId="5">#REF!</definedName>
    <definedName name="SG_16_24">#REF!</definedName>
    <definedName name="SG_16_25" localSheetId="8">#REF!</definedName>
    <definedName name="SG_16_25" localSheetId="5">#REF!</definedName>
    <definedName name="SG_16_25">#REF!</definedName>
    <definedName name="SG_16_26" localSheetId="8">#REF!</definedName>
    <definedName name="SG_16_26" localSheetId="5">#REF!</definedName>
    <definedName name="SG_16_26">#REF!</definedName>
    <definedName name="SG_16_27" localSheetId="8">#REF!</definedName>
    <definedName name="SG_16_27" localSheetId="5">#REF!</definedName>
    <definedName name="SG_16_27">#REF!</definedName>
    <definedName name="SG_16_28" localSheetId="8">#REF!</definedName>
    <definedName name="SG_16_28" localSheetId="5">#REF!</definedName>
    <definedName name="SG_16_28">#REF!</definedName>
    <definedName name="SG_16_29" localSheetId="8">#REF!</definedName>
    <definedName name="SG_16_29" localSheetId="5">#REF!</definedName>
    <definedName name="SG_16_29">#REF!</definedName>
    <definedName name="SG_16_30" localSheetId="8">#REF!</definedName>
    <definedName name="SG_16_30" localSheetId="5">#REF!</definedName>
    <definedName name="SG_16_30">#REF!</definedName>
    <definedName name="SG_17_01" localSheetId="8">#REF!</definedName>
    <definedName name="SG_17_01" localSheetId="5">#REF!</definedName>
    <definedName name="SG_17_01">#REF!</definedName>
    <definedName name="SG_17_02" localSheetId="8">#REF!</definedName>
    <definedName name="SG_17_02" localSheetId="5">#REF!</definedName>
    <definedName name="SG_17_02">#REF!</definedName>
    <definedName name="SG_17_03" localSheetId="8">#REF!</definedName>
    <definedName name="SG_17_03" localSheetId="5">#REF!</definedName>
    <definedName name="SG_17_03">#REF!</definedName>
    <definedName name="SG_17_04" localSheetId="8">#REF!</definedName>
    <definedName name="SG_17_04" localSheetId="5">#REF!</definedName>
    <definedName name="SG_17_04">#REF!</definedName>
    <definedName name="SG_17_05" localSheetId="8">#REF!</definedName>
    <definedName name="SG_17_05" localSheetId="5">#REF!</definedName>
    <definedName name="SG_17_05">#REF!</definedName>
    <definedName name="SG_17_06" localSheetId="8">#REF!</definedName>
    <definedName name="SG_17_06" localSheetId="5">#REF!</definedName>
    <definedName name="SG_17_06">#REF!</definedName>
    <definedName name="SG_17_07" localSheetId="8">#REF!</definedName>
    <definedName name="SG_17_07" localSheetId="5">#REF!</definedName>
    <definedName name="SG_17_07">#REF!</definedName>
    <definedName name="SG_17_08" localSheetId="8">#REF!</definedName>
    <definedName name="SG_17_08" localSheetId="5">#REF!</definedName>
    <definedName name="SG_17_08">#REF!</definedName>
    <definedName name="SG_17_09" localSheetId="8">#REF!</definedName>
    <definedName name="SG_17_09" localSheetId="5">#REF!</definedName>
    <definedName name="SG_17_09">#REF!</definedName>
    <definedName name="SG_17_10" localSheetId="8">#REF!</definedName>
    <definedName name="SG_17_10" localSheetId="5">#REF!</definedName>
    <definedName name="SG_17_10">#REF!</definedName>
    <definedName name="SG_17_11" localSheetId="8">#REF!</definedName>
    <definedName name="SG_17_11" localSheetId="5">#REF!</definedName>
    <definedName name="SG_17_11">#REF!</definedName>
    <definedName name="SG_17_12" localSheetId="8">#REF!</definedName>
    <definedName name="SG_17_12" localSheetId="5">#REF!</definedName>
    <definedName name="SG_17_12">#REF!</definedName>
    <definedName name="SG_17_13" localSheetId="8">#REF!</definedName>
    <definedName name="SG_17_13" localSheetId="5">#REF!</definedName>
    <definedName name="SG_17_13">#REF!</definedName>
    <definedName name="SG_17_14" localSheetId="8">#REF!</definedName>
    <definedName name="SG_17_14" localSheetId="5">#REF!</definedName>
    <definedName name="SG_17_14">#REF!</definedName>
    <definedName name="SG_17_15" localSheetId="8">#REF!</definedName>
    <definedName name="SG_17_15" localSheetId="5">#REF!</definedName>
    <definedName name="SG_17_15">#REF!</definedName>
    <definedName name="SG_17_16" localSheetId="8">#REF!</definedName>
    <definedName name="SG_17_16" localSheetId="5">#REF!</definedName>
    <definedName name="SG_17_16">#REF!</definedName>
    <definedName name="SG_17_17" localSheetId="8">#REF!</definedName>
    <definedName name="SG_17_17" localSheetId="5">#REF!</definedName>
    <definedName name="SG_17_17">#REF!</definedName>
    <definedName name="SG_17_18" localSheetId="8">#REF!</definedName>
    <definedName name="SG_17_18" localSheetId="5">#REF!</definedName>
    <definedName name="SG_17_18">#REF!</definedName>
    <definedName name="SG_17_19" localSheetId="8">#REF!</definedName>
    <definedName name="SG_17_19" localSheetId="5">#REF!</definedName>
    <definedName name="SG_17_19">#REF!</definedName>
    <definedName name="SG_17_20" localSheetId="8">#REF!</definedName>
    <definedName name="SG_17_20" localSheetId="5">#REF!</definedName>
    <definedName name="SG_17_20">#REF!</definedName>
    <definedName name="SG_17_21" localSheetId="8">#REF!</definedName>
    <definedName name="SG_17_21" localSheetId="5">#REF!</definedName>
    <definedName name="SG_17_21">#REF!</definedName>
    <definedName name="SG_17_22" localSheetId="8">#REF!</definedName>
    <definedName name="SG_17_22" localSheetId="5">#REF!</definedName>
    <definedName name="SG_17_22">#REF!</definedName>
    <definedName name="SG_17_23" localSheetId="8">#REF!</definedName>
    <definedName name="SG_17_23" localSheetId="5">#REF!</definedName>
    <definedName name="SG_17_23">#REF!</definedName>
    <definedName name="SG_17_24" localSheetId="8">#REF!</definedName>
    <definedName name="SG_17_24" localSheetId="5">#REF!</definedName>
    <definedName name="SG_17_24">#REF!</definedName>
    <definedName name="SG_17_25" localSheetId="8">#REF!</definedName>
    <definedName name="SG_17_25" localSheetId="5">#REF!</definedName>
    <definedName name="SG_17_25">#REF!</definedName>
    <definedName name="SG_17_26" localSheetId="8">#REF!</definedName>
    <definedName name="SG_17_26" localSheetId="5">#REF!</definedName>
    <definedName name="SG_17_26">#REF!</definedName>
    <definedName name="SG_17_27" localSheetId="8">#REF!</definedName>
    <definedName name="SG_17_27" localSheetId="5">#REF!</definedName>
    <definedName name="SG_17_27">#REF!</definedName>
    <definedName name="SG_17_28" localSheetId="8">#REF!</definedName>
    <definedName name="SG_17_28" localSheetId="5">#REF!</definedName>
    <definedName name="SG_17_28">#REF!</definedName>
    <definedName name="SG_17_29" localSheetId="8">#REF!</definedName>
    <definedName name="SG_17_29" localSheetId="5">#REF!</definedName>
    <definedName name="SG_17_29">#REF!</definedName>
    <definedName name="SG_17_30" localSheetId="8">#REF!</definedName>
    <definedName name="SG_17_30" localSheetId="5">#REF!</definedName>
    <definedName name="SG_17_30">#REF!</definedName>
    <definedName name="SG_18_01" localSheetId="8">#REF!</definedName>
    <definedName name="SG_18_01" localSheetId="5">#REF!</definedName>
    <definedName name="SG_18_01">#REF!</definedName>
    <definedName name="SG_18_02" localSheetId="8">#REF!</definedName>
    <definedName name="SG_18_02" localSheetId="5">#REF!</definedName>
    <definedName name="SG_18_02">#REF!</definedName>
    <definedName name="SG_18_03" localSheetId="8">#REF!</definedName>
    <definedName name="SG_18_03" localSheetId="5">#REF!</definedName>
    <definedName name="SG_18_03">#REF!</definedName>
    <definedName name="SG_18_04" localSheetId="8">#REF!</definedName>
    <definedName name="SG_18_04" localSheetId="5">#REF!</definedName>
    <definedName name="SG_18_04">#REF!</definedName>
    <definedName name="SG_18_05" localSheetId="8">#REF!</definedName>
    <definedName name="SG_18_05" localSheetId="5">#REF!</definedName>
    <definedName name="SG_18_05">#REF!</definedName>
    <definedName name="SG_18_06" localSheetId="8">#REF!</definedName>
    <definedName name="SG_18_06" localSheetId="5">#REF!</definedName>
    <definedName name="SG_18_06">#REF!</definedName>
    <definedName name="SG_18_07" localSheetId="8">#REF!</definedName>
    <definedName name="SG_18_07" localSheetId="5">#REF!</definedName>
    <definedName name="SG_18_07">#REF!</definedName>
    <definedName name="SG_18_08" localSheetId="8">#REF!</definedName>
    <definedName name="SG_18_08" localSheetId="5">#REF!</definedName>
    <definedName name="SG_18_08">#REF!</definedName>
    <definedName name="SG_18_09" localSheetId="8">#REF!</definedName>
    <definedName name="SG_18_09" localSheetId="5">#REF!</definedName>
    <definedName name="SG_18_09">#REF!</definedName>
    <definedName name="SG_18_10" localSheetId="8">#REF!</definedName>
    <definedName name="SG_18_10" localSheetId="5">#REF!</definedName>
    <definedName name="SG_18_10">#REF!</definedName>
    <definedName name="SG_18_11" localSheetId="8">#REF!</definedName>
    <definedName name="SG_18_11" localSheetId="5">#REF!</definedName>
    <definedName name="SG_18_11">#REF!</definedName>
    <definedName name="SG_18_12" localSheetId="8">#REF!</definedName>
    <definedName name="SG_18_12" localSheetId="5">#REF!</definedName>
    <definedName name="SG_18_12">#REF!</definedName>
    <definedName name="SG_18_13" localSheetId="8">#REF!</definedName>
    <definedName name="SG_18_13" localSheetId="5">#REF!</definedName>
    <definedName name="SG_18_13">#REF!</definedName>
    <definedName name="SG_18_14" localSheetId="8">#REF!</definedName>
    <definedName name="SG_18_14" localSheetId="5">#REF!</definedName>
    <definedName name="SG_18_14">#REF!</definedName>
    <definedName name="SG_18_15" localSheetId="8">#REF!</definedName>
    <definedName name="SG_18_15" localSheetId="5">#REF!</definedName>
    <definedName name="SG_18_15">#REF!</definedName>
    <definedName name="SG_18_16" localSheetId="8">#REF!</definedName>
    <definedName name="SG_18_16" localSheetId="5">#REF!</definedName>
    <definedName name="SG_18_16">#REF!</definedName>
    <definedName name="SG_18_17" localSheetId="8">#REF!</definedName>
    <definedName name="SG_18_17" localSheetId="5">#REF!</definedName>
    <definedName name="SG_18_17">#REF!</definedName>
    <definedName name="SG_18_18" localSheetId="8">#REF!</definedName>
    <definedName name="SG_18_18" localSheetId="5">#REF!</definedName>
    <definedName name="SG_18_18">#REF!</definedName>
    <definedName name="SG_18_19" localSheetId="8">#REF!</definedName>
    <definedName name="SG_18_19" localSheetId="5">#REF!</definedName>
    <definedName name="SG_18_19">#REF!</definedName>
    <definedName name="SG_18_20" localSheetId="8">#REF!</definedName>
    <definedName name="SG_18_20" localSheetId="5">#REF!</definedName>
    <definedName name="SG_18_20">#REF!</definedName>
    <definedName name="SG_18_21" localSheetId="8">#REF!</definedName>
    <definedName name="SG_18_21" localSheetId="5">#REF!</definedName>
    <definedName name="SG_18_21">#REF!</definedName>
    <definedName name="SG_18_22" localSheetId="8">#REF!</definedName>
    <definedName name="SG_18_22" localSheetId="5">#REF!</definedName>
    <definedName name="SG_18_22">#REF!</definedName>
    <definedName name="SG_18_23" localSheetId="8">#REF!</definedName>
    <definedName name="SG_18_23" localSheetId="5">#REF!</definedName>
    <definedName name="SG_18_23">#REF!</definedName>
    <definedName name="SG_18_24" localSheetId="8">#REF!</definedName>
    <definedName name="SG_18_24" localSheetId="5">#REF!</definedName>
    <definedName name="SG_18_24">#REF!</definedName>
    <definedName name="SG_18_25" localSheetId="8">#REF!</definedName>
    <definedName name="SG_18_25" localSheetId="5">#REF!</definedName>
    <definedName name="SG_18_25">#REF!</definedName>
    <definedName name="SG_18_26" localSheetId="8">#REF!</definedName>
    <definedName name="SG_18_26" localSheetId="5">#REF!</definedName>
    <definedName name="SG_18_26">#REF!</definedName>
    <definedName name="SG_18_27" localSheetId="8">#REF!</definedName>
    <definedName name="SG_18_27" localSheetId="5">#REF!</definedName>
    <definedName name="SG_18_27">#REF!</definedName>
    <definedName name="SG_18_28" localSheetId="8">#REF!</definedName>
    <definedName name="SG_18_28" localSheetId="5">#REF!</definedName>
    <definedName name="SG_18_28">#REF!</definedName>
    <definedName name="SG_18_29" localSheetId="8">#REF!</definedName>
    <definedName name="SG_18_29" localSheetId="5">#REF!</definedName>
    <definedName name="SG_18_29">#REF!</definedName>
    <definedName name="SG_18_30" localSheetId="8">#REF!</definedName>
    <definedName name="SG_18_30" localSheetId="5">#REF!</definedName>
    <definedName name="SG_18_30">#REF!</definedName>
    <definedName name="SG_19_01" localSheetId="8">#REF!</definedName>
    <definedName name="SG_19_01" localSheetId="5">#REF!</definedName>
    <definedName name="SG_19_01">#REF!</definedName>
    <definedName name="SG_19_02" localSheetId="8">#REF!</definedName>
    <definedName name="SG_19_02" localSheetId="5">#REF!</definedName>
    <definedName name="SG_19_02">#REF!</definedName>
    <definedName name="SG_19_03" localSheetId="8">#REF!</definedName>
    <definedName name="SG_19_03" localSheetId="5">#REF!</definedName>
    <definedName name="SG_19_03">#REF!</definedName>
    <definedName name="SG_19_04" localSheetId="8">#REF!</definedName>
    <definedName name="SG_19_04" localSheetId="5">#REF!</definedName>
    <definedName name="SG_19_04">#REF!</definedName>
    <definedName name="SG_19_05" localSheetId="8">#REF!</definedName>
    <definedName name="SG_19_05" localSheetId="5">#REF!</definedName>
    <definedName name="SG_19_05">#REF!</definedName>
    <definedName name="SG_19_06" localSheetId="8">#REF!</definedName>
    <definedName name="SG_19_06" localSheetId="5">#REF!</definedName>
    <definedName name="SG_19_06">#REF!</definedName>
    <definedName name="SG_19_07" localSheetId="8">#REF!</definedName>
    <definedName name="SG_19_07" localSheetId="5">#REF!</definedName>
    <definedName name="SG_19_07">#REF!</definedName>
    <definedName name="SG_19_08" localSheetId="8">#REF!</definedName>
    <definedName name="SG_19_08" localSheetId="5">#REF!</definedName>
    <definedName name="SG_19_08">#REF!</definedName>
    <definedName name="SG_19_09" localSheetId="8">#REF!</definedName>
    <definedName name="SG_19_09" localSheetId="5">#REF!</definedName>
    <definedName name="SG_19_09">#REF!</definedName>
    <definedName name="SG_19_10" localSheetId="8">#REF!</definedName>
    <definedName name="SG_19_10" localSheetId="5">#REF!</definedName>
    <definedName name="SG_19_10">#REF!</definedName>
    <definedName name="SG_19_11" localSheetId="8">#REF!</definedName>
    <definedName name="SG_19_11" localSheetId="5">#REF!</definedName>
    <definedName name="SG_19_11">#REF!</definedName>
    <definedName name="SG_19_12" localSheetId="8">#REF!</definedName>
    <definedName name="SG_19_12" localSheetId="5">#REF!</definedName>
    <definedName name="SG_19_12">#REF!</definedName>
    <definedName name="SG_19_13" localSheetId="8">#REF!</definedName>
    <definedName name="SG_19_13" localSheetId="5">#REF!</definedName>
    <definedName name="SG_19_13">#REF!</definedName>
    <definedName name="SG_19_14" localSheetId="8">#REF!</definedName>
    <definedName name="SG_19_14" localSheetId="5">#REF!</definedName>
    <definedName name="SG_19_14">#REF!</definedName>
    <definedName name="SG_19_15" localSheetId="8">#REF!</definedName>
    <definedName name="SG_19_15" localSheetId="5">#REF!</definedName>
    <definedName name="SG_19_15">#REF!</definedName>
    <definedName name="SG_19_16" localSheetId="8">#REF!</definedName>
    <definedName name="SG_19_16" localSheetId="5">#REF!</definedName>
    <definedName name="SG_19_16">#REF!</definedName>
    <definedName name="SG_19_17" localSheetId="8">#REF!</definedName>
    <definedName name="SG_19_17" localSheetId="5">#REF!</definedName>
    <definedName name="SG_19_17">#REF!</definedName>
    <definedName name="SG_19_18" localSheetId="8">#REF!</definedName>
    <definedName name="SG_19_18" localSheetId="5">#REF!</definedName>
    <definedName name="SG_19_18">#REF!</definedName>
    <definedName name="SG_19_19" localSheetId="8">#REF!</definedName>
    <definedName name="SG_19_19" localSheetId="5">#REF!</definedName>
    <definedName name="SG_19_19">#REF!</definedName>
    <definedName name="SG_19_20" localSheetId="8">#REF!</definedName>
    <definedName name="SG_19_20" localSheetId="5">#REF!</definedName>
    <definedName name="SG_19_20">#REF!</definedName>
    <definedName name="SG_19_21" localSheetId="8">#REF!</definedName>
    <definedName name="SG_19_21" localSheetId="5">#REF!</definedName>
    <definedName name="SG_19_21">#REF!</definedName>
    <definedName name="SG_19_22" localSheetId="8">#REF!</definedName>
    <definedName name="SG_19_22" localSheetId="5">#REF!</definedName>
    <definedName name="SG_19_22">#REF!</definedName>
    <definedName name="SG_19_23" localSheetId="8">#REF!</definedName>
    <definedName name="SG_19_23" localSheetId="5">#REF!</definedName>
    <definedName name="SG_19_23">#REF!</definedName>
    <definedName name="SG_19_24" localSheetId="8">#REF!</definedName>
    <definedName name="SG_19_24" localSheetId="5">#REF!</definedName>
    <definedName name="SG_19_24">#REF!</definedName>
    <definedName name="SG_19_25" localSheetId="8">#REF!</definedName>
    <definedName name="SG_19_25" localSheetId="5">#REF!</definedName>
    <definedName name="SG_19_25">#REF!</definedName>
    <definedName name="SG_19_26" localSheetId="8">#REF!</definedName>
    <definedName name="SG_19_26" localSheetId="5">#REF!</definedName>
    <definedName name="SG_19_26">#REF!</definedName>
    <definedName name="SG_19_27" localSheetId="8">#REF!</definedName>
    <definedName name="SG_19_27" localSheetId="5">#REF!</definedName>
    <definedName name="SG_19_27">#REF!</definedName>
    <definedName name="SG_19_28" localSheetId="8">#REF!</definedName>
    <definedName name="SG_19_28" localSheetId="5">#REF!</definedName>
    <definedName name="SG_19_28">#REF!</definedName>
    <definedName name="SG_19_29" localSheetId="8">#REF!</definedName>
    <definedName name="SG_19_29" localSheetId="5">#REF!</definedName>
    <definedName name="SG_19_29">#REF!</definedName>
    <definedName name="SG_19_30" localSheetId="8">#REF!</definedName>
    <definedName name="SG_19_30" localSheetId="5">#REF!</definedName>
    <definedName name="SG_19_30">#REF!</definedName>
    <definedName name="SG_20_01" localSheetId="8">#REF!</definedName>
    <definedName name="SG_20_01" localSheetId="5">#REF!</definedName>
    <definedName name="SG_20_01">#REF!</definedName>
    <definedName name="SG_20_02" localSheetId="8">#REF!</definedName>
    <definedName name="SG_20_02" localSheetId="5">#REF!</definedName>
    <definedName name="SG_20_02">#REF!</definedName>
    <definedName name="SG_20_03" localSheetId="8">#REF!</definedName>
    <definedName name="SG_20_03" localSheetId="5">#REF!</definedName>
    <definedName name="SG_20_03">#REF!</definedName>
    <definedName name="SG_20_04" localSheetId="8">#REF!</definedName>
    <definedName name="SG_20_04" localSheetId="5">#REF!</definedName>
    <definedName name="SG_20_04">#REF!</definedName>
    <definedName name="SG_20_05" localSheetId="8">#REF!</definedName>
    <definedName name="SG_20_05" localSheetId="5">#REF!</definedName>
    <definedName name="SG_20_05">#REF!</definedName>
    <definedName name="SG_20_06" localSheetId="8">#REF!</definedName>
    <definedName name="SG_20_06" localSheetId="5">#REF!</definedName>
    <definedName name="SG_20_06">#REF!</definedName>
    <definedName name="SG_20_07" localSheetId="8">#REF!</definedName>
    <definedName name="SG_20_07" localSheetId="5">#REF!</definedName>
    <definedName name="SG_20_07">#REF!</definedName>
    <definedName name="SG_20_08" localSheetId="8">#REF!</definedName>
    <definedName name="SG_20_08" localSheetId="5">#REF!</definedName>
    <definedName name="SG_20_08">#REF!</definedName>
    <definedName name="SG_20_09" localSheetId="8">#REF!</definedName>
    <definedName name="SG_20_09" localSheetId="5">#REF!</definedName>
    <definedName name="SG_20_09">#REF!</definedName>
    <definedName name="SG_20_10" localSheetId="8">#REF!</definedName>
    <definedName name="SG_20_10" localSheetId="5">#REF!</definedName>
    <definedName name="SG_20_10">#REF!</definedName>
    <definedName name="SG_20_11" localSheetId="8">#REF!</definedName>
    <definedName name="SG_20_11" localSheetId="5">#REF!</definedName>
    <definedName name="SG_20_11">#REF!</definedName>
    <definedName name="SG_20_12" localSheetId="8">#REF!</definedName>
    <definedName name="SG_20_12" localSheetId="5">#REF!</definedName>
    <definedName name="SG_20_12">#REF!</definedName>
    <definedName name="SG_20_13" localSheetId="8">#REF!</definedName>
    <definedName name="SG_20_13" localSheetId="5">#REF!</definedName>
    <definedName name="SG_20_13">#REF!</definedName>
    <definedName name="SG_20_14" localSheetId="8">#REF!</definedName>
    <definedName name="SG_20_14" localSheetId="5">#REF!</definedName>
    <definedName name="SG_20_14">#REF!</definedName>
    <definedName name="SG_20_15" localSheetId="8">#REF!</definedName>
    <definedName name="SG_20_15" localSheetId="5">#REF!</definedName>
    <definedName name="SG_20_15">#REF!</definedName>
    <definedName name="SG_20_16" localSheetId="8">#REF!</definedName>
    <definedName name="SG_20_16" localSheetId="5">#REF!</definedName>
    <definedName name="SG_20_16">#REF!</definedName>
    <definedName name="SG_20_17" localSheetId="8">#REF!</definedName>
    <definedName name="SG_20_17" localSheetId="5">#REF!</definedName>
    <definedName name="SG_20_17">#REF!</definedName>
    <definedName name="SG_20_18" localSheetId="8">#REF!</definedName>
    <definedName name="SG_20_18" localSheetId="5">#REF!</definedName>
    <definedName name="SG_20_18">#REF!</definedName>
    <definedName name="SG_20_19" localSheetId="8">#REF!</definedName>
    <definedName name="SG_20_19" localSheetId="5">#REF!</definedName>
    <definedName name="SG_20_19">#REF!</definedName>
    <definedName name="SG_20_20" localSheetId="8">#REF!</definedName>
    <definedName name="SG_20_20" localSheetId="5">#REF!</definedName>
    <definedName name="SG_20_20">#REF!</definedName>
    <definedName name="SG_20_21" localSheetId="8">#REF!</definedName>
    <definedName name="SG_20_21" localSheetId="5">#REF!</definedName>
    <definedName name="SG_20_21">#REF!</definedName>
    <definedName name="SG_20_22" localSheetId="8">#REF!</definedName>
    <definedName name="SG_20_22" localSheetId="5">#REF!</definedName>
    <definedName name="SG_20_22">#REF!</definedName>
    <definedName name="SG_20_23" localSheetId="8">#REF!</definedName>
    <definedName name="SG_20_23" localSheetId="5">#REF!</definedName>
    <definedName name="SG_20_23">#REF!</definedName>
    <definedName name="SG_20_24" localSheetId="8">#REF!</definedName>
    <definedName name="SG_20_24" localSheetId="5">#REF!</definedName>
    <definedName name="SG_20_24">#REF!</definedName>
    <definedName name="SG_20_25" localSheetId="8">#REF!</definedName>
    <definedName name="SG_20_25" localSheetId="5">#REF!</definedName>
    <definedName name="SG_20_25">#REF!</definedName>
    <definedName name="SG_20_26" localSheetId="8">#REF!</definedName>
    <definedName name="SG_20_26" localSheetId="5">#REF!</definedName>
    <definedName name="SG_20_26">#REF!</definedName>
    <definedName name="SG_20_27" localSheetId="8">#REF!</definedName>
    <definedName name="SG_20_27" localSheetId="5">#REF!</definedName>
    <definedName name="SG_20_27">#REF!</definedName>
    <definedName name="SG_20_28" localSheetId="8">#REF!</definedName>
    <definedName name="SG_20_28" localSheetId="5">#REF!</definedName>
    <definedName name="SG_20_28">#REF!</definedName>
    <definedName name="SG_20_29" localSheetId="8">#REF!</definedName>
    <definedName name="SG_20_29" localSheetId="5">#REF!</definedName>
    <definedName name="SG_20_29">#REF!</definedName>
    <definedName name="SG_20_30" localSheetId="8">#REF!</definedName>
    <definedName name="SG_20_30" localSheetId="5">#REF!</definedName>
    <definedName name="SG_20_30">#REF!</definedName>
    <definedName name="SG_21_01" localSheetId="8">#REF!</definedName>
    <definedName name="SG_21_01" localSheetId="5">#REF!</definedName>
    <definedName name="SG_21_01">#REF!</definedName>
    <definedName name="SG_21_02" localSheetId="8">#REF!</definedName>
    <definedName name="SG_21_02" localSheetId="5">#REF!</definedName>
    <definedName name="SG_21_02">#REF!</definedName>
    <definedName name="SG_21_03" localSheetId="8">#REF!</definedName>
    <definedName name="SG_21_03" localSheetId="5">#REF!</definedName>
    <definedName name="SG_21_03">#REF!</definedName>
    <definedName name="SG_21_04" localSheetId="8">#REF!</definedName>
    <definedName name="SG_21_04" localSheetId="5">#REF!</definedName>
    <definedName name="SG_21_04">#REF!</definedName>
    <definedName name="SG_21_05" localSheetId="8">#REF!</definedName>
    <definedName name="SG_21_05" localSheetId="5">#REF!</definedName>
    <definedName name="SG_21_05">#REF!</definedName>
    <definedName name="SG_21_06" localSheetId="8">#REF!</definedName>
    <definedName name="SG_21_06" localSheetId="5">#REF!</definedName>
    <definedName name="SG_21_06">#REF!</definedName>
    <definedName name="SG_21_07" localSheetId="8">#REF!</definedName>
    <definedName name="SG_21_07" localSheetId="5">#REF!</definedName>
    <definedName name="SG_21_07">#REF!</definedName>
    <definedName name="SG_21_08" localSheetId="8">#REF!</definedName>
    <definedName name="SG_21_08" localSheetId="5">#REF!</definedName>
    <definedName name="SG_21_08">#REF!</definedName>
    <definedName name="SG_21_09" localSheetId="8">#REF!</definedName>
    <definedName name="SG_21_09" localSheetId="5">#REF!</definedName>
    <definedName name="SG_21_09">#REF!</definedName>
    <definedName name="SG_21_10" localSheetId="8">#REF!</definedName>
    <definedName name="SG_21_10" localSheetId="5">#REF!</definedName>
    <definedName name="SG_21_10">#REF!</definedName>
    <definedName name="SG_21_11" localSheetId="8">#REF!</definedName>
    <definedName name="SG_21_11" localSheetId="5">#REF!</definedName>
    <definedName name="SG_21_11">#REF!</definedName>
    <definedName name="SG_21_12" localSheetId="8">#REF!</definedName>
    <definedName name="SG_21_12" localSheetId="5">#REF!</definedName>
    <definedName name="SG_21_12">#REF!</definedName>
    <definedName name="SG_21_13" localSheetId="8">#REF!</definedName>
    <definedName name="SG_21_13" localSheetId="5">#REF!</definedName>
    <definedName name="SG_21_13">#REF!</definedName>
    <definedName name="SG_21_14" localSheetId="8">#REF!</definedName>
    <definedName name="SG_21_14" localSheetId="5">#REF!</definedName>
    <definedName name="SG_21_14">#REF!</definedName>
    <definedName name="SG_21_15" localSheetId="8">#REF!</definedName>
    <definedName name="SG_21_15" localSheetId="5">#REF!</definedName>
    <definedName name="SG_21_15">#REF!</definedName>
    <definedName name="SG_21_16" localSheetId="8">#REF!</definedName>
    <definedName name="SG_21_16" localSheetId="5">#REF!</definedName>
    <definedName name="SG_21_16">#REF!</definedName>
    <definedName name="SG_21_17" localSheetId="8">#REF!</definedName>
    <definedName name="SG_21_17" localSheetId="5">#REF!</definedName>
    <definedName name="SG_21_17">#REF!</definedName>
    <definedName name="SG_21_18" localSheetId="8">#REF!</definedName>
    <definedName name="SG_21_18" localSheetId="5">#REF!</definedName>
    <definedName name="SG_21_18">#REF!</definedName>
    <definedName name="SG_21_19" localSheetId="8">#REF!</definedName>
    <definedName name="SG_21_19" localSheetId="5">#REF!</definedName>
    <definedName name="SG_21_19">#REF!</definedName>
    <definedName name="SG_21_20" localSheetId="8">#REF!</definedName>
    <definedName name="SG_21_20" localSheetId="5">#REF!</definedName>
    <definedName name="SG_21_20">#REF!</definedName>
    <definedName name="SG_21_21" localSheetId="8">#REF!</definedName>
    <definedName name="SG_21_21" localSheetId="5">#REF!</definedName>
    <definedName name="SG_21_21">#REF!</definedName>
    <definedName name="SG_21_22" localSheetId="8">#REF!</definedName>
    <definedName name="SG_21_22" localSheetId="5">#REF!</definedName>
    <definedName name="SG_21_22">#REF!</definedName>
    <definedName name="SG_21_23" localSheetId="8">#REF!</definedName>
    <definedName name="SG_21_23" localSheetId="5">#REF!</definedName>
    <definedName name="SG_21_23">#REF!</definedName>
    <definedName name="SG_21_24" localSheetId="8">#REF!</definedName>
    <definedName name="SG_21_24" localSheetId="5">#REF!</definedName>
    <definedName name="SG_21_24">#REF!</definedName>
    <definedName name="SG_21_25" localSheetId="8">#REF!</definedName>
    <definedName name="SG_21_25" localSheetId="5">#REF!</definedName>
    <definedName name="SG_21_25">#REF!</definedName>
    <definedName name="SG_21_26" localSheetId="8">#REF!</definedName>
    <definedName name="SG_21_26" localSheetId="5">#REF!</definedName>
    <definedName name="SG_21_26">#REF!</definedName>
    <definedName name="SG_21_27" localSheetId="8">#REF!</definedName>
    <definedName name="SG_21_27" localSheetId="5">#REF!</definedName>
    <definedName name="SG_21_27">#REF!</definedName>
    <definedName name="SG_21_28" localSheetId="8">#REF!</definedName>
    <definedName name="SG_21_28" localSheetId="5">#REF!</definedName>
    <definedName name="SG_21_28">#REF!</definedName>
    <definedName name="SG_21_29" localSheetId="8">#REF!</definedName>
    <definedName name="SG_21_29" localSheetId="5">#REF!</definedName>
    <definedName name="SG_21_29">#REF!</definedName>
    <definedName name="SG_21_30" localSheetId="8">#REF!</definedName>
    <definedName name="SG_21_30" localSheetId="5">#REF!</definedName>
    <definedName name="SG_21_30">#REF!</definedName>
    <definedName name="SG_22_01" localSheetId="8">#REF!</definedName>
    <definedName name="SG_22_01" localSheetId="5">#REF!</definedName>
    <definedName name="SG_22_01">#REF!</definedName>
    <definedName name="SG_22_02" localSheetId="8">#REF!</definedName>
    <definedName name="SG_22_02" localSheetId="5">#REF!</definedName>
    <definedName name="SG_22_02">#REF!</definedName>
    <definedName name="SG_22_03" localSheetId="8">#REF!</definedName>
    <definedName name="SG_22_03" localSheetId="5">#REF!</definedName>
    <definedName name="SG_22_03">#REF!</definedName>
    <definedName name="SG_22_04" localSheetId="8">#REF!</definedName>
    <definedName name="SG_22_04" localSheetId="5">#REF!</definedName>
    <definedName name="SG_22_04">#REF!</definedName>
    <definedName name="SG_22_05" localSheetId="8">#REF!</definedName>
    <definedName name="SG_22_05" localSheetId="5">#REF!</definedName>
    <definedName name="SG_22_05">#REF!</definedName>
    <definedName name="SG_22_06" localSheetId="8">#REF!</definedName>
    <definedName name="SG_22_06" localSheetId="5">#REF!</definedName>
    <definedName name="SG_22_06">#REF!</definedName>
    <definedName name="SG_22_07" localSheetId="8">#REF!</definedName>
    <definedName name="SG_22_07" localSheetId="5">#REF!</definedName>
    <definedName name="SG_22_07">#REF!</definedName>
    <definedName name="SG_22_08" localSheetId="8">#REF!</definedName>
    <definedName name="SG_22_08" localSheetId="5">#REF!</definedName>
    <definedName name="SG_22_08">#REF!</definedName>
    <definedName name="SG_22_09" localSheetId="8">#REF!</definedName>
    <definedName name="SG_22_09" localSheetId="5">#REF!</definedName>
    <definedName name="SG_22_09">#REF!</definedName>
    <definedName name="SG_22_10" localSheetId="8">#REF!</definedName>
    <definedName name="SG_22_10" localSheetId="5">#REF!</definedName>
    <definedName name="SG_22_10">#REF!</definedName>
    <definedName name="SG_22_11" localSheetId="8">#REF!</definedName>
    <definedName name="SG_22_11" localSheetId="5">#REF!</definedName>
    <definedName name="SG_22_11">#REF!</definedName>
    <definedName name="SG_22_12" localSheetId="8">#REF!</definedName>
    <definedName name="SG_22_12" localSheetId="5">#REF!</definedName>
    <definedName name="SG_22_12">#REF!</definedName>
    <definedName name="SG_22_13" localSheetId="8">#REF!</definedName>
    <definedName name="SG_22_13" localSheetId="5">#REF!</definedName>
    <definedName name="SG_22_13">#REF!</definedName>
    <definedName name="SG_22_14" localSheetId="8">#REF!</definedName>
    <definedName name="SG_22_14" localSheetId="5">#REF!</definedName>
    <definedName name="SG_22_14">#REF!</definedName>
    <definedName name="SG_22_15" localSheetId="8">#REF!</definedName>
    <definedName name="SG_22_15" localSheetId="5">#REF!</definedName>
    <definedName name="SG_22_15">#REF!</definedName>
    <definedName name="SG_22_16" localSheetId="8">#REF!</definedName>
    <definedName name="SG_22_16" localSheetId="5">#REF!</definedName>
    <definedName name="SG_22_16">#REF!</definedName>
    <definedName name="SG_22_17" localSheetId="8">#REF!</definedName>
    <definedName name="SG_22_17" localSheetId="5">#REF!</definedName>
    <definedName name="SG_22_17">#REF!</definedName>
    <definedName name="SG_22_18" localSheetId="8">#REF!</definedName>
    <definedName name="SG_22_18" localSheetId="5">#REF!</definedName>
    <definedName name="SG_22_18">#REF!</definedName>
    <definedName name="SG_22_19" localSheetId="8">#REF!</definedName>
    <definedName name="SG_22_19" localSheetId="5">#REF!</definedName>
    <definedName name="SG_22_19">#REF!</definedName>
    <definedName name="SG_22_20" localSheetId="8">#REF!</definedName>
    <definedName name="SG_22_20" localSheetId="5">#REF!</definedName>
    <definedName name="SG_22_20">#REF!</definedName>
    <definedName name="SG_22_21" localSheetId="8">#REF!</definedName>
    <definedName name="SG_22_21" localSheetId="5">#REF!</definedName>
    <definedName name="SG_22_21">#REF!</definedName>
    <definedName name="SG_22_22" localSheetId="8">#REF!</definedName>
    <definedName name="SG_22_22" localSheetId="5">#REF!</definedName>
    <definedName name="SG_22_22">#REF!</definedName>
    <definedName name="SG_22_23" localSheetId="8">#REF!</definedName>
    <definedName name="SG_22_23" localSheetId="5">#REF!</definedName>
    <definedName name="SG_22_23">#REF!</definedName>
    <definedName name="SG_22_24" localSheetId="8">#REF!</definedName>
    <definedName name="SG_22_24" localSheetId="5">#REF!</definedName>
    <definedName name="SG_22_24">#REF!</definedName>
    <definedName name="SG_22_25" localSheetId="8">#REF!</definedName>
    <definedName name="SG_22_25" localSheetId="5">#REF!</definedName>
    <definedName name="SG_22_25">#REF!</definedName>
    <definedName name="SG_22_26" localSheetId="8">#REF!</definedName>
    <definedName name="SG_22_26" localSheetId="5">#REF!</definedName>
    <definedName name="SG_22_26">#REF!</definedName>
    <definedName name="SG_22_27" localSheetId="8">#REF!</definedName>
    <definedName name="SG_22_27" localSheetId="5">#REF!</definedName>
    <definedName name="SG_22_27">#REF!</definedName>
    <definedName name="SG_22_28" localSheetId="8">#REF!</definedName>
    <definedName name="SG_22_28" localSheetId="5">#REF!</definedName>
    <definedName name="SG_22_28">#REF!</definedName>
    <definedName name="SG_22_29" localSheetId="8">#REF!</definedName>
    <definedName name="SG_22_29" localSheetId="5">#REF!</definedName>
    <definedName name="SG_22_29">#REF!</definedName>
    <definedName name="SG_22_30" localSheetId="8">#REF!</definedName>
    <definedName name="SG_22_30" localSheetId="5">#REF!</definedName>
    <definedName name="SG_22_30">#REF!</definedName>
    <definedName name="SG_23_01" localSheetId="8">#REF!</definedName>
    <definedName name="SG_23_01" localSheetId="5">#REF!</definedName>
    <definedName name="SG_23_01">#REF!</definedName>
    <definedName name="SG_23_02" localSheetId="8">#REF!</definedName>
    <definedName name="SG_23_02" localSheetId="5">#REF!</definedName>
    <definedName name="SG_23_02">#REF!</definedName>
    <definedName name="SG_23_03" localSheetId="8">#REF!</definedName>
    <definedName name="SG_23_03" localSheetId="5">#REF!</definedName>
    <definedName name="SG_23_03">#REF!</definedName>
    <definedName name="SG_23_04" localSheetId="8">#REF!</definedName>
    <definedName name="SG_23_04" localSheetId="5">#REF!</definedName>
    <definedName name="SG_23_04">#REF!</definedName>
    <definedName name="SG_23_05" localSheetId="8">#REF!</definedName>
    <definedName name="SG_23_05" localSheetId="5">#REF!</definedName>
    <definedName name="SG_23_05">#REF!</definedName>
    <definedName name="SG_23_06" localSheetId="8">#REF!</definedName>
    <definedName name="SG_23_06" localSheetId="5">#REF!</definedName>
    <definedName name="SG_23_06">#REF!</definedName>
    <definedName name="SG_23_07" localSheetId="8">#REF!</definedName>
    <definedName name="SG_23_07" localSheetId="5">#REF!</definedName>
    <definedName name="SG_23_07">#REF!</definedName>
    <definedName name="SG_23_08" localSheetId="8">#REF!</definedName>
    <definedName name="SG_23_08" localSheetId="5">#REF!</definedName>
    <definedName name="SG_23_08">#REF!</definedName>
    <definedName name="SG_23_09" localSheetId="8">#REF!</definedName>
    <definedName name="SG_23_09" localSheetId="5">#REF!</definedName>
    <definedName name="SG_23_09">#REF!</definedName>
    <definedName name="SG_23_10" localSheetId="8">#REF!</definedName>
    <definedName name="SG_23_10" localSheetId="5">#REF!</definedName>
    <definedName name="SG_23_10">#REF!</definedName>
    <definedName name="SG_23_11" localSheetId="8">#REF!</definedName>
    <definedName name="SG_23_11" localSheetId="5">#REF!</definedName>
    <definedName name="SG_23_11">#REF!</definedName>
    <definedName name="SG_23_12" localSheetId="8">#REF!</definedName>
    <definedName name="SG_23_12" localSheetId="5">#REF!</definedName>
    <definedName name="SG_23_12">#REF!</definedName>
    <definedName name="SG_23_13" localSheetId="8">#REF!</definedName>
    <definedName name="SG_23_13" localSheetId="5">#REF!</definedName>
    <definedName name="SG_23_13">#REF!</definedName>
    <definedName name="SG_23_14" localSheetId="8">#REF!</definedName>
    <definedName name="SG_23_14" localSheetId="5">#REF!</definedName>
    <definedName name="SG_23_14">#REF!</definedName>
    <definedName name="SG_23_15" localSheetId="8">#REF!</definedName>
    <definedName name="SG_23_15" localSheetId="5">#REF!</definedName>
    <definedName name="SG_23_15">#REF!</definedName>
    <definedName name="SG_23_16" localSheetId="8">#REF!</definedName>
    <definedName name="SG_23_16" localSheetId="5">#REF!</definedName>
    <definedName name="SG_23_16">#REF!</definedName>
    <definedName name="SG_23_17" localSheetId="8">#REF!</definedName>
    <definedName name="SG_23_17" localSheetId="5">#REF!</definedName>
    <definedName name="SG_23_17">#REF!</definedName>
    <definedName name="SG_23_18" localSheetId="8">#REF!</definedName>
    <definedName name="SG_23_18" localSheetId="5">#REF!</definedName>
    <definedName name="SG_23_18">#REF!</definedName>
    <definedName name="SG_23_19" localSheetId="8">#REF!</definedName>
    <definedName name="SG_23_19" localSheetId="5">#REF!</definedName>
    <definedName name="SG_23_19">#REF!</definedName>
    <definedName name="SG_23_20" localSheetId="8">#REF!</definedName>
    <definedName name="SG_23_20" localSheetId="5">#REF!</definedName>
    <definedName name="SG_23_20">#REF!</definedName>
    <definedName name="SG_23_21" localSheetId="8">#REF!</definedName>
    <definedName name="SG_23_21" localSheetId="5">#REF!</definedName>
    <definedName name="SG_23_21">#REF!</definedName>
    <definedName name="SG_23_22" localSheetId="8">#REF!</definedName>
    <definedName name="SG_23_22" localSheetId="5">#REF!</definedName>
    <definedName name="SG_23_22">#REF!</definedName>
    <definedName name="SG_23_23" localSheetId="8">#REF!</definedName>
    <definedName name="SG_23_23" localSheetId="5">#REF!</definedName>
    <definedName name="SG_23_23">#REF!</definedName>
    <definedName name="SG_23_24" localSheetId="8">#REF!</definedName>
    <definedName name="SG_23_24" localSheetId="5">#REF!</definedName>
    <definedName name="SG_23_24">#REF!</definedName>
    <definedName name="SG_23_25" localSheetId="8">#REF!</definedName>
    <definedName name="SG_23_25" localSheetId="5">#REF!</definedName>
    <definedName name="SG_23_25">#REF!</definedName>
    <definedName name="SG_23_26" localSheetId="8">#REF!</definedName>
    <definedName name="SG_23_26" localSheetId="5">#REF!</definedName>
    <definedName name="SG_23_26">#REF!</definedName>
    <definedName name="SG_23_27" localSheetId="8">#REF!</definedName>
    <definedName name="SG_23_27" localSheetId="5">#REF!</definedName>
    <definedName name="SG_23_27">#REF!</definedName>
    <definedName name="SG_23_28" localSheetId="8">#REF!</definedName>
    <definedName name="SG_23_28" localSheetId="5">#REF!</definedName>
    <definedName name="SG_23_28">#REF!</definedName>
    <definedName name="SG_23_29" localSheetId="8">#REF!</definedName>
    <definedName name="SG_23_29" localSheetId="5">#REF!</definedName>
    <definedName name="SG_23_29">#REF!</definedName>
    <definedName name="SG_23_30" localSheetId="8">#REF!</definedName>
    <definedName name="SG_23_30" localSheetId="5">#REF!</definedName>
    <definedName name="SG_23_30">#REF!</definedName>
    <definedName name="SG_24_01" localSheetId="8">#REF!</definedName>
    <definedName name="SG_24_01" localSheetId="5">#REF!</definedName>
    <definedName name="SG_24_01">#REF!</definedName>
    <definedName name="SG_24_02" localSheetId="8">#REF!</definedName>
    <definedName name="SG_24_02" localSheetId="5">#REF!</definedName>
    <definedName name="SG_24_02">#REF!</definedName>
    <definedName name="SG_24_03" localSheetId="8">#REF!</definedName>
    <definedName name="SG_24_03" localSheetId="5">#REF!</definedName>
    <definedName name="SG_24_03">#REF!</definedName>
    <definedName name="SG_24_04" localSheetId="8">#REF!</definedName>
    <definedName name="SG_24_04" localSheetId="5">#REF!</definedName>
    <definedName name="SG_24_04">#REF!</definedName>
    <definedName name="SG_24_05" localSheetId="8">#REF!</definedName>
    <definedName name="SG_24_05" localSheetId="5">#REF!</definedName>
    <definedName name="SG_24_05">#REF!</definedName>
    <definedName name="SG_24_06" localSheetId="8">#REF!</definedName>
    <definedName name="SG_24_06" localSheetId="5">#REF!</definedName>
    <definedName name="SG_24_06">#REF!</definedName>
    <definedName name="SG_24_07" localSheetId="8">#REF!</definedName>
    <definedName name="SG_24_07" localSheetId="5">#REF!</definedName>
    <definedName name="SG_24_07">#REF!</definedName>
    <definedName name="SG_24_08" localSheetId="8">#REF!</definedName>
    <definedName name="SG_24_08" localSheetId="5">#REF!</definedName>
    <definedName name="SG_24_08">#REF!</definedName>
    <definedName name="SG_24_09" localSheetId="8">#REF!</definedName>
    <definedName name="SG_24_09" localSheetId="5">#REF!</definedName>
    <definedName name="SG_24_09">#REF!</definedName>
    <definedName name="SG_24_10" localSheetId="8">#REF!</definedName>
    <definedName name="SG_24_10" localSheetId="5">#REF!</definedName>
    <definedName name="SG_24_10">#REF!</definedName>
    <definedName name="SG_24_11" localSheetId="8">#REF!</definedName>
    <definedName name="SG_24_11" localSheetId="5">#REF!</definedName>
    <definedName name="SG_24_11">#REF!</definedName>
    <definedName name="SG_24_12" localSheetId="8">#REF!</definedName>
    <definedName name="SG_24_12" localSheetId="5">#REF!</definedName>
    <definedName name="SG_24_12">#REF!</definedName>
    <definedName name="SG_24_13" localSheetId="8">#REF!</definedName>
    <definedName name="SG_24_13" localSheetId="5">#REF!</definedName>
    <definedName name="SG_24_13">#REF!</definedName>
    <definedName name="SG_24_14" localSheetId="8">#REF!</definedName>
    <definedName name="SG_24_14" localSheetId="5">#REF!</definedName>
    <definedName name="SG_24_14">#REF!</definedName>
    <definedName name="SG_24_15" localSheetId="8">#REF!</definedName>
    <definedName name="SG_24_15" localSheetId="5">#REF!</definedName>
    <definedName name="SG_24_15">#REF!</definedName>
    <definedName name="SG_24_16" localSheetId="8">#REF!</definedName>
    <definedName name="SG_24_16" localSheetId="5">#REF!</definedName>
    <definedName name="SG_24_16">#REF!</definedName>
    <definedName name="SG_24_17" localSheetId="8">#REF!</definedName>
    <definedName name="SG_24_17" localSheetId="5">#REF!</definedName>
    <definedName name="SG_24_17">#REF!</definedName>
    <definedName name="SG_24_18" localSheetId="8">#REF!</definedName>
    <definedName name="SG_24_18" localSheetId="5">#REF!</definedName>
    <definedName name="SG_24_18">#REF!</definedName>
    <definedName name="SG_24_19" localSheetId="8">#REF!</definedName>
    <definedName name="SG_24_19" localSheetId="5">#REF!</definedName>
    <definedName name="SG_24_19">#REF!</definedName>
    <definedName name="SG_24_20" localSheetId="8">#REF!</definedName>
    <definedName name="SG_24_20" localSheetId="5">#REF!</definedName>
    <definedName name="SG_24_20">#REF!</definedName>
    <definedName name="SG_24_21" localSheetId="8">#REF!</definedName>
    <definedName name="SG_24_21" localSheetId="5">#REF!</definedName>
    <definedName name="SG_24_21">#REF!</definedName>
    <definedName name="SG_24_22" localSheetId="8">#REF!</definedName>
    <definedName name="SG_24_22" localSheetId="5">#REF!</definedName>
    <definedName name="SG_24_22">#REF!</definedName>
    <definedName name="SG_24_23" localSheetId="8">#REF!</definedName>
    <definedName name="SG_24_23" localSheetId="5">#REF!</definedName>
    <definedName name="SG_24_23">#REF!</definedName>
    <definedName name="SG_24_24" localSheetId="8">#REF!</definedName>
    <definedName name="SG_24_24" localSheetId="5">#REF!</definedName>
    <definedName name="SG_24_24">#REF!</definedName>
    <definedName name="SG_24_25" localSheetId="8">#REF!</definedName>
    <definedName name="SG_24_25" localSheetId="5">#REF!</definedName>
    <definedName name="SG_24_25">#REF!</definedName>
    <definedName name="SG_24_26" localSheetId="8">#REF!</definedName>
    <definedName name="SG_24_26" localSheetId="5">#REF!</definedName>
    <definedName name="SG_24_26">#REF!</definedName>
    <definedName name="SG_24_27" localSheetId="8">#REF!</definedName>
    <definedName name="SG_24_27" localSheetId="5">#REF!</definedName>
    <definedName name="SG_24_27">#REF!</definedName>
    <definedName name="SG_24_28" localSheetId="8">#REF!</definedName>
    <definedName name="SG_24_28" localSheetId="5">#REF!</definedName>
    <definedName name="SG_24_28">#REF!</definedName>
    <definedName name="SG_24_29" localSheetId="8">#REF!</definedName>
    <definedName name="SG_24_29" localSheetId="5">#REF!</definedName>
    <definedName name="SG_24_29">#REF!</definedName>
    <definedName name="SG_24_30" localSheetId="8">#REF!</definedName>
    <definedName name="SG_24_30" localSheetId="5">#REF!</definedName>
    <definedName name="SG_24_30">#REF!</definedName>
    <definedName name="SG_25_01" localSheetId="8">#REF!</definedName>
    <definedName name="SG_25_01" localSheetId="5">#REF!</definedName>
    <definedName name="SG_25_01">#REF!</definedName>
    <definedName name="SG_25_02" localSheetId="8">#REF!</definedName>
    <definedName name="SG_25_02" localSheetId="5">#REF!</definedName>
    <definedName name="SG_25_02">#REF!</definedName>
    <definedName name="SG_25_03" localSheetId="8">#REF!</definedName>
    <definedName name="SG_25_03" localSheetId="5">#REF!</definedName>
    <definedName name="SG_25_03">#REF!</definedName>
    <definedName name="SG_25_04" localSheetId="8">#REF!</definedName>
    <definedName name="SG_25_04" localSheetId="5">#REF!</definedName>
    <definedName name="SG_25_04">#REF!</definedName>
    <definedName name="SG_25_05" localSheetId="8">#REF!</definedName>
    <definedName name="SG_25_05" localSheetId="5">#REF!</definedName>
    <definedName name="SG_25_05">#REF!</definedName>
    <definedName name="SG_25_06" localSheetId="8">#REF!</definedName>
    <definedName name="SG_25_06" localSheetId="5">#REF!</definedName>
    <definedName name="SG_25_06">#REF!</definedName>
    <definedName name="SG_25_07" localSheetId="8">#REF!</definedName>
    <definedName name="SG_25_07" localSheetId="5">#REF!</definedName>
    <definedName name="SG_25_07">#REF!</definedName>
    <definedName name="SG_25_08" localSheetId="8">#REF!</definedName>
    <definedName name="SG_25_08" localSheetId="5">#REF!</definedName>
    <definedName name="SG_25_08">#REF!</definedName>
    <definedName name="SG_25_09" localSheetId="8">#REF!</definedName>
    <definedName name="SG_25_09" localSheetId="5">#REF!</definedName>
    <definedName name="SG_25_09">#REF!</definedName>
    <definedName name="SG_25_10" localSheetId="8">#REF!</definedName>
    <definedName name="SG_25_10" localSheetId="5">#REF!</definedName>
    <definedName name="SG_25_10">#REF!</definedName>
    <definedName name="SG_25_11" localSheetId="8">#REF!</definedName>
    <definedName name="SG_25_11" localSheetId="5">#REF!</definedName>
    <definedName name="SG_25_11">#REF!</definedName>
    <definedName name="SG_25_12" localSheetId="8">#REF!</definedName>
    <definedName name="SG_25_12" localSheetId="5">#REF!</definedName>
    <definedName name="SG_25_12">#REF!</definedName>
    <definedName name="SG_25_13" localSheetId="8">#REF!</definedName>
    <definedName name="SG_25_13" localSheetId="5">#REF!</definedName>
    <definedName name="SG_25_13">#REF!</definedName>
    <definedName name="SG_25_14" localSheetId="8">#REF!</definedName>
    <definedName name="SG_25_14" localSheetId="5">#REF!</definedName>
    <definedName name="SG_25_14">#REF!</definedName>
    <definedName name="SG_25_15" localSheetId="8">#REF!</definedName>
    <definedName name="SG_25_15" localSheetId="5">#REF!</definedName>
    <definedName name="SG_25_15">#REF!</definedName>
    <definedName name="SG_25_16" localSheetId="8">#REF!</definedName>
    <definedName name="SG_25_16" localSheetId="5">#REF!</definedName>
    <definedName name="SG_25_16">#REF!</definedName>
    <definedName name="SG_25_17" localSheetId="8">#REF!</definedName>
    <definedName name="SG_25_17" localSheetId="5">#REF!</definedName>
    <definedName name="SG_25_17">#REF!</definedName>
    <definedName name="SG_25_18" localSheetId="8">#REF!</definedName>
    <definedName name="SG_25_18" localSheetId="5">#REF!</definedName>
    <definedName name="SG_25_18">#REF!</definedName>
    <definedName name="SG_25_19" localSheetId="8">#REF!</definedName>
    <definedName name="SG_25_19" localSheetId="5">#REF!</definedName>
    <definedName name="SG_25_19">#REF!</definedName>
    <definedName name="SG_25_20" localSheetId="8">#REF!</definedName>
    <definedName name="SG_25_20" localSheetId="5">#REF!</definedName>
    <definedName name="SG_25_20">#REF!</definedName>
    <definedName name="SG_25_21" localSheetId="8">#REF!</definedName>
    <definedName name="SG_25_21" localSheetId="5">#REF!</definedName>
    <definedName name="SG_25_21">#REF!</definedName>
    <definedName name="SG_25_22" localSheetId="8">#REF!</definedName>
    <definedName name="SG_25_22" localSheetId="5">#REF!</definedName>
    <definedName name="SG_25_22">#REF!</definedName>
    <definedName name="SG_25_23" localSheetId="8">#REF!</definedName>
    <definedName name="SG_25_23" localSheetId="5">#REF!</definedName>
    <definedName name="SG_25_23">#REF!</definedName>
    <definedName name="SG_25_24" localSheetId="8">#REF!</definedName>
    <definedName name="SG_25_24" localSheetId="5">#REF!</definedName>
    <definedName name="SG_25_24">#REF!</definedName>
    <definedName name="SG_25_25" localSheetId="8">#REF!</definedName>
    <definedName name="SG_25_25" localSheetId="5">#REF!</definedName>
    <definedName name="SG_25_25">#REF!</definedName>
    <definedName name="SG_25_26" localSheetId="8">#REF!</definedName>
    <definedName name="SG_25_26" localSheetId="5">#REF!</definedName>
    <definedName name="SG_25_26">#REF!</definedName>
    <definedName name="SG_25_27" localSheetId="8">#REF!</definedName>
    <definedName name="SG_25_27" localSheetId="5">#REF!</definedName>
    <definedName name="SG_25_27">#REF!</definedName>
    <definedName name="SG_25_28" localSheetId="8">#REF!</definedName>
    <definedName name="SG_25_28" localSheetId="5">#REF!</definedName>
    <definedName name="SG_25_28">#REF!</definedName>
    <definedName name="SG_25_29" localSheetId="8">#REF!</definedName>
    <definedName name="SG_25_29" localSheetId="5">#REF!</definedName>
    <definedName name="SG_25_29">#REF!</definedName>
    <definedName name="SG_25_30" localSheetId="8">#REF!</definedName>
    <definedName name="SG_25_30" localSheetId="5">#REF!</definedName>
    <definedName name="SG_25_30">#REF!</definedName>
    <definedName name="SG_26_01" localSheetId="8">#REF!</definedName>
    <definedName name="SG_26_01" localSheetId="5">#REF!</definedName>
    <definedName name="SG_26_01">#REF!</definedName>
    <definedName name="SG_26_02" localSheetId="8">#REF!</definedName>
    <definedName name="SG_26_02" localSheetId="5">#REF!</definedName>
    <definedName name="SG_26_02">#REF!</definedName>
    <definedName name="SG_26_03" localSheetId="8">#REF!</definedName>
    <definedName name="SG_26_03" localSheetId="5">#REF!</definedName>
    <definedName name="SG_26_03">#REF!</definedName>
    <definedName name="SG_26_04" localSheetId="8">#REF!</definedName>
    <definedName name="SG_26_04" localSheetId="5">#REF!</definedName>
    <definedName name="SG_26_04">#REF!</definedName>
    <definedName name="SG_26_05" localSheetId="8">#REF!</definedName>
    <definedName name="SG_26_05" localSheetId="5">#REF!</definedName>
    <definedName name="SG_26_05">#REF!</definedName>
    <definedName name="SG_26_06" localSheetId="8">#REF!</definedName>
    <definedName name="SG_26_06" localSheetId="5">#REF!</definedName>
    <definedName name="SG_26_06">#REF!</definedName>
    <definedName name="SG_26_07" localSheetId="8">#REF!</definedName>
    <definedName name="SG_26_07" localSheetId="5">#REF!</definedName>
    <definedName name="SG_26_07">#REF!</definedName>
    <definedName name="SG_26_08" localSheetId="8">#REF!</definedName>
    <definedName name="SG_26_08" localSheetId="5">#REF!</definedName>
    <definedName name="SG_26_08">#REF!</definedName>
    <definedName name="SG_26_09" localSheetId="8">#REF!</definedName>
    <definedName name="SG_26_09" localSheetId="5">#REF!</definedName>
    <definedName name="SG_26_09">#REF!</definedName>
    <definedName name="SG_26_10" localSheetId="8">#REF!</definedName>
    <definedName name="SG_26_10" localSheetId="5">#REF!</definedName>
    <definedName name="SG_26_10">#REF!</definedName>
    <definedName name="SG_26_11" localSheetId="8">#REF!</definedName>
    <definedName name="SG_26_11" localSheetId="5">#REF!</definedName>
    <definedName name="SG_26_11">#REF!</definedName>
    <definedName name="SG_26_12" localSheetId="8">#REF!</definedName>
    <definedName name="SG_26_12" localSheetId="5">#REF!</definedName>
    <definedName name="SG_26_12">#REF!</definedName>
    <definedName name="SG_26_13" localSheetId="8">#REF!</definedName>
    <definedName name="SG_26_13" localSheetId="5">#REF!</definedName>
    <definedName name="SG_26_13">#REF!</definedName>
    <definedName name="SG_26_14" localSheetId="8">#REF!</definedName>
    <definedName name="SG_26_14" localSheetId="5">#REF!</definedName>
    <definedName name="SG_26_14">#REF!</definedName>
    <definedName name="SG_26_15" localSheetId="8">#REF!</definedName>
    <definedName name="SG_26_15" localSheetId="5">#REF!</definedName>
    <definedName name="SG_26_15">#REF!</definedName>
    <definedName name="SG_26_16" localSheetId="8">#REF!</definedName>
    <definedName name="SG_26_16" localSheetId="5">#REF!</definedName>
    <definedName name="SG_26_16">#REF!</definedName>
    <definedName name="SG_26_17" localSheetId="8">#REF!</definedName>
    <definedName name="SG_26_17" localSheetId="5">#REF!</definedName>
    <definedName name="SG_26_17">#REF!</definedName>
    <definedName name="SG_26_18" localSheetId="8">#REF!</definedName>
    <definedName name="SG_26_18" localSheetId="5">#REF!</definedName>
    <definedName name="SG_26_18">#REF!</definedName>
    <definedName name="SG_26_19" localSheetId="8">#REF!</definedName>
    <definedName name="SG_26_19" localSheetId="5">#REF!</definedName>
    <definedName name="SG_26_19">#REF!</definedName>
    <definedName name="SG_26_20" localSheetId="8">#REF!</definedName>
    <definedName name="SG_26_20" localSheetId="5">#REF!</definedName>
    <definedName name="SG_26_20">#REF!</definedName>
    <definedName name="SG_26_21" localSheetId="8">#REF!</definedName>
    <definedName name="SG_26_21" localSheetId="5">#REF!</definedName>
    <definedName name="SG_26_21">#REF!</definedName>
    <definedName name="SG_26_22" localSheetId="8">#REF!</definedName>
    <definedName name="SG_26_22" localSheetId="5">#REF!</definedName>
    <definedName name="SG_26_22">#REF!</definedName>
    <definedName name="SG_26_23" localSheetId="8">#REF!</definedName>
    <definedName name="SG_26_23" localSheetId="5">#REF!</definedName>
    <definedName name="SG_26_23">#REF!</definedName>
    <definedName name="SG_26_24" localSheetId="8">#REF!</definedName>
    <definedName name="SG_26_24" localSheetId="5">#REF!</definedName>
    <definedName name="SG_26_24">#REF!</definedName>
    <definedName name="SG_26_25" localSheetId="8">#REF!</definedName>
    <definedName name="SG_26_25" localSheetId="5">#REF!</definedName>
    <definedName name="SG_26_25">#REF!</definedName>
    <definedName name="SG_26_26" localSheetId="8">#REF!</definedName>
    <definedName name="SG_26_26" localSheetId="5">#REF!</definedName>
    <definedName name="SG_26_26">#REF!</definedName>
    <definedName name="SG_26_27" localSheetId="8">#REF!</definedName>
    <definedName name="SG_26_27" localSheetId="5">#REF!</definedName>
    <definedName name="SG_26_27">#REF!</definedName>
    <definedName name="SG_26_28" localSheetId="8">#REF!</definedName>
    <definedName name="SG_26_28" localSheetId="5">#REF!</definedName>
    <definedName name="SG_26_28">#REF!</definedName>
    <definedName name="SG_26_29" localSheetId="8">#REF!</definedName>
    <definedName name="SG_26_29" localSheetId="5">#REF!</definedName>
    <definedName name="SG_26_29">#REF!</definedName>
    <definedName name="SG_26_30" localSheetId="8">#REF!</definedName>
    <definedName name="SG_26_30" localSheetId="5">#REF!</definedName>
    <definedName name="SG_26_30">#REF!</definedName>
    <definedName name="SG_27_01" localSheetId="8">#REF!</definedName>
    <definedName name="SG_27_01" localSheetId="5">#REF!</definedName>
    <definedName name="SG_27_01">#REF!</definedName>
    <definedName name="SG_27_02" localSheetId="8">#REF!</definedName>
    <definedName name="SG_27_02" localSheetId="5">#REF!</definedName>
    <definedName name="SG_27_02">#REF!</definedName>
    <definedName name="SG_27_03" localSheetId="8">#REF!</definedName>
    <definedName name="SG_27_03" localSheetId="5">#REF!</definedName>
    <definedName name="SG_27_03">#REF!</definedName>
    <definedName name="SG_27_04" localSheetId="8">#REF!</definedName>
    <definedName name="SG_27_04" localSheetId="5">#REF!</definedName>
    <definedName name="SG_27_04">#REF!</definedName>
    <definedName name="SG_27_05" localSheetId="8">#REF!</definedName>
    <definedName name="SG_27_05" localSheetId="5">#REF!</definedName>
    <definedName name="SG_27_05">#REF!</definedName>
    <definedName name="SG_27_06" localSheetId="8">#REF!</definedName>
    <definedName name="SG_27_06" localSheetId="5">#REF!</definedName>
    <definedName name="SG_27_06">#REF!</definedName>
    <definedName name="SG_27_07" localSheetId="8">#REF!</definedName>
    <definedName name="SG_27_07" localSheetId="5">#REF!</definedName>
    <definedName name="SG_27_07">#REF!</definedName>
    <definedName name="SG_27_08" localSheetId="8">#REF!</definedName>
    <definedName name="SG_27_08" localSheetId="5">#REF!</definedName>
    <definedName name="SG_27_08">#REF!</definedName>
    <definedName name="SG_27_09" localSheetId="8">#REF!</definedName>
    <definedName name="SG_27_09" localSheetId="5">#REF!</definedName>
    <definedName name="SG_27_09">#REF!</definedName>
    <definedName name="SG_27_10" localSheetId="8">#REF!</definedName>
    <definedName name="SG_27_10" localSheetId="5">#REF!</definedName>
    <definedName name="SG_27_10">#REF!</definedName>
    <definedName name="SG_27_11" localSheetId="8">#REF!</definedName>
    <definedName name="SG_27_11" localSheetId="5">#REF!</definedName>
    <definedName name="SG_27_11">#REF!</definedName>
    <definedName name="SG_27_12" localSheetId="8">#REF!</definedName>
    <definedName name="SG_27_12" localSheetId="5">#REF!</definedName>
    <definedName name="SG_27_12">#REF!</definedName>
    <definedName name="SG_27_13" localSheetId="8">#REF!</definedName>
    <definedName name="SG_27_13" localSheetId="5">#REF!</definedName>
    <definedName name="SG_27_13">#REF!</definedName>
    <definedName name="SG_27_14" localSheetId="8">#REF!</definedName>
    <definedName name="SG_27_14" localSheetId="5">#REF!</definedName>
    <definedName name="SG_27_14">#REF!</definedName>
    <definedName name="SG_27_15" localSheetId="8">#REF!</definedName>
    <definedName name="SG_27_15" localSheetId="5">#REF!</definedName>
    <definedName name="SG_27_15">#REF!</definedName>
    <definedName name="SG_27_16" localSheetId="8">#REF!</definedName>
    <definedName name="SG_27_16" localSheetId="5">#REF!</definedName>
    <definedName name="SG_27_16">#REF!</definedName>
    <definedName name="SG_27_17" localSheetId="8">#REF!</definedName>
    <definedName name="SG_27_17" localSheetId="5">#REF!</definedName>
    <definedName name="SG_27_17">#REF!</definedName>
    <definedName name="SG_27_18" localSheetId="8">#REF!</definedName>
    <definedName name="SG_27_18" localSheetId="5">#REF!</definedName>
    <definedName name="SG_27_18">#REF!</definedName>
    <definedName name="SG_27_19" localSheetId="8">#REF!</definedName>
    <definedName name="SG_27_19" localSheetId="5">#REF!</definedName>
    <definedName name="SG_27_19">#REF!</definedName>
    <definedName name="SG_27_20" localSheetId="8">#REF!</definedName>
    <definedName name="SG_27_20" localSheetId="5">#REF!</definedName>
    <definedName name="SG_27_20">#REF!</definedName>
    <definedName name="SG_27_21" localSheetId="8">#REF!</definedName>
    <definedName name="SG_27_21" localSheetId="5">#REF!</definedName>
    <definedName name="SG_27_21">#REF!</definedName>
    <definedName name="SG_27_22" localSheetId="8">#REF!</definedName>
    <definedName name="SG_27_22" localSheetId="5">#REF!</definedName>
    <definedName name="SG_27_22">#REF!</definedName>
    <definedName name="SG_27_23" localSheetId="8">#REF!</definedName>
    <definedName name="SG_27_23" localSheetId="5">#REF!</definedName>
    <definedName name="SG_27_23">#REF!</definedName>
    <definedName name="SG_27_24" localSheetId="8">#REF!</definedName>
    <definedName name="SG_27_24" localSheetId="5">#REF!</definedName>
    <definedName name="SG_27_24">#REF!</definedName>
    <definedName name="SG_27_25" localSheetId="8">#REF!</definedName>
    <definedName name="SG_27_25" localSheetId="5">#REF!</definedName>
    <definedName name="SG_27_25">#REF!</definedName>
    <definedName name="SG_27_26" localSheetId="8">#REF!</definedName>
    <definedName name="SG_27_26" localSheetId="5">#REF!</definedName>
    <definedName name="SG_27_26">#REF!</definedName>
    <definedName name="SG_27_27" localSheetId="8">#REF!</definedName>
    <definedName name="SG_27_27" localSheetId="5">#REF!</definedName>
    <definedName name="SG_27_27">#REF!</definedName>
    <definedName name="SG_27_28" localSheetId="8">#REF!</definedName>
    <definedName name="SG_27_28" localSheetId="5">#REF!</definedName>
    <definedName name="SG_27_28">#REF!</definedName>
    <definedName name="SG_27_29" localSheetId="8">#REF!</definedName>
    <definedName name="SG_27_29" localSheetId="5">#REF!</definedName>
    <definedName name="SG_27_29">#REF!</definedName>
    <definedName name="SG_27_30" localSheetId="8">#REF!</definedName>
    <definedName name="SG_27_30" localSheetId="5">#REF!</definedName>
    <definedName name="SG_27_30">#REF!</definedName>
    <definedName name="SG_28_01" localSheetId="8">#REF!</definedName>
    <definedName name="SG_28_01" localSheetId="5">#REF!</definedName>
    <definedName name="SG_28_01">#REF!</definedName>
    <definedName name="SG_28_02" localSheetId="8">#REF!</definedName>
    <definedName name="SG_28_02" localSheetId="5">#REF!</definedName>
    <definedName name="SG_28_02">#REF!</definedName>
    <definedName name="SG_28_03" localSheetId="8">#REF!</definedName>
    <definedName name="SG_28_03" localSheetId="5">#REF!</definedName>
    <definedName name="SG_28_03">#REF!</definedName>
    <definedName name="SG_28_04" localSheetId="8">#REF!</definedName>
    <definedName name="SG_28_04" localSheetId="5">#REF!</definedName>
    <definedName name="SG_28_04">#REF!</definedName>
    <definedName name="SG_28_05" localSheetId="8">#REF!</definedName>
    <definedName name="SG_28_05" localSheetId="5">#REF!</definedName>
    <definedName name="SG_28_05">#REF!</definedName>
    <definedName name="SG_28_06" localSheetId="8">#REF!</definedName>
    <definedName name="SG_28_06" localSheetId="5">#REF!</definedName>
    <definedName name="SG_28_06">#REF!</definedName>
    <definedName name="SG_28_07" localSheetId="8">#REF!</definedName>
    <definedName name="SG_28_07" localSheetId="5">#REF!</definedName>
    <definedName name="SG_28_07">#REF!</definedName>
    <definedName name="SG_28_08" localSheetId="8">#REF!</definedName>
    <definedName name="SG_28_08" localSheetId="5">#REF!</definedName>
    <definedName name="SG_28_08">#REF!</definedName>
    <definedName name="SG_28_09" localSheetId="8">#REF!</definedName>
    <definedName name="SG_28_09" localSheetId="5">#REF!</definedName>
    <definedName name="SG_28_09">#REF!</definedName>
    <definedName name="SG_28_10" localSheetId="8">#REF!</definedName>
    <definedName name="SG_28_10" localSheetId="5">#REF!</definedName>
    <definedName name="SG_28_10">#REF!</definedName>
    <definedName name="SG_28_11" localSheetId="8">#REF!</definedName>
    <definedName name="SG_28_11" localSheetId="5">#REF!</definedName>
    <definedName name="SG_28_11">#REF!</definedName>
    <definedName name="SG_28_12" localSheetId="8">#REF!</definedName>
    <definedName name="SG_28_12" localSheetId="5">#REF!</definedName>
    <definedName name="SG_28_12">#REF!</definedName>
    <definedName name="SG_28_13" localSheetId="8">#REF!</definedName>
    <definedName name="SG_28_13" localSheetId="5">#REF!</definedName>
    <definedName name="SG_28_13">#REF!</definedName>
    <definedName name="SG_28_14" localSheetId="8">#REF!</definedName>
    <definedName name="SG_28_14" localSheetId="5">#REF!</definedName>
    <definedName name="SG_28_14">#REF!</definedName>
    <definedName name="SG_28_15" localSheetId="8">#REF!</definedName>
    <definedName name="SG_28_15" localSheetId="5">#REF!</definedName>
    <definedName name="SG_28_15">#REF!</definedName>
    <definedName name="SG_28_16" localSheetId="8">#REF!</definedName>
    <definedName name="SG_28_16" localSheetId="5">#REF!</definedName>
    <definedName name="SG_28_16">#REF!</definedName>
    <definedName name="SG_28_17" localSheetId="8">#REF!</definedName>
    <definedName name="SG_28_17" localSheetId="5">#REF!</definedName>
    <definedName name="SG_28_17">#REF!</definedName>
    <definedName name="SG_28_18" localSheetId="8">#REF!</definedName>
    <definedName name="SG_28_18" localSheetId="5">#REF!</definedName>
    <definedName name="SG_28_18">#REF!</definedName>
    <definedName name="SG_28_19" localSheetId="8">#REF!</definedName>
    <definedName name="SG_28_19" localSheetId="5">#REF!</definedName>
    <definedName name="SG_28_19">#REF!</definedName>
    <definedName name="SG_28_20" localSheetId="8">#REF!</definedName>
    <definedName name="SG_28_20" localSheetId="5">#REF!</definedName>
    <definedName name="SG_28_20">#REF!</definedName>
    <definedName name="SG_28_21" localSheetId="8">#REF!</definedName>
    <definedName name="SG_28_21" localSheetId="5">#REF!</definedName>
    <definedName name="SG_28_21">#REF!</definedName>
    <definedName name="SG_28_22" localSheetId="8">#REF!</definedName>
    <definedName name="SG_28_22" localSheetId="5">#REF!</definedName>
    <definedName name="SG_28_22">#REF!</definedName>
    <definedName name="SG_28_23" localSheetId="8">#REF!</definedName>
    <definedName name="SG_28_23" localSheetId="5">#REF!</definedName>
    <definedName name="SG_28_23">#REF!</definedName>
    <definedName name="SG_28_24" localSheetId="8">#REF!</definedName>
    <definedName name="SG_28_24" localSheetId="5">#REF!</definedName>
    <definedName name="SG_28_24">#REF!</definedName>
    <definedName name="SG_28_25" localSheetId="8">#REF!</definedName>
    <definedName name="SG_28_25" localSheetId="5">#REF!</definedName>
    <definedName name="SG_28_25">#REF!</definedName>
    <definedName name="SG_28_26" localSheetId="8">#REF!</definedName>
    <definedName name="SG_28_26" localSheetId="5">#REF!</definedName>
    <definedName name="SG_28_26">#REF!</definedName>
    <definedName name="SG_28_27" localSheetId="8">#REF!</definedName>
    <definedName name="SG_28_27" localSheetId="5">#REF!</definedName>
    <definedName name="SG_28_27">#REF!</definedName>
    <definedName name="SG_28_28" localSheetId="8">#REF!</definedName>
    <definedName name="SG_28_28" localSheetId="5">#REF!</definedName>
    <definedName name="SG_28_28">#REF!</definedName>
    <definedName name="SG_28_29" localSheetId="8">#REF!</definedName>
    <definedName name="SG_28_29" localSheetId="5">#REF!</definedName>
    <definedName name="SG_28_29">#REF!</definedName>
    <definedName name="SG_28_30" localSheetId="8">#REF!</definedName>
    <definedName name="SG_28_30" localSheetId="5">#REF!</definedName>
    <definedName name="SG_28_30">#REF!</definedName>
    <definedName name="SG_29_01" localSheetId="8">#REF!</definedName>
    <definedName name="SG_29_01" localSheetId="5">#REF!</definedName>
    <definedName name="SG_29_01">#REF!</definedName>
    <definedName name="SG_29_02" localSheetId="8">#REF!</definedName>
    <definedName name="SG_29_02" localSheetId="5">#REF!</definedName>
    <definedName name="SG_29_02">#REF!</definedName>
    <definedName name="SG_29_03" localSheetId="8">#REF!</definedName>
    <definedName name="SG_29_03" localSheetId="5">#REF!</definedName>
    <definedName name="SG_29_03">#REF!</definedName>
    <definedName name="SG_29_04" localSheetId="8">#REF!</definedName>
    <definedName name="SG_29_04" localSheetId="5">#REF!</definedName>
    <definedName name="SG_29_04">#REF!</definedName>
    <definedName name="SG_29_05" localSheetId="8">#REF!</definedName>
    <definedName name="SG_29_05" localSheetId="5">#REF!</definedName>
    <definedName name="SG_29_05">#REF!</definedName>
    <definedName name="SG_29_06" localSheetId="8">#REF!</definedName>
    <definedName name="SG_29_06" localSheetId="5">#REF!</definedName>
    <definedName name="SG_29_06">#REF!</definedName>
    <definedName name="SG_29_07" localSheetId="8">#REF!</definedName>
    <definedName name="SG_29_07" localSheetId="5">#REF!</definedName>
    <definedName name="SG_29_07">#REF!</definedName>
    <definedName name="SG_29_08" localSheetId="8">#REF!</definedName>
    <definedName name="SG_29_08" localSheetId="5">#REF!</definedName>
    <definedName name="SG_29_08">#REF!</definedName>
    <definedName name="SG_29_09" localSheetId="8">#REF!</definedName>
    <definedName name="SG_29_09" localSheetId="5">#REF!</definedName>
    <definedName name="SG_29_09">#REF!</definedName>
    <definedName name="SG_29_10" localSheetId="8">#REF!</definedName>
    <definedName name="SG_29_10" localSheetId="5">#REF!</definedName>
    <definedName name="SG_29_10">#REF!</definedName>
    <definedName name="SG_29_11" localSheetId="8">#REF!</definedName>
    <definedName name="SG_29_11" localSheetId="5">#REF!</definedName>
    <definedName name="SG_29_11">#REF!</definedName>
    <definedName name="SG_29_12" localSheetId="8">#REF!</definedName>
    <definedName name="SG_29_12" localSheetId="5">#REF!</definedName>
    <definedName name="SG_29_12">#REF!</definedName>
    <definedName name="SG_29_13" localSheetId="8">#REF!</definedName>
    <definedName name="SG_29_13" localSheetId="5">#REF!</definedName>
    <definedName name="SG_29_13">#REF!</definedName>
    <definedName name="SG_29_14" localSheetId="8">#REF!</definedName>
    <definedName name="SG_29_14" localSheetId="5">#REF!</definedName>
    <definedName name="SG_29_14">#REF!</definedName>
    <definedName name="SG_29_15" localSheetId="8">#REF!</definedName>
    <definedName name="SG_29_15" localSheetId="5">#REF!</definedName>
    <definedName name="SG_29_15">#REF!</definedName>
    <definedName name="SG_29_16" localSheetId="8">#REF!</definedName>
    <definedName name="SG_29_16" localSheetId="5">#REF!</definedName>
    <definedName name="SG_29_16">#REF!</definedName>
    <definedName name="SG_29_17" localSheetId="8">#REF!</definedName>
    <definedName name="SG_29_17" localSheetId="5">#REF!</definedName>
    <definedName name="SG_29_17">#REF!</definedName>
    <definedName name="SG_29_18" localSheetId="8">#REF!</definedName>
    <definedName name="SG_29_18" localSheetId="5">#REF!</definedName>
    <definedName name="SG_29_18">#REF!</definedName>
    <definedName name="SG_29_19" localSheetId="8">#REF!</definedName>
    <definedName name="SG_29_19" localSheetId="5">#REF!</definedName>
    <definedName name="SG_29_19">#REF!</definedName>
    <definedName name="SG_29_20" localSheetId="8">#REF!</definedName>
    <definedName name="SG_29_20" localSheetId="5">#REF!</definedName>
    <definedName name="SG_29_20">#REF!</definedName>
    <definedName name="SG_29_21" localSheetId="8">#REF!</definedName>
    <definedName name="SG_29_21" localSheetId="5">#REF!</definedName>
    <definedName name="SG_29_21">#REF!</definedName>
    <definedName name="SG_29_22" localSheetId="8">#REF!</definedName>
    <definedName name="SG_29_22" localSheetId="5">#REF!</definedName>
    <definedName name="SG_29_22">#REF!</definedName>
    <definedName name="SG_29_23" localSheetId="8">#REF!</definedName>
    <definedName name="SG_29_23" localSheetId="5">#REF!</definedName>
    <definedName name="SG_29_23">#REF!</definedName>
    <definedName name="SG_29_24" localSheetId="8">#REF!</definedName>
    <definedName name="SG_29_24" localSheetId="5">#REF!</definedName>
    <definedName name="SG_29_24">#REF!</definedName>
    <definedName name="SG_29_25" localSheetId="8">#REF!</definedName>
    <definedName name="SG_29_25" localSheetId="5">#REF!</definedName>
    <definedName name="SG_29_25">#REF!</definedName>
    <definedName name="SG_29_26" localSheetId="8">#REF!</definedName>
    <definedName name="SG_29_26" localSheetId="5">#REF!</definedName>
    <definedName name="SG_29_26">#REF!</definedName>
    <definedName name="SG_29_27" localSheetId="8">#REF!</definedName>
    <definedName name="SG_29_27" localSheetId="5">#REF!</definedName>
    <definedName name="SG_29_27">#REF!</definedName>
    <definedName name="SG_29_28" localSheetId="8">#REF!</definedName>
    <definedName name="SG_29_28" localSheetId="5">#REF!</definedName>
    <definedName name="SG_29_28">#REF!</definedName>
    <definedName name="SG_29_29" localSheetId="8">#REF!</definedName>
    <definedName name="SG_29_29" localSheetId="5">#REF!</definedName>
    <definedName name="SG_29_29">#REF!</definedName>
    <definedName name="SG_29_30" localSheetId="8">#REF!</definedName>
    <definedName name="SG_29_30" localSheetId="5">#REF!</definedName>
    <definedName name="SG_29_30">#REF!</definedName>
    <definedName name="SG_30_01" localSheetId="8">#REF!</definedName>
    <definedName name="SG_30_01" localSheetId="5">#REF!</definedName>
    <definedName name="SG_30_01">#REF!</definedName>
    <definedName name="SG_30_02" localSheetId="8">#REF!</definedName>
    <definedName name="SG_30_02" localSheetId="5">#REF!</definedName>
    <definedName name="SG_30_02">#REF!</definedName>
    <definedName name="SG_30_03" localSheetId="8">#REF!</definedName>
    <definedName name="SG_30_03" localSheetId="5">#REF!</definedName>
    <definedName name="SG_30_03">#REF!</definedName>
    <definedName name="SG_30_04" localSheetId="8">#REF!</definedName>
    <definedName name="SG_30_04" localSheetId="5">#REF!</definedName>
    <definedName name="SG_30_04">#REF!</definedName>
    <definedName name="SG_30_05" localSheetId="8">#REF!</definedName>
    <definedName name="SG_30_05" localSheetId="5">#REF!</definedName>
    <definedName name="SG_30_05">#REF!</definedName>
    <definedName name="SG_30_06" localSheetId="8">#REF!</definedName>
    <definedName name="SG_30_06" localSheetId="5">#REF!</definedName>
    <definedName name="SG_30_06">#REF!</definedName>
    <definedName name="SG_30_07" localSheetId="8">#REF!</definedName>
    <definedName name="SG_30_07" localSheetId="5">#REF!</definedName>
    <definedName name="SG_30_07">#REF!</definedName>
    <definedName name="SG_30_08" localSheetId="8">#REF!</definedName>
    <definedName name="SG_30_08" localSheetId="5">#REF!</definedName>
    <definedName name="SG_30_08">#REF!</definedName>
    <definedName name="SG_30_09" localSheetId="8">#REF!</definedName>
    <definedName name="SG_30_09" localSheetId="5">#REF!</definedName>
    <definedName name="SG_30_09">#REF!</definedName>
    <definedName name="SG_30_10" localSheetId="8">#REF!</definedName>
    <definedName name="SG_30_10" localSheetId="5">#REF!</definedName>
    <definedName name="SG_30_10">#REF!</definedName>
    <definedName name="SG_30_11" localSheetId="8">#REF!</definedName>
    <definedName name="SG_30_11" localSheetId="5">#REF!</definedName>
    <definedName name="SG_30_11">#REF!</definedName>
    <definedName name="SG_30_12" localSheetId="8">#REF!</definedName>
    <definedName name="SG_30_12" localSheetId="5">#REF!</definedName>
    <definedName name="SG_30_12">#REF!</definedName>
    <definedName name="SG_30_13" localSheetId="8">#REF!</definedName>
    <definedName name="SG_30_13" localSheetId="5">#REF!</definedName>
    <definedName name="SG_30_13">#REF!</definedName>
    <definedName name="SG_30_14" localSheetId="8">#REF!</definedName>
    <definedName name="SG_30_14" localSheetId="5">#REF!</definedName>
    <definedName name="SG_30_14">#REF!</definedName>
    <definedName name="SG_30_15" localSheetId="8">#REF!</definedName>
    <definedName name="SG_30_15" localSheetId="5">#REF!</definedName>
    <definedName name="SG_30_15">#REF!</definedName>
    <definedName name="SG_30_16" localSheetId="8">#REF!</definedName>
    <definedName name="SG_30_16" localSheetId="5">#REF!</definedName>
    <definedName name="SG_30_16">#REF!</definedName>
    <definedName name="SG_30_17" localSheetId="8">#REF!</definedName>
    <definedName name="SG_30_17" localSheetId="5">#REF!</definedName>
    <definedName name="SG_30_17">#REF!</definedName>
    <definedName name="SG_30_18" localSheetId="8">#REF!</definedName>
    <definedName name="SG_30_18" localSheetId="5">#REF!</definedName>
    <definedName name="SG_30_18">#REF!</definedName>
    <definedName name="SG_30_19" localSheetId="8">#REF!</definedName>
    <definedName name="SG_30_19" localSheetId="5">#REF!</definedName>
    <definedName name="SG_30_19">#REF!</definedName>
    <definedName name="SG_30_20" localSheetId="8">#REF!</definedName>
    <definedName name="SG_30_20" localSheetId="5">#REF!</definedName>
    <definedName name="SG_30_20">#REF!</definedName>
    <definedName name="SG_30_21" localSheetId="8">#REF!</definedName>
    <definedName name="SG_30_21" localSheetId="5">#REF!</definedName>
    <definedName name="SG_30_21">#REF!</definedName>
    <definedName name="SG_30_22" localSheetId="8">#REF!</definedName>
    <definedName name="SG_30_22" localSheetId="5">#REF!</definedName>
    <definedName name="SG_30_22">#REF!</definedName>
    <definedName name="SG_30_23" localSheetId="8">#REF!</definedName>
    <definedName name="SG_30_23" localSheetId="5">#REF!</definedName>
    <definedName name="SG_30_23">#REF!</definedName>
    <definedName name="SG_30_24" localSheetId="8">#REF!</definedName>
    <definedName name="SG_30_24" localSheetId="5">#REF!</definedName>
    <definedName name="SG_30_24">#REF!</definedName>
    <definedName name="SG_30_25" localSheetId="8">#REF!</definedName>
    <definedName name="SG_30_25" localSheetId="5">#REF!</definedName>
    <definedName name="SG_30_25">#REF!</definedName>
    <definedName name="SG_30_26" localSheetId="8">#REF!</definedName>
    <definedName name="SG_30_26" localSheetId="5">#REF!</definedName>
    <definedName name="SG_30_26">#REF!</definedName>
    <definedName name="SG_30_27" localSheetId="8">#REF!</definedName>
    <definedName name="SG_30_27" localSheetId="5">#REF!</definedName>
    <definedName name="SG_30_27">#REF!</definedName>
    <definedName name="SG_30_28" localSheetId="8">#REF!</definedName>
    <definedName name="SG_30_28" localSheetId="5">#REF!</definedName>
    <definedName name="SG_30_28">#REF!</definedName>
    <definedName name="SG_30_29" localSheetId="8">#REF!</definedName>
    <definedName name="SG_30_29" localSheetId="5">#REF!</definedName>
    <definedName name="SG_30_29">#REF!</definedName>
    <definedName name="SG_30_30" localSheetId="8">#REF!</definedName>
    <definedName name="SG_30_30" localSheetId="5">#REF!</definedName>
    <definedName name="SG_30_30">#REF!</definedName>
    <definedName name="SGSG_18_19" localSheetId="8">#REF!</definedName>
    <definedName name="SGSG_18_19" localSheetId="5">#REF!</definedName>
    <definedName name="SGSG_18_19">#REF!</definedName>
    <definedName name="SIPOM" localSheetId="8">#REF!</definedName>
    <definedName name="SIPOM">#REF!</definedName>
    <definedName name="SOMA" localSheetId="8">#REF!</definedName>
    <definedName name="SOMA">#REF!</definedName>
    <definedName name="SR" localSheetId="8">#REF!</definedName>
    <definedName name="SR" localSheetId="5">#REF!</definedName>
    <definedName name="SR">#REF!</definedName>
    <definedName name="SRV">OFFSET(#REF!,1,,COUNTA(#REF!)-1,1)</definedName>
    <definedName name="sss_28_0" localSheetId="8">#REF!</definedName>
    <definedName name="sss_28_0">#REF!</definedName>
    <definedName name="SUBESTAÇÃO">#REF!</definedName>
    <definedName name="SUBESTAÇÃO_2">#REF!</definedName>
    <definedName name="SUPRESSÃO" localSheetId="8">#REF!</definedName>
    <definedName name="SUPRESSÃO">#REF!</definedName>
    <definedName name="tab" localSheetId="8">#REF!</definedName>
    <definedName name="tab">#REF!</definedName>
    <definedName name="TAD">#REF!</definedName>
    <definedName name="TC" localSheetId="8">#REF!</definedName>
    <definedName name="TC" localSheetId="5">#REF!</definedName>
    <definedName name="TC">#REF!</definedName>
    <definedName name="TETO">#REF!</definedName>
    <definedName name="TipoObra">2</definedName>
    <definedName name="TipoRel">"Seinfra-FG.xls"</definedName>
    <definedName name="TiposEspaco">#REF!</definedName>
    <definedName name="tittu">#N/A</definedName>
    <definedName name="TITU">#N/A</definedName>
    <definedName name="TITULO">#N/A</definedName>
    <definedName name="TÍTULO">#N/A</definedName>
    <definedName name="_xlnm.Print_Titles" localSheetId="6">ABC!$1:$7</definedName>
    <definedName name="_xlnm.Print_Titles" localSheetId="5">CPU!$2:$9</definedName>
    <definedName name="_xlnm.Print_Titles" localSheetId="7">Cronograma!$1:$13</definedName>
    <definedName name="_xlnm.Print_Titles" localSheetId="2">Fontes!$4:$5</definedName>
    <definedName name="_xlnm.Print_Titles" localSheetId="4">Insumos!$4:$5</definedName>
    <definedName name="_xlnm.Print_Titles" localSheetId="3">Mercado!$1:$2</definedName>
    <definedName name="_xlnm.Print_Titles" localSheetId="1">Planilha!$1:$12</definedName>
    <definedName name="TOMADASINTERR">(#REF!,#REF!,#REF!,#REF!,#REF!,#REF!)</definedName>
    <definedName name="TOMADASINTERR_2">(#REF!,#REF!,#REF!,#REF!,#REF!,#REF!)</definedName>
    <definedName name="TOMADASINTERRUP">#REF!</definedName>
    <definedName name="TOMADASINTERRUP_2">#REF!</definedName>
    <definedName name="TOT">OFFSET(SRV,,4)</definedName>
    <definedName name="total" localSheetId="8">#REF!</definedName>
    <definedName name="total">#REF!</definedName>
    <definedName name="TOTAL_GERAL" localSheetId="8">#REF!</definedName>
    <definedName name="TOTAL_GERAL" localSheetId="5">#REF!</definedName>
    <definedName name="TOTAL_GERAL">#REF!</definedName>
    <definedName name="TOTAL_RESUMO">#REF!</definedName>
    <definedName name="TP" localSheetId="8">#REF!</definedName>
    <definedName name="TP" localSheetId="5">#REF!</definedName>
    <definedName name="TP">#REF!</definedName>
    <definedName name="TR" localSheetId="8">#REF!</definedName>
    <definedName name="TR" localSheetId="5">#REF!</definedName>
    <definedName name="TR">#REF!</definedName>
    <definedName name="Tratamentos" localSheetId="8">#REF!</definedName>
    <definedName name="Tratamentos">#REF!</definedName>
    <definedName name="TREINAMENTO_C_18" localSheetId="8">#REF!</definedName>
    <definedName name="TREINAMENTO_C_18">#REF!</definedName>
    <definedName name="TREINAMENTO_C_20" localSheetId="8">#REF!</definedName>
    <definedName name="TREINAMENTO_C_20">#REF!</definedName>
    <definedName name="TREINAMENTO_C_22" localSheetId="8">#REF!</definedName>
    <definedName name="TREINAMENTO_C_22">#REF!</definedName>
    <definedName name="tREINAMENTO_C_24" localSheetId="8">#REF!</definedName>
    <definedName name="tREINAMENTO_C_24">#REF!</definedName>
    <definedName name="TREINAMENTO_C_26" localSheetId="8">#REF!</definedName>
    <definedName name="TREINAMENTO_C_26">#REF!</definedName>
    <definedName name="TT">#REF!</definedName>
    <definedName name="TUBO" localSheetId="8">#REF!</definedName>
    <definedName name="TUBO">#REF!</definedName>
    <definedName name="UM">"UN"</definedName>
    <definedName name="UN" localSheetId="8">#REF!</definedName>
    <definedName name="UN">#REF!</definedName>
    <definedName name="URBANISMOSAS" localSheetId="8">#REF!</definedName>
    <definedName name="URBANISMOSAS">#REF!</definedName>
    <definedName name="URBANIZAÇÃO">#REF!</definedName>
    <definedName name="URBANIZAÇÃO_2">#REF!</definedName>
    <definedName name="VALORCD" localSheetId="8">#REF!</definedName>
    <definedName name="VALORCD">#REF!</definedName>
    <definedName name="valorcomiof" localSheetId="8">#REF!</definedName>
    <definedName name="valorcomiof">#REF!</definedName>
    <definedName name="VALORES_VALORES_Listar" localSheetId="8">#REF!</definedName>
    <definedName name="VALORES_VALORES_Listar">#REF!</definedName>
    <definedName name="VALORES_VALORES_Listar_11" localSheetId="8">#REF!</definedName>
    <definedName name="VALORES_VALORES_Listar_11">#REF!</definedName>
    <definedName name="VALORES_VALORES_Listar_12" localSheetId="8">#REF!</definedName>
    <definedName name="VALORES_VALORES_Listar_12">#REF!</definedName>
    <definedName name="VALORES_VALORES_Listar_13" localSheetId="8">#REF!</definedName>
    <definedName name="VALORES_VALORES_Listar_13">#REF!</definedName>
    <definedName name="VIDROS">#REF!</definedName>
    <definedName name="VIDROS_2">#REF!</definedName>
    <definedName name="VTE" localSheetId="8">#REF!</definedName>
    <definedName name="VTE">#REF!</definedName>
    <definedName name="wrn.NB140.">{#N/A,#N/A,FALSE,"QUADRO I";#N/A,#N/A,FALSE,"QUADRO II";#N/A,#N/A,FALSE,"QUADRO III";#N/A,#N/A,FALSE,"QUADRO IV";#N/A,#N/A,FALSE,"QUADRO V";#N/A,#N/A,FALSE,"QUADRO VI";#N/A,#N/A,FALSE,"QUADRO VII";#N/A,#N/A,FALSE,"QUADRO VIII"}</definedName>
    <definedName name="wrn.Orçamento." localSheetId="8" hidden="1">{#N/A,#N/A,FALSE,"Planilha";#N/A,#N/A,FALSE,"Resumo";#N/A,#N/A,FALSE,"Fisico";#N/A,#N/A,FALSE,"Financeiro";#N/A,#N/A,FALSE,"Financeiro"}</definedName>
    <definedName name="wrn.Orçamento." localSheetId="5" hidden="1">{#N/A,#N/A,FALSE,"Planilha";#N/A,#N/A,FALSE,"Resumo";#N/A,#N/A,FALSE,"Fisico";#N/A,#N/A,FALSE,"Financeiro";#N/A,#N/A,FALSE,"Financeiro"}</definedName>
    <definedName name="wrn.Orçamento." hidden="1">{#N/A,#N/A,FALSE,"Planilha";#N/A,#N/A,FALSE,"Resumo";#N/A,#N/A,FALSE,"Fisico";#N/A,#N/A,FALSE,"Financeiro";#N/A,#N/A,FALSE,"Financeiro"}</definedName>
    <definedName name="wrn.Orçamento._1" localSheetId="8" hidden="1">{#N/A,#N/A,FALSE,"Planilha";#N/A,#N/A,FALSE,"Resumo";#N/A,#N/A,FALSE,"Fisico";#N/A,#N/A,FALSE,"Financeiro";#N/A,#N/A,FALSE,"Financeiro"}</definedName>
    <definedName name="wrn.Orçamento._1" localSheetId="5" hidden="1">{#N/A,#N/A,FALSE,"Planilha";#N/A,#N/A,FALSE,"Resumo";#N/A,#N/A,FALSE,"Fisico";#N/A,#N/A,FALSE,"Financeiro";#N/A,#N/A,FALSE,"Financeiro"}</definedName>
    <definedName name="wrn.Orçamento._1" hidden="1">{#N/A,#N/A,FALSE,"Planilha";#N/A,#N/A,FALSE,"Resumo";#N/A,#N/A,FALSE,"Fisico";#N/A,#N/A,FALSE,"Financeiro";#N/A,#N/A,FALSE,"Financeiro"}</definedName>
    <definedName name="wrn.PENDENCIAS." hidden="1">{#N/A,#N/A,FALSE,"GERAL";#N/A,#N/A,FALSE,"012-96";#N/A,#N/A,FALSE,"018-96";#N/A,#N/A,FALSE,"027-96";#N/A,#N/A,FALSE,"059-96";#N/A,#N/A,FALSE,"076-96";#N/A,#N/A,FALSE,"019-97";#N/A,#N/A,FALSE,"021-97";#N/A,#N/A,FALSE,"022-97";#N/A,#N/A,FALSE,"028-97"}</definedName>
    <definedName name="Z" localSheetId="8" hidden="1">{#N/A,#N/A,FALSE,"Planilha";#N/A,#N/A,FALSE,"Resumo";#N/A,#N/A,FALSE,"Fisico";#N/A,#N/A,FALSE,"Financeiro";#N/A,#N/A,FALSE,"Financeiro"}</definedName>
    <definedName name="Z" localSheetId="5" hidden="1">{#N/A,#N/A,FALSE,"Planilha";#N/A,#N/A,FALSE,"Resumo";#N/A,#N/A,FALSE,"Fisico";#N/A,#N/A,FALSE,"Financeiro";#N/A,#N/A,FALSE,"Financeiro"}</definedName>
    <definedName name="Z" hidden="1">{#N/A,#N/A,FALSE,"Planilha";#N/A,#N/A,FALSE,"Resumo";#N/A,#N/A,FALSE,"Fisico";#N/A,#N/A,FALSE,"Financeiro";#N/A,#N/A,FALSE,"Financeiro"}</definedName>
    <definedName name="Z_1" localSheetId="8" hidden="1">{#N/A,#N/A,FALSE,"Planilha";#N/A,#N/A,FALSE,"Resumo";#N/A,#N/A,FALSE,"Fisico";#N/A,#N/A,FALSE,"Financeiro";#N/A,#N/A,FALSE,"Financeiro"}</definedName>
    <definedName name="Z_1" localSheetId="5" hidden="1">{#N/A,#N/A,FALSE,"Planilha";#N/A,#N/A,FALSE,"Resumo";#N/A,#N/A,FALSE,"Fisico";#N/A,#N/A,FALSE,"Financeiro";#N/A,#N/A,FALSE,"Financeiro"}</definedName>
    <definedName name="Z_1" hidden="1">{#N/A,#N/A,FALSE,"Planilha";#N/A,#N/A,FALSE,"Resumo";#N/A,#N/A,FALSE,"Fisico";#N/A,#N/A,FALSE,"Financeiro";#N/A,#N/A,FALSE,"Financeiro"}</definedName>
    <definedName name="z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193" i="58" l="1"/>
  <c r="J1192" i="58"/>
  <c r="J1191" i="58"/>
  <c r="J1190" i="58"/>
  <c r="J1189" i="58"/>
  <c r="J1188" i="58"/>
  <c r="J1187" i="58"/>
  <c r="J1186" i="58"/>
  <c r="J1185" i="58"/>
  <c r="J1184" i="58"/>
  <c r="J1183" i="58"/>
  <c r="J1182" i="58"/>
  <c r="J1181" i="58"/>
  <c r="J1180" i="58"/>
  <c r="J1179" i="58"/>
  <c r="J1178" i="58"/>
  <c r="J1177" i="58"/>
  <c r="J1176" i="58"/>
  <c r="J1175" i="58"/>
  <c r="J1174" i="58"/>
  <c r="J1173" i="58"/>
  <c r="J1172" i="58"/>
  <c r="J1171" i="58"/>
  <c r="J1170" i="58"/>
  <c r="J1169" i="58"/>
  <c r="J1168" i="58"/>
  <c r="J1167" i="58"/>
  <c r="J1166" i="58"/>
  <c r="J1165" i="58"/>
  <c r="J1164" i="58"/>
  <c r="J1163" i="58"/>
  <c r="J1162" i="58"/>
  <c r="J1161" i="58"/>
  <c r="J1160" i="58"/>
  <c r="J1159" i="58"/>
  <c r="J1158" i="58"/>
  <c r="J1157" i="58"/>
  <c r="J1156" i="58"/>
  <c r="J1155" i="58"/>
  <c r="J1154" i="58"/>
  <c r="J1153" i="58"/>
  <c r="J1152" i="58"/>
  <c r="J1151" i="58"/>
  <c r="J1150" i="58"/>
  <c r="J1149" i="58"/>
  <c r="J1148" i="58"/>
  <c r="J1147" i="58"/>
  <c r="J1146" i="58"/>
  <c r="J1145" i="58"/>
  <c r="J1144" i="58"/>
  <c r="J1143" i="58"/>
  <c r="J1142" i="58"/>
  <c r="J1141" i="58"/>
  <c r="J1140" i="58"/>
  <c r="J1139" i="58"/>
  <c r="J1138" i="58"/>
  <c r="J1137" i="58"/>
  <c r="J1136" i="58"/>
  <c r="J1135" i="58"/>
  <c r="J1134" i="58"/>
  <c r="J1133" i="58"/>
  <c r="J1132" i="58"/>
  <c r="J1131" i="58"/>
  <c r="J1130" i="58"/>
  <c r="J1129" i="58"/>
  <c r="J1128" i="58"/>
  <c r="J1127" i="58"/>
  <c r="J1126" i="58"/>
  <c r="J1125" i="58"/>
  <c r="J1124" i="58"/>
  <c r="J1123" i="58"/>
  <c r="J1122" i="58"/>
  <c r="J1121" i="58"/>
  <c r="J1120" i="58"/>
  <c r="J1119" i="58"/>
  <c r="J1118" i="58"/>
  <c r="J1117" i="58"/>
  <c r="J1116" i="58"/>
  <c r="J1115" i="58"/>
  <c r="J1114" i="58"/>
  <c r="J1113" i="58"/>
  <c r="J1112" i="58"/>
  <c r="J1111" i="58"/>
  <c r="J1110" i="58"/>
  <c r="J1109" i="58"/>
  <c r="J1108" i="58"/>
  <c r="J1107" i="58"/>
  <c r="J1106" i="58"/>
  <c r="J1105" i="58"/>
  <c r="J1104" i="58"/>
  <c r="J1103" i="58"/>
  <c r="J1102" i="58"/>
  <c r="J1101" i="58"/>
  <c r="J1100" i="58"/>
  <c r="J1099" i="58"/>
  <c r="J1098" i="58"/>
  <c r="J1097" i="58"/>
  <c r="J1096" i="58"/>
  <c r="J1095" i="58"/>
  <c r="J1094" i="58"/>
  <c r="J1093" i="58"/>
  <c r="J1092" i="58"/>
  <c r="J1091" i="58"/>
  <c r="J1090" i="58"/>
  <c r="J1089" i="58"/>
  <c r="J1088" i="58"/>
  <c r="J1087" i="58"/>
  <c r="J1086" i="58"/>
  <c r="J1085" i="58"/>
  <c r="J1084" i="58"/>
  <c r="J1083" i="58"/>
  <c r="J1082" i="58"/>
  <c r="J1081" i="58"/>
  <c r="J1080" i="58"/>
  <c r="J1079" i="58"/>
  <c r="J1078" i="58"/>
  <c r="J1077" i="58"/>
  <c r="J1076" i="58"/>
  <c r="J1075" i="58"/>
  <c r="J1074" i="58"/>
  <c r="J1073" i="58"/>
  <c r="J1072" i="58"/>
  <c r="J1071" i="58"/>
  <c r="J1070" i="58"/>
  <c r="J1069" i="58"/>
  <c r="J1068" i="58"/>
  <c r="J1067" i="58"/>
  <c r="J1066" i="58"/>
  <c r="J1065" i="58"/>
  <c r="J1064" i="58"/>
  <c r="J1063" i="58"/>
  <c r="J1062" i="58"/>
  <c r="J1061" i="58"/>
  <c r="J1060" i="58"/>
  <c r="J1059" i="58"/>
  <c r="J1058" i="58"/>
  <c r="J1057" i="58"/>
  <c r="J1056" i="58"/>
  <c r="J1055" i="58"/>
  <c r="J1054" i="58"/>
  <c r="J1053" i="58"/>
  <c r="J1052" i="58"/>
  <c r="J1051" i="58"/>
  <c r="J1050" i="58"/>
  <c r="J1049" i="58"/>
  <c r="J1048" i="58"/>
  <c r="J1047" i="58"/>
  <c r="J1046" i="58"/>
  <c r="J1045" i="58"/>
  <c r="J1044" i="58"/>
  <c r="J1043" i="58"/>
  <c r="J1042" i="58"/>
  <c r="J1041" i="58"/>
  <c r="J1040" i="58"/>
  <c r="J1039" i="58"/>
  <c r="J1038" i="58"/>
  <c r="J1037" i="58"/>
  <c r="J1036" i="58"/>
  <c r="J1035" i="58"/>
  <c r="J1034" i="58"/>
  <c r="J1033" i="58"/>
  <c r="J1032" i="58"/>
  <c r="J1031" i="58"/>
  <c r="J1030" i="58"/>
  <c r="J1029" i="58"/>
  <c r="J1028" i="58"/>
  <c r="J1027" i="58"/>
  <c r="J1026" i="58"/>
  <c r="J1025" i="58"/>
  <c r="J1024" i="58"/>
  <c r="J1023" i="58"/>
  <c r="J1022" i="58"/>
  <c r="J1021" i="58"/>
  <c r="J1020" i="58"/>
  <c r="J1019" i="58"/>
  <c r="J1018" i="58"/>
  <c r="J1017" i="58"/>
  <c r="J1016" i="58"/>
  <c r="J1015" i="58"/>
  <c r="J1014" i="58"/>
  <c r="J1013" i="58"/>
  <c r="J1012" i="58"/>
  <c r="J1011" i="58"/>
  <c r="J1010" i="58"/>
  <c r="J1009" i="58"/>
  <c r="J1008" i="58"/>
  <c r="J1007" i="58"/>
  <c r="J1006" i="58"/>
  <c r="J1005" i="58"/>
  <c r="J1004" i="58"/>
  <c r="J1003" i="58"/>
  <c r="J1002" i="58"/>
  <c r="J1001" i="58"/>
  <c r="J1000" i="58"/>
  <c r="J999" i="58"/>
  <c r="J998" i="58"/>
  <c r="J997" i="58"/>
  <c r="J996" i="58"/>
  <c r="J995" i="58"/>
  <c r="J994" i="58"/>
  <c r="J993" i="58"/>
  <c r="J992" i="58"/>
  <c r="J991" i="58"/>
  <c r="J990" i="58"/>
  <c r="J989" i="58"/>
  <c r="J988" i="58"/>
  <c r="J987" i="58"/>
  <c r="J986" i="58"/>
  <c r="J985" i="58"/>
  <c r="J984" i="58"/>
  <c r="J983" i="58"/>
  <c r="J982" i="58"/>
  <c r="J981" i="58"/>
  <c r="J980" i="58"/>
  <c r="J979" i="58"/>
  <c r="J978" i="58"/>
  <c r="J977" i="58"/>
  <c r="J976" i="58"/>
  <c r="J975" i="58"/>
  <c r="J974" i="58"/>
  <c r="J973" i="58"/>
  <c r="J972" i="58"/>
  <c r="J971" i="58"/>
  <c r="J970" i="58"/>
  <c r="J969" i="58"/>
  <c r="J968" i="58"/>
  <c r="J967" i="58"/>
  <c r="J966" i="58"/>
  <c r="J965" i="58"/>
  <c r="J964" i="58"/>
  <c r="J963" i="58"/>
  <c r="J962" i="58"/>
  <c r="J961" i="58"/>
  <c r="J960" i="58"/>
  <c r="J959" i="58"/>
  <c r="J958" i="58"/>
  <c r="J957" i="58"/>
  <c r="J956" i="58"/>
  <c r="J955" i="58"/>
  <c r="J954" i="58"/>
  <c r="J953" i="58"/>
  <c r="J952" i="58"/>
  <c r="J951" i="58"/>
  <c r="J950" i="58"/>
  <c r="J949" i="58"/>
  <c r="J948" i="58"/>
  <c r="J947" i="58"/>
  <c r="J946" i="58"/>
  <c r="J945" i="58"/>
  <c r="J944" i="58"/>
  <c r="J943" i="58"/>
  <c r="J942" i="58"/>
  <c r="J941" i="58"/>
  <c r="J940" i="58"/>
  <c r="J939" i="58"/>
  <c r="J938" i="58"/>
  <c r="J937" i="58"/>
  <c r="J936" i="58"/>
  <c r="J935" i="58"/>
  <c r="J934" i="58"/>
  <c r="J933" i="58"/>
  <c r="J932" i="58"/>
  <c r="J931" i="58"/>
  <c r="J930" i="58"/>
  <c r="J929" i="58"/>
  <c r="J928" i="58"/>
  <c r="J927" i="58"/>
  <c r="J926" i="58"/>
  <c r="J925" i="58"/>
  <c r="J924" i="58"/>
  <c r="J923" i="58"/>
  <c r="J922" i="58"/>
  <c r="J921" i="58"/>
  <c r="J920" i="58"/>
  <c r="J919" i="58"/>
  <c r="J918" i="58"/>
  <c r="J917" i="58"/>
  <c r="J916" i="58"/>
  <c r="J915" i="58"/>
  <c r="J914" i="58"/>
  <c r="J913" i="58"/>
  <c r="J912" i="58"/>
  <c r="J911" i="58"/>
  <c r="J910" i="58"/>
  <c r="J909" i="58"/>
  <c r="J908" i="58"/>
  <c r="J907" i="58"/>
  <c r="J906" i="58"/>
  <c r="J905" i="58"/>
  <c r="J904" i="58"/>
  <c r="J903" i="58"/>
  <c r="J902" i="58"/>
  <c r="J901" i="58"/>
  <c r="J900" i="58"/>
  <c r="J899" i="58"/>
  <c r="J898" i="58"/>
  <c r="J897" i="58"/>
  <c r="J896" i="58"/>
  <c r="J895" i="58"/>
  <c r="J894" i="58"/>
  <c r="J893" i="58"/>
  <c r="J892" i="58"/>
  <c r="J891" i="58"/>
  <c r="J890" i="58"/>
  <c r="J889" i="58"/>
  <c r="J888" i="58"/>
  <c r="J887" i="58"/>
  <c r="J886" i="58"/>
  <c r="J885" i="58"/>
  <c r="J884" i="58"/>
  <c r="J883" i="58"/>
  <c r="J882" i="58"/>
  <c r="J881" i="58"/>
  <c r="J880" i="58"/>
  <c r="J879" i="58"/>
  <c r="J878" i="58"/>
  <c r="J877" i="58"/>
  <c r="J876" i="58"/>
  <c r="J875" i="58"/>
  <c r="J874" i="58"/>
  <c r="J873" i="58"/>
  <c r="J872" i="58"/>
  <c r="J871" i="58"/>
  <c r="J870" i="58"/>
  <c r="J869" i="58"/>
  <c r="J868" i="58"/>
  <c r="J867" i="58"/>
  <c r="J866" i="58"/>
  <c r="J865" i="58"/>
  <c r="J864" i="58"/>
  <c r="J863" i="58"/>
  <c r="J862" i="58"/>
  <c r="J861" i="58"/>
  <c r="J860" i="58"/>
  <c r="J859" i="58"/>
  <c r="J858" i="58"/>
  <c r="J857" i="58"/>
  <c r="J856" i="58"/>
  <c r="J855" i="58"/>
  <c r="J854" i="58"/>
  <c r="J853" i="58"/>
  <c r="J852" i="58"/>
  <c r="J851" i="58"/>
  <c r="J850" i="58"/>
  <c r="J849" i="58"/>
  <c r="J848" i="58"/>
  <c r="J847" i="58"/>
  <c r="J846" i="58"/>
  <c r="J845" i="58"/>
  <c r="J844" i="58"/>
  <c r="J843" i="58"/>
  <c r="J842" i="58"/>
  <c r="J841" i="58"/>
  <c r="J840" i="58"/>
  <c r="J839" i="58"/>
  <c r="J838" i="58"/>
  <c r="J837" i="58"/>
  <c r="J836" i="58"/>
  <c r="J835" i="58"/>
  <c r="J834" i="58"/>
  <c r="J833" i="58"/>
  <c r="J832" i="58"/>
  <c r="J831" i="58"/>
  <c r="J830" i="58"/>
  <c r="J829" i="58"/>
  <c r="J828" i="58"/>
  <c r="J827" i="58"/>
  <c r="J826" i="58"/>
  <c r="J825" i="58"/>
  <c r="J824" i="58"/>
  <c r="J823" i="58"/>
  <c r="J822" i="58"/>
  <c r="J821" i="58"/>
  <c r="J820" i="58"/>
  <c r="J819" i="58"/>
  <c r="J818" i="58"/>
  <c r="J817" i="58"/>
  <c r="J816" i="58"/>
  <c r="J815" i="58"/>
  <c r="J814" i="58"/>
  <c r="J813" i="58"/>
  <c r="J812" i="58"/>
  <c r="J811" i="58"/>
  <c r="J810" i="58"/>
  <c r="J809" i="58"/>
  <c r="J808" i="58"/>
  <c r="J807" i="58"/>
  <c r="J806" i="58"/>
  <c r="J805" i="58"/>
  <c r="J804" i="58"/>
  <c r="J803" i="58"/>
  <c r="J802" i="58"/>
  <c r="J801" i="58"/>
  <c r="J800" i="58"/>
  <c r="J799" i="58"/>
  <c r="J798" i="58"/>
  <c r="J797" i="58"/>
  <c r="J796" i="58"/>
  <c r="J795" i="58"/>
  <c r="J794" i="58"/>
  <c r="J793" i="58"/>
  <c r="J792" i="58"/>
  <c r="J791" i="58"/>
  <c r="J790" i="58"/>
  <c r="J789" i="58"/>
  <c r="J788" i="58"/>
  <c r="J787" i="58"/>
  <c r="J786" i="58"/>
  <c r="J785" i="58"/>
  <c r="J784" i="58"/>
  <c r="J783" i="58"/>
  <c r="J782" i="58"/>
  <c r="J781" i="58"/>
  <c r="J780" i="58"/>
  <c r="J779" i="58"/>
  <c r="J778" i="58"/>
  <c r="J777" i="58"/>
  <c r="J776" i="58"/>
  <c r="J775" i="58"/>
  <c r="J774" i="58"/>
  <c r="J773" i="58"/>
  <c r="J772" i="58"/>
  <c r="J771" i="58"/>
  <c r="J770" i="58"/>
  <c r="J769" i="58"/>
  <c r="J768" i="58"/>
  <c r="J767" i="58"/>
  <c r="J766" i="58"/>
  <c r="J765" i="58"/>
  <c r="J764" i="58"/>
  <c r="J763" i="58"/>
  <c r="J762" i="58"/>
  <c r="J761" i="58"/>
  <c r="J760" i="58"/>
  <c r="J759" i="58"/>
  <c r="J758" i="58"/>
  <c r="J757" i="58"/>
  <c r="J756" i="58"/>
  <c r="J755" i="58"/>
  <c r="J754" i="58"/>
  <c r="J753" i="58"/>
  <c r="J752" i="58"/>
  <c r="J751" i="58"/>
  <c r="J750" i="58"/>
  <c r="J749" i="58"/>
  <c r="J748" i="58"/>
  <c r="J747" i="58"/>
  <c r="J746" i="58"/>
  <c r="J745" i="58"/>
  <c r="J744" i="58"/>
  <c r="J743" i="58"/>
  <c r="J742" i="58"/>
  <c r="J741" i="58"/>
  <c r="J740" i="58"/>
  <c r="J739" i="58"/>
  <c r="J738" i="58"/>
  <c r="J737" i="58"/>
  <c r="J736" i="58"/>
  <c r="J735" i="58"/>
  <c r="J734" i="58"/>
  <c r="J733" i="58"/>
  <c r="J732" i="58"/>
  <c r="J731" i="58"/>
  <c r="J730" i="58"/>
  <c r="J729" i="58"/>
  <c r="J728" i="58"/>
  <c r="J727" i="58"/>
  <c r="J726" i="58"/>
  <c r="J725" i="58"/>
  <c r="J724" i="58"/>
  <c r="J723" i="58"/>
  <c r="J722" i="58"/>
  <c r="J721" i="58"/>
  <c r="J720" i="58"/>
  <c r="J719" i="58"/>
  <c r="J718" i="58"/>
  <c r="J717" i="58"/>
  <c r="J716" i="58"/>
  <c r="J715" i="58"/>
  <c r="J714" i="58"/>
  <c r="J713" i="58"/>
  <c r="J712" i="58"/>
  <c r="J711" i="58"/>
  <c r="J710" i="58"/>
  <c r="J709" i="58"/>
  <c r="J708" i="58"/>
  <c r="J707" i="58"/>
  <c r="J706" i="58"/>
  <c r="J705" i="58"/>
  <c r="J704" i="58"/>
  <c r="J703" i="58"/>
  <c r="J702" i="58"/>
  <c r="J701" i="58"/>
  <c r="J700" i="58"/>
  <c r="J699" i="58"/>
  <c r="J698" i="58"/>
  <c r="J697" i="58"/>
  <c r="J696" i="58"/>
  <c r="J695" i="58"/>
  <c r="J694" i="58"/>
  <c r="J693" i="58"/>
  <c r="J692" i="58"/>
  <c r="J691" i="58"/>
  <c r="J690" i="58"/>
  <c r="J689" i="58"/>
  <c r="J688" i="58"/>
  <c r="J687" i="58"/>
  <c r="J686" i="58"/>
  <c r="J685" i="58"/>
  <c r="J684" i="58"/>
  <c r="J683" i="58"/>
  <c r="J682" i="58"/>
  <c r="J681" i="58"/>
  <c r="J680" i="58"/>
  <c r="J679" i="58"/>
  <c r="J678" i="58"/>
  <c r="J677" i="58"/>
  <c r="J676" i="58"/>
  <c r="J675" i="58"/>
  <c r="J674" i="58"/>
  <c r="J673" i="58"/>
  <c r="J672" i="58"/>
  <c r="J671" i="58"/>
  <c r="J670" i="58"/>
  <c r="J669" i="58"/>
  <c r="J668" i="58"/>
  <c r="J667" i="58"/>
  <c r="J666" i="58"/>
  <c r="J665" i="58"/>
  <c r="J664" i="58"/>
  <c r="J663" i="58"/>
  <c r="J662" i="58"/>
  <c r="J661" i="58"/>
  <c r="J660" i="58"/>
  <c r="J659" i="58"/>
  <c r="J658" i="58"/>
  <c r="J657" i="58"/>
  <c r="J656" i="58"/>
  <c r="J655" i="58"/>
  <c r="J654" i="58"/>
  <c r="J653" i="58"/>
  <c r="J652" i="58"/>
  <c r="J651" i="58"/>
  <c r="J650" i="58"/>
  <c r="J649" i="58"/>
  <c r="J648" i="58"/>
  <c r="J647" i="58"/>
  <c r="J646" i="58"/>
  <c r="J645" i="58"/>
  <c r="J644" i="58"/>
  <c r="J643" i="58"/>
  <c r="J642" i="58"/>
  <c r="J641" i="58"/>
  <c r="J640" i="58"/>
  <c r="J639" i="58"/>
  <c r="J638" i="58"/>
  <c r="J637" i="58"/>
  <c r="J636" i="58"/>
  <c r="J635" i="58"/>
  <c r="J634" i="58"/>
  <c r="J633" i="58"/>
  <c r="J632" i="58"/>
  <c r="J631" i="58"/>
  <c r="J630" i="58"/>
  <c r="J629" i="58"/>
  <c r="J628" i="58"/>
  <c r="J627" i="58"/>
  <c r="J626" i="58"/>
  <c r="J625" i="58"/>
  <c r="J624" i="58"/>
  <c r="J623" i="58"/>
  <c r="J622" i="58"/>
  <c r="J621" i="58"/>
  <c r="J620" i="58"/>
  <c r="J619" i="58"/>
  <c r="J618" i="58"/>
  <c r="J617" i="58"/>
  <c r="J616" i="58"/>
  <c r="J615" i="58"/>
  <c r="J614" i="58"/>
  <c r="J613" i="58"/>
  <c r="J612" i="58"/>
  <c r="J611" i="58"/>
  <c r="J610" i="58"/>
  <c r="J609" i="58"/>
  <c r="J608" i="58"/>
  <c r="J607" i="58"/>
  <c r="J606" i="58"/>
  <c r="J605" i="58"/>
  <c r="J604" i="58"/>
  <c r="J603" i="58"/>
  <c r="J602" i="58"/>
  <c r="J601" i="58"/>
  <c r="J600" i="58"/>
  <c r="J599" i="58"/>
  <c r="J598" i="58"/>
  <c r="J597" i="58"/>
  <c r="J596" i="58"/>
  <c r="J595" i="58"/>
  <c r="J594" i="58"/>
  <c r="J593" i="58"/>
  <c r="J592" i="58"/>
  <c r="J591" i="58"/>
  <c r="J590" i="58"/>
  <c r="J589" i="58"/>
  <c r="J588" i="58"/>
  <c r="J587" i="58"/>
  <c r="J586" i="58"/>
  <c r="J585" i="58"/>
  <c r="J584" i="58"/>
  <c r="J583" i="58"/>
  <c r="J582" i="58"/>
  <c r="J581" i="58"/>
  <c r="J580" i="58"/>
  <c r="J579" i="58"/>
  <c r="J578" i="58"/>
  <c r="J577" i="58"/>
  <c r="J576" i="58"/>
  <c r="J575" i="58"/>
  <c r="J574" i="58"/>
  <c r="J573" i="58"/>
  <c r="J572" i="58"/>
  <c r="J571" i="58"/>
  <c r="J570" i="58"/>
  <c r="J569" i="58"/>
  <c r="J568" i="58"/>
  <c r="J567" i="58"/>
  <c r="J566" i="58"/>
  <c r="J565" i="58"/>
  <c r="J564" i="58"/>
  <c r="J563" i="58"/>
  <c r="J562" i="58"/>
  <c r="J561" i="58"/>
  <c r="J560" i="58"/>
  <c r="J559" i="58"/>
  <c r="J558" i="58"/>
  <c r="J557" i="58"/>
  <c r="J556" i="58"/>
  <c r="J555" i="58"/>
  <c r="J554" i="58"/>
  <c r="J553" i="58"/>
  <c r="J552" i="58"/>
  <c r="J551" i="58"/>
  <c r="J550" i="58"/>
  <c r="J549" i="58"/>
  <c r="J548" i="58"/>
  <c r="J547" i="58"/>
  <c r="J546" i="58"/>
  <c r="J545" i="58"/>
  <c r="J544" i="58"/>
  <c r="J543" i="58"/>
  <c r="J542" i="58"/>
  <c r="J541" i="58"/>
  <c r="J540" i="58"/>
  <c r="J539" i="58"/>
  <c r="J538" i="58"/>
  <c r="J537" i="58"/>
  <c r="J536" i="58"/>
  <c r="J535" i="58"/>
  <c r="J534" i="58"/>
  <c r="J533" i="58"/>
  <c r="J532" i="58"/>
  <c r="J531" i="58"/>
  <c r="J530" i="58"/>
  <c r="J529" i="58"/>
  <c r="J528" i="58"/>
  <c r="J527" i="58"/>
  <c r="J526" i="58"/>
  <c r="J525" i="58"/>
  <c r="J524" i="58"/>
  <c r="J523" i="58"/>
  <c r="J522" i="58"/>
  <c r="J521" i="58"/>
  <c r="J520" i="58"/>
  <c r="J519" i="58"/>
  <c r="J518" i="58"/>
  <c r="J517" i="58"/>
  <c r="J516" i="58"/>
  <c r="J515" i="58"/>
  <c r="J514" i="58"/>
  <c r="J513" i="58"/>
  <c r="J512" i="58"/>
  <c r="J511" i="58"/>
  <c r="J510" i="58"/>
  <c r="J509" i="58"/>
  <c r="J508" i="58"/>
  <c r="J507" i="58"/>
  <c r="J506" i="58"/>
  <c r="J505" i="58"/>
  <c r="J504" i="58"/>
  <c r="J503" i="58"/>
  <c r="J502" i="58"/>
  <c r="J501" i="58"/>
  <c r="J500" i="58"/>
  <c r="J499" i="58"/>
  <c r="J498" i="58"/>
  <c r="J497" i="58"/>
  <c r="J496" i="58"/>
  <c r="J495" i="58"/>
  <c r="J494" i="58"/>
  <c r="J493" i="58"/>
  <c r="J492" i="58"/>
  <c r="J491" i="58"/>
  <c r="J490" i="58"/>
  <c r="J489" i="58"/>
  <c r="J488" i="58"/>
  <c r="J487" i="58"/>
  <c r="J486" i="58"/>
  <c r="J485" i="58"/>
  <c r="J484" i="58"/>
  <c r="J483" i="58"/>
  <c r="J482" i="58"/>
  <c r="J481" i="58"/>
  <c r="J480" i="58"/>
  <c r="J479" i="58"/>
  <c r="J478" i="58"/>
  <c r="J477" i="58"/>
  <c r="J476" i="58"/>
  <c r="J475" i="58"/>
  <c r="J474" i="58"/>
  <c r="J473" i="58"/>
  <c r="J472" i="58"/>
  <c r="J471" i="58"/>
  <c r="J470" i="58"/>
  <c r="J469" i="58"/>
  <c r="J468" i="58"/>
  <c r="J467" i="58"/>
  <c r="J466" i="58"/>
  <c r="J465" i="58"/>
  <c r="J464" i="58"/>
  <c r="J463" i="58"/>
  <c r="J462" i="58"/>
  <c r="J461" i="58"/>
  <c r="J460" i="58"/>
  <c r="J459" i="58"/>
  <c r="J458" i="58"/>
  <c r="J457" i="58"/>
  <c r="J456" i="58"/>
  <c r="J455" i="58"/>
  <c r="J454" i="58"/>
  <c r="J453" i="58"/>
  <c r="J452" i="58"/>
  <c r="J451" i="58"/>
  <c r="J450" i="58"/>
  <c r="J449" i="58"/>
  <c r="J448" i="58"/>
  <c r="J447" i="58"/>
  <c r="J446" i="58"/>
  <c r="J445" i="58"/>
  <c r="J444" i="58"/>
  <c r="J443" i="58"/>
  <c r="J442" i="58"/>
  <c r="J441" i="58"/>
  <c r="J440" i="58"/>
  <c r="J439" i="58"/>
  <c r="J438" i="58"/>
  <c r="J437" i="58"/>
  <c r="J436" i="58"/>
  <c r="J435" i="58"/>
  <c r="J434" i="58"/>
  <c r="J433" i="58"/>
  <c r="J432" i="58"/>
  <c r="J431" i="58"/>
  <c r="J430" i="58"/>
  <c r="J429" i="58"/>
  <c r="J428" i="58"/>
  <c r="J427" i="58"/>
  <c r="J426" i="58"/>
  <c r="J425" i="58"/>
  <c r="J424" i="58"/>
  <c r="J423" i="58"/>
  <c r="J422" i="58"/>
  <c r="J421" i="58"/>
  <c r="J420" i="58"/>
  <c r="J419" i="58"/>
  <c r="J418" i="58"/>
  <c r="J417" i="58"/>
  <c r="J416" i="58"/>
  <c r="J415" i="58"/>
  <c r="J414" i="58"/>
  <c r="J413" i="58"/>
  <c r="J412" i="58"/>
  <c r="J411" i="58"/>
  <c r="J410" i="58"/>
  <c r="J409" i="58"/>
  <c r="J408" i="58"/>
  <c r="J407" i="58"/>
  <c r="J406" i="58"/>
  <c r="J405" i="58"/>
  <c r="J404" i="58"/>
  <c r="J403" i="58"/>
  <c r="J402" i="58"/>
  <c r="J401" i="58"/>
  <c r="J400" i="58"/>
  <c r="J399" i="58"/>
  <c r="J398" i="58"/>
  <c r="J397" i="58"/>
  <c r="J396" i="58"/>
  <c r="J395" i="58"/>
  <c r="J394" i="58"/>
  <c r="J393" i="58"/>
  <c r="J392" i="58"/>
  <c r="J391" i="58"/>
  <c r="J390" i="58"/>
  <c r="J389" i="58"/>
  <c r="J388" i="58"/>
  <c r="J387" i="58"/>
  <c r="J386" i="58"/>
  <c r="J385" i="58"/>
  <c r="J384" i="58"/>
  <c r="J383" i="58"/>
  <c r="J382" i="58"/>
  <c r="J381" i="58"/>
  <c r="J380" i="58"/>
  <c r="J379" i="58"/>
  <c r="J378" i="58"/>
  <c r="J377" i="58"/>
  <c r="J376" i="58"/>
  <c r="J375" i="58"/>
  <c r="J374" i="58"/>
  <c r="J373" i="58"/>
  <c r="J372" i="58"/>
  <c r="J371" i="58"/>
  <c r="J370" i="58"/>
  <c r="J369" i="58"/>
  <c r="J368" i="58"/>
  <c r="J367" i="58"/>
  <c r="J366" i="58"/>
  <c r="J365" i="58"/>
  <c r="J364" i="58"/>
  <c r="J363" i="58"/>
  <c r="J362" i="58"/>
  <c r="J361" i="58"/>
  <c r="J360" i="58"/>
  <c r="J359" i="58"/>
  <c r="J358" i="58"/>
  <c r="J357" i="58"/>
  <c r="J356" i="58"/>
  <c r="J355" i="58"/>
  <c r="J354" i="58"/>
  <c r="J353" i="58"/>
  <c r="J352" i="58"/>
  <c r="J351" i="58"/>
  <c r="J350" i="58"/>
  <c r="J349" i="58"/>
  <c r="J348" i="58"/>
  <c r="J347" i="58"/>
  <c r="J346" i="58"/>
  <c r="J345" i="58"/>
  <c r="J344" i="58"/>
  <c r="J343" i="58"/>
  <c r="J342" i="58"/>
  <c r="J341" i="58"/>
  <c r="J340" i="58"/>
  <c r="J339" i="58"/>
  <c r="J338" i="58"/>
  <c r="J337" i="58"/>
  <c r="J336" i="58"/>
  <c r="J335" i="58"/>
  <c r="J334" i="58"/>
  <c r="J333" i="58"/>
  <c r="J332" i="58"/>
  <c r="J331" i="58"/>
  <c r="J330" i="58"/>
  <c r="J329" i="58"/>
  <c r="J328" i="58"/>
  <c r="J327" i="58"/>
  <c r="J326" i="58"/>
  <c r="J325" i="58"/>
  <c r="J324" i="58"/>
  <c r="J323" i="58"/>
  <c r="J322" i="58"/>
  <c r="J321" i="58"/>
  <c r="J320" i="58"/>
  <c r="J319" i="58"/>
  <c r="J318" i="58"/>
  <c r="J317" i="58"/>
  <c r="J316" i="58"/>
  <c r="J315" i="58"/>
  <c r="J314" i="58"/>
  <c r="J313" i="58"/>
  <c r="J312" i="58"/>
  <c r="J311" i="58"/>
  <c r="J310" i="58"/>
  <c r="J309" i="58"/>
  <c r="J308" i="58"/>
  <c r="J307" i="58"/>
  <c r="J306" i="58"/>
  <c r="J305" i="58"/>
  <c r="J304" i="58"/>
  <c r="J303" i="58"/>
  <c r="J302" i="58"/>
  <c r="J301" i="58"/>
  <c r="J300" i="58"/>
  <c r="J299" i="58"/>
  <c r="J298" i="58"/>
  <c r="J297" i="58"/>
  <c r="J296" i="58"/>
  <c r="J295" i="58"/>
  <c r="J294" i="58"/>
  <c r="J293" i="58"/>
  <c r="J292" i="58"/>
  <c r="J291" i="58"/>
  <c r="J290" i="58"/>
  <c r="J289" i="58"/>
  <c r="J288" i="58"/>
  <c r="J287" i="58"/>
  <c r="J286" i="58"/>
  <c r="J285" i="58"/>
  <c r="J284" i="58"/>
  <c r="J283" i="58"/>
  <c r="J282" i="58"/>
  <c r="J281" i="58"/>
  <c r="J280" i="58"/>
  <c r="J279" i="58"/>
  <c r="J278" i="58"/>
  <c r="J277" i="58"/>
  <c r="J276" i="58"/>
  <c r="J275" i="58"/>
  <c r="J274" i="58"/>
  <c r="J273" i="58"/>
  <c r="J272" i="58"/>
  <c r="J271" i="58"/>
  <c r="J270" i="58"/>
  <c r="J269" i="58"/>
  <c r="J268" i="58"/>
  <c r="J267" i="58"/>
  <c r="J266" i="58"/>
  <c r="J265" i="58"/>
  <c r="J264" i="58"/>
  <c r="J263" i="58"/>
  <c r="J262" i="58"/>
  <c r="J261" i="58"/>
  <c r="J260" i="58"/>
  <c r="J259" i="58"/>
  <c r="J258" i="58"/>
  <c r="J257" i="58"/>
  <c r="J256" i="58"/>
  <c r="J255" i="58"/>
  <c r="J254" i="58"/>
  <c r="J253" i="58"/>
  <c r="J252" i="58"/>
  <c r="J251" i="58"/>
  <c r="J250" i="58"/>
  <c r="J249" i="58"/>
  <c r="J248" i="58"/>
  <c r="J247" i="58"/>
  <c r="J246" i="58"/>
  <c r="J245" i="58"/>
  <c r="J244" i="58"/>
  <c r="J243" i="58"/>
  <c r="J242" i="58"/>
  <c r="J241" i="58"/>
  <c r="J240" i="58"/>
  <c r="J239" i="58"/>
  <c r="J238" i="58"/>
  <c r="J237" i="58"/>
  <c r="J236" i="58"/>
  <c r="J235" i="58"/>
  <c r="J234" i="58"/>
  <c r="J233" i="58"/>
  <c r="J232" i="58"/>
  <c r="J231" i="58"/>
  <c r="J230" i="58"/>
  <c r="J229" i="58"/>
  <c r="J228" i="58"/>
  <c r="J227" i="58"/>
  <c r="J226" i="58"/>
  <c r="J225" i="58"/>
  <c r="J224" i="58"/>
  <c r="J223" i="58"/>
  <c r="J222" i="58"/>
  <c r="J221" i="58"/>
  <c r="J220" i="58"/>
  <c r="J219" i="58"/>
  <c r="J218" i="58"/>
  <c r="J217" i="58"/>
  <c r="J216" i="58"/>
  <c r="J215" i="58"/>
  <c r="J214" i="58"/>
  <c r="J213" i="58"/>
  <c r="J212" i="58"/>
  <c r="J211" i="58"/>
  <c r="J210" i="58"/>
  <c r="J209" i="58"/>
  <c r="J208" i="58"/>
  <c r="J207" i="58"/>
  <c r="J206" i="58"/>
  <c r="J205" i="58"/>
  <c r="J204" i="58"/>
  <c r="J202" i="58"/>
  <c r="J201" i="58"/>
  <c r="J200" i="58"/>
  <c r="J199" i="58"/>
  <c r="J198" i="58"/>
  <c r="J197" i="58"/>
  <c r="J196" i="58"/>
  <c r="J195" i="58"/>
  <c r="J194" i="58"/>
  <c r="J193" i="58"/>
  <c r="J192" i="58"/>
  <c r="J191" i="58"/>
  <c r="J190" i="58"/>
  <c r="J189" i="58"/>
  <c r="J188" i="58"/>
  <c r="J187" i="58"/>
  <c r="J186" i="58"/>
  <c r="J185" i="58"/>
  <c r="J184" i="58"/>
  <c r="J183" i="58"/>
  <c r="J182" i="58"/>
  <c r="J181" i="58"/>
  <c r="J180" i="58"/>
  <c r="J179" i="58"/>
  <c r="J178" i="58"/>
  <c r="J177" i="58"/>
  <c r="J176" i="58"/>
  <c r="J175" i="58"/>
  <c r="J174" i="58"/>
  <c r="J173" i="58"/>
  <c r="J172" i="58"/>
  <c r="J171" i="58"/>
  <c r="J170" i="58"/>
  <c r="J169" i="58"/>
  <c r="J168" i="58"/>
  <c r="J167" i="58"/>
  <c r="J166" i="58"/>
  <c r="J165" i="58"/>
  <c r="J164" i="58"/>
  <c r="J163" i="58"/>
  <c r="J162" i="58"/>
  <c r="J161" i="58"/>
  <c r="J160" i="58"/>
  <c r="J159" i="58"/>
  <c r="J158" i="58"/>
  <c r="J157" i="58"/>
  <c r="J156" i="58"/>
  <c r="J155" i="58"/>
  <c r="J154" i="58"/>
  <c r="J153" i="58"/>
  <c r="J152" i="58"/>
  <c r="J151" i="58"/>
  <c r="J150" i="58"/>
  <c r="J149" i="58"/>
  <c r="J148" i="58"/>
  <c r="J147" i="58"/>
  <c r="J146" i="58"/>
  <c r="J145" i="58"/>
  <c r="J144" i="58"/>
  <c r="J143" i="58"/>
  <c r="J142" i="58"/>
  <c r="J141" i="58"/>
  <c r="J140" i="58"/>
  <c r="J139" i="58"/>
  <c r="J138" i="58"/>
  <c r="J137" i="58"/>
  <c r="J136" i="58"/>
  <c r="J135" i="58"/>
  <c r="J134" i="58"/>
  <c r="J133" i="58"/>
  <c r="J132" i="58"/>
  <c r="J131" i="58"/>
  <c r="J130" i="58"/>
  <c r="J129" i="58"/>
  <c r="J128" i="58"/>
  <c r="J127" i="58"/>
  <c r="J126" i="58"/>
  <c r="J125" i="58"/>
  <c r="J124" i="58"/>
  <c r="J123" i="58"/>
  <c r="J122" i="58"/>
  <c r="J121" i="58"/>
  <c r="J120" i="58"/>
  <c r="J119" i="58"/>
  <c r="J118" i="58"/>
  <c r="J117" i="58"/>
  <c r="J116" i="58"/>
  <c r="J115" i="58"/>
  <c r="J114" i="58"/>
  <c r="J113" i="58"/>
  <c r="J112" i="58"/>
  <c r="J111" i="58"/>
  <c r="J110" i="58"/>
  <c r="J109" i="58"/>
  <c r="J108" i="58"/>
  <c r="J107" i="58"/>
  <c r="J106" i="58"/>
  <c r="J105" i="58"/>
  <c r="J104" i="58"/>
  <c r="J103" i="58"/>
  <c r="J102" i="58"/>
  <c r="J101" i="58"/>
  <c r="J100" i="58"/>
  <c r="J99" i="58"/>
  <c r="J98" i="58"/>
  <c r="J97" i="58"/>
  <c r="J96" i="58"/>
  <c r="J95" i="58"/>
  <c r="J94" i="58"/>
  <c r="J93" i="58"/>
  <c r="J92" i="58"/>
  <c r="J91" i="58"/>
  <c r="J90" i="58"/>
  <c r="J89" i="58"/>
  <c r="J88" i="58"/>
  <c r="J87" i="58"/>
  <c r="J86" i="58"/>
  <c r="J85" i="58"/>
  <c r="J84" i="58"/>
  <c r="J83" i="58"/>
  <c r="J82" i="58"/>
  <c r="J81" i="58"/>
  <c r="J80" i="58"/>
  <c r="J79" i="58"/>
  <c r="J78" i="58"/>
  <c r="J77" i="58"/>
  <c r="J76" i="58"/>
  <c r="J75" i="58"/>
  <c r="J74" i="58"/>
  <c r="J73" i="58"/>
  <c r="J72" i="58"/>
  <c r="J71" i="58"/>
  <c r="J70" i="58"/>
  <c r="J69" i="58"/>
  <c r="J68" i="58"/>
  <c r="J67" i="58"/>
  <c r="J66" i="58"/>
  <c r="J65" i="58"/>
  <c r="J64" i="58"/>
  <c r="J63" i="58"/>
  <c r="J62" i="58"/>
  <c r="J61" i="58"/>
  <c r="J60" i="58"/>
  <c r="J59" i="58"/>
  <c r="J58" i="58"/>
  <c r="J57" i="58"/>
  <c r="J56" i="58"/>
  <c r="J55" i="58"/>
  <c r="J54" i="58"/>
  <c r="J53" i="58"/>
  <c r="J52" i="58"/>
  <c r="J51" i="58"/>
  <c r="J50" i="58"/>
  <c r="J49" i="58"/>
  <c r="J48" i="58"/>
  <c r="J47" i="58"/>
  <c r="J46" i="58"/>
  <c r="J45" i="58"/>
  <c r="J44" i="58"/>
  <c r="J43" i="58"/>
  <c r="J42" i="58"/>
  <c r="J41" i="58"/>
  <c r="J40" i="58"/>
  <c r="J39" i="58"/>
  <c r="J38" i="58"/>
  <c r="J37" i="58"/>
  <c r="J36" i="58"/>
  <c r="J35" i="58"/>
  <c r="J34" i="58"/>
  <c r="J33" i="58"/>
  <c r="J32" i="58"/>
  <c r="J31" i="58"/>
  <c r="J30" i="58"/>
  <c r="J29" i="58"/>
  <c r="J28" i="58"/>
  <c r="J27" i="58"/>
  <c r="J26" i="58"/>
  <c r="J25" i="58"/>
  <c r="J24" i="58"/>
  <c r="J23" i="58"/>
  <c r="J22" i="58"/>
  <c r="J21" i="58"/>
  <c r="J20" i="58"/>
  <c r="J19" i="58"/>
  <c r="J18" i="58"/>
  <c r="J17" i="58"/>
  <c r="J16" i="58"/>
  <c r="J15" i="58"/>
  <c r="J14" i="58"/>
  <c r="J13" i="58"/>
  <c r="J203" i="58"/>
  <c r="G1198" i="58" l="1"/>
  <c r="K1193" i="58"/>
  <c r="I1193" i="58"/>
  <c r="K1192" i="58"/>
  <c r="I1192" i="58"/>
  <c r="K1191" i="58"/>
  <c r="I1191" i="58"/>
  <c r="K1190" i="58"/>
  <c r="I1190" i="58"/>
  <c r="K1189" i="58"/>
  <c r="I1189" i="58"/>
  <c r="L1189" i="58" s="1"/>
  <c r="M1189" i="58" s="1"/>
  <c r="K1188" i="58"/>
  <c r="I1188" i="58"/>
  <c r="K1187" i="58"/>
  <c r="I1187" i="58"/>
  <c r="K1186" i="58"/>
  <c r="I1186" i="58"/>
  <c r="K1185" i="58"/>
  <c r="I1185" i="58"/>
  <c r="K1184" i="58"/>
  <c r="I1184" i="58"/>
  <c r="K1183" i="58"/>
  <c r="I1183" i="58"/>
  <c r="K1182" i="58"/>
  <c r="I1182" i="58"/>
  <c r="K1181" i="58"/>
  <c r="I1181" i="58"/>
  <c r="L1181" i="58" s="1"/>
  <c r="K1180" i="58"/>
  <c r="I1180" i="58"/>
  <c r="K1179" i="58"/>
  <c r="I1179" i="58"/>
  <c r="K1178" i="58"/>
  <c r="I1178" i="58"/>
  <c r="K1177" i="58"/>
  <c r="I1177" i="58"/>
  <c r="K1176" i="58"/>
  <c r="I1176" i="58"/>
  <c r="K1175" i="58"/>
  <c r="I1175" i="58"/>
  <c r="K1174" i="58"/>
  <c r="I1174" i="58"/>
  <c r="K1173" i="58"/>
  <c r="I1173" i="58"/>
  <c r="K1172" i="58"/>
  <c r="I1172" i="58"/>
  <c r="K1171" i="58"/>
  <c r="I1171" i="58"/>
  <c r="K1170" i="58"/>
  <c r="I1170" i="58"/>
  <c r="K1169" i="58"/>
  <c r="I1169" i="58"/>
  <c r="K1168" i="58"/>
  <c r="I1168" i="58"/>
  <c r="K1167" i="58"/>
  <c r="I1167" i="58"/>
  <c r="K1166" i="58"/>
  <c r="I1166" i="58"/>
  <c r="K1165" i="58"/>
  <c r="I1165" i="58"/>
  <c r="K1164" i="58"/>
  <c r="I1164" i="58"/>
  <c r="K1163" i="58"/>
  <c r="I1163" i="58"/>
  <c r="K1162" i="58"/>
  <c r="I1162" i="58"/>
  <c r="K1161" i="58"/>
  <c r="I1161" i="58"/>
  <c r="K1160" i="58"/>
  <c r="I1160" i="58"/>
  <c r="K1159" i="58"/>
  <c r="I1159" i="58"/>
  <c r="K1158" i="58"/>
  <c r="I1158" i="58"/>
  <c r="K1157" i="58"/>
  <c r="I1157" i="58"/>
  <c r="K1156" i="58"/>
  <c r="I1156" i="58"/>
  <c r="K1155" i="58"/>
  <c r="I1155" i="58"/>
  <c r="K1154" i="58"/>
  <c r="I1154" i="58"/>
  <c r="K1153" i="58"/>
  <c r="I1153" i="58"/>
  <c r="K1152" i="58"/>
  <c r="I1152" i="58"/>
  <c r="K1151" i="58"/>
  <c r="I1151" i="58"/>
  <c r="K1150" i="58"/>
  <c r="I1150" i="58"/>
  <c r="K1149" i="58"/>
  <c r="I1149" i="58"/>
  <c r="K1148" i="58"/>
  <c r="I1148" i="58"/>
  <c r="K1147" i="58"/>
  <c r="I1147" i="58"/>
  <c r="K1146" i="58"/>
  <c r="I1146" i="58"/>
  <c r="K1145" i="58"/>
  <c r="I1145" i="58"/>
  <c r="K1144" i="58"/>
  <c r="I1144" i="58"/>
  <c r="K1143" i="58"/>
  <c r="I1143" i="58"/>
  <c r="K1142" i="58"/>
  <c r="I1142" i="58"/>
  <c r="K1141" i="58"/>
  <c r="I1141" i="58"/>
  <c r="K1140" i="58"/>
  <c r="I1140" i="58"/>
  <c r="K1139" i="58"/>
  <c r="I1139" i="58"/>
  <c r="K1138" i="58"/>
  <c r="I1138" i="58"/>
  <c r="K1137" i="58"/>
  <c r="I1137" i="58"/>
  <c r="K1136" i="58"/>
  <c r="I1136" i="58"/>
  <c r="K1135" i="58"/>
  <c r="I1135" i="58"/>
  <c r="K1134" i="58"/>
  <c r="I1134" i="58"/>
  <c r="K1133" i="58"/>
  <c r="I1133" i="58"/>
  <c r="K1132" i="58"/>
  <c r="I1132" i="58"/>
  <c r="K1131" i="58"/>
  <c r="I1131" i="58"/>
  <c r="K1130" i="58"/>
  <c r="I1130" i="58"/>
  <c r="K1129" i="58"/>
  <c r="I1129" i="58"/>
  <c r="K1128" i="58"/>
  <c r="I1128" i="58"/>
  <c r="K1127" i="58"/>
  <c r="I1127" i="58"/>
  <c r="K1126" i="58"/>
  <c r="I1126" i="58"/>
  <c r="K1125" i="58"/>
  <c r="I1125" i="58"/>
  <c r="K1124" i="58"/>
  <c r="I1124" i="58"/>
  <c r="K1123" i="58"/>
  <c r="I1123" i="58"/>
  <c r="K1122" i="58"/>
  <c r="I1122" i="58"/>
  <c r="K1121" i="58"/>
  <c r="I1121" i="58"/>
  <c r="K1120" i="58"/>
  <c r="I1120" i="58"/>
  <c r="K1119" i="58"/>
  <c r="I1119" i="58"/>
  <c r="K1118" i="58"/>
  <c r="I1118" i="58"/>
  <c r="K1117" i="58"/>
  <c r="I1117" i="58"/>
  <c r="K1116" i="58"/>
  <c r="I1116" i="58"/>
  <c r="K1115" i="58"/>
  <c r="I1115" i="58"/>
  <c r="K1114" i="58"/>
  <c r="I1114" i="58"/>
  <c r="K1113" i="58"/>
  <c r="I1113" i="58"/>
  <c r="K1112" i="58"/>
  <c r="I1112" i="58"/>
  <c r="K1111" i="58"/>
  <c r="I1111" i="58"/>
  <c r="K1110" i="58"/>
  <c r="I1110" i="58"/>
  <c r="K1109" i="58"/>
  <c r="I1109" i="58"/>
  <c r="K1108" i="58"/>
  <c r="I1108" i="58"/>
  <c r="K1107" i="58"/>
  <c r="I1107" i="58"/>
  <c r="K1106" i="58"/>
  <c r="I1106" i="58"/>
  <c r="K1105" i="58"/>
  <c r="I1105" i="58"/>
  <c r="K1104" i="58"/>
  <c r="I1104" i="58"/>
  <c r="K1103" i="58"/>
  <c r="I1103" i="58"/>
  <c r="K1102" i="58"/>
  <c r="I1102" i="58"/>
  <c r="K1101" i="58"/>
  <c r="I1101" i="58"/>
  <c r="K1100" i="58"/>
  <c r="I1100" i="58"/>
  <c r="K1099" i="58"/>
  <c r="I1099" i="58"/>
  <c r="K1098" i="58"/>
  <c r="I1098" i="58"/>
  <c r="K1097" i="58"/>
  <c r="I1097" i="58"/>
  <c r="K1096" i="58"/>
  <c r="I1096" i="58"/>
  <c r="K1095" i="58"/>
  <c r="I1095" i="58"/>
  <c r="K1094" i="58"/>
  <c r="I1094" i="58"/>
  <c r="K1093" i="58"/>
  <c r="I1093" i="58"/>
  <c r="K1092" i="58"/>
  <c r="I1092" i="58"/>
  <c r="K1091" i="58"/>
  <c r="I1091" i="58"/>
  <c r="K1090" i="58"/>
  <c r="I1090" i="58"/>
  <c r="K1089" i="58"/>
  <c r="I1089" i="58"/>
  <c r="K1088" i="58"/>
  <c r="I1088" i="58"/>
  <c r="K1087" i="58"/>
  <c r="I1087" i="58"/>
  <c r="K1086" i="58"/>
  <c r="I1086" i="58"/>
  <c r="K1085" i="58"/>
  <c r="I1085" i="58"/>
  <c r="K1084" i="58"/>
  <c r="I1084" i="58"/>
  <c r="K1083" i="58"/>
  <c r="I1083" i="58"/>
  <c r="K1082" i="58"/>
  <c r="I1082" i="58"/>
  <c r="K1081" i="58"/>
  <c r="I1081" i="58"/>
  <c r="K1080" i="58"/>
  <c r="I1080" i="58"/>
  <c r="K1079" i="58"/>
  <c r="I1079" i="58"/>
  <c r="K1078" i="58"/>
  <c r="I1078" i="58"/>
  <c r="K1077" i="58"/>
  <c r="I1077" i="58"/>
  <c r="K1076" i="58"/>
  <c r="I1076" i="58"/>
  <c r="K1075" i="58"/>
  <c r="I1075" i="58"/>
  <c r="K1074" i="58"/>
  <c r="I1074" i="58"/>
  <c r="K1073" i="58"/>
  <c r="I1073" i="58"/>
  <c r="K1072" i="58"/>
  <c r="I1072" i="58"/>
  <c r="K1071" i="58"/>
  <c r="I1071" i="58"/>
  <c r="K1070" i="58"/>
  <c r="I1070" i="58"/>
  <c r="K1069" i="58"/>
  <c r="I1069" i="58"/>
  <c r="K1068" i="58"/>
  <c r="I1068" i="58"/>
  <c r="K1067" i="58"/>
  <c r="I1067" i="58"/>
  <c r="K1066" i="58"/>
  <c r="I1066" i="58"/>
  <c r="K1065" i="58"/>
  <c r="I1065" i="58"/>
  <c r="K1064" i="58"/>
  <c r="I1064" i="58"/>
  <c r="K1063" i="58"/>
  <c r="I1063" i="58"/>
  <c r="K1062" i="58"/>
  <c r="I1062" i="58"/>
  <c r="K1061" i="58"/>
  <c r="I1061" i="58"/>
  <c r="K1060" i="58"/>
  <c r="I1060" i="58"/>
  <c r="K1059" i="58"/>
  <c r="I1059" i="58"/>
  <c r="K1058" i="58"/>
  <c r="I1058" i="58"/>
  <c r="K1057" i="58"/>
  <c r="I1057" i="58"/>
  <c r="K1056" i="58"/>
  <c r="I1056" i="58"/>
  <c r="K1055" i="58"/>
  <c r="I1055" i="58"/>
  <c r="K1054" i="58"/>
  <c r="I1054" i="58"/>
  <c r="K1053" i="58"/>
  <c r="I1053" i="58"/>
  <c r="K1052" i="58"/>
  <c r="I1052" i="58"/>
  <c r="K1051" i="58"/>
  <c r="I1051" i="58"/>
  <c r="K1050" i="58"/>
  <c r="I1050" i="58"/>
  <c r="K1049" i="58"/>
  <c r="I1049" i="58"/>
  <c r="K1048" i="58"/>
  <c r="I1048" i="58"/>
  <c r="K1047" i="58"/>
  <c r="I1047" i="58"/>
  <c r="K1046" i="58"/>
  <c r="I1046" i="58"/>
  <c r="K1045" i="58"/>
  <c r="I1045" i="58"/>
  <c r="K1044" i="58"/>
  <c r="I1044" i="58"/>
  <c r="K1043" i="58"/>
  <c r="I1043" i="58"/>
  <c r="K1042" i="58"/>
  <c r="I1042" i="58"/>
  <c r="K1041" i="58"/>
  <c r="I1041" i="58"/>
  <c r="K1040" i="58"/>
  <c r="I1040" i="58"/>
  <c r="K1039" i="58"/>
  <c r="I1039" i="58"/>
  <c r="K1038" i="58"/>
  <c r="I1038" i="58"/>
  <c r="K1037" i="58"/>
  <c r="I1037" i="58"/>
  <c r="K1036" i="58"/>
  <c r="I1036" i="58"/>
  <c r="K1035" i="58"/>
  <c r="I1035" i="58"/>
  <c r="K1034" i="58"/>
  <c r="I1034" i="58"/>
  <c r="K1033" i="58"/>
  <c r="I1033" i="58"/>
  <c r="K1032" i="58"/>
  <c r="I1032" i="58"/>
  <c r="K1031" i="58"/>
  <c r="I1031" i="58"/>
  <c r="K1030" i="58"/>
  <c r="I1030" i="58"/>
  <c r="K1029" i="58"/>
  <c r="I1029" i="58"/>
  <c r="K1028" i="58"/>
  <c r="I1028" i="58"/>
  <c r="K1027" i="58"/>
  <c r="I1027" i="58"/>
  <c r="K1026" i="58"/>
  <c r="I1026" i="58"/>
  <c r="K1025" i="58"/>
  <c r="I1025" i="58"/>
  <c r="K1024" i="58"/>
  <c r="I1024" i="58"/>
  <c r="K1023" i="58"/>
  <c r="I1023" i="58"/>
  <c r="K1022" i="58"/>
  <c r="I1022" i="58"/>
  <c r="K1021" i="58"/>
  <c r="I1021" i="58"/>
  <c r="K1020" i="58"/>
  <c r="I1020" i="58"/>
  <c r="K1019" i="58"/>
  <c r="I1019" i="58"/>
  <c r="K1018" i="58"/>
  <c r="I1018" i="58"/>
  <c r="K1017" i="58"/>
  <c r="I1017" i="58"/>
  <c r="K1016" i="58"/>
  <c r="I1016" i="58"/>
  <c r="K1015" i="58"/>
  <c r="I1015" i="58"/>
  <c r="K1014" i="58"/>
  <c r="I1014" i="58"/>
  <c r="K1013" i="58"/>
  <c r="I1013" i="58"/>
  <c r="K1012" i="58"/>
  <c r="I1012" i="58"/>
  <c r="K1011" i="58"/>
  <c r="I1011" i="58"/>
  <c r="K1010" i="58"/>
  <c r="I1010" i="58"/>
  <c r="K1009" i="58"/>
  <c r="I1009" i="58"/>
  <c r="K1008" i="58"/>
  <c r="I1008" i="58"/>
  <c r="K1007" i="58"/>
  <c r="I1007" i="58"/>
  <c r="K1006" i="58"/>
  <c r="I1006" i="58"/>
  <c r="K1005" i="58"/>
  <c r="I1005" i="58"/>
  <c r="K1004" i="58"/>
  <c r="I1004" i="58"/>
  <c r="K1003" i="58"/>
  <c r="I1003" i="58"/>
  <c r="K1002" i="58"/>
  <c r="I1002" i="58"/>
  <c r="K1001" i="58"/>
  <c r="I1001" i="58"/>
  <c r="K1000" i="58"/>
  <c r="I1000" i="58"/>
  <c r="K999" i="58"/>
  <c r="I999" i="58"/>
  <c r="K998" i="58"/>
  <c r="I998" i="58"/>
  <c r="K997" i="58"/>
  <c r="I997" i="58"/>
  <c r="K996" i="58"/>
  <c r="I996" i="58"/>
  <c r="K995" i="58"/>
  <c r="I995" i="58"/>
  <c r="K994" i="58"/>
  <c r="I994" i="58"/>
  <c r="K993" i="58"/>
  <c r="I993" i="58"/>
  <c r="K992" i="58"/>
  <c r="I992" i="58"/>
  <c r="K991" i="58"/>
  <c r="I991" i="58"/>
  <c r="K990" i="58"/>
  <c r="I990" i="58"/>
  <c r="K989" i="58"/>
  <c r="I989" i="58"/>
  <c r="K988" i="58"/>
  <c r="I988" i="58"/>
  <c r="K987" i="58"/>
  <c r="I987" i="58"/>
  <c r="K986" i="58"/>
  <c r="I986" i="58"/>
  <c r="K985" i="58"/>
  <c r="I985" i="58"/>
  <c r="K984" i="58"/>
  <c r="I984" i="58"/>
  <c r="K983" i="58"/>
  <c r="I983" i="58"/>
  <c r="K982" i="58"/>
  <c r="I982" i="58"/>
  <c r="K981" i="58"/>
  <c r="I981" i="58"/>
  <c r="K980" i="58"/>
  <c r="I980" i="58"/>
  <c r="K979" i="58"/>
  <c r="I979" i="58"/>
  <c r="K978" i="58"/>
  <c r="I978" i="58"/>
  <c r="K977" i="58"/>
  <c r="I977" i="58"/>
  <c r="K976" i="58"/>
  <c r="I976" i="58"/>
  <c r="K975" i="58"/>
  <c r="I975" i="58"/>
  <c r="K974" i="58"/>
  <c r="I974" i="58"/>
  <c r="K973" i="58"/>
  <c r="I973" i="58"/>
  <c r="K972" i="58"/>
  <c r="I972" i="58"/>
  <c r="K971" i="58"/>
  <c r="I971" i="58"/>
  <c r="K970" i="58"/>
  <c r="I970" i="58"/>
  <c r="K969" i="58"/>
  <c r="I969" i="58"/>
  <c r="K968" i="58"/>
  <c r="I968" i="58"/>
  <c r="K967" i="58"/>
  <c r="I967" i="58"/>
  <c r="K966" i="58"/>
  <c r="I966" i="58"/>
  <c r="K965" i="58"/>
  <c r="I965" i="58"/>
  <c r="K964" i="58"/>
  <c r="I964" i="58"/>
  <c r="K963" i="58"/>
  <c r="I963" i="58"/>
  <c r="K962" i="58"/>
  <c r="I962" i="58"/>
  <c r="K961" i="58"/>
  <c r="I961" i="58"/>
  <c r="K960" i="58"/>
  <c r="I960" i="58"/>
  <c r="K959" i="58"/>
  <c r="I959" i="58"/>
  <c r="K958" i="58"/>
  <c r="I958" i="58"/>
  <c r="K957" i="58"/>
  <c r="I957" i="58"/>
  <c r="K956" i="58"/>
  <c r="I956" i="58"/>
  <c r="K955" i="58"/>
  <c r="I955" i="58"/>
  <c r="K954" i="58"/>
  <c r="I954" i="58"/>
  <c r="K953" i="58"/>
  <c r="I953" i="58"/>
  <c r="K952" i="58"/>
  <c r="I952" i="58"/>
  <c r="K951" i="58"/>
  <c r="I951" i="58"/>
  <c r="K950" i="58"/>
  <c r="I950" i="58"/>
  <c r="K949" i="58"/>
  <c r="I949" i="58"/>
  <c r="K948" i="58"/>
  <c r="I948" i="58"/>
  <c r="K947" i="58"/>
  <c r="I947" i="58"/>
  <c r="K946" i="58"/>
  <c r="I946" i="58"/>
  <c r="K945" i="58"/>
  <c r="I945" i="58"/>
  <c r="K944" i="58"/>
  <c r="I944" i="58"/>
  <c r="K943" i="58"/>
  <c r="I943" i="58"/>
  <c r="K942" i="58"/>
  <c r="I942" i="58"/>
  <c r="K941" i="58"/>
  <c r="I941" i="58"/>
  <c r="K940" i="58"/>
  <c r="I940" i="58"/>
  <c r="K939" i="58"/>
  <c r="I939" i="58"/>
  <c r="K938" i="58"/>
  <c r="I938" i="58"/>
  <c r="K937" i="58"/>
  <c r="I937" i="58"/>
  <c r="K936" i="58"/>
  <c r="I936" i="58"/>
  <c r="K935" i="58"/>
  <c r="I935" i="58"/>
  <c r="K934" i="58"/>
  <c r="I934" i="58"/>
  <c r="K933" i="58"/>
  <c r="I933" i="58"/>
  <c r="K932" i="58"/>
  <c r="I932" i="58"/>
  <c r="K931" i="58"/>
  <c r="I931" i="58"/>
  <c r="K930" i="58"/>
  <c r="I930" i="58"/>
  <c r="K929" i="58"/>
  <c r="I929" i="58"/>
  <c r="K928" i="58"/>
  <c r="I928" i="58"/>
  <c r="K927" i="58"/>
  <c r="I927" i="58"/>
  <c r="K926" i="58"/>
  <c r="I926" i="58"/>
  <c r="K925" i="58"/>
  <c r="I925" i="58"/>
  <c r="K924" i="58"/>
  <c r="I924" i="58"/>
  <c r="K923" i="58"/>
  <c r="I923" i="58"/>
  <c r="K922" i="58"/>
  <c r="I922" i="58"/>
  <c r="K921" i="58"/>
  <c r="I921" i="58"/>
  <c r="K920" i="58"/>
  <c r="I920" i="58"/>
  <c r="K919" i="58"/>
  <c r="I919" i="58"/>
  <c r="K918" i="58"/>
  <c r="I918" i="58"/>
  <c r="K917" i="58"/>
  <c r="I917" i="58"/>
  <c r="K916" i="58"/>
  <c r="I916" i="58"/>
  <c r="K915" i="58"/>
  <c r="I915" i="58"/>
  <c r="K914" i="58"/>
  <c r="I914" i="58"/>
  <c r="K913" i="58"/>
  <c r="I913" i="58"/>
  <c r="K912" i="58"/>
  <c r="I912" i="58"/>
  <c r="K911" i="58"/>
  <c r="I911" i="58"/>
  <c r="K910" i="58"/>
  <c r="I910" i="58"/>
  <c r="K909" i="58"/>
  <c r="I909" i="58"/>
  <c r="K908" i="58"/>
  <c r="I908" i="58"/>
  <c r="K907" i="58"/>
  <c r="I907" i="58"/>
  <c r="K906" i="58"/>
  <c r="I906" i="58"/>
  <c r="K905" i="58"/>
  <c r="I905" i="58"/>
  <c r="K904" i="58"/>
  <c r="I904" i="58"/>
  <c r="K903" i="58"/>
  <c r="I903" i="58"/>
  <c r="K902" i="58"/>
  <c r="I902" i="58"/>
  <c r="K901" i="58"/>
  <c r="I901" i="58"/>
  <c r="K900" i="58"/>
  <c r="I900" i="58"/>
  <c r="K899" i="58"/>
  <c r="I899" i="58"/>
  <c r="K898" i="58"/>
  <c r="I898" i="58"/>
  <c r="K897" i="58"/>
  <c r="I897" i="58"/>
  <c r="K896" i="58"/>
  <c r="I896" i="58"/>
  <c r="K895" i="58"/>
  <c r="I895" i="58"/>
  <c r="K894" i="58"/>
  <c r="I894" i="58"/>
  <c r="K893" i="58"/>
  <c r="I893" i="58"/>
  <c r="K892" i="58"/>
  <c r="I892" i="58"/>
  <c r="K891" i="58"/>
  <c r="I891" i="58"/>
  <c r="K890" i="58"/>
  <c r="I890" i="58"/>
  <c r="K889" i="58"/>
  <c r="I889" i="58"/>
  <c r="K888" i="58"/>
  <c r="I888" i="58"/>
  <c r="K887" i="58"/>
  <c r="I887" i="58"/>
  <c r="K886" i="58"/>
  <c r="I886" i="58"/>
  <c r="K885" i="58"/>
  <c r="I885" i="58"/>
  <c r="K884" i="58"/>
  <c r="I884" i="58"/>
  <c r="K883" i="58"/>
  <c r="I883" i="58"/>
  <c r="K882" i="58"/>
  <c r="I882" i="58"/>
  <c r="K881" i="58"/>
  <c r="I881" i="58"/>
  <c r="K880" i="58"/>
  <c r="I880" i="58"/>
  <c r="K879" i="58"/>
  <c r="I879" i="58"/>
  <c r="K878" i="58"/>
  <c r="I878" i="58"/>
  <c r="K877" i="58"/>
  <c r="I877" i="58"/>
  <c r="K876" i="58"/>
  <c r="I876" i="58"/>
  <c r="K875" i="58"/>
  <c r="I875" i="58"/>
  <c r="K874" i="58"/>
  <c r="I874" i="58"/>
  <c r="K873" i="58"/>
  <c r="I873" i="58"/>
  <c r="K872" i="58"/>
  <c r="I872" i="58"/>
  <c r="K871" i="58"/>
  <c r="I871" i="58"/>
  <c r="K870" i="58"/>
  <c r="I870" i="58"/>
  <c r="K869" i="58"/>
  <c r="I869" i="58"/>
  <c r="K868" i="58"/>
  <c r="I868" i="58"/>
  <c r="K867" i="58"/>
  <c r="I867" i="58"/>
  <c r="K866" i="58"/>
  <c r="I866" i="58"/>
  <c r="K865" i="58"/>
  <c r="I865" i="58"/>
  <c r="K864" i="58"/>
  <c r="I864" i="58"/>
  <c r="K863" i="58"/>
  <c r="I863" i="58"/>
  <c r="K862" i="58"/>
  <c r="I862" i="58"/>
  <c r="K861" i="58"/>
  <c r="I861" i="58"/>
  <c r="K860" i="58"/>
  <c r="I860" i="58"/>
  <c r="K859" i="58"/>
  <c r="I859" i="58"/>
  <c r="K858" i="58"/>
  <c r="I858" i="58"/>
  <c r="K857" i="58"/>
  <c r="I857" i="58"/>
  <c r="K856" i="58"/>
  <c r="I856" i="58"/>
  <c r="K855" i="58"/>
  <c r="I855" i="58"/>
  <c r="K854" i="58"/>
  <c r="I854" i="58"/>
  <c r="K853" i="58"/>
  <c r="I853" i="58"/>
  <c r="K852" i="58"/>
  <c r="I852" i="58"/>
  <c r="K851" i="58"/>
  <c r="I851" i="58"/>
  <c r="K850" i="58"/>
  <c r="I850" i="58"/>
  <c r="K849" i="58"/>
  <c r="I849" i="58"/>
  <c r="K848" i="58"/>
  <c r="I848" i="58"/>
  <c r="K847" i="58"/>
  <c r="I847" i="58"/>
  <c r="K846" i="58"/>
  <c r="I846" i="58"/>
  <c r="K845" i="58"/>
  <c r="I845" i="58"/>
  <c r="K844" i="58"/>
  <c r="I844" i="58"/>
  <c r="K843" i="58"/>
  <c r="I843" i="58"/>
  <c r="K842" i="58"/>
  <c r="I842" i="58"/>
  <c r="K841" i="58"/>
  <c r="I841" i="58"/>
  <c r="K840" i="58"/>
  <c r="I840" i="58"/>
  <c r="K839" i="58"/>
  <c r="I839" i="58"/>
  <c r="K838" i="58"/>
  <c r="I838" i="58"/>
  <c r="K837" i="58"/>
  <c r="I837" i="58"/>
  <c r="K836" i="58"/>
  <c r="I836" i="58"/>
  <c r="K835" i="58"/>
  <c r="I835" i="58"/>
  <c r="K834" i="58"/>
  <c r="I834" i="58"/>
  <c r="K833" i="58"/>
  <c r="I833" i="58"/>
  <c r="K832" i="58"/>
  <c r="I832" i="58"/>
  <c r="K831" i="58"/>
  <c r="I831" i="58"/>
  <c r="K830" i="58"/>
  <c r="I830" i="58"/>
  <c r="K829" i="58"/>
  <c r="I829" i="58"/>
  <c r="K828" i="58"/>
  <c r="I828" i="58"/>
  <c r="K827" i="58"/>
  <c r="I827" i="58"/>
  <c r="K826" i="58"/>
  <c r="I826" i="58"/>
  <c r="K825" i="58"/>
  <c r="I825" i="58"/>
  <c r="K824" i="58"/>
  <c r="I824" i="58"/>
  <c r="K823" i="58"/>
  <c r="I823" i="58"/>
  <c r="K822" i="58"/>
  <c r="I822" i="58"/>
  <c r="K821" i="58"/>
  <c r="I821" i="58"/>
  <c r="K820" i="58"/>
  <c r="I820" i="58"/>
  <c r="K819" i="58"/>
  <c r="I819" i="58"/>
  <c r="K818" i="58"/>
  <c r="I818" i="58"/>
  <c r="K817" i="58"/>
  <c r="I817" i="58"/>
  <c r="K816" i="58"/>
  <c r="I816" i="58"/>
  <c r="K815" i="58"/>
  <c r="I815" i="58"/>
  <c r="K814" i="58"/>
  <c r="I814" i="58"/>
  <c r="K813" i="58"/>
  <c r="I813" i="58"/>
  <c r="K812" i="58"/>
  <c r="I812" i="58"/>
  <c r="K811" i="58"/>
  <c r="I811" i="58"/>
  <c r="K810" i="58"/>
  <c r="I810" i="58"/>
  <c r="K809" i="58"/>
  <c r="I809" i="58"/>
  <c r="K808" i="58"/>
  <c r="I808" i="58"/>
  <c r="K807" i="58"/>
  <c r="I807" i="58"/>
  <c r="K806" i="58"/>
  <c r="I806" i="58"/>
  <c r="K805" i="58"/>
  <c r="I805" i="58"/>
  <c r="K804" i="58"/>
  <c r="I804" i="58"/>
  <c r="K803" i="58"/>
  <c r="I803" i="58"/>
  <c r="K802" i="58"/>
  <c r="I802" i="58"/>
  <c r="K801" i="58"/>
  <c r="I801" i="58"/>
  <c r="K800" i="58"/>
  <c r="I800" i="58"/>
  <c r="K799" i="58"/>
  <c r="I799" i="58"/>
  <c r="K798" i="58"/>
  <c r="I798" i="58"/>
  <c r="K797" i="58"/>
  <c r="I797" i="58"/>
  <c r="K796" i="58"/>
  <c r="I796" i="58"/>
  <c r="K795" i="58"/>
  <c r="I795" i="58"/>
  <c r="K794" i="58"/>
  <c r="I794" i="58"/>
  <c r="K793" i="58"/>
  <c r="I793" i="58"/>
  <c r="K792" i="58"/>
  <c r="I792" i="58"/>
  <c r="K791" i="58"/>
  <c r="I791" i="58"/>
  <c r="K790" i="58"/>
  <c r="I790" i="58"/>
  <c r="K789" i="58"/>
  <c r="I789" i="58"/>
  <c r="K788" i="58"/>
  <c r="I788" i="58"/>
  <c r="K787" i="58"/>
  <c r="I787" i="58"/>
  <c r="K786" i="58"/>
  <c r="I786" i="58"/>
  <c r="K785" i="58"/>
  <c r="I785" i="58"/>
  <c r="K784" i="58"/>
  <c r="I784" i="58"/>
  <c r="K783" i="58"/>
  <c r="I783" i="58"/>
  <c r="K782" i="58"/>
  <c r="I782" i="58"/>
  <c r="K781" i="58"/>
  <c r="I781" i="58"/>
  <c r="K780" i="58"/>
  <c r="I780" i="58"/>
  <c r="K779" i="58"/>
  <c r="I779" i="58"/>
  <c r="K778" i="58"/>
  <c r="I778" i="58"/>
  <c r="K777" i="58"/>
  <c r="I777" i="58"/>
  <c r="K776" i="58"/>
  <c r="I776" i="58"/>
  <c r="K775" i="58"/>
  <c r="I775" i="58"/>
  <c r="K774" i="58"/>
  <c r="I774" i="58"/>
  <c r="K773" i="58"/>
  <c r="I773" i="58"/>
  <c r="K772" i="58"/>
  <c r="I772" i="58"/>
  <c r="K771" i="58"/>
  <c r="I771" i="58"/>
  <c r="K770" i="58"/>
  <c r="I770" i="58"/>
  <c r="K769" i="58"/>
  <c r="I769" i="58"/>
  <c r="K768" i="58"/>
  <c r="I768" i="58"/>
  <c r="K767" i="58"/>
  <c r="I767" i="58"/>
  <c r="K766" i="58"/>
  <c r="I766" i="58"/>
  <c r="K765" i="58"/>
  <c r="I765" i="58"/>
  <c r="K764" i="58"/>
  <c r="I764" i="58"/>
  <c r="K763" i="58"/>
  <c r="I763" i="58"/>
  <c r="K762" i="58"/>
  <c r="I762" i="58"/>
  <c r="K761" i="58"/>
  <c r="I761" i="58"/>
  <c r="K760" i="58"/>
  <c r="I760" i="58"/>
  <c r="K759" i="58"/>
  <c r="I759" i="58"/>
  <c r="K758" i="58"/>
  <c r="I758" i="58"/>
  <c r="K757" i="58"/>
  <c r="I757" i="58"/>
  <c r="K756" i="58"/>
  <c r="I756" i="58"/>
  <c r="K755" i="58"/>
  <c r="I755" i="58"/>
  <c r="K754" i="58"/>
  <c r="I754" i="58"/>
  <c r="K753" i="58"/>
  <c r="I753" i="58"/>
  <c r="K752" i="58"/>
  <c r="I752" i="58"/>
  <c r="K751" i="58"/>
  <c r="I751" i="58"/>
  <c r="K750" i="58"/>
  <c r="I750" i="58"/>
  <c r="K749" i="58"/>
  <c r="I749" i="58"/>
  <c r="K748" i="58"/>
  <c r="I748" i="58"/>
  <c r="K747" i="58"/>
  <c r="I747" i="58"/>
  <c r="K746" i="58"/>
  <c r="I746" i="58"/>
  <c r="K745" i="58"/>
  <c r="I745" i="58"/>
  <c r="K744" i="58"/>
  <c r="I744" i="58"/>
  <c r="K743" i="58"/>
  <c r="I743" i="58"/>
  <c r="K742" i="58"/>
  <c r="I742" i="58"/>
  <c r="K741" i="58"/>
  <c r="I741" i="58"/>
  <c r="K740" i="58"/>
  <c r="I740" i="58"/>
  <c r="K739" i="58"/>
  <c r="I739" i="58"/>
  <c r="K738" i="58"/>
  <c r="I738" i="58"/>
  <c r="K737" i="58"/>
  <c r="I737" i="58"/>
  <c r="K736" i="58"/>
  <c r="I736" i="58"/>
  <c r="K735" i="58"/>
  <c r="I735" i="58"/>
  <c r="K734" i="58"/>
  <c r="I734" i="58"/>
  <c r="K733" i="58"/>
  <c r="I733" i="58"/>
  <c r="K732" i="58"/>
  <c r="I732" i="58"/>
  <c r="K731" i="58"/>
  <c r="I731" i="58"/>
  <c r="K730" i="58"/>
  <c r="I730" i="58"/>
  <c r="K729" i="58"/>
  <c r="I729" i="58"/>
  <c r="K728" i="58"/>
  <c r="I728" i="58"/>
  <c r="K727" i="58"/>
  <c r="I727" i="58"/>
  <c r="K726" i="58"/>
  <c r="I726" i="58"/>
  <c r="K725" i="58"/>
  <c r="I725" i="58"/>
  <c r="K724" i="58"/>
  <c r="I724" i="58"/>
  <c r="K723" i="58"/>
  <c r="I723" i="58"/>
  <c r="K722" i="58"/>
  <c r="I722" i="58"/>
  <c r="K721" i="58"/>
  <c r="I721" i="58"/>
  <c r="K720" i="58"/>
  <c r="I720" i="58"/>
  <c r="K719" i="58"/>
  <c r="I719" i="58"/>
  <c r="K718" i="58"/>
  <c r="I718" i="58"/>
  <c r="K717" i="58"/>
  <c r="I717" i="58"/>
  <c r="K716" i="58"/>
  <c r="I716" i="58"/>
  <c r="K715" i="58"/>
  <c r="I715" i="58"/>
  <c r="K714" i="58"/>
  <c r="I714" i="58"/>
  <c r="K713" i="58"/>
  <c r="I713" i="58"/>
  <c r="K712" i="58"/>
  <c r="I712" i="58"/>
  <c r="K711" i="58"/>
  <c r="I711" i="58"/>
  <c r="K710" i="58"/>
  <c r="I710" i="58"/>
  <c r="K709" i="58"/>
  <c r="I709" i="58"/>
  <c r="K708" i="58"/>
  <c r="I708" i="58"/>
  <c r="K707" i="58"/>
  <c r="I707" i="58"/>
  <c r="K706" i="58"/>
  <c r="I706" i="58"/>
  <c r="K705" i="58"/>
  <c r="I705" i="58"/>
  <c r="K704" i="58"/>
  <c r="I704" i="58"/>
  <c r="K703" i="58"/>
  <c r="I703" i="58"/>
  <c r="K702" i="58"/>
  <c r="I702" i="58"/>
  <c r="K701" i="58"/>
  <c r="I701" i="58"/>
  <c r="K700" i="58"/>
  <c r="I700" i="58"/>
  <c r="K699" i="58"/>
  <c r="I699" i="58"/>
  <c r="K698" i="58"/>
  <c r="I698" i="58"/>
  <c r="K697" i="58"/>
  <c r="I697" i="58"/>
  <c r="K696" i="58"/>
  <c r="I696" i="58"/>
  <c r="K695" i="58"/>
  <c r="I695" i="58"/>
  <c r="K694" i="58"/>
  <c r="I694" i="58"/>
  <c r="K693" i="58"/>
  <c r="I693" i="58"/>
  <c r="K692" i="58"/>
  <c r="I692" i="58"/>
  <c r="K691" i="58"/>
  <c r="I691" i="58"/>
  <c r="K690" i="58"/>
  <c r="I690" i="58"/>
  <c r="K689" i="58"/>
  <c r="I689" i="58"/>
  <c r="K688" i="58"/>
  <c r="I688" i="58"/>
  <c r="K687" i="58"/>
  <c r="I687" i="58"/>
  <c r="K686" i="58"/>
  <c r="I686" i="58"/>
  <c r="K685" i="58"/>
  <c r="I685" i="58"/>
  <c r="K684" i="58"/>
  <c r="I684" i="58"/>
  <c r="K683" i="58"/>
  <c r="I683" i="58"/>
  <c r="K682" i="58"/>
  <c r="I682" i="58"/>
  <c r="K681" i="58"/>
  <c r="I681" i="58"/>
  <c r="K680" i="58"/>
  <c r="I680" i="58"/>
  <c r="K679" i="58"/>
  <c r="I679" i="58"/>
  <c r="K678" i="58"/>
  <c r="I678" i="58"/>
  <c r="K677" i="58"/>
  <c r="I677" i="58"/>
  <c r="K676" i="58"/>
  <c r="I676" i="58"/>
  <c r="K675" i="58"/>
  <c r="I675" i="58"/>
  <c r="K674" i="58"/>
  <c r="I674" i="58"/>
  <c r="K673" i="58"/>
  <c r="I673" i="58"/>
  <c r="K672" i="58"/>
  <c r="I672" i="58"/>
  <c r="K671" i="58"/>
  <c r="I671" i="58"/>
  <c r="K670" i="58"/>
  <c r="I670" i="58"/>
  <c r="K669" i="58"/>
  <c r="I669" i="58"/>
  <c r="K668" i="58"/>
  <c r="I668" i="58"/>
  <c r="K667" i="58"/>
  <c r="I667" i="58"/>
  <c r="K666" i="58"/>
  <c r="I666" i="58"/>
  <c r="K665" i="58"/>
  <c r="I665" i="58"/>
  <c r="K664" i="58"/>
  <c r="I664" i="58"/>
  <c r="K663" i="58"/>
  <c r="I663" i="58"/>
  <c r="K662" i="58"/>
  <c r="I662" i="58"/>
  <c r="K661" i="58"/>
  <c r="I661" i="58"/>
  <c r="K660" i="58"/>
  <c r="I660" i="58"/>
  <c r="K659" i="58"/>
  <c r="I659" i="58"/>
  <c r="K658" i="58"/>
  <c r="I658" i="58"/>
  <c r="K657" i="58"/>
  <c r="I657" i="58"/>
  <c r="K656" i="58"/>
  <c r="I656" i="58"/>
  <c r="K655" i="58"/>
  <c r="I655" i="58"/>
  <c r="K654" i="58"/>
  <c r="I654" i="58"/>
  <c r="K653" i="58"/>
  <c r="I653" i="58"/>
  <c r="K652" i="58"/>
  <c r="I652" i="58"/>
  <c r="K651" i="58"/>
  <c r="I651" i="58"/>
  <c r="K650" i="58"/>
  <c r="I650" i="58"/>
  <c r="K649" i="58"/>
  <c r="I649" i="58"/>
  <c r="K648" i="58"/>
  <c r="I648" i="58"/>
  <c r="K647" i="58"/>
  <c r="I647" i="58"/>
  <c r="K646" i="58"/>
  <c r="I646" i="58"/>
  <c r="K645" i="58"/>
  <c r="I645" i="58"/>
  <c r="K644" i="58"/>
  <c r="I644" i="58"/>
  <c r="K643" i="58"/>
  <c r="I643" i="58"/>
  <c r="K642" i="58"/>
  <c r="I642" i="58"/>
  <c r="K641" i="58"/>
  <c r="I641" i="58"/>
  <c r="K640" i="58"/>
  <c r="I640" i="58"/>
  <c r="K639" i="58"/>
  <c r="I639" i="58"/>
  <c r="K638" i="58"/>
  <c r="I638" i="58"/>
  <c r="K637" i="58"/>
  <c r="I637" i="58"/>
  <c r="K636" i="58"/>
  <c r="I636" i="58"/>
  <c r="K635" i="58"/>
  <c r="I635" i="58"/>
  <c r="K634" i="58"/>
  <c r="I634" i="58"/>
  <c r="K633" i="58"/>
  <c r="I633" i="58"/>
  <c r="K632" i="58"/>
  <c r="I632" i="58"/>
  <c r="K631" i="58"/>
  <c r="I631" i="58"/>
  <c r="K630" i="58"/>
  <c r="I630" i="58"/>
  <c r="K629" i="58"/>
  <c r="I629" i="58"/>
  <c r="K628" i="58"/>
  <c r="I628" i="58"/>
  <c r="K627" i="58"/>
  <c r="I627" i="58"/>
  <c r="K626" i="58"/>
  <c r="I626" i="58"/>
  <c r="K625" i="58"/>
  <c r="I625" i="58"/>
  <c r="K624" i="58"/>
  <c r="I624" i="58"/>
  <c r="K623" i="58"/>
  <c r="I623" i="58"/>
  <c r="K622" i="58"/>
  <c r="I622" i="58"/>
  <c r="K621" i="58"/>
  <c r="I621" i="58"/>
  <c r="K620" i="58"/>
  <c r="I620" i="58"/>
  <c r="K619" i="58"/>
  <c r="I619" i="58"/>
  <c r="K618" i="58"/>
  <c r="I618" i="58"/>
  <c r="K617" i="58"/>
  <c r="I617" i="58"/>
  <c r="K616" i="58"/>
  <c r="I616" i="58"/>
  <c r="K615" i="58"/>
  <c r="I615" i="58"/>
  <c r="K614" i="58"/>
  <c r="I614" i="58"/>
  <c r="K613" i="58"/>
  <c r="I613" i="58"/>
  <c r="K612" i="58"/>
  <c r="I612" i="58"/>
  <c r="K611" i="58"/>
  <c r="I611" i="58"/>
  <c r="K610" i="58"/>
  <c r="I610" i="58"/>
  <c r="K609" i="58"/>
  <c r="I609" i="58"/>
  <c r="K608" i="58"/>
  <c r="I608" i="58"/>
  <c r="K607" i="58"/>
  <c r="I607" i="58"/>
  <c r="K606" i="58"/>
  <c r="I606" i="58"/>
  <c r="K605" i="58"/>
  <c r="I605" i="58"/>
  <c r="K604" i="58"/>
  <c r="I604" i="58"/>
  <c r="K603" i="58"/>
  <c r="I603" i="58"/>
  <c r="K602" i="58"/>
  <c r="I602" i="58"/>
  <c r="K601" i="58"/>
  <c r="I601" i="58"/>
  <c r="K600" i="58"/>
  <c r="I600" i="58"/>
  <c r="K599" i="58"/>
  <c r="I599" i="58"/>
  <c r="K598" i="58"/>
  <c r="I598" i="58"/>
  <c r="K597" i="58"/>
  <c r="I597" i="58"/>
  <c r="K596" i="58"/>
  <c r="I596" i="58"/>
  <c r="K595" i="58"/>
  <c r="I595" i="58"/>
  <c r="K594" i="58"/>
  <c r="I594" i="58"/>
  <c r="K593" i="58"/>
  <c r="I593" i="58"/>
  <c r="K592" i="58"/>
  <c r="I592" i="58"/>
  <c r="K591" i="58"/>
  <c r="I591" i="58"/>
  <c r="K590" i="58"/>
  <c r="I590" i="58"/>
  <c r="K589" i="58"/>
  <c r="I589" i="58"/>
  <c r="K588" i="58"/>
  <c r="I588" i="58"/>
  <c r="K587" i="58"/>
  <c r="I587" i="58"/>
  <c r="K586" i="58"/>
  <c r="I586" i="58"/>
  <c r="K585" i="58"/>
  <c r="I585" i="58"/>
  <c r="K584" i="58"/>
  <c r="I584" i="58"/>
  <c r="K583" i="58"/>
  <c r="I583" i="58"/>
  <c r="K582" i="58"/>
  <c r="I582" i="58"/>
  <c r="K581" i="58"/>
  <c r="I581" i="58"/>
  <c r="K580" i="58"/>
  <c r="I580" i="58"/>
  <c r="K579" i="58"/>
  <c r="I579" i="58"/>
  <c r="K578" i="58"/>
  <c r="I578" i="58"/>
  <c r="K577" i="58"/>
  <c r="I577" i="58"/>
  <c r="K576" i="58"/>
  <c r="I576" i="58"/>
  <c r="K575" i="58"/>
  <c r="I575" i="58"/>
  <c r="K574" i="58"/>
  <c r="I574" i="58"/>
  <c r="K573" i="58"/>
  <c r="I573" i="58"/>
  <c r="K572" i="58"/>
  <c r="I572" i="58"/>
  <c r="K571" i="58"/>
  <c r="I571" i="58"/>
  <c r="K570" i="58"/>
  <c r="I570" i="58"/>
  <c r="K569" i="58"/>
  <c r="I569" i="58"/>
  <c r="K568" i="58"/>
  <c r="I568" i="58"/>
  <c r="K567" i="58"/>
  <c r="I567" i="58"/>
  <c r="K566" i="58"/>
  <c r="I566" i="58"/>
  <c r="K565" i="58"/>
  <c r="I565" i="58"/>
  <c r="K564" i="58"/>
  <c r="I564" i="58"/>
  <c r="K563" i="58"/>
  <c r="I563" i="58"/>
  <c r="K562" i="58"/>
  <c r="I562" i="58"/>
  <c r="K561" i="58"/>
  <c r="I561" i="58"/>
  <c r="K560" i="58"/>
  <c r="I560" i="58"/>
  <c r="K559" i="58"/>
  <c r="I559" i="58"/>
  <c r="K558" i="58"/>
  <c r="I558" i="58"/>
  <c r="K557" i="58"/>
  <c r="I557" i="58"/>
  <c r="K556" i="58"/>
  <c r="I556" i="58"/>
  <c r="K555" i="58"/>
  <c r="I555" i="58"/>
  <c r="K554" i="58"/>
  <c r="I554" i="58"/>
  <c r="K553" i="58"/>
  <c r="I553" i="58"/>
  <c r="K552" i="58"/>
  <c r="I552" i="58"/>
  <c r="K551" i="58"/>
  <c r="I551" i="58"/>
  <c r="K550" i="58"/>
  <c r="I550" i="58"/>
  <c r="K549" i="58"/>
  <c r="I549" i="58"/>
  <c r="K548" i="58"/>
  <c r="I548" i="58"/>
  <c r="K547" i="58"/>
  <c r="I547" i="58"/>
  <c r="K546" i="58"/>
  <c r="I546" i="58"/>
  <c r="K545" i="58"/>
  <c r="I545" i="58"/>
  <c r="K544" i="58"/>
  <c r="I544" i="58"/>
  <c r="K543" i="58"/>
  <c r="I543" i="58"/>
  <c r="K542" i="58"/>
  <c r="I542" i="58"/>
  <c r="K541" i="58"/>
  <c r="I541" i="58"/>
  <c r="K540" i="58"/>
  <c r="I540" i="58"/>
  <c r="K539" i="58"/>
  <c r="I539" i="58"/>
  <c r="K538" i="58"/>
  <c r="I538" i="58"/>
  <c r="K537" i="58"/>
  <c r="I537" i="58"/>
  <c r="K536" i="58"/>
  <c r="I536" i="58"/>
  <c r="K535" i="58"/>
  <c r="I535" i="58"/>
  <c r="K534" i="58"/>
  <c r="I534" i="58"/>
  <c r="K533" i="58"/>
  <c r="I533" i="58"/>
  <c r="K532" i="58"/>
  <c r="I532" i="58"/>
  <c r="K531" i="58"/>
  <c r="I531" i="58"/>
  <c r="K530" i="58"/>
  <c r="I530" i="58"/>
  <c r="K529" i="58"/>
  <c r="I529" i="58"/>
  <c r="K528" i="58"/>
  <c r="I528" i="58"/>
  <c r="K527" i="58"/>
  <c r="I527" i="58"/>
  <c r="K526" i="58"/>
  <c r="I526" i="58"/>
  <c r="K525" i="58"/>
  <c r="I525" i="58"/>
  <c r="K524" i="58"/>
  <c r="I524" i="58"/>
  <c r="K523" i="58"/>
  <c r="I523" i="58"/>
  <c r="K522" i="58"/>
  <c r="I522" i="58"/>
  <c r="K521" i="58"/>
  <c r="I521" i="58"/>
  <c r="K520" i="58"/>
  <c r="I520" i="58"/>
  <c r="K519" i="58"/>
  <c r="I519" i="58"/>
  <c r="K518" i="58"/>
  <c r="I518" i="58"/>
  <c r="K517" i="58"/>
  <c r="I517" i="58"/>
  <c r="K516" i="58"/>
  <c r="I516" i="58"/>
  <c r="K515" i="58"/>
  <c r="I515" i="58"/>
  <c r="K514" i="58"/>
  <c r="I514" i="58"/>
  <c r="K513" i="58"/>
  <c r="I513" i="58"/>
  <c r="K512" i="58"/>
  <c r="I512" i="58"/>
  <c r="K511" i="58"/>
  <c r="I511" i="58"/>
  <c r="K510" i="58"/>
  <c r="I510" i="58"/>
  <c r="K509" i="58"/>
  <c r="I509" i="58"/>
  <c r="K508" i="58"/>
  <c r="I508" i="58"/>
  <c r="K507" i="58"/>
  <c r="I507" i="58"/>
  <c r="K506" i="58"/>
  <c r="I506" i="58"/>
  <c r="K505" i="58"/>
  <c r="I505" i="58"/>
  <c r="K504" i="58"/>
  <c r="I504" i="58"/>
  <c r="K503" i="58"/>
  <c r="I503" i="58"/>
  <c r="K502" i="58"/>
  <c r="I502" i="58"/>
  <c r="K501" i="58"/>
  <c r="I501" i="58"/>
  <c r="K500" i="58"/>
  <c r="I500" i="58"/>
  <c r="K499" i="58"/>
  <c r="I499" i="58"/>
  <c r="K498" i="58"/>
  <c r="I498" i="58"/>
  <c r="K497" i="58"/>
  <c r="I497" i="58"/>
  <c r="K496" i="58"/>
  <c r="I496" i="58"/>
  <c r="K495" i="58"/>
  <c r="I495" i="58"/>
  <c r="K494" i="58"/>
  <c r="I494" i="58"/>
  <c r="K493" i="58"/>
  <c r="I493" i="58"/>
  <c r="K492" i="58"/>
  <c r="I492" i="58"/>
  <c r="K491" i="58"/>
  <c r="I491" i="58"/>
  <c r="K490" i="58"/>
  <c r="I490" i="58"/>
  <c r="K489" i="58"/>
  <c r="I489" i="58"/>
  <c r="K488" i="58"/>
  <c r="I488" i="58"/>
  <c r="K487" i="58"/>
  <c r="I487" i="58"/>
  <c r="K486" i="58"/>
  <c r="I486" i="58"/>
  <c r="K485" i="58"/>
  <c r="I485" i="58"/>
  <c r="K484" i="58"/>
  <c r="I484" i="58"/>
  <c r="K483" i="58"/>
  <c r="I483" i="58"/>
  <c r="K482" i="58"/>
  <c r="I482" i="58"/>
  <c r="K481" i="58"/>
  <c r="I481" i="58"/>
  <c r="K480" i="58"/>
  <c r="I480" i="58"/>
  <c r="K479" i="58"/>
  <c r="I479" i="58"/>
  <c r="K478" i="58"/>
  <c r="I478" i="58"/>
  <c r="K477" i="58"/>
  <c r="I477" i="58"/>
  <c r="K476" i="58"/>
  <c r="I476" i="58"/>
  <c r="K475" i="58"/>
  <c r="I475" i="58"/>
  <c r="K474" i="58"/>
  <c r="I474" i="58"/>
  <c r="K473" i="58"/>
  <c r="I473" i="58"/>
  <c r="K472" i="58"/>
  <c r="I472" i="58"/>
  <c r="K471" i="58"/>
  <c r="I471" i="58"/>
  <c r="K470" i="58"/>
  <c r="I470" i="58"/>
  <c r="K469" i="58"/>
  <c r="I469" i="58"/>
  <c r="K468" i="58"/>
  <c r="I468" i="58"/>
  <c r="K467" i="58"/>
  <c r="I467" i="58"/>
  <c r="K466" i="58"/>
  <c r="I466" i="58"/>
  <c r="K465" i="58"/>
  <c r="I465" i="58"/>
  <c r="K464" i="58"/>
  <c r="I464" i="58"/>
  <c r="K463" i="58"/>
  <c r="I463" i="58"/>
  <c r="K462" i="58"/>
  <c r="I462" i="58"/>
  <c r="K461" i="58"/>
  <c r="I461" i="58"/>
  <c r="K460" i="58"/>
  <c r="I460" i="58"/>
  <c r="K459" i="58"/>
  <c r="I459" i="58"/>
  <c r="K458" i="58"/>
  <c r="I458" i="58"/>
  <c r="K457" i="58"/>
  <c r="I457" i="58"/>
  <c r="K456" i="58"/>
  <c r="I456" i="58"/>
  <c r="K455" i="58"/>
  <c r="I455" i="58"/>
  <c r="K454" i="58"/>
  <c r="I454" i="58"/>
  <c r="K453" i="58"/>
  <c r="I453" i="58"/>
  <c r="K452" i="58"/>
  <c r="I452" i="58"/>
  <c r="K451" i="58"/>
  <c r="I451" i="58"/>
  <c r="K450" i="58"/>
  <c r="I450" i="58"/>
  <c r="K449" i="58"/>
  <c r="I449" i="58"/>
  <c r="K448" i="58"/>
  <c r="I448" i="58"/>
  <c r="K447" i="58"/>
  <c r="I447" i="58"/>
  <c r="K446" i="58"/>
  <c r="I446" i="58"/>
  <c r="K445" i="58"/>
  <c r="I445" i="58"/>
  <c r="K444" i="58"/>
  <c r="I444" i="58"/>
  <c r="K443" i="58"/>
  <c r="I443" i="58"/>
  <c r="K442" i="58"/>
  <c r="I442" i="58"/>
  <c r="K441" i="58"/>
  <c r="I441" i="58"/>
  <c r="K440" i="58"/>
  <c r="I440" i="58"/>
  <c r="K439" i="58"/>
  <c r="I439" i="58"/>
  <c r="K438" i="58"/>
  <c r="I438" i="58"/>
  <c r="K437" i="58"/>
  <c r="I437" i="58"/>
  <c r="K436" i="58"/>
  <c r="I436" i="58"/>
  <c r="K435" i="58"/>
  <c r="I435" i="58"/>
  <c r="K434" i="58"/>
  <c r="I434" i="58"/>
  <c r="K433" i="58"/>
  <c r="I433" i="58"/>
  <c r="K432" i="58"/>
  <c r="I432" i="58"/>
  <c r="K431" i="58"/>
  <c r="I431" i="58"/>
  <c r="K430" i="58"/>
  <c r="I430" i="58"/>
  <c r="K429" i="58"/>
  <c r="I429" i="58"/>
  <c r="K428" i="58"/>
  <c r="I428" i="58"/>
  <c r="K427" i="58"/>
  <c r="I427" i="58"/>
  <c r="K426" i="58"/>
  <c r="I426" i="58"/>
  <c r="K425" i="58"/>
  <c r="I425" i="58"/>
  <c r="K424" i="58"/>
  <c r="I424" i="58"/>
  <c r="K423" i="58"/>
  <c r="I423" i="58"/>
  <c r="K422" i="58"/>
  <c r="I422" i="58"/>
  <c r="K421" i="58"/>
  <c r="I421" i="58"/>
  <c r="K420" i="58"/>
  <c r="I420" i="58"/>
  <c r="K419" i="58"/>
  <c r="I419" i="58"/>
  <c r="K418" i="58"/>
  <c r="I418" i="58"/>
  <c r="K417" i="58"/>
  <c r="I417" i="58"/>
  <c r="K416" i="58"/>
  <c r="I416" i="58"/>
  <c r="K415" i="58"/>
  <c r="I415" i="58"/>
  <c r="K414" i="58"/>
  <c r="I414" i="58"/>
  <c r="K413" i="58"/>
  <c r="I413" i="58"/>
  <c r="K412" i="58"/>
  <c r="I412" i="58"/>
  <c r="K411" i="58"/>
  <c r="I411" i="58"/>
  <c r="K410" i="58"/>
  <c r="I410" i="58"/>
  <c r="K409" i="58"/>
  <c r="I409" i="58"/>
  <c r="K408" i="58"/>
  <c r="I408" i="58"/>
  <c r="K407" i="58"/>
  <c r="I407" i="58"/>
  <c r="K406" i="58"/>
  <c r="I406" i="58"/>
  <c r="K405" i="58"/>
  <c r="I405" i="58"/>
  <c r="K404" i="58"/>
  <c r="I404" i="58"/>
  <c r="K403" i="58"/>
  <c r="I403" i="58"/>
  <c r="K402" i="58"/>
  <c r="I402" i="58"/>
  <c r="K401" i="58"/>
  <c r="I401" i="58"/>
  <c r="K400" i="58"/>
  <c r="I400" i="58"/>
  <c r="K399" i="58"/>
  <c r="I399" i="58"/>
  <c r="K398" i="58"/>
  <c r="I398" i="58"/>
  <c r="K397" i="58"/>
  <c r="I397" i="58"/>
  <c r="K396" i="58"/>
  <c r="I396" i="58"/>
  <c r="K395" i="58"/>
  <c r="I395" i="58"/>
  <c r="K394" i="58"/>
  <c r="I394" i="58"/>
  <c r="K393" i="58"/>
  <c r="I393" i="58"/>
  <c r="K392" i="58"/>
  <c r="I392" i="58"/>
  <c r="K391" i="58"/>
  <c r="I391" i="58"/>
  <c r="K390" i="58"/>
  <c r="I390" i="58"/>
  <c r="K389" i="58"/>
  <c r="I389" i="58"/>
  <c r="K388" i="58"/>
  <c r="I388" i="58"/>
  <c r="K387" i="58"/>
  <c r="I387" i="58"/>
  <c r="K386" i="58"/>
  <c r="I386" i="58"/>
  <c r="K385" i="58"/>
  <c r="I385" i="58"/>
  <c r="K384" i="58"/>
  <c r="I384" i="58"/>
  <c r="K383" i="58"/>
  <c r="I383" i="58"/>
  <c r="K382" i="58"/>
  <c r="I382" i="58"/>
  <c r="K381" i="58"/>
  <c r="I381" i="58"/>
  <c r="K380" i="58"/>
  <c r="I380" i="58"/>
  <c r="K379" i="58"/>
  <c r="I379" i="58"/>
  <c r="K378" i="58"/>
  <c r="I378" i="58"/>
  <c r="K377" i="58"/>
  <c r="I377" i="58"/>
  <c r="K376" i="58"/>
  <c r="I376" i="58"/>
  <c r="K375" i="58"/>
  <c r="I375" i="58"/>
  <c r="K374" i="58"/>
  <c r="I374" i="58"/>
  <c r="K373" i="58"/>
  <c r="I373" i="58"/>
  <c r="K372" i="58"/>
  <c r="I372" i="58"/>
  <c r="K371" i="58"/>
  <c r="I371" i="58"/>
  <c r="K370" i="58"/>
  <c r="I370" i="58"/>
  <c r="K369" i="58"/>
  <c r="I369" i="58"/>
  <c r="K368" i="58"/>
  <c r="I368" i="58"/>
  <c r="K367" i="58"/>
  <c r="I367" i="58"/>
  <c r="K366" i="58"/>
  <c r="I366" i="58"/>
  <c r="K365" i="58"/>
  <c r="I365" i="58"/>
  <c r="K364" i="58"/>
  <c r="I364" i="58"/>
  <c r="K363" i="58"/>
  <c r="I363" i="58"/>
  <c r="K362" i="58"/>
  <c r="I362" i="58"/>
  <c r="K361" i="58"/>
  <c r="I361" i="58"/>
  <c r="K360" i="58"/>
  <c r="I360" i="58"/>
  <c r="K359" i="58"/>
  <c r="I359" i="58"/>
  <c r="K358" i="58"/>
  <c r="I358" i="58"/>
  <c r="K357" i="58"/>
  <c r="I357" i="58"/>
  <c r="K356" i="58"/>
  <c r="I356" i="58"/>
  <c r="K355" i="58"/>
  <c r="I355" i="58"/>
  <c r="K354" i="58"/>
  <c r="I354" i="58"/>
  <c r="K353" i="58"/>
  <c r="I353" i="58"/>
  <c r="K352" i="58"/>
  <c r="I352" i="58"/>
  <c r="K351" i="58"/>
  <c r="I351" i="58"/>
  <c r="K350" i="58"/>
  <c r="I350" i="58"/>
  <c r="K349" i="58"/>
  <c r="I349" i="58"/>
  <c r="K348" i="58"/>
  <c r="I348" i="58"/>
  <c r="K347" i="58"/>
  <c r="I347" i="58"/>
  <c r="K346" i="58"/>
  <c r="I346" i="58"/>
  <c r="K345" i="58"/>
  <c r="I345" i="58"/>
  <c r="K344" i="58"/>
  <c r="I344" i="58"/>
  <c r="K343" i="58"/>
  <c r="I343" i="58"/>
  <c r="K342" i="58"/>
  <c r="I342" i="58"/>
  <c r="K341" i="58"/>
  <c r="I341" i="58"/>
  <c r="K340" i="58"/>
  <c r="I340" i="58"/>
  <c r="K339" i="58"/>
  <c r="I339" i="58"/>
  <c r="K338" i="58"/>
  <c r="I338" i="58"/>
  <c r="K337" i="58"/>
  <c r="I337" i="58"/>
  <c r="K336" i="58"/>
  <c r="I336" i="58"/>
  <c r="K335" i="58"/>
  <c r="I335" i="58"/>
  <c r="K334" i="58"/>
  <c r="I334" i="58"/>
  <c r="K333" i="58"/>
  <c r="I333" i="58"/>
  <c r="K332" i="58"/>
  <c r="I332" i="58"/>
  <c r="K331" i="58"/>
  <c r="I331" i="58"/>
  <c r="K330" i="58"/>
  <c r="I330" i="58"/>
  <c r="K329" i="58"/>
  <c r="I329" i="58"/>
  <c r="K328" i="58"/>
  <c r="I328" i="58"/>
  <c r="K327" i="58"/>
  <c r="I327" i="58"/>
  <c r="K326" i="58"/>
  <c r="I326" i="58"/>
  <c r="K325" i="58"/>
  <c r="I325" i="58"/>
  <c r="K324" i="58"/>
  <c r="I324" i="58"/>
  <c r="K323" i="58"/>
  <c r="I323" i="58"/>
  <c r="K322" i="58"/>
  <c r="I322" i="58"/>
  <c r="K321" i="58"/>
  <c r="I321" i="58"/>
  <c r="K320" i="58"/>
  <c r="I320" i="58"/>
  <c r="K319" i="58"/>
  <c r="I319" i="58"/>
  <c r="K318" i="58"/>
  <c r="I318" i="58"/>
  <c r="K317" i="58"/>
  <c r="I317" i="58"/>
  <c r="K316" i="58"/>
  <c r="I316" i="58"/>
  <c r="K315" i="58"/>
  <c r="I315" i="58"/>
  <c r="K314" i="58"/>
  <c r="I314" i="58"/>
  <c r="K313" i="58"/>
  <c r="I313" i="58"/>
  <c r="K312" i="58"/>
  <c r="I312" i="58"/>
  <c r="K311" i="58"/>
  <c r="I311" i="58"/>
  <c r="K310" i="58"/>
  <c r="I310" i="58"/>
  <c r="K309" i="58"/>
  <c r="I309" i="58"/>
  <c r="K308" i="58"/>
  <c r="I308" i="58"/>
  <c r="K307" i="58"/>
  <c r="I307" i="58"/>
  <c r="K306" i="58"/>
  <c r="I306" i="58"/>
  <c r="K305" i="58"/>
  <c r="I305" i="58"/>
  <c r="K304" i="58"/>
  <c r="I304" i="58"/>
  <c r="K303" i="58"/>
  <c r="I303" i="58"/>
  <c r="K302" i="58"/>
  <c r="I302" i="58"/>
  <c r="K301" i="58"/>
  <c r="I301" i="58"/>
  <c r="K300" i="58"/>
  <c r="I300" i="58"/>
  <c r="K299" i="58"/>
  <c r="I299" i="58"/>
  <c r="K298" i="58"/>
  <c r="I298" i="58"/>
  <c r="K297" i="58"/>
  <c r="I297" i="58"/>
  <c r="K296" i="58"/>
  <c r="I296" i="58"/>
  <c r="K295" i="58"/>
  <c r="I295" i="58"/>
  <c r="K294" i="58"/>
  <c r="I294" i="58"/>
  <c r="K293" i="58"/>
  <c r="I293" i="58"/>
  <c r="K292" i="58"/>
  <c r="I292" i="58"/>
  <c r="K291" i="58"/>
  <c r="I291" i="58"/>
  <c r="K290" i="58"/>
  <c r="I290" i="58"/>
  <c r="K289" i="58"/>
  <c r="I289" i="58"/>
  <c r="K288" i="58"/>
  <c r="I288" i="58"/>
  <c r="K287" i="58"/>
  <c r="I287" i="58"/>
  <c r="K286" i="58"/>
  <c r="I286" i="58"/>
  <c r="K285" i="58"/>
  <c r="I285" i="58"/>
  <c r="K284" i="58"/>
  <c r="I284" i="58"/>
  <c r="K283" i="58"/>
  <c r="I283" i="58"/>
  <c r="K282" i="58"/>
  <c r="I282" i="58"/>
  <c r="K281" i="58"/>
  <c r="I281" i="58"/>
  <c r="K280" i="58"/>
  <c r="I280" i="58"/>
  <c r="K279" i="58"/>
  <c r="I279" i="58"/>
  <c r="K278" i="58"/>
  <c r="I278" i="58"/>
  <c r="K277" i="58"/>
  <c r="I277" i="58"/>
  <c r="K276" i="58"/>
  <c r="I276" i="58"/>
  <c r="K275" i="58"/>
  <c r="I275" i="58"/>
  <c r="K274" i="58"/>
  <c r="I274" i="58"/>
  <c r="K273" i="58"/>
  <c r="I273" i="58"/>
  <c r="K272" i="58"/>
  <c r="I272" i="58"/>
  <c r="K271" i="58"/>
  <c r="I271" i="58"/>
  <c r="K270" i="58"/>
  <c r="I270" i="58"/>
  <c r="K269" i="58"/>
  <c r="I269" i="58"/>
  <c r="K268" i="58"/>
  <c r="I268" i="58"/>
  <c r="K267" i="58"/>
  <c r="I267" i="58"/>
  <c r="K266" i="58"/>
  <c r="I266" i="58"/>
  <c r="K265" i="58"/>
  <c r="I265" i="58"/>
  <c r="K264" i="58"/>
  <c r="I264" i="58"/>
  <c r="K263" i="58"/>
  <c r="I263" i="58"/>
  <c r="K262" i="58"/>
  <c r="I262" i="58"/>
  <c r="K261" i="58"/>
  <c r="I261" i="58"/>
  <c r="K260" i="58"/>
  <c r="I260" i="58"/>
  <c r="K259" i="58"/>
  <c r="I259" i="58"/>
  <c r="K258" i="58"/>
  <c r="I258" i="58"/>
  <c r="K257" i="58"/>
  <c r="I257" i="58"/>
  <c r="K256" i="58"/>
  <c r="I256" i="58"/>
  <c r="K255" i="58"/>
  <c r="I255" i="58"/>
  <c r="K254" i="58"/>
  <c r="I254" i="58"/>
  <c r="K253" i="58"/>
  <c r="I253" i="58"/>
  <c r="K252" i="58"/>
  <c r="I252" i="58"/>
  <c r="K251" i="58"/>
  <c r="I251" i="58"/>
  <c r="K250" i="58"/>
  <c r="I250" i="58"/>
  <c r="K249" i="58"/>
  <c r="I249" i="58"/>
  <c r="K248" i="58"/>
  <c r="I248" i="58"/>
  <c r="K247" i="58"/>
  <c r="I247" i="58"/>
  <c r="K246" i="58"/>
  <c r="I246" i="58"/>
  <c r="K245" i="58"/>
  <c r="I245" i="58"/>
  <c r="K244" i="58"/>
  <c r="I244" i="58"/>
  <c r="K243" i="58"/>
  <c r="I243" i="58"/>
  <c r="K242" i="58"/>
  <c r="I242" i="58"/>
  <c r="K241" i="58"/>
  <c r="I241" i="58"/>
  <c r="K240" i="58"/>
  <c r="I240" i="58"/>
  <c r="K239" i="58"/>
  <c r="I239" i="58"/>
  <c r="K238" i="58"/>
  <c r="I238" i="58"/>
  <c r="K237" i="58"/>
  <c r="I237" i="58"/>
  <c r="K236" i="58"/>
  <c r="I236" i="58"/>
  <c r="K235" i="58"/>
  <c r="I235" i="58"/>
  <c r="K234" i="58"/>
  <c r="I234" i="58"/>
  <c r="K233" i="58"/>
  <c r="I233" i="58"/>
  <c r="K232" i="58"/>
  <c r="I232" i="58"/>
  <c r="K231" i="58"/>
  <c r="I231" i="58"/>
  <c r="K230" i="58"/>
  <c r="I230" i="58"/>
  <c r="K229" i="58"/>
  <c r="I229" i="58"/>
  <c r="K228" i="58"/>
  <c r="I228" i="58"/>
  <c r="K227" i="58"/>
  <c r="I227" i="58"/>
  <c r="K226" i="58"/>
  <c r="I226" i="58"/>
  <c r="K225" i="58"/>
  <c r="I225" i="58"/>
  <c r="K224" i="58"/>
  <c r="I224" i="58"/>
  <c r="K223" i="58"/>
  <c r="I223" i="58"/>
  <c r="K222" i="58"/>
  <c r="I222" i="58"/>
  <c r="K221" i="58"/>
  <c r="I221" i="58"/>
  <c r="K220" i="58"/>
  <c r="I220" i="58"/>
  <c r="K219" i="58"/>
  <c r="I219" i="58"/>
  <c r="K218" i="58"/>
  <c r="I218" i="58"/>
  <c r="K217" i="58"/>
  <c r="I217" i="58"/>
  <c r="K216" i="58"/>
  <c r="I216" i="58"/>
  <c r="K215" i="58"/>
  <c r="I215" i="58"/>
  <c r="K214" i="58"/>
  <c r="I214" i="58"/>
  <c r="K213" i="58"/>
  <c r="I213" i="58"/>
  <c r="K212" i="58"/>
  <c r="I212" i="58"/>
  <c r="K211" i="58"/>
  <c r="I211" i="58"/>
  <c r="K210" i="58"/>
  <c r="I210" i="58"/>
  <c r="K209" i="58"/>
  <c r="I209" i="58"/>
  <c r="K208" i="58"/>
  <c r="I208" i="58"/>
  <c r="K207" i="58"/>
  <c r="I207" i="58"/>
  <c r="K206" i="58"/>
  <c r="I206" i="58"/>
  <c r="K205" i="58"/>
  <c r="I205" i="58"/>
  <c r="K204" i="58"/>
  <c r="I204" i="58"/>
  <c r="K203" i="58"/>
  <c r="I203" i="58"/>
  <c r="K202" i="58"/>
  <c r="I202" i="58"/>
  <c r="K201" i="58"/>
  <c r="I201" i="58"/>
  <c r="K200" i="58"/>
  <c r="I200" i="58"/>
  <c r="K199" i="58"/>
  <c r="I199" i="58"/>
  <c r="K198" i="58"/>
  <c r="I198" i="58"/>
  <c r="K197" i="58"/>
  <c r="I197" i="58"/>
  <c r="K196" i="58"/>
  <c r="I196" i="58"/>
  <c r="K195" i="58"/>
  <c r="I195" i="58"/>
  <c r="K194" i="58"/>
  <c r="I194" i="58"/>
  <c r="K193" i="58"/>
  <c r="I193" i="58"/>
  <c r="K192" i="58"/>
  <c r="I192" i="58"/>
  <c r="K191" i="58"/>
  <c r="I191" i="58"/>
  <c r="K190" i="58"/>
  <c r="I190" i="58"/>
  <c r="K189" i="58"/>
  <c r="I189" i="58"/>
  <c r="K188" i="58"/>
  <c r="I188" i="58"/>
  <c r="K187" i="58"/>
  <c r="I187" i="58"/>
  <c r="K186" i="58"/>
  <c r="I186" i="58"/>
  <c r="K185" i="58"/>
  <c r="I185" i="58"/>
  <c r="K184" i="58"/>
  <c r="I184" i="58"/>
  <c r="K183" i="58"/>
  <c r="I183" i="58"/>
  <c r="K182" i="58"/>
  <c r="I182" i="58"/>
  <c r="K181" i="58"/>
  <c r="I181" i="58"/>
  <c r="K180" i="58"/>
  <c r="I180" i="58"/>
  <c r="K179" i="58"/>
  <c r="I179" i="58"/>
  <c r="K178" i="58"/>
  <c r="I178" i="58"/>
  <c r="K177" i="58"/>
  <c r="I177" i="58"/>
  <c r="K176" i="58"/>
  <c r="I176" i="58"/>
  <c r="K175" i="58"/>
  <c r="I175" i="58"/>
  <c r="K174" i="58"/>
  <c r="I174" i="58"/>
  <c r="K173" i="58"/>
  <c r="I173" i="58"/>
  <c r="K172" i="58"/>
  <c r="I172" i="58"/>
  <c r="K171" i="58"/>
  <c r="I171" i="58"/>
  <c r="K170" i="58"/>
  <c r="I170" i="58"/>
  <c r="K169" i="58"/>
  <c r="I169" i="58"/>
  <c r="K168" i="58"/>
  <c r="I168" i="58"/>
  <c r="K167" i="58"/>
  <c r="I167" i="58"/>
  <c r="K166" i="58"/>
  <c r="I166" i="58"/>
  <c r="K165" i="58"/>
  <c r="I165" i="58"/>
  <c r="K164" i="58"/>
  <c r="I164" i="58"/>
  <c r="K163" i="58"/>
  <c r="I163" i="58"/>
  <c r="K162" i="58"/>
  <c r="I162" i="58"/>
  <c r="K161" i="58"/>
  <c r="I161" i="58"/>
  <c r="K160" i="58"/>
  <c r="I160" i="58"/>
  <c r="K159" i="58"/>
  <c r="I159" i="58"/>
  <c r="K158" i="58"/>
  <c r="I158" i="58"/>
  <c r="K157" i="58"/>
  <c r="I157" i="58"/>
  <c r="K156" i="58"/>
  <c r="I156" i="58"/>
  <c r="K155" i="58"/>
  <c r="I155" i="58"/>
  <c r="K154" i="58"/>
  <c r="I154" i="58"/>
  <c r="K153" i="58"/>
  <c r="I153" i="58"/>
  <c r="K152" i="58"/>
  <c r="I152" i="58"/>
  <c r="K151" i="58"/>
  <c r="I151" i="58"/>
  <c r="K150" i="58"/>
  <c r="I150" i="58"/>
  <c r="K149" i="58"/>
  <c r="I149" i="58"/>
  <c r="K148" i="58"/>
  <c r="I148" i="58"/>
  <c r="K147" i="58"/>
  <c r="I147" i="58"/>
  <c r="K146" i="58"/>
  <c r="I146" i="58"/>
  <c r="K145" i="58"/>
  <c r="I145" i="58"/>
  <c r="K144" i="58"/>
  <c r="I144" i="58"/>
  <c r="K143" i="58"/>
  <c r="I143" i="58"/>
  <c r="K142" i="58"/>
  <c r="I142" i="58"/>
  <c r="K141" i="58"/>
  <c r="I141" i="58"/>
  <c r="K140" i="58"/>
  <c r="I140" i="58"/>
  <c r="K139" i="58"/>
  <c r="I139" i="58"/>
  <c r="K138" i="58"/>
  <c r="I138" i="58"/>
  <c r="K137" i="58"/>
  <c r="I137" i="58"/>
  <c r="K136" i="58"/>
  <c r="I136" i="58"/>
  <c r="K135" i="58"/>
  <c r="I135" i="58"/>
  <c r="K134" i="58"/>
  <c r="I134" i="58"/>
  <c r="K133" i="58"/>
  <c r="I133" i="58"/>
  <c r="K132" i="58"/>
  <c r="I132" i="58"/>
  <c r="K131" i="58"/>
  <c r="I131" i="58"/>
  <c r="K130" i="58"/>
  <c r="I130" i="58"/>
  <c r="K129" i="58"/>
  <c r="I129" i="58"/>
  <c r="K128" i="58"/>
  <c r="I128" i="58"/>
  <c r="K127" i="58"/>
  <c r="I127" i="58"/>
  <c r="K126" i="58"/>
  <c r="I126" i="58"/>
  <c r="K125" i="58"/>
  <c r="I125" i="58"/>
  <c r="K124" i="58"/>
  <c r="I124" i="58"/>
  <c r="K123" i="58"/>
  <c r="I123" i="58"/>
  <c r="K122" i="58"/>
  <c r="I122" i="58"/>
  <c r="K121" i="58"/>
  <c r="I121" i="58"/>
  <c r="K120" i="58"/>
  <c r="I120" i="58"/>
  <c r="K119" i="58"/>
  <c r="I119" i="58"/>
  <c r="K118" i="58"/>
  <c r="I118" i="58"/>
  <c r="K117" i="58"/>
  <c r="I117" i="58"/>
  <c r="K116" i="58"/>
  <c r="I116" i="58"/>
  <c r="K115" i="58"/>
  <c r="I115" i="58"/>
  <c r="K114" i="58"/>
  <c r="I114" i="58"/>
  <c r="K113" i="58"/>
  <c r="I113" i="58"/>
  <c r="K112" i="58"/>
  <c r="I112" i="58"/>
  <c r="K111" i="58"/>
  <c r="I111" i="58"/>
  <c r="K110" i="58"/>
  <c r="I110" i="58"/>
  <c r="K109" i="58"/>
  <c r="I109" i="58"/>
  <c r="K108" i="58"/>
  <c r="I108" i="58"/>
  <c r="K107" i="58"/>
  <c r="I107" i="58"/>
  <c r="K106" i="58"/>
  <c r="I106" i="58"/>
  <c r="K105" i="58"/>
  <c r="I105" i="58"/>
  <c r="K104" i="58"/>
  <c r="I104" i="58"/>
  <c r="K103" i="58"/>
  <c r="I103" i="58"/>
  <c r="K102" i="58"/>
  <c r="I102" i="58"/>
  <c r="K101" i="58"/>
  <c r="I101" i="58"/>
  <c r="K100" i="58"/>
  <c r="I100" i="58"/>
  <c r="K99" i="58"/>
  <c r="I99" i="58"/>
  <c r="K98" i="58"/>
  <c r="I98" i="58"/>
  <c r="K97" i="58"/>
  <c r="I97" i="58"/>
  <c r="K96" i="58"/>
  <c r="I96" i="58"/>
  <c r="K95" i="58"/>
  <c r="I95" i="58"/>
  <c r="K94" i="58"/>
  <c r="I94" i="58"/>
  <c r="K93" i="58"/>
  <c r="I93" i="58"/>
  <c r="K92" i="58"/>
  <c r="I92" i="58"/>
  <c r="K91" i="58"/>
  <c r="I91" i="58"/>
  <c r="K90" i="58"/>
  <c r="I90" i="58"/>
  <c r="K89" i="58"/>
  <c r="I89" i="58"/>
  <c r="K88" i="58"/>
  <c r="I88" i="58"/>
  <c r="K87" i="58"/>
  <c r="I87" i="58"/>
  <c r="K86" i="58"/>
  <c r="I86" i="58"/>
  <c r="K85" i="58"/>
  <c r="I85" i="58"/>
  <c r="K84" i="58"/>
  <c r="I84" i="58"/>
  <c r="K83" i="58"/>
  <c r="I83" i="58"/>
  <c r="K82" i="58"/>
  <c r="I82" i="58"/>
  <c r="K81" i="58"/>
  <c r="I81" i="58"/>
  <c r="K80" i="58"/>
  <c r="I80" i="58"/>
  <c r="K79" i="58"/>
  <c r="I79" i="58"/>
  <c r="K78" i="58"/>
  <c r="I78" i="58"/>
  <c r="K77" i="58"/>
  <c r="I77" i="58"/>
  <c r="K76" i="58"/>
  <c r="I76" i="58"/>
  <c r="K75" i="58"/>
  <c r="I75" i="58"/>
  <c r="K74" i="58"/>
  <c r="I74" i="58"/>
  <c r="K73" i="58"/>
  <c r="I73" i="58"/>
  <c r="K72" i="58"/>
  <c r="I72" i="58"/>
  <c r="K71" i="58"/>
  <c r="I71" i="58"/>
  <c r="K70" i="58"/>
  <c r="I70" i="58"/>
  <c r="K69" i="58"/>
  <c r="I69" i="58"/>
  <c r="K68" i="58"/>
  <c r="I68" i="58"/>
  <c r="K67" i="58"/>
  <c r="I67" i="58"/>
  <c r="K66" i="58"/>
  <c r="I66" i="58"/>
  <c r="K65" i="58"/>
  <c r="I65" i="58"/>
  <c r="K64" i="58"/>
  <c r="I64" i="58"/>
  <c r="K63" i="58"/>
  <c r="I63" i="58"/>
  <c r="K62" i="58"/>
  <c r="I62" i="58"/>
  <c r="K61" i="58"/>
  <c r="I61" i="58"/>
  <c r="K60" i="58"/>
  <c r="I60" i="58"/>
  <c r="K59" i="58"/>
  <c r="I59" i="58"/>
  <c r="K58" i="58"/>
  <c r="I58" i="58"/>
  <c r="K57" i="58"/>
  <c r="I57" i="58"/>
  <c r="K56" i="58"/>
  <c r="I56" i="58"/>
  <c r="K55" i="58"/>
  <c r="I55" i="58"/>
  <c r="K54" i="58"/>
  <c r="I54" i="58"/>
  <c r="K53" i="58"/>
  <c r="I53" i="58"/>
  <c r="K52" i="58"/>
  <c r="I52" i="58"/>
  <c r="K51" i="58"/>
  <c r="I51" i="58"/>
  <c r="K50" i="58"/>
  <c r="I50" i="58"/>
  <c r="K49" i="58"/>
  <c r="I49" i="58"/>
  <c r="K48" i="58"/>
  <c r="I48" i="58"/>
  <c r="K47" i="58"/>
  <c r="I47" i="58"/>
  <c r="K46" i="58"/>
  <c r="I46" i="58"/>
  <c r="K45" i="58"/>
  <c r="I45" i="58"/>
  <c r="K44" i="58"/>
  <c r="I44" i="58"/>
  <c r="K43" i="58"/>
  <c r="I43" i="58"/>
  <c r="K42" i="58"/>
  <c r="I42" i="58"/>
  <c r="K41" i="58"/>
  <c r="I41" i="58"/>
  <c r="K40" i="58"/>
  <c r="I40" i="58"/>
  <c r="K39" i="58"/>
  <c r="I39" i="58"/>
  <c r="K38" i="58"/>
  <c r="I38" i="58"/>
  <c r="K37" i="58"/>
  <c r="I37" i="58"/>
  <c r="K36" i="58"/>
  <c r="I36" i="58"/>
  <c r="K35" i="58"/>
  <c r="I35" i="58"/>
  <c r="K34" i="58"/>
  <c r="I34" i="58"/>
  <c r="K33" i="58"/>
  <c r="I33" i="58"/>
  <c r="K32" i="58"/>
  <c r="I32" i="58"/>
  <c r="K31" i="58"/>
  <c r="I31" i="58"/>
  <c r="K30" i="58"/>
  <c r="I30" i="58"/>
  <c r="K29" i="58"/>
  <c r="I29" i="58"/>
  <c r="K28" i="58"/>
  <c r="I28" i="58"/>
  <c r="K27" i="58"/>
  <c r="I27" i="58"/>
  <c r="K26" i="58"/>
  <c r="I26" i="58"/>
  <c r="K25" i="58"/>
  <c r="I25" i="58"/>
  <c r="K24" i="58"/>
  <c r="I24" i="58"/>
  <c r="K23" i="58"/>
  <c r="I23" i="58"/>
  <c r="K22" i="58"/>
  <c r="I22" i="58"/>
  <c r="K21" i="58"/>
  <c r="I21" i="58"/>
  <c r="K20" i="58"/>
  <c r="I20" i="58"/>
  <c r="K19" i="58"/>
  <c r="I19" i="58"/>
  <c r="K18" i="58"/>
  <c r="I18" i="58"/>
  <c r="K17" i="58"/>
  <c r="I17" i="58"/>
  <c r="K16" i="58"/>
  <c r="I16" i="58"/>
  <c r="K15" i="58"/>
  <c r="I15" i="58"/>
  <c r="K14" i="58"/>
  <c r="I14" i="58"/>
  <c r="G1188" i="58"/>
  <c r="G1187" i="58"/>
  <c r="G1186" i="58"/>
  <c r="G1185" i="58"/>
  <c r="G1184" i="58"/>
  <c r="E1188" i="58"/>
  <c r="E1187" i="58"/>
  <c r="E1186" i="58"/>
  <c r="E1185" i="58"/>
  <c r="E1184" i="58"/>
  <c r="E670" i="58"/>
  <c r="G670" i="58"/>
  <c r="G448" i="58"/>
  <c r="G447" i="58"/>
  <c r="G446" i="58"/>
  <c r="G445" i="58"/>
  <c r="G444" i="58"/>
  <c r="G443" i="58"/>
  <c r="G440" i="58"/>
  <c r="G439" i="58"/>
  <c r="G438" i="58"/>
  <c r="G437" i="58"/>
  <c r="G436" i="58"/>
  <c r="G435" i="58"/>
  <c r="G434" i="58"/>
  <c r="G433" i="58"/>
  <c r="G432" i="58"/>
  <c r="G431" i="58"/>
  <c r="G430" i="58"/>
  <c r="G429" i="58"/>
  <c r="G428" i="58"/>
  <c r="G427" i="58"/>
  <c r="G426" i="58"/>
  <c r="G425" i="58"/>
  <c r="G424" i="58"/>
  <c r="G423" i="58"/>
  <c r="G422" i="58"/>
  <c r="G421" i="58"/>
  <c r="G420" i="58"/>
  <c r="G419" i="58"/>
  <c r="G418" i="58"/>
  <c r="G417" i="58"/>
  <c r="G416" i="58"/>
  <c r="G415" i="58"/>
  <c r="G414" i="58"/>
  <c r="G413" i="58"/>
  <c r="G121" i="58"/>
  <c r="G203" i="58"/>
  <c r="E121" i="58"/>
  <c r="G287" i="58"/>
  <c r="G286" i="58"/>
  <c r="G285" i="58"/>
  <c r="G284" i="58"/>
  <c r="G283" i="58"/>
  <c r="G282" i="58"/>
  <c r="G281" i="58"/>
  <c r="G280" i="58"/>
  <c r="G279" i="58"/>
  <c r="G278" i="58"/>
  <c r="G277" i="58"/>
  <c r="G276" i="58"/>
  <c r="G275" i="58"/>
  <c r="G274" i="58"/>
  <c r="G272" i="58"/>
  <c r="G271" i="58"/>
  <c r="G270" i="58"/>
  <c r="G269" i="58"/>
  <c r="G268" i="58"/>
  <c r="G267" i="58"/>
  <c r="G266" i="58"/>
  <c r="G265" i="58"/>
  <c r="G264" i="58"/>
  <c r="G395" i="58"/>
  <c r="G394" i="58"/>
  <c r="G393" i="58"/>
  <c r="G392" i="58"/>
  <c r="G391" i="58"/>
  <c r="G390" i="58"/>
  <c r="G389" i="58"/>
  <c r="G388" i="58"/>
  <c r="G386" i="58"/>
  <c r="G385" i="58"/>
  <c r="G384" i="58"/>
  <c r="G383" i="58"/>
  <c r="G382" i="58"/>
  <c r="G381" i="58"/>
  <c r="G380" i="58"/>
  <c r="G379" i="58"/>
  <c r="G378" i="58"/>
  <c r="G377" i="58"/>
  <c r="G376" i="58"/>
  <c r="G375" i="58"/>
  <c r="G374" i="58"/>
  <c r="G373" i="58"/>
  <c r="G372" i="58"/>
  <c r="G371" i="58"/>
  <c r="G370" i="58"/>
  <c r="G369" i="58"/>
  <c r="G368" i="58"/>
  <c r="G367" i="58"/>
  <c r="G366" i="58"/>
  <c r="G365" i="58"/>
  <c r="G364" i="58"/>
  <c r="G363" i="58"/>
  <c r="G362" i="58"/>
  <c r="G387" i="58"/>
  <c r="G402" i="58"/>
  <c r="G401" i="58"/>
  <c r="G400" i="58"/>
  <c r="G399" i="58"/>
  <c r="G398" i="58"/>
  <c r="E403" i="58"/>
  <c r="E406" i="58"/>
  <c r="E402" i="58"/>
  <c r="E401" i="58"/>
  <c r="E400" i="58"/>
  <c r="E399" i="58"/>
  <c r="E398" i="58"/>
  <c r="E395" i="58"/>
  <c r="E394" i="58"/>
  <c r="E393" i="58"/>
  <c r="E392" i="58"/>
  <c r="E391" i="58"/>
  <c r="E390" i="58"/>
  <c r="E389" i="58"/>
  <c r="E388" i="58"/>
  <c r="E387" i="58"/>
  <c r="E386" i="58"/>
  <c r="E385" i="58"/>
  <c r="E384" i="58"/>
  <c r="E383" i="58"/>
  <c r="E382" i="58"/>
  <c r="E381" i="58"/>
  <c r="E380" i="58"/>
  <c r="E379" i="58"/>
  <c r="E378" i="58"/>
  <c r="E377" i="58"/>
  <c r="E376" i="58"/>
  <c r="E375" i="58"/>
  <c r="E374" i="58"/>
  <c r="E203" i="58"/>
  <c r="E287" i="58"/>
  <c r="E286" i="58"/>
  <c r="E285" i="58"/>
  <c r="E284" i="58"/>
  <c r="E283" i="58"/>
  <c r="E282" i="58"/>
  <c r="E281" i="58"/>
  <c r="E280" i="58"/>
  <c r="E279" i="58"/>
  <c r="E278" i="58"/>
  <c r="E277" i="58"/>
  <c r="E276" i="58"/>
  <c r="E275" i="58"/>
  <c r="E274" i="58"/>
  <c r="E272" i="58"/>
  <c r="E271" i="58"/>
  <c r="E270" i="58"/>
  <c r="E269" i="58"/>
  <c r="E268" i="58"/>
  <c r="E267" i="58"/>
  <c r="E266" i="58"/>
  <c r="E265" i="58"/>
  <c r="E264" i="58"/>
  <c r="E373" i="58"/>
  <c r="E372" i="58"/>
  <c r="E371" i="58"/>
  <c r="E370" i="58"/>
  <c r="E369" i="58"/>
  <c r="E368" i="58"/>
  <c r="E367" i="58"/>
  <c r="E366" i="58"/>
  <c r="E365" i="58"/>
  <c r="E364" i="58"/>
  <c r="E363" i="58"/>
  <c r="E362" i="58"/>
  <c r="E439" i="58"/>
  <c r="E438" i="58"/>
  <c r="E437" i="58"/>
  <c r="E436" i="58"/>
  <c r="E435" i="58"/>
  <c r="E434" i="58"/>
  <c r="E433" i="58"/>
  <c r="E432" i="58"/>
  <c r="E431" i="58"/>
  <c r="E430" i="58"/>
  <c r="E429" i="58"/>
  <c r="E428" i="58"/>
  <c r="E427" i="58"/>
  <c r="E426" i="58"/>
  <c r="E425" i="58"/>
  <c r="E424" i="58"/>
  <c r="E423" i="58"/>
  <c r="E422" i="58"/>
  <c r="E421" i="58"/>
  <c r="E420" i="58"/>
  <c r="E419" i="58"/>
  <c r="E418" i="58"/>
  <c r="E417" i="58"/>
  <c r="E416" i="58"/>
  <c r="E415" i="58"/>
  <c r="E414" i="58"/>
  <c r="E413" i="58"/>
  <c r="E453" i="58"/>
  <c r="E449" i="58"/>
  <c r="E448" i="58"/>
  <c r="E447" i="58"/>
  <c r="E446" i="58"/>
  <c r="E445" i="58"/>
  <c r="E443" i="58"/>
  <c r="E444" i="58"/>
  <c r="E452" i="58"/>
  <c r="E454" i="58"/>
  <c r="E455" i="58"/>
  <c r="E456" i="58"/>
  <c r="E457" i="58"/>
  <c r="E458" i="58"/>
  <c r="E13" i="58"/>
  <c r="E14" i="58"/>
  <c r="E15" i="58"/>
  <c r="E16" i="58"/>
  <c r="E17" i="58"/>
  <c r="E18" i="58"/>
  <c r="E19" i="58"/>
  <c r="E20" i="58"/>
  <c r="E21" i="58"/>
  <c r="E22" i="58"/>
  <c r="E23" i="58"/>
  <c r="E24" i="58"/>
  <c r="E25" i="58"/>
  <c r="E26" i="58"/>
  <c r="E27" i="58"/>
  <c r="E28" i="58"/>
  <c r="E29" i="58"/>
  <c r="E30" i="58"/>
  <c r="E31" i="58"/>
  <c r="E32" i="58"/>
  <c r="E33" i="58"/>
  <c r="E34" i="58"/>
  <c r="E35" i="58"/>
  <c r="E36" i="58"/>
  <c r="E37" i="58"/>
  <c r="E38" i="58"/>
  <c r="E39" i="58"/>
  <c r="E40" i="58"/>
  <c r="E41" i="58"/>
  <c r="E42" i="58"/>
  <c r="E43" i="58"/>
  <c r="E44" i="58"/>
  <c r="E45" i="58"/>
  <c r="E46" i="58"/>
  <c r="E47" i="58"/>
  <c r="E48" i="58"/>
  <c r="E49" i="58"/>
  <c r="E50" i="58"/>
  <c r="E51" i="58"/>
  <c r="E52" i="58"/>
  <c r="E53" i="58"/>
  <c r="E54" i="58"/>
  <c r="E55" i="58"/>
  <c r="E56" i="58"/>
  <c r="E57" i="58"/>
  <c r="E58" i="58"/>
  <c r="E59" i="58"/>
  <c r="E60" i="58"/>
  <c r="E61" i="58"/>
  <c r="E62" i="58"/>
  <c r="E63" i="58"/>
  <c r="E64" i="58"/>
  <c r="E65" i="58"/>
  <c r="E66" i="58"/>
  <c r="E67" i="58"/>
  <c r="E68" i="58"/>
  <c r="E69" i="58"/>
  <c r="E70" i="58"/>
  <c r="E71" i="58"/>
  <c r="E72" i="58"/>
  <c r="E73" i="58"/>
  <c r="E74" i="58"/>
  <c r="E75" i="58"/>
  <c r="E76" i="58"/>
  <c r="E77" i="58"/>
  <c r="E78" i="58"/>
  <c r="E79" i="58"/>
  <c r="E80" i="58"/>
  <c r="E81" i="58"/>
  <c r="E82" i="58"/>
  <c r="E83" i="58"/>
  <c r="E84" i="58"/>
  <c r="E85" i="58"/>
  <c r="E86" i="58"/>
  <c r="E87" i="58"/>
  <c r="E88" i="58"/>
  <c r="E89" i="58"/>
  <c r="E90" i="58"/>
  <c r="E91" i="58"/>
  <c r="E92" i="58"/>
  <c r="E93" i="58"/>
  <c r="E94" i="58"/>
  <c r="E95" i="58"/>
  <c r="E96" i="58"/>
  <c r="E97" i="58"/>
  <c r="E98" i="58"/>
  <c r="E99" i="58"/>
  <c r="E100" i="58"/>
  <c r="E101" i="58"/>
  <c r="E102" i="58"/>
  <c r="E103" i="58"/>
  <c r="E104" i="58"/>
  <c r="E105" i="58"/>
  <c r="E106" i="58"/>
  <c r="E107" i="58"/>
  <c r="E108" i="58"/>
  <c r="E109" i="58"/>
  <c r="E110" i="58"/>
  <c r="E111" i="58"/>
  <c r="E112" i="58"/>
  <c r="E113" i="58"/>
  <c r="E114" i="58"/>
  <c r="E115" i="58"/>
  <c r="E116" i="58"/>
  <c r="E117" i="58"/>
  <c r="E118" i="58"/>
  <c r="E119" i="58"/>
  <c r="E120" i="58"/>
  <c r="E122" i="58"/>
  <c r="E123" i="58"/>
  <c r="E124" i="58"/>
  <c r="E125" i="58"/>
  <c r="E126" i="58"/>
  <c r="E127" i="58"/>
  <c r="E128" i="58"/>
  <c r="E129" i="58"/>
  <c r="E130" i="58"/>
  <c r="E131" i="58"/>
  <c r="E132" i="58"/>
  <c r="E133" i="58"/>
  <c r="E134" i="58"/>
  <c r="E135" i="58"/>
  <c r="E136" i="58"/>
  <c r="E137" i="58"/>
  <c r="E138" i="58"/>
  <c r="E139" i="58"/>
  <c r="E140" i="58"/>
  <c r="E141" i="58"/>
  <c r="E142" i="58"/>
  <c r="E143" i="58"/>
  <c r="E144" i="58"/>
  <c r="E145" i="58"/>
  <c r="E146" i="58"/>
  <c r="E147" i="58"/>
  <c r="E148" i="58"/>
  <c r="E149" i="58"/>
  <c r="E150" i="58"/>
  <c r="E151" i="58"/>
  <c r="E152" i="58"/>
  <c r="E153" i="58"/>
  <c r="E154" i="58"/>
  <c r="E155" i="58"/>
  <c r="E156" i="58"/>
  <c r="E157" i="58"/>
  <c r="E158" i="58"/>
  <c r="E159" i="58"/>
  <c r="E160" i="58"/>
  <c r="E161" i="58"/>
  <c r="E162" i="58"/>
  <c r="E163" i="58"/>
  <c r="E164" i="58"/>
  <c r="E165" i="58"/>
  <c r="E166" i="58"/>
  <c r="E167" i="58"/>
  <c r="E168" i="58"/>
  <c r="E169" i="58"/>
  <c r="E170" i="58"/>
  <c r="E171" i="58"/>
  <c r="E172" i="58"/>
  <c r="E173" i="58"/>
  <c r="E174" i="58"/>
  <c r="E175" i="58"/>
  <c r="E176" i="58"/>
  <c r="E177" i="58"/>
  <c r="E178" i="58"/>
  <c r="E179" i="58"/>
  <c r="E180" i="58"/>
  <c r="E181" i="58"/>
  <c r="E182" i="58"/>
  <c r="E183" i="58"/>
  <c r="E184" i="58"/>
  <c r="E185" i="58"/>
  <c r="E186" i="58"/>
  <c r="E187" i="58"/>
  <c r="E188" i="58"/>
  <c r="E189" i="58"/>
  <c r="E190" i="58"/>
  <c r="E191" i="58"/>
  <c r="E192" i="58"/>
  <c r="E193" i="58"/>
  <c r="E194" i="58"/>
  <c r="E195" i="58"/>
  <c r="E196" i="58"/>
  <c r="E197" i="58"/>
  <c r="E198" i="58"/>
  <c r="E199" i="58"/>
  <c r="E200" i="58"/>
  <c r="E201" i="58"/>
  <c r="E202" i="58"/>
  <c r="E204" i="58"/>
  <c r="E205" i="58"/>
  <c r="E206" i="58"/>
  <c r="E207" i="58"/>
  <c r="E208" i="58"/>
  <c r="E209" i="58"/>
  <c r="E210" i="58"/>
  <c r="E211" i="58"/>
  <c r="E212" i="58"/>
  <c r="E213" i="58"/>
  <c r="E214" i="58"/>
  <c r="E215" i="58"/>
  <c r="E216" i="58"/>
  <c r="E217" i="58"/>
  <c r="E218" i="58"/>
  <c r="E219" i="58"/>
  <c r="E220" i="58"/>
  <c r="E221" i="58"/>
  <c r="E222" i="58"/>
  <c r="E223" i="58"/>
  <c r="E224" i="58"/>
  <c r="E225" i="58"/>
  <c r="E226" i="58"/>
  <c r="E227" i="58"/>
  <c r="E228" i="58"/>
  <c r="E229" i="58"/>
  <c r="E230" i="58"/>
  <c r="E231" i="58"/>
  <c r="E232" i="58"/>
  <c r="E233" i="58"/>
  <c r="E234" i="58"/>
  <c r="E235" i="58"/>
  <c r="E236" i="58"/>
  <c r="E237" i="58"/>
  <c r="E238" i="58"/>
  <c r="E239" i="58"/>
  <c r="E240" i="58"/>
  <c r="E241" i="58"/>
  <c r="E242" i="58"/>
  <c r="E243" i="58"/>
  <c r="E244" i="58"/>
  <c r="E245" i="58"/>
  <c r="E246" i="58"/>
  <c r="E247" i="58"/>
  <c r="E248" i="58"/>
  <c r="E249" i="58"/>
  <c r="E250" i="58"/>
  <c r="E251" i="58"/>
  <c r="E252" i="58"/>
  <c r="E253" i="58"/>
  <c r="E254" i="58"/>
  <c r="E255" i="58"/>
  <c r="E256" i="58"/>
  <c r="E257" i="58"/>
  <c r="E258" i="58"/>
  <c r="E259" i="58"/>
  <c r="E260" i="58"/>
  <c r="E261" i="58"/>
  <c r="E262" i="58"/>
  <c r="E263" i="58"/>
  <c r="E273" i="58"/>
  <c r="E288" i="58"/>
  <c r="E289" i="58"/>
  <c r="E290" i="58"/>
  <c r="E291" i="58"/>
  <c r="E292" i="58"/>
  <c r="E293" i="58"/>
  <c r="E294" i="58"/>
  <c r="E295" i="58"/>
  <c r="E296" i="58"/>
  <c r="E297" i="58"/>
  <c r="E298" i="58"/>
  <c r="E299" i="58"/>
  <c r="E300" i="58"/>
  <c r="E301" i="58"/>
  <c r="E302" i="58"/>
  <c r="E303" i="58"/>
  <c r="E304" i="58"/>
  <c r="E305" i="58"/>
  <c r="E306" i="58"/>
  <c r="E307" i="58"/>
  <c r="E308" i="58"/>
  <c r="E309" i="58"/>
  <c r="E310" i="58"/>
  <c r="E311" i="58"/>
  <c r="E312" i="58"/>
  <c r="E313" i="58"/>
  <c r="E314" i="58"/>
  <c r="E315" i="58"/>
  <c r="E316" i="58"/>
  <c r="E317" i="58"/>
  <c r="E318" i="58"/>
  <c r="E319" i="58"/>
  <c r="E320" i="58"/>
  <c r="E321" i="58"/>
  <c r="E322" i="58"/>
  <c r="E323" i="58"/>
  <c r="E324" i="58"/>
  <c r="E325" i="58"/>
  <c r="E326" i="58"/>
  <c r="E327" i="58"/>
  <c r="E328" i="58"/>
  <c r="E329" i="58"/>
  <c r="E330" i="58"/>
  <c r="E331" i="58"/>
  <c r="E332" i="58"/>
  <c r="E333" i="58"/>
  <c r="E334" i="58"/>
  <c r="E335" i="58"/>
  <c r="E336" i="58"/>
  <c r="E337" i="58"/>
  <c r="E338" i="58"/>
  <c r="E339" i="58"/>
  <c r="E340" i="58"/>
  <c r="E341" i="58"/>
  <c r="E342" i="58"/>
  <c r="E343" i="58"/>
  <c r="E344" i="58"/>
  <c r="E345" i="58"/>
  <c r="E346" i="58"/>
  <c r="E347" i="58"/>
  <c r="E348" i="58"/>
  <c r="E349" i="58"/>
  <c r="E350" i="58"/>
  <c r="E351" i="58"/>
  <c r="E352" i="58"/>
  <c r="E353" i="58"/>
  <c r="E354" i="58"/>
  <c r="E355" i="58"/>
  <c r="E356" i="58"/>
  <c r="E357" i="58"/>
  <c r="E358" i="58"/>
  <c r="E359" i="58"/>
  <c r="E360" i="58"/>
  <c r="E361" i="58"/>
  <c r="E396" i="58"/>
  <c r="E397" i="58"/>
  <c r="E404" i="58"/>
  <c r="E405" i="58"/>
  <c r="E407" i="58"/>
  <c r="E408" i="58"/>
  <c r="E409" i="58"/>
  <c r="E410" i="58"/>
  <c r="E411" i="58"/>
  <c r="E412" i="58"/>
  <c r="E440" i="58"/>
  <c r="E441" i="58"/>
  <c r="E442" i="58"/>
  <c r="E450" i="58"/>
  <c r="E451" i="58"/>
  <c r="E459" i="58"/>
  <c r="E460" i="58"/>
  <c r="E461" i="58"/>
  <c r="E462" i="58"/>
  <c r="E463" i="58"/>
  <c r="E464" i="58"/>
  <c r="E465" i="58"/>
  <c r="E466" i="58"/>
  <c r="E467" i="58"/>
  <c r="E468" i="58"/>
  <c r="E469" i="58"/>
  <c r="E470" i="58"/>
  <c r="E471" i="58"/>
  <c r="E472" i="58"/>
  <c r="E473" i="58"/>
  <c r="E474" i="58"/>
  <c r="E475" i="58"/>
  <c r="E476" i="58"/>
  <c r="E477" i="58"/>
  <c r="E478" i="58"/>
  <c r="E479" i="58"/>
  <c r="E480" i="58"/>
  <c r="E481" i="58"/>
  <c r="E482" i="58"/>
  <c r="E483" i="58"/>
  <c r="E484" i="58"/>
  <c r="E485" i="58"/>
  <c r="E486" i="58"/>
  <c r="E487" i="58"/>
  <c r="E488" i="58"/>
  <c r="E489" i="58"/>
  <c r="E490" i="58"/>
  <c r="E491" i="58"/>
  <c r="E492" i="58"/>
  <c r="E493" i="58"/>
  <c r="E494" i="58"/>
  <c r="E495" i="58"/>
  <c r="E496" i="58"/>
  <c r="E497" i="58"/>
  <c r="E498" i="58"/>
  <c r="E499" i="58"/>
  <c r="E500" i="58"/>
  <c r="E501" i="58"/>
  <c r="E502" i="58"/>
  <c r="E503" i="58"/>
  <c r="E504" i="58"/>
  <c r="E505" i="58"/>
  <c r="E506" i="58"/>
  <c r="E507" i="58"/>
  <c r="E508" i="58"/>
  <c r="E509" i="58"/>
  <c r="E510" i="58"/>
  <c r="E511" i="58"/>
  <c r="E512" i="58"/>
  <c r="E513" i="58"/>
  <c r="E514" i="58"/>
  <c r="E515" i="58"/>
  <c r="E516" i="58"/>
  <c r="E517" i="58"/>
  <c r="E518" i="58"/>
  <c r="E519" i="58"/>
  <c r="E520" i="58"/>
  <c r="E521" i="58"/>
  <c r="E522" i="58"/>
  <c r="E523" i="58"/>
  <c r="E524" i="58"/>
  <c r="E525" i="58"/>
  <c r="E526" i="58"/>
  <c r="E527" i="58"/>
  <c r="E528" i="58"/>
  <c r="E529" i="58"/>
  <c r="E530" i="58"/>
  <c r="E531" i="58"/>
  <c r="E532" i="58"/>
  <c r="E533" i="58"/>
  <c r="E534" i="58"/>
  <c r="E535" i="58"/>
  <c r="E536" i="58"/>
  <c r="E537" i="58"/>
  <c r="E538" i="58"/>
  <c r="E539" i="58"/>
  <c r="E540" i="58"/>
  <c r="E541" i="58"/>
  <c r="E542" i="58"/>
  <c r="E543" i="58"/>
  <c r="E544" i="58"/>
  <c r="E545" i="58"/>
  <c r="E546" i="58"/>
  <c r="E547" i="58"/>
  <c r="E548" i="58"/>
  <c r="E549" i="58"/>
  <c r="E550" i="58"/>
  <c r="E551" i="58"/>
  <c r="E552" i="58"/>
  <c r="E553" i="58"/>
  <c r="E554" i="58"/>
  <c r="E555" i="58"/>
  <c r="E556" i="58"/>
  <c r="E557" i="58"/>
  <c r="E558" i="58"/>
  <c r="E559" i="58"/>
  <c r="E560" i="58"/>
  <c r="E561" i="58"/>
  <c r="E562" i="58"/>
  <c r="E563" i="58"/>
  <c r="E564" i="58"/>
  <c r="E565" i="58"/>
  <c r="E566" i="58"/>
  <c r="E567" i="58"/>
  <c r="E568" i="58"/>
  <c r="E569" i="58"/>
  <c r="E570" i="58"/>
  <c r="E571" i="58"/>
  <c r="E572" i="58"/>
  <c r="E573" i="58"/>
  <c r="E574" i="58"/>
  <c r="E575" i="58"/>
  <c r="E576" i="58"/>
  <c r="E577" i="58"/>
  <c r="E578" i="58"/>
  <c r="E579" i="58"/>
  <c r="E580" i="58"/>
  <c r="E581" i="58"/>
  <c r="E582" i="58"/>
  <c r="E583" i="58"/>
  <c r="E584" i="58"/>
  <c r="E585" i="58"/>
  <c r="E586" i="58"/>
  <c r="E587" i="58"/>
  <c r="E588" i="58"/>
  <c r="E589" i="58"/>
  <c r="E590" i="58"/>
  <c r="E591" i="58"/>
  <c r="E592" i="58"/>
  <c r="E593" i="58"/>
  <c r="E594" i="58"/>
  <c r="E595" i="58"/>
  <c r="E596" i="58"/>
  <c r="E597" i="58"/>
  <c r="E598" i="58"/>
  <c r="E599" i="58"/>
  <c r="E600" i="58"/>
  <c r="E601" i="58"/>
  <c r="E602" i="58"/>
  <c r="E603" i="58"/>
  <c r="E604" i="58"/>
  <c r="E605" i="58"/>
  <c r="E606" i="58"/>
  <c r="E607" i="58"/>
  <c r="E608" i="58"/>
  <c r="E609" i="58"/>
  <c r="E610" i="58"/>
  <c r="E611" i="58"/>
  <c r="E612" i="58"/>
  <c r="E613" i="58"/>
  <c r="E614" i="58"/>
  <c r="E615" i="58"/>
  <c r="E616" i="58"/>
  <c r="E617" i="58"/>
  <c r="E618" i="58"/>
  <c r="E619" i="58"/>
  <c r="E620" i="58"/>
  <c r="E621" i="58"/>
  <c r="E622" i="58"/>
  <c r="E623" i="58"/>
  <c r="E624" i="58"/>
  <c r="E625" i="58"/>
  <c r="E626" i="58"/>
  <c r="E627" i="58"/>
  <c r="E628" i="58"/>
  <c r="E629" i="58"/>
  <c r="E630" i="58"/>
  <c r="E631" i="58"/>
  <c r="E632" i="58"/>
  <c r="E633" i="58"/>
  <c r="E634" i="58"/>
  <c r="E635" i="58"/>
  <c r="E636" i="58"/>
  <c r="E637" i="58"/>
  <c r="E638" i="58"/>
  <c r="E639" i="58"/>
  <c r="E640" i="58"/>
  <c r="E641" i="58"/>
  <c r="E642" i="58"/>
  <c r="E643" i="58"/>
  <c r="E644" i="58"/>
  <c r="E645" i="58"/>
  <c r="E646" i="58"/>
  <c r="E647" i="58"/>
  <c r="E648" i="58"/>
  <c r="E649" i="58"/>
  <c r="E650" i="58"/>
  <c r="E651" i="58"/>
  <c r="E652" i="58"/>
  <c r="E653" i="58"/>
  <c r="E654" i="58"/>
  <c r="E655" i="58"/>
  <c r="E656" i="58"/>
  <c r="E657" i="58"/>
  <c r="E658" i="58"/>
  <c r="E659" i="58"/>
  <c r="E660" i="58"/>
  <c r="E661" i="58"/>
  <c r="E662" i="58"/>
  <c r="E663" i="58"/>
  <c r="E664" i="58"/>
  <c r="E665" i="58"/>
  <c r="E666" i="58"/>
  <c r="E667" i="58"/>
  <c r="E668" i="58"/>
  <c r="E669" i="58"/>
  <c r="E671" i="58"/>
  <c r="E672" i="58"/>
  <c r="E673" i="58"/>
  <c r="E674" i="58"/>
  <c r="E675" i="58"/>
  <c r="E676" i="58"/>
  <c r="E677" i="58"/>
  <c r="E678" i="58"/>
  <c r="E679" i="58"/>
  <c r="E680" i="58"/>
  <c r="E681" i="58"/>
  <c r="E682" i="58"/>
  <c r="E683" i="58"/>
  <c r="E684" i="58"/>
  <c r="E685" i="58"/>
  <c r="E686" i="58"/>
  <c r="E687" i="58"/>
  <c r="E688" i="58"/>
  <c r="E689" i="58"/>
  <c r="E690" i="58"/>
  <c r="E691" i="58"/>
  <c r="E692" i="58"/>
  <c r="E693" i="58"/>
  <c r="E694" i="58"/>
  <c r="E695" i="58"/>
  <c r="E696" i="58"/>
  <c r="E697" i="58"/>
  <c r="E698" i="58"/>
  <c r="E699" i="58"/>
  <c r="E700" i="58"/>
  <c r="E701" i="58"/>
  <c r="E702" i="58"/>
  <c r="E703" i="58"/>
  <c r="E704" i="58"/>
  <c r="E705" i="58"/>
  <c r="E706" i="58"/>
  <c r="E707" i="58"/>
  <c r="E708" i="58"/>
  <c r="E709" i="58"/>
  <c r="E710" i="58"/>
  <c r="E711" i="58"/>
  <c r="E712" i="58"/>
  <c r="E713" i="58"/>
  <c r="E714" i="58"/>
  <c r="E715" i="58"/>
  <c r="E716" i="58"/>
  <c r="E717" i="58"/>
  <c r="E718" i="58"/>
  <c r="E719" i="58"/>
  <c r="E720" i="58"/>
  <c r="E721" i="58"/>
  <c r="E722" i="58"/>
  <c r="E723" i="58"/>
  <c r="E724" i="58"/>
  <c r="E725" i="58"/>
  <c r="E726" i="58"/>
  <c r="E727" i="58"/>
  <c r="E728" i="58"/>
  <c r="E729" i="58"/>
  <c r="E730" i="58"/>
  <c r="E731" i="58"/>
  <c r="E732" i="58"/>
  <c r="E733" i="58"/>
  <c r="E734" i="58"/>
  <c r="E735" i="58"/>
  <c r="E736" i="58"/>
  <c r="E737" i="58"/>
  <c r="E738" i="58"/>
  <c r="E739" i="58"/>
  <c r="E740" i="58"/>
  <c r="E741" i="58"/>
  <c r="E742" i="58"/>
  <c r="E743" i="58"/>
  <c r="E744" i="58"/>
  <c r="E745" i="58"/>
  <c r="E746" i="58"/>
  <c r="E747" i="58"/>
  <c r="E748" i="58"/>
  <c r="E749" i="58"/>
  <c r="E750" i="58"/>
  <c r="E751" i="58"/>
  <c r="E752" i="58"/>
  <c r="E753" i="58"/>
  <c r="E754" i="58"/>
  <c r="E755" i="58"/>
  <c r="E756" i="58"/>
  <c r="E757" i="58"/>
  <c r="E758" i="58"/>
  <c r="E759" i="58"/>
  <c r="E760" i="58"/>
  <c r="E761" i="58"/>
  <c r="E762" i="58"/>
  <c r="E763" i="58"/>
  <c r="E764" i="58"/>
  <c r="E765" i="58"/>
  <c r="E766" i="58"/>
  <c r="E767" i="58"/>
  <c r="E768" i="58"/>
  <c r="E769" i="58"/>
  <c r="E770" i="58"/>
  <c r="E771" i="58"/>
  <c r="E772" i="58"/>
  <c r="E773" i="58"/>
  <c r="E774" i="58"/>
  <c r="E775" i="58"/>
  <c r="E776" i="58"/>
  <c r="E777" i="58"/>
  <c r="E778" i="58"/>
  <c r="E779" i="58"/>
  <c r="E780" i="58"/>
  <c r="E781" i="58"/>
  <c r="E782" i="58"/>
  <c r="E783" i="58"/>
  <c r="E784" i="58"/>
  <c r="E785" i="58"/>
  <c r="E786" i="58"/>
  <c r="E787" i="58"/>
  <c r="E788" i="58"/>
  <c r="E789" i="58"/>
  <c r="E790" i="58"/>
  <c r="E791" i="58"/>
  <c r="E792" i="58"/>
  <c r="E793" i="58"/>
  <c r="E794" i="58"/>
  <c r="E795" i="58"/>
  <c r="E796" i="58"/>
  <c r="E797" i="58"/>
  <c r="E798" i="58"/>
  <c r="E799" i="58"/>
  <c r="E800" i="58"/>
  <c r="E801" i="58"/>
  <c r="E802" i="58"/>
  <c r="E803" i="58"/>
  <c r="E804" i="58"/>
  <c r="E805" i="58"/>
  <c r="E806" i="58"/>
  <c r="E807" i="58"/>
  <c r="E808" i="58"/>
  <c r="E809" i="58"/>
  <c r="E810" i="58"/>
  <c r="E811" i="58"/>
  <c r="E812" i="58"/>
  <c r="E813" i="58"/>
  <c r="E814" i="58"/>
  <c r="E815" i="58"/>
  <c r="E816" i="58"/>
  <c r="E817" i="58"/>
  <c r="E818" i="58"/>
  <c r="E819" i="58"/>
  <c r="E820" i="58"/>
  <c r="E821" i="58"/>
  <c r="E822" i="58"/>
  <c r="E823" i="58"/>
  <c r="E824" i="58"/>
  <c r="E825" i="58"/>
  <c r="E826" i="58"/>
  <c r="E827" i="58"/>
  <c r="E828" i="58"/>
  <c r="E829" i="58"/>
  <c r="E830" i="58"/>
  <c r="E831" i="58"/>
  <c r="E832" i="58"/>
  <c r="E833" i="58"/>
  <c r="E834" i="58"/>
  <c r="E835" i="58"/>
  <c r="E836" i="58"/>
  <c r="E837" i="58"/>
  <c r="E838" i="58"/>
  <c r="E839" i="58"/>
  <c r="E840" i="58"/>
  <c r="E841" i="58"/>
  <c r="E842" i="58"/>
  <c r="E843" i="58"/>
  <c r="E844" i="58"/>
  <c r="E845" i="58"/>
  <c r="E846" i="58"/>
  <c r="E847" i="58"/>
  <c r="E848" i="58"/>
  <c r="E849" i="58"/>
  <c r="E850" i="58"/>
  <c r="E851" i="58"/>
  <c r="E852" i="58"/>
  <c r="E853" i="58"/>
  <c r="E854" i="58"/>
  <c r="E855" i="58"/>
  <c r="E856" i="58"/>
  <c r="E857" i="58"/>
  <c r="E858" i="58"/>
  <c r="E859" i="58"/>
  <c r="E860" i="58"/>
  <c r="E861" i="58"/>
  <c r="E862" i="58"/>
  <c r="E863" i="58"/>
  <c r="E864" i="58"/>
  <c r="E865" i="58"/>
  <c r="E866" i="58"/>
  <c r="E867" i="58"/>
  <c r="E868" i="58"/>
  <c r="E869" i="58"/>
  <c r="E870" i="58"/>
  <c r="E871" i="58"/>
  <c r="E872" i="58"/>
  <c r="E873" i="58"/>
  <c r="E874" i="58"/>
  <c r="E875" i="58"/>
  <c r="E876" i="58"/>
  <c r="E877" i="58"/>
  <c r="E878" i="58"/>
  <c r="E879" i="58"/>
  <c r="E880" i="58"/>
  <c r="E881" i="58"/>
  <c r="E882" i="58"/>
  <c r="E883" i="58"/>
  <c r="E884" i="58"/>
  <c r="E885" i="58"/>
  <c r="E886" i="58"/>
  <c r="E887" i="58"/>
  <c r="E888" i="58"/>
  <c r="E889" i="58"/>
  <c r="E890" i="58"/>
  <c r="E891" i="58"/>
  <c r="E892" i="58"/>
  <c r="E893" i="58"/>
  <c r="E894" i="58"/>
  <c r="E895" i="58"/>
  <c r="E896" i="58"/>
  <c r="E897" i="58"/>
  <c r="E898" i="58"/>
  <c r="E899" i="58"/>
  <c r="E900" i="58"/>
  <c r="E901" i="58"/>
  <c r="E902" i="58"/>
  <c r="E903" i="58"/>
  <c r="E904" i="58"/>
  <c r="E905" i="58"/>
  <c r="E906" i="58"/>
  <c r="E907" i="58"/>
  <c r="E908" i="58"/>
  <c r="E909" i="58"/>
  <c r="E910" i="58"/>
  <c r="E911" i="58"/>
  <c r="E912" i="58"/>
  <c r="E913" i="58"/>
  <c r="E914" i="58"/>
  <c r="E915" i="58"/>
  <c r="E916" i="58"/>
  <c r="E917" i="58"/>
  <c r="E918" i="58"/>
  <c r="E919" i="58"/>
  <c r="E920" i="58"/>
  <c r="E921" i="58"/>
  <c r="E922" i="58"/>
  <c r="E923" i="58"/>
  <c r="E924" i="58"/>
  <c r="E925" i="58"/>
  <c r="E926" i="58"/>
  <c r="E927" i="58"/>
  <c r="E928" i="58"/>
  <c r="E929" i="58"/>
  <c r="E930" i="58"/>
  <c r="E931" i="58"/>
  <c r="E932" i="58"/>
  <c r="E933" i="58"/>
  <c r="E934" i="58"/>
  <c r="E935" i="58"/>
  <c r="E936" i="58"/>
  <c r="E937" i="58"/>
  <c r="E938" i="58"/>
  <c r="E939" i="58"/>
  <c r="E940" i="58"/>
  <c r="E941" i="58"/>
  <c r="E942" i="58"/>
  <c r="E943" i="58"/>
  <c r="E944" i="58"/>
  <c r="E945" i="58"/>
  <c r="E946" i="58"/>
  <c r="E947" i="58"/>
  <c r="E948" i="58"/>
  <c r="E949" i="58"/>
  <c r="E950" i="58"/>
  <c r="E951" i="58"/>
  <c r="E952" i="58"/>
  <c r="E953" i="58"/>
  <c r="E954" i="58"/>
  <c r="E955" i="58"/>
  <c r="E956" i="58"/>
  <c r="E957" i="58"/>
  <c r="E958" i="58"/>
  <c r="E959" i="58"/>
  <c r="E960" i="58"/>
  <c r="E961" i="58"/>
  <c r="E962" i="58"/>
  <c r="E963" i="58"/>
  <c r="E964" i="58"/>
  <c r="E965" i="58"/>
  <c r="E966" i="58"/>
  <c r="E967" i="58"/>
  <c r="E968" i="58"/>
  <c r="E969" i="58"/>
  <c r="E970" i="58"/>
  <c r="E971" i="58"/>
  <c r="E972" i="58"/>
  <c r="E973" i="58"/>
  <c r="E974" i="58"/>
  <c r="E975" i="58"/>
  <c r="E976" i="58"/>
  <c r="E977" i="58"/>
  <c r="E978" i="58"/>
  <c r="E979" i="58"/>
  <c r="E980" i="58"/>
  <c r="E981" i="58"/>
  <c r="E982" i="58"/>
  <c r="E983" i="58"/>
  <c r="E984" i="58"/>
  <c r="E985" i="58"/>
  <c r="E986" i="58"/>
  <c r="E987" i="58"/>
  <c r="E988" i="58"/>
  <c r="E989" i="58"/>
  <c r="E990" i="58"/>
  <c r="E991" i="58"/>
  <c r="E992" i="58"/>
  <c r="E993" i="58"/>
  <c r="E994" i="58"/>
  <c r="E995" i="58"/>
  <c r="E996" i="58"/>
  <c r="E997" i="58"/>
  <c r="E998" i="58"/>
  <c r="E999" i="58"/>
  <c r="E1000" i="58"/>
  <c r="E1001" i="58"/>
  <c r="E1002" i="58"/>
  <c r="E1003" i="58"/>
  <c r="E1004" i="58"/>
  <c r="E1005" i="58"/>
  <c r="E1006" i="58"/>
  <c r="E1007" i="58"/>
  <c r="E1008" i="58"/>
  <c r="E1009" i="58"/>
  <c r="E1010" i="58"/>
  <c r="E1011" i="58"/>
  <c r="E1012" i="58"/>
  <c r="E1013" i="58"/>
  <c r="E1014" i="58"/>
  <c r="E1015" i="58"/>
  <c r="E1016" i="58"/>
  <c r="E1017" i="58"/>
  <c r="E1018" i="58"/>
  <c r="E1019" i="58"/>
  <c r="E1020" i="58"/>
  <c r="E1021" i="58"/>
  <c r="E1022" i="58"/>
  <c r="E1023" i="58"/>
  <c r="E1024" i="58"/>
  <c r="E1025" i="58"/>
  <c r="E1026" i="58"/>
  <c r="E1027" i="58"/>
  <c r="E1028" i="58"/>
  <c r="E1029" i="58"/>
  <c r="E1030" i="58"/>
  <c r="E1031" i="58"/>
  <c r="E1032" i="58"/>
  <c r="E1033" i="58"/>
  <c r="E1034" i="58"/>
  <c r="E1035" i="58"/>
  <c r="E1036" i="58"/>
  <c r="E1037" i="58"/>
  <c r="E1038" i="58"/>
  <c r="E1039" i="58"/>
  <c r="E1040" i="58"/>
  <c r="E1041" i="58"/>
  <c r="E1042" i="58"/>
  <c r="E1043" i="58"/>
  <c r="E1044" i="58"/>
  <c r="E1045" i="58"/>
  <c r="E1046" i="58"/>
  <c r="E1047" i="58"/>
  <c r="E1048" i="58"/>
  <c r="E1049" i="58"/>
  <c r="E1050" i="58"/>
  <c r="E1051" i="58"/>
  <c r="E1052" i="58"/>
  <c r="E1053" i="58"/>
  <c r="E1054" i="58"/>
  <c r="E1055" i="58"/>
  <c r="E1056" i="58"/>
  <c r="E1057" i="58"/>
  <c r="E1058" i="58"/>
  <c r="E1059" i="58"/>
  <c r="E1060" i="58"/>
  <c r="E1061" i="58"/>
  <c r="E1062" i="58"/>
  <c r="E1063" i="58"/>
  <c r="E1064" i="58"/>
  <c r="E1065" i="58"/>
  <c r="E1066" i="58"/>
  <c r="E1067" i="58"/>
  <c r="E1068" i="58"/>
  <c r="E1069" i="58"/>
  <c r="E1070" i="58"/>
  <c r="E1071" i="58"/>
  <c r="E1072" i="58"/>
  <c r="E1073" i="58"/>
  <c r="E1074" i="58"/>
  <c r="E1075" i="58"/>
  <c r="E1076" i="58"/>
  <c r="E1077" i="58"/>
  <c r="E1078" i="58"/>
  <c r="E1079" i="58"/>
  <c r="E1080" i="58"/>
  <c r="E1081" i="58"/>
  <c r="E1082" i="58"/>
  <c r="E1083" i="58"/>
  <c r="E1084" i="58"/>
  <c r="E1085" i="58"/>
  <c r="E1086" i="58"/>
  <c r="E1087" i="58"/>
  <c r="E1088" i="58"/>
  <c r="E1089" i="58"/>
  <c r="E1090" i="58"/>
  <c r="E1091" i="58"/>
  <c r="E1092" i="58"/>
  <c r="E1093" i="58"/>
  <c r="E1094" i="58"/>
  <c r="E1095" i="58"/>
  <c r="E1096" i="58"/>
  <c r="E1097" i="58"/>
  <c r="E1098" i="58"/>
  <c r="E1099" i="58"/>
  <c r="E1100" i="58"/>
  <c r="E1101" i="58"/>
  <c r="E1102" i="58"/>
  <c r="E1103" i="58"/>
  <c r="E1104" i="58"/>
  <c r="E1105" i="58"/>
  <c r="E1106" i="58"/>
  <c r="E1107" i="58"/>
  <c r="E1108" i="58"/>
  <c r="E1109" i="58"/>
  <c r="E1110" i="58"/>
  <c r="E1111" i="58"/>
  <c r="E1112" i="58"/>
  <c r="E1113" i="58"/>
  <c r="E1114" i="58"/>
  <c r="E1115" i="58"/>
  <c r="E1116" i="58"/>
  <c r="E1117" i="58"/>
  <c r="E1118" i="58"/>
  <c r="E1119" i="58"/>
  <c r="E1120" i="58"/>
  <c r="E1121" i="58"/>
  <c r="E1122" i="58"/>
  <c r="E1123" i="58"/>
  <c r="E1124" i="58"/>
  <c r="E1125" i="58"/>
  <c r="E1126" i="58"/>
  <c r="E1127" i="58"/>
  <c r="E1128" i="58"/>
  <c r="E1129" i="58"/>
  <c r="E1130" i="58"/>
  <c r="E1131" i="58"/>
  <c r="E1132" i="58"/>
  <c r="E1133" i="58"/>
  <c r="E1134" i="58"/>
  <c r="E1135" i="58"/>
  <c r="E1136" i="58"/>
  <c r="E1137" i="58"/>
  <c r="E1138" i="58"/>
  <c r="E1139" i="58"/>
  <c r="E1140" i="58"/>
  <c r="E1141" i="58"/>
  <c r="E1142" i="58"/>
  <c r="E1143" i="58"/>
  <c r="E1144" i="58"/>
  <c r="E1145" i="58"/>
  <c r="E1146" i="58"/>
  <c r="E1147" i="58"/>
  <c r="E1148" i="58"/>
  <c r="E1149" i="58"/>
  <c r="E1150" i="58"/>
  <c r="E1151" i="58"/>
  <c r="E1152" i="58"/>
  <c r="E1153" i="58"/>
  <c r="E1154" i="58"/>
  <c r="E1155" i="58"/>
  <c r="E1156" i="58"/>
  <c r="E1157" i="58"/>
  <c r="E1158" i="58"/>
  <c r="E1159" i="58"/>
  <c r="E1160" i="58"/>
  <c r="E1161" i="58"/>
  <c r="E1162" i="58"/>
  <c r="E1163" i="58"/>
  <c r="E1164" i="58"/>
  <c r="E1165" i="58"/>
  <c r="E1166" i="58"/>
  <c r="E1167" i="58"/>
  <c r="E1168" i="58"/>
  <c r="E1169" i="58"/>
  <c r="E1170" i="58"/>
  <c r="E1171" i="58"/>
  <c r="E1172" i="58"/>
  <c r="E1173" i="58"/>
  <c r="E1174" i="58"/>
  <c r="E1175" i="58"/>
  <c r="E1176" i="58"/>
  <c r="E1177" i="58"/>
  <c r="E1178" i="58"/>
  <c r="E1179" i="58"/>
  <c r="E1180" i="58"/>
  <c r="E1181" i="58"/>
  <c r="E1182" i="58"/>
  <c r="E1183" i="58"/>
  <c r="E1189" i="58"/>
  <c r="E1190" i="58"/>
  <c r="E1191" i="58"/>
  <c r="E1192" i="58"/>
  <c r="E1193" i="58"/>
  <c r="L1173" i="58" l="1"/>
  <c r="L1190" i="58"/>
  <c r="L1025" i="58"/>
  <c r="L1033" i="58"/>
  <c r="M1033" i="58" s="1"/>
  <c r="L1049" i="58"/>
  <c r="M1049" i="58" s="1"/>
  <c r="L1161" i="58"/>
  <c r="M1161" i="58" s="1"/>
  <c r="L1169" i="58"/>
  <c r="M1169" i="58" s="1"/>
  <c r="L1185" i="58"/>
  <c r="M1185" i="58" s="1"/>
  <c r="L1193" i="58"/>
  <c r="L1176" i="58"/>
  <c r="L1184" i="58"/>
  <c r="M1184" i="58" s="1"/>
  <c r="L20" i="58"/>
  <c r="M20" i="58" s="1"/>
  <c r="L28" i="58"/>
  <c r="M28" i="58" s="1"/>
  <c r="L36" i="58"/>
  <c r="M36" i="58" s="1"/>
  <c r="L44" i="58"/>
  <c r="L52" i="58"/>
  <c r="M52" i="58" s="1"/>
  <c r="L60" i="58"/>
  <c r="M60" i="58" s="1"/>
  <c r="L68" i="58"/>
  <c r="M68" i="58" s="1"/>
  <c r="L76" i="58"/>
  <c r="M76" i="58" s="1"/>
  <c r="L84" i="58"/>
  <c r="M84" i="58" s="1"/>
  <c r="L92" i="58"/>
  <c r="M92" i="58" s="1"/>
  <c r="L100" i="58"/>
  <c r="M100" i="58" s="1"/>
  <c r="L108" i="58"/>
  <c r="M108" i="58" s="1"/>
  <c r="L116" i="58"/>
  <c r="M116" i="58" s="1"/>
  <c r="L124" i="58"/>
  <c r="M124" i="58" s="1"/>
  <c r="L132" i="58"/>
  <c r="M132" i="58" s="1"/>
  <c r="L140" i="58"/>
  <c r="M140" i="58" s="1"/>
  <c r="L148" i="58"/>
  <c r="M148" i="58" s="1"/>
  <c r="L156" i="58"/>
  <c r="M156" i="58" s="1"/>
  <c r="L164" i="58"/>
  <c r="M164" i="58" s="1"/>
  <c r="L172" i="58"/>
  <c r="M172" i="58" s="1"/>
  <c r="L180" i="58"/>
  <c r="M180" i="58" s="1"/>
  <c r="L188" i="58"/>
  <c r="L196" i="58"/>
  <c r="L204" i="58"/>
  <c r="M204" i="58" s="1"/>
  <c r="L220" i="58"/>
  <c r="M220" i="58" s="1"/>
  <c r="L228" i="58"/>
  <c r="M228" i="58" s="1"/>
  <c r="L244" i="58"/>
  <c r="M244" i="58" s="1"/>
  <c r="L252" i="58"/>
  <c r="L268" i="58"/>
  <c r="M268" i="58" s="1"/>
  <c r="L316" i="58"/>
  <c r="M316" i="58" s="1"/>
  <c r="L324" i="58"/>
  <c r="M324" i="58" s="1"/>
  <c r="L340" i="58"/>
  <c r="M340" i="58" s="1"/>
  <c r="L364" i="58"/>
  <c r="M364" i="58" s="1"/>
  <c r="L372" i="58"/>
  <c r="M372" i="58" s="1"/>
  <c r="L380" i="58"/>
  <c r="M380" i="58" s="1"/>
  <c r="L388" i="58"/>
  <c r="M388" i="58" s="1"/>
  <c r="L396" i="58"/>
  <c r="M396" i="58" s="1"/>
  <c r="L1172" i="58"/>
  <c r="M1172" i="58" s="1"/>
  <c r="L1180" i="58"/>
  <c r="M1180" i="58" s="1"/>
  <c r="L1188" i="58"/>
  <c r="M1188" i="58" s="1"/>
  <c r="L382" i="58"/>
  <c r="M382" i="58" s="1"/>
  <c r="L390" i="58"/>
  <c r="M390" i="58" s="1"/>
  <c r="L398" i="58"/>
  <c r="M398" i="58" s="1"/>
  <c r="L422" i="58"/>
  <c r="M422" i="58" s="1"/>
  <c r="L438" i="58"/>
  <c r="M438" i="58" s="1"/>
  <c r="L446" i="58"/>
  <c r="M446" i="58" s="1"/>
  <c r="L501" i="58"/>
  <c r="M501" i="58" s="1"/>
  <c r="L701" i="58"/>
  <c r="M701" i="58" s="1"/>
  <c r="L757" i="58"/>
  <c r="M757" i="58" s="1"/>
  <c r="L765" i="58"/>
  <c r="M765" i="58" s="1"/>
  <c r="L781" i="58"/>
  <c r="M781" i="58" s="1"/>
  <c r="L789" i="58"/>
  <c r="M789" i="58" s="1"/>
  <c r="L797" i="58"/>
  <c r="M797" i="58" s="1"/>
  <c r="L535" i="58"/>
  <c r="M535" i="58" s="1"/>
  <c r="L543" i="58"/>
  <c r="M543" i="58" s="1"/>
  <c r="L467" i="58"/>
  <c r="M467" i="58" s="1"/>
  <c r="L499" i="58"/>
  <c r="M499" i="58" s="1"/>
  <c r="L595" i="58"/>
  <c r="M595" i="58" s="1"/>
  <c r="L1091" i="58"/>
  <c r="L1099" i="58"/>
  <c r="M1099" i="58" s="1"/>
  <c r="L1107" i="58"/>
  <c r="M1107" i="58" s="1"/>
  <c r="L1179" i="58"/>
  <c r="L1187" i="58"/>
  <c r="M1187" i="58" s="1"/>
  <c r="L682" i="58"/>
  <c r="M682" i="58" s="1"/>
  <c r="L828" i="58"/>
  <c r="M828" i="58" s="1"/>
  <c r="L1167" i="58"/>
  <c r="L1175" i="58"/>
  <c r="M1175" i="58" s="1"/>
  <c r="L456" i="58"/>
  <c r="M456" i="58" s="1"/>
  <c r="L569" i="58"/>
  <c r="M569" i="58" s="1"/>
  <c r="L577" i="58"/>
  <c r="M577" i="58" s="1"/>
  <c r="L585" i="58"/>
  <c r="M585" i="58" s="1"/>
  <c r="L593" i="58"/>
  <c r="M593" i="58" s="1"/>
  <c r="L609" i="58"/>
  <c r="M609" i="58" s="1"/>
  <c r="L697" i="58"/>
  <c r="M697" i="58" s="1"/>
  <c r="L713" i="58"/>
  <c r="M713" i="58" s="1"/>
  <c r="L721" i="58"/>
  <c r="M721" i="58" s="1"/>
  <c r="L729" i="58"/>
  <c r="M729" i="58" s="1"/>
  <c r="L745" i="58"/>
  <c r="M745" i="58" s="1"/>
  <c r="L785" i="58"/>
  <c r="M785" i="58" s="1"/>
  <c r="L817" i="58"/>
  <c r="M817" i="58" s="1"/>
  <c r="L604" i="58"/>
  <c r="M604" i="58" s="1"/>
  <c r="L462" i="58"/>
  <c r="M462" i="58" s="1"/>
  <c r="L526" i="58"/>
  <c r="M526" i="58" s="1"/>
  <c r="L534" i="58"/>
  <c r="M534" i="58" s="1"/>
  <c r="L550" i="58"/>
  <c r="M550" i="58" s="1"/>
  <c r="L566" i="58"/>
  <c r="M566" i="58" s="1"/>
  <c r="L622" i="58"/>
  <c r="M622" i="58" s="1"/>
  <c r="L646" i="58"/>
  <c r="L1166" i="58"/>
  <c r="M1166" i="58" s="1"/>
  <c r="L1174" i="58"/>
  <c r="M1174" i="58" s="1"/>
  <c r="L1183" i="58"/>
  <c r="M1183" i="58" s="1"/>
  <c r="L568" i="58"/>
  <c r="M568" i="58" s="1"/>
  <c r="L529" i="58"/>
  <c r="M529" i="58" s="1"/>
  <c r="L18" i="58"/>
  <c r="M18" i="58" s="1"/>
  <c r="L26" i="58"/>
  <c r="M26" i="58" s="1"/>
  <c r="L34" i="58"/>
  <c r="M34" i="58" s="1"/>
  <c r="L42" i="58"/>
  <c r="M42" i="58" s="1"/>
  <c r="L346" i="58"/>
  <c r="M346" i="58" s="1"/>
  <c r="L354" i="58"/>
  <c r="M354" i="58" s="1"/>
  <c r="L378" i="58"/>
  <c r="M378" i="58" s="1"/>
  <c r="L394" i="58"/>
  <c r="M394" i="58" s="1"/>
  <c r="L426" i="58"/>
  <c r="M426" i="58" s="1"/>
  <c r="L442" i="58"/>
  <c r="L498" i="58"/>
  <c r="M498" i="58" s="1"/>
  <c r="L506" i="58"/>
  <c r="M506" i="58" s="1"/>
  <c r="L522" i="58"/>
  <c r="M522" i="58" s="1"/>
  <c r="L538" i="58"/>
  <c r="M538" i="58" s="1"/>
  <c r="L699" i="58"/>
  <c r="M699" i="58" s="1"/>
  <c r="L795" i="58"/>
  <c r="M795" i="58" s="1"/>
  <c r="L803" i="58"/>
  <c r="M803" i="58" s="1"/>
  <c r="L819" i="58"/>
  <c r="M819" i="58" s="1"/>
  <c r="L827" i="58"/>
  <c r="M827" i="58" s="1"/>
  <c r="L1027" i="58"/>
  <c r="M1027" i="58" s="1"/>
  <c r="L1035" i="58"/>
  <c r="M1035" i="58" s="1"/>
  <c r="L1043" i="58"/>
  <c r="M1043" i="58" s="1"/>
  <c r="L1051" i="58"/>
  <c r="M1051" i="58" s="1"/>
  <c r="L1059" i="58"/>
  <c r="M1059" i="58" s="1"/>
  <c r="L1067" i="58"/>
  <c r="M1067" i="58" s="1"/>
  <c r="L1075" i="58"/>
  <c r="M1075" i="58" s="1"/>
  <c r="L1083" i="58"/>
  <c r="M1083" i="58" s="1"/>
  <c r="L468" i="58"/>
  <c r="M468" i="58" s="1"/>
  <c r="L484" i="58"/>
  <c r="M484" i="58" s="1"/>
  <c r="L500" i="58"/>
  <c r="M500" i="58" s="1"/>
  <c r="L516" i="58"/>
  <c r="M516" i="58" s="1"/>
  <c r="L540" i="58"/>
  <c r="M540" i="58" s="1"/>
  <c r="L548" i="58"/>
  <c r="M548" i="58" s="1"/>
  <c r="L564" i="58"/>
  <c r="M564" i="58" s="1"/>
  <c r="L21" i="58"/>
  <c r="M21" i="58" s="1"/>
  <c r="L37" i="58"/>
  <c r="M37" i="58" s="1"/>
  <c r="L45" i="58"/>
  <c r="M45" i="58" s="1"/>
  <c r="L61" i="58"/>
  <c r="L69" i="58"/>
  <c r="M69" i="58" s="1"/>
  <c r="L421" i="58"/>
  <c r="M421" i="58" s="1"/>
  <c r="L429" i="58"/>
  <c r="M429" i="58" s="1"/>
  <c r="L453" i="58"/>
  <c r="M453" i="58" s="1"/>
  <c r="L636" i="58"/>
  <c r="M636" i="58" s="1"/>
  <c r="L461" i="58"/>
  <c r="M461" i="58" s="1"/>
  <c r="L612" i="58"/>
  <c r="M612" i="58" s="1"/>
  <c r="L558" i="58"/>
  <c r="M558" i="58" s="1"/>
  <c r="L263" i="58"/>
  <c r="M263" i="58" s="1"/>
  <c r="L287" i="58"/>
  <c r="M287" i="58" s="1"/>
  <c r="L311" i="58"/>
  <c r="M311" i="58" s="1"/>
  <c r="L335" i="58"/>
  <c r="M335" i="58" s="1"/>
  <c r="L510" i="58"/>
  <c r="M510" i="58" s="1"/>
  <c r="L391" i="58"/>
  <c r="M391" i="58" s="1"/>
  <c r="L415" i="58"/>
  <c r="M415" i="58" s="1"/>
  <c r="L447" i="58"/>
  <c r="M447" i="58" s="1"/>
  <c r="L16" i="58"/>
  <c r="M16" i="58" s="1"/>
  <c r="L24" i="58"/>
  <c r="M24" i="58" s="1"/>
  <c r="L32" i="58"/>
  <c r="M32" i="58" s="1"/>
  <c r="L40" i="58"/>
  <c r="M40" i="58" s="1"/>
  <c r="L48" i="58"/>
  <c r="L56" i="58"/>
  <c r="M56" i="58" s="1"/>
  <c r="L64" i="58"/>
  <c r="M64" i="58" s="1"/>
  <c r="L72" i="58"/>
  <c r="M72" i="58" s="1"/>
  <c r="L80" i="58"/>
  <c r="M80" i="58" s="1"/>
  <c r="L88" i="58"/>
  <c r="M88" i="58" s="1"/>
  <c r="L96" i="58"/>
  <c r="M96" i="58" s="1"/>
  <c r="L104" i="58"/>
  <c r="L112" i="58"/>
  <c r="M112" i="58" s="1"/>
  <c r="L120" i="58"/>
  <c r="M120" i="58" s="1"/>
  <c r="L128" i="58"/>
  <c r="M128" i="58" s="1"/>
  <c r="L136" i="58"/>
  <c r="M136" i="58" s="1"/>
  <c r="L144" i="58"/>
  <c r="L152" i="58"/>
  <c r="M152" i="58" s="1"/>
  <c r="L160" i="58"/>
  <c r="M160" i="58" s="1"/>
  <c r="L168" i="58"/>
  <c r="M168" i="58" s="1"/>
  <c r="L176" i="58"/>
  <c r="L184" i="58"/>
  <c r="M184" i="58" s="1"/>
  <c r="L192" i="58"/>
  <c r="M192" i="58" s="1"/>
  <c r="L200" i="58"/>
  <c r="M200" i="58" s="1"/>
  <c r="L208" i="58"/>
  <c r="M208" i="58" s="1"/>
  <c r="L216" i="58"/>
  <c r="L232" i="58"/>
  <c r="M232" i="58" s="1"/>
  <c r="L240" i="58"/>
  <c r="M240" i="58" s="1"/>
  <c r="L256" i="58"/>
  <c r="M256" i="58" s="1"/>
  <c r="L264" i="58"/>
  <c r="M264" i="58" s="1"/>
  <c r="L280" i="58"/>
  <c r="M280" i="58" s="1"/>
  <c r="L288" i="58"/>
  <c r="M288" i="58" s="1"/>
  <c r="L304" i="58"/>
  <c r="M304" i="58" s="1"/>
  <c r="L312" i="58"/>
  <c r="M312" i="58" s="1"/>
  <c r="L328" i="58"/>
  <c r="M328" i="58" s="1"/>
  <c r="L336" i="58"/>
  <c r="M336" i="58" s="1"/>
  <c r="L344" i="58"/>
  <c r="M344" i="58" s="1"/>
  <c r="L352" i="58"/>
  <c r="M352" i="58" s="1"/>
  <c r="L360" i="58"/>
  <c r="M360" i="58" s="1"/>
  <c r="L368" i="58"/>
  <c r="M368" i="58" s="1"/>
  <c r="L575" i="58"/>
  <c r="M575" i="58" s="1"/>
  <c r="L583" i="58"/>
  <c r="M583" i="58" s="1"/>
  <c r="L591" i="58"/>
  <c r="M591" i="58" s="1"/>
  <c r="L703" i="58"/>
  <c r="M703" i="58" s="1"/>
  <c r="L719" i="58"/>
  <c r="M719" i="58" s="1"/>
  <c r="L1191" i="58"/>
  <c r="L512" i="58"/>
  <c r="M512" i="58" s="1"/>
  <c r="L520" i="58"/>
  <c r="M520" i="58" s="1"/>
  <c r="L528" i="58"/>
  <c r="M528" i="58" s="1"/>
  <c r="L544" i="58"/>
  <c r="M544" i="58" s="1"/>
  <c r="L552" i="58"/>
  <c r="M552" i="58" s="1"/>
  <c r="L576" i="58"/>
  <c r="M576" i="58" s="1"/>
  <c r="L584" i="58"/>
  <c r="M584" i="58" s="1"/>
  <c r="L592" i="58"/>
  <c r="M592" i="58" s="1"/>
  <c r="L600" i="58"/>
  <c r="M600" i="58" s="1"/>
  <c r="L608" i="58"/>
  <c r="M608" i="58" s="1"/>
  <c r="L616" i="58"/>
  <c r="M616" i="58" s="1"/>
  <c r="L640" i="58"/>
  <c r="M640" i="58" s="1"/>
  <c r="L648" i="58"/>
  <c r="M648" i="58" s="1"/>
  <c r="L664" i="58"/>
  <c r="M664" i="58" s="1"/>
  <c r="L441" i="58"/>
  <c r="L832" i="58"/>
  <c r="M832" i="58" s="1"/>
  <c r="L840" i="58"/>
  <c r="M840" i="58" s="1"/>
  <c r="L848" i="58"/>
  <c r="M848" i="58" s="1"/>
  <c r="L856" i="58"/>
  <c r="M856" i="58" s="1"/>
  <c r="L864" i="58"/>
  <c r="M864" i="58" s="1"/>
  <c r="L872" i="58"/>
  <c r="M872" i="58" s="1"/>
  <c r="L880" i="58"/>
  <c r="M880" i="58" s="1"/>
  <c r="L888" i="58"/>
  <c r="M888" i="58" s="1"/>
  <c r="L896" i="58"/>
  <c r="M896" i="58" s="1"/>
  <c r="L904" i="58"/>
  <c r="M904" i="58" s="1"/>
  <c r="L912" i="58"/>
  <c r="M912" i="58" s="1"/>
  <c r="L920" i="58"/>
  <c r="M920" i="58" s="1"/>
  <c r="L928" i="58"/>
  <c r="M928" i="58" s="1"/>
  <c r="L936" i="58"/>
  <c r="M936" i="58" s="1"/>
  <c r="L944" i="58"/>
  <c r="M944" i="58" s="1"/>
  <c r="L952" i="58"/>
  <c r="M952" i="58" s="1"/>
  <c r="L960" i="58"/>
  <c r="M960" i="58" s="1"/>
  <c r="L968" i="58"/>
  <c r="M968" i="58" s="1"/>
  <c r="L976" i="58"/>
  <c r="M976" i="58" s="1"/>
  <c r="L984" i="58"/>
  <c r="M984" i="58" s="1"/>
  <c r="L992" i="58"/>
  <c r="M992" i="58" s="1"/>
  <c r="L1000" i="58"/>
  <c r="M1000" i="58" s="1"/>
  <c r="L1008" i="58"/>
  <c r="M1008" i="58" s="1"/>
  <c r="L1016" i="58"/>
  <c r="M1016" i="58" s="1"/>
  <c r="L1024" i="58"/>
  <c r="M1024" i="58" s="1"/>
  <c r="L1032" i="58"/>
  <c r="M1032" i="58" s="1"/>
  <c r="L1040" i="58"/>
  <c r="M1040" i="58" s="1"/>
  <c r="L1056" i="58"/>
  <c r="M1056" i="58" s="1"/>
  <c r="L1064" i="58"/>
  <c r="M1064" i="58" s="1"/>
  <c r="L1072" i="58"/>
  <c r="M1072" i="58" s="1"/>
  <c r="L1080" i="58"/>
  <c r="M1080" i="58" s="1"/>
  <c r="L1088" i="58"/>
  <c r="M1088" i="58" s="1"/>
  <c r="L1096" i="58"/>
  <c r="M1096" i="58" s="1"/>
  <c r="L1104" i="58"/>
  <c r="M1104" i="58" s="1"/>
  <c r="L1112" i="58"/>
  <c r="M1112" i="58" s="1"/>
  <c r="L1120" i="58"/>
  <c r="M1120" i="58" s="1"/>
  <c r="L1128" i="58"/>
  <c r="M1128" i="58" s="1"/>
  <c r="L1136" i="58"/>
  <c r="M1136" i="58" s="1"/>
  <c r="L1144" i="58"/>
  <c r="M1144" i="58" s="1"/>
  <c r="L1152" i="58"/>
  <c r="M1152" i="58" s="1"/>
  <c r="L1160" i="58"/>
  <c r="M1160" i="58" s="1"/>
  <c r="L1168" i="58"/>
  <c r="M1168" i="58" s="1"/>
  <c r="L465" i="58"/>
  <c r="M465" i="58" s="1"/>
  <c r="L489" i="58"/>
  <c r="M489" i="58" s="1"/>
  <c r="L720" i="58"/>
  <c r="M720" i="58" s="1"/>
  <c r="L562" i="58"/>
  <c r="M562" i="58" s="1"/>
  <c r="L395" i="58"/>
  <c r="M395" i="58" s="1"/>
  <c r="L411" i="58"/>
  <c r="M411" i="58" s="1"/>
  <c r="L427" i="58"/>
  <c r="M427" i="58" s="1"/>
  <c r="L570" i="58"/>
  <c r="M570" i="58" s="1"/>
  <c r="L594" i="58"/>
  <c r="M594" i="58" s="1"/>
  <c r="L610" i="58"/>
  <c r="M610" i="58" s="1"/>
  <c r="L618" i="58"/>
  <c r="M618" i="58" s="1"/>
  <c r="L642" i="58"/>
  <c r="M642" i="58" s="1"/>
  <c r="L650" i="58"/>
  <c r="M650" i="58" s="1"/>
  <c r="L658" i="58"/>
  <c r="M658" i="58" s="1"/>
  <c r="L666" i="58"/>
  <c r="M666" i="58" s="1"/>
  <c r="L23" i="58"/>
  <c r="M23" i="58" s="1"/>
  <c r="L47" i="58"/>
  <c r="M47" i="58" s="1"/>
  <c r="L71" i="58"/>
  <c r="L95" i="58"/>
  <c r="M95" i="58" s="1"/>
  <c r="L119" i="58"/>
  <c r="L143" i="58"/>
  <c r="L167" i="58"/>
  <c r="M167" i="58" s="1"/>
  <c r="L191" i="58"/>
  <c r="M191" i="58" s="1"/>
  <c r="L215" i="58"/>
  <c r="M215" i="58" s="1"/>
  <c r="L239" i="58"/>
  <c r="M239" i="58" s="1"/>
  <c r="L399" i="58"/>
  <c r="M399" i="58" s="1"/>
  <c r="L423" i="58"/>
  <c r="M423" i="58" s="1"/>
  <c r="L439" i="58"/>
  <c r="M439" i="58" s="1"/>
  <c r="L470" i="58"/>
  <c r="M470" i="58" s="1"/>
  <c r="L478" i="58"/>
  <c r="M478" i="58" s="1"/>
  <c r="L486" i="58"/>
  <c r="M486" i="58" s="1"/>
  <c r="L572" i="58"/>
  <c r="M572" i="58" s="1"/>
  <c r="L588" i="58"/>
  <c r="M588" i="58" s="1"/>
  <c r="L400" i="58"/>
  <c r="M400" i="58" s="1"/>
  <c r="L424" i="58"/>
  <c r="M424" i="58" s="1"/>
  <c r="L432" i="58"/>
  <c r="M432" i="58" s="1"/>
  <c r="L463" i="58"/>
  <c r="M463" i="58" s="1"/>
  <c r="L471" i="58"/>
  <c r="M471" i="58" s="1"/>
  <c r="L589" i="58"/>
  <c r="M589" i="58" s="1"/>
  <c r="L597" i="58"/>
  <c r="M597" i="58" s="1"/>
  <c r="L605" i="58"/>
  <c r="M605" i="58" s="1"/>
  <c r="L668" i="58"/>
  <c r="M668" i="58" s="1"/>
  <c r="L715" i="58"/>
  <c r="M715" i="58" s="1"/>
  <c r="L448" i="58"/>
  <c r="M448" i="58" s="1"/>
  <c r="L511" i="58"/>
  <c r="M511" i="58" s="1"/>
  <c r="L660" i="58"/>
  <c r="M660" i="58" s="1"/>
  <c r="L684" i="58"/>
  <c r="M684" i="58" s="1"/>
  <c r="L25" i="58"/>
  <c r="L33" i="58"/>
  <c r="M33" i="58" s="1"/>
  <c r="L49" i="58"/>
  <c r="M49" i="58" s="1"/>
  <c r="L57" i="58"/>
  <c r="M57" i="58" s="1"/>
  <c r="L73" i="58"/>
  <c r="M73" i="58" s="1"/>
  <c r="L81" i="58"/>
  <c r="M81" i="58" s="1"/>
  <c r="L97" i="58"/>
  <c r="L105" i="58"/>
  <c r="M105" i="58" s="1"/>
  <c r="L121" i="58"/>
  <c r="M121" i="58" s="1"/>
  <c r="L129" i="58"/>
  <c r="M129" i="58" s="1"/>
  <c r="L145" i="58"/>
  <c r="L153" i="58"/>
  <c r="M153" i="58" s="1"/>
  <c r="L169" i="58"/>
  <c r="M169" i="58" s="1"/>
  <c r="L177" i="58"/>
  <c r="L193" i="58"/>
  <c r="M193" i="58" s="1"/>
  <c r="L201" i="58"/>
  <c r="M201" i="58" s="1"/>
  <c r="L217" i="58"/>
  <c r="L225" i="58"/>
  <c r="L241" i="58"/>
  <c r="M241" i="58" s="1"/>
  <c r="L249" i="58"/>
  <c r="M249" i="58" s="1"/>
  <c r="L265" i="58"/>
  <c r="M265" i="58" s="1"/>
  <c r="L273" i="58"/>
  <c r="M273" i="58" s="1"/>
  <c r="L289" i="58"/>
  <c r="L297" i="58"/>
  <c r="M297" i="58" s="1"/>
  <c r="L313" i="58"/>
  <c r="M313" i="58" s="1"/>
  <c r="L345" i="58"/>
  <c r="M345" i="58" s="1"/>
  <c r="L440" i="58"/>
  <c r="M440" i="58" s="1"/>
  <c r="L519" i="58"/>
  <c r="M519" i="58" s="1"/>
  <c r="L621" i="58"/>
  <c r="M621" i="58" s="1"/>
  <c r="L676" i="58"/>
  <c r="M676" i="58" s="1"/>
  <c r="L764" i="58"/>
  <c r="M764" i="58" s="1"/>
  <c r="L780" i="58"/>
  <c r="M780" i="58" s="1"/>
  <c r="L804" i="58"/>
  <c r="M804" i="58" s="1"/>
  <c r="L812" i="58"/>
  <c r="M812" i="58" s="1"/>
  <c r="L305" i="58"/>
  <c r="M305" i="58" s="1"/>
  <c r="L329" i="58"/>
  <c r="M329" i="58" s="1"/>
  <c r="L393" i="58"/>
  <c r="M393" i="58" s="1"/>
  <c r="L401" i="58"/>
  <c r="M401" i="58" s="1"/>
  <c r="L409" i="58"/>
  <c r="M409" i="58" s="1"/>
  <c r="L417" i="58"/>
  <c r="M417" i="58" s="1"/>
  <c r="L425" i="58"/>
  <c r="M425" i="58" s="1"/>
  <c r="L464" i="58"/>
  <c r="M464" i="58" s="1"/>
  <c r="L472" i="58"/>
  <c r="M472" i="58" s="1"/>
  <c r="L488" i="58"/>
  <c r="M488" i="58" s="1"/>
  <c r="L496" i="58"/>
  <c r="M496" i="58" s="1"/>
  <c r="L504" i="58"/>
  <c r="M504" i="58" s="1"/>
  <c r="L590" i="58"/>
  <c r="M590" i="58" s="1"/>
  <c r="L669" i="58"/>
  <c r="M669" i="58" s="1"/>
  <c r="L677" i="58"/>
  <c r="M677" i="58" s="1"/>
  <c r="L480" i="58"/>
  <c r="M480" i="58" s="1"/>
  <c r="L582" i="58"/>
  <c r="M582" i="58" s="1"/>
  <c r="L606" i="58"/>
  <c r="L693" i="58"/>
  <c r="M693" i="58" s="1"/>
  <c r="L457" i="58"/>
  <c r="M457" i="58" s="1"/>
  <c r="L685" i="58"/>
  <c r="M685" i="58" s="1"/>
  <c r="L717" i="58"/>
  <c r="M717" i="58" s="1"/>
  <c r="L218" i="58"/>
  <c r="M218" i="58" s="1"/>
  <c r="L242" i="58"/>
  <c r="M242" i="58" s="1"/>
  <c r="L266" i="58"/>
  <c r="M266" i="58" s="1"/>
  <c r="L290" i="58"/>
  <c r="M290" i="58" s="1"/>
  <c r="L314" i="58"/>
  <c r="M314" i="58" s="1"/>
  <c r="L338" i="58"/>
  <c r="M338" i="58" s="1"/>
  <c r="L450" i="58"/>
  <c r="M450" i="58" s="1"/>
  <c r="L513" i="58"/>
  <c r="M513" i="58" s="1"/>
  <c r="L560" i="58"/>
  <c r="M560" i="58" s="1"/>
  <c r="L654" i="58"/>
  <c r="M654" i="58" s="1"/>
  <c r="L379" i="58"/>
  <c r="M379" i="58" s="1"/>
  <c r="L387" i="58"/>
  <c r="M387" i="58" s="1"/>
  <c r="L521" i="58"/>
  <c r="M521" i="58" s="1"/>
  <c r="L537" i="58"/>
  <c r="M537" i="58" s="1"/>
  <c r="L545" i="58"/>
  <c r="M545" i="58" s="1"/>
  <c r="L615" i="58"/>
  <c r="M615" i="58" s="1"/>
  <c r="L623" i="58"/>
  <c r="M623" i="58" s="1"/>
  <c r="L655" i="58"/>
  <c r="M655" i="58" s="1"/>
  <c r="L678" i="58"/>
  <c r="M678" i="58" s="1"/>
  <c r="L718" i="58"/>
  <c r="M718" i="58" s="1"/>
  <c r="L750" i="58"/>
  <c r="M750" i="58" s="1"/>
  <c r="L822" i="58"/>
  <c r="M822" i="58" s="1"/>
  <c r="L403" i="58"/>
  <c r="L451" i="58"/>
  <c r="L466" i="58"/>
  <c r="M466" i="58" s="1"/>
  <c r="L514" i="58"/>
  <c r="M514" i="58" s="1"/>
  <c r="L490" i="58"/>
  <c r="M490" i="58" s="1"/>
  <c r="L284" i="58"/>
  <c r="M284" i="58" s="1"/>
  <c r="L308" i="58"/>
  <c r="M308" i="58" s="1"/>
  <c r="L632" i="58"/>
  <c r="M632" i="58" s="1"/>
  <c r="L672" i="58"/>
  <c r="M672" i="58" s="1"/>
  <c r="L546" i="58"/>
  <c r="M546" i="58" s="1"/>
  <c r="L85" i="58"/>
  <c r="M85" i="58" s="1"/>
  <c r="L93" i="58"/>
  <c r="M93" i="58" s="1"/>
  <c r="L109" i="58"/>
  <c r="M109" i="58" s="1"/>
  <c r="L117" i="58"/>
  <c r="M117" i="58" s="1"/>
  <c r="L133" i="58"/>
  <c r="M133" i="58" s="1"/>
  <c r="L141" i="58"/>
  <c r="M141" i="58" s="1"/>
  <c r="L157" i="58"/>
  <c r="M157" i="58" s="1"/>
  <c r="L165" i="58"/>
  <c r="M165" i="58" s="1"/>
  <c r="L181" i="58"/>
  <c r="M181" i="58" s="1"/>
  <c r="L189" i="58"/>
  <c r="M189" i="58" s="1"/>
  <c r="L205" i="58"/>
  <c r="M205" i="58" s="1"/>
  <c r="L213" i="58"/>
  <c r="M213" i="58" s="1"/>
  <c r="L229" i="58"/>
  <c r="M229" i="58" s="1"/>
  <c r="L237" i="58"/>
  <c r="M237" i="58" s="1"/>
  <c r="L253" i="58"/>
  <c r="L261" i="58"/>
  <c r="M261" i="58" s="1"/>
  <c r="L277" i="58"/>
  <c r="M277" i="58" s="1"/>
  <c r="L285" i="58"/>
  <c r="M285" i="58" s="1"/>
  <c r="L301" i="58"/>
  <c r="L309" i="58"/>
  <c r="M309" i="58" s="1"/>
  <c r="L325" i="58"/>
  <c r="L333" i="58"/>
  <c r="M333" i="58" s="1"/>
  <c r="L357" i="58"/>
  <c r="M357" i="58" s="1"/>
  <c r="L523" i="58"/>
  <c r="M523" i="58" s="1"/>
  <c r="L547" i="58"/>
  <c r="L555" i="58"/>
  <c r="M555" i="58" s="1"/>
  <c r="L617" i="58"/>
  <c r="M617" i="58" s="1"/>
  <c r="L625" i="58"/>
  <c r="M625" i="58" s="1"/>
  <c r="L633" i="58"/>
  <c r="M633" i="58" s="1"/>
  <c r="L649" i="58"/>
  <c r="M649" i="58" s="1"/>
  <c r="L657" i="58"/>
  <c r="M657" i="58" s="1"/>
  <c r="L736" i="58"/>
  <c r="M736" i="58" s="1"/>
  <c r="L397" i="58"/>
  <c r="M397" i="58" s="1"/>
  <c r="L792" i="58"/>
  <c r="M792" i="58" s="1"/>
  <c r="L816" i="58"/>
  <c r="M816" i="58" s="1"/>
  <c r="L624" i="58"/>
  <c r="M624" i="58" s="1"/>
  <c r="L554" i="58"/>
  <c r="M554" i="58" s="1"/>
  <c r="L626" i="58"/>
  <c r="M626" i="58" s="1"/>
  <c r="L634" i="58"/>
  <c r="M634" i="58" s="1"/>
  <c r="L366" i="58"/>
  <c r="M366" i="58" s="1"/>
  <c r="L611" i="58"/>
  <c r="M611" i="58" s="1"/>
  <c r="L690" i="58"/>
  <c r="M690" i="58" s="1"/>
  <c r="L351" i="58"/>
  <c r="M351" i="58" s="1"/>
  <c r="L367" i="58"/>
  <c r="M367" i="58" s="1"/>
  <c r="L375" i="58"/>
  <c r="M375" i="58" s="1"/>
  <c r="L383" i="58"/>
  <c r="M383" i="58" s="1"/>
  <c r="L541" i="58"/>
  <c r="L549" i="58"/>
  <c r="M549" i="58" s="1"/>
  <c r="L619" i="58"/>
  <c r="M619" i="58" s="1"/>
  <c r="L706" i="58"/>
  <c r="M706" i="58" s="1"/>
  <c r="L770" i="58"/>
  <c r="M770" i="58" s="1"/>
  <c r="L794" i="58"/>
  <c r="M794" i="58" s="1"/>
  <c r="L802" i="58"/>
  <c r="M802" i="58" s="1"/>
  <c r="L810" i="58"/>
  <c r="M810" i="58" s="1"/>
  <c r="L474" i="58"/>
  <c r="M474" i="58" s="1"/>
  <c r="L559" i="58"/>
  <c r="M559" i="58" s="1"/>
  <c r="L374" i="58"/>
  <c r="M374" i="58" s="1"/>
  <c r="L405" i="58"/>
  <c r="L536" i="58"/>
  <c r="M536" i="58" s="1"/>
  <c r="L613" i="58"/>
  <c r="M613" i="58" s="1"/>
  <c r="L755" i="58"/>
  <c r="M755" i="58" s="1"/>
  <c r="L779" i="58"/>
  <c r="M779" i="58" s="1"/>
  <c r="L224" i="58"/>
  <c r="L248" i="58"/>
  <c r="M248" i="58" s="1"/>
  <c r="L272" i="58"/>
  <c r="M272" i="58" s="1"/>
  <c r="L296" i="58"/>
  <c r="L320" i="58"/>
  <c r="M320" i="58" s="1"/>
  <c r="L630" i="58"/>
  <c r="M630" i="58" s="1"/>
  <c r="L321" i="58"/>
  <c r="M321" i="58" s="1"/>
  <c r="L337" i="58"/>
  <c r="M337" i="58" s="1"/>
  <c r="L607" i="58"/>
  <c r="M607" i="58" s="1"/>
  <c r="L17" i="58"/>
  <c r="M17" i="58" s="1"/>
  <c r="L41" i="58"/>
  <c r="M41" i="58" s="1"/>
  <c r="L65" i="58"/>
  <c r="M65" i="58" s="1"/>
  <c r="L89" i="58"/>
  <c r="M89" i="58" s="1"/>
  <c r="L113" i="58"/>
  <c r="M113" i="58" s="1"/>
  <c r="L137" i="58"/>
  <c r="L161" i="58"/>
  <c r="M161" i="58" s="1"/>
  <c r="L185" i="58"/>
  <c r="M185" i="58" s="1"/>
  <c r="L209" i="58"/>
  <c r="M209" i="58" s="1"/>
  <c r="L233" i="58"/>
  <c r="L257" i="58"/>
  <c r="L281" i="58"/>
  <c r="M281" i="58" s="1"/>
  <c r="L507" i="58"/>
  <c r="M507" i="58" s="1"/>
  <c r="L50" i="58"/>
  <c r="M50" i="58" s="1"/>
  <c r="L58" i="58"/>
  <c r="L66" i="58"/>
  <c r="L74" i="58"/>
  <c r="L82" i="58"/>
  <c r="M82" i="58" s="1"/>
  <c r="L90" i="58"/>
  <c r="M90" i="58" s="1"/>
  <c r="L98" i="58"/>
  <c r="M98" i="58" s="1"/>
  <c r="L369" i="58"/>
  <c r="M369" i="58" s="1"/>
  <c r="L469" i="58"/>
  <c r="M469" i="58" s="1"/>
  <c r="L477" i="58"/>
  <c r="M477" i="58" s="1"/>
  <c r="L492" i="58"/>
  <c r="M492" i="58" s="1"/>
  <c r="L578" i="58"/>
  <c r="M578" i="58" s="1"/>
  <c r="L276" i="58"/>
  <c r="M276" i="58" s="1"/>
  <c r="L292" i="58"/>
  <c r="M292" i="58" s="1"/>
  <c r="L300" i="58"/>
  <c r="M300" i="58" s="1"/>
  <c r="L571" i="58"/>
  <c r="M571" i="58" s="1"/>
  <c r="L212" i="58"/>
  <c r="M212" i="58" s="1"/>
  <c r="L236" i="58"/>
  <c r="M236" i="58" s="1"/>
  <c r="L260" i="58"/>
  <c r="M260" i="58" s="1"/>
  <c r="L434" i="58"/>
  <c r="M434" i="58" s="1"/>
  <c r="L565" i="58"/>
  <c r="M565" i="58" s="1"/>
  <c r="L542" i="58"/>
  <c r="M542" i="58" s="1"/>
  <c r="L435" i="58"/>
  <c r="M435" i="58" s="1"/>
  <c r="L381" i="58"/>
  <c r="M381" i="58" s="1"/>
  <c r="L404" i="58"/>
  <c r="M404" i="58" s="1"/>
  <c r="L412" i="58"/>
  <c r="L420" i="58"/>
  <c r="M420" i="58" s="1"/>
  <c r="L428" i="58"/>
  <c r="M428" i="58" s="1"/>
  <c r="L620" i="58"/>
  <c r="M620" i="58" s="1"/>
  <c r="L628" i="58"/>
  <c r="M628" i="58" s="1"/>
  <c r="L15" i="58"/>
  <c r="L31" i="58"/>
  <c r="M31" i="58" s="1"/>
  <c r="L39" i="58"/>
  <c r="L55" i="58"/>
  <c r="M55" i="58" s="1"/>
  <c r="L63" i="58"/>
  <c r="L79" i="58"/>
  <c r="M79" i="58" s="1"/>
  <c r="L87" i="58"/>
  <c r="M87" i="58" s="1"/>
  <c r="L103" i="58"/>
  <c r="M103" i="58" s="1"/>
  <c r="L111" i="58"/>
  <c r="M111" i="58" s="1"/>
  <c r="L127" i="58"/>
  <c r="M127" i="58" s="1"/>
  <c r="L135" i="58"/>
  <c r="M135" i="58" s="1"/>
  <c r="L151" i="58"/>
  <c r="M151" i="58" s="1"/>
  <c r="L159" i="58"/>
  <c r="M159" i="58" s="1"/>
  <c r="L175" i="58"/>
  <c r="M175" i="58" s="1"/>
  <c r="L183" i="58"/>
  <c r="M183" i="58" s="1"/>
  <c r="L199" i="58"/>
  <c r="M199" i="58" s="1"/>
  <c r="L207" i="58"/>
  <c r="M207" i="58" s="1"/>
  <c r="L223" i="58"/>
  <c r="M223" i="58" s="1"/>
  <c r="L231" i="58"/>
  <c r="M231" i="58" s="1"/>
  <c r="L247" i="58"/>
  <c r="M247" i="58" s="1"/>
  <c r="L255" i="58"/>
  <c r="M255" i="58" s="1"/>
  <c r="L271" i="58"/>
  <c r="M271" i="58" s="1"/>
  <c r="L279" i="58"/>
  <c r="M279" i="58" s="1"/>
  <c r="L295" i="58"/>
  <c r="M295" i="58" s="1"/>
  <c r="L303" i="58"/>
  <c r="M303" i="58" s="1"/>
  <c r="L319" i="58"/>
  <c r="M319" i="58" s="1"/>
  <c r="L327" i="58"/>
  <c r="M327" i="58" s="1"/>
  <c r="L343" i="58"/>
  <c r="M343" i="58" s="1"/>
  <c r="L373" i="58"/>
  <c r="M373" i="58" s="1"/>
  <c r="L433" i="58"/>
  <c r="M433" i="58" s="1"/>
  <c r="L455" i="58"/>
  <c r="M455" i="58" s="1"/>
  <c r="L476" i="58"/>
  <c r="M476" i="58" s="1"/>
  <c r="L505" i="58"/>
  <c r="M505" i="58" s="1"/>
  <c r="L599" i="58"/>
  <c r="M599" i="58" s="1"/>
  <c r="L627" i="58"/>
  <c r="M627" i="58" s="1"/>
  <c r="L708" i="58"/>
  <c r="M708" i="58" s="1"/>
  <c r="L723" i="58"/>
  <c r="M723" i="58" s="1"/>
  <c r="L739" i="58"/>
  <c r="M739" i="58" s="1"/>
  <c r="L786" i="58"/>
  <c r="M786" i="58" s="1"/>
  <c r="L1178" i="58"/>
  <c r="M1178" i="58" s="1"/>
  <c r="L686" i="58"/>
  <c r="M686" i="58" s="1"/>
  <c r="L694" i="58"/>
  <c r="M694" i="58" s="1"/>
  <c r="L709" i="58"/>
  <c r="M709" i="58" s="1"/>
  <c r="L732" i="58"/>
  <c r="M732" i="58" s="1"/>
  <c r="L835" i="58"/>
  <c r="M835" i="58" s="1"/>
  <c r="L843" i="58"/>
  <c r="M843" i="58" s="1"/>
  <c r="L851" i="58"/>
  <c r="M851" i="58" s="1"/>
  <c r="L859" i="58"/>
  <c r="M859" i="58" s="1"/>
  <c r="L867" i="58"/>
  <c r="M867" i="58" s="1"/>
  <c r="L875" i="58"/>
  <c r="M875" i="58" s="1"/>
  <c r="L883" i="58"/>
  <c r="M883" i="58" s="1"/>
  <c r="L891" i="58"/>
  <c r="M891" i="58" s="1"/>
  <c r="L899" i="58"/>
  <c r="M899" i="58" s="1"/>
  <c r="L907" i="58"/>
  <c r="M907" i="58" s="1"/>
  <c r="L915" i="58"/>
  <c r="M915" i="58" s="1"/>
  <c r="L923" i="58"/>
  <c r="M923" i="58" s="1"/>
  <c r="L931" i="58"/>
  <c r="L939" i="58"/>
  <c r="M939" i="58" s="1"/>
  <c r="L947" i="58"/>
  <c r="M947" i="58" s="1"/>
  <c r="L955" i="58"/>
  <c r="M955" i="58" s="1"/>
  <c r="L963" i="58"/>
  <c r="M963" i="58" s="1"/>
  <c r="L971" i="58"/>
  <c r="M971" i="58" s="1"/>
  <c r="L979" i="58"/>
  <c r="M979" i="58" s="1"/>
  <c r="L987" i="58"/>
  <c r="M987" i="58" s="1"/>
  <c r="L995" i="58"/>
  <c r="M995" i="58" s="1"/>
  <c r="L1003" i="58"/>
  <c r="M1003" i="58" s="1"/>
  <c r="L1011" i="58"/>
  <c r="M1011" i="58" s="1"/>
  <c r="L1115" i="58"/>
  <c r="M1115" i="58" s="1"/>
  <c r="L1123" i="58"/>
  <c r="M1123" i="58" s="1"/>
  <c r="L1131" i="58"/>
  <c r="M1131" i="58" s="1"/>
  <c r="L1139" i="58"/>
  <c r="M1139" i="58" s="1"/>
  <c r="L1147" i="58"/>
  <c r="M1147" i="58" s="1"/>
  <c r="L1155" i="58"/>
  <c r="M1155" i="58" s="1"/>
  <c r="L1163" i="58"/>
  <c r="M1163" i="58" s="1"/>
  <c r="L1171" i="58"/>
  <c r="M1171" i="58" s="1"/>
  <c r="L579" i="58"/>
  <c r="M579" i="58" s="1"/>
  <c r="L586" i="58"/>
  <c r="L614" i="58"/>
  <c r="M614" i="58" s="1"/>
  <c r="L665" i="58"/>
  <c r="M665" i="58" s="1"/>
  <c r="L679" i="58"/>
  <c r="M679" i="58" s="1"/>
  <c r="L724" i="58"/>
  <c r="M724" i="58" s="1"/>
  <c r="L820" i="58"/>
  <c r="M820" i="58" s="1"/>
  <c r="L643" i="58"/>
  <c r="M643" i="58" s="1"/>
  <c r="L680" i="58"/>
  <c r="M680" i="58" s="1"/>
  <c r="L687" i="58"/>
  <c r="M687" i="58" s="1"/>
  <c r="L702" i="58"/>
  <c r="M702" i="58" s="1"/>
  <c r="L710" i="58"/>
  <c r="M710" i="58" s="1"/>
  <c r="L733" i="58"/>
  <c r="M733" i="58" s="1"/>
  <c r="L749" i="58"/>
  <c r="M749" i="58" s="1"/>
  <c r="L580" i="58"/>
  <c r="M580" i="58" s="1"/>
  <c r="L601" i="58"/>
  <c r="M601" i="58" s="1"/>
  <c r="L651" i="58"/>
  <c r="M651" i="58" s="1"/>
  <c r="L673" i="58"/>
  <c r="M673" i="58" s="1"/>
  <c r="L741" i="58"/>
  <c r="M741" i="58" s="1"/>
  <c r="L106" i="58"/>
  <c r="M106" i="58" s="1"/>
  <c r="L114" i="58"/>
  <c r="M114" i="58" s="1"/>
  <c r="L122" i="58"/>
  <c r="M122" i="58" s="1"/>
  <c r="L130" i="58"/>
  <c r="M130" i="58" s="1"/>
  <c r="L138" i="58"/>
  <c r="M138" i="58" s="1"/>
  <c r="L146" i="58"/>
  <c r="M146" i="58" s="1"/>
  <c r="L154" i="58"/>
  <c r="M154" i="58" s="1"/>
  <c r="L162" i="58"/>
  <c r="M162" i="58" s="1"/>
  <c r="L170" i="58"/>
  <c r="M170" i="58" s="1"/>
  <c r="L178" i="58"/>
  <c r="M178" i="58" s="1"/>
  <c r="L186" i="58"/>
  <c r="M186" i="58" s="1"/>
  <c r="L194" i="58"/>
  <c r="M194" i="58" s="1"/>
  <c r="L202" i="58"/>
  <c r="M202" i="58" s="1"/>
  <c r="L210" i="58"/>
  <c r="M210" i="58" s="1"/>
  <c r="L226" i="58"/>
  <c r="M226" i="58" s="1"/>
  <c r="L234" i="58"/>
  <c r="L250" i="58"/>
  <c r="M250" i="58" s="1"/>
  <c r="L258" i="58"/>
  <c r="M258" i="58" s="1"/>
  <c r="L274" i="58"/>
  <c r="M274" i="58" s="1"/>
  <c r="L282" i="58"/>
  <c r="M282" i="58" s="1"/>
  <c r="L298" i="58"/>
  <c r="M298" i="58" s="1"/>
  <c r="L306" i="58"/>
  <c r="M306" i="58" s="1"/>
  <c r="L322" i="58"/>
  <c r="M322" i="58" s="1"/>
  <c r="L330" i="58"/>
  <c r="M330" i="58" s="1"/>
  <c r="L361" i="58"/>
  <c r="M361" i="58" s="1"/>
  <c r="L376" i="58"/>
  <c r="M376" i="58" s="1"/>
  <c r="L436" i="58"/>
  <c r="M436" i="58" s="1"/>
  <c r="L508" i="58"/>
  <c r="M508" i="58" s="1"/>
  <c r="L515" i="58"/>
  <c r="M515" i="58" s="1"/>
  <c r="L530" i="58"/>
  <c r="M530" i="58" s="1"/>
  <c r="L573" i="58"/>
  <c r="M573" i="58" s="1"/>
  <c r="L644" i="58"/>
  <c r="M644" i="58" s="1"/>
  <c r="L681" i="58"/>
  <c r="M681" i="58" s="1"/>
  <c r="L688" i="58"/>
  <c r="M688" i="58" s="1"/>
  <c r="L711" i="58"/>
  <c r="M711" i="58" s="1"/>
  <c r="L726" i="58"/>
  <c r="M726" i="58" s="1"/>
  <c r="L734" i="58"/>
  <c r="M734" i="58" s="1"/>
  <c r="L742" i="58"/>
  <c r="M742" i="58" s="1"/>
  <c r="L829" i="58"/>
  <c r="M829" i="58" s="1"/>
  <c r="L837" i="58"/>
  <c r="M837" i="58" s="1"/>
  <c r="L845" i="58"/>
  <c r="M845" i="58" s="1"/>
  <c r="L853" i="58"/>
  <c r="M853" i="58" s="1"/>
  <c r="L861" i="58"/>
  <c r="M861" i="58" s="1"/>
  <c r="L869" i="58"/>
  <c r="L877" i="58"/>
  <c r="M877" i="58" s="1"/>
  <c r="L885" i="58"/>
  <c r="M885" i="58" s="1"/>
  <c r="L893" i="58"/>
  <c r="M893" i="58" s="1"/>
  <c r="L901" i="58"/>
  <c r="M901" i="58" s="1"/>
  <c r="L909" i="58"/>
  <c r="M909" i="58" s="1"/>
  <c r="L917" i="58"/>
  <c r="M917" i="58" s="1"/>
  <c r="L925" i="58"/>
  <c r="M925" i="58" s="1"/>
  <c r="L933" i="58"/>
  <c r="M933" i="58" s="1"/>
  <c r="L941" i="58"/>
  <c r="M941" i="58" s="1"/>
  <c r="L949" i="58"/>
  <c r="M949" i="58" s="1"/>
  <c r="L957" i="58"/>
  <c r="M957" i="58" s="1"/>
  <c r="L965" i="58"/>
  <c r="M965" i="58" s="1"/>
  <c r="L973" i="58"/>
  <c r="M973" i="58" s="1"/>
  <c r="L981" i="58"/>
  <c r="M981" i="58" s="1"/>
  <c r="L989" i="58"/>
  <c r="M989" i="58" s="1"/>
  <c r="L997" i="58"/>
  <c r="M997" i="58" s="1"/>
  <c r="L1005" i="58"/>
  <c r="M1005" i="58" s="1"/>
  <c r="L1013" i="58"/>
  <c r="M1013" i="58" s="1"/>
  <c r="L1021" i="58"/>
  <c r="M1021" i="58" s="1"/>
  <c r="L1029" i="58"/>
  <c r="M1029" i="58" s="1"/>
  <c r="L1037" i="58"/>
  <c r="M1037" i="58" s="1"/>
  <c r="L1045" i="58"/>
  <c r="M1045" i="58" s="1"/>
  <c r="L1053" i="58"/>
  <c r="M1053" i="58" s="1"/>
  <c r="L1061" i="58"/>
  <c r="M1061" i="58" s="1"/>
  <c r="L1069" i="58"/>
  <c r="M1069" i="58" s="1"/>
  <c r="L1077" i="58"/>
  <c r="M1077" i="58" s="1"/>
  <c r="L1085" i="58"/>
  <c r="M1085" i="58" s="1"/>
  <c r="L1093" i="58"/>
  <c r="M1093" i="58" s="1"/>
  <c r="L1101" i="58"/>
  <c r="M1101" i="58" s="1"/>
  <c r="L1109" i="58"/>
  <c r="M1109" i="58" s="1"/>
  <c r="L1117" i="58"/>
  <c r="M1117" i="58" s="1"/>
  <c r="L1125" i="58"/>
  <c r="M1125" i="58" s="1"/>
  <c r="L1133" i="58"/>
  <c r="M1133" i="58" s="1"/>
  <c r="L1141" i="58"/>
  <c r="L1149" i="58"/>
  <c r="M1149" i="58" s="1"/>
  <c r="L1157" i="58"/>
  <c r="M1157" i="58" s="1"/>
  <c r="L1165" i="58"/>
  <c r="M1165" i="58" s="1"/>
  <c r="L384" i="58"/>
  <c r="M384" i="58" s="1"/>
  <c r="L406" i="58"/>
  <c r="M406" i="58" s="1"/>
  <c r="L414" i="58"/>
  <c r="M414" i="58" s="1"/>
  <c r="L458" i="58"/>
  <c r="M458" i="58" s="1"/>
  <c r="L479" i="58"/>
  <c r="M479" i="58" s="1"/>
  <c r="L581" i="58"/>
  <c r="M581" i="58" s="1"/>
  <c r="L602" i="58"/>
  <c r="M602" i="58" s="1"/>
  <c r="L652" i="58"/>
  <c r="M652" i="58" s="1"/>
  <c r="L659" i="58"/>
  <c r="M659" i="58" s="1"/>
  <c r="L674" i="58"/>
  <c r="M674" i="58" s="1"/>
  <c r="L766" i="58"/>
  <c r="M766" i="58" s="1"/>
  <c r="L774" i="58"/>
  <c r="M774" i="58" s="1"/>
  <c r="L782" i="58"/>
  <c r="M782" i="58" s="1"/>
  <c r="L798" i="58"/>
  <c r="M798" i="58" s="1"/>
  <c r="L806" i="58"/>
  <c r="M806" i="58" s="1"/>
  <c r="L814" i="58"/>
  <c r="M814" i="58" s="1"/>
  <c r="L19" i="58"/>
  <c r="M19" i="58" s="1"/>
  <c r="L27" i="58"/>
  <c r="M27" i="58" s="1"/>
  <c r="L43" i="58"/>
  <c r="M43" i="58" s="1"/>
  <c r="L51" i="58"/>
  <c r="M51" i="58" s="1"/>
  <c r="L67" i="58"/>
  <c r="M67" i="58" s="1"/>
  <c r="L75" i="58"/>
  <c r="M75" i="58" s="1"/>
  <c r="L91" i="58"/>
  <c r="M91" i="58" s="1"/>
  <c r="L99" i="58"/>
  <c r="M99" i="58" s="1"/>
  <c r="L115" i="58"/>
  <c r="M115" i="58" s="1"/>
  <c r="L123" i="58"/>
  <c r="M123" i="58" s="1"/>
  <c r="L139" i="58"/>
  <c r="M139" i="58" s="1"/>
  <c r="L147" i="58"/>
  <c r="M147" i="58" s="1"/>
  <c r="L163" i="58"/>
  <c r="M163" i="58" s="1"/>
  <c r="L171" i="58"/>
  <c r="L187" i="58"/>
  <c r="M187" i="58" s="1"/>
  <c r="L195" i="58"/>
  <c r="L211" i="58"/>
  <c r="M211" i="58" s="1"/>
  <c r="L219" i="58"/>
  <c r="M219" i="58" s="1"/>
  <c r="L235" i="58"/>
  <c r="M235" i="58" s="1"/>
  <c r="L243" i="58"/>
  <c r="M243" i="58" s="1"/>
  <c r="L259" i="58"/>
  <c r="M259" i="58" s="1"/>
  <c r="L267" i="58"/>
  <c r="M267" i="58" s="1"/>
  <c r="L283" i="58"/>
  <c r="M283" i="58" s="1"/>
  <c r="L291" i="58"/>
  <c r="M291" i="58" s="1"/>
  <c r="L307" i="58"/>
  <c r="M307" i="58" s="1"/>
  <c r="L315" i="58"/>
  <c r="M315" i="58" s="1"/>
  <c r="L331" i="58"/>
  <c r="M331" i="58" s="1"/>
  <c r="L339" i="58"/>
  <c r="M339" i="58" s="1"/>
  <c r="L362" i="58"/>
  <c r="M362" i="58" s="1"/>
  <c r="L377" i="58"/>
  <c r="M377" i="58" s="1"/>
  <c r="L392" i="58"/>
  <c r="M392" i="58" s="1"/>
  <c r="L437" i="58"/>
  <c r="M437" i="58" s="1"/>
  <c r="L487" i="58"/>
  <c r="M487" i="58" s="1"/>
  <c r="L493" i="58"/>
  <c r="L531" i="58"/>
  <c r="M531" i="58" s="1"/>
  <c r="L567" i="58"/>
  <c r="M567" i="58" s="1"/>
  <c r="L574" i="58"/>
  <c r="L645" i="58"/>
  <c r="M645" i="58" s="1"/>
  <c r="L667" i="58"/>
  <c r="L712" i="58"/>
  <c r="M712" i="58" s="1"/>
  <c r="L735" i="58"/>
  <c r="M735" i="58" s="1"/>
  <c r="L1150" i="58"/>
  <c r="M1150" i="58" s="1"/>
  <c r="L1158" i="58"/>
  <c r="M1158" i="58" s="1"/>
  <c r="L35" i="58"/>
  <c r="M35" i="58" s="1"/>
  <c r="L59" i="58"/>
  <c r="L83" i="58"/>
  <c r="L107" i="58"/>
  <c r="M107" i="58" s="1"/>
  <c r="L131" i="58"/>
  <c r="M131" i="58" s="1"/>
  <c r="L155" i="58"/>
  <c r="M155" i="58" s="1"/>
  <c r="L179" i="58"/>
  <c r="M179" i="58" s="1"/>
  <c r="L203" i="58"/>
  <c r="M203" i="58" s="1"/>
  <c r="L227" i="58"/>
  <c r="M227" i="58" s="1"/>
  <c r="L251" i="58"/>
  <c r="M251" i="58" s="1"/>
  <c r="L275" i="58"/>
  <c r="M275" i="58" s="1"/>
  <c r="L299" i="58"/>
  <c r="M299" i="58" s="1"/>
  <c r="L323" i="58"/>
  <c r="M323" i="58" s="1"/>
  <c r="L444" i="58"/>
  <c r="M444" i="58" s="1"/>
  <c r="L459" i="58"/>
  <c r="M459" i="58" s="1"/>
  <c r="L494" i="58"/>
  <c r="M494" i="58" s="1"/>
  <c r="L603" i="58"/>
  <c r="M603" i="58" s="1"/>
  <c r="L631" i="58"/>
  <c r="M631" i="58" s="1"/>
  <c r="L637" i="58"/>
  <c r="M637" i="58" s="1"/>
  <c r="L653" i="58"/>
  <c r="M653" i="58" s="1"/>
  <c r="L675" i="58"/>
  <c r="M675" i="58" s="1"/>
  <c r="L775" i="58"/>
  <c r="M775" i="58" s="1"/>
  <c r="L783" i="58"/>
  <c r="M783" i="58" s="1"/>
  <c r="L791" i="58"/>
  <c r="M791" i="58" s="1"/>
  <c r="L799" i="58"/>
  <c r="M799" i="58" s="1"/>
  <c r="L355" i="58"/>
  <c r="M355" i="58" s="1"/>
  <c r="L370" i="58"/>
  <c r="M370" i="58" s="1"/>
  <c r="L385" i="58"/>
  <c r="M385" i="58" s="1"/>
  <c r="L430" i="58"/>
  <c r="M430" i="58" s="1"/>
  <c r="L452" i="58"/>
  <c r="M452" i="58" s="1"/>
  <c r="L473" i="58"/>
  <c r="M473" i="58" s="1"/>
  <c r="L502" i="58"/>
  <c r="M502" i="58" s="1"/>
  <c r="L524" i="58"/>
  <c r="M524" i="58" s="1"/>
  <c r="L539" i="58"/>
  <c r="M539" i="58" s="1"/>
  <c r="L553" i="58"/>
  <c r="M553" i="58" s="1"/>
  <c r="L596" i="58"/>
  <c r="M596" i="58" s="1"/>
  <c r="L638" i="58"/>
  <c r="M638" i="58" s="1"/>
  <c r="L705" i="58"/>
  <c r="M705" i="58" s="1"/>
  <c r="L823" i="58"/>
  <c r="M823" i="58" s="1"/>
  <c r="L1151" i="58"/>
  <c r="M1151" i="58" s="1"/>
  <c r="L1159" i="58"/>
  <c r="M1159" i="58" s="1"/>
  <c r="L363" i="58"/>
  <c r="M363" i="58" s="1"/>
  <c r="L386" i="58"/>
  <c r="M386" i="58" s="1"/>
  <c r="L408" i="58"/>
  <c r="M408" i="58" s="1"/>
  <c r="L445" i="58"/>
  <c r="M445" i="58" s="1"/>
  <c r="L495" i="58"/>
  <c r="M495" i="58" s="1"/>
  <c r="L517" i="58"/>
  <c r="M517" i="58" s="1"/>
  <c r="L532" i="58"/>
  <c r="M532" i="58" s="1"/>
  <c r="L561" i="58"/>
  <c r="M561" i="58" s="1"/>
  <c r="L683" i="58"/>
  <c r="M683" i="58" s="1"/>
  <c r="L698" i="58"/>
  <c r="M698" i="58" s="1"/>
  <c r="L752" i="58"/>
  <c r="M752" i="58" s="1"/>
  <c r="L760" i="58"/>
  <c r="M760" i="58" s="1"/>
  <c r="L768" i="58"/>
  <c r="M768" i="58" s="1"/>
  <c r="L784" i="58"/>
  <c r="M784" i="58" s="1"/>
  <c r="L800" i="58"/>
  <c r="M800" i="58" s="1"/>
  <c r="L808" i="58"/>
  <c r="M808" i="58" s="1"/>
  <c r="L332" i="58"/>
  <c r="M332" i="58" s="1"/>
  <c r="L348" i="58"/>
  <c r="M348" i="58" s="1"/>
  <c r="L356" i="58"/>
  <c r="M356" i="58" s="1"/>
  <c r="L371" i="58"/>
  <c r="M371" i="58" s="1"/>
  <c r="L431" i="58"/>
  <c r="M431" i="58" s="1"/>
  <c r="L460" i="58"/>
  <c r="M460" i="58" s="1"/>
  <c r="L481" i="58"/>
  <c r="M481" i="58" s="1"/>
  <c r="L525" i="58"/>
  <c r="M525" i="58" s="1"/>
  <c r="L639" i="58"/>
  <c r="M639" i="58" s="1"/>
  <c r="L661" i="58"/>
  <c r="M661" i="58" s="1"/>
  <c r="L744" i="58"/>
  <c r="M744" i="58" s="1"/>
  <c r="L1192" i="58"/>
  <c r="M1192" i="58" s="1"/>
  <c r="L197" i="58"/>
  <c r="M197" i="58" s="1"/>
  <c r="L714" i="58"/>
  <c r="M714" i="58" s="1"/>
  <c r="L29" i="58"/>
  <c r="M29" i="58" s="1"/>
  <c r="L77" i="58"/>
  <c r="M77" i="58" s="1"/>
  <c r="L125" i="58"/>
  <c r="M125" i="58" s="1"/>
  <c r="L221" i="58"/>
  <c r="L245" i="58"/>
  <c r="M245" i="58" s="1"/>
  <c r="L269" i="58"/>
  <c r="M269" i="58" s="1"/>
  <c r="L293" i="58"/>
  <c r="M293" i="58" s="1"/>
  <c r="L14" i="58"/>
  <c r="L22" i="58"/>
  <c r="M22" i="58" s="1"/>
  <c r="L30" i="58"/>
  <c r="M30" i="58" s="1"/>
  <c r="L38" i="58"/>
  <c r="M38" i="58" s="1"/>
  <c r="L46" i="58"/>
  <c r="M46" i="58" s="1"/>
  <c r="L54" i="58"/>
  <c r="M54" i="58" s="1"/>
  <c r="L62" i="58"/>
  <c r="L70" i="58"/>
  <c r="M70" i="58" s="1"/>
  <c r="L78" i="58"/>
  <c r="M78" i="58" s="1"/>
  <c r="L86" i="58"/>
  <c r="M86" i="58" s="1"/>
  <c r="L94" i="58"/>
  <c r="L102" i="58"/>
  <c r="M102" i="58" s="1"/>
  <c r="L110" i="58"/>
  <c r="L118" i="58"/>
  <c r="M118" i="58" s="1"/>
  <c r="L126" i="58"/>
  <c r="M126" i="58" s="1"/>
  <c r="L134" i="58"/>
  <c r="M134" i="58" s="1"/>
  <c r="L142" i="58"/>
  <c r="M142" i="58" s="1"/>
  <c r="L150" i="58"/>
  <c r="L158" i="58"/>
  <c r="M158" i="58" s="1"/>
  <c r="L166" i="58"/>
  <c r="M166" i="58" s="1"/>
  <c r="L174" i="58"/>
  <c r="M174" i="58" s="1"/>
  <c r="L182" i="58"/>
  <c r="M182" i="58" s="1"/>
  <c r="L190" i="58"/>
  <c r="M190" i="58" s="1"/>
  <c r="L198" i="58"/>
  <c r="M198" i="58" s="1"/>
  <c r="L206" i="58"/>
  <c r="L214" i="58"/>
  <c r="L222" i="58"/>
  <c r="M222" i="58" s="1"/>
  <c r="L238" i="58"/>
  <c r="M238" i="58" s="1"/>
  <c r="L246" i="58"/>
  <c r="L262" i="58"/>
  <c r="L270" i="58"/>
  <c r="M270" i="58" s="1"/>
  <c r="L286" i="58"/>
  <c r="M286" i="58" s="1"/>
  <c r="L294" i="58"/>
  <c r="M294" i="58" s="1"/>
  <c r="L310" i="58"/>
  <c r="M310" i="58" s="1"/>
  <c r="L318" i="58"/>
  <c r="M318" i="58" s="1"/>
  <c r="L334" i="58"/>
  <c r="M334" i="58" s="1"/>
  <c r="L342" i="58"/>
  <c r="M342" i="58" s="1"/>
  <c r="L402" i="58"/>
  <c r="M402" i="58" s="1"/>
  <c r="L454" i="58"/>
  <c r="M454" i="58" s="1"/>
  <c r="L475" i="58"/>
  <c r="M475" i="58" s="1"/>
  <c r="L482" i="58"/>
  <c r="M482" i="58" s="1"/>
  <c r="L518" i="58"/>
  <c r="M518" i="58" s="1"/>
  <c r="L598" i="58"/>
  <c r="M598" i="58" s="1"/>
  <c r="L670" i="58"/>
  <c r="M670" i="58" s="1"/>
  <c r="L722" i="58"/>
  <c r="M722" i="58" s="1"/>
  <c r="L738" i="58"/>
  <c r="M738" i="58" s="1"/>
  <c r="L746" i="58"/>
  <c r="M746" i="58" s="1"/>
  <c r="L833" i="58"/>
  <c r="M833" i="58" s="1"/>
  <c r="L841" i="58"/>
  <c r="M841" i="58" s="1"/>
  <c r="L1017" i="58"/>
  <c r="M1017" i="58" s="1"/>
  <c r="L1057" i="58"/>
  <c r="M1057" i="58" s="1"/>
  <c r="L1065" i="58"/>
  <c r="M1065" i="58" s="1"/>
  <c r="L1073" i="58"/>
  <c r="M1073" i="58" s="1"/>
  <c r="L1081" i="58"/>
  <c r="M1081" i="58" s="1"/>
  <c r="L1089" i="58"/>
  <c r="M1089" i="58" s="1"/>
  <c r="L1097" i="58"/>
  <c r="M1097" i="58" s="1"/>
  <c r="L1105" i="58"/>
  <c r="M1105" i="58" s="1"/>
  <c r="L1113" i="58"/>
  <c r="M1113" i="58" s="1"/>
  <c r="L1121" i="58"/>
  <c r="M1121" i="58" s="1"/>
  <c r="L1129" i="58"/>
  <c r="M1129" i="58" s="1"/>
  <c r="L1177" i="58"/>
  <c r="M1177" i="58" s="1"/>
  <c r="L53" i="58"/>
  <c r="M53" i="58" s="1"/>
  <c r="L101" i="58"/>
  <c r="M101" i="58" s="1"/>
  <c r="L149" i="58"/>
  <c r="M149" i="58" s="1"/>
  <c r="L173" i="58"/>
  <c r="M173" i="58" s="1"/>
  <c r="L317" i="58"/>
  <c r="M317" i="58" s="1"/>
  <c r="L349" i="58"/>
  <c r="M349" i="58" s="1"/>
  <c r="L662" i="58"/>
  <c r="M662" i="58" s="1"/>
  <c r="L416" i="58"/>
  <c r="M416" i="58" s="1"/>
  <c r="L691" i="58"/>
  <c r="M691" i="58" s="1"/>
  <c r="L230" i="58"/>
  <c r="M230" i="58" s="1"/>
  <c r="L254" i="58"/>
  <c r="M254" i="58" s="1"/>
  <c r="L278" i="58"/>
  <c r="M278" i="58" s="1"/>
  <c r="L302" i="58"/>
  <c r="M302" i="58" s="1"/>
  <c r="L326" i="58"/>
  <c r="M326" i="58" s="1"/>
  <c r="L350" i="58"/>
  <c r="M350" i="58" s="1"/>
  <c r="L358" i="58"/>
  <c r="M358" i="58" s="1"/>
  <c r="L410" i="58"/>
  <c r="M410" i="58" s="1"/>
  <c r="L418" i="58"/>
  <c r="M418" i="58" s="1"/>
  <c r="L483" i="58"/>
  <c r="M483" i="58" s="1"/>
  <c r="L556" i="58"/>
  <c r="L641" i="58"/>
  <c r="M641" i="58" s="1"/>
  <c r="L656" i="58"/>
  <c r="M656" i="58" s="1"/>
  <c r="L663" i="58"/>
  <c r="M663" i="58" s="1"/>
  <c r="L700" i="58"/>
  <c r="M700" i="58" s="1"/>
  <c r="L730" i="58"/>
  <c r="M730" i="58" s="1"/>
  <c r="L762" i="58"/>
  <c r="M762" i="58" s="1"/>
  <c r="L818" i="58"/>
  <c r="M818" i="58" s="1"/>
  <c r="L341" i="58"/>
  <c r="M341" i="58" s="1"/>
  <c r="L485" i="58"/>
  <c r="M485" i="58" s="1"/>
  <c r="L629" i="58"/>
  <c r="M629" i="58" s="1"/>
  <c r="L449" i="58"/>
  <c r="L751" i="58"/>
  <c r="M751" i="58" s="1"/>
  <c r="L759" i="58"/>
  <c r="M759" i="58" s="1"/>
  <c r="L767" i="58"/>
  <c r="M767" i="58" s="1"/>
  <c r="L790" i="58"/>
  <c r="M790" i="58" s="1"/>
  <c r="L805" i="58"/>
  <c r="M805" i="58" s="1"/>
  <c r="L813" i="58"/>
  <c r="M813" i="58" s="1"/>
  <c r="L836" i="58"/>
  <c r="M836" i="58" s="1"/>
  <c r="L844" i="58"/>
  <c r="M844" i="58" s="1"/>
  <c r="L852" i="58"/>
  <c r="M852" i="58" s="1"/>
  <c r="L860" i="58"/>
  <c r="M860" i="58" s="1"/>
  <c r="L868" i="58"/>
  <c r="L876" i="58"/>
  <c r="M876" i="58" s="1"/>
  <c r="L884" i="58"/>
  <c r="M884" i="58" s="1"/>
  <c r="L892" i="58"/>
  <c r="M892" i="58" s="1"/>
  <c r="L900" i="58"/>
  <c r="M900" i="58" s="1"/>
  <c r="L908" i="58"/>
  <c r="M908" i="58" s="1"/>
  <c r="L916" i="58"/>
  <c r="M916" i="58" s="1"/>
  <c r="L443" i="58"/>
  <c r="M443" i="58" s="1"/>
  <c r="L587" i="58"/>
  <c r="M587" i="58" s="1"/>
  <c r="L737" i="58"/>
  <c r="M737" i="58" s="1"/>
  <c r="L821" i="58"/>
  <c r="M821" i="58" s="1"/>
  <c r="L419" i="58"/>
  <c r="M419" i="58" s="1"/>
  <c r="L563" i="58"/>
  <c r="M563" i="58" s="1"/>
  <c r="L689" i="58"/>
  <c r="M689" i="58" s="1"/>
  <c r="L696" i="58"/>
  <c r="M696" i="58" s="1"/>
  <c r="L731" i="58"/>
  <c r="M731" i="58" s="1"/>
  <c r="L776" i="58"/>
  <c r="M776" i="58" s="1"/>
  <c r="L413" i="58"/>
  <c r="M413" i="58" s="1"/>
  <c r="L557" i="58"/>
  <c r="M557" i="58" s="1"/>
  <c r="L753" i="58"/>
  <c r="M753" i="58" s="1"/>
  <c r="L761" i="58"/>
  <c r="M761" i="58" s="1"/>
  <c r="L407" i="58"/>
  <c r="M407" i="58" s="1"/>
  <c r="L551" i="58"/>
  <c r="M551" i="58" s="1"/>
  <c r="L389" i="58"/>
  <c r="M389" i="58" s="1"/>
  <c r="L533" i="58"/>
  <c r="M533" i="58" s="1"/>
  <c r="L725" i="58"/>
  <c r="M725" i="58" s="1"/>
  <c r="L527" i="58"/>
  <c r="M527" i="58" s="1"/>
  <c r="L671" i="58"/>
  <c r="M671" i="58" s="1"/>
  <c r="L747" i="58"/>
  <c r="M747" i="58" s="1"/>
  <c r="L365" i="58"/>
  <c r="M365" i="58" s="1"/>
  <c r="L509" i="58"/>
  <c r="M509" i="58" s="1"/>
  <c r="L359" i="58"/>
  <c r="M359" i="58" s="1"/>
  <c r="L503" i="58"/>
  <c r="M503" i="58" s="1"/>
  <c r="L647" i="58"/>
  <c r="M647" i="58" s="1"/>
  <c r="L692" i="58"/>
  <c r="M692" i="58" s="1"/>
  <c r="L756" i="58"/>
  <c r="M756" i="58" s="1"/>
  <c r="L497" i="58"/>
  <c r="M497" i="58" s="1"/>
  <c r="L353" i="58"/>
  <c r="M353" i="58" s="1"/>
  <c r="L347" i="58"/>
  <c r="M347" i="58" s="1"/>
  <c r="L491" i="58"/>
  <c r="M491" i="58" s="1"/>
  <c r="L635" i="58"/>
  <c r="M635" i="58" s="1"/>
  <c r="L727" i="58"/>
  <c r="M727" i="58" s="1"/>
  <c r="L704" i="58"/>
  <c r="M704" i="58" s="1"/>
  <c r="L758" i="58"/>
  <c r="M758" i="58" s="1"/>
  <c r="L796" i="58"/>
  <c r="M796" i="58" s="1"/>
  <c r="L811" i="58"/>
  <c r="M811" i="58" s="1"/>
  <c r="L834" i="58"/>
  <c r="M834" i="58" s="1"/>
  <c r="L842" i="58"/>
  <c r="M842" i="58" s="1"/>
  <c r="L850" i="58"/>
  <c r="M850" i="58" s="1"/>
  <c r="L858" i="58"/>
  <c r="M858" i="58" s="1"/>
  <c r="L866" i="58"/>
  <c r="M866" i="58" s="1"/>
  <c r="L874" i="58"/>
  <c r="M874" i="58" s="1"/>
  <c r="L882" i="58"/>
  <c r="M882" i="58" s="1"/>
  <c r="L890" i="58"/>
  <c r="M890" i="58" s="1"/>
  <c r="L898" i="58"/>
  <c r="M898" i="58" s="1"/>
  <c r="L906" i="58"/>
  <c r="M906" i="58" s="1"/>
  <c r="L914" i="58"/>
  <c r="M914" i="58" s="1"/>
  <c r="L922" i="58"/>
  <c r="M922" i="58" s="1"/>
  <c r="L930" i="58"/>
  <c r="M930" i="58" s="1"/>
  <c r="L938" i="58"/>
  <c r="M938" i="58" s="1"/>
  <c r="L946" i="58"/>
  <c r="M946" i="58" s="1"/>
  <c r="L954" i="58"/>
  <c r="M954" i="58" s="1"/>
  <c r="L962" i="58"/>
  <c r="M962" i="58" s="1"/>
  <c r="L970" i="58"/>
  <c r="M970" i="58" s="1"/>
  <c r="L978" i="58"/>
  <c r="M978" i="58" s="1"/>
  <c r="L986" i="58"/>
  <c r="M986" i="58" s="1"/>
  <c r="L994" i="58"/>
  <c r="M994" i="58" s="1"/>
  <c r="L1002" i="58"/>
  <c r="M1002" i="58" s="1"/>
  <c r="L1010" i="58"/>
  <c r="M1010" i="58" s="1"/>
  <c r="L1018" i="58"/>
  <c r="M1018" i="58" s="1"/>
  <c r="L1026" i="58"/>
  <c r="M1026" i="58" s="1"/>
  <c r="L1034" i="58"/>
  <c r="M1034" i="58" s="1"/>
  <c r="L1042" i="58"/>
  <c r="M1042" i="58" s="1"/>
  <c r="L1050" i="58"/>
  <c r="M1050" i="58" s="1"/>
  <c r="L1058" i="58"/>
  <c r="M1058" i="58" s="1"/>
  <c r="L1066" i="58"/>
  <c r="M1066" i="58" s="1"/>
  <c r="L1074" i="58"/>
  <c r="M1074" i="58" s="1"/>
  <c r="L1082" i="58"/>
  <c r="M1082" i="58" s="1"/>
  <c r="L1090" i="58"/>
  <c r="L1098" i="58"/>
  <c r="L1106" i="58"/>
  <c r="M1106" i="58" s="1"/>
  <c r="L1114" i="58"/>
  <c r="M1114" i="58" s="1"/>
  <c r="L1122" i="58"/>
  <c r="M1122" i="58" s="1"/>
  <c r="L1130" i="58"/>
  <c r="M1130" i="58" s="1"/>
  <c r="L1138" i="58"/>
  <c r="M1138" i="58" s="1"/>
  <c r="L1146" i="58"/>
  <c r="M1146" i="58" s="1"/>
  <c r="L1154" i="58"/>
  <c r="M1154" i="58" s="1"/>
  <c r="L1162" i="58"/>
  <c r="M1162" i="58" s="1"/>
  <c r="L1170" i="58"/>
  <c r="L1186" i="58"/>
  <c r="M1186" i="58" s="1"/>
  <c r="L1019" i="58"/>
  <c r="M1019" i="58" s="1"/>
  <c r="L924" i="58"/>
  <c r="M924" i="58" s="1"/>
  <c r="L932" i="58"/>
  <c r="M932" i="58" s="1"/>
  <c r="L940" i="58"/>
  <c r="M940" i="58" s="1"/>
  <c r="L948" i="58"/>
  <c r="M948" i="58" s="1"/>
  <c r="L956" i="58"/>
  <c r="M956" i="58" s="1"/>
  <c r="L964" i="58"/>
  <c r="M964" i="58" s="1"/>
  <c r="L972" i="58"/>
  <c r="M972" i="58" s="1"/>
  <c r="L980" i="58"/>
  <c r="M980" i="58" s="1"/>
  <c r="L988" i="58"/>
  <c r="M988" i="58" s="1"/>
  <c r="L996" i="58"/>
  <c r="M996" i="58" s="1"/>
  <c r="L1004" i="58"/>
  <c r="M1004" i="58" s="1"/>
  <c r="L1012" i="58"/>
  <c r="M1012" i="58" s="1"/>
  <c r="L1020" i="58"/>
  <c r="M1020" i="58" s="1"/>
  <c r="L1028" i="58"/>
  <c r="M1028" i="58" s="1"/>
  <c r="L1036" i="58"/>
  <c r="M1036" i="58" s="1"/>
  <c r="L1044" i="58"/>
  <c r="M1044" i="58" s="1"/>
  <c r="L1052" i="58"/>
  <c r="M1052" i="58" s="1"/>
  <c r="L1060" i="58"/>
  <c r="M1060" i="58" s="1"/>
  <c r="L1068" i="58"/>
  <c r="M1068" i="58" s="1"/>
  <c r="L1076" i="58"/>
  <c r="M1076" i="58" s="1"/>
  <c r="L1084" i="58"/>
  <c r="M1084" i="58" s="1"/>
  <c r="L1092" i="58"/>
  <c r="M1092" i="58" s="1"/>
  <c r="L1100" i="58"/>
  <c r="L1108" i="58"/>
  <c r="M1108" i="58" s="1"/>
  <c r="L1116" i="58"/>
  <c r="M1116" i="58" s="1"/>
  <c r="L1124" i="58"/>
  <c r="M1124" i="58" s="1"/>
  <c r="L1132" i="58"/>
  <c r="M1132" i="58" s="1"/>
  <c r="L1140" i="58"/>
  <c r="L1148" i="58"/>
  <c r="M1148" i="58" s="1"/>
  <c r="L1156" i="58"/>
  <c r="M1156" i="58" s="1"/>
  <c r="L1164" i="58"/>
  <c r="M1164" i="58" s="1"/>
  <c r="L707" i="58"/>
  <c r="M707" i="58" s="1"/>
  <c r="L754" i="58"/>
  <c r="M754" i="58" s="1"/>
  <c r="L769" i="58"/>
  <c r="M769" i="58" s="1"/>
  <c r="L807" i="58"/>
  <c r="M807" i="58" s="1"/>
  <c r="L740" i="58"/>
  <c r="M740" i="58" s="1"/>
  <c r="L777" i="58"/>
  <c r="M777" i="58" s="1"/>
  <c r="L815" i="58"/>
  <c r="M815" i="58" s="1"/>
  <c r="L830" i="58"/>
  <c r="M830" i="58" s="1"/>
  <c r="L838" i="58"/>
  <c r="M838" i="58" s="1"/>
  <c r="L846" i="58"/>
  <c r="M846" i="58" s="1"/>
  <c r="L854" i="58"/>
  <c r="M854" i="58" s="1"/>
  <c r="L862" i="58"/>
  <c r="M862" i="58" s="1"/>
  <c r="L870" i="58"/>
  <c r="M870" i="58" s="1"/>
  <c r="L878" i="58"/>
  <c r="M878" i="58" s="1"/>
  <c r="L886" i="58"/>
  <c r="M886" i="58" s="1"/>
  <c r="L894" i="58"/>
  <c r="M894" i="58" s="1"/>
  <c r="L902" i="58"/>
  <c r="M902" i="58" s="1"/>
  <c r="L910" i="58"/>
  <c r="M910" i="58" s="1"/>
  <c r="L918" i="58"/>
  <c r="M918" i="58" s="1"/>
  <c r="L926" i="58"/>
  <c r="M926" i="58" s="1"/>
  <c r="L934" i="58"/>
  <c r="M934" i="58" s="1"/>
  <c r="L942" i="58"/>
  <c r="M942" i="58" s="1"/>
  <c r="L950" i="58"/>
  <c r="M950" i="58" s="1"/>
  <c r="L958" i="58"/>
  <c r="M958" i="58" s="1"/>
  <c r="L966" i="58"/>
  <c r="M966" i="58" s="1"/>
  <c r="L974" i="58"/>
  <c r="M974" i="58" s="1"/>
  <c r="L982" i="58"/>
  <c r="M982" i="58" s="1"/>
  <c r="L990" i="58"/>
  <c r="M990" i="58" s="1"/>
  <c r="L998" i="58"/>
  <c r="M998" i="58" s="1"/>
  <c r="L1006" i="58"/>
  <c r="M1006" i="58" s="1"/>
  <c r="L1014" i="58"/>
  <c r="M1014" i="58" s="1"/>
  <c r="L1022" i="58"/>
  <c r="M1022" i="58" s="1"/>
  <c r="L1030" i="58"/>
  <c r="M1030" i="58" s="1"/>
  <c r="L1038" i="58"/>
  <c r="M1038" i="58" s="1"/>
  <c r="L1046" i="58"/>
  <c r="M1046" i="58" s="1"/>
  <c r="L1054" i="58"/>
  <c r="M1054" i="58" s="1"/>
  <c r="L1062" i="58"/>
  <c r="M1062" i="58" s="1"/>
  <c r="L1070" i="58"/>
  <c r="M1070" i="58" s="1"/>
  <c r="L1078" i="58"/>
  <c r="M1078" i="58" s="1"/>
  <c r="L1086" i="58"/>
  <c r="M1086" i="58" s="1"/>
  <c r="L1094" i="58"/>
  <c r="M1094" i="58" s="1"/>
  <c r="L1102" i="58"/>
  <c r="M1102" i="58" s="1"/>
  <c r="L1110" i="58"/>
  <c r="M1110" i="58" s="1"/>
  <c r="L1118" i="58"/>
  <c r="M1118" i="58" s="1"/>
  <c r="L1126" i="58"/>
  <c r="M1126" i="58" s="1"/>
  <c r="L1134" i="58"/>
  <c r="M1134" i="58" s="1"/>
  <c r="L1142" i="58"/>
  <c r="M1142" i="58" s="1"/>
  <c r="L1182" i="58"/>
  <c r="M1182" i="58" s="1"/>
  <c r="L695" i="58"/>
  <c r="M695" i="58" s="1"/>
  <c r="L778" i="58"/>
  <c r="M778" i="58" s="1"/>
  <c r="L793" i="58"/>
  <c r="M793" i="58" s="1"/>
  <c r="L831" i="58"/>
  <c r="M831" i="58" s="1"/>
  <c r="L839" i="58"/>
  <c r="M839" i="58" s="1"/>
  <c r="L847" i="58"/>
  <c r="M847" i="58" s="1"/>
  <c r="L855" i="58"/>
  <c r="M855" i="58" s="1"/>
  <c r="L863" i="58"/>
  <c r="M863" i="58" s="1"/>
  <c r="L871" i="58"/>
  <c r="M871" i="58" s="1"/>
  <c r="L879" i="58"/>
  <c r="M879" i="58" s="1"/>
  <c r="L887" i="58"/>
  <c r="M887" i="58" s="1"/>
  <c r="L895" i="58"/>
  <c r="M895" i="58" s="1"/>
  <c r="L903" i="58"/>
  <c r="M903" i="58" s="1"/>
  <c r="L911" i="58"/>
  <c r="M911" i="58" s="1"/>
  <c r="L919" i="58"/>
  <c r="M919" i="58" s="1"/>
  <c r="L927" i="58"/>
  <c r="M927" i="58" s="1"/>
  <c r="L935" i="58"/>
  <c r="M935" i="58" s="1"/>
  <c r="L943" i="58"/>
  <c r="M943" i="58" s="1"/>
  <c r="L951" i="58"/>
  <c r="M951" i="58" s="1"/>
  <c r="L959" i="58"/>
  <c r="M959" i="58" s="1"/>
  <c r="L967" i="58"/>
  <c r="M967" i="58" s="1"/>
  <c r="L975" i="58"/>
  <c r="M975" i="58" s="1"/>
  <c r="L983" i="58"/>
  <c r="M983" i="58" s="1"/>
  <c r="L991" i="58"/>
  <c r="M991" i="58" s="1"/>
  <c r="L999" i="58"/>
  <c r="M999" i="58" s="1"/>
  <c r="L1007" i="58"/>
  <c r="M1007" i="58" s="1"/>
  <c r="L1015" i="58"/>
  <c r="M1015" i="58" s="1"/>
  <c r="L1023" i="58"/>
  <c r="M1023" i="58" s="1"/>
  <c r="L1031" i="58"/>
  <c r="M1031" i="58" s="1"/>
  <c r="L1039" i="58"/>
  <c r="M1039" i="58" s="1"/>
  <c r="L1047" i="58"/>
  <c r="M1047" i="58" s="1"/>
  <c r="L1055" i="58"/>
  <c r="M1055" i="58" s="1"/>
  <c r="L1063" i="58"/>
  <c r="M1063" i="58" s="1"/>
  <c r="L1071" i="58"/>
  <c r="M1071" i="58" s="1"/>
  <c r="L1079" i="58"/>
  <c r="M1079" i="58" s="1"/>
  <c r="L1087" i="58"/>
  <c r="M1087" i="58" s="1"/>
  <c r="L1095" i="58"/>
  <c r="L1103" i="58"/>
  <c r="M1103" i="58" s="1"/>
  <c r="L1111" i="58"/>
  <c r="M1111" i="58" s="1"/>
  <c r="L1119" i="58"/>
  <c r="M1119" i="58" s="1"/>
  <c r="L1127" i="58"/>
  <c r="M1127" i="58" s="1"/>
  <c r="L1135" i="58"/>
  <c r="M1135" i="58" s="1"/>
  <c r="L1143" i="58"/>
  <c r="M1143" i="58" s="1"/>
  <c r="L728" i="58"/>
  <c r="M728" i="58" s="1"/>
  <c r="L748" i="58"/>
  <c r="M748" i="58" s="1"/>
  <c r="L763" i="58"/>
  <c r="M763" i="58" s="1"/>
  <c r="L801" i="58"/>
  <c r="M801" i="58" s="1"/>
  <c r="L771" i="58"/>
  <c r="M771" i="58" s="1"/>
  <c r="L809" i="58"/>
  <c r="M809" i="58" s="1"/>
  <c r="L824" i="58"/>
  <c r="M824" i="58" s="1"/>
  <c r="L1048" i="58"/>
  <c r="M1048" i="58" s="1"/>
  <c r="L716" i="58"/>
  <c r="M716" i="58" s="1"/>
  <c r="L772" i="58"/>
  <c r="M772" i="58" s="1"/>
  <c r="L787" i="58"/>
  <c r="M787" i="58" s="1"/>
  <c r="L825" i="58"/>
  <c r="M825" i="58" s="1"/>
  <c r="L849" i="58"/>
  <c r="M849" i="58" s="1"/>
  <c r="L857" i="58"/>
  <c r="M857" i="58" s="1"/>
  <c r="L865" i="58"/>
  <c r="M865" i="58" s="1"/>
  <c r="L873" i="58"/>
  <c r="M873" i="58" s="1"/>
  <c r="L881" i="58"/>
  <c r="M881" i="58" s="1"/>
  <c r="L889" i="58"/>
  <c r="M889" i="58" s="1"/>
  <c r="L897" i="58"/>
  <c r="M897" i="58" s="1"/>
  <c r="L905" i="58"/>
  <c r="M905" i="58" s="1"/>
  <c r="L913" i="58"/>
  <c r="M913" i="58" s="1"/>
  <c r="L921" i="58"/>
  <c r="M921" i="58" s="1"/>
  <c r="L929" i="58"/>
  <c r="M929" i="58" s="1"/>
  <c r="L937" i="58"/>
  <c r="M937" i="58" s="1"/>
  <c r="L945" i="58"/>
  <c r="M945" i="58" s="1"/>
  <c r="L953" i="58"/>
  <c r="M953" i="58" s="1"/>
  <c r="L961" i="58"/>
  <c r="M961" i="58" s="1"/>
  <c r="L969" i="58"/>
  <c r="M969" i="58" s="1"/>
  <c r="L977" i="58"/>
  <c r="M977" i="58" s="1"/>
  <c r="L985" i="58"/>
  <c r="M985" i="58" s="1"/>
  <c r="L993" i="58"/>
  <c r="M993" i="58" s="1"/>
  <c r="L1001" i="58"/>
  <c r="M1001" i="58" s="1"/>
  <c r="L1009" i="58"/>
  <c r="M1009" i="58" s="1"/>
  <c r="L1041" i="58"/>
  <c r="M1041" i="58" s="1"/>
  <c r="L1137" i="58"/>
  <c r="M1137" i="58" s="1"/>
  <c r="L1145" i="58"/>
  <c r="M1145" i="58" s="1"/>
  <c r="L1153" i="58"/>
  <c r="M1153" i="58" s="1"/>
  <c r="L743" i="58"/>
  <c r="M743" i="58" s="1"/>
  <c r="L773" i="58"/>
  <c r="M773" i="58" s="1"/>
  <c r="L788" i="58"/>
  <c r="M788" i="58" s="1"/>
  <c r="L826" i="58"/>
  <c r="M826" i="58" s="1"/>
  <c r="M15" i="58" l="1"/>
  <c r="O15" i="58" s="1"/>
  <c r="O1194" i="58"/>
  <c r="I13" i="58"/>
  <c r="K13" i="58"/>
  <c r="C185" i="59"/>
  <c r="O13" i="58"/>
  <c r="O14" i="58"/>
  <c r="O24" i="58"/>
  <c r="O25" i="58"/>
  <c r="O38" i="58"/>
  <c r="O39" i="58"/>
  <c r="O43" i="58"/>
  <c r="O44" i="58"/>
  <c r="O47" i="58"/>
  <c r="O48" i="58"/>
  <c r="O60" i="58"/>
  <c r="O61" i="58"/>
  <c r="O62" i="58"/>
  <c r="O63" i="58"/>
  <c r="O65" i="58"/>
  <c r="O66" i="58"/>
  <c r="O73" i="58"/>
  <c r="O74" i="58"/>
  <c r="O82" i="58"/>
  <c r="O83" i="58"/>
  <c r="O96" i="58"/>
  <c r="O97" i="58"/>
  <c r="O109" i="58"/>
  <c r="O110" i="58"/>
  <c r="O118" i="58"/>
  <c r="O119" i="58"/>
  <c r="O120" i="58"/>
  <c r="O122" i="58"/>
  <c r="O124" i="58"/>
  <c r="O138" i="58"/>
  <c r="O139" i="58"/>
  <c r="O155" i="58"/>
  <c r="O156" i="58"/>
  <c r="O170" i="58"/>
  <c r="O171" i="58"/>
  <c r="O175" i="58"/>
  <c r="O176" i="58"/>
  <c r="O177" i="58"/>
  <c r="O187" i="58"/>
  <c r="O188" i="58"/>
  <c r="O194" i="58"/>
  <c r="O195" i="58"/>
  <c r="O205" i="58"/>
  <c r="O206" i="58"/>
  <c r="O213" i="58"/>
  <c r="O214" i="58"/>
  <c r="O215" i="58"/>
  <c r="O220" i="58"/>
  <c r="O221" i="58"/>
  <c r="O232" i="58"/>
  <c r="O233" i="58"/>
  <c r="O245" i="58"/>
  <c r="O246" i="58"/>
  <c r="O251" i="58"/>
  <c r="O252" i="58"/>
  <c r="O256" i="58"/>
  <c r="O257" i="58"/>
  <c r="O261" i="58"/>
  <c r="O262" i="58"/>
  <c r="O263" i="58"/>
  <c r="O273" i="58"/>
  <c r="O288" i="58"/>
  <c r="O289" i="58"/>
  <c r="O295" i="58"/>
  <c r="O296" i="58"/>
  <c r="O300" i="58"/>
  <c r="O301" i="58"/>
  <c r="O324" i="58"/>
  <c r="O325" i="58"/>
  <c r="O326" i="58"/>
  <c r="O339" i="58"/>
  <c r="O340" i="58"/>
  <c r="O347" i="58"/>
  <c r="O348" i="58"/>
  <c r="O351" i="58"/>
  <c r="O352" i="58"/>
  <c r="O360" i="58"/>
  <c r="O361" i="58"/>
  <c r="O396" i="58"/>
  <c r="O397" i="58"/>
  <c r="O404" i="58"/>
  <c r="O405" i="58"/>
  <c r="O411" i="58"/>
  <c r="O412" i="58"/>
  <c r="O440" i="58"/>
  <c r="O441" i="58"/>
  <c r="O442" i="58"/>
  <c r="O450" i="58"/>
  <c r="O451" i="58"/>
  <c r="O452" i="58"/>
  <c r="O484" i="58"/>
  <c r="O487" i="58"/>
  <c r="O492" i="58"/>
  <c r="O493" i="58"/>
  <c r="O494" i="58"/>
  <c r="O508" i="58"/>
  <c r="O519" i="58"/>
  <c r="O537" i="58"/>
  <c r="O540" i="58"/>
  <c r="O541" i="58"/>
  <c r="O546" i="58"/>
  <c r="O547" i="58"/>
  <c r="O555" i="58"/>
  <c r="O556" i="58"/>
  <c r="O573" i="58"/>
  <c r="O574" i="58"/>
  <c r="O585" i="58"/>
  <c r="O586" i="58"/>
  <c r="O605" i="58"/>
  <c r="O606" i="58"/>
  <c r="O645" i="58"/>
  <c r="O646" i="58"/>
  <c r="O647" i="58"/>
  <c r="O653" i="58"/>
  <c r="O658" i="58"/>
  <c r="O660" i="58"/>
  <c r="O666" i="58"/>
  <c r="O667" i="58"/>
  <c r="O668" i="58"/>
  <c r="O671" i="58"/>
  <c r="O672" i="58"/>
  <c r="O675" i="58"/>
  <c r="O676" i="58"/>
  <c r="O691" i="58"/>
  <c r="O692" i="58"/>
  <c r="O702" i="58"/>
  <c r="O703" i="58"/>
  <c r="O717" i="58"/>
  <c r="O718" i="58"/>
  <c r="O728" i="58"/>
  <c r="O729" i="58"/>
  <c r="O740" i="58"/>
  <c r="O741" i="58"/>
  <c r="O751" i="58"/>
  <c r="O752" i="58"/>
  <c r="O764" i="58"/>
  <c r="O765" i="58"/>
  <c r="O774" i="58"/>
  <c r="O775" i="58"/>
  <c r="O788" i="58"/>
  <c r="O789" i="58"/>
  <c r="O805" i="58"/>
  <c r="O806" i="58"/>
  <c r="O824" i="58"/>
  <c r="O825" i="58"/>
  <c r="O848" i="58"/>
  <c r="O849" i="58"/>
  <c r="O867" i="58"/>
  <c r="O868" i="58"/>
  <c r="O869" i="58"/>
  <c r="O870" i="58"/>
  <c r="O897" i="58"/>
  <c r="O898" i="58"/>
  <c r="O906" i="58"/>
  <c r="O907" i="58"/>
  <c r="O910" i="58"/>
  <c r="O911" i="58"/>
  <c r="O920" i="58"/>
  <c r="O921" i="58"/>
  <c r="O930" i="58"/>
  <c r="O931" i="58"/>
  <c r="O932" i="58"/>
  <c r="O977" i="58"/>
  <c r="O978" i="58"/>
  <c r="O989" i="58"/>
  <c r="O990" i="58"/>
  <c r="O1004" i="58"/>
  <c r="O1005" i="58"/>
  <c r="O1014" i="58"/>
  <c r="O1020" i="58"/>
  <c r="O1021" i="58"/>
  <c r="O1024" i="58"/>
  <c r="O1025" i="58"/>
  <c r="O1026" i="58"/>
  <c r="O1061" i="58"/>
  <c r="O1062" i="58"/>
  <c r="O1066" i="58"/>
  <c r="O1067" i="58"/>
  <c r="O1069" i="58"/>
  <c r="O1070" i="58"/>
  <c r="O1073" i="58"/>
  <c r="O1074" i="58"/>
  <c r="O1080" i="58"/>
  <c r="O1081" i="58"/>
  <c r="O1085" i="58"/>
  <c r="O1086" i="58"/>
  <c r="O1099" i="58"/>
  <c r="O1100" i="58"/>
  <c r="O1101" i="58"/>
  <c r="O1102" i="58"/>
  <c r="O1114" i="58"/>
  <c r="O1115" i="58"/>
  <c r="O1121" i="58"/>
  <c r="O1122" i="58"/>
  <c r="O1125" i="58"/>
  <c r="O1126" i="58"/>
  <c r="O1129" i="58"/>
  <c r="O1130" i="58"/>
  <c r="O1134" i="58"/>
  <c r="O1135" i="58"/>
  <c r="O1139" i="58"/>
  <c r="O1140" i="58"/>
  <c r="O1141" i="58"/>
  <c r="O1166" i="58"/>
  <c r="O1167" i="58"/>
  <c r="O1169" i="58"/>
  <c r="O1170" i="58"/>
  <c r="O1172" i="58"/>
  <c r="O1173" i="58"/>
  <c r="O1175" i="58"/>
  <c r="O1176" i="58"/>
  <c r="O1178" i="58"/>
  <c r="O1179" i="58"/>
  <c r="O1180" i="58"/>
  <c r="O1181" i="58"/>
  <c r="O1182" i="58"/>
  <c r="O1183" i="58"/>
  <c r="O1189" i="58"/>
  <c r="O1190" i="58"/>
  <c r="O1191" i="58"/>
  <c r="O1196" i="58"/>
  <c r="O1197" i="58"/>
  <c r="O1198" i="58"/>
  <c r="O1199" i="58"/>
  <c r="O1200" i="58"/>
  <c r="O1201" i="58"/>
  <c r="C194" i="59"/>
  <c r="C191" i="59"/>
  <c r="C188" i="59"/>
  <c r="C182" i="59"/>
  <c r="C179" i="59"/>
  <c r="C176" i="59"/>
  <c r="C173" i="59"/>
  <c r="C170" i="59"/>
  <c r="C167" i="59"/>
  <c r="C164" i="59"/>
  <c r="C161" i="59"/>
  <c r="C158" i="59"/>
  <c r="C155" i="59"/>
  <c r="C152" i="59"/>
  <c r="C149" i="59"/>
  <c r="C146" i="59"/>
  <c r="C143" i="59"/>
  <c r="C140" i="59"/>
  <c r="C137" i="59"/>
  <c r="C134" i="59"/>
  <c r="C131" i="59"/>
  <c r="C128" i="59"/>
  <c r="C125" i="59"/>
  <c r="C122" i="59"/>
  <c r="C119" i="59"/>
  <c r="C116" i="59"/>
  <c r="C113" i="59"/>
  <c r="C110" i="59"/>
  <c r="C107" i="59"/>
  <c r="C104" i="59"/>
  <c r="C101" i="59"/>
  <c r="C98" i="59"/>
  <c r="C95" i="59"/>
  <c r="C92" i="59"/>
  <c r="C89" i="59"/>
  <c r="C86" i="59"/>
  <c r="C83" i="59"/>
  <c r="C80" i="59"/>
  <c r="C77" i="59"/>
  <c r="C74" i="59"/>
  <c r="C71" i="59"/>
  <c r="C68" i="59"/>
  <c r="C65" i="59"/>
  <c r="C62" i="59"/>
  <c r="C59" i="59"/>
  <c r="C56" i="59"/>
  <c r="C53" i="59"/>
  <c r="C50" i="59"/>
  <c r="C47" i="59"/>
  <c r="C44" i="59"/>
  <c r="C41" i="59"/>
  <c r="C38" i="59"/>
  <c r="C35" i="59"/>
  <c r="C32" i="59"/>
  <c r="C29" i="59"/>
  <c r="C26" i="59"/>
  <c r="C23" i="59"/>
  <c r="C20" i="59"/>
  <c r="C17" i="59"/>
  <c r="C14" i="59"/>
  <c r="I115" i="55" l="1"/>
  <c r="I97" i="55"/>
  <c r="I95" i="55"/>
  <c r="I111" i="55"/>
  <c r="I107" i="55"/>
  <c r="I103" i="55"/>
  <c r="U102" i="55"/>
  <c r="K69" i="55" l="1"/>
  <c r="K68" i="55"/>
  <c r="K67" i="55"/>
  <c r="K66" i="55"/>
  <c r="K65" i="55"/>
  <c r="K64" i="55"/>
  <c r="K63" i="55"/>
  <c r="K62" i="55"/>
  <c r="K61" i="55"/>
  <c r="K60" i="55"/>
  <c r="K59" i="55"/>
  <c r="K58" i="55"/>
  <c r="K57" i="55"/>
  <c r="K56" i="55"/>
  <c r="K55" i="55"/>
  <c r="K54" i="55"/>
  <c r="K53" i="55"/>
  <c r="K52" i="55"/>
  <c r="K51" i="55"/>
  <c r="K50" i="55"/>
  <c r="K49" i="55"/>
  <c r="K48" i="55"/>
  <c r="K47" i="55"/>
  <c r="K46" i="55"/>
  <c r="K45" i="55"/>
  <c r="K44" i="55"/>
  <c r="K43" i="55"/>
  <c r="K42" i="55"/>
  <c r="K41" i="55"/>
  <c r="K40" i="55"/>
  <c r="K39" i="55"/>
  <c r="K38" i="55"/>
  <c r="K37" i="55"/>
  <c r="K36" i="55"/>
  <c r="K133" i="55"/>
  <c r="K135" i="55"/>
  <c r="Q135" i="55"/>
  <c r="P135" i="55" s="1"/>
  <c r="R135" i="55"/>
  <c r="S135" i="55"/>
  <c r="K136" i="55"/>
  <c r="Q136" i="55"/>
  <c r="P136" i="55" s="1"/>
  <c r="R136" i="55"/>
  <c r="S136" i="55"/>
  <c r="I137" i="55"/>
  <c r="K137" i="55" s="1"/>
  <c r="Q137" i="55"/>
  <c r="R137" i="55"/>
  <c r="S137" i="55"/>
  <c r="K138" i="55"/>
  <c r="Q138" i="55"/>
  <c r="R138" i="55"/>
  <c r="S138" i="55"/>
  <c r="K139" i="55"/>
  <c r="Q139" i="55"/>
  <c r="P139" i="55" s="1"/>
  <c r="R139" i="55"/>
  <c r="S139" i="55"/>
  <c r="K140" i="55"/>
  <c r="Q140" i="55"/>
  <c r="R140" i="55"/>
  <c r="S140" i="55"/>
  <c r="K141" i="55"/>
  <c r="Q141" i="55"/>
  <c r="R141" i="55"/>
  <c r="S141" i="55"/>
  <c r="K142" i="55"/>
  <c r="Q142" i="55"/>
  <c r="R142" i="55"/>
  <c r="S142" i="55"/>
  <c r="K143" i="55"/>
  <c r="Q143" i="55"/>
  <c r="P143" i="55" s="1"/>
  <c r="R143" i="55"/>
  <c r="S143" i="55"/>
  <c r="K144" i="55"/>
  <c r="Q144" i="55"/>
  <c r="R144" i="55"/>
  <c r="S144" i="55"/>
  <c r="I145" i="55"/>
  <c r="K145" i="55"/>
  <c r="Q145" i="55"/>
  <c r="R145" i="55"/>
  <c r="S145" i="55"/>
  <c r="I146" i="55"/>
  <c r="K146" i="55"/>
  <c r="Q146" i="55"/>
  <c r="R146" i="55"/>
  <c r="S146" i="55"/>
  <c r="I147" i="55"/>
  <c r="K147" i="55" s="1"/>
  <c r="Q147" i="55"/>
  <c r="R147" i="55"/>
  <c r="S147" i="55"/>
  <c r="K148" i="55"/>
  <c r="Q148" i="55"/>
  <c r="R148" i="55"/>
  <c r="S148" i="55"/>
  <c r="K149" i="55"/>
  <c r="Q149" i="55"/>
  <c r="R149" i="55"/>
  <c r="S149" i="55"/>
  <c r="K150" i="55"/>
  <c r="Q150" i="55"/>
  <c r="R150" i="55"/>
  <c r="S150" i="55"/>
  <c r="K151" i="55"/>
  <c r="Q151" i="55"/>
  <c r="R151" i="55"/>
  <c r="S151" i="55"/>
  <c r="K152" i="55"/>
  <c r="Q152" i="55"/>
  <c r="R152" i="55"/>
  <c r="S152" i="55"/>
  <c r="I153" i="55"/>
  <c r="K153" i="55"/>
  <c r="Q153" i="55"/>
  <c r="R153" i="55"/>
  <c r="S153" i="55"/>
  <c r="Q154" i="55"/>
  <c r="R154" i="55"/>
  <c r="S154" i="55"/>
  <c r="I155" i="55"/>
  <c r="K155" i="55" s="1"/>
  <c r="Q155" i="55"/>
  <c r="R155" i="55"/>
  <c r="P155" i="55" s="1"/>
  <c r="S155" i="55"/>
  <c r="I156" i="55"/>
  <c r="K156" i="55"/>
  <c r="Q156" i="55"/>
  <c r="R156" i="55"/>
  <c r="S156" i="55"/>
  <c r="K157" i="55"/>
  <c r="Q157" i="55"/>
  <c r="R157" i="55"/>
  <c r="S157" i="55"/>
  <c r="I158" i="55"/>
  <c r="K158" i="55"/>
  <c r="Q158" i="55"/>
  <c r="R158" i="55"/>
  <c r="S158" i="55"/>
  <c r="I159" i="55"/>
  <c r="K159" i="55" s="1"/>
  <c r="Q159" i="55"/>
  <c r="R159" i="55"/>
  <c r="S159" i="55"/>
  <c r="I160" i="55"/>
  <c r="K160" i="55"/>
  <c r="Q160" i="55"/>
  <c r="R160" i="55"/>
  <c r="S160" i="55"/>
  <c r="I161" i="55"/>
  <c r="K161" i="55" s="1"/>
  <c r="Q161" i="55"/>
  <c r="R161" i="55"/>
  <c r="S161" i="55"/>
  <c r="I162" i="55"/>
  <c r="K162" i="55" s="1"/>
  <c r="Q162" i="55"/>
  <c r="R162" i="55"/>
  <c r="S162" i="55"/>
  <c r="I163" i="55"/>
  <c r="K163" i="55"/>
  <c r="Q163" i="55"/>
  <c r="R163" i="55"/>
  <c r="S163" i="55"/>
  <c r="I164" i="55"/>
  <c r="K164" i="55" s="1"/>
  <c r="Q164" i="55"/>
  <c r="R164" i="55"/>
  <c r="S164" i="55"/>
  <c r="I165" i="55"/>
  <c r="K165" i="55" s="1"/>
  <c r="Q165" i="55"/>
  <c r="R165" i="55"/>
  <c r="S165" i="55"/>
  <c r="I166" i="55"/>
  <c r="K166" i="55"/>
  <c r="Q166" i="55"/>
  <c r="R166" i="55"/>
  <c r="S166" i="55"/>
  <c r="I167" i="55"/>
  <c r="K167" i="55"/>
  <c r="Q167" i="55"/>
  <c r="R167" i="55"/>
  <c r="S167" i="55"/>
  <c r="I168" i="55"/>
  <c r="K168" i="55" s="1"/>
  <c r="Q168" i="55"/>
  <c r="R168" i="55"/>
  <c r="S168" i="55"/>
  <c r="I169" i="55"/>
  <c r="K169" i="55" s="1"/>
  <c r="Q169" i="55"/>
  <c r="R169" i="55"/>
  <c r="S169" i="55"/>
  <c r="I170" i="55"/>
  <c r="K170" i="55"/>
  <c r="Q170" i="55"/>
  <c r="R170" i="55"/>
  <c r="S170" i="55"/>
  <c r="I171" i="55"/>
  <c r="K171" i="55"/>
  <c r="Q171" i="55"/>
  <c r="R171" i="55"/>
  <c r="S171" i="55"/>
  <c r="I172" i="55"/>
  <c r="K172" i="55" s="1"/>
  <c r="Q172" i="55"/>
  <c r="R172" i="55"/>
  <c r="S172" i="55"/>
  <c r="I173" i="55"/>
  <c r="K173" i="55" s="1"/>
  <c r="Q173" i="55"/>
  <c r="R173" i="55"/>
  <c r="S173" i="55"/>
  <c r="I174" i="55"/>
  <c r="K174" i="55"/>
  <c r="Q174" i="55"/>
  <c r="R174" i="55"/>
  <c r="S174" i="55"/>
  <c r="I175" i="55"/>
  <c r="K175" i="55" s="1"/>
  <c r="Q175" i="55"/>
  <c r="R175" i="55"/>
  <c r="S175" i="55"/>
  <c r="I176" i="55"/>
  <c r="K176" i="55" s="1"/>
  <c r="Q176" i="55"/>
  <c r="R176" i="55"/>
  <c r="S176" i="55"/>
  <c r="I177" i="55"/>
  <c r="K177" i="55" s="1"/>
  <c r="Q177" i="55"/>
  <c r="R177" i="55"/>
  <c r="S177" i="55"/>
  <c r="P177" i="55" s="1"/>
  <c r="I178" i="55"/>
  <c r="K178" i="55"/>
  <c r="Q178" i="55"/>
  <c r="R178" i="55"/>
  <c r="S178" i="55"/>
  <c r="I179" i="55"/>
  <c r="K179" i="55"/>
  <c r="Q179" i="55"/>
  <c r="P179" i="55" s="1"/>
  <c r="R179" i="55"/>
  <c r="S179" i="55"/>
  <c r="I180" i="55"/>
  <c r="K180" i="55" s="1"/>
  <c r="Q180" i="55"/>
  <c r="R180" i="55"/>
  <c r="S180" i="55"/>
  <c r="I181" i="55"/>
  <c r="K181" i="55"/>
  <c r="Q181" i="55"/>
  <c r="R181" i="55"/>
  <c r="S181" i="55"/>
  <c r="I182" i="55"/>
  <c r="K182" i="55"/>
  <c r="Q182" i="55"/>
  <c r="R182" i="55"/>
  <c r="S182" i="55"/>
  <c r="I183" i="55"/>
  <c r="K183" i="55" s="1"/>
  <c r="Q183" i="55"/>
  <c r="R183" i="55"/>
  <c r="S183" i="55"/>
  <c r="I184" i="55"/>
  <c r="K184" i="55" s="1"/>
  <c r="Q184" i="55"/>
  <c r="R184" i="55"/>
  <c r="S184" i="55"/>
  <c r="I185" i="55"/>
  <c r="K185" i="55" s="1"/>
  <c r="Q185" i="55"/>
  <c r="R185" i="55"/>
  <c r="S185" i="55"/>
  <c r="P185" i="55" s="1"/>
  <c r="I186" i="55"/>
  <c r="K186" i="55" s="1"/>
  <c r="Q186" i="55"/>
  <c r="R186" i="55"/>
  <c r="S186" i="55"/>
  <c r="I187" i="55"/>
  <c r="K187" i="55" s="1"/>
  <c r="Q187" i="55"/>
  <c r="R187" i="55"/>
  <c r="S187" i="55"/>
  <c r="I188" i="55"/>
  <c r="K188" i="55" s="1"/>
  <c r="Q188" i="55"/>
  <c r="R188" i="55"/>
  <c r="S188" i="55"/>
  <c r="I189" i="55"/>
  <c r="K189" i="55"/>
  <c r="Q189" i="55"/>
  <c r="R189" i="55"/>
  <c r="S189" i="55"/>
  <c r="I190" i="55"/>
  <c r="K190" i="55" s="1"/>
  <c r="Q190" i="55"/>
  <c r="R190" i="55"/>
  <c r="S190" i="55"/>
  <c r="I191" i="55"/>
  <c r="K191" i="55" s="1"/>
  <c r="Q191" i="55"/>
  <c r="R191" i="55"/>
  <c r="S191" i="55"/>
  <c r="I192" i="55"/>
  <c r="K192" i="55" s="1"/>
  <c r="Q192" i="55"/>
  <c r="R192" i="55"/>
  <c r="S192" i="55"/>
  <c r="I193" i="55"/>
  <c r="K193" i="55" s="1"/>
  <c r="Q193" i="55"/>
  <c r="R193" i="55"/>
  <c r="S193" i="55"/>
  <c r="P193" i="55" s="1"/>
  <c r="I194" i="55"/>
  <c r="K194" i="55"/>
  <c r="Q194" i="55"/>
  <c r="R194" i="55"/>
  <c r="S194" i="55"/>
  <c r="I195" i="55"/>
  <c r="K195" i="55" s="1"/>
  <c r="Q195" i="55"/>
  <c r="R195" i="55"/>
  <c r="S195" i="55"/>
  <c r="I196" i="55"/>
  <c r="K196" i="55" s="1"/>
  <c r="Q196" i="55"/>
  <c r="R196" i="55"/>
  <c r="S196" i="55"/>
  <c r="I197" i="55"/>
  <c r="K197" i="55"/>
  <c r="Q197" i="55"/>
  <c r="R197" i="55"/>
  <c r="S197" i="55"/>
  <c r="I198" i="55"/>
  <c r="K198" i="55"/>
  <c r="Q198" i="55"/>
  <c r="R198" i="55"/>
  <c r="S198" i="55"/>
  <c r="I199" i="55"/>
  <c r="K199" i="55" s="1"/>
  <c r="Q199" i="55"/>
  <c r="R199" i="55"/>
  <c r="S199" i="55"/>
  <c r="I200" i="55"/>
  <c r="K200" i="55" s="1"/>
  <c r="Q200" i="55"/>
  <c r="R200" i="55"/>
  <c r="S200" i="55"/>
  <c r="I201" i="55"/>
  <c r="K201" i="55" s="1"/>
  <c r="Q201" i="55"/>
  <c r="R201" i="55"/>
  <c r="S201" i="55"/>
  <c r="P201" i="55" s="1"/>
  <c r="I202" i="55"/>
  <c r="K202" i="55" s="1"/>
  <c r="Q202" i="55"/>
  <c r="R202" i="55"/>
  <c r="S202" i="55"/>
  <c r="I203" i="55"/>
  <c r="K203" i="55" s="1"/>
  <c r="Q203" i="55"/>
  <c r="R203" i="55"/>
  <c r="S203" i="55"/>
  <c r="I204" i="55"/>
  <c r="K204" i="55" s="1"/>
  <c r="Q204" i="55"/>
  <c r="R204" i="55"/>
  <c r="S204" i="55"/>
  <c r="I205" i="55"/>
  <c r="K205" i="55" s="1"/>
  <c r="Q205" i="55"/>
  <c r="R205" i="55"/>
  <c r="S205" i="55"/>
  <c r="I206" i="55"/>
  <c r="K206" i="55" s="1"/>
  <c r="Q206" i="55"/>
  <c r="P206" i="55" s="1"/>
  <c r="R206" i="55"/>
  <c r="S206" i="55"/>
  <c r="I207" i="55"/>
  <c r="K207" i="55"/>
  <c r="Q207" i="55"/>
  <c r="R207" i="55"/>
  <c r="S207" i="55"/>
  <c r="I208" i="55"/>
  <c r="K208" i="55"/>
  <c r="Q208" i="55"/>
  <c r="R208" i="55"/>
  <c r="S208" i="55"/>
  <c r="I209" i="55"/>
  <c r="K209" i="55" s="1"/>
  <c r="Q209" i="55"/>
  <c r="R209" i="55"/>
  <c r="S209" i="55"/>
  <c r="I210" i="55"/>
  <c r="K210" i="55"/>
  <c r="Q210" i="55"/>
  <c r="R210" i="55"/>
  <c r="S210" i="55"/>
  <c r="I211" i="55"/>
  <c r="K211" i="55"/>
  <c r="Q211" i="55"/>
  <c r="R211" i="55"/>
  <c r="S211" i="55"/>
  <c r="I212" i="55"/>
  <c r="K212" i="55" s="1"/>
  <c r="Q212" i="55"/>
  <c r="R212" i="55"/>
  <c r="S212" i="55"/>
  <c r="I213" i="55"/>
  <c r="K213" i="55" s="1"/>
  <c r="Q213" i="55"/>
  <c r="R213" i="55"/>
  <c r="S213" i="55"/>
  <c r="I214" i="55"/>
  <c r="K214" i="55"/>
  <c r="Q214" i="55"/>
  <c r="R214" i="55"/>
  <c r="S214" i="55"/>
  <c r="I215" i="55"/>
  <c r="K215" i="55" s="1"/>
  <c r="Q215" i="55"/>
  <c r="P215" i="55" s="1"/>
  <c r="R215" i="55"/>
  <c r="S215" i="55"/>
  <c r="I216" i="55"/>
  <c r="K216" i="55" s="1"/>
  <c r="Q216" i="55"/>
  <c r="R216" i="55"/>
  <c r="S216" i="55"/>
  <c r="I217" i="55"/>
  <c r="K217" i="55" s="1"/>
  <c r="Q217" i="55"/>
  <c r="R217" i="55"/>
  <c r="S217" i="55"/>
  <c r="P217" i="55" s="1"/>
  <c r="I218" i="55"/>
  <c r="K218" i="55"/>
  <c r="Q218" i="55"/>
  <c r="R218" i="55"/>
  <c r="S218" i="55"/>
  <c r="I219" i="55"/>
  <c r="K219" i="55" s="1"/>
  <c r="Q219" i="55"/>
  <c r="R219" i="55"/>
  <c r="S219" i="55"/>
  <c r="I220" i="55"/>
  <c r="K220" i="55" s="1"/>
  <c r="Q220" i="55"/>
  <c r="R220" i="55"/>
  <c r="S220" i="55"/>
  <c r="I221" i="55"/>
  <c r="K221" i="55"/>
  <c r="Q221" i="55"/>
  <c r="R221" i="55"/>
  <c r="S221" i="55"/>
  <c r="I222" i="55"/>
  <c r="K222" i="55" s="1"/>
  <c r="Q222" i="55"/>
  <c r="R222" i="55"/>
  <c r="S222" i="55"/>
  <c r="I223" i="55"/>
  <c r="K223" i="55" s="1"/>
  <c r="Q223" i="55"/>
  <c r="R223" i="55"/>
  <c r="S223" i="55"/>
  <c r="I224" i="55"/>
  <c r="K224" i="55"/>
  <c r="Q224" i="55"/>
  <c r="R224" i="55"/>
  <c r="S224" i="55"/>
  <c r="I225" i="55"/>
  <c r="K225" i="55" s="1"/>
  <c r="Q225" i="55"/>
  <c r="R225" i="55"/>
  <c r="S225" i="55"/>
  <c r="I226" i="55"/>
  <c r="K226" i="55"/>
  <c r="Q226" i="55"/>
  <c r="R226" i="55"/>
  <c r="S226" i="55"/>
  <c r="I227" i="55"/>
  <c r="K227" i="55" s="1"/>
  <c r="Q227" i="55"/>
  <c r="R227" i="55"/>
  <c r="S227" i="55"/>
  <c r="I228" i="55"/>
  <c r="K228" i="55" s="1"/>
  <c r="Q228" i="55"/>
  <c r="R228" i="55"/>
  <c r="S228" i="55"/>
  <c r="I229" i="55"/>
  <c r="K229" i="55" s="1"/>
  <c r="Q229" i="55"/>
  <c r="R229" i="55"/>
  <c r="S229" i="55"/>
  <c r="I230" i="55"/>
  <c r="K230" i="55" s="1"/>
  <c r="Q230" i="55"/>
  <c r="R230" i="55"/>
  <c r="S230" i="55"/>
  <c r="P230" i="55" s="1"/>
  <c r="I231" i="55"/>
  <c r="K231" i="55" s="1"/>
  <c r="Q231" i="55"/>
  <c r="R231" i="55"/>
  <c r="S231" i="55"/>
  <c r="I232" i="55"/>
  <c r="K232" i="55"/>
  <c r="Q232" i="55"/>
  <c r="R232" i="55"/>
  <c r="S232" i="55"/>
  <c r="I233" i="55"/>
  <c r="K233" i="55" s="1"/>
  <c r="Q233" i="55"/>
  <c r="R233" i="55"/>
  <c r="S233" i="55"/>
  <c r="I234" i="55"/>
  <c r="K234" i="55"/>
  <c r="Q234" i="55"/>
  <c r="R234" i="55"/>
  <c r="S234" i="55"/>
  <c r="I235" i="55"/>
  <c r="K235" i="55" s="1"/>
  <c r="Q235" i="55"/>
  <c r="R235" i="55"/>
  <c r="S235" i="55"/>
  <c r="I236" i="55"/>
  <c r="K236" i="55" s="1"/>
  <c r="Q236" i="55"/>
  <c r="R236" i="55"/>
  <c r="S236" i="55"/>
  <c r="I237" i="55"/>
  <c r="K237" i="55" s="1"/>
  <c r="Q237" i="55"/>
  <c r="R237" i="55"/>
  <c r="S237" i="55"/>
  <c r="I238" i="55"/>
  <c r="K238" i="55" s="1"/>
  <c r="Q238" i="55"/>
  <c r="R238" i="55"/>
  <c r="S238" i="55"/>
  <c r="I239" i="55"/>
  <c r="K239" i="55" s="1"/>
  <c r="Q239" i="55"/>
  <c r="R239" i="55"/>
  <c r="S239" i="55"/>
  <c r="R69" i="55"/>
  <c r="Q69" i="55"/>
  <c r="O69" i="55"/>
  <c r="S69" i="55" s="1"/>
  <c r="P218" i="55" l="1"/>
  <c r="P175" i="55"/>
  <c r="P148" i="55"/>
  <c r="P238" i="55"/>
  <c r="P202" i="55"/>
  <c r="P198" i="55"/>
  <c r="P222" i="55"/>
  <c r="P168" i="55"/>
  <c r="P189" i="55"/>
  <c r="P212" i="55"/>
  <c r="P150" i="55"/>
  <c r="P178" i="55"/>
  <c r="P239" i="55"/>
  <c r="P152" i="55"/>
  <c r="P233" i="55"/>
  <c r="P205" i="55"/>
  <c r="P158" i="55"/>
  <c r="P236" i="55"/>
  <c r="P228" i="55"/>
  <c r="P154" i="55"/>
  <c r="P167" i="55"/>
  <c r="P156" i="55"/>
  <c r="P210" i="55"/>
  <c r="P180" i="55"/>
  <c r="P173" i="55"/>
  <c r="P166" i="55"/>
  <c r="P223" i="55"/>
  <c r="P220" i="55"/>
  <c r="P183" i="55"/>
  <c r="P169" i="55"/>
  <c r="P159" i="55"/>
  <c r="P145" i="55"/>
  <c r="P231" i="55"/>
  <c r="P157" i="55"/>
  <c r="P213" i="55"/>
  <c r="P203" i="55"/>
  <c r="P176" i="55"/>
  <c r="P141" i="55"/>
  <c r="P137" i="55"/>
  <c r="P226" i="55"/>
  <c r="P216" i="55"/>
  <c r="P209" i="55"/>
  <c r="P186" i="55"/>
  <c r="P162" i="55"/>
  <c r="P196" i="55"/>
  <c r="P160" i="55"/>
  <c r="P214" i="55"/>
  <c r="P163" i="55"/>
  <c r="P142" i="55"/>
  <c r="P190" i="55"/>
  <c r="P229" i="55"/>
  <c r="P219" i="55"/>
  <c r="P199" i="55"/>
  <c r="P182" i="55"/>
  <c r="P172" i="55"/>
  <c r="P153" i="55"/>
  <c r="P149" i="55"/>
  <c r="P170" i="55"/>
  <c r="P232" i="55"/>
  <c r="P225" i="55"/>
  <c r="P192" i="55"/>
  <c r="P165" i="55"/>
  <c r="P146" i="55"/>
  <c r="P187" i="55"/>
  <c r="P138" i="55"/>
  <c r="P200" i="55"/>
  <c r="P197" i="55"/>
  <c r="P235" i="55"/>
  <c r="P195" i="55"/>
  <c r="P208" i="55"/>
  <c r="P234" i="55"/>
  <c r="P224" i="55"/>
  <c r="P221" i="55"/>
  <c r="P211" i="55"/>
  <c r="P188" i="55"/>
  <c r="P171" i="55"/>
  <c r="P151" i="55"/>
  <c r="P144" i="55"/>
  <c r="P140" i="55"/>
  <c r="P191" i="55"/>
  <c r="P227" i="55"/>
  <c r="P181" i="55"/>
  <c r="P174" i="55"/>
  <c r="P147" i="55"/>
  <c r="P237" i="55"/>
  <c r="P184" i="55"/>
  <c r="P164" i="55"/>
  <c r="P207" i="55"/>
  <c r="P204" i="55"/>
  <c r="P194" i="55"/>
  <c r="P161" i="55"/>
  <c r="P69" i="55"/>
  <c r="I17" i="55" l="1"/>
  <c r="S17" i="55"/>
  <c r="R17" i="55"/>
  <c r="Q17" i="55"/>
  <c r="H271" i="58"/>
  <c r="O395" i="58" l="1"/>
  <c r="P17" i="55"/>
  <c r="K17" i="55"/>
  <c r="U131" i="55"/>
  <c r="U129" i="55"/>
  <c r="U127" i="55"/>
  <c r="U125" i="55"/>
  <c r="U81" i="55"/>
  <c r="U121" i="55"/>
  <c r="U119" i="55"/>
  <c r="U113" i="55"/>
  <c r="U109" i="55"/>
  <c r="U105" i="55"/>
  <c r="U101" i="55"/>
  <c r="U99" i="55"/>
  <c r="U97" i="55"/>
  <c r="U95" i="55"/>
  <c r="U93" i="55"/>
  <c r="U91" i="55"/>
  <c r="U89" i="55"/>
  <c r="U85" i="55"/>
  <c r="U79" i="55"/>
  <c r="O271" i="58" l="1"/>
  <c r="H403" i="58"/>
  <c r="M403" i="58" s="1"/>
  <c r="G604" i="58"/>
  <c r="G584" i="58"/>
  <c r="G583" i="58"/>
  <c r="G572" i="58"/>
  <c r="G506" i="58"/>
  <c r="H270" i="58"/>
  <c r="H269" i="58"/>
  <c r="H268" i="58"/>
  <c r="H267" i="58"/>
  <c r="H266" i="58"/>
  <c r="H265" i="58"/>
  <c r="S15" i="55"/>
  <c r="R15" i="55"/>
  <c r="Q15" i="55"/>
  <c r="K15" i="55"/>
  <c r="S14" i="55"/>
  <c r="R14" i="55"/>
  <c r="Q14" i="55"/>
  <c r="K14" i="55"/>
  <c r="S13" i="55"/>
  <c r="R13" i="55"/>
  <c r="Q13" i="55"/>
  <c r="K13" i="55"/>
  <c r="S12" i="55"/>
  <c r="R12" i="55"/>
  <c r="Q12" i="55"/>
  <c r="K12" i="55"/>
  <c r="S11" i="55"/>
  <c r="R11" i="55"/>
  <c r="Q11" i="55"/>
  <c r="K11" i="55"/>
  <c r="S10" i="55"/>
  <c r="R10" i="55"/>
  <c r="Q10" i="55"/>
  <c r="K10" i="55"/>
  <c r="P13" i="55" l="1"/>
  <c r="P15" i="55"/>
  <c r="P14" i="55"/>
  <c r="P12" i="55"/>
  <c r="P10" i="55"/>
  <c r="P11" i="55"/>
  <c r="R70" i="55"/>
  <c r="Q70" i="55"/>
  <c r="O70" i="55"/>
  <c r="S70" i="55" s="1"/>
  <c r="R68" i="55"/>
  <c r="Q68" i="55"/>
  <c r="O68" i="55"/>
  <c r="S68" i="55" s="1"/>
  <c r="R67" i="55"/>
  <c r="Q67" i="55"/>
  <c r="O67" i="55"/>
  <c r="S67" i="55" s="1"/>
  <c r="R66" i="55"/>
  <c r="Q66" i="55"/>
  <c r="O66" i="55"/>
  <c r="S66" i="55" s="1"/>
  <c r="R65" i="55"/>
  <c r="Q65" i="55"/>
  <c r="O65" i="55"/>
  <c r="S65" i="55" s="1"/>
  <c r="R64" i="55"/>
  <c r="Q64" i="55"/>
  <c r="O64" i="55"/>
  <c r="S64" i="55" s="1"/>
  <c r="R63" i="55"/>
  <c r="Q63" i="55"/>
  <c r="O63" i="55"/>
  <c r="S63" i="55" s="1"/>
  <c r="R62" i="55"/>
  <c r="Q62" i="55"/>
  <c r="O62" i="55"/>
  <c r="S62" i="55" s="1"/>
  <c r="R61" i="55"/>
  <c r="Q61" i="55"/>
  <c r="O61" i="55"/>
  <c r="S61" i="55" s="1"/>
  <c r="R60" i="55"/>
  <c r="Q60" i="55"/>
  <c r="O60" i="55"/>
  <c r="S60" i="55" s="1"/>
  <c r="R59" i="55"/>
  <c r="Q59" i="55"/>
  <c r="O59" i="55"/>
  <c r="S59" i="55" s="1"/>
  <c r="R58" i="55"/>
  <c r="Q58" i="55"/>
  <c r="O58" i="55"/>
  <c r="S58" i="55" s="1"/>
  <c r="R57" i="55"/>
  <c r="Q57" i="55"/>
  <c r="O57" i="55"/>
  <c r="S57" i="55" s="1"/>
  <c r="R56" i="55"/>
  <c r="Q56" i="55"/>
  <c r="O56" i="55"/>
  <c r="S56" i="55" s="1"/>
  <c r="R55" i="55"/>
  <c r="Q55" i="55"/>
  <c r="O55" i="55"/>
  <c r="S55" i="55" s="1"/>
  <c r="R54" i="55"/>
  <c r="Q54" i="55"/>
  <c r="O54" i="55"/>
  <c r="S54" i="55" s="1"/>
  <c r="K5" i="55"/>
  <c r="O266" i="58" l="1"/>
  <c r="O265" i="58"/>
  <c r="O583" i="58"/>
  <c r="O584" i="58"/>
  <c r="O506" i="58"/>
  <c r="O268" i="58"/>
  <c r="O572" i="58"/>
  <c r="O604" i="58"/>
  <c r="O269" i="58"/>
  <c r="O267" i="58"/>
  <c r="O270" i="58"/>
  <c r="P64" i="55"/>
  <c r="P70" i="55"/>
  <c r="P61" i="55"/>
  <c r="P56" i="55"/>
  <c r="P62" i="55"/>
  <c r="P67" i="55"/>
  <c r="P63" i="55"/>
  <c r="P57" i="55"/>
  <c r="P59" i="55"/>
  <c r="P55" i="55"/>
  <c r="P65" i="55"/>
  <c r="P66" i="55"/>
  <c r="P60" i="55"/>
  <c r="P54" i="55"/>
  <c r="P68" i="55"/>
  <c r="P58" i="55"/>
  <c r="O386" i="58" l="1"/>
  <c r="O391" i="58"/>
  <c r="O390" i="58"/>
  <c r="O392" i="58"/>
  <c r="O380" i="58"/>
  <c r="O393" i="58"/>
  <c r="O385" i="58"/>
  <c r="O382" i="58"/>
  <c r="O389" i="58"/>
  <c r="O394" i="58"/>
  <c r="O388" i="58"/>
  <c r="O384" i="58"/>
  <c r="O379" i="58"/>
  <c r="O381" i="58"/>
  <c r="O383" i="58"/>
  <c r="O387" i="58"/>
  <c r="O53" i="55"/>
  <c r="O52" i="55"/>
  <c r="O51" i="55"/>
  <c r="O50" i="55"/>
  <c r="O121" i="58" l="1"/>
  <c r="G204" i="58"/>
  <c r="H409" i="58"/>
  <c r="G250" i="58"/>
  <c r="G249" i="58"/>
  <c r="G248" i="58"/>
  <c r="G235" i="58"/>
  <c r="G209" i="58"/>
  <c r="G208" i="58"/>
  <c r="G193" i="58"/>
  <c r="G192" i="58"/>
  <c r="G185" i="58"/>
  <c r="G184" i="58"/>
  <c r="G183" i="58"/>
  <c r="G180" i="58"/>
  <c r="G179" i="58"/>
  <c r="O185" i="58" l="1"/>
  <c r="O179" i="58"/>
  <c r="O208" i="58"/>
  <c r="O248" i="58"/>
  <c r="O184" i="58"/>
  <c r="O180" i="58"/>
  <c r="O183" i="58"/>
  <c r="O192" i="58"/>
  <c r="O193" i="58"/>
  <c r="O209" i="58"/>
  <c r="O235" i="58"/>
  <c r="O250" i="58"/>
  <c r="O249" i="58"/>
  <c r="O204" i="58"/>
  <c r="I19" i="55"/>
  <c r="H191" i="58"/>
  <c r="H190" i="58"/>
  <c r="H189" i="58"/>
  <c r="G191" i="58"/>
  <c r="G190" i="58"/>
  <c r="G189" i="58"/>
  <c r="H94" i="58"/>
  <c r="M94" i="58" s="1"/>
  <c r="H342" i="58"/>
  <c r="O189" i="58" l="1"/>
  <c r="H346" i="58"/>
  <c r="H341" i="58"/>
  <c r="H343" i="58"/>
  <c r="H344" i="58"/>
  <c r="H345" i="58"/>
  <c r="G94" i="58"/>
  <c r="H71" i="58"/>
  <c r="M71" i="58" s="1"/>
  <c r="H21" i="58"/>
  <c r="O191" i="58" l="1"/>
  <c r="O190" i="58"/>
  <c r="G358" i="58"/>
  <c r="B4" i="60"/>
  <c r="O94" i="58" l="1"/>
  <c r="N79" i="55" l="1"/>
  <c r="O358" i="58" l="1"/>
  <c r="O398" i="58" l="1"/>
  <c r="S77" i="55"/>
  <c r="R77" i="55"/>
  <c r="Q77" i="55"/>
  <c r="K77" i="55"/>
  <c r="S76" i="55"/>
  <c r="R76" i="55"/>
  <c r="Q76" i="55"/>
  <c r="Q131" i="55"/>
  <c r="S131" i="55"/>
  <c r="R131" i="55"/>
  <c r="K131" i="55"/>
  <c r="S127" i="55"/>
  <c r="R127" i="55"/>
  <c r="Q127" i="55"/>
  <c r="K127" i="55"/>
  <c r="K103" i="55"/>
  <c r="K105" i="55"/>
  <c r="H125" i="58"/>
  <c r="G134" i="58"/>
  <c r="H116" i="58"/>
  <c r="G108" i="58"/>
  <c r="G114" i="58"/>
  <c r="G113" i="58"/>
  <c r="G112" i="58"/>
  <c r="G111" i="58"/>
  <c r="H105" i="58"/>
  <c r="O401" i="58" l="1"/>
  <c r="O400" i="58"/>
  <c r="O399" i="58"/>
  <c r="P77" i="55"/>
  <c r="P76" i="55"/>
  <c r="K76" i="55"/>
  <c r="P131" i="55"/>
  <c r="P127" i="55"/>
  <c r="O402" i="58" l="1"/>
  <c r="O111" i="58"/>
  <c r="L2111" i="10"/>
  <c r="L2078" i="10"/>
  <c r="L2045" i="10"/>
  <c r="L2012" i="10"/>
  <c r="L1979" i="10"/>
  <c r="L1946" i="10"/>
  <c r="L1913" i="10"/>
  <c r="L1880" i="10"/>
  <c r="L1847" i="10"/>
  <c r="L977" i="10"/>
  <c r="L964" i="10"/>
  <c r="L963" i="10"/>
  <c r="L962" i="10"/>
  <c r="L961" i="10"/>
  <c r="L934" i="10"/>
  <c r="C6" i="9"/>
  <c r="C6" i="59"/>
  <c r="C4" i="59"/>
  <c r="O437" i="58" l="1"/>
  <c r="O414" i="58"/>
  <c r="O417" i="58"/>
  <c r="O423" i="58"/>
  <c r="O114" i="58"/>
  <c r="O112" i="58"/>
  <c r="O415" i="58"/>
  <c r="O425" i="58"/>
  <c r="O436" i="58"/>
  <c r="O438" i="58"/>
  <c r="O113" i="58"/>
  <c r="O416" i="58"/>
  <c r="O434" i="58"/>
  <c r="O432" i="58"/>
  <c r="O424" i="58"/>
  <c r="O427" i="58"/>
  <c r="O134" i="58"/>
  <c r="O435" i="58"/>
  <c r="O439" i="58"/>
  <c r="O422" i="58"/>
  <c r="O421" i="58"/>
  <c r="O419" i="58"/>
  <c r="O430" i="58"/>
  <c r="O433" i="58"/>
  <c r="O108" i="58"/>
  <c r="O426" i="58"/>
  <c r="O431" i="58"/>
  <c r="O429" i="58"/>
  <c r="O418" i="58"/>
  <c r="O420" i="58"/>
  <c r="O428" i="58"/>
  <c r="O403" i="58"/>
  <c r="L966" i="10"/>
  <c r="D9" i="58"/>
  <c r="C7" i="59" s="1"/>
  <c r="D8" i="58"/>
  <c r="D7" i="58"/>
  <c r="D6" i="58"/>
  <c r="D5" i="58"/>
  <c r="D4" i="58"/>
  <c r="G1193" i="58"/>
  <c r="G1192" i="58"/>
  <c r="G1177" i="58"/>
  <c r="G1174" i="58"/>
  <c r="G1171" i="58"/>
  <c r="G1168" i="58"/>
  <c r="G1165" i="58"/>
  <c r="G1164" i="58"/>
  <c r="G1163" i="58"/>
  <c r="G1162" i="58"/>
  <c r="G1161" i="58"/>
  <c r="G1160" i="58"/>
  <c r="G1159" i="58"/>
  <c r="G1158" i="58"/>
  <c r="G1157" i="58"/>
  <c r="G1156" i="58"/>
  <c r="G1155" i="58"/>
  <c r="G1154" i="58"/>
  <c r="G1153" i="58"/>
  <c r="G1152" i="58"/>
  <c r="G1151" i="58"/>
  <c r="G1150" i="58"/>
  <c r="G1149" i="58"/>
  <c r="G1148" i="58"/>
  <c r="G1147" i="58"/>
  <c r="G1146" i="58"/>
  <c r="G1145" i="58"/>
  <c r="G1144" i="58"/>
  <c r="G1143" i="58"/>
  <c r="G1142" i="58"/>
  <c r="G1138" i="58"/>
  <c r="G1137" i="58"/>
  <c r="G1136" i="58"/>
  <c r="G1133" i="58"/>
  <c r="G1132" i="58"/>
  <c r="G1131" i="58"/>
  <c r="G1128" i="58"/>
  <c r="G1127" i="58"/>
  <c r="G1124" i="58"/>
  <c r="G1123" i="58"/>
  <c r="G1120" i="58"/>
  <c r="G1119" i="58"/>
  <c r="G1118" i="58"/>
  <c r="G1117" i="58"/>
  <c r="G1116" i="58"/>
  <c r="G1113" i="58"/>
  <c r="G1112" i="58"/>
  <c r="G1111" i="58"/>
  <c r="G1110" i="58"/>
  <c r="G1109" i="58"/>
  <c r="G1108" i="58"/>
  <c r="G1107" i="58"/>
  <c r="G1106" i="58"/>
  <c r="G1105" i="58"/>
  <c r="G1104" i="58"/>
  <c r="G1103" i="58"/>
  <c r="G1098" i="58"/>
  <c r="G1097" i="58"/>
  <c r="G1096" i="58"/>
  <c r="G1095" i="58"/>
  <c r="G1094" i="58"/>
  <c r="G1093" i="58"/>
  <c r="G1092" i="58"/>
  <c r="G1091" i="58"/>
  <c r="G1090" i="58"/>
  <c r="G1089" i="58"/>
  <c r="G1088" i="58"/>
  <c r="G1087" i="58"/>
  <c r="G1084" i="58"/>
  <c r="G1083" i="58"/>
  <c r="G1082" i="58"/>
  <c r="G1079" i="58"/>
  <c r="G1078" i="58"/>
  <c r="G1077" i="58"/>
  <c r="G1076" i="58"/>
  <c r="G1075" i="58"/>
  <c r="G1072" i="58"/>
  <c r="G1071" i="58"/>
  <c r="G1068" i="58"/>
  <c r="G1065" i="58"/>
  <c r="G1064" i="58"/>
  <c r="G1063" i="58"/>
  <c r="G1060" i="58"/>
  <c r="G1059" i="58"/>
  <c r="G1058" i="58"/>
  <c r="G1057" i="58"/>
  <c r="G1056" i="58"/>
  <c r="G1055" i="58"/>
  <c r="G1054" i="58"/>
  <c r="G1053" i="58"/>
  <c r="G1052" i="58"/>
  <c r="G1051" i="58"/>
  <c r="G1050" i="58"/>
  <c r="G1049" i="58"/>
  <c r="G1048" i="58"/>
  <c r="G1047" i="58"/>
  <c r="G1046" i="58"/>
  <c r="G1045" i="58"/>
  <c r="G1044" i="58"/>
  <c r="G1043" i="58"/>
  <c r="G1042" i="58"/>
  <c r="G1041" i="58"/>
  <c r="G1040" i="58"/>
  <c r="G1039" i="58"/>
  <c r="G1038" i="58"/>
  <c r="G1037" i="58"/>
  <c r="G1036" i="58"/>
  <c r="G1035" i="58"/>
  <c r="G1034" i="58"/>
  <c r="G1033" i="58"/>
  <c r="G1032" i="58"/>
  <c r="G1031" i="58"/>
  <c r="G1030" i="58"/>
  <c r="G1029" i="58"/>
  <c r="G1028" i="58"/>
  <c r="G1027" i="58"/>
  <c r="G1023" i="58"/>
  <c r="G1022" i="58"/>
  <c r="G1019" i="58"/>
  <c r="G1018" i="58"/>
  <c r="G1017" i="58"/>
  <c r="G1016" i="58"/>
  <c r="G1013" i="58"/>
  <c r="G1012" i="58"/>
  <c r="G1011" i="58"/>
  <c r="G1010" i="58"/>
  <c r="G1009" i="58"/>
  <c r="G1008" i="58"/>
  <c r="G1007" i="58"/>
  <c r="G1006" i="58"/>
  <c r="G1003" i="58"/>
  <c r="G1002" i="58"/>
  <c r="G1001" i="58"/>
  <c r="G1000" i="58"/>
  <c r="G999" i="58"/>
  <c r="G998" i="58"/>
  <c r="G997" i="58"/>
  <c r="G996" i="58"/>
  <c r="G995" i="58"/>
  <c r="G994" i="58"/>
  <c r="G993" i="58"/>
  <c r="G992" i="58"/>
  <c r="G991" i="58"/>
  <c r="G988" i="58"/>
  <c r="G987" i="58"/>
  <c r="G986" i="58"/>
  <c r="G985" i="58"/>
  <c r="G984" i="58"/>
  <c r="G983" i="58"/>
  <c r="G982" i="58"/>
  <c r="G981" i="58"/>
  <c r="G980" i="58"/>
  <c r="G979" i="58"/>
  <c r="G976" i="58"/>
  <c r="G975" i="58"/>
  <c r="G974" i="58"/>
  <c r="G973" i="58"/>
  <c r="G972" i="58"/>
  <c r="G971" i="58"/>
  <c r="G970" i="58"/>
  <c r="G969" i="58"/>
  <c r="G968" i="58"/>
  <c r="G967" i="58"/>
  <c r="G966" i="58"/>
  <c r="G965" i="58"/>
  <c r="G964" i="58"/>
  <c r="G963" i="58"/>
  <c r="G962" i="58"/>
  <c r="G961" i="58"/>
  <c r="G960" i="58"/>
  <c r="G959" i="58"/>
  <c r="G958" i="58"/>
  <c r="G957" i="58"/>
  <c r="G956" i="58"/>
  <c r="G955" i="58"/>
  <c r="G954" i="58"/>
  <c r="G953" i="58"/>
  <c r="G952" i="58"/>
  <c r="G951" i="58"/>
  <c r="G950" i="58"/>
  <c r="G949" i="58"/>
  <c r="G948" i="58"/>
  <c r="G947" i="58"/>
  <c r="G946" i="58"/>
  <c r="G945" i="58"/>
  <c r="G944" i="58"/>
  <c r="G943" i="58"/>
  <c r="G942" i="58"/>
  <c r="G941" i="58"/>
  <c r="G940" i="58"/>
  <c r="G939" i="58"/>
  <c r="G938" i="58"/>
  <c r="G937" i="58"/>
  <c r="G936" i="58"/>
  <c r="G935" i="58"/>
  <c r="G934" i="58"/>
  <c r="G933" i="58"/>
  <c r="G929" i="58"/>
  <c r="G928" i="58"/>
  <c r="G927" i="58"/>
  <c r="G926" i="58"/>
  <c r="G925" i="58"/>
  <c r="G924" i="58"/>
  <c r="G923" i="58"/>
  <c r="G922" i="58"/>
  <c r="G919" i="58"/>
  <c r="G918" i="58"/>
  <c r="G917" i="58"/>
  <c r="G916" i="58"/>
  <c r="G915" i="58"/>
  <c r="G914" i="58"/>
  <c r="G913" i="58"/>
  <c r="G912" i="58"/>
  <c r="G909" i="58"/>
  <c r="G908" i="58"/>
  <c r="G905" i="58"/>
  <c r="G904" i="58"/>
  <c r="G903" i="58"/>
  <c r="G902" i="58"/>
  <c r="G901" i="58"/>
  <c r="G900" i="58"/>
  <c r="G899" i="58"/>
  <c r="G896" i="58"/>
  <c r="G895" i="58"/>
  <c r="G894" i="58"/>
  <c r="G893" i="58"/>
  <c r="G892" i="58"/>
  <c r="G891" i="58"/>
  <c r="G890" i="58"/>
  <c r="G889" i="58"/>
  <c r="G888" i="58"/>
  <c r="G887" i="58"/>
  <c r="G886" i="58"/>
  <c r="G885" i="58"/>
  <c r="G884" i="58"/>
  <c r="G883" i="58"/>
  <c r="G882" i="58"/>
  <c r="G881" i="58"/>
  <c r="G880" i="58"/>
  <c r="G879" i="58"/>
  <c r="G878" i="58"/>
  <c r="G877" i="58"/>
  <c r="G876" i="58"/>
  <c r="G875" i="58"/>
  <c r="G874" i="58"/>
  <c r="G873" i="58"/>
  <c r="G872" i="58"/>
  <c r="G871" i="58"/>
  <c r="G866" i="58"/>
  <c r="G865" i="58"/>
  <c r="G864" i="58"/>
  <c r="G863" i="58"/>
  <c r="G862" i="58"/>
  <c r="G861" i="58"/>
  <c r="G860" i="58"/>
  <c r="G859" i="58"/>
  <c r="G858" i="58"/>
  <c r="G857" i="58"/>
  <c r="G856" i="58"/>
  <c r="G855" i="58"/>
  <c r="G854" i="58"/>
  <c r="G853" i="58"/>
  <c r="G852" i="58"/>
  <c r="G851" i="58"/>
  <c r="G850" i="58"/>
  <c r="G847" i="58"/>
  <c r="G846" i="58"/>
  <c r="G845" i="58"/>
  <c r="G844" i="58"/>
  <c r="G843" i="58"/>
  <c r="G842" i="58"/>
  <c r="G841" i="58"/>
  <c r="G840" i="58"/>
  <c r="G839" i="58"/>
  <c r="G838" i="58"/>
  <c r="G837" i="58"/>
  <c r="G836" i="58"/>
  <c r="G835" i="58"/>
  <c r="G834" i="58"/>
  <c r="G833" i="58"/>
  <c r="G832" i="58"/>
  <c r="G831" i="58"/>
  <c r="G830" i="58"/>
  <c r="G829" i="58"/>
  <c r="G828" i="58"/>
  <c r="G827" i="58"/>
  <c r="G826" i="58"/>
  <c r="G823" i="58"/>
  <c r="G822" i="58"/>
  <c r="G821" i="58"/>
  <c r="G820" i="58"/>
  <c r="G819" i="58"/>
  <c r="G818" i="58"/>
  <c r="G817" i="58"/>
  <c r="G816" i="58"/>
  <c r="G815" i="58"/>
  <c r="G814" i="58"/>
  <c r="G813" i="58"/>
  <c r="G812" i="58"/>
  <c r="G811" i="58"/>
  <c r="G810" i="58"/>
  <c r="G809" i="58"/>
  <c r="G808" i="58"/>
  <c r="G807" i="58"/>
  <c r="G804" i="58"/>
  <c r="G803" i="58"/>
  <c r="G802" i="58"/>
  <c r="G801" i="58"/>
  <c r="G800" i="58"/>
  <c r="G799" i="58"/>
  <c r="G798" i="58"/>
  <c r="G797" i="58"/>
  <c r="G796" i="58"/>
  <c r="G795" i="58"/>
  <c r="G794" i="58"/>
  <c r="G793" i="58"/>
  <c r="G792" i="58"/>
  <c r="G791" i="58"/>
  <c r="G790" i="58"/>
  <c r="G787" i="58"/>
  <c r="G786" i="58"/>
  <c r="G785" i="58"/>
  <c r="G784" i="58"/>
  <c r="G783" i="58"/>
  <c r="G782" i="58"/>
  <c r="G781" i="58"/>
  <c r="G780" i="58"/>
  <c r="G779" i="58"/>
  <c r="G778" i="58"/>
  <c r="G777" i="58"/>
  <c r="G776" i="58"/>
  <c r="G773" i="58"/>
  <c r="G772" i="58"/>
  <c r="G771" i="58"/>
  <c r="G770" i="58"/>
  <c r="G769" i="58"/>
  <c r="G768" i="58"/>
  <c r="G767" i="58"/>
  <c r="G766" i="58"/>
  <c r="G763" i="58"/>
  <c r="G762" i="58"/>
  <c r="G761" i="58"/>
  <c r="G760" i="58"/>
  <c r="G759" i="58"/>
  <c r="G758" i="58"/>
  <c r="G757" i="58"/>
  <c r="G756" i="58"/>
  <c r="G755" i="58"/>
  <c r="G754" i="58"/>
  <c r="G753" i="58"/>
  <c r="G750" i="58"/>
  <c r="G749" i="58"/>
  <c r="G748" i="58"/>
  <c r="G747" i="58"/>
  <c r="G746" i="58"/>
  <c r="G745" i="58"/>
  <c r="G744" i="58"/>
  <c r="G743" i="58"/>
  <c r="G742" i="58"/>
  <c r="G739" i="58"/>
  <c r="G738" i="58"/>
  <c r="G737" i="58"/>
  <c r="G736" i="58"/>
  <c r="G735" i="58"/>
  <c r="G734" i="58"/>
  <c r="G733" i="58"/>
  <c r="G732" i="58"/>
  <c r="G731" i="58"/>
  <c r="G730" i="58"/>
  <c r="G727" i="58"/>
  <c r="G726" i="58"/>
  <c r="G725" i="58"/>
  <c r="G724" i="58"/>
  <c r="G723" i="58"/>
  <c r="G722" i="58"/>
  <c r="G721" i="58"/>
  <c r="G720" i="58"/>
  <c r="G719" i="58"/>
  <c r="G716" i="58"/>
  <c r="G715" i="58"/>
  <c r="G714" i="58"/>
  <c r="G713" i="58"/>
  <c r="G712" i="58"/>
  <c r="G711" i="58"/>
  <c r="G710" i="58"/>
  <c r="G709" i="58"/>
  <c r="G708" i="58"/>
  <c r="G707" i="58"/>
  <c r="G706" i="58"/>
  <c r="G705" i="58"/>
  <c r="G704" i="58"/>
  <c r="G701" i="58"/>
  <c r="G700" i="58"/>
  <c r="G699" i="58"/>
  <c r="G698" i="58"/>
  <c r="G697" i="58"/>
  <c r="G696" i="58"/>
  <c r="G695" i="58"/>
  <c r="G694" i="58"/>
  <c r="G693" i="58"/>
  <c r="G690" i="58"/>
  <c r="G689" i="58"/>
  <c r="G688" i="58"/>
  <c r="G687" i="58"/>
  <c r="G686" i="58"/>
  <c r="G685" i="58"/>
  <c r="G684" i="58"/>
  <c r="G683" i="58"/>
  <c r="G682" i="58"/>
  <c r="G681" i="58"/>
  <c r="G680" i="58"/>
  <c r="G679" i="58"/>
  <c r="G678" i="58"/>
  <c r="G677" i="58"/>
  <c r="G674" i="58"/>
  <c r="G673" i="58"/>
  <c r="G669" i="58"/>
  <c r="G665" i="58"/>
  <c r="G664" i="58"/>
  <c r="G663" i="58"/>
  <c r="G662" i="58"/>
  <c r="G661" i="58"/>
  <c r="G659" i="58"/>
  <c r="G657" i="58"/>
  <c r="G656" i="58"/>
  <c r="G655" i="58"/>
  <c r="G654" i="58"/>
  <c r="G652" i="58"/>
  <c r="G651" i="58"/>
  <c r="G650" i="58"/>
  <c r="G649" i="58"/>
  <c r="G648" i="58"/>
  <c r="G644" i="58"/>
  <c r="G643" i="58"/>
  <c r="G642" i="58"/>
  <c r="G641" i="58"/>
  <c r="G640" i="58"/>
  <c r="G639" i="58"/>
  <c r="G638" i="58"/>
  <c r="G637" i="58"/>
  <c r="G636" i="58"/>
  <c r="G635" i="58"/>
  <c r="G634" i="58"/>
  <c r="G633" i="58"/>
  <c r="G632" i="58"/>
  <c r="G631" i="58"/>
  <c r="G630" i="58"/>
  <c r="G629" i="58"/>
  <c r="G628" i="58"/>
  <c r="G627" i="58"/>
  <c r="G626" i="58"/>
  <c r="G625" i="58"/>
  <c r="G624" i="58"/>
  <c r="G623" i="58"/>
  <c r="G622" i="58"/>
  <c r="G621" i="58"/>
  <c r="G620" i="58"/>
  <c r="G619" i="58"/>
  <c r="G618" i="58"/>
  <c r="G617" i="58"/>
  <c r="G616" i="58"/>
  <c r="G615" i="58"/>
  <c r="G614" i="58"/>
  <c r="G613" i="58"/>
  <c r="G612" i="58"/>
  <c r="G611" i="58"/>
  <c r="G610" i="58"/>
  <c r="G609" i="58"/>
  <c r="G608" i="58"/>
  <c r="G607" i="58"/>
  <c r="G603" i="58"/>
  <c r="G602" i="58"/>
  <c r="G601" i="58"/>
  <c r="G600" i="58"/>
  <c r="G599" i="58"/>
  <c r="G598" i="58"/>
  <c r="G597" i="58"/>
  <c r="G596" i="58"/>
  <c r="G595" i="58"/>
  <c r="G594" i="58"/>
  <c r="G593" i="58"/>
  <c r="G592" i="58"/>
  <c r="G591" i="58"/>
  <c r="G590" i="58"/>
  <c r="G589" i="58"/>
  <c r="G588" i="58"/>
  <c r="G587" i="58"/>
  <c r="G582" i="58"/>
  <c r="G581" i="58"/>
  <c r="G580" i="58"/>
  <c r="G579" i="58"/>
  <c r="G578" i="58"/>
  <c r="G577" i="58"/>
  <c r="G576" i="58"/>
  <c r="G575" i="58"/>
  <c r="G571" i="58"/>
  <c r="G570" i="58"/>
  <c r="G569" i="58"/>
  <c r="G568" i="58"/>
  <c r="G567" i="58"/>
  <c r="G566" i="58"/>
  <c r="G565" i="58"/>
  <c r="G564" i="58"/>
  <c r="G563" i="58"/>
  <c r="G562" i="58"/>
  <c r="G561" i="58"/>
  <c r="G560" i="58"/>
  <c r="G559" i="58"/>
  <c r="G558" i="58"/>
  <c r="G557" i="58"/>
  <c r="G554" i="58"/>
  <c r="G553" i="58"/>
  <c r="G552" i="58"/>
  <c r="G551" i="58"/>
  <c r="G550" i="58"/>
  <c r="G549" i="58"/>
  <c r="G548" i="58"/>
  <c r="G545" i="58"/>
  <c r="G544" i="58"/>
  <c r="G543" i="58"/>
  <c r="G542" i="58"/>
  <c r="G539" i="58"/>
  <c r="G538" i="58"/>
  <c r="G536" i="58"/>
  <c r="G535" i="58"/>
  <c r="G534" i="58"/>
  <c r="G533" i="58"/>
  <c r="G532" i="58"/>
  <c r="G531" i="58"/>
  <c r="G530" i="58"/>
  <c r="G529" i="58"/>
  <c r="G528" i="58"/>
  <c r="G527" i="58"/>
  <c r="G526" i="58"/>
  <c r="G525" i="58"/>
  <c r="G524" i="58"/>
  <c r="G523" i="58"/>
  <c r="G522" i="58"/>
  <c r="G521" i="58"/>
  <c r="G520" i="58"/>
  <c r="G518" i="58"/>
  <c r="G517" i="58"/>
  <c r="G516" i="58"/>
  <c r="G515" i="58"/>
  <c r="G514" i="58"/>
  <c r="G513" i="58"/>
  <c r="G512" i="58"/>
  <c r="G511" i="58"/>
  <c r="G510" i="58"/>
  <c r="G509" i="58"/>
  <c r="G507" i="58"/>
  <c r="G505" i="58"/>
  <c r="G504" i="58"/>
  <c r="G503" i="58"/>
  <c r="G502" i="58"/>
  <c r="G501" i="58"/>
  <c r="G500" i="58"/>
  <c r="G499" i="58"/>
  <c r="G498" i="58"/>
  <c r="G497" i="58"/>
  <c r="G496" i="58"/>
  <c r="G495" i="58"/>
  <c r="G491" i="58"/>
  <c r="G490" i="58"/>
  <c r="G489" i="58"/>
  <c r="G488" i="58"/>
  <c r="G486" i="58"/>
  <c r="G485" i="58"/>
  <c r="G483" i="58"/>
  <c r="G482" i="58"/>
  <c r="G481" i="58"/>
  <c r="G480" i="58"/>
  <c r="G479" i="58"/>
  <c r="G478" i="58"/>
  <c r="G477" i="58"/>
  <c r="G476" i="58"/>
  <c r="G475" i="58"/>
  <c r="G474" i="58"/>
  <c r="G473" i="58"/>
  <c r="G472" i="58"/>
  <c r="G471" i="58"/>
  <c r="G470" i="58"/>
  <c r="G469" i="58"/>
  <c r="G468" i="58"/>
  <c r="G467" i="58"/>
  <c r="G466" i="58"/>
  <c r="G465" i="58"/>
  <c r="G464" i="58"/>
  <c r="G463" i="58"/>
  <c r="G462" i="58"/>
  <c r="G461" i="58"/>
  <c r="G460" i="58"/>
  <c r="G459" i="58"/>
  <c r="G458" i="58"/>
  <c r="G457" i="58"/>
  <c r="G456" i="58"/>
  <c r="G455" i="58"/>
  <c r="G454" i="58"/>
  <c r="G453" i="58"/>
  <c r="G449" i="58"/>
  <c r="G410" i="58"/>
  <c r="G409" i="58"/>
  <c r="G408" i="58"/>
  <c r="G407" i="58"/>
  <c r="G406" i="58"/>
  <c r="G403" i="58"/>
  <c r="G359" i="58"/>
  <c r="G357" i="58"/>
  <c r="G356" i="58"/>
  <c r="G355" i="58"/>
  <c r="G354" i="58"/>
  <c r="G353" i="58"/>
  <c r="G350" i="58"/>
  <c r="G349" i="58"/>
  <c r="G342" i="58"/>
  <c r="G346" i="58"/>
  <c r="G343" i="58"/>
  <c r="G341" i="58"/>
  <c r="G345" i="58"/>
  <c r="G344" i="58"/>
  <c r="G338" i="58"/>
  <c r="G337" i="58"/>
  <c r="G336" i="58"/>
  <c r="G335" i="58"/>
  <c r="G334" i="58"/>
  <c r="G333" i="58"/>
  <c r="G332" i="58"/>
  <c r="G331" i="58"/>
  <c r="G330" i="58"/>
  <c r="G329" i="58"/>
  <c r="G328" i="58"/>
  <c r="G327" i="58"/>
  <c r="G323" i="58"/>
  <c r="G322" i="58"/>
  <c r="G321" i="58"/>
  <c r="G320" i="58"/>
  <c r="G319" i="58"/>
  <c r="G318" i="58"/>
  <c r="G317" i="58"/>
  <c r="G316" i="58"/>
  <c r="G315" i="58"/>
  <c r="G314" i="58"/>
  <c r="G313" i="58"/>
  <c r="G312" i="58"/>
  <c r="G311" i="58"/>
  <c r="G310" i="58"/>
  <c r="G309" i="58"/>
  <c r="G308" i="58"/>
  <c r="G307" i="58"/>
  <c r="G306" i="58"/>
  <c r="G305" i="58"/>
  <c r="G304" i="58"/>
  <c r="G303" i="58"/>
  <c r="G302" i="58"/>
  <c r="G299" i="58"/>
  <c r="G298" i="58"/>
  <c r="G297" i="58"/>
  <c r="G294" i="58"/>
  <c r="G293" i="58"/>
  <c r="G292" i="58"/>
  <c r="G291" i="58"/>
  <c r="G290" i="58"/>
  <c r="G260" i="58"/>
  <c r="G259" i="58"/>
  <c r="G258" i="58"/>
  <c r="G255" i="58"/>
  <c r="G254" i="58"/>
  <c r="G253" i="58"/>
  <c r="G247" i="58"/>
  <c r="G244" i="58"/>
  <c r="G243" i="58"/>
  <c r="G242" i="58"/>
  <c r="G241" i="58"/>
  <c r="G240" i="58"/>
  <c r="G239" i="58"/>
  <c r="G238" i="58"/>
  <c r="G237" i="58"/>
  <c r="G236" i="58"/>
  <c r="G234" i="58"/>
  <c r="G231" i="58"/>
  <c r="G230" i="58"/>
  <c r="G229" i="58"/>
  <c r="G228" i="58"/>
  <c r="G227" i="58"/>
  <c r="G226" i="58"/>
  <c r="G225" i="58"/>
  <c r="G224" i="58"/>
  <c r="G223" i="58"/>
  <c r="G222" i="58"/>
  <c r="G219" i="58"/>
  <c r="G218" i="58"/>
  <c r="G217" i="58"/>
  <c r="G216" i="58"/>
  <c r="G212" i="58"/>
  <c r="G211" i="58"/>
  <c r="G210" i="58"/>
  <c r="G207" i="58"/>
  <c r="G202" i="58"/>
  <c r="G201" i="58"/>
  <c r="G200" i="58"/>
  <c r="G199" i="58"/>
  <c r="G198" i="58"/>
  <c r="G197" i="58"/>
  <c r="G196" i="58"/>
  <c r="G186" i="58"/>
  <c r="G182" i="58"/>
  <c r="G181" i="58"/>
  <c r="G178" i="58"/>
  <c r="G174" i="58"/>
  <c r="G173" i="58"/>
  <c r="G172" i="58"/>
  <c r="G169" i="58"/>
  <c r="G168" i="58"/>
  <c r="G167" i="58"/>
  <c r="G166" i="58"/>
  <c r="G165" i="58"/>
  <c r="G164" i="58"/>
  <c r="G163" i="58"/>
  <c r="G162" i="58"/>
  <c r="G161" i="58"/>
  <c r="G160" i="58"/>
  <c r="G159" i="58"/>
  <c r="G158" i="58"/>
  <c r="G157" i="58"/>
  <c r="G154" i="58"/>
  <c r="G153" i="58"/>
  <c r="G152" i="58"/>
  <c r="G151" i="58"/>
  <c r="G150" i="58"/>
  <c r="G149" i="58"/>
  <c r="G148" i="58"/>
  <c r="G147" i="58"/>
  <c r="G146" i="58"/>
  <c r="G145" i="58"/>
  <c r="G144" i="58"/>
  <c r="G143" i="58"/>
  <c r="G142" i="58"/>
  <c r="G141" i="58"/>
  <c r="G140" i="58"/>
  <c r="G137" i="58"/>
  <c r="G136" i="58"/>
  <c r="G135" i="58"/>
  <c r="G133" i="58"/>
  <c r="G132" i="58"/>
  <c r="G131" i="58"/>
  <c r="G130" i="58"/>
  <c r="G129" i="58"/>
  <c r="G128" i="58"/>
  <c r="G127" i="58"/>
  <c r="G126" i="58"/>
  <c r="G125" i="58"/>
  <c r="G123" i="58"/>
  <c r="G117" i="58"/>
  <c r="G116" i="58"/>
  <c r="G115" i="58"/>
  <c r="G107" i="58"/>
  <c r="G106" i="58"/>
  <c r="G105" i="58"/>
  <c r="G104" i="58"/>
  <c r="G103" i="58"/>
  <c r="G102" i="58"/>
  <c r="G101" i="58"/>
  <c r="G100" i="58"/>
  <c r="G98" i="58"/>
  <c r="G93" i="58"/>
  <c r="G92" i="58"/>
  <c r="G91" i="58"/>
  <c r="G90" i="58"/>
  <c r="G89" i="58"/>
  <c r="G88" i="58"/>
  <c r="G87" i="58"/>
  <c r="G86" i="58"/>
  <c r="G85" i="58"/>
  <c r="G84" i="58"/>
  <c r="G81" i="58"/>
  <c r="G80" i="58"/>
  <c r="G79" i="58"/>
  <c r="G78" i="58"/>
  <c r="G77" i="58"/>
  <c r="G76" i="58"/>
  <c r="G75" i="58"/>
  <c r="G72" i="58"/>
  <c r="G71" i="58"/>
  <c r="G70" i="58"/>
  <c r="G69" i="58"/>
  <c r="G68" i="58"/>
  <c r="G67" i="58"/>
  <c r="G64" i="58"/>
  <c r="G59" i="58"/>
  <c r="G58" i="58"/>
  <c r="G57" i="58"/>
  <c r="G56" i="58"/>
  <c r="G55" i="58"/>
  <c r="G54" i="58"/>
  <c r="G53" i="58"/>
  <c r="G52" i="58"/>
  <c r="G51" i="58"/>
  <c r="G50" i="58"/>
  <c r="G49" i="58"/>
  <c r="G46" i="58"/>
  <c r="G45" i="58"/>
  <c r="G42" i="58"/>
  <c r="G41" i="58"/>
  <c r="G40" i="58"/>
  <c r="G37" i="58"/>
  <c r="G36" i="58"/>
  <c r="G35" i="58"/>
  <c r="G34" i="58"/>
  <c r="G33" i="58"/>
  <c r="G32" i="58"/>
  <c r="G31" i="58"/>
  <c r="G30" i="58"/>
  <c r="G29" i="58"/>
  <c r="G28" i="58"/>
  <c r="G27" i="58"/>
  <c r="G26" i="58"/>
  <c r="G23" i="58"/>
  <c r="G22" i="58"/>
  <c r="G21" i="58"/>
  <c r="G20" i="58"/>
  <c r="G19" i="58"/>
  <c r="G18" i="58"/>
  <c r="G17" i="58"/>
  <c r="G16" i="58"/>
  <c r="G15" i="58"/>
  <c r="H58" i="58"/>
  <c r="M58" i="58" s="1"/>
  <c r="H59" i="58" l="1"/>
  <c r="M59" i="58" s="1"/>
  <c r="O1123" i="58" l="1"/>
  <c r="O1136" i="58"/>
  <c r="O1131" i="58"/>
  <c r="O1127" i="58"/>
  <c r="O1116" i="58"/>
  <c r="F195" i="59"/>
  <c r="G195" i="59"/>
  <c r="H195" i="59"/>
  <c r="I195" i="59"/>
  <c r="J195" i="59"/>
  <c r="K195" i="59"/>
  <c r="L195" i="59"/>
  <c r="M195" i="59"/>
  <c r="F196" i="59"/>
  <c r="F193" i="59" s="1"/>
  <c r="G196" i="59"/>
  <c r="G193" i="59" s="1"/>
  <c r="H196" i="59"/>
  <c r="H193" i="59" s="1"/>
  <c r="I196" i="59"/>
  <c r="I193" i="59" s="1"/>
  <c r="J196" i="59"/>
  <c r="J193" i="59" s="1"/>
  <c r="K196" i="59"/>
  <c r="K193" i="59" s="1"/>
  <c r="F189" i="59"/>
  <c r="G189" i="59"/>
  <c r="H189" i="59"/>
  <c r="I189" i="59"/>
  <c r="J189" i="59"/>
  <c r="K189" i="59"/>
  <c r="L189" i="59"/>
  <c r="M189" i="59"/>
  <c r="F190" i="59"/>
  <c r="F187" i="59" s="1"/>
  <c r="G190" i="59"/>
  <c r="G187" i="59" s="1"/>
  <c r="H190" i="59"/>
  <c r="H187" i="59" s="1"/>
  <c r="I190" i="59"/>
  <c r="I187" i="59" s="1"/>
  <c r="J190" i="59"/>
  <c r="J187" i="59" s="1"/>
  <c r="F171" i="59"/>
  <c r="G171" i="59"/>
  <c r="H171" i="59"/>
  <c r="I171" i="59"/>
  <c r="J171" i="59"/>
  <c r="K171" i="59"/>
  <c r="L171" i="59"/>
  <c r="M171" i="59"/>
  <c r="F172" i="59"/>
  <c r="G172" i="59"/>
  <c r="H172" i="59"/>
  <c r="L172" i="59"/>
  <c r="M172" i="59"/>
  <c r="F174" i="59"/>
  <c r="G174" i="59"/>
  <c r="H174" i="59"/>
  <c r="I174" i="59"/>
  <c r="J174" i="59"/>
  <c r="K174" i="59"/>
  <c r="L174" i="59"/>
  <c r="M174" i="59"/>
  <c r="F175" i="59"/>
  <c r="G175" i="59"/>
  <c r="H175" i="59"/>
  <c r="I175" i="59"/>
  <c r="J175" i="59"/>
  <c r="F177" i="59"/>
  <c r="G177" i="59"/>
  <c r="H177" i="59"/>
  <c r="I177" i="59"/>
  <c r="J177" i="59"/>
  <c r="K177" i="59"/>
  <c r="L177" i="59"/>
  <c r="M177" i="59"/>
  <c r="F178" i="59"/>
  <c r="G178" i="59"/>
  <c r="H178" i="59"/>
  <c r="I178" i="59"/>
  <c r="J178" i="59"/>
  <c r="K178" i="59"/>
  <c r="F180" i="59"/>
  <c r="G180" i="59"/>
  <c r="H180" i="59"/>
  <c r="I180" i="59"/>
  <c r="J180" i="59"/>
  <c r="K180" i="59"/>
  <c r="L180" i="59"/>
  <c r="M180" i="59"/>
  <c r="F181" i="59"/>
  <c r="G181" i="59"/>
  <c r="H181" i="59"/>
  <c r="I181" i="59"/>
  <c r="J181" i="59"/>
  <c r="M181" i="59"/>
  <c r="F183" i="59"/>
  <c r="G183" i="59"/>
  <c r="H183" i="59"/>
  <c r="I183" i="59"/>
  <c r="J183" i="59"/>
  <c r="K183" i="59"/>
  <c r="L183" i="59"/>
  <c r="M183" i="59"/>
  <c r="F184" i="59"/>
  <c r="G184" i="59"/>
  <c r="H184" i="59"/>
  <c r="I184" i="59"/>
  <c r="J184" i="59"/>
  <c r="K184" i="59"/>
  <c r="M184" i="59"/>
  <c r="F165" i="59"/>
  <c r="G165" i="59"/>
  <c r="H165" i="59"/>
  <c r="I165" i="59"/>
  <c r="J165" i="59"/>
  <c r="K165" i="59"/>
  <c r="L165" i="59"/>
  <c r="M165" i="59"/>
  <c r="F166" i="59"/>
  <c r="G166" i="59"/>
  <c r="M166" i="59"/>
  <c r="F162" i="59"/>
  <c r="G162" i="59"/>
  <c r="H162" i="59"/>
  <c r="I162" i="59"/>
  <c r="J162" i="59"/>
  <c r="K162" i="59"/>
  <c r="L162" i="59"/>
  <c r="M162" i="59"/>
  <c r="F163" i="59"/>
  <c r="G163" i="59"/>
  <c r="M163" i="59"/>
  <c r="F159" i="59"/>
  <c r="G159" i="59"/>
  <c r="H159" i="59"/>
  <c r="I159" i="59"/>
  <c r="J159" i="59"/>
  <c r="K159" i="59"/>
  <c r="L159" i="59"/>
  <c r="M159" i="59"/>
  <c r="F160" i="59"/>
  <c r="G160" i="59"/>
  <c r="M160" i="59"/>
  <c r="F156" i="59"/>
  <c r="G156" i="59"/>
  <c r="H156" i="59"/>
  <c r="I156" i="59"/>
  <c r="J156" i="59"/>
  <c r="K156" i="59"/>
  <c r="L156" i="59"/>
  <c r="M156" i="59"/>
  <c r="F157" i="59"/>
  <c r="G157" i="59"/>
  <c r="M157" i="59"/>
  <c r="F144" i="59"/>
  <c r="G144" i="59"/>
  <c r="H144" i="59"/>
  <c r="I144" i="59"/>
  <c r="J144" i="59"/>
  <c r="K144" i="59"/>
  <c r="L144" i="59"/>
  <c r="M144" i="59"/>
  <c r="F145" i="59"/>
  <c r="G145" i="59"/>
  <c r="F147" i="59"/>
  <c r="G147" i="59"/>
  <c r="H147" i="59"/>
  <c r="I147" i="59"/>
  <c r="J147" i="59"/>
  <c r="K147" i="59"/>
  <c r="L147" i="59"/>
  <c r="M147" i="59"/>
  <c r="F148" i="59"/>
  <c r="G148" i="59"/>
  <c r="H148" i="59"/>
  <c r="I148" i="59"/>
  <c r="J148" i="59"/>
  <c r="F150" i="59"/>
  <c r="G150" i="59"/>
  <c r="H150" i="59"/>
  <c r="I150" i="59"/>
  <c r="J150" i="59"/>
  <c r="K150" i="59"/>
  <c r="L150" i="59"/>
  <c r="M150" i="59"/>
  <c r="F151" i="59"/>
  <c r="G151" i="59"/>
  <c r="F141" i="59"/>
  <c r="G141" i="59"/>
  <c r="H141" i="59"/>
  <c r="I141" i="59"/>
  <c r="J141" i="59"/>
  <c r="K141" i="59"/>
  <c r="L141" i="59"/>
  <c r="M141" i="59"/>
  <c r="F142" i="59"/>
  <c r="G142" i="59"/>
  <c r="F138" i="59"/>
  <c r="G138" i="59"/>
  <c r="H138" i="59"/>
  <c r="I138" i="59"/>
  <c r="J138" i="59"/>
  <c r="K138" i="59"/>
  <c r="L138" i="59"/>
  <c r="M138" i="59"/>
  <c r="F139" i="59"/>
  <c r="G139" i="59"/>
  <c r="F135" i="59"/>
  <c r="G135" i="59"/>
  <c r="H135" i="59"/>
  <c r="I135" i="59"/>
  <c r="J135" i="59"/>
  <c r="K135" i="59"/>
  <c r="L135" i="59"/>
  <c r="M135" i="59"/>
  <c r="F136" i="59"/>
  <c r="G136" i="59"/>
  <c r="F132" i="59"/>
  <c r="G132" i="59"/>
  <c r="H132" i="59"/>
  <c r="I132" i="59"/>
  <c r="J132" i="59"/>
  <c r="K132" i="59"/>
  <c r="L132" i="59"/>
  <c r="M132" i="59"/>
  <c r="F133" i="59"/>
  <c r="G133" i="59"/>
  <c r="F129" i="59"/>
  <c r="G129" i="59"/>
  <c r="H129" i="59"/>
  <c r="I129" i="59"/>
  <c r="J129" i="59"/>
  <c r="K129" i="59"/>
  <c r="L129" i="59"/>
  <c r="M129" i="59"/>
  <c r="F130" i="59"/>
  <c r="G130" i="59"/>
  <c r="F126" i="59"/>
  <c r="G126" i="59"/>
  <c r="H126" i="59"/>
  <c r="I126" i="59"/>
  <c r="J126" i="59"/>
  <c r="K126" i="59"/>
  <c r="L126" i="59"/>
  <c r="M126" i="59"/>
  <c r="F127" i="59"/>
  <c r="G127" i="59"/>
  <c r="F120" i="59"/>
  <c r="G120" i="59"/>
  <c r="H120" i="59"/>
  <c r="I120" i="59"/>
  <c r="J120" i="59"/>
  <c r="K120" i="59"/>
  <c r="L120" i="59"/>
  <c r="M120" i="59"/>
  <c r="F121" i="59"/>
  <c r="G121" i="59"/>
  <c r="H121" i="59"/>
  <c r="I121" i="59"/>
  <c r="J121" i="59"/>
  <c r="K121" i="59"/>
  <c r="F123" i="59"/>
  <c r="G123" i="59"/>
  <c r="H123" i="59"/>
  <c r="I123" i="59"/>
  <c r="J123" i="59"/>
  <c r="K123" i="59"/>
  <c r="L123" i="59"/>
  <c r="M123" i="59"/>
  <c r="F124" i="59"/>
  <c r="G124" i="59"/>
  <c r="F102" i="59"/>
  <c r="G102" i="59"/>
  <c r="H102" i="59"/>
  <c r="I102" i="59"/>
  <c r="J102" i="59"/>
  <c r="K102" i="59"/>
  <c r="L102" i="59"/>
  <c r="M102" i="59"/>
  <c r="F103" i="59"/>
  <c r="G103" i="59"/>
  <c r="H103" i="59"/>
  <c r="I103" i="59"/>
  <c r="J103" i="59"/>
  <c r="K103" i="59"/>
  <c r="F105" i="59"/>
  <c r="G105" i="59"/>
  <c r="H105" i="59"/>
  <c r="I105" i="59"/>
  <c r="J105" i="59"/>
  <c r="K105" i="59"/>
  <c r="L105" i="59"/>
  <c r="M105" i="59"/>
  <c r="F106" i="59"/>
  <c r="G106" i="59"/>
  <c r="H106" i="59"/>
  <c r="I106" i="59"/>
  <c r="J106" i="59"/>
  <c r="K106" i="59"/>
  <c r="F108" i="59"/>
  <c r="G108" i="59"/>
  <c r="H108" i="59"/>
  <c r="I108" i="59"/>
  <c r="J108" i="59"/>
  <c r="K108" i="59"/>
  <c r="L108" i="59"/>
  <c r="M108" i="59"/>
  <c r="F109" i="59"/>
  <c r="G109" i="59"/>
  <c r="H109" i="59"/>
  <c r="I109" i="59"/>
  <c r="M109" i="59"/>
  <c r="F111" i="59"/>
  <c r="G111" i="59"/>
  <c r="H111" i="59"/>
  <c r="I111" i="59"/>
  <c r="J111" i="59"/>
  <c r="K111" i="59"/>
  <c r="L111" i="59"/>
  <c r="M111" i="59"/>
  <c r="F112" i="59"/>
  <c r="G112" i="59"/>
  <c r="H112" i="59"/>
  <c r="I112" i="59"/>
  <c r="J112" i="59"/>
  <c r="F114" i="59"/>
  <c r="G114" i="59"/>
  <c r="H114" i="59"/>
  <c r="I114" i="59"/>
  <c r="J114" i="59"/>
  <c r="K114" i="59"/>
  <c r="L114" i="59"/>
  <c r="M114" i="59"/>
  <c r="F115" i="59"/>
  <c r="G115" i="59"/>
  <c r="H115" i="59"/>
  <c r="I115" i="59"/>
  <c r="J115" i="59"/>
  <c r="K115" i="59"/>
  <c r="F99" i="59"/>
  <c r="G99" i="59"/>
  <c r="H99" i="59"/>
  <c r="I99" i="59"/>
  <c r="J99" i="59"/>
  <c r="K99" i="59"/>
  <c r="L99" i="59"/>
  <c r="M99" i="59"/>
  <c r="F100" i="59"/>
  <c r="G100" i="59"/>
  <c r="H100" i="59"/>
  <c r="I100" i="59"/>
  <c r="J100" i="59"/>
  <c r="K100" i="59"/>
  <c r="F96" i="59"/>
  <c r="G96" i="59"/>
  <c r="H96" i="59"/>
  <c r="I96" i="59"/>
  <c r="J96" i="59"/>
  <c r="K96" i="59"/>
  <c r="L96" i="59"/>
  <c r="M96" i="59"/>
  <c r="F97" i="59"/>
  <c r="G97" i="59"/>
  <c r="H97" i="59"/>
  <c r="I97" i="59"/>
  <c r="L97" i="59"/>
  <c r="M97" i="59"/>
  <c r="F93" i="59"/>
  <c r="G93" i="59"/>
  <c r="H93" i="59"/>
  <c r="I93" i="59"/>
  <c r="J93" i="59"/>
  <c r="K93" i="59"/>
  <c r="L93" i="59"/>
  <c r="M93" i="59"/>
  <c r="F94" i="59"/>
  <c r="G94" i="59"/>
  <c r="H94" i="59"/>
  <c r="I94" i="59"/>
  <c r="J94" i="59"/>
  <c r="F90" i="59"/>
  <c r="G90" i="59"/>
  <c r="H90" i="59"/>
  <c r="I90" i="59"/>
  <c r="J90" i="59"/>
  <c r="K90" i="59"/>
  <c r="L90" i="59"/>
  <c r="M90" i="59"/>
  <c r="F91" i="59"/>
  <c r="G91" i="59"/>
  <c r="H91" i="59"/>
  <c r="K91" i="59"/>
  <c r="L91" i="59"/>
  <c r="M91" i="59"/>
  <c r="F87" i="59"/>
  <c r="G87" i="59"/>
  <c r="H87" i="59"/>
  <c r="I87" i="59"/>
  <c r="J87" i="59"/>
  <c r="K87" i="59"/>
  <c r="L87" i="59"/>
  <c r="M87" i="59"/>
  <c r="F88" i="59"/>
  <c r="G88" i="59"/>
  <c r="H88" i="59"/>
  <c r="I88" i="59"/>
  <c r="J88" i="59"/>
  <c r="F84" i="59"/>
  <c r="G84" i="59"/>
  <c r="H84" i="59"/>
  <c r="I84" i="59"/>
  <c r="J84" i="59"/>
  <c r="K84" i="59"/>
  <c r="L84" i="59"/>
  <c r="M84" i="59"/>
  <c r="F85" i="59"/>
  <c r="G85" i="59"/>
  <c r="H85" i="59"/>
  <c r="I85" i="59"/>
  <c r="F81" i="59"/>
  <c r="G81" i="59"/>
  <c r="H81" i="59"/>
  <c r="I81" i="59"/>
  <c r="J81" i="59"/>
  <c r="K81" i="59"/>
  <c r="L81" i="59"/>
  <c r="M81" i="59"/>
  <c r="F82" i="59"/>
  <c r="G82" i="59"/>
  <c r="H82" i="59"/>
  <c r="K82" i="59"/>
  <c r="L82" i="59"/>
  <c r="M82" i="59"/>
  <c r="F78" i="59"/>
  <c r="G78" i="59"/>
  <c r="H78" i="59"/>
  <c r="I78" i="59"/>
  <c r="J78" i="59"/>
  <c r="K78" i="59"/>
  <c r="L78" i="59"/>
  <c r="M78" i="59"/>
  <c r="F79" i="59"/>
  <c r="G79" i="59"/>
  <c r="H79" i="59"/>
  <c r="I79" i="59"/>
  <c r="K79" i="59"/>
  <c r="L79" i="59"/>
  <c r="M79" i="59"/>
  <c r="F75" i="59"/>
  <c r="G75" i="59"/>
  <c r="H75" i="59"/>
  <c r="I75" i="59"/>
  <c r="J75" i="59"/>
  <c r="K75" i="59"/>
  <c r="L75" i="59"/>
  <c r="M75" i="59"/>
  <c r="F76" i="59"/>
  <c r="G76" i="59"/>
  <c r="H76" i="59"/>
  <c r="I76" i="59"/>
  <c r="J76" i="59"/>
  <c r="K76" i="59"/>
  <c r="F72" i="59"/>
  <c r="G72" i="59"/>
  <c r="H72" i="59"/>
  <c r="I72" i="59"/>
  <c r="J72" i="59"/>
  <c r="K72" i="59"/>
  <c r="L72" i="59"/>
  <c r="M72" i="59"/>
  <c r="F73" i="59"/>
  <c r="G73" i="59"/>
  <c r="H73" i="59"/>
  <c r="M73" i="59"/>
  <c r="F69" i="59"/>
  <c r="G69" i="59"/>
  <c r="H69" i="59"/>
  <c r="I69" i="59"/>
  <c r="J69" i="59"/>
  <c r="K69" i="59"/>
  <c r="L69" i="59"/>
  <c r="M69" i="59"/>
  <c r="F70" i="59"/>
  <c r="G70" i="59"/>
  <c r="H70" i="59"/>
  <c r="I70" i="59"/>
  <c r="J70" i="59"/>
  <c r="K70" i="59"/>
  <c r="M70" i="59"/>
  <c r="F66" i="59"/>
  <c r="G66" i="59"/>
  <c r="H66" i="59"/>
  <c r="I66" i="59"/>
  <c r="J66" i="59"/>
  <c r="K66" i="59"/>
  <c r="L66" i="59"/>
  <c r="M66" i="59"/>
  <c r="F67" i="59"/>
  <c r="G67" i="59"/>
  <c r="L67" i="59"/>
  <c r="M67" i="59"/>
  <c r="F60" i="59"/>
  <c r="G60" i="59"/>
  <c r="H60" i="59"/>
  <c r="I60" i="59"/>
  <c r="J60" i="59"/>
  <c r="K60" i="59"/>
  <c r="L60" i="59"/>
  <c r="M60" i="59"/>
  <c r="F61" i="59"/>
  <c r="G61" i="59"/>
  <c r="H61" i="59"/>
  <c r="L61" i="59"/>
  <c r="M61" i="59"/>
  <c r="F57" i="59"/>
  <c r="G57" i="59"/>
  <c r="H57" i="59"/>
  <c r="I57" i="59"/>
  <c r="J57" i="59"/>
  <c r="K57" i="59"/>
  <c r="L57" i="59"/>
  <c r="M57" i="59"/>
  <c r="F58" i="59"/>
  <c r="G58" i="59"/>
  <c r="L58" i="59"/>
  <c r="M58" i="59"/>
  <c r="F54" i="59"/>
  <c r="G54" i="59"/>
  <c r="H54" i="59"/>
  <c r="I54" i="59"/>
  <c r="J54" i="59"/>
  <c r="K54" i="59"/>
  <c r="L54" i="59"/>
  <c r="M54" i="59"/>
  <c r="F55" i="59"/>
  <c r="K55" i="59"/>
  <c r="L55" i="59"/>
  <c r="M55" i="59"/>
  <c r="F51" i="59"/>
  <c r="G51" i="59"/>
  <c r="H51" i="59"/>
  <c r="I51" i="59"/>
  <c r="J51" i="59"/>
  <c r="K51" i="59"/>
  <c r="L51" i="59"/>
  <c r="M51" i="59"/>
  <c r="F52" i="59"/>
  <c r="G52" i="59"/>
  <c r="I52" i="59"/>
  <c r="J52" i="59"/>
  <c r="K52" i="59"/>
  <c r="L52" i="59"/>
  <c r="M52" i="59"/>
  <c r="F48" i="59"/>
  <c r="G48" i="59"/>
  <c r="H48" i="59"/>
  <c r="I48" i="59"/>
  <c r="J48" i="59"/>
  <c r="K48" i="59"/>
  <c r="L48" i="59"/>
  <c r="M48" i="59"/>
  <c r="F49" i="59"/>
  <c r="I49" i="59"/>
  <c r="J49" i="59"/>
  <c r="K49" i="59"/>
  <c r="L49" i="59"/>
  <c r="M49" i="59"/>
  <c r="F45" i="59"/>
  <c r="G45" i="59"/>
  <c r="H45" i="59"/>
  <c r="I45" i="59"/>
  <c r="J45" i="59"/>
  <c r="K45" i="59"/>
  <c r="L45" i="59"/>
  <c r="M45" i="59"/>
  <c r="F46" i="59"/>
  <c r="H46" i="59"/>
  <c r="I46" i="59"/>
  <c r="J46" i="59"/>
  <c r="K46" i="59"/>
  <c r="L46" i="59"/>
  <c r="M46" i="59"/>
  <c r="F42" i="59"/>
  <c r="G42" i="59"/>
  <c r="H42" i="59"/>
  <c r="I42" i="59"/>
  <c r="J42" i="59"/>
  <c r="K42" i="59"/>
  <c r="L42" i="59"/>
  <c r="M42" i="59"/>
  <c r="H43" i="59"/>
  <c r="I43" i="59"/>
  <c r="J43" i="59"/>
  <c r="K43" i="59"/>
  <c r="L43" i="59"/>
  <c r="M43" i="59"/>
  <c r="F39" i="59"/>
  <c r="G39" i="59"/>
  <c r="H39" i="59"/>
  <c r="I39" i="59"/>
  <c r="J39" i="59"/>
  <c r="K39" i="59"/>
  <c r="L39" i="59"/>
  <c r="M39" i="59"/>
  <c r="H40" i="59"/>
  <c r="I40" i="59"/>
  <c r="J40" i="59"/>
  <c r="K40" i="59"/>
  <c r="L40" i="59"/>
  <c r="M40" i="59"/>
  <c r="F30" i="59"/>
  <c r="G30" i="59"/>
  <c r="H30" i="59"/>
  <c r="I30" i="59"/>
  <c r="J30" i="59"/>
  <c r="K30" i="59"/>
  <c r="L30" i="59"/>
  <c r="M30" i="59"/>
  <c r="G31" i="59"/>
  <c r="H31" i="59"/>
  <c r="I31" i="59"/>
  <c r="J31" i="59"/>
  <c r="K31" i="59"/>
  <c r="L31" i="59"/>
  <c r="M31" i="59"/>
  <c r="F27" i="59"/>
  <c r="G27" i="59"/>
  <c r="H27" i="59"/>
  <c r="I27" i="59"/>
  <c r="J27" i="59"/>
  <c r="K27" i="59"/>
  <c r="L27" i="59"/>
  <c r="M27" i="59"/>
  <c r="F24" i="59"/>
  <c r="G24" i="59"/>
  <c r="H24" i="59"/>
  <c r="I24" i="59"/>
  <c r="J24" i="59"/>
  <c r="K24" i="59"/>
  <c r="L24" i="59"/>
  <c r="M24" i="59"/>
  <c r="F18" i="59"/>
  <c r="G18" i="59"/>
  <c r="H18" i="59"/>
  <c r="I18" i="59"/>
  <c r="J18" i="59"/>
  <c r="K18" i="59"/>
  <c r="L18" i="59"/>
  <c r="M18" i="59"/>
  <c r="G20" i="59"/>
  <c r="G21" i="59" s="1"/>
  <c r="H20" i="59"/>
  <c r="H21" i="59" s="1"/>
  <c r="I20" i="59"/>
  <c r="I21" i="59" s="1"/>
  <c r="J20" i="59"/>
  <c r="J21" i="59" s="1"/>
  <c r="K20" i="59"/>
  <c r="L20" i="59"/>
  <c r="M20" i="59"/>
  <c r="F21" i="59"/>
  <c r="N194" i="59"/>
  <c r="N188" i="59"/>
  <c r="N182" i="59"/>
  <c r="N179" i="59"/>
  <c r="N176" i="59"/>
  <c r="N173" i="59"/>
  <c r="N170" i="59"/>
  <c r="N164" i="59"/>
  <c r="N161" i="59"/>
  <c r="N158" i="59"/>
  <c r="N155" i="59"/>
  <c r="N149" i="59"/>
  <c r="N146" i="59"/>
  <c r="N143" i="59"/>
  <c r="N140" i="59"/>
  <c r="N137" i="59"/>
  <c r="N134" i="59"/>
  <c r="N131" i="59"/>
  <c r="N128" i="59"/>
  <c r="N122" i="59"/>
  <c r="N119" i="59"/>
  <c r="O1137" i="58" l="1"/>
  <c r="O1117" i="58"/>
  <c r="O1138" i="58"/>
  <c r="O1112" i="58"/>
  <c r="O1107" i="58"/>
  <c r="O1119" i="58"/>
  <c r="O1108" i="58"/>
  <c r="O1113" i="58"/>
  <c r="O1109" i="58"/>
  <c r="O1111" i="58"/>
  <c r="O1104" i="58"/>
  <c r="O1133" i="58"/>
  <c r="O1110" i="58"/>
  <c r="O1124" i="58"/>
  <c r="O1120" i="58"/>
  <c r="O1105" i="58"/>
  <c r="O1106" i="58"/>
  <c r="O1128" i="58"/>
  <c r="O1118" i="58"/>
  <c r="O1132" i="58"/>
  <c r="G154" i="59"/>
  <c r="F154" i="59"/>
  <c r="H169" i="59"/>
  <c r="G64" i="59"/>
  <c r="G169" i="59"/>
  <c r="M37" i="59"/>
  <c r="L37" i="59"/>
  <c r="F118" i="59"/>
  <c r="F169" i="59"/>
  <c r="G118" i="59"/>
  <c r="F64" i="59"/>
  <c r="M154" i="59"/>
  <c r="M21" i="59"/>
  <c r="L21" i="59"/>
  <c r="K21" i="59"/>
  <c r="N125" i="59" l="1"/>
  <c r="E21" i="9" l="1"/>
  <c r="D16" i="9"/>
  <c r="E30" i="9" s="1"/>
  <c r="B27" i="66" s="1"/>
  <c r="E200" i="59" s="1"/>
  <c r="L13" i="58" l="1"/>
  <c r="O929" i="58" l="1"/>
  <c r="M188" i="58"/>
  <c r="O413" i="58"/>
  <c r="O100" i="58"/>
  <c r="O1168" i="58"/>
  <c r="M1167" i="58"/>
  <c r="O648" i="58"/>
  <c r="O669" i="58"/>
  <c r="O719" i="58"/>
  <c r="O290" i="58"/>
  <c r="O933" i="58"/>
  <c r="O1027" i="58"/>
  <c r="O899" i="58"/>
  <c r="O776" i="58"/>
  <c r="O140" i="58"/>
  <c r="O1192" i="58"/>
  <c r="O1087" i="58"/>
  <c r="O207" i="58"/>
  <c r="O704" i="58"/>
  <c r="O1171" i="58"/>
  <c r="M1170" i="58"/>
  <c r="O353" i="58"/>
  <c r="O1075" i="58"/>
  <c r="O1071" i="58"/>
  <c r="O607" i="58"/>
  <c r="O1063" i="58"/>
  <c r="O341" i="58"/>
  <c r="O327" i="58"/>
  <c r="O807" i="58"/>
  <c r="O1022" i="58"/>
  <c r="O485" i="58"/>
  <c r="O991" i="58"/>
  <c r="O495" i="58"/>
  <c r="O912" i="58"/>
  <c r="O557" i="58"/>
  <c r="O157" i="58"/>
  <c r="O488" i="58"/>
  <c r="O75" i="58"/>
  <c r="O742" i="58"/>
  <c r="O302" i="58"/>
  <c r="O587" i="58"/>
  <c r="O49" i="58"/>
  <c r="O1016" i="58"/>
  <c r="O406" i="58"/>
  <c r="O661" i="58"/>
  <c r="O1174" i="58"/>
  <c r="M1173" i="58"/>
  <c r="O850" i="58"/>
  <c r="O826" i="58"/>
  <c r="O1068" i="58"/>
  <c r="O871" i="58"/>
  <c r="O654" i="58"/>
  <c r="O677" i="58"/>
  <c r="O548" i="58"/>
  <c r="O1142" i="58"/>
  <c r="O979" i="58"/>
  <c r="O509" i="58"/>
  <c r="O125" i="58"/>
  <c r="O258" i="58"/>
  <c r="O908" i="58"/>
  <c r="O766" i="58"/>
  <c r="O1184" i="58"/>
  <c r="O222" i="58"/>
  <c r="O443" i="58"/>
  <c r="O1082" i="58"/>
  <c r="O693" i="58"/>
  <c r="O297" i="58"/>
  <c r="O178" i="58"/>
  <c r="O673" i="58"/>
  <c r="O123" i="58"/>
  <c r="O45" i="58"/>
  <c r="O542" i="58"/>
  <c r="O115" i="58"/>
  <c r="O753" i="58"/>
  <c r="O98" i="58"/>
  <c r="O349" i="58"/>
  <c r="O659" i="58"/>
  <c r="O172" i="58"/>
  <c r="O538" i="58"/>
  <c r="O1006" i="58"/>
  <c r="O520" i="58"/>
  <c r="O790" i="58"/>
  <c r="O1103" i="58"/>
  <c r="O1177" i="58"/>
  <c r="M1176" i="58"/>
  <c r="O84" i="58"/>
  <c r="O922" i="58"/>
  <c r="O575" i="58"/>
  <c r="O67" i="58"/>
  <c r="O453" i="58"/>
  <c r="O362" i="58"/>
  <c r="O730" i="58"/>
  <c r="O26" i="58"/>
  <c r="O1015" i="58"/>
  <c r="M110" i="58" l="1"/>
  <c r="D53" i="59" s="1"/>
  <c r="D173" i="59"/>
  <c r="O329" i="58"/>
  <c r="M1181" i="58"/>
  <c r="D188" i="59" s="1"/>
  <c r="O455" i="58"/>
  <c r="M257" i="58"/>
  <c r="O247" i="58"/>
  <c r="O809" i="58"/>
  <c r="O562" i="58"/>
  <c r="O601" i="58"/>
  <c r="O821" i="58"/>
  <c r="O662" i="58"/>
  <c r="O523" i="58"/>
  <c r="O614" i="58"/>
  <c r="O622" i="58"/>
  <c r="O1039" i="58"/>
  <c r="O896" i="58"/>
  <c r="O355" i="58"/>
  <c r="O331" i="58"/>
  <c r="O211" i="58"/>
  <c r="O619" i="58"/>
  <c r="O966" i="58"/>
  <c r="M296" i="58"/>
  <c r="O86" i="58"/>
  <c r="O153" i="58"/>
  <c r="O79" i="58"/>
  <c r="O576" i="58"/>
  <c r="O882" i="58"/>
  <c r="O655" i="58"/>
  <c r="O967" i="58"/>
  <c r="O173" i="58"/>
  <c r="M25" i="58"/>
  <c r="D20" i="59" s="1"/>
  <c r="O307" i="58"/>
  <c r="O952" i="58"/>
  <c r="O507" i="58"/>
  <c r="O161" i="58"/>
  <c r="O781" i="58"/>
  <c r="O713" i="58"/>
  <c r="O611" i="58"/>
  <c r="O346" i="58"/>
  <c r="O480" i="58"/>
  <c r="O52" i="58"/>
  <c r="O549" i="58"/>
  <c r="O577" i="58"/>
  <c r="O315" i="58"/>
  <c r="O768" i="58"/>
  <c r="O375" i="58"/>
  <c r="O1009" i="58"/>
  <c r="O525" i="58"/>
  <c r="O228" i="58"/>
  <c r="O407" i="58"/>
  <c r="O1154" i="58"/>
  <c r="O739" i="58"/>
  <c r="O409" i="58"/>
  <c r="O918" i="58"/>
  <c r="O817" i="58"/>
  <c r="O750" i="58"/>
  <c r="O93" i="58"/>
  <c r="O756" i="58"/>
  <c r="O526" i="58"/>
  <c r="O1079" i="58"/>
  <c r="O169" i="58"/>
  <c r="O1054" i="58"/>
  <c r="O976" i="58"/>
  <c r="O1052" i="58"/>
  <c r="O460" i="58"/>
  <c r="O746" i="58"/>
  <c r="O536" i="58"/>
  <c r="O350" i="58"/>
  <c r="O128" i="58"/>
  <c r="O521" i="58"/>
  <c r="O236" i="58"/>
  <c r="O103" i="58"/>
  <c r="O881" i="58"/>
  <c r="O20" i="58"/>
  <c r="O316" i="58"/>
  <c r="O563" i="58"/>
  <c r="O1161" i="58"/>
  <c r="O23" i="58"/>
  <c r="O292" i="58"/>
  <c r="O965" i="58"/>
  <c r="O801" i="58"/>
  <c r="O1147" i="58"/>
  <c r="O1037" i="58"/>
  <c r="O656" i="58"/>
  <c r="O785" i="58"/>
  <c r="O571" i="58"/>
  <c r="O51" i="58"/>
  <c r="D176" i="59"/>
  <c r="O167" i="58"/>
  <c r="O621" i="58"/>
  <c r="O778" i="58"/>
  <c r="O838" i="58"/>
  <c r="O446" i="58"/>
  <c r="O744" i="58"/>
  <c r="O1011" i="58"/>
  <c r="O928" i="58"/>
  <c r="O130" i="58"/>
  <c r="O135" i="58"/>
  <c r="O481" i="58"/>
  <c r="O54" i="58"/>
  <c r="O890" i="58"/>
  <c r="O627" i="58"/>
  <c r="O902" i="58"/>
  <c r="O769" i="58"/>
  <c r="O597" i="58"/>
  <c r="O878" i="58"/>
  <c r="O498" i="58"/>
  <c r="O939" i="58"/>
  <c r="O201" i="58"/>
  <c r="O716" i="58"/>
  <c r="O323" i="58"/>
  <c r="O515" i="58"/>
  <c r="O17" i="58"/>
  <c r="O761" i="58"/>
  <c r="M171" i="58"/>
  <c r="O467" i="58"/>
  <c r="M206" i="58"/>
  <c r="O534" i="58"/>
  <c r="O797" i="58"/>
  <c r="O625" i="58"/>
  <c r="O636" i="58"/>
  <c r="O367" i="58"/>
  <c r="O1055" i="58"/>
  <c r="O1159" i="58"/>
  <c r="O1003" i="58"/>
  <c r="O1164" i="58"/>
  <c r="O974" i="58"/>
  <c r="O1040" i="58"/>
  <c r="O309" i="58"/>
  <c r="O891" i="58"/>
  <c r="O1148" i="58"/>
  <c r="O999" i="58"/>
  <c r="O1158" i="58"/>
  <c r="O373" i="58"/>
  <c r="O259" i="58"/>
  <c r="O29" i="58"/>
  <c r="O609" i="58"/>
  <c r="O698" i="58"/>
  <c r="O837" i="58"/>
  <c r="O465" i="58"/>
  <c r="O1032" i="58"/>
  <c r="O845" i="58"/>
  <c r="O839" i="58"/>
  <c r="O963" i="58"/>
  <c r="O893" i="58"/>
  <c r="O365" i="58"/>
  <c r="O1160" i="58"/>
  <c r="O736" i="58"/>
  <c r="O564" i="58"/>
  <c r="O986" i="58"/>
  <c r="O708" i="58"/>
  <c r="O1048" i="58"/>
  <c r="O343" i="58"/>
  <c r="O872" i="58"/>
  <c r="O814" i="58"/>
  <c r="O568" i="58"/>
  <c r="O77" i="58"/>
  <c r="O637" i="58"/>
  <c r="O159" i="58"/>
  <c r="O59" i="58"/>
  <c r="O1088" i="58"/>
  <c r="O828" i="58"/>
  <c r="O337" i="58"/>
  <c r="O599" i="58"/>
  <c r="O927" i="58"/>
  <c r="O1002" i="58"/>
  <c r="O377" i="58"/>
  <c r="O166" i="58"/>
  <c r="O631" i="58"/>
  <c r="O133" i="58"/>
  <c r="O149" i="58"/>
  <c r="O688" i="58"/>
  <c r="O1149" i="58"/>
  <c r="O99" i="58"/>
  <c r="O738" i="58"/>
  <c r="O964" i="58"/>
  <c r="O117" i="58"/>
  <c r="O239" i="58"/>
  <c r="O938" i="58"/>
  <c r="O499" i="58"/>
  <c r="O1150" i="58"/>
  <c r="O410" i="58"/>
  <c r="O943" i="58"/>
  <c r="O1038" i="58"/>
  <c r="O859" i="58"/>
  <c r="O997" i="58"/>
  <c r="O1065" i="58"/>
  <c r="O240" i="58"/>
  <c r="O1143" i="58"/>
  <c r="O91" i="58"/>
  <c r="O844" i="58"/>
  <c r="O816" i="58"/>
  <c r="O528" i="58"/>
  <c r="O924" i="58"/>
  <c r="O165" i="58"/>
  <c r="O755" i="58"/>
  <c r="O1187" i="58"/>
  <c r="O50" i="58"/>
  <c r="O34" i="58"/>
  <c r="O1059" i="58"/>
  <c r="O936" i="58"/>
  <c r="O55" i="58"/>
  <c r="O503" i="58"/>
  <c r="O944" i="58"/>
  <c r="O589" i="58"/>
  <c r="O782" i="58"/>
  <c r="O722" i="58"/>
  <c r="O946" i="58"/>
  <c r="O628" i="58"/>
  <c r="O1053" i="58"/>
  <c r="O318" i="58"/>
  <c r="O1018" i="58"/>
  <c r="O1036" i="58"/>
  <c r="O617" i="58"/>
  <c r="O987" i="58"/>
  <c r="O164" i="58"/>
  <c r="O595" i="58"/>
  <c r="O160" i="58"/>
  <c r="O198" i="58"/>
  <c r="O854" i="58"/>
  <c r="O321" i="58"/>
  <c r="O832" i="58"/>
  <c r="O336" i="58"/>
  <c r="O489" i="58"/>
  <c r="O226" i="58"/>
  <c r="O81" i="58"/>
  <c r="O779" i="58"/>
  <c r="O129" i="58"/>
  <c r="O237" i="58"/>
  <c r="O491" i="58"/>
  <c r="O593" i="58"/>
  <c r="O533" i="58"/>
  <c r="O529" i="58"/>
  <c r="O1042" i="58"/>
  <c r="O618" i="58"/>
  <c r="O984" i="58"/>
  <c r="O969" i="58"/>
  <c r="O917" i="58"/>
  <c r="O154" i="58"/>
  <c r="O683" i="58"/>
  <c r="O560" i="58"/>
  <c r="O690" i="58"/>
  <c r="O372" i="58"/>
  <c r="O478" i="58"/>
  <c r="O1035" i="58"/>
  <c r="O344" i="58"/>
  <c r="M301" i="58"/>
  <c r="O32" i="58"/>
  <c r="O937" i="58"/>
  <c r="O102" i="58"/>
  <c r="O846" i="58"/>
  <c r="O1012" i="58"/>
  <c r="O582" i="58"/>
  <c r="O539" i="58"/>
  <c r="O914" i="58"/>
  <c r="O633" i="58"/>
  <c r="O219" i="58"/>
  <c r="O58" i="58"/>
  <c r="M412" i="58"/>
  <c r="O1000" i="58"/>
  <c r="O823" i="58"/>
  <c r="O1097" i="58"/>
  <c r="O364" i="58"/>
  <c r="O842" i="58"/>
  <c r="O638" i="58"/>
  <c r="O126" i="58"/>
  <c r="O956" i="58"/>
  <c r="O856" i="58"/>
  <c r="O512" i="58"/>
  <c r="O745" i="58"/>
  <c r="O626" i="58"/>
  <c r="O580" i="58"/>
  <c r="O1155" i="58"/>
  <c r="O680" i="58"/>
  <c r="M1141" i="58"/>
  <c r="M1140" i="58" s="1"/>
  <c r="O78" i="58"/>
  <c r="O877" i="58"/>
  <c r="O53" i="58"/>
  <c r="O1043" i="58"/>
  <c r="O72" i="58"/>
  <c r="O1078" i="58"/>
  <c r="O513" i="58"/>
  <c r="O995" i="58"/>
  <c r="O229" i="58"/>
  <c r="O545" i="58"/>
  <c r="O715" i="58"/>
  <c r="O642" i="58"/>
  <c r="O1188" i="58"/>
  <c r="O1058" i="58"/>
  <c r="O468" i="58"/>
  <c r="O496" i="58"/>
  <c r="O136" i="58"/>
  <c r="O777" i="58"/>
  <c r="O151" i="58"/>
  <c r="O749" i="58"/>
  <c r="O579" i="58"/>
  <c r="O916" i="58"/>
  <c r="O294" i="58"/>
  <c r="O993" i="58"/>
  <c r="O901" i="58"/>
  <c r="O223" i="58"/>
  <c r="O474" i="58"/>
  <c r="O561" i="58"/>
  <c r="O553" i="58"/>
  <c r="O182" i="58"/>
  <c r="O1041" i="58"/>
  <c r="O1156" i="58"/>
  <c r="O787" i="58"/>
  <c r="O357" i="58"/>
  <c r="O107" i="58"/>
  <c r="O254" i="58"/>
  <c r="O950" i="58"/>
  <c r="O835" i="58"/>
  <c r="O802" i="58"/>
  <c r="O311" i="58"/>
  <c r="O725" i="58"/>
  <c r="O1162" i="58"/>
  <c r="O305" i="58"/>
  <c r="O33" i="58"/>
  <c r="O900" i="58"/>
  <c r="O596" i="58"/>
  <c r="O552" i="58"/>
  <c r="O798" i="58"/>
  <c r="O1060" i="58"/>
  <c r="O16" i="58"/>
  <c r="O815" i="58"/>
  <c r="O559" i="58"/>
  <c r="O913" i="58"/>
  <c r="O731" i="58"/>
  <c r="O760" i="58"/>
  <c r="O146" i="58"/>
  <c r="O840" i="58"/>
  <c r="O726" i="58"/>
  <c r="O723" i="58"/>
  <c r="O461" i="58"/>
  <c r="O694" i="58"/>
  <c r="O105" i="58"/>
  <c r="O794" i="58"/>
  <c r="O812" i="58"/>
  <c r="O1084" i="58"/>
  <c r="O518" i="58"/>
  <c r="O962" i="58"/>
  <c r="O303" i="58"/>
  <c r="O951" i="58"/>
  <c r="O635" i="58"/>
  <c r="O970" i="58"/>
  <c r="D179" i="59"/>
  <c r="O1077" i="58"/>
  <c r="O1047" i="58"/>
  <c r="O650" i="58"/>
  <c r="O142" i="58"/>
  <c r="O957" i="58"/>
  <c r="O892" i="58"/>
  <c r="O330" i="58"/>
  <c r="O613" i="58"/>
  <c r="O588" i="58"/>
  <c r="O57" i="58"/>
  <c r="O615" i="58"/>
  <c r="O948" i="58"/>
  <c r="O1094" i="58"/>
  <c r="O857" i="58"/>
  <c r="O41" i="58"/>
  <c r="O368" i="58"/>
  <c r="O314" i="58"/>
  <c r="O106" i="58"/>
  <c r="O569" i="58"/>
  <c r="O1034" i="58"/>
  <c r="O684" i="58"/>
  <c r="O371" i="58"/>
  <c r="O784" i="58"/>
  <c r="O640" i="58"/>
  <c r="O21" i="58"/>
  <c r="O313" i="58"/>
  <c r="O332" i="58"/>
  <c r="O500" i="58"/>
  <c r="O889" i="58"/>
  <c r="O827" i="58"/>
  <c r="O748" i="58"/>
  <c r="O527" i="58"/>
  <c r="O674" i="58"/>
  <c r="O1010" i="58"/>
  <c r="O643" i="58"/>
  <c r="O721" i="58"/>
  <c r="M1100" i="58"/>
  <c r="O923" i="58"/>
  <c r="O644" i="58"/>
  <c r="O328" i="58"/>
  <c r="O163" i="58"/>
  <c r="O457" i="58"/>
  <c r="O241" i="58"/>
  <c r="O514" i="58"/>
  <c r="O866" i="58"/>
  <c r="O852" i="58"/>
  <c r="O820" i="58"/>
  <c r="O469" i="58"/>
  <c r="O808" i="58"/>
  <c r="O1157" i="58"/>
  <c r="O961" i="58"/>
  <c r="O685" i="58"/>
  <c r="O1045" i="58"/>
  <c r="O780" i="58"/>
  <c r="O630" i="58"/>
  <c r="O475" i="58"/>
  <c r="O905" i="58"/>
  <c r="O795" i="58"/>
  <c r="O1031" i="58"/>
  <c r="O874" i="58"/>
  <c r="O31" i="58"/>
  <c r="O1019" i="58"/>
  <c r="O56" i="58"/>
  <c r="O894" i="58"/>
  <c r="O244" i="58"/>
  <c r="O376" i="58"/>
  <c r="O829" i="58"/>
  <c r="O875" i="58"/>
  <c r="O342" i="58"/>
  <c r="O811" i="58"/>
  <c r="O532" i="58"/>
  <c r="O695" i="58"/>
  <c r="O858" i="58"/>
  <c r="O299" i="58"/>
  <c r="O1072" i="58"/>
  <c r="O530" i="58"/>
  <c r="O996" i="58"/>
  <c r="O1093" i="58"/>
  <c r="O359" i="58"/>
  <c r="O709" i="58"/>
  <c r="O36" i="58"/>
  <c r="O903" i="58"/>
  <c r="O863" i="58"/>
  <c r="O464" i="58"/>
  <c r="O447" i="58"/>
  <c r="O71" i="58"/>
  <c r="O242" i="58"/>
  <c r="O162" i="58"/>
  <c r="O458" i="58"/>
  <c r="O700" i="58"/>
  <c r="O554" i="58"/>
  <c r="O972" i="58"/>
  <c r="O445" i="58"/>
  <c r="O971" i="58"/>
  <c r="O634" i="58"/>
  <c r="O767" i="58"/>
  <c r="O624" i="58"/>
  <c r="O968" i="58"/>
  <c r="O600" i="58"/>
  <c r="O895" i="58"/>
  <c r="O985" i="58"/>
  <c r="O378" i="58"/>
  <c r="O22" i="58"/>
  <c r="O369" i="58"/>
  <c r="O762" i="58"/>
  <c r="O763" i="58"/>
  <c r="O919" i="58"/>
  <c r="O710" i="58"/>
  <c r="O796" i="58"/>
  <c r="O1146" i="58"/>
  <c r="O255" i="58"/>
  <c r="O501" i="58"/>
  <c r="O886" i="58"/>
  <c r="O701" i="58"/>
  <c r="O855" i="58"/>
  <c r="O505" i="58"/>
  <c r="O1044" i="58"/>
  <c r="O679" i="58"/>
  <c r="O444" i="58"/>
  <c r="O663" i="58"/>
  <c r="O490" i="58"/>
  <c r="O681" i="58"/>
  <c r="O35" i="58"/>
  <c r="O87" i="58"/>
  <c r="O771" i="58"/>
  <c r="O705" i="58"/>
  <c r="O865" i="58"/>
  <c r="O861" i="58"/>
  <c r="O949" i="58"/>
  <c r="O959" i="58"/>
  <c r="O516" i="58"/>
  <c r="O238" i="58"/>
  <c r="O879" i="58"/>
  <c r="O699" i="58"/>
  <c r="O90" i="58"/>
  <c r="O1046" i="58"/>
  <c r="O152" i="58"/>
  <c r="O696" i="58"/>
  <c r="O810" i="58"/>
  <c r="O466" i="58"/>
  <c r="O772" i="58"/>
  <c r="O334" i="58"/>
  <c r="O567" i="58"/>
  <c r="O822" i="58"/>
  <c r="O687" i="58"/>
  <c r="O712" i="58"/>
  <c r="O800" i="58"/>
  <c r="O69" i="58"/>
  <c r="O462" i="58"/>
  <c r="O791" i="58"/>
  <c r="O476" i="58"/>
  <c r="O620" i="58"/>
  <c r="O338" i="58"/>
  <c r="O227" i="58"/>
  <c r="O947" i="58"/>
  <c r="O960" i="58"/>
  <c r="O883" i="58"/>
  <c r="O243" i="58"/>
  <c r="O954" i="58"/>
  <c r="O799" i="58"/>
  <c r="O522" i="58"/>
  <c r="O95" i="58"/>
  <c r="O370" i="58"/>
  <c r="O168" i="58"/>
  <c r="O833" i="58"/>
  <c r="O853" i="58"/>
  <c r="O836" i="58"/>
  <c r="O864" i="58"/>
  <c r="O27" i="58"/>
  <c r="O19" i="58"/>
  <c r="O472" i="58"/>
  <c r="O732" i="58"/>
  <c r="O714" i="58"/>
  <c r="O632" i="58"/>
  <c r="O885" i="58"/>
  <c r="O1007" i="58"/>
  <c r="O312" i="58"/>
  <c r="O502" i="58"/>
  <c r="O603" i="58"/>
  <c r="O322" i="58"/>
  <c r="O940" i="58"/>
  <c r="O298" i="58"/>
  <c r="O594" i="58"/>
  <c r="O517" i="58"/>
  <c r="O735" i="58"/>
  <c r="O818" i="58"/>
  <c r="O804" i="58"/>
  <c r="O230" i="58"/>
  <c r="O641" i="58"/>
  <c r="O473" i="58"/>
  <c r="O1144" i="58"/>
  <c r="O345" i="58"/>
  <c r="O831" i="58"/>
  <c r="O1185" i="58"/>
  <c r="O1028" i="58"/>
  <c r="O727" i="58"/>
  <c r="O581" i="58"/>
  <c r="O1186" i="58"/>
  <c r="O998" i="58"/>
  <c r="O945" i="58"/>
  <c r="M606" i="58"/>
  <c r="M246" i="58"/>
  <c r="O565" i="58"/>
  <c r="O551" i="58"/>
  <c r="O1163" i="58"/>
  <c r="O786" i="58"/>
  <c r="O994" i="58"/>
  <c r="O202" i="58"/>
  <c r="O734" i="58"/>
  <c r="O524" i="58"/>
  <c r="O374" i="58"/>
  <c r="O733" i="58"/>
  <c r="O497" i="58"/>
  <c r="O925" i="58"/>
  <c r="O792" i="58"/>
  <c r="O758" i="58"/>
  <c r="O578" i="58"/>
  <c r="O116" i="58"/>
  <c r="O1001" i="58"/>
  <c r="O1056" i="58"/>
  <c r="O101" i="58"/>
  <c r="O28" i="58"/>
  <c r="O612" i="58"/>
  <c r="O319" i="58"/>
  <c r="O953" i="58"/>
  <c r="O471" i="58"/>
  <c r="O590" i="58"/>
  <c r="O754" i="58"/>
  <c r="O510" i="58"/>
  <c r="O941" i="58"/>
  <c r="M541" i="58"/>
  <c r="O127" i="58"/>
  <c r="O602" i="58"/>
  <c r="O955" i="58"/>
  <c r="O70" i="58"/>
  <c r="O880" i="58"/>
  <c r="O697" i="58"/>
  <c r="O310" i="58"/>
  <c r="O197" i="58"/>
  <c r="O887" i="58"/>
  <c r="D182" i="59"/>
  <c r="O629" i="58"/>
  <c r="O1033" i="58"/>
  <c r="O884" i="58"/>
  <c r="O1153" i="58"/>
  <c r="O610" i="58"/>
  <c r="O689" i="58"/>
  <c r="O200" i="58"/>
  <c r="O942" i="58"/>
  <c r="O598" i="58"/>
  <c r="O293" i="58"/>
  <c r="O482" i="58"/>
  <c r="O260" i="58"/>
  <c r="O862" i="58"/>
  <c r="O477" i="58"/>
  <c r="O783" i="58"/>
  <c r="O1013" i="58"/>
  <c r="O757" i="58"/>
  <c r="O915" i="58"/>
  <c r="O975" i="58"/>
  <c r="O592" i="58"/>
  <c r="O737" i="58"/>
  <c r="O363" i="58"/>
  <c r="O531" i="58"/>
  <c r="O935" i="58"/>
  <c r="O958" i="58"/>
  <c r="O483" i="58"/>
  <c r="O92" i="58"/>
  <c r="O1057" i="58"/>
  <c r="O759" i="58"/>
  <c r="O770" i="58"/>
  <c r="M177" i="58"/>
  <c r="O1051" i="58"/>
  <c r="O454" i="58"/>
  <c r="O773" i="58"/>
  <c r="O456" i="58"/>
  <c r="O1151" i="58"/>
  <c r="O819" i="58"/>
  <c r="O841" i="58"/>
  <c r="O88" i="58"/>
  <c r="M405" i="58"/>
  <c r="O665" i="58"/>
  <c r="O1096" i="58"/>
  <c r="O1029" i="58"/>
  <c r="O181" i="58"/>
  <c r="O210" i="58"/>
  <c r="O199" i="58"/>
  <c r="O131" i="58"/>
  <c r="O504" i="58"/>
  <c r="O926" i="58"/>
  <c r="O651" i="58"/>
  <c r="O616" i="58"/>
  <c r="O566" i="58"/>
  <c r="O448" i="58"/>
  <c r="O148" i="58"/>
  <c r="O535" i="58"/>
  <c r="O1165" i="58"/>
  <c r="O1083" i="58"/>
  <c r="O724" i="58"/>
  <c r="O639" i="58"/>
  <c r="O147" i="58"/>
  <c r="O813" i="58"/>
  <c r="O80" i="58"/>
  <c r="O982" i="58"/>
  <c r="O37" i="58"/>
  <c r="O463" i="58"/>
  <c r="O320" i="58"/>
  <c r="O304" i="58"/>
  <c r="O132" i="58"/>
  <c r="O570" i="58"/>
  <c r="O1152" i="58"/>
  <c r="O860" i="58"/>
  <c r="O1049" i="58"/>
  <c r="O847" i="58"/>
  <c r="O1050" i="58"/>
  <c r="O834" i="58"/>
  <c r="O707" i="58"/>
  <c r="O988" i="58"/>
  <c r="O333" i="58"/>
  <c r="O89" i="58"/>
  <c r="O308" i="58"/>
  <c r="O470" i="58"/>
  <c r="O652" i="58"/>
  <c r="O203" i="58"/>
  <c r="O356" i="58"/>
  <c r="O888" i="58"/>
  <c r="O747" i="58"/>
  <c r="O30" i="58"/>
  <c r="O317" i="58"/>
  <c r="O843" i="58"/>
  <c r="O1030" i="58"/>
  <c r="M66" i="58"/>
  <c r="O876" i="58"/>
  <c r="O803" i="58"/>
  <c r="O711" i="58"/>
  <c r="O544" i="58"/>
  <c r="O623" i="58"/>
  <c r="O981" i="58"/>
  <c r="O980" i="58"/>
  <c r="O973" i="58"/>
  <c r="O904" i="58"/>
  <c r="O479" i="58"/>
  <c r="O686" i="58"/>
  <c r="O682" i="58"/>
  <c r="O186" i="58"/>
  <c r="O408" i="58"/>
  <c r="O174" i="58"/>
  <c r="M83" i="58"/>
  <c r="M48" i="58"/>
  <c r="M586" i="58"/>
  <c r="M289" i="58"/>
  <c r="O212" i="58"/>
  <c r="M74" i="58"/>
  <c r="O1017" i="58"/>
  <c r="O909" i="58"/>
  <c r="O335" i="58"/>
  <c r="O1145" i="58"/>
  <c r="M547" i="58"/>
  <c r="O550" i="58"/>
  <c r="O158" i="58"/>
  <c r="O306" i="58"/>
  <c r="O830" i="58"/>
  <c r="M574" i="58"/>
  <c r="O1023" i="58"/>
  <c r="O76" i="58"/>
  <c r="O720" i="58"/>
  <c r="O354" i="58"/>
  <c r="O608" i="58"/>
  <c r="O657" i="58"/>
  <c r="O664" i="58"/>
  <c r="O1076" i="58"/>
  <c r="O706" i="58"/>
  <c r="O793" i="58"/>
  <c r="O486" i="58"/>
  <c r="O1064" i="58"/>
  <c r="O934" i="58"/>
  <c r="O992" i="58"/>
  <c r="O85" i="58"/>
  <c r="O459" i="58"/>
  <c r="O591" i="58"/>
  <c r="O366" i="58"/>
  <c r="O291" i="58"/>
  <c r="O511" i="58"/>
  <c r="O670" i="58"/>
  <c r="O68" i="58"/>
  <c r="O851" i="58"/>
  <c r="O743" i="58"/>
  <c r="O678" i="58"/>
  <c r="O983" i="58"/>
  <c r="M556" i="58"/>
  <c r="O543" i="58"/>
  <c r="O1008" i="58"/>
  <c r="O873" i="58"/>
  <c r="O558" i="58"/>
  <c r="O649" i="58"/>
  <c r="A10" i="60"/>
  <c r="A11" i="60" s="1"/>
  <c r="A12" i="60" s="1"/>
  <c r="A13" i="60" s="1"/>
  <c r="A14" i="60" s="1"/>
  <c r="A15" i="60" s="1"/>
  <c r="A16" i="60" s="1"/>
  <c r="A17" i="60" s="1"/>
  <c r="A18" i="60" s="1"/>
  <c r="A19" i="60" s="1"/>
  <c r="A20" i="60" s="1"/>
  <c r="A21" i="60" s="1"/>
  <c r="A22" i="60" s="1"/>
  <c r="A23" i="60" s="1"/>
  <c r="A24" i="60" s="1"/>
  <c r="A25" i="60" s="1"/>
  <c r="A26" i="60" s="1"/>
  <c r="A27" i="60" s="1"/>
  <c r="A28" i="60" s="1"/>
  <c r="A29" i="60" s="1"/>
  <c r="A30" i="60" s="1"/>
  <c r="A31" i="60" s="1"/>
  <c r="A32" i="60" s="1"/>
  <c r="A33" i="60" s="1"/>
  <c r="A34" i="60" s="1"/>
  <c r="A35" i="60" s="1"/>
  <c r="A36" i="60" s="1"/>
  <c r="A37" i="60" s="1"/>
  <c r="A38" i="60" s="1"/>
  <c r="A39" i="60" s="1"/>
  <c r="A40" i="60" s="1"/>
  <c r="A41" i="60" s="1"/>
  <c r="A42" i="60" s="1"/>
  <c r="A43" i="60" s="1"/>
  <c r="A44" i="60" s="1"/>
  <c r="A45" i="60" s="1"/>
  <c r="A46" i="60" s="1"/>
  <c r="A47" i="60" s="1"/>
  <c r="A48" i="60" s="1"/>
  <c r="A49" i="60" s="1"/>
  <c r="A50" i="60" s="1"/>
  <c r="A51" i="60" s="1"/>
  <c r="A52" i="60" s="1"/>
  <c r="A53" i="60" s="1"/>
  <c r="A54" i="60" s="1"/>
  <c r="A55" i="60" s="1"/>
  <c r="A56" i="60" s="1"/>
  <c r="A57" i="60" s="1"/>
  <c r="A58" i="60" s="1"/>
  <c r="A59" i="60" s="1"/>
  <c r="A60" i="60" s="1"/>
  <c r="A61" i="60" s="1"/>
  <c r="A62" i="60" s="1"/>
  <c r="A63" i="60" s="1"/>
  <c r="A64" i="60" s="1"/>
  <c r="A65" i="60" s="1"/>
  <c r="A66" i="60" s="1"/>
  <c r="A67" i="60" s="1"/>
  <c r="A68" i="60" s="1"/>
  <c r="A69" i="60" s="1"/>
  <c r="A70" i="60" s="1"/>
  <c r="A71" i="60" s="1"/>
  <c r="A72" i="60" s="1"/>
  <c r="A73" i="60" s="1"/>
  <c r="A74" i="60" s="1"/>
  <c r="A75" i="60" s="1"/>
  <c r="A76" i="60" s="1"/>
  <c r="A77" i="60" s="1"/>
  <c r="A78" i="60" s="1"/>
  <c r="A79" i="60" s="1"/>
  <c r="A80" i="60" s="1"/>
  <c r="A81" i="60" s="1"/>
  <c r="A82" i="60" s="1"/>
  <c r="A83" i="60" s="1"/>
  <c r="A84" i="60" s="1"/>
  <c r="A85" i="60" s="1"/>
  <c r="A86" i="60" s="1"/>
  <c r="A87" i="60" s="1"/>
  <c r="A88" i="60" s="1"/>
  <c r="A89" i="60" s="1"/>
  <c r="A90" i="60" s="1"/>
  <c r="A91" i="60" s="1"/>
  <c r="A92" i="60" s="1"/>
  <c r="A93" i="60" s="1"/>
  <c r="A94" i="60" s="1"/>
  <c r="A95" i="60" s="1"/>
  <c r="A96" i="60" s="1"/>
  <c r="A97" i="60" s="1"/>
  <c r="A98" i="60" s="1"/>
  <c r="A99" i="60" s="1"/>
  <c r="A100" i="60" s="1"/>
  <c r="A101" i="60" s="1"/>
  <c r="A102" i="60" s="1"/>
  <c r="A103" i="60" s="1"/>
  <c r="A104" i="60" s="1"/>
  <c r="A105" i="60" s="1"/>
  <c r="A106" i="60" s="1"/>
  <c r="A107" i="60" s="1"/>
  <c r="A108" i="60" s="1"/>
  <c r="A109" i="60" s="1"/>
  <c r="A110" i="60" s="1"/>
  <c r="A111" i="60" s="1"/>
  <c r="A112" i="60" s="1"/>
  <c r="A113" i="60" s="1"/>
  <c r="A114" i="60" s="1"/>
  <c r="A115" i="60" s="1"/>
  <c r="A116" i="60" s="1"/>
  <c r="A117" i="60" s="1"/>
  <c r="A118" i="60" s="1"/>
  <c r="A119" i="60" s="1"/>
  <c r="A120" i="60" s="1"/>
  <c r="A121" i="60" s="1"/>
  <c r="A122" i="60" s="1"/>
  <c r="A123" i="60" s="1"/>
  <c r="A124" i="60" s="1"/>
  <c r="A125" i="60" s="1"/>
  <c r="A126" i="60" s="1"/>
  <c r="A127" i="60" s="1"/>
  <c r="A128" i="60" s="1"/>
  <c r="A129" i="60" s="1"/>
  <c r="A130" i="60" s="1"/>
  <c r="A131" i="60" s="1"/>
  <c r="A132" i="60" s="1"/>
  <c r="A133" i="60" s="1"/>
  <c r="A134" i="60" s="1"/>
  <c r="A135" i="60" s="1"/>
  <c r="A136" i="60" s="1"/>
  <c r="A137" i="60" s="1"/>
  <c r="A138" i="60" s="1"/>
  <c r="A139" i="60" s="1"/>
  <c r="A140" i="60" s="1"/>
  <c r="A141" i="60" s="1"/>
  <c r="A142" i="60" s="1"/>
  <c r="A143" i="60" s="1"/>
  <c r="A144" i="60" s="1"/>
  <c r="A145" i="60" s="1"/>
  <c r="A146" i="60" s="1"/>
  <c r="A147" i="60" s="1"/>
  <c r="A148" i="60" s="1"/>
  <c r="A149" i="60" s="1"/>
  <c r="A150" i="60" s="1"/>
  <c r="A151" i="60" s="1"/>
  <c r="A152" i="60" s="1"/>
  <c r="A153" i="60" s="1"/>
  <c r="A154" i="60" s="1"/>
  <c r="A155" i="60" s="1"/>
  <c r="A156" i="60" s="1"/>
  <c r="A157" i="60" s="1"/>
  <c r="A158" i="60" s="1"/>
  <c r="A159" i="60" s="1"/>
  <c r="A160" i="60" s="1"/>
  <c r="A161" i="60" s="1"/>
  <c r="A162" i="60" s="1"/>
  <c r="A163" i="60" s="1"/>
  <c r="A164" i="60" s="1"/>
  <c r="A165" i="60" s="1"/>
  <c r="A166" i="60" s="1"/>
  <c r="A167" i="60" s="1"/>
  <c r="A168" i="60" s="1"/>
  <c r="A169" i="60" s="1"/>
  <c r="A170" i="60" s="1"/>
  <c r="A171" i="60" s="1"/>
  <c r="A172" i="60" s="1"/>
  <c r="A173" i="60" s="1"/>
  <c r="A174" i="60" s="1"/>
  <c r="A175" i="60" s="1"/>
  <c r="A176" i="60" s="1"/>
  <c r="A177" i="60" s="1"/>
  <c r="A178" i="60" s="1"/>
  <c r="A179" i="60" s="1"/>
  <c r="A180" i="60" s="1"/>
  <c r="A181" i="60" s="1"/>
  <c r="A182" i="60" s="1"/>
  <c r="A183" i="60" s="1"/>
  <c r="A184" i="60" s="1"/>
  <c r="A185" i="60" s="1"/>
  <c r="A186" i="60" s="1"/>
  <c r="A187" i="60" s="1"/>
  <c r="A188" i="60" s="1"/>
  <c r="A189" i="60" s="1"/>
  <c r="A190" i="60" s="1"/>
  <c r="A191" i="60" s="1"/>
  <c r="A192" i="60" s="1"/>
  <c r="A193" i="60" s="1"/>
  <c r="A194" i="60" s="1"/>
  <c r="A195" i="60" s="1"/>
  <c r="A196" i="60" s="1"/>
  <c r="A197" i="60" s="1"/>
  <c r="A198" i="60" s="1"/>
  <c r="A199" i="60" s="1"/>
  <c r="A200" i="60" s="1"/>
  <c r="A201" i="60" s="1"/>
  <c r="A202" i="60" s="1"/>
  <c r="A203" i="60" s="1"/>
  <c r="A204" i="60" s="1"/>
  <c r="A205" i="60" s="1"/>
  <c r="A206" i="60" s="1"/>
  <c r="A207" i="60" s="1"/>
  <c r="A208" i="60" s="1"/>
  <c r="A209" i="60" s="1"/>
  <c r="A210" i="60" s="1"/>
  <c r="A211" i="60" s="1"/>
  <c r="A212" i="60" s="1"/>
  <c r="A213" i="60" s="1"/>
  <c r="A214" i="60" s="1"/>
  <c r="A215" i="60" s="1"/>
  <c r="A216" i="60" s="1"/>
  <c r="A217" i="60" s="1"/>
  <c r="A218" i="60" s="1"/>
  <c r="A219" i="60" s="1"/>
  <c r="A220" i="60" s="1"/>
  <c r="A221" i="60" s="1"/>
  <c r="A222" i="60" s="1"/>
  <c r="A223" i="60" s="1"/>
  <c r="A224" i="60" s="1"/>
  <c r="A225" i="60" s="1"/>
  <c r="A226" i="60" s="1"/>
  <c r="A227" i="60" s="1"/>
  <c r="A228" i="60" s="1"/>
  <c r="A229" i="60" s="1"/>
  <c r="A230" i="60" s="1"/>
  <c r="A231" i="60" s="1"/>
  <c r="A232" i="60" s="1"/>
  <c r="A233" i="60" s="1"/>
  <c r="A234" i="60" s="1"/>
  <c r="A235" i="60" s="1"/>
  <c r="A236" i="60" s="1"/>
  <c r="A237" i="60" s="1"/>
  <c r="A238" i="60" s="1"/>
  <c r="A239" i="60" s="1"/>
  <c r="A240" i="60" s="1"/>
  <c r="A241" i="60" s="1"/>
  <c r="A242" i="60" s="1"/>
  <c r="A243" i="60" s="1"/>
  <c r="A244" i="60" s="1"/>
  <c r="A245" i="60" s="1"/>
  <c r="A246" i="60" s="1"/>
  <c r="A247" i="60" s="1"/>
  <c r="A248" i="60" s="1"/>
  <c r="A249" i="60" s="1"/>
  <c r="A250" i="60" s="1"/>
  <c r="A251" i="60" s="1"/>
  <c r="A252" i="60" s="1"/>
  <c r="A253" i="60" s="1"/>
  <c r="A254" i="60" s="1"/>
  <c r="A255" i="60" s="1"/>
  <c r="A256" i="60" s="1"/>
  <c r="A257" i="60" s="1"/>
  <c r="A258" i="60" s="1"/>
  <c r="A259" i="60" s="1"/>
  <c r="A260" i="60" s="1"/>
  <c r="A261" i="60" s="1"/>
  <c r="A262" i="60" s="1"/>
  <c r="A263" i="60" s="1"/>
  <c r="A264" i="60" s="1"/>
  <c r="A265" i="60" s="1"/>
  <c r="A266" i="60" s="1"/>
  <c r="A267" i="60" s="1"/>
  <c r="A268" i="60" s="1"/>
  <c r="A269" i="60" s="1"/>
  <c r="A270" i="60" s="1"/>
  <c r="A271" i="60" s="1"/>
  <c r="A272" i="60" s="1"/>
  <c r="A273" i="60" s="1"/>
  <c r="A274" i="60" s="1"/>
  <c r="A275" i="60" s="1"/>
  <c r="A276" i="60" s="1"/>
  <c r="A277" i="60" s="1"/>
  <c r="A278" i="60" s="1"/>
  <c r="A279" i="60" s="1"/>
  <c r="A280" i="60" s="1"/>
  <c r="A281" i="60" s="1"/>
  <c r="A282" i="60" s="1"/>
  <c r="A283" i="60" s="1"/>
  <c r="A284" i="60" s="1"/>
  <c r="A285" i="60" s="1"/>
  <c r="A286" i="60" s="1"/>
  <c r="A287" i="60" s="1"/>
  <c r="A288" i="60" s="1"/>
  <c r="A289" i="60" s="1"/>
  <c r="A290" i="60" s="1"/>
  <c r="A291" i="60" s="1"/>
  <c r="A292" i="60" s="1"/>
  <c r="A293" i="60" s="1"/>
  <c r="A294" i="60" s="1"/>
  <c r="A295" i="60" s="1"/>
  <c r="A296" i="60" s="1"/>
  <c r="A297" i="60" s="1"/>
  <c r="A298" i="60" s="1"/>
  <c r="A299" i="60" s="1"/>
  <c r="A300" i="60" s="1"/>
  <c r="A301" i="60" s="1"/>
  <c r="A302" i="60" s="1"/>
  <c r="A303" i="60" s="1"/>
  <c r="A304" i="60" s="1"/>
  <c r="A305" i="60" s="1"/>
  <c r="A306" i="60" s="1"/>
  <c r="A307" i="60" s="1"/>
  <c r="A308" i="60" s="1"/>
  <c r="A309" i="60" s="1"/>
  <c r="A310" i="60" s="1"/>
  <c r="A311" i="60" s="1"/>
  <c r="A312" i="60" s="1"/>
  <c r="A313" i="60" s="1"/>
  <c r="A314" i="60" s="1"/>
  <c r="A315" i="60" s="1"/>
  <c r="A316" i="60" s="1"/>
  <c r="A317" i="60" s="1"/>
  <c r="A318" i="60" s="1"/>
  <c r="A319" i="60" s="1"/>
  <c r="A320" i="60" s="1"/>
  <c r="A321" i="60" s="1"/>
  <c r="A322" i="60" s="1"/>
  <c r="A323" i="60" s="1"/>
  <c r="A324" i="60" s="1"/>
  <c r="A325" i="60" s="1"/>
  <c r="A326" i="60" s="1"/>
  <c r="A327" i="60" s="1"/>
  <c r="A328" i="60" s="1"/>
  <c r="A329" i="60" s="1"/>
  <c r="A330" i="60" s="1"/>
  <c r="A331" i="60" s="1"/>
  <c r="A332" i="60" s="1"/>
  <c r="A333" i="60" s="1"/>
  <c r="A334" i="60" s="1"/>
  <c r="A335" i="60" s="1"/>
  <c r="A336" i="60" s="1"/>
  <c r="A337" i="60" s="1"/>
  <c r="A338" i="60" s="1"/>
  <c r="A339" i="60" s="1"/>
  <c r="A340" i="60" s="1"/>
  <c r="A341" i="60" s="1"/>
  <c r="A342" i="60" s="1"/>
  <c r="A343" i="60" s="1"/>
  <c r="A344" i="60" s="1"/>
  <c r="A345" i="60" s="1"/>
  <c r="A346" i="60" s="1"/>
  <c r="A347" i="60" s="1"/>
  <c r="A348" i="60" s="1"/>
  <c r="A349" i="60" s="1"/>
  <c r="A350" i="60" s="1"/>
  <c r="A351" i="60" s="1"/>
  <c r="A352" i="60" s="1"/>
  <c r="A353" i="60" s="1"/>
  <c r="A354" i="60" s="1"/>
  <c r="A355" i="60" s="1"/>
  <c r="A356" i="60" s="1"/>
  <c r="A357" i="60" s="1"/>
  <c r="A358" i="60" s="1"/>
  <c r="A359" i="60" s="1"/>
  <c r="A360" i="60" s="1"/>
  <c r="A361" i="60" s="1"/>
  <c r="A362" i="60" s="1"/>
  <c r="A363" i="60" s="1"/>
  <c r="A364" i="60" s="1"/>
  <c r="A365" i="60" s="1"/>
  <c r="A366" i="60" s="1"/>
  <c r="A367" i="60" s="1"/>
  <c r="A368" i="60" s="1"/>
  <c r="A369" i="60" s="1"/>
  <c r="A370" i="60" s="1"/>
  <c r="A371" i="60" s="1"/>
  <c r="A372" i="60" s="1"/>
  <c r="A373" i="60" s="1"/>
  <c r="A374" i="60" s="1"/>
  <c r="A375" i="60" s="1"/>
  <c r="A376" i="60" s="1"/>
  <c r="A377" i="60" s="1"/>
  <c r="A378" i="60" s="1"/>
  <c r="A379" i="60" s="1"/>
  <c r="A380" i="60" s="1"/>
  <c r="A381" i="60" s="1"/>
  <c r="A382" i="60" s="1"/>
  <c r="A383" i="60" s="1"/>
  <c r="A384" i="60" s="1"/>
  <c r="A385" i="60" s="1"/>
  <c r="A386" i="60" s="1"/>
  <c r="A387" i="60" s="1"/>
  <c r="A388" i="60" s="1"/>
  <c r="A389" i="60" s="1"/>
  <c r="A390" i="60" s="1"/>
  <c r="A391" i="60" s="1"/>
  <c r="A392" i="60" s="1"/>
  <c r="A393" i="60" s="1"/>
  <c r="A394" i="60" s="1"/>
  <c r="A395" i="60" s="1"/>
  <c r="A396" i="60" s="1"/>
  <c r="A397" i="60" s="1"/>
  <c r="A398" i="60" s="1"/>
  <c r="A399" i="60" s="1"/>
  <c r="A400" i="60" s="1"/>
  <c r="A401" i="60" s="1"/>
  <c r="A402" i="60" s="1"/>
  <c r="A403" i="60" s="1"/>
  <c r="A404" i="60" s="1"/>
  <c r="A405" i="60" s="1"/>
  <c r="A406" i="60" s="1"/>
  <c r="A407" i="60" s="1"/>
  <c r="A408" i="60" s="1"/>
  <c r="A409" i="60" s="1"/>
  <c r="A410" i="60" s="1"/>
  <c r="A411" i="60" s="1"/>
  <c r="A412" i="60" s="1"/>
  <c r="A413" i="60" s="1"/>
  <c r="A414" i="60" s="1"/>
  <c r="A415" i="60" s="1"/>
  <c r="A416" i="60" s="1"/>
  <c r="A417" i="60" s="1"/>
  <c r="A418" i="60" s="1"/>
  <c r="A419" i="60" s="1"/>
  <c r="A420" i="60" s="1"/>
  <c r="A421" i="60" s="1"/>
  <c r="A422" i="60" s="1"/>
  <c r="A423" i="60" s="1"/>
  <c r="A424" i="60" s="1"/>
  <c r="A425" i="60" s="1"/>
  <c r="A426" i="60" s="1"/>
  <c r="A427" i="60" s="1"/>
  <c r="A428" i="60" s="1"/>
  <c r="A429" i="60" s="1"/>
  <c r="A430" i="60" s="1"/>
  <c r="A431" i="60" s="1"/>
  <c r="A432" i="60" s="1"/>
  <c r="A433" i="60" s="1"/>
  <c r="A434" i="60" s="1"/>
  <c r="A435" i="60" s="1"/>
  <c r="A436" i="60" s="1"/>
  <c r="A437" i="60" s="1"/>
  <c r="A438" i="60" s="1"/>
  <c r="A439" i="60" s="1"/>
  <c r="A440" i="60" s="1"/>
  <c r="A441" i="60" s="1"/>
  <c r="A442" i="60" s="1"/>
  <c r="A443" i="60" s="1"/>
  <c r="A444" i="60" s="1"/>
  <c r="A445" i="60" s="1"/>
  <c r="A446" i="60" s="1"/>
  <c r="A447" i="60" s="1"/>
  <c r="A448" i="60" s="1"/>
  <c r="A449" i="60" s="1"/>
  <c r="A450" i="60" s="1"/>
  <c r="A451" i="60" s="1"/>
  <c r="A452" i="60" s="1"/>
  <c r="A453" i="60" s="1"/>
  <c r="A454" i="60" s="1"/>
  <c r="A455" i="60" s="1"/>
  <c r="A456" i="60" s="1"/>
  <c r="A457" i="60" s="1"/>
  <c r="A458" i="60" s="1"/>
  <c r="A459" i="60" s="1"/>
  <c r="A460" i="60" s="1"/>
  <c r="A461" i="60" s="1"/>
  <c r="A462" i="60" s="1"/>
  <c r="A463" i="60" s="1"/>
  <c r="A464" i="60" s="1"/>
  <c r="A465" i="60" s="1"/>
  <c r="A466" i="60" s="1"/>
  <c r="A467" i="60" s="1"/>
  <c r="A468" i="60" s="1"/>
  <c r="A469" i="60" s="1"/>
  <c r="A470" i="60" s="1"/>
  <c r="A471" i="60" s="1"/>
  <c r="A472" i="60" s="1"/>
  <c r="A473" i="60" s="1"/>
  <c r="A474" i="60" s="1"/>
  <c r="A475" i="60" s="1"/>
  <c r="A476" i="60" s="1"/>
  <c r="A477" i="60" s="1"/>
  <c r="A478" i="60" s="1"/>
  <c r="A479" i="60" s="1"/>
  <c r="A480" i="60" s="1"/>
  <c r="A481" i="60" s="1"/>
  <c r="A482" i="60" s="1"/>
  <c r="A483" i="60" s="1"/>
  <c r="A484" i="60" s="1"/>
  <c r="A485" i="60" s="1"/>
  <c r="A486" i="60" s="1"/>
  <c r="A487" i="60" s="1"/>
  <c r="A488" i="60" s="1"/>
  <c r="A489" i="60" s="1"/>
  <c r="A490" i="60" s="1"/>
  <c r="A491" i="60" s="1"/>
  <c r="A492" i="60" s="1"/>
  <c r="A493" i="60" s="1"/>
  <c r="A494" i="60" s="1"/>
  <c r="A495" i="60" s="1"/>
  <c r="A496" i="60" s="1"/>
  <c r="A497" i="60" s="1"/>
  <c r="A498" i="60" s="1"/>
  <c r="A499" i="60" s="1"/>
  <c r="A500" i="60" s="1"/>
  <c r="A501" i="60" s="1"/>
  <c r="A502" i="60" s="1"/>
  <c r="A503" i="60" s="1"/>
  <c r="A504" i="60" s="1"/>
  <c r="A505" i="60" s="1"/>
  <c r="A506" i="60" s="1"/>
  <c r="A507" i="60" s="1"/>
  <c r="A508" i="60" s="1"/>
  <c r="A509" i="60" s="1"/>
  <c r="A510" i="60" s="1"/>
  <c r="A511" i="60" s="1"/>
  <c r="A512" i="60" s="1"/>
  <c r="A513" i="60" s="1"/>
  <c r="A514" i="60" s="1"/>
  <c r="A515" i="60" s="1"/>
  <c r="A516" i="60" s="1"/>
  <c r="A517" i="60" s="1"/>
  <c r="A518" i="60" s="1"/>
  <c r="A519" i="60" s="1"/>
  <c r="A520" i="60" s="1"/>
  <c r="A521" i="60" s="1"/>
  <c r="A522" i="60" s="1"/>
  <c r="A523" i="60" s="1"/>
  <c r="A524" i="60" s="1"/>
  <c r="A525" i="60" s="1"/>
  <c r="A526" i="60" s="1"/>
  <c r="A527" i="60" s="1"/>
  <c r="A528" i="60" s="1"/>
  <c r="A529" i="60" s="1"/>
  <c r="A530" i="60" s="1"/>
  <c r="A531" i="60" s="1"/>
  <c r="A532" i="60" s="1"/>
  <c r="A533" i="60" s="1"/>
  <c r="A534" i="60" s="1"/>
  <c r="A535" i="60" s="1"/>
  <c r="A536" i="60" s="1"/>
  <c r="A537" i="60" s="1"/>
  <c r="A538" i="60" s="1"/>
  <c r="A539" i="60" s="1"/>
  <c r="A540" i="60" s="1"/>
  <c r="A541" i="60" s="1"/>
  <c r="A542" i="60" s="1"/>
  <c r="A543" i="60" s="1"/>
  <c r="A544" i="60" s="1"/>
  <c r="A545" i="60" s="1"/>
  <c r="A546" i="60" s="1"/>
  <c r="A547" i="60" s="1"/>
  <c r="A548" i="60" s="1"/>
  <c r="A549" i="60" s="1"/>
  <c r="A550" i="60" s="1"/>
  <c r="A551" i="60" s="1"/>
  <c r="A552" i="60" s="1"/>
  <c r="A553" i="60" s="1"/>
  <c r="A554" i="60" s="1"/>
  <c r="A555" i="60" s="1"/>
  <c r="A556" i="60" s="1"/>
  <c r="A557" i="60" s="1"/>
  <c r="A558" i="60" s="1"/>
  <c r="A559" i="60" s="1"/>
  <c r="A560" i="60" s="1"/>
  <c r="A561" i="60" s="1"/>
  <c r="A562" i="60" s="1"/>
  <c r="A563" i="60" s="1"/>
  <c r="A564" i="60" s="1"/>
  <c r="A565" i="60" s="1"/>
  <c r="A566" i="60" s="1"/>
  <c r="A567" i="60" s="1"/>
  <c r="A568" i="60" s="1"/>
  <c r="A569" i="60" s="1"/>
  <c r="A570" i="60" s="1"/>
  <c r="A571" i="60" s="1"/>
  <c r="A572" i="60" s="1"/>
  <c r="A573" i="60" s="1"/>
  <c r="A574" i="60" s="1"/>
  <c r="A575" i="60" s="1"/>
  <c r="A576" i="60" s="1"/>
  <c r="A577" i="60" s="1"/>
  <c r="A578" i="60" s="1"/>
  <c r="A579" i="60" s="1"/>
  <c r="A580" i="60" s="1"/>
  <c r="A581" i="60" s="1"/>
  <c r="A582" i="60" s="1"/>
  <c r="A583" i="60" s="1"/>
  <c r="A584" i="60" s="1"/>
  <c r="A585" i="60" s="1"/>
  <c r="A586" i="60" s="1"/>
  <c r="A587" i="60" s="1"/>
  <c r="A588" i="60" s="1"/>
  <c r="A589" i="60" s="1"/>
  <c r="A590" i="60" s="1"/>
  <c r="A591" i="60" s="1"/>
  <c r="A592" i="60" s="1"/>
  <c r="A593" i="60" s="1"/>
  <c r="A594" i="60" s="1"/>
  <c r="A595" i="60" s="1"/>
  <c r="A596" i="60" s="1"/>
  <c r="A597" i="60" s="1"/>
  <c r="A598" i="60" s="1"/>
  <c r="A599" i="60" s="1"/>
  <c r="A600" i="60" s="1"/>
  <c r="A601" i="60" s="1"/>
  <c r="A602" i="60" s="1"/>
  <c r="A603" i="60" s="1"/>
  <c r="A604" i="60" s="1"/>
  <c r="A605" i="60" s="1"/>
  <c r="A606" i="60" s="1"/>
  <c r="A607" i="60" s="1"/>
  <c r="A608" i="60" s="1"/>
  <c r="A609" i="60" s="1"/>
  <c r="A610" i="60" s="1"/>
  <c r="A611" i="60" s="1"/>
  <c r="A612" i="60" s="1"/>
  <c r="A613" i="60" s="1"/>
  <c r="A614" i="60" s="1"/>
  <c r="A615" i="60" s="1"/>
  <c r="A616" i="60" s="1"/>
  <c r="A617" i="60" s="1"/>
  <c r="A618" i="60" s="1"/>
  <c r="A619" i="60" s="1"/>
  <c r="A620" i="60" s="1"/>
  <c r="A621" i="60" s="1"/>
  <c r="A622" i="60" s="1"/>
  <c r="A623" i="60" s="1"/>
  <c r="A624" i="60" s="1"/>
  <c r="A625" i="60" s="1"/>
  <c r="A626" i="60" s="1"/>
  <c r="A627" i="60" s="1"/>
  <c r="A628" i="60" s="1"/>
  <c r="A629" i="60" s="1"/>
  <c r="A630" i="60" s="1"/>
  <c r="A631" i="60" s="1"/>
  <c r="A632" i="60" s="1"/>
  <c r="A633" i="60" s="1"/>
  <c r="A634" i="60" s="1"/>
  <c r="A635" i="60" s="1"/>
  <c r="A636" i="60" s="1"/>
  <c r="A637" i="60" s="1"/>
  <c r="A638" i="60" s="1"/>
  <c r="A639" i="60" s="1"/>
  <c r="A640" i="60" s="1"/>
  <c r="A641" i="60" s="1"/>
  <c r="A642" i="60" s="1"/>
  <c r="A643" i="60" s="1"/>
  <c r="A644" i="60" s="1"/>
  <c r="A645" i="60" s="1"/>
  <c r="A646" i="60" s="1"/>
  <c r="A647" i="60" s="1"/>
  <c r="A648" i="60" s="1"/>
  <c r="A649" i="60" s="1"/>
  <c r="A650" i="60" s="1"/>
  <c r="A651" i="60" s="1"/>
  <c r="A652" i="60" s="1"/>
  <c r="A653" i="60" s="1"/>
  <c r="A654" i="60" s="1"/>
  <c r="A655" i="60" s="1"/>
  <c r="A656" i="60" s="1"/>
  <c r="A657" i="60" s="1"/>
  <c r="A658" i="60" s="1"/>
  <c r="A659" i="60" s="1"/>
  <c r="A660" i="60" s="1"/>
  <c r="A661" i="60" s="1"/>
  <c r="A662" i="60" s="1"/>
  <c r="A663" i="60" s="1"/>
  <c r="A664" i="60" s="1"/>
  <c r="A665" i="60" s="1"/>
  <c r="A666" i="60" s="1"/>
  <c r="A667" i="60" s="1"/>
  <c r="A668" i="60" s="1"/>
  <c r="A669" i="60" s="1"/>
  <c r="A670" i="60" s="1"/>
  <c r="A671" i="60" s="1"/>
  <c r="A672" i="60" s="1"/>
  <c r="A673" i="60" s="1"/>
  <c r="A674" i="60" s="1"/>
  <c r="A675" i="60" s="1"/>
  <c r="A676" i="60" s="1"/>
  <c r="A677" i="60" s="1"/>
  <c r="A678" i="60" s="1"/>
  <c r="A679" i="60" s="1"/>
  <c r="A680" i="60" s="1"/>
  <c r="A681" i="60" s="1"/>
  <c r="A682" i="60" s="1"/>
  <c r="A683" i="60" s="1"/>
  <c r="A684" i="60" s="1"/>
  <c r="A685" i="60" s="1"/>
  <c r="A686" i="60" s="1"/>
  <c r="A687" i="60" s="1"/>
  <c r="A688" i="60" s="1"/>
  <c r="A689" i="60" s="1"/>
  <c r="A690" i="60" s="1"/>
  <c r="A691" i="60" s="1"/>
  <c r="A692" i="60" s="1"/>
  <c r="A693" i="60" s="1"/>
  <c r="A694" i="60" s="1"/>
  <c r="A695" i="60" s="1"/>
  <c r="A696" i="60" s="1"/>
  <c r="A697" i="60" s="1"/>
  <c r="A698" i="60" s="1"/>
  <c r="A699" i="60" s="1"/>
  <c r="A700" i="60" s="1"/>
  <c r="A701" i="60" s="1"/>
  <c r="A702" i="60" s="1"/>
  <c r="A703" i="60" s="1"/>
  <c r="A704" i="60" s="1"/>
  <c r="A705" i="60" s="1"/>
  <c r="A706" i="60" s="1"/>
  <c r="A707" i="60" s="1"/>
  <c r="A708" i="60" s="1"/>
  <c r="A709" i="60" s="1"/>
  <c r="A710" i="60" s="1"/>
  <c r="A711" i="60" s="1"/>
  <c r="A712" i="60" s="1"/>
  <c r="A713" i="60" s="1"/>
  <c r="A714" i="60" s="1"/>
  <c r="A715" i="60" s="1"/>
  <c r="A716" i="60" s="1"/>
  <c r="A717" i="60" s="1"/>
  <c r="A718" i="60" s="1"/>
  <c r="A719" i="60" s="1"/>
  <c r="A720" i="60" s="1"/>
  <c r="A721" i="60" s="1"/>
  <c r="A722" i="60" s="1"/>
  <c r="A723" i="60" s="1"/>
  <c r="A724" i="60" s="1"/>
  <c r="A725" i="60" s="1"/>
  <c r="A726" i="60" s="1"/>
  <c r="A727" i="60" s="1"/>
  <c r="A728" i="60" s="1"/>
  <c r="A729" i="60" s="1"/>
  <c r="A730" i="60" s="1"/>
  <c r="A731" i="60" s="1"/>
  <c r="A732" i="60" s="1"/>
  <c r="A733" i="60" s="1"/>
  <c r="A734" i="60" s="1"/>
  <c r="A735" i="60" s="1"/>
  <c r="A736" i="60" s="1"/>
  <c r="A737" i="60" s="1"/>
  <c r="A738" i="60" s="1"/>
  <c r="A739" i="60" s="1"/>
  <c r="A740" i="60" s="1"/>
  <c r="A741" i="60" s="1"/>
  <c r="A742" i="60" s="1"/>
  <c r="A743" i="60" s="1"/>
  <c r="A744" i="60" s="1"/>
  <c r="A745" i="60" s="1"/>
  <c r="A746" i="60" s="1"/>
  <c r="A747" i="60" s="1"/>
  <c r="A748" i="60" s="1"/>
  <c r="A749" i="60" s="1"/>
  <c r="A750" i="60" s="1"/>
  <c r="A751" i="60" s="1"/>
  <c r="A752" i="60" s="1"/>
  <c r="A753" i="60" s="1"/>
  <c r="A754" i="60" s="1"/>
  <c r="A755" i="60" s="1"/>
  <c r="A756" i="60" s="1"/>
  <c r="A757" i="60" s="1"/>
  <c r="A758" i="60" s="1"/>
  <c r="A759" i="60" s="1"/>
  <c r="A760" i="60" s="1"/>
  <c r="A761" i="60" s="1"/>
  <c r="A762" i="60" s="1"/>
  <c r="A763" i="60" s="1"/>
  <c r="A764" i="60" s="1"/>
  <c r="A765" i="60" s="1"/>
  <c r="A766" i="60" s="1"/>
  <c r="A767" i="60" s="1"/>
  <c r="A768" i="60" s="1"/>
  <c r="A769" i="60" s="1"/>
  <c r="A770" i="60" s="1"/>
  <c r="A771" i="60" s="1"/>
  <c r="A772" i="60" s="1"/>
  <c r="A773" i="60" s="1"/>
  <c r="A774" i="60" s="1"/>
  <c r="A775" i="60" s="1"/>
  <c r="A776" i="60" s="1"/>
  <c r="A777" i="60" s="1"/>
  <c r="A778" i="60" s="1"/>
  <c r="A779" i="60" s="1"/>
  <c r="A780" i="60" s="1"/>
  <c r="A781" i="60" s="1"/>
  <c r="A782" i="60" s="1"/>
  <c r="A783" i="60" s="1"/>
  <c r="A784" i="60" s="1"/>
  <c r="A785" i="60" s="1"/>
  <c r="A786" i="60" s="1"/>
  <c r="A787" i="60" s="1"/>
  <c r="A788" i="60" s="1"/>
  <c r="A789" i="60" s="1"/>
  <c r="A790" i="60" s="1"/>
  <c r="A791" i="60" s="1"/>
  <c r="A792" i="60" s="1"/>
  <c r="A793" i="60" s="1"/>
  <c r="A794" i="60" s="1"/>
  <c r="A795" i="60" s="1"/>
  <c r="A796" i="60" s="1"/>
  <c r="A797" i="60" s="1"/>
  <c r="A798" i="60" s="1"/>
  <c r="A799" i="60" s="1"/>
  <c r="A800" i="60" s="1"/>
  <c r="A801" i="60" s="1"/>
  <c r="A802" i="60" s="1"/>
  <c r="A803" i="60" s="1"/>
  <c r="A804" i="60" s="1"/>
  <c r="A805" i="60" s="1"/>
  <c r="A806" i="60" s="1"/>
  <c r="A807" i="60" s="1"/>
  <c r="A808" i="60" s="1"/>
  <c r="A809" i="60" s="1"/>
  <c r="A810" i="60" s="1"/>
  <c r="A811" i="60" s="1"/>
  <c r="A812" i="60" s="1"/>
  <c r="A813" i="60" s="1"/>
  <c r="A814" i="60" s="1"/>
  <c r="A815" i="60" s="1"/>
  <c r="A816" i="60" s="1"/>
  <c r="A817" i="60" s="1"/>
  <c r="A818" i="60" s="1"/>
  <c r="A819" i="60" s="1"/>
  <c r="A820" i="60" s="1"/>
  <c r="A821" i="60" s="1"/>
  <c r="A822" i="60" s="1"/>
  <c r="A823" i="60" s="1"/>
  <c r="A824" i="60" s="1"/>
  <c r="A825" i="60" s="1"/>
  <c r="A826" i="60" s="1"/>
  <c r="A827" i="60" s="1"/>
  <c r="A828" i="60" s="1"/>
  <c r="A829" i="60" s="1"/>
  <c r="A830" i="60" s="1"/>
  <c r="N113" i="59"/>
  <c r="N110" i="59"/>
  <c r="N107" i="59"/>
  <c r="N101" i="59"/>
  <c r="N98" i="59"/>
  <c r="N95" i="59"/>
  <c r="N92" i="59"/>
  <c r="N89" i="59"/>
  <c r="N86" i="59"/>
  <c r="N83" i="59"/>
  <c r="N80" i="59"/>
  <c r="N77" i="59"/>
  <c r="N74" i="59"/>
  <c r="N71" i="59"/>
  <c r="N68" i="59"/>
  <c r="N65" i="59"/>
  <c r="N59" i="59"/>
  <c r="N53" i="59"/>
  <c r="N47" i="59"/>
  <c r="N41" i="59"/>
  <c r="N104" i="59"/>
  <c r="N56" i="59"/>
  <c r="N50" i="59"/>
  <c r="N44" i="59"/>
  <c r="N38" i="59"/>
  <c r="N29" i="59"/>
  <c r="N26" i="59"/>
  <c r="N23" i="59"/>
  <c r="D92" i="59" l="1"/>
  <c r="D101" i="59"/>
  <c r="D65" i="59"/>
  <c r="D170" i="59"/>
  <c r="D104" i="59"/>
  <c r="M325" i="58"/>
  <c r="D44" i="59"/>
  <c r="D98" i="59"/>
  <c r="D128" i="59"/>
  <c r="D143" i="59"/>
  <c r="M646" i="58"/>
  <c r="D59" i="59"/>
  <c r="M1179" i="58"/>
  <c r="D137" i="59"/>
  <c r="D140" i="59"/>
  <c r="M931" i="58"/>
  <c r="M493" i="58"/>
  <c r="M667" i="58"/>
  <c r="D29" i="59"/>
  <c r="D41" i="59"/>
  <c r="D131" i="59"/>
  <c r="M869" i="58"/>
  <c r="D47" i="59"/>
  <c r="M451" i="58"/>
  <c r="D113" i="59"/>
  <c r="D74" i="59"/>
  <c r="D86" i="59"/>
  <c r="D134" i="59"/>
  <c r="D110" i="59"/>
  <c r="N20" i="59"/>
  <c r="A831" i="60"/>
  <c r="N17" i="59"/>
  <c r="D122" i="59" l="1"/>
  <c r="D107" i="59"/>
  <c r="D125" i="59"/>
  <c r="D185" i="59"/>
  <c r="A832" i="60"/>
  <c r="A833" i="60" l="1"/>
  <c r="A834" i="60" l="1"/>
  <c r="A835" i="60" l="1"/>
  <c r="A836" i="60" l="1"/>
  <c r="A837" i="60" l="1"/>
  <c r="A838" i="60" l="1"/>
  <c r="H150" i="58"/>
  <c r="M150" i="58" s="1"/>
  <c r="H143" i="58"/>
  <c r="M143" i="58" s="1"/>
  <c r="H141" i="58"/>
  <c r="O141" i="58" l="1"/>
  <c r="H145" i="58"/>
  <c r="M145" i="58" s="1"/>
  <c r="A839" i="60"/>
  <c r="H144" i="58"/>
  <c r="M144" i="58" s="1"/>
  <c r="O150" i="58" l="1"/>
  <c r="O143" i="58"/>
  <c r="A840" i="60"/>
  <c r="H234" i="58"/>
  <c r="M234" i="58" s="1"/>
  <c r="H1193" i="58"/>
  <c r="M1193" i="58" s="1"/>
  <c r="H1098" i="58"/>
  <c r="M1098" i="58" s="1"/>
  <c r="H1095" i="58"/>
  <c r="M1095" i="58" s="1"/>
  <c r="H1092" i="58"/>
  <c r="H1089" i="58"/>
  <c r="H449" i="58"/>
  <c r="M449" i="58" s="1"/>
  <c r="H253" i="58"/>
  <c r="M253" i="58" s="1"/>
  <c r="H231" i="58"/>
  <c r="H225" i="58"/>
  <c r="M225" i="58" s="1"/>
  <c r="H224" i="58"/>
  <c r="M224" i="58" s="1"/>
  <c r="H218" i="58"/>
  <c r="H217" i="58"/>
  <c r="M217" i="58" s="1"/>
  <c r="H216" i="58"/>
  <c r="M216" i="58" s="1"/>
  <c r="H196" i="58"/>
  <c r="M196" i="58" s="1"/>
  <c r="H137" i="58"/>
  <c r="M137" i="58" s="1"/>
  <c r="H64" i="58"/>
  <c r="H46" i="58"/>
  <c r="H42" i="58"/>
  <c r="H40" i="58"/>
  <c r="H18" i="58"/>
  <c r="O144" i="58" l="1"/>
  <c r="O145" i="58"/>
  <c r="O253" i="58"/>
  <c r="O18" i="58"/>
  <c r="O196" i="58"/>
  <c r="O216" i="58"/>
  <c r="O224" i="58"/>
  <c r="O449" i="58"/>
  <c r="M442" i="58"/>
  <c r="M441" i="58" s="1"/>
  <c r="O1089" i="58"/>
  <c r="O46" i="58"/>
  <c r="M44" i="58"/>
  <c r="O1193" i="58"/>
  <c r="M1191" i="58"/>
  <c r="O64" i="58"/>
  <c r="M63" i="58"/>
  <c r="O137" i="58"/>
  <c r="D68" i="59"/>
  <c r="O40" i="58"/>
  <c r="H1090" i="58"/>
  <c r="M1090" i="58" s="1"/>
  <c r="A841" i="60"/>
  <c r="H104" i="58"/>
  <c r="M104" i="58" s="1"/>
  <c r="H1091" i="58"/>
  <c r="M1091" i="58" s="1"/>
  <c r="M214" i="58" l="1"/>
  <c r="D26" i="59"/>
  <c r="O225" i="58"/>
  <c r="O1098" i="58"/>
  <c r="M233" i="58"/>
  <c r="O42" i="58"/>
  <c r="O1092" i="58"/>
  <c r="M221" i="58"/>
  <c r="M195" i="58"/>
  <c r="O1095" i="58"/>
  <c r="M252" i="58"/>
  <c r="O231" i="58"/>
  <c r="O218" i="58"/>
  <c r="M1190" i="58"/>
  <c r="D191" i="59" s="1"/>
  <c r="M14" i="58"/>
  <c r="M119" i="58"/>
  <c r="O234" i="58"/>
  <c r="O217" i="58"/>
  <c r="M39" i="58"/>
  <c r="D23" i="59" s="1"/>
  <c r="D194" i="59"/>
  <c r="D119" i="59"/>
  <c r="D38" i="59"/>
  <c r="A842" i="60"/>
  <c r="D71" i="59" l="1"/>
  <c r="D56" i="59"/>
  <c r="D17" i="59"/>
  <c r="D80" i="59"/>
  <c r="M13" i="58"/>
  <c r="O1090" i="58"/>
  <c r="D83" i="59"/>
  <c r="O1091" i="58"/>
  <c r="D89" i="59"/>
  <c r="O104" i="58"/>
  <c r="M97" i="58"/>
  <c r="M1025" i="58"/>
  <c r="A843" i="60"/>
  <c r="D14" i="59" l="1"/>
  <c r="M868" i="58"/>
  <c r="M62" i="58"/>
  <c r="D50" i="59"/>
  <c r="C12" i="66"/>
  <c r="A844" i="60"/>
  <c r="A845" i="60" l="1"/>
  <c r="A846" i="60" l="1"/>
  <c r="A847" i="60" l="1"/>
  <c r="A848" i="60" l="1"/>
  <c r="A849" i="60" l="1"/>
  <c r="A850" i="60" l="1"/>
  <c r="A851" i="60" l="1"/>
  <c r="A852" i="60" l="1"/>
  <c r="A853" i="60" l="1"/>
  <c r="A854" i="60" l="1"/>
  <c r="A855" i="60" l="1"/>
  <c r="A856" i="60" l="1"/>
  <c r="A857" i="60" l="1"/>
  <c r="A858" i="60" l="1"/>
  <c r="A859" i="60" l="1"/>
  <c r="A860" i="60" l="1"/>
  <c r="A861" i="60" l="1"/>
  <c r="A862" i="60" l="1"/>
  <c r="A863" i="60" l="1"/>
  <c r="A864" i="60" l="1"/>
  <c r="A865" i="60" l="1"/>
  <c r="A866" i="60" l="1"/>
  <c r="A867" i="60" l="1"/>
  <c r="A868" i="60" l="1"/>
  <c r="A869" i="60" l="1"/>
  <c r="A870" i="60" l="1"/>
  <c r="A871" i="60" l="1"/>
  <c r="A872" i="60" l="1"/>
  <c r="A873" i="60" l="1"/>
  <c r="A874" i="60" l="1"/>
  <c r="A875" i="60" l="1"/>
  <c r="A876" i="60" l="1"/>
  <c r="A877" i="60" l="1"/>
  <c r="A878" i="60" l="1"/>
  <c r="A879" i="60" l="1"/>
  <c r="A880" i="60" l="1"/>
  <c r="A881" i="60" l="1"/>
  <c r="A882" i="60" l="1"/>
  <c r="A883" i="60" l="1"/>
  <c r="A884" i="60" l="1"/>
  <c r="A885" i="60" l="1"/>
  <c r="A886" i="60" l="1"/>
  <c r="A887" i="60" l="1"/>
  <c r="A888" i="60" l="1"/>
  <c r="A889" i="60" l="1"/>
  <c r="A890" i="60" l="1"/>
  <c r="A891" i="60" l="1"/>
  <c r="A892" i="60" l="1"/>
  <c r="A893" i="60" l="1"/>
  <c r="A894" i="60" l="1"/>
  <c r="A895" i="60" l="1"/>
  <c r="A896" i="60" l="1"/>
  <c r="A897" i="60" l="1"/>
  <c r="A898" i="60" l="1"/>
  <c r="A899" i="60" l="1"/>
  <c r="A900" i="60" l="1"/>
  <c r="A901" i="60" l="1"/>
  <c r="A902" i="60" l="1"/>
  <c r="A903" i="60" l="1"/>
  <c r="A904" i="60" l="1"/>
  <c r="A905" i="60" l="1"/>
  <c r="A906" i="60" l="1"/>
  <c r="A907" i="60" l="1"/>
  <c r="A908" i="60" l="1"/>
  <c r="A909" i="60" l="1"/>
  <c r="A910" i="60" l="1"/>
  <c r="A911" i="60" l="1"/>
  <c r="A912" i="60" l="1"/>
  <c r="A913" i="60" l="1"/>
  <c r="A914" i="60" l="1"/>
  <c r="A915" i="60" l="1"/>
  <c r="A916" i="60" l="1"/>
  <c r="A917" i="60" l="1"/>
  <c r="A918" i="60" l="1"/>
  <c r="A919" i="60" l="1"/>
  <c r="A920" i="60" l="1"/>
  <c r="A921" i="60" l="1"/>
  <c r="A922" i="60" l="1"/>
  <c r="H282" i="58"/>
  <c r="H281" i="58"/>
  <c r="H280" i="58"/>
  <c r="H279" i="58"/>
  <c r="H278" i="58"/>
  <c r="H277" i="58"/>
  <c r="H275" i="58"/>
  <c r="H274" i="58"/>
  <c r="S33" i="55"/>
  <c r="R33" i="55"/>
  <c r="Q33" i="55"/>
  <c r="S32" i="55"/>
  <c r="R32" i="55"/>
  <c r="Q32" i="55"/>
  <c r="S25" i="55"/>
  <c r="R25" i="55"/>
  <c r="Q25" i="55"/>
  <c r="S24" i="55"/>
  <c r="R24" i="55"/>
  <c r="Q24" i="55"/>
  <c r="S23" i="55"/>
  <c r="R23" i="55"/>
  <c r="Q23" i="55"/>
  <c r="S22" i="55"/>
  <c r="R22" i="55"/>
  <c r="Q22" i="55"/>
  <c r="S21" i="55"/>
  <c r="R21" i="55"/>
  <c r="Q21" i="55"/>
  <c r="S20" i="55"/>
  <c r="R20" i="55"/>
  <c r="Q20" i="55"/>
  <c r="S19" i="55"/>
  <c r="R19" i="55"/>
  <c r="Q19" i="55"/>
  <c r="S18" i="55"/>
  <c r="R18" i="55"/>
  <c r="Q18" i="55"/>
  <c r="S9" i="55"/>
  <c r="R9" i="55"/>
  <c r="Q9" i="55"/>
  <c r="A923" i="60" l="1"/>
  <c r="H264" i="58"/>
  <c r="H276" i="58"/>
  <c r="H285" i="58"/>
  <c r="H272" i="58"/>
  <c r="H286" i="58"/>
  <c r="H284" i="58"/>
  <c r="H283" i="58"/>
  <c r="H287" i="58"/>
  <c r="K22" i="55"/>
  <c r="K28" i="55"/>
  <c r="K32" i="55"/>
  <c r="K20" i="55"/>
  <c r="K23" i="55"/>
  <c r="K26" i="55"/>
  <c r="K33" i="55"/>
  <c r="K21" i="55"/>
  <c r="K24" i="55"/>
  <c r="K27" i="55"/>
  <c r="P33" i="55"/>
  <c r="K25" i="55"/>
  <c r="P25" i="55"/>
  <c r="P19" i="55"/>
  <c r="P32" i="55"/>
  <c r="P20" i="55"/>
  <c r="P24" i="55"/>
  <c r="P21" i="55"/>
  <c r="P22" i="55"/>
  <c r="P23" i="55"/>
  <c r="P18" i="55"/>
  <c r="P9" i="55"/>
  <c r="O285" i="58" l="1"/>
  <c r="O282" i="58"/>
  <c r="O279" i="58"/>
  <c r="O280" i="58"/>
  <c r="O274" i="58"/>
  <c r="O286" i="58"/>
  <c r="A924" i="60"/>
  <c r="O276" i="58" l="1"/>
  <c r="O283" i="58"/>
  <c r="O281" i="58"/>
  <c r="O277" i="58"/>
  <c r="O278" i="58"/>
  <c r="O272" i="58"/>
  <c r="O284" i="58"/>
  <c r="O287" i="58"/>
  <c r="O264" i="58"/>
  <c r="A925" i="60"/>
  <c r="M1203" i="58" l="1"/>
  <c r="O275" i="58"/>
  <c r="M262" i="58"/>
  <c r="A926" i="60"/>
  <c r="M176" i="58" l="1"/>
  <c r="A927" i="60"/>
  <c r="M61" i="58" l="1"/>
  <c r="A928" i="60"/>
  <c r="M1196" i="58" l="1"/>
  <c r="A929" i="60"/>
  <c r="A930" i="60" s="1"/>
  <c r="M1204" i="58" l="1"/>
  <c r="M1198" i="58"/>
  <c r="M1205" i="58"/>
  <c r="A931" i="60"/>
  <c r="S53" i="55" l="1"/>
  <c r="R53" i="55"/>
  <c r="Q53" i="55"/>
  <c r="P53" i="55" l="1"/>
  <c r="S7" i="55" l="1"/>
  <c r="R7" i="55"/>
  <c r="Q7" i="55"/>
  <c r="I7" i="55"/>
  <c r="K7" i="55" s="1"/>
  <c r="F7" i="55"/>
  <c r="S34" i="55"/>
  <c r="R34" i="55"/>
  <c r="Q34" i="55"/>
  <c r="K34" i="55"/>
  <c r="S31" i="55"/>
  <c r="R31" i="55"/>
  <c r="Q31" i="55"/>
  <c r="K31" i="55"/>
  <c r="S30" i="55"/>
  <c r="R30" i="55"/>
  <c r="Q30" i="55"/>
  <c r="K30" i="55"/>
  <c r="S29" i="55"/>
  <c r="R29" i="55"/>
  <c r="Q29" i="55"/>
  <c r="K29" i="55"/>
  <c r="S28" i="55"/>
  <c r="R28" i="55"/>
  <c r="Q28" i="55"/>
  <c r="S27" i="55"/>
  <c r="R27" i="55"/>
  <c r="Q27" i="55"/>
  <c r="S26" i="55"/>
  <c r="R26" i="55"/>
  <c r="Q26" i="55"/>
  <c r="S8" i="55"/>
  <c r="R8" i="55"/>
  <c r="Q8" i="55"/>
  <c r="I8" i="55"/>
  <c r="K8" i="55" s="1"/>
  <c r="S6" i="55"/>
  <c r="R6" i="55"/>
  <c r="Q6" i="55"/>
  <c r="I6" i="55"/>
  <c r="K6" i="55" s="1"/>
  <c r="I35" i="55"/>
  <c r="K35" i="55" s="1"/>
  <c r="K71" i="55"/>
  <c r="K79" i="55"/>
  <c r="K81" i="55"/>
  <c r="K83" i="55"/>
  <c r="K85" i="55"/>
  <c r="K87" i="55"/>
  <c r="K89" i="55"/>
  <c r="K91" i="55"/>
  <c r="K93" i="55"/>
  <c r="K95" i="55"/>
  <c r="K97" i="55"/>
  <c r="K99" i="55"/>
  <c r="K101" i="55"/>
  <c r="K107" i="55"/>
  <c r="K109" i="55"/>
  <c r="K111" i="55"/>
  <c r="K113" i="55"/>
  <c r="S354" i="55"/>
  <c r="R354" i="55"/>
  <c r="Q354" i="55"/>
  <c r="I354" i="55"/>
  <c r="K354" i="55" s="1"/>
  <c r="S353" i="55"/>
  <c r="R353" i="55"/>
  <c r="Q353" i="55"/>
  <c r="I353" i="55"/>
  <c r="K353" i="55" s="1"/>
  <c r="S352" i="55"/>
  <c r="R352" i="55"/>
  <c r="Q352" i="55"/>
  <c r="I352" i="55"/>
  <c r="K352" i="55" s="1"/>
  <c r="S351" i="55"/>
  <c r="R351" i="55"/>
  <c r="Q351" i="55"/>
  <c r="I351" i="55"/>
  <c r="K351" i="55" s="1"/>
  <c r="S350" i="55"/>
  <c r="R350" i="55"/>
  <c r="Q350" i="55"/>
  <c r="I350" i="55"/>
  <c r="K350" i="55" s="1"/>
  <c r="S349" i="55"/>
  <c r="R349" i="55"/>
  <c r="Q349" i="55"/>
  <c r="I349" i="55"/>
  <c r="K349" i="55" s="1"/>
  <c r="S348" i="55"/>
  <c r="R348" i="55"/>
  <c r="Q348" i="55"/>
  <c r="I348" i="55"/>
  <c r="K348" i="55" s="1"/>
  <c r="S347" i="55"/>
  <c r="R347" i="55"/>
  <c r="Q347" i="55"/>
  <c r="I347" i="55"/>
  <c r="K347" i="55" s="1"/>
  <c r="S346" i="55"/>
  <c r="R346" i="55"/>
  <c r="Q346" i="55"/>
  <c r="I346" i="55"/>
  <c r="K346" i="55" s="1"/>
  <c r="S345" i="55"/>
  <c r="R345" i="55"/>
  <c r="Q345" i="55"/>
  <c r="I345" i="55"/>
  <c r="K345" i="55" s="1"/>
  <c r="S344" i="55"/>
  <c r="R344" i="55"/>
  <c r="Q344" i="55"/>
  <c r="I344" i="55"/>
  <c r="K344" i="55" s="1"/>
  <c r="S343" i="55"/>
  <c r="R343" i="55"/>
  <c r="Q343" i="55"/>
  <c r="I343" i="55"/>
  <c r="K343" i="55" s="1"/>
  <c r="S342" i="55"/>
  <c r="R342" i="55"/>
  <c r="Q342" i="55"/>
  <c r="I342" i="55"/>
  <c r="K342" i="55" s="1"/>
  <c r="S341" i="55"/>
  <c r="R341" i="55"/>
  <c r="Q341" i="55"/>
  <c r="I341" i="55"/>
  <c r="K341" i="55" s="1"/>
  <c r="S340" i="55"/>
  <c r="R340" i="55"/>
  <c r="Q340" i="55"/>
  <c r="I340" i="55"/>
  <c r="K340" i="55" s="1"/>
  <c r="S339" i="55"/>
  <c r="R339" i="55"/>
  <c r="Q339" i="55"/>
  <c r="I339" i="55"/>
  <c r="K339" i="55" s="1"/>
  <c r="S338" i="55"/>
  <c r="R338" i="55"/>
  <c r="Q338" i="55"/>
  <c r="I338" i="55"/>
  <c r="K338" i="55" s="1"/>
  <c r="S337" i="55"/>
  <c r="R337" i="55"/>
  <c r="Q337" i="55"/>
  <c r="I337" i="55"/>
  <c r="K337" i="55" s="1"/>
  <c r="S336" i="55"/>
  <c r="R336" i="55"/>
  <c r="Q336" i="55"/>
  <c r="I336" i="55"/>
  <c r="K336" i="55" s="1"/>
  <c r="S335" i="55"/>
  <c r="R335" i="55"/>
  <c r="Q335" i="55"/>
  <c r="I335" i="55"/>
  <c r="K335" i="55" s="1"/>
  <c r="S334" i="55"/>
  <c r="R334" i="55"/>
  <c r="Q334" i="55"/>
  <c r="I334" i="55"/>
  <c r="K334" i="55" s="1"/>
  <c r="S333" i="55"/>
  <c r="R333" i="55"/>
  <c r="Q333" i="55"/>
  <c r="I333" i="55"/>
  <c r="K333" i="55" s="1"/>
  <c r="S332" i="55"/>
  <c r="R332" i="55"/>
  <c r="Q332" i="55"/>
  <c r="I332" i="55"/>
  <c r="K332" i="55" s="1"/>
  <c r="S331" i="55"/>
  <c r="R331" i="55"/>
  <c r="Q331" i="55"/>
  <c r="I331" i="55"/>
  <c r="K331" i="55" s="1"/>
  <c r="S330" i="55"/>
  <c r="R330" i="55"/>
  <c r="Q330" i="55"/>
  <c r="I330" i="55"/>
  <c r="K330" i="55" s="1"/>
  <c r="S329" i="55"/>
  <c r="R329" i="55"/>
  <c r="Q329" i="55"/>
  <c r="I329" i="55"/>
  <c r="K329" i="55" s="1"/>
  <c r="S328" i="55"/>
  <c r="R328" i="55"/>
  <c r="Q328" i="55"/>
  <c r="I328" i="55"/>
  <c r="K328" i="55" s="1"/>
  <c r="S327" i="55"/>
  <c r="R327" i="55"/>
  <c r="Q327" i="55"/>
  <c r="I327" i="55"/>
  <c r="K327" i="55" s="1"/>
  <c r="S326" i="55"/>
  <c r="R326" i="55"/>
  <c r="Q326" i="55"/>
  <c r="I326" i="55"/>
  <c r="K326" i="55" s="1"/>
  <c r="S325" i="55"/>
  <c r="R325" i="55"/>
  <c r="Q325" i="55"/>
  <c r="I325" i="55"/>
  <c r="K325" i="55" s="1"/>
  <c r="S324" i="55"/>
  <c r="R324" i="55"/>
  <c r="Q324" i="55"/>
  <c r="I324" i="55"/>
  <c r="K324" i="55" s="1"/>
  <c r="S323" i="55"/>
  <c r="R323" i="55"/>
  <c r="Q323" i="55"/>
  <c r="I323" i="55"/>
  <c r="K323" i="55" s="1"/>
  <c r="S322" i="55"/>
  <c r="R322" i="55"/>
  <c r="Q322" i="55"/>
  <c r="I322" i="55"/>
  <c r="K322" i="55" s="1"/>
  <c r="S321" i="55"/>
  <c r="R321" i="55"/>
  <c r="Q321" i="55"/>
  <c r="I321" i="55"/>
  <c r="K321" i="55" s="1"/>
  <c r="S320" i="55"/>
  <c r="R320" i="55"/>
  <c r="Q320" i="55"/>
  <c r="I320" i="55"/>
  <c r="K320" i="55" s="1"/>
  <c r="S319" i="55"/>
  <c r="R319" i="55"/>
  <c r="Q319" i="55"/>
  <c r="I319" i="55"/>
  <c r="K319" i="55" s="1"/>
  <c r="S318" i="55"/>
  <c r="R318" i="55"/>
  <c r="Q318" i="55"/>
  <c r="I318" i="55"/>
  <c r="K318" i="55" s="1"/>
  <c r="S317" i="55"/>
  <c r="R317" i="55"/>
  <c r="Q317" i="55"/>
  <c r="I317" i="55"/>
  <c r="K317" i="55" s="1"/>
  <c r="S316" i="55"/>
  <c r="R316" i="55"/>
  <c r="Q316" i="55"/>
  <c r="I316" i="55"/>
  <c r="K316" i="55" s="1"/>
  <c r="S315" i="55"/>
  <c r="R315" i="55"/>
  <c r="Q315" i="55"/>
  <c r="I315" i="55"/>
  <c r="K315" i="55" s="1"/>
  <c r="S314" i="55"/>
  <c r="R314" i="55"/>
  <c r="Q314" i="55"/>
  <c r="I314" i="55"/>
  <c r="K314" i="55" s="1"/>
  <c r="S313" i="55"/>
  <c r="R313" i="55"/>
  <c r="Q313" i="55"/>
  <c r="I313" i="55"/>
  <c r="K313" i="55" s="1"/>
  <c r="S312" i="55"/>
  <c r="R312" i="55"/>
  <c r="Q312" i="55"/>
  <c r="I312" i="55"/>
  <c r="K312" i="55" s="1"/>
  <c r="S311" i="55"/>
  <c r="R311" i="55"/>
  <c r="Q311" i="55"/>
  <c r="I311" i="55"/>
  <c r="K311" i="55" s="1"/>
  <c r="S310" i="55"/>
  <c r="R310" i="55"/>
  <c r="Q310" i="55"/>
  <c r="I310" i="55"/>
  <c r="K310" i="55" s="1"/>
  <c r="S309" i="55"/>
  <c r="R309" i="55"/>
  <c r="Q309" i="55"/>
  <c r="I309" i="55"/>
  <c r="K309" i="55" s="1"/>
  <c r="S308" i="55"/>
  <c r="R308" i="55"/>
  <c r="Q308" i="55"/>
  <c r="I308" i="55"/>
  <c r="K308" i="55" s="1"/>
  <c r="S307" i="55"/>
  <c r="R307" i="55"/>
  <c r="Q307" i="55"/>
  <c r="I307" i="55"/>
  <c r="K307" i="55" s="1"/>
  <c r="S306" i="55"/>
  <c r="R306" i="55"/>
  <c r="Q306" i="55"/>
  <c r="I306" i="55"/>
  <c r="K306" i="55" s="1"/>
  <c r="S305" i="55"/>
  <c r="R305" i="55"/>
  <c r="Q305" i="55"/>
  <c r="I305" i="55"/>
  <c r="K305" i="55" s="1"/>
  <c r="S304" i="55"/>
  <c r="R304" i="55"/>
  <c r="Q304" i="55"/>
  <c r="I304" i="55"/>
  <c r="K304" i="55" s="1"/>
  <c r="S303" i="55"/>
  <c r="R303" i="55"/>
  <c r="Q303" i="55"/>
  <c r="I303" i="55"/>
  <c r="K303" i="55" s="1"/>
  <c r="S302" i="55"/>
  <c r="R302" i="55"/>
  <c r="Q302" i="55"/>
  <c r="I302" i="55"/>
  <c r="K302" i="55" s="1"/>
  <c r="S301" i="55"/>
  <c r="R301" i="55"/>
  <c r="Q301" i="55"/>
  <c r="I301" i="55"/>
  <c r="K301" i="55" s="1"/>
  <c r="S300" i="55"/>
  <c r="R300" i="55"/>
  <c r="Q300" i="55"/>
  <c r="I300" i="55"/>
  <c r="K300" i="55" s="1"/>
  <c r="S299" i="55"/>
  <c r="R299" i="55"/>
  <c r="Q299" i="55"/>
  <c r="I299" i="55"/>
  <c r="K299" i="55" s="1"/>
  <c r="S298" i="55"/>
  <c r="R298" i="55"/>
  <c r="Q298" i="55"/>
  <c r="I298" i="55"/>
  <c r="K298" i="55" s="1"/>
  <c r="S297" i="55"/>
  <c r="R297" i="55"/>
  <c r="Q297" i="55"/>
  <c r="I297" i="55"/>
  <c r="K297" i="55" s="1"/>
  <c r="S296" i="55"/>
  <c r="R296" i="55"/>
  <c r="Q296" i="55"/>
  <c r="I296" i="55"/>
  <c r="K296" i="55" s="1"/>
  <c r="S295" i="55"/>
  <c r="R295" i="55"/>
  <c r="Q295" i="55"/>
  <c r="I295" i="55"/>
  <c r="K295" i="55" s="1"/>
  <c r="S294" i="55"/>
  <c r="R294" i="55"/>
  <c r="Q294" i="55"/>
  <c r="I294" i="55"/>
  <c r="K294" i="55" s="1"/>
  <c r="S293" i="55"/>
  <c r="R293" i="55"/>
  <c r="Q293" i="55"/>
  <c r="I293" i="55"/>
  <c r="K293" i="55" s="1"/>
  <c r="S292" i="55"/>
  <c r="R292" i="55"/>
  <c r="Q292" i="55"/>
  <c r="I292" i="55"/>
  <c r="K292" i="55" s="1"/>
  <c r="S291" i="55"/>
  <c r="R291" i="55"/>
  <c r="Q291" i="55"/>
  <c r="I291" i="55"/>
  <c r="K291" i="55" s="1"/>
  <c r="S290" i="55"/>
  <c r="R290" i="55"/>
  <c r="Q290" i="55"/>
  <c r="I290" i="55"/>
  <c r="K290" i="55" s="1"/>
  <c r="S289" i="55"/>
  <c r="R289" i="55"/>
  <c r="Q289" i="55"/>
  <c r="I289" i="55"/>
  <c r="K289" i="55" s="1"/>
  <c r="S288" i="55"/>
  <c r="R288" i="55"/>
  <c r="Q288" i="55"/>
  <c r="I288" i="55"/>
  <c r="K288" i="55" s="1"/>
  <c r="S287" i="55"/>
  <c r="R287" i="55"/>
  <c r="Q287" i="55"/>
  <c r="I287" i="55"/>
  <c r="K287" i="55" s="1"/>
  <c r="S286" i="55"/>
  <c r="R286" i="55"/>
  <c r="Q286" i="55"/>
  <c r="I286" i="55"/>
  <c r="K286" i="55" s="1"/>
  <c r="S285" i="55"/>
  <c r="R285" i="55"/>
  <c r="Q285" i="55"/>
  <c r="I285" i="55"/>
  <c r="K285" i="55" s="1"/>
  <c r="S284" i="55"/>
  <c r="R284" i="55"/>
  <c r="Q284" i="55"/>
  <c r="I284" i="55"/>
  <c r="K284" i="55" s="1"/>
  <c r="S283" i="55"/>
  <c r="R283" i="55"/>
  <c r="Q283" i="55"/>
  <c r="I283" i="55"/>
  <c r="K283" i="55" s="1"/>
  <c r="S282" i="55"/>
  <c r="R282" i="55"/>
  <c r="Q282" i="55"/>
  <c r="I282" i="55"/>
  <c r="K282" i="55" s="1"/>
  <c r="S281" i="55"/>
  <c r="R281" i="55"/>
  <c r="Q281" i="55"/>
  <c r="I281" i="55"/>
  <c r="K281" i="55" s="1"/>
  <c r="S280" i="55"/>
  <c r="R280" i="55"/>
  <c r="Q280" i="55"/>
  <c r="I280" i="55"/>
  <c r="K280" i="55" s="1"/>
  <c r="S279" i="55"/>
  <c r="R279" i="55"/>
  <c r="Q279" i="55"/>
  <c r="I279" i="55"/>
  <c r="K279" i="55" s="1"/>
  <c r="S278" i="55"/>
  <c r="R278" i="55"/>
  <c r="Q278" i="55"/>
  <c r="I278" i="55"/>
  <c r="K278" i="55" s="1"/>
  <c r="S277" i="55"/>
  <c r="R277" i="55"/>
  <c r="Q277" i="55"/>
  <c r="I277" i="55"/>
  <c r="K277" i="55" s="1"/>
  <c r="S276" i="55"/>
  <c r="R276" i="55"/>
  <c r="Q276" i="55"/>
  <c r="I276" i="55"/>
  <c r="K276" i="55" s="1"/>
  <c r="S275" i="55"/>
  <c r="R275" i="55"/>
  <c r="Q275" i="55"/>
  <c r="I275" i="55"/>
  <c r="K275" i="55" s="1"/>
  <c r="S274" i="55"/>
  <c r="R274" i="55"/>
  <c r="Q274" i="55"/>
  <c r="I274" i="55"/>
  <c r="K274" i="55" s="1"/>
  <c r="S273" i="55"/>
  <c r="R273" i="55"/>
  <c r="Q273" i="55"/>
  <c r="I273" i="55"/>
  <c r="K273" i="55" s="1"/>
  <c r="S272" i="55"/>
  <c r="R272" i="55"/>
  <c r="Q272" i="55"/>
  <c r="I272" i="55"/>
  <c r="K272" i="55" s="1"/>
  <c r="S271" i="55"/>
  <c r="R271" i="55"/>
  <c r="Q271" i="55"/>
  <c r="I271" i="55"/>
  <c r="K271" i="55" s="1"/>
  <c r="S270" i="55"/>
  <c r="R270" i="55"/>
  <c r="Q270" i="55"/>
  <c r="I270" i="55"/>
  <c r="K270" i="55" s="1"/>
  <c r="S269" i="55"/>
  <c r="R269" i="55"/>
  <c r="Q269" i="55"/>
  <c r="I269" i="55"/>
  <c r="K269" i="55" s="1"/>
  <c r="S268" i="55"/>
  <c r="R268" i="55"/>
  <c r="Q268" i="55"/>
  <c r="I268" i="55"/>
  <c r="K268" i="55" s="1"/>
  <c r="S267" i="55"/>
  <c r="R267" i="55"/>
  <c r="Q267" i="55"/>
  <c r="I267" i="55"/>
  <c r="K267" i="55" s="1"/>
  <c r="S266" i="55"/>
  <c r="R266" i="55"/>
  <c r="Q266" i="55"/>
  <c r="I266" i="55"/>
  <c r="K266" i="55" s="1"/>
  <c r="S265" i="55"/>
  <c r="R265" i="55"/>
  <c r="Q265" i="55"/>
  <c r="I265" i="55"/>
  <c r="K265" i="55" s="1"/>
  <c r="S264" i="55"/>
  <c r="R264" i="55"/>
  <c r="Q264" i="55"/>
  <c r="I264" i="55"/>
  <c r="K264" i="55" s="1"/>
  <c r="S263" i="55"/>
  <c r="R263" i="55"/>
  <c r="Q263" i="55"/>
  <c r="I263" i="55"/>
  <c r="K263" i="55" s="1"/>
  <c r="S262" i="55"/>
  <c r="R262" i="55"/>
  <c r="Q262" i="55"/>
  <c r="I262" i="55"/>
  <c r="K262" i="55" s="1"/>
  <c r="S261" i="55"/>
  <c r="R261" i="55"/>
  <c r="Q261" i="55"/>
  <c r="I261" i="55"/>
  <c r="K261" i="55" s="1"/>
  <c r="S260" i="55"/>
  <c r="R260" i="55"/>
  <c r="Q260" i="55"/>
  <c r="I260" i="55"/>
  <c r="K260" i="55" s="1"/>
  <c r="S259" i="55"/>
  <c r="R259" i="55"/>
  <c r="Q259" i="55"/>
  <c r="I259" i="55"/>
  <c r="K259" i="55" s="1"/>
  <c r="S258" i="55"/>
  <c r="R258" i="55"/>
  <c r="Q258" i="55"/>
  <c r="I258" i="55"/>
  <c r="K258" i="55" s="1"/>
  <c r="S257" i="55"/>
  <c r="R257" i="55"/>
  <c r="Q257" i="55"/>
  <c r="I257" i="55"/>
  <c r="K257" i="55" s="1"/>
  <c r="S256" i="55"/>
  <c r="R256" i="55"/>
  <c r="Q256" i="55"/>
  <c r="I256" i="55"/>
  <c r="K256" i="55" s="1"/>
  <c r="S255" i="55"/>
  <c r="R255" i="55"/>
  <c r="Q255" i="55"/>
  <c r="I255" i="55"/>
  <c r="K255" i="55" s="1"/>
  <c r="S254" i="55"/>
  <c r="R254" i="55"/>
  <c r="Q254" i="55"/>
  <c r="I254" i="55"/>
  <c r="K254" i="55" s="1"/>
  <c r="S253" i="55"/>
  <c r="R253" i="55"/>
  <c r="Q253" i="55"/>
  <c r="I253" i="55"/>
  <c r="K253" i="55" s="1"/>
  <c r="S252" i="55"/>
  <c r="R252" i="55"/>
  <c r="Q252" i="55"/>
  <c r="I252" i="55"/>
  <c r="K252" i="55" s="1"/>
  <c r="S251" i="55"/>
  <c r="R251" i="55"/>
  <c r="Q251" i="55"/>
  <c r="I251" i="55"/>
  <c r="K251" i="55" s="1"/>
  <c r="S250" i="55"/>
  <c r="R250" i="55"/>
  <c r="Q250" i="55"/>
  <c r="I250" i="55"/>
  <c r="K250" i="55" s="1"/>
  <c r="S249" i="55"/>
  <c r="R249" i="55"/>
  <c r="Q249" i="55"/>
  <c r="I249" i="55"/>
  <c r="K249" i="55" s="1"/>
  <c r="S248" i="55"/>
  <c r="R248" i="55"/>
  <c r="Q248" i="55"/>
  <c r="I248" i="55"/>
  <c r="K248" i="55" s="1"/>
  <c r="S247" i="55"/>
  <c r="R247" i="55"/>
  <c r="Q247" i="55"/>
  <c r="I247" i="55"/>
  <c r="K247" i="55" s="1"/>
  <c r="S246" i="55"/>
  <c r="R246" i="55"/>
  <c r="Q246" i="55"/>
  <c r="I246" i="55"/>
  <c r="K246" i="55" s="1"/>
  <c r="S245" i="55"/>
  <c r="R245" i="55"/>
  <c r="Q245" i="55"/>
  <c r="I245" i="55"/>
  <c r="K245" i="55" s="1"/>
  <c r="S244" i="55"/>
  <c r="R244" i="55"/>
  <c r="Q244" i="55"/>
  <c r="I244" i="55"/>
  <c r="K244" i="55" s="1"/>
  <c r="S243" i="55"/>
  <c r="R243" i="55"/>
  <c r="Q243" i="55"/>
  <c r="I243" i="55"/>
  <c r="K243" i="55" s="1"/>
  <c r="S242" i="55"/>
  <c r="R242" i="55"/>
  <c r="Q242" i="55"/>
  <c r="I242" i="55"/>
  <c r="K242" i="55" s="1"/>
  <c r="S241" i="55"/>
  <c r="R241" i="55"/>
  <c r="Q241" i="55"/>
  <c r="I241" i="55"/>
  <c r="K241" i="55" s="1"/>
  <c r="S240" i="55"/>
  <c r="R240" i="55"/>
  <c r="Q240" i="55"/>
  <c r="I240" i="55"/>
  <c r="K240" i="55" s="1"/>
  <c r="S134" i="55"/>
  <c r="R134" i="55"/>
  <c r="Q134" i="55"/>
  <c r="K134" i="55"/>
  <c r="S133" i="55"/>
  <c r="R133" i="55"/>
  <c r="Q133" i="55"/>
  <c r="S132" i="55"/>
  <c r="R132" i="55"/>
  <c r="Q132" i="55"/>
  <c r="K132" i="55"/>
  <c r="S129" i="55"/>
  <c r="R129" i="55"/>
  <c r="Q129" i="55"/>
  <c r="K129" i="55"/>
  <c r="S125" i="55"/>
  <c r="R125" i="55"/>
  <c r="Q125" i="55"/>
  <c r="K125" i="55"/>
  <c r="S123" i="55"/>
  <c r="R123" i="55"/>
  <c r="Q123" i="55"/>
  <c r="K123" i="55"/>
  <c r="S121" i="55"/>
  <c r="R121" i="55"/>
  <c r="Q121" i="55"/>
  <c r="K121" i="55"/>
  <c r="S119" i="55"/>
  <c r="R119" i="55"/>
  <c r="Q119" i="55"/>
  <c r="K119" i="55"/>
  <c r="S117" i="55"/>
  <c r="R117" i="55"/>
  <c r="Q117" i="55"/>
  <c r="K117" i="55"/>
  <c r="S115" i="55"/>
  <c r="R115" i="55"/>
  <c r="Q115" i="55"/>
  <c r="K115" i="55"/>
  <c r="S113" i="55"/>
  <c r="R113" i="55"/>
  <c r="Q113" i="55"/>
  <c r="S111" i="55"/>
  <c r="R111" i="55"/>
  <c r="Q111" i="55"/>
  <c r="S109" i="55"/>
  <c r="R109" i="55"/>
  <c r="Q109" i="55"/>
  <c r="S107" i="55"/>
  <c r="R107" i="55"/>
  <c r="Q107" i="55"/>
  <c r="S105" i="55"/>
  <c r="R105" i="55"/>
  <c r="Q105" i="55"/>
  <c r="S103" i="55"/>
  <c r="R103" i="55"/>
  <c r="Q103" i="55"/>
  <c r="S101" i="55"/>
  <c r="R101" i="55"/>
  <c r="Q101" i="55"/>
  <c r="S99" i="55"/>
  <c r="R99" i="55"/>
  <c r="Q99" i="55"/>
  <c r="S97" i="55"/>
  <c r="R97" i="55"/>
  <c r="Q97" i="55"/>
  <c r="S95" i="55"/>
  <c r="R95" i="55"/>
  <c r="Q95" i="55"/>
  <c r="S93" i="55"/>
  <c r="R93" i="55"/>
  <c r="Q93" i="55"/>
  <c r="S91" i="55"/>
  <c r="R91" i="55"/>
  <c r="Q91" i="55"/>
  <c r="S89" i="55"/>
  <c r="R89" i="55"/>
  <c r="Q89" i="55"/>
  <c r="S87" i="55"/>
  <c r="R87" i="55"/>
  <c r="Q87" i="55"/>
  <c r="S85" i="55"/>
  <c r="R85" i="55"/>
  <c r="Q85" i="55"/>
  <c r="S83" i="55"/>
  <c r="R83" i="55"/>
  <c r="Q83" i="55"/>
  <c r="S81" i="55"/>
  <c r="R81" i="55"/>
  <c r="Q81" i="55"/>
  <c r="K19" i="55" l="1"/>
  <c r="P34" i="55"/>
  <c r="P27" i="55"/>
  <c r="P8" i="55"/>
  <c r="P7" i="55"/>
  <c r="P81" i="55"/>
  <c r="P260" i="55"/>
  <c r="P287" i="55"/>
  <c r="P293" i="55"/>
  <c r="P28" i="55"/>
  <c r="P245" i="55"/>
  <c r="P30" i="55"/>
  <c r="P271" i="55"/>
  <c r="P91" i="55"/>
  <c r="P113" i="55"/>
  <c r="P246" i="55"/>
  <c r="P282" i="55"/>
  <c r="P353" i="55"/>
  <c r="P26" i="55"/>
  <c r="P31" i="55"/>
  <c r="P312" i="55"/>
  <c r="P6" i="55"/>
  <c r="P29" i="55"/>
  <c r="P329" i="55"/>
  <c r="P266" i="55"/>
  <c r="P301" i="55"/>
  <c r="P281" i="55"/>
  <c r="P289" i="55"/>
  <c r="P292" i="55"/>
  <c r="P310" i="55"/>
  <c r="P333" i="55"/>
  <c r="P87" i="55"/>
  <c r="P272" i="55"/>
  <c r="P330" i="55"/>
  <c r="P252" i="55"/>
  <c r="P123" i="55"/>
  <c r="P247" i="55"/>
  <c r="P334" i="55"/>
  <c r="P349" i="55"/>
  <c r="P352" i="55"/>
  <c r="P250" i="55"/>
  <c r="P253" i="55"/>
  <c r="P259" i="55"/>
  <c r="P265" i="55"/>
  <c r="P297" i="55"/>
  <c r="P317" i="55"/>
  <c r="P320" i="55"/>
  <c r="P309" i="55"/>
  <c r="P326" i="55"/>
  <c r="P279" i="55"/>
  <c r="P242" i="55"/>
  <c r="P274" i="55"/>
  <c r="P277" i="55"/>
  <c r="P335" i="55"/>
  <c r="P257" i="55"/>
  <c r="P288" i="55"/>
  <c r="P305" i="55"/>
  <c r="P341" i="55"/>
  <c r="P97" i="55"/>
  <c r="P269" i="55"/>
  <c r="P302" i="55"/>
  <c r="P313" i="55"/>
  <c r="P338" i="55"/>
  <c r="P325" i="55"/>
  <c r="P133" i="55"/>
  <c r="P336" i="55"/>
  <c r="P255" i="55"/>
  <c r="P258" i="55"/>
  <c r="P284" i="55"/>
  <c r="P322" i="55"/>
  <c r="P339" i="55"/>
  <c r="P342" i="55"/>
  <c r="P303" i="55"/>
  <c r="P314" i="55"/>
  <c r="P348" i="55"/>
  <c r="P93" i="55"/>
  <c r="P101" i="55"/>
  <c r="P121" i="55"/>
  <c r="P129" i="55"/>
  <c r="P95" i="55"/>
  <c r="P103" i="55"/>
  <c r="P109" i="55"/>
  <c r="P119" i="55"/>
  <c r="P111" i="55"/>
  <c r="P262" i="55"/>
  <c r="P270" i="55"/>
  <c r="P278" i="55"/>
  <c r="P286" i="55"/>
  <c r="P291" i="55"/>
  <c r="P294" i="55"/>
  <c r="P299" i="55"/>
  <c r="P304" i="55"/>
  <c r="P319" i="55"/>
  <c r="P321" i="55"/>
  <c r="P85" i="55"/>
  <c r="P105" i="55"/>
  <c r="P134" i="55"/>
  <c r="P249" i="55"/>
  <c r="P254" i="55"/>
  <c r="P273" i="55"/>
  <c r="P307" i="55"/>
  <c r="P324" i="55"/>
  <c r="P332" i="55"/>
  <c r="P347" i="55"/>
  <c r="P132" i="55"/>
  <c r="P241" i="55"/>
  <c r="P244" i="55"/>
  <c r="P276" i="55"/>
  <c r="P327" i="55"/>
  <c r="P337" i="55"/>
  <c r="P345" i="55"/>
  <c r="P99" i="55"/>
  <c r="P263" i="55"/>
  <c r="P268" i="55"/>
  <c r="P295" i="55"/>
  <c r="P340" i="55"/>
  <c r="P350" i="55"/>
  <c r="P300" i="55"/>
  <c r="P308" i="55"/>
  <c r="P343" i="55"/>
  <c r="P117" i="55"/>
  <c r="P285" i="55"/>
  <c r="P315" i="55"/>
  <c r="P323" i="55"/>
  <c r="P89" i="55"/>
  <c r="P107" i="55"/>
  <c r="P261" i="55"/>
  <c r="P290" i="55"/>
  <c r="P298" i="55"/>
  <c r="P318" i="55"/>
  <c r="P328" i="55"/>
  <c r="P346" i="55"/>
  <c r="P83" i="55"/>
  <c r="P125" i="55"/>
  <c r="P240" i="55"/>
  <c r="P243" i="55"/>
  <c r="P283" i="55"/>
  <c r="P296" i="55"/>
  <c r="P306" i="55"/>
  <c r="P311" i="55"/>
  <c r="P331" i="55"/>
  <c r="P351" i="55"/>
  <c r="P115" i="55"/>
  <c r="P248" i="55"/>
  <c r="P251" i="55"/>
  <c r="P256" i="55"/>
  <c r="P264" i="55"/>
  <c r="P267" i="55"/>
  <c r="P275" i="55"/>
  <c r="P280" i="55"/>
  <c r="P316" i="55"/>
  <c r="P344" i="55"/>
  <c r="P354" i="55"/>
  <c r="K78" i="55" l="1"/>
  <c r="K75" i="55"/>
  <c r="K74" i="55"/>
  <c r="K73" i="55"/>
  <c r="K72" i="55"/>
  <c r="I4" i="55"/>
  <c r="K4" i="55" s="1"/>
  <c r="F5" i="55"/>
  <c r="K18" i="55" l="1"/>
  <c r="K9" i="55"/>
  <c r="Q78" i="55" l="1"/>
  <c r="R78" i="55"/>
  <c r="S78" i="55"/>
  <c r="Q79" i="55"/>
  <c r="R79" i="55"/>
  <c r="S79" i="55"/>
  <c r="P79" i="55" l="1"/>
  <c r="P78" i="55"/>
  <c r="Q39" i="55" l="1"/>
  <c r="Q38" i="55"/>
  <c r="R38" i="55"/>
  <c r="S38" i="55"/>
  <c r="R39" i="55"/>
  <c r="S39" i="55"/>
  <c r="P38" i="55" l="1"/>
  <c r="P39" i="55"/>
  <c r="Q71" i="55" l="1"/>
  <c r="R71" i="55"/>
  <c r="S71" i="55"/>
  <c r="Q72" i="55"/>
  <c r="R72" i="55"/>
  <c r="S72" i="55"/>
  <c r="Q73" i="55"/>
  <c r="R73" i="55"/>
  <c r="S73" i="55"/>
  <c r="Q74" i="55"/>
  <c r="R74" i="55"/>
  <c r="S74" i="55"/>
  <c r="P71" i="55" l="1"/>
  <c r="P73" i="55"/>
  <c r="P72" i="55"/>
  <c r="P74" i="55"/>
  <c r="S47" i="55"/>
  <c r="R47" i="55"/>
  <c r="Q47" i="55"/>
  <c r="P47" i="55" l="1"/>
  <c r="S51" i="55" l="1"/>
  <c r="Q49" i="55"/>
  <c r="Q48" i="55"/>
  <c r="R48" i="55"/>
  <c r="S48" i="55"/>
  <c r="R49" i="55"/>
  <c r="S49" i="55"/>
  <c r="Q50" i="55"/>
  <c r="R50" i="55"/>
  <c r="S50" i="55"/>
  <c r="Q51" i="55"/>
  <c r="R51" i="55"/>
  <c r="Q52" i="55"/>
  <c r="R52" i="55"/>
  <c r="S52" i="55"/>
  <c r="P49" i="55" l="1"/>
  <c r="P52" i="55"/>
  <c r="P48" i="55"/>
  <c r="P50" i="55"/>
  <c r="P51" i="55"/>
  <c r="S46" i="55" l="1"/>
  <c r="R46" i="55"/>
  <c r="Q46" i="55"/>
  <c r="S45" i="55"/>
  <c r="R45" i="55"/>
  <c r="Q45" i="55"/>
  <c r="S44" i="55"/>
  <c r="R44" i="55"/>
  <c r="Q44" i="55"/>
  <c r="S43" i="55"/>
  <c r="R43" i="55"/>
  <c r="Q43" i="55"/>
  <c r="P46" i="55" l="1"/>
  <c r="P45" i="55"/>
  <c r="P44" i="55"/>
  <c r="P43" i="55"/>
  <c r="Q42" i="55" l="1"/>
  <c r="R42" i="55"/>
  <c r="S42" i="55"/>
  <c r="P42" i="55" l="1"/>
  <c r="Q40" i="55" l="1"/>
  <c r="R40" i="55"/>
  <c r="S40" i="55"/>
  <c r="Q41" i="55"/>
  <c r="R41" i="55"/>
  <c r="S41" i="55"/>
  <c r="P41" i="55" l="1"/>
  <c r="P40" i="55"/>
  <c r="S37" i="55" l="1"/>
  <c r="R37" i="55"/>
  <c r="Q37" i="55"/>
  <c r="S36" i="55"/>
  <c r="R36" i="55"/>
  <c r="Q36" i="55"/>
  <c r="S35" i="55"/>
  <c r="R35" i="55"/>
  <c r="Q35" i="55"/>
  <c r="S5" i="55"/>
  <c r="R5" i="55"/>
  <c r="Q5" i="55"/>
  <c r="S4" i="55"/>
  <c r="R4" i="55"/>
  <c r="Q4" i="55"/>
  <c r="P37" i="55" l="1"/>
  <c r="P5" i="55"/>
  <c r="P36" i="55"/>
  <c r="P4" i="55"/>
  <c r="P35" i="55"/>
  <c r="C16" i="66" l="1"/>
  <c r="C15" i="66"/>
  <c r="C13" i="66"/>
  <c r="C14" i="66"/>
  <c r="C24" i="66"/>
  <c r="C21" i="66"/>
  <c r="C22" i="66"/>
  <c r="C18" i="66"/>
  <c r="C23" i="66"/>
  <c r="C19" i="66"/>
  <c r="C20" i="66"/>
  <c r="H52" i="59" l="1"/>
  <c r="N52" i="59" s="1"/>
  <c r="L184" i="59"/>
  <c r="N184" i="59" s="1"/>
  <c r="D23" i="66" l="1"/>
  <c r="L178" i="59"/>
  <c r="D164" i="59"/>
  <c r="D161" i="59"/>
  <c r="J142" i="59"/>
  <c r="M139" i="59"/>
  <c r="M130" i="59"/>
  <c r="M115" i="59"/>
  <c r="L112" i="59"/>
  <c r="M106" i="59"/>
  <c r="M103" i="59"/>
  <c r="M100" i="59"/>
  <c r="D95" i="59"/>
  <c r="M94" i="59"/>
  <c r="I91" i="59"/>
  <c r="L88" i="59"/>
  <c r="I82" i="59"/>
  <c r="M76" i="59"/>
  <c r="K73" i="59"/>
  <c r="L70" i="59"/>
  <c r="D24" i="66"/>
  <c r="K190" i="59"/>
  <c r="K187" i="59" s="1"/>
  <c r="H49" i="59"/>
  <c r="G46" i="59"/>
  <c r="N46" i="59" s="1"/>
  <c r="H127" i="59"/>
  <c r="M121" i="59"/>
  <c r="D13" i="66"/>
  <c r="H133" i="59"/>
  <c r="M133" i="59"/>
  <c r="I133" i="59"/>
  <c r="L133" i="59"/>
  <c r="J133" i="59"/>
  <c r="K133" i="59"/>
  <c r="M136" i="59"/>
  <c r="H136" i="59"/>
  <c r="K136" i="59"/>
  <c r="I136" i="59"/>
  <c r="L136" i="59"/>
  <c r="J136" i="59"/>
  <c r="K145" i="59"/>
  <c r="L145" i="59"/>
  <c r="H145" i="59"/>
  <c r="M145" i="59"/>
  <c r="I145" i="59"/>
  <c r="J145" i="59"/>
  <c r="D12" i="66"/>
  <c r="L85" i="59"/>
  <c r="J85" i="59"/>
  <c r="K85" i="59"/>
  <c r="M85" i="59"/>
  <c r="K181" i="59"/>
  <c r="L181" i="59"/>
  <c r="N70" i="59" l="1"/>
  <c r="M178" i="59"/>
  <c r="N178" i="59" s="1"/>
  <c r="H166" i="59"/>
  <c r="L163" i="59"/>
  <c r="H139" i="59"/>
  <c r="L139" i="59"/>
  <c r="D155" i="59"/>
  <c r="K142" i="59"/>
  <c r="H142" i="59"/>
  <c r="M142" i="59"/>
  <c r="L142" i="59"/>
  <c r="J139" i="59"/>
  <c r="K139" i="59"/>
  <c r="I139" i="59"/>
  <c r="I142" i="59"/>
  <c r="L106" i="59"/>
  <c r="N106" i="59" s="1"/>
  <c r="I130" i="59"/>
  <c r="K130" i="59"/>
  <c r="J130" i="59"/>
  <c r="H130" i="59"/>
  <c r="L130" i="59"/>
  <c r="M112" i="59"/>
  <c r="K112" i="59"/>
  <c r="L115" i="59"/>
  <c r="N115" i="59" s="1"/>
  <c r="J91" i="59"/>
  <c r="N91" i="59" s="1"/>
  <c r="L103" i="59"/>
  <c r="N103" i="59" s="1"/>
  <c r="L100" i="59"/>
  <c r="N100" i="59" s="1"/>
  <c r="J73" i="59"/>
  <c r="L73" i="59"/>
  <c r="L94" i="59"/>
  <c r="K94" i="59"/>
  <c r="I73" i="59"/>
  <c r="J82" i="59"/>
  <c r="N82" i="59" s="1"/>
  <c r="K88" i="59"/>
  <c r="M88" i="59"/>
  <c r="L76" i="59"/>
  <c r="N76" i="59" s="1"/>
  <c r="I185" i="59"/>
  <c r="I186" i="59" s="1"/>
  <c r="L190" i="59"/>
  <c r="L187" i="59" s="1"/>
  <c r="M190" i="59"/>
  <c r="M187" i="59" s="1"/>
  <c r="L121" i="59"/>
  <c r="K127" i="59"/>
  <c r="M127" i="59"/>
  <c r="I127" i="59"/>
  <c r="L127" i="59"/>
  <c r="J127" i="59"/>
  <c r="K58" i="59"/>
  <c r="J55" i="59"/>
  <c r="G49" i="59"/>
  <c r="N49" i="59" s="1"/>
  <c r="K97" i="59"/>
  <c r="J97" i="59"/>
  <c r="N133" i="59"/>
  <c r="J67" i="59"/>
  <c r="I67" i="59"/>
  <c r="H67" i="59"/>
  <c r="H64" i="59" s="1"/>
  <c r="K67" i="59"/>
  <c r="N181" i="59"/>
  <c r="G22" i="59"/>
  <c r="F22" i="59"/>
  <c r="M22" i="59"/>
  <c r="H22" i="59"/>
  <c r="L22" i="59"/>
  <c r="J22" i="59"/>
  <c r="K22" i="59"/>
  <c r="I22" i="59"/>
  <c r="N145" i="59"/>
  <c r="N85" i="59"/>
  <c r="K19" i="59"/>
  <c r="G19" i="59"/>
  <c r="L19" i="59"/>
  <c r="F19" i="59"/>
  <c r="M19" i="59"/>
  <c r="I19" i="59"/>
  <c r="J19" i="59"/>
  <c r="H19" i="59"/>
  <c r="N136" i="59"/>
  <c r="I64" i="59" l="1"/>
  <c r="N187" i="59"/>
  <c r="D146" i="59"/>
  <c r="M148" i="59" s="1"/>
  <c r="D158" i="59"/>
  <c r="K160" i="59" s="1"/>
  <c r="M64" i="59"/>
  <c r="N121" i="59"/>
  <c r="L175" i="59"/>
  <c r="L169" i="59" s="1"/>
  <c r="M175" i="59"/>
  <c r="M169" i="59" s="1"/>
  <c r="K175" i="59"/>
  <c r="L166" i="59"/>
  <c r="J166" i="59"/>
  <c r="I166" i="59"/>
  <c r="K166" i="59"/>
  <c r="I163" i="59"/>
  <c r="H163" i="59"/>
  <c r="J163" i="59"/>
  <c r="K163" i="59"/>
  <c r="N139" i="59"/>
  <c r="N142" i="59"/>
  <c r="J157" i="59"/>
  <c r="N130" i="59"/>
  <c r="D149" i="59"/>
  <c r="N112" i="59"/>
  <c r="N73" i="59"/>
  <c r="N88" i="59"/>
  <c r="N94" i="59"/>
  <c r="K185" i="59"/>
  <c r="K186" i="59" s="1"/>
  <c r="M185" i="59"/>
  <c r="M186" i="59" s="1"/>
  <c r="F185" i="59"/>
  <c r="F186" i="59" s="1"/>
  <c r="H185" i="59"/>
  <c r="H186" i="59" s="1"/>
  <c r="G185" i="59"/>
  <c r="G186" i="59" s="1"/>
  <c r="J185" i="59"/>
  <c r="J186" i="59" s="1"/>
  <c r="L185" i="59"/>
  <c r="L186" i="59" s="1"/>
  <c r="N190" i="59"/>
  <c r="N127" i="59"/>
  <c r="J58" i="59"/>
  <c r="I58" i="59"/>
  <c r="H58" i="59"/>
  <c r="G55" i="59"/>
  <c r="H55" i="59"/>
  <c r="I55" i="59"/>
  <c r="F43" i="59"/>
  <c r="G43" i="59"/>
  <c r="D15" i="66"/>
  <c r="D14" i="66"/>
  <c r="N67" i="59"/>
  <c r="N97" i="59"/>
  <c r="K148" i="59" l="1"/>
  <c r="L148" i="59"/>
  <c r="L160" i="59"/>
  <c r="D22" i="66"/>
  <c r="D167" i="59"/>
  <c r="I160" i="59"/>
  <c r="H160" i="59"/>
  <c r="J160" i="59"/>
  <c r="D21" i="66"/>
  <c r="D152" i="59"/>
  <c r="H37" i="59"/>
  <c r="J154" i="59"/>
  <c r="N175" i="59"/>
  <c r="J172" i="59"/>
  <c r="J169" i="59" s="1"/>
  <c r="K172" i="59"/>
  <c r="K169" i="59" s="1"/>
  <c r="I172" i="59"/>
  <c r="I169" i="59" s="1"/>
  <c r="N163" i="59"/>
  <c r="N166" i="59"/>
  <c r="K157" i="59"/>
  <c r="K154" i="59" s="1"/>
  <c r="H157" i="59"/>
  <c r="I157" i="59"/>
  <c r="L157" i="59"/>
  <c r="H151" i="59"/>
  <c r="L151" i="59"/>
  <c r="J151" i="59"/>
  <c r="K151" i="59"/>
  <c r="I151" i="59"/>
  <c r="M151" i="59"/>
  <c r="M124" i="59"/>
  <c r="H124" i="59"/>
  <c r="L124" i="59"/>
  <c r="I124" i="59"/>
  <c r="J124" i="59"/>
  <c r="K124" i="59"/>
  <c r="N185" i="59"/>
  <c r="N58" i="59"/>
  <c r="I61" i="59"/>
  <c r="I37" i="59" s="1"/>
  <c r="K61" i="59"/>
  <c r="K37" i="59" s="1"/>
  <c r="J61" i="59"/>
  <c r="J37" i="59" s="1"/>
  <c r="N55" i="59"/>
  <c r="N43" i="59"/>
  <c r="F40" i="59"/>
  <c r="F37" i="59" s="1"/>
  <c r="G40" i="59"/>
  <c r="G37" i="59" s="1"/>
  <c r="G34" i="59" s="1"/>
  <c r="K25" i="59"/>
  <c r="H25" i="59"/>
  <c r="J25" i="59"/>
  <c r="G25" i="59"/>
  <c r="F25" i="59"/>
  <c r="M25" i="59"/>
  <c r="I25" i="59"/>
  <c r="L25" i="59"/>
  <c r="J28" i="59"/>
  <c r="K28" i="59"/>
  <c r="H28" i="59"/>
  <c r="G28" i="59"/>
  <c r="L28" i="59"/>
  <c r="M28" i="59"/>
  <c r="I28" i="59"/>
  <c r="F28" i="59"/>
  <c r="M118" i="59" l="1"/>
  <c r="D77" i="59"/>
  <c r="J79" i="59" s="1"/>
  <c r="N79" i="59" s="1"/>
  <c r="L154" i="59"/>
  <c r="L152" i="59" s="1"/>
  <c r="L153" i="59" s="1"/>
  <c r="N148" i="59"/>
  <c r="N169" i="59"/>
  <c r="N160" i="59"/>
  <c r="I154" i="59"/>
  <c r="I152" i="59" s="1"/>
  <c r="I153" i="59" s="1"/>
  <c r="H16" i="59"/>
  <c r="H14" i="59" s="1"/>
  <c r="H15" i="59" s="1"/>
  <c r="L118" i="59"/>
  <c r="I16" i="59"/>
  <c r="I14" i="59" s="1"/>
  <c r="I15" i="59" s="1"/>
  <c r="M16" i="59"/>
  <c r="M14" i="59" s="1"/>
  <c r="M15" i="59" s="1"/>
  <c r="D20" i="66"/>
  <c r="D116" i="59"/>
  <c r="F116" i="59" s="1"/>
  <c r="F117" i="59" s="1"/>
  <c r="K118" i="59"/>
  <c r="J118" i="59"/>
  <c r="G16" i="59"/>
  <c r="G14" i="59" s="1"/>
  <c r="G15" i="59" s="1"/>
  <c r="I118" i="59"/>
  <c r="K16" i="59"/>
  <c r="K14" i="59" s="1"/>
  <c r="K15" i="59" s="1"/>
  <c r="H118" i="59"/>
  <c r="J16" i="59"/>
  <c r="J14" i="59" s="1"/>
  <c r="J15" i="59" s="1"/>
  <c r="N37" i="59"/>
  <c r="F34" i="59"/>
  <c r="H199" i="59"/>
  <c r="H200" i="59" s="1"/>
  <c r="H154" i="59"/>
  <c r="L16" i="59"/>
  <c r="L14" i="59" s="1"/>
  <c r="L15" i="59" s="1"/>
  <c r="I199" i="59"/>
  <c r="I200" i="59" s="1"/>
  <c r="I201" i="59" s="1"/>
  <c r="G199" i="59"/>
  <c r="G200" i="59" s="1"/>
  <c r="J152" i="59"/>
  <c r="J153" i="59" s="1"/>
  <c r="N157" i="59"/>
  <c r="J167" i="59"/>
  <c r="J168" i="59" s="1"/>
  <c r="M167" i="59"/>
  <c r="M168" i="59" s="1"/>
  <c r="H167" i="59"/>
  <c r="H168" i="59" s="1"/>
  <c r="L167" i="59"/>
  <c r="L168" i="59" s="1"/>
  <c r="F167" i="59"/>
  <c r="G167" i="59"/>
  <c r="G168" i="59" s="1"/>
  <c r="I167" i="59"/>
  <c r="I168" i="59" s="1"/>
  <c r="N172" i="59"/>
  <c r="K167" i="59"/>
  <c r="K168" i="59" s="1"/>
  <c r="K152" i="59"/>
  <c r="K153" i="59" s="1"/>
  <c r="F152" i="59"/>
  <c r="F153" i="59" s="1"/>
  <c r="M152" i="59"/>
  <c r="M153" i="59" s="1"/>
  <c r="G152" i="59"/>
  <c r="G153" i="59" s="1"/>
  <c r="N151" i="59"/>
  <c r="N124" i="59"/>
  <c r="N61" i="59"/>
  <c r="N40" i="59"/>
  <c r="D16" i="66"/>
  <c r="I34" i="59" l="1"/>
  <c r="N118" i="59"/>
  <c r="N154" i="59"/>
  <c r="H116" i="59"/>
  <c r="H117" i="59" s="1"/>
  <c r="H152" i="59"/>
  <c r="H153" i="59" s="1"/>
  <c r="M116" i="59"/>
  <c r="M117" i="59" s="1"/>
  <c r="K116" i="59"/>
  <c r="K117" i="59" s="1"/>
  <c r="G116" i="59"/>
  <c r="G117" i="59" s="1"/>
  <c r="I116" i="59"/>
  <c r="I117" i="59" s="1"/>
  <c r="J116" i="59"/>
  <c r="J117" i="59" s="1"/>
  <c r="H34" i="59"/>
  <c r="L116" i="59"/>
  <c r="L117" i="59" s="1"/>
  <c r="F168" i="59"/>
  <c r="N167" i="59"/>
  <c r="D11" i="66"/>
  <c r="F31" i="59"/>
  <c r="H201" i="59"/>
  <c r="G201" i="59"/>
  <c r="N152" i="59" l="1"/>
  <c r="N116" i="59"/>
  <c r="F199" i="59"/>
  <c r="F16" i="59"/>
  <c r="N16" i="59" s="1"/>
  <c r="N31" i="59"/>
  <c r="F14" i="59" l="1"/>
  <c r="S14" i="59" l="1"/>
  <c r="F15" i="59"/>
  <c r="N14" i="59"/>
  <c r="P14" i="59" s="1"/>
  <c r="D62" i="59" l="1"/>
  <c r="D19" i="66"/>
  <c r="K109" i="59"/>
  <c r="L109" i="59"/>
  <c r="L64" i="59" s="1"/>
  <c r="J109" i="59"/>
  <c r="D35" i="59" l="1"/>
  <c r="D18" i="66"/>
  <c r="D32" i="59"/>
  <c r="K199" i="59"/>
  <c r="K64" i="59"/>
  <c r="K34" i="59" s="1"/>
  <c r="J199" i="59"/>
  <c r="J64" i="59"/>
  <c r="J62" i="59" s="1"/>
  <c r="L62" i="59"/>
  <c r="G62" i="59"/>
  <c r="F62" i="59"/>
  <c r="M62" i="59"/>
  <c r="I62" i="59"/>
  <c r="H62" i="59"/>
  <c r="N109" i="59"/>
  <c r="D17" i="66" l="1"/>
  <c r="D25" i="66" s="1"/>
  <c r="D27" i="66" s="1"/>
  <c r="D29" i="66" s="1"/>
  <c r="M35" i="59"/>
  <c r="M36" i="59" s="1"/>
  <c r="H35" i="59"/>
  <c r="H36" i="59" s="1"/>
  <c r="G35" i="59"/>
  <c r="G36" i="59" s="1"/>
  <c r="K35" i="59"/>
  <c r="K36" i="59" s="1"/>
  <c r="L35" i="59"/>
  <c r="L36" i="59" s="1"/>
  <c r="I35" i="59"/>
  <c r="I36" i="59" s="1"/>
  <c r="J35" i="59"/>
  <c r="J36" i="59" s="1"/>
  <c r="F35" i="59"/>
  <c r="N197" i="59"/>
  <c r="K62" i="59"/>
  <c r="N62" i="59" s="1"/>
  <c r="N64" i="59"/>
  <c r="J34" i="59"/>
  <c r="H63" i="59"/>
  <c r="I63" i="59"/>
  <c r="M63" i="59"/>
  <c r="F63" i="59"/>
  <c r="K200" i="59"/>
  <c r="K201" i="59" s="1"/>
  <c r="J63" i="59"/>
  <c r="J200" i="59"/>
  <c r="G63" i="59"/>
  <c r="L63" i="59"/>
  <c r="N35" i="59" l="1"/>
  <c r="F36" i="59"/>
  <c r="K63" i="59"/>
  <c r="J201" i="59"/>
  <c r="M196" i="59" l="1"/>
  <c r="L196" i="59"/>
  <c r="L199" i="59" l="1"/>
  <c r="L193" i="59"/>
  <c r="L191" i="59" s="1"/>
  <c r="M199" i="59"/>
  <c r="M193" i="59"/>
  <c r="M34" i="59" s="1"/>
  <c r="J191" i="59"/>
  <c r="K191" i="59"/>
  <c r="F191" i="59"/>
  <c r="I191" i="59"/>
  <c r="H191" i="59"/>
  <c r="G191" i="59"/>
  <c r="N196" i="59"/>
  <c r="M191" i="59" l="1"/>
  <c r="N191" i="59" s="1"/>
  <c r="N193" i="59"/>
  <c r="L34" i="59"/>
  <c r="N34" i="59" s="1"/>
  <c r="M200" i="59"/>
  <c r="M201" i="59" s="1"/>
  <c r="L200" i="59"/>
  <c r="M32" i="59"/>
  <c r="M33" i="59" s="1"/>
  <c r="L192" i="59"/>
  <c r="H192" i="59"/>
  <c r="H32" i="59"/>
  <c r="H33" i="59" s="1"/>
  <c r="G192" i="59"/>
  <c r="G32" i="59"/>
  <c r="G33" i="59" s="1"/>
  <c r="I192" i="59"/>
  <c r="I32" i="59"/>
  <c r="I33" i="59" s="1"/>
  <c r="F192" i="59"/>
  <c r="K192" i="59"/>
  <c r="K32" i="59"/>
  <c r="K33" i="59" s="1"/>
  <c r="J192" i="59"/>
  <c r="J32" i="59"/>
  <c r="J33" i="59" s="1"/>
  <c r="L32" i="59" l="1"/>
  <c r="L33" i="59" s="1"/>
  <c r="M192" i="59"/>
  <c r="F32" i="59"/>
  <c r="F33" i="59" s="1"/>
  <c r="L201" i="59"/>
  <c r="N32" i="59" l="1"/>
  <c r="F200" i="59"/>
  <c r="F203" i="59" s="1"/>
  <c r="F202" i="59"/>
  <c r="G202" i="59" s="1"/>
  <c r="F201" i="59" l="1"/>
  <c r="H202" i="59"/>
  <c r="G203" i="59"/>
  <c r="H203" i="59" s="1"/>
  <c r="I203" i="59" s="1"/>
  <c r="J203" i="59" s="1"/>
  <c r="K203" i="59" s="1"/>
  <c r="L203" i="59" s="1"/>
  <c r="M203" i="59" s="1"/>
  <c r="F204" i="59"/>
  <c r="G204" i="59" l="1"/>
  <c r="H204" i="59"/>
  <c r="I202" i="59"/>
  <c r="I204" i="59" l="1"/>
  <c r="J202" i="59"/>
  <c r="K202" i="59" l="1"/>
  <c r="J204" i="59"/>
  <c r="K204" i="59" l="1"/>
  <c r="L202" i="59"/>
  <c r="M202" i="59" l="1"/>
  <c r="L204" i="59"/>
  <c r="M204" i="59" l="1"/>
  <c r="O204" i="59" s="1"/>
  <c r="O202" i="59"/>
  <c r="D434" i="60"/>
  <c r="B434" i="60" s="1"/>
  <c r="D551" i="60"/>
  <c r="B551" i="60" s="1"/>
  <c r="D522" i="60"/>
  <c r="B522" i="60" s="1"/>
  <c r="D447" i="60"/>
  <c r="D722" i="60"/>
  <c r="D933" i="60"/>
  <c r="M1200" i="58"/>
  <c r="D11" i="60" l="1"/>
  <c r="C11" i="60" s="1"/>
  <c r="D888" i="60"/>
  <c r="B888" i="60" s="1"/>
  <c r="D327" i="60"/>
  <c r="C327" i="60" s="1"/>
  <c r="D404" i="60"/>
  <c r="E404" i="60" s="1"/>
  <c r="D825" i="60"/>
  <c r="C825" i="60" s="1"/>
  <c r="D289" i="60"/>
  <c r="E289" i="60" s="1"/>
  <c r="D803" i="60"/>
  <c r="B803" i="60" s="1"/>
  <c r="D789" i="60"/>
  <c r="E789" i="60" s="1"/>
  <c r="D836" i="60"/>
  <c r="C836" i="60" s="1"/>
  <c r="D814" i="60"/>
  <c r="C814" i="60" s="1"/>
  <c r="D736" i="60"/>
  <c r="C736" i="60" s="1"/>
  <c r="D662" i="60"/>
  <c r="C662" i="60" s="1"/>
  <c r="D749" i="60"/>
  <c r="B749" i="60" s="1"/>
  <c r="D329" i="60"/>
  <c r="C329" i="60" s="1"/>
  <c r="D92" i="60"/>
  <c r="B92" i="60" s="1"/>
  <c r="D301" i="60"/>
  <c r="B301" i="60" s="1"/>
  <c r="D885" i="60"/>
  <c r="B885" i="60" s="1"/>
  <c r="D64" i="60"/>
  <c r="B64" i="60" s="1"/>
  <c r="D187" i="60"/>
  <c r="B187" i="60" s="1"/>
  <c r="D258" i="60"/>
  <c r="C258" i="60" s="1"/>
  <c r="D552" i="60"/>
  <c r="E552" i="60" s="1"/>
  <c r="D771" i="60"/>
  <c r="E771" i="60" s="1"/>
  <c r="D72" i="60"/>
  <c r="B72" i="60" s="1"/>
  <c r="D754" i="60"/>
  <c r="C754" i="60" s="1"/>
  <c r="D477" i="60"/>
  <c r="B477" i="60" s="1"/>
  <c r="D667" i="60"/>
  <c r="C667" i="60" s="1"/>
  <c r="D580" i="60"/>
  <c r="B580" i="60" s="1"/>
  <c r="D441" i="60"/>
  <c r="E441" i="60" s="1"/>
  <c r="D292" i="60"/>
  <c r="C292" i="60" s="1"/>
  <c r="D696" i="60"/>
  <c r="B696" i="60" s="1"/>
  <c r="D659" i="60"/>
  <c r="B659" i="60" s="1"/>
  <c r="D826" i="60"/>
  <c r="B826" i="60" s="1"/>
  <c r="D837" i="60"/>
  <c r="C837" i="60" s="1"/>
  <c r="D234" i="60"/>
  <c r="C234" i="60" s="1"/>
  <c r="D464" i="60"/>
  <c r="B464" i="60" s="1"/>
  <c r="D284" i="60"/>
  <c r="C284" i="60" s="1"/>
  <c r="D491" i="60"/>
  <c r="B491" i="60" s="1"/>
  <c r="D35" i="60"/>
  <c r="E35" i="60" s="1"/>
  <c r="D801" i="60"/>
  <c r="E801" i="60" s="1"/>
  <c r="D590" i="60"/>
  <c r="C590" i="60" s="1"/>
  <c r="D219" i="60"/>
  <c r="C219" i="60" s="1"/>
  <c r="D386" i="60"/>
  <c r="B386" i="60" s="1"/>
  <c r="D122" i="60"/>
  <c r="E122" i="60" s="1"/>
  <c r="D562" i="60"/>
  <c r="B562" i="60" s="1"/>
  <c r="D425" i="60"/>
  <c r="C425" i="60" s="1"/>
  <c r="D457" i="60"/>
  <c r="B457" i="60" s="1"/>
  <c r="D295" i="60"/>
  <c r="C295" i="60" s="1"/>
  <c r="D314" i="60"/>
  <c r="C314" i="60" s="1"/>
  <c r="D914" i="60"/>
  <c r="B914" i="60" s="1"/>
  <c r="D891" i="60"/>
  <c r="B891" i="60" s="1"/>
  <c r="D143" i="60"/>
  <c r="B143" i="60" s="1"/>
  <c r="D558" i="60"/>
  <c r="B558" i="60" s="1"/>
  <c r="D547" i="60"/>
  <c r="C547" i="60" s="1"/>
  <c r="D904" i="60"/>
  <c r="B904" i="60" s="1"/>
  <c r="D341" i="60"/>
  <c r="C341" i="60" s="1"/>
  <c r="D217" i="60"/>
  <c r="C217" i="60" s="1"/>
  <c r="D184" i="60"/>
  <c r="C184" i="60" s="1"/>
  <c r="D308" i="60"/>
  <c r="E308" i="60" s="1"/>
  <c r="D101" i="60"/>
  <c r="E101" i="60" s="1"/>
  <c r="D733" i="60"/>
  <c r="B733" i="60" s="1"/>
  <c r="D928" i="60"/>
  <c r="C928" i="60" s="1"/>
  <c r="D209" i="60"/>
  <c r="B209" i="60" s="1"/>
  <c r="D650" i="60"/>
  <c r="E650" i="60" s="1"/>
  <c r="D898" i="60"/>
  <c r="B898" i="60" s="1"/>
  <c r="D511" i="60"/>
  <c r="B511" i="60" s="1"/>
  <c r="D915" i="60"/>
  <c r="C915" i="60" s="1"/>
  <c r="D536" i="60"/>
  <c r="C536" i="60" s="1"/>
  <c r="D769" i="60"/>
  <c r="E769" i="60" s="1"/>
  <c r="D214" i="60"/>
  <c r="C214" i="60" s="1"/>
  <c r="D925" i="60"/>
  <c r="E925" i="60" s="1"/>
  <c r="D119" i="60"/>
  <c r="C119" i="60" s="1"/>
  <c r="D875" i="60"/>
  <c r="C875" i="60" s="1"/>
  <c r="D776" i="60"/>
  <c r="C776" i="60" s="1"/>
  <c r="D266" i="60"/>
  <c r="E266" i="60" s="1"/>
  <c r="D741" i="60"/>
  <c r="C741" i="60" s="1"/>
  <c r="D484" i="60"/>
  <c r="B484" i="60" s="1"/>
  <c r="D468" i="60"/>
  <c r="E468" i="60" s="1"/>
  <c r="D926" i="60"/>
  <c r="E926" i="60" s="1"/>
  <c r="D921" i="60"/>
  <c r="B921" i="60" s="1"/>
  <c r="D433" i="60"/>
  <c r="B433" i="60" s="1"/>
  <c r="D472" i="60"/>
  <c r="B472" i="60" s="1"/>
  <c r="D198" i="60"/>
  <c r="C198" i="60" s="1"/>
  <c r="D458" i="60"/>
  <c r="B458" i="60" s="1"/>
  <c r="D37" i="60"/>
  <c r="E37" i="60" s="1"/>
  <c r="D453" i="60"/>
  <c r="B453" i="60" s="1"/>
  <c r="D780" i="60"/>
  <c r="C780" i="60" s="1"/>
  <c r="D790" i="60"/>
  <c r="C790" i="60" s="1"/>
  <c r="D506" i="60"/>
  <c r="C506" i="60" s="1"/>
  <c r="D133" i="60"/>
  <c r="B133" i="60" s="1"/>
  <c r="D51" i="60"/>
  <c r="E51" i="60" s="1"/>
  <c r="D448" i="60"/>
  <c r="C448" i="60" s="1"/>
  <c r="D372" i="60"/>
  <c r="B372" i="60" s="1"/>
  <c r="D849" i="60"/>
  <c r="B849" i="60" s="1"/>
  <c r="D195" i="60"/>
  <c r="C195" i="60" s="1"/>
  <c r="D555" i="60"/>
  <c r="B555" i="60" s="1"/>
  <c r="D630" i="60"/>
  <c r="C630" i="60" s="1"/>
  <c r="D9" i="60"/>
  <c r="C9" i="60" s="1"/>
  <c r="D545" i="60"/>
  <c r="B545" i="60" s="1"/>
  <c r="D460" i="60"/>
  <c r="D351" i="60"/>
  <c r="B351" i="60" s="1"/>
  <c r="D278" i="60"/>
  <c r="C278" i="60" s="1"/>
  <c r="D495" i="60"/>
  <c r="E495" i="60" s="1"/>
  <c r="D520" i="60"/>
  <c r="E520" i="60" s="1"/>
  <c r="D766" i="60"/>
  <c r="E766" i="60" s="1"/>
  <c r="D231" i="60"/>
  <c r="B231" i="60" s="1"/>
  <c r="D768" i="60"/>
  <c r="C768" i="60" s="1"/>
  <c r="D819" i="60"/>
  <c r="C819" i="60" s="1"/>
  <c r="D886" i="60"/>
  <c r="E886" i="60" s="1"/>
  <c r="D514" i="60"/>
  <c r="E514" i="60" s="1"/>
  <c r="D693" i="60"/>
  <c r="E693" i="60" s="1"/>
  <c r="D100" i="60"/>
  <c r="B100" i="60" s="1"/>
  <c r="D619" i="60"/>
  <c r="B619" i="60" s="1"/>
  <c r="D131" i="60"/>
  <c r="C131" i="60" s="1"/>
  <c r="D360" i="60"/>
  <c r="B360" i="60" s="1"/>
  <c r="D868" i="60"/>
  <c r="C868" i="60" s="1"/>
  <c r="D59" i="60"/>
  <c r="B59" i="60" s="1"/>
  <c r="D587" i="60"/>
  <c r="B587" i="60" s="1"/>
  <c r="D407" i="60"/>
  <c r="C407" i="60" s="1"/>
  <c r="D350" i="60"/>
  <c r="B350" i="60" s="1"/>
  <c r="D435" i="60"/>
  <c r="C435" i="60" s="1"/>
  <c r="D796" i="60"/>
  <c r="C796" i="60" s="1"/>
  <c r="D85" i="60"/>
  <c r="C85" i="60" s="1"/>
  <c r="D503" i="60"/>
  <c r="B503" i="60" s="1"/>
  <c r="D682" i="60"/>
  <c r="C682" i="60" s="1"/>
  <c r="D872" i="60"/>
  <c r="B872" i="60" s="1"/>
  <c r="D894" i="60"/>
  <c r="E894" i="60" s="1"/>
  <c r="D788" i="60"/>
  <c r="C788" i="60" s="1"/>
  <c r="D158" i="60"/>
  <c r="B158" i="60" s="1"/>
  <c r="D368" i="60"/>
  <c r="C368" i="60" s="1"/>
  <c r="D44" i="60"/>
  <c r="C44" i="60" s="1"/>
  <c r="D594" i="60"/>
  <c r="C594" i="60" s="1"/>
  <c r="D852" i="60"/>
  <c r="B852" i="60" s="1"/>
  <c r="D611" i="60"/>
  <c r="C611" i="60" s="1"/>
  <c r="D446" i="60"/>
  <c r="C446" i="60" s="1"/>
  <c r="D385" i="60"/>
  <c r="C385" i="60" s="1"/>
  <c r="D680" i="60"/>
  <c r="D264" i="60"/>
  <c r="C264" i="60" s="1"/>
  <c r="D744" i="60"/>
  <c r="C744" i="60" s="1"/>
  <c r="D183" i="60"/>
  <c r="E183" i="60" s="1"/>
  <c r="D881" i="60"/>
  <c r="C881" i="60" s="1"/>
  <c r="D93" i="60"/>
  <c r="E93" i="60" s="1"/>
  <c r="D21" i="60"/>
  <c r="C21" i="60" s="1"/>
  <c r="D564" i="60"/>
  <c r="C564" i="60" s="1"/>
  <c r="D502" i="60"/>
  <c r="E502" i="60" s="1"/>
  <c r="D643" i="60"/>
  <c r="E643" i="60" s="1"/>
  <c r="D145" i="60"/>
  <c r="E145" i="60" s="1"/>
  <c r="D666" i="60"/>
  <c r="C666" i="60" s="1"/>
  <c r="D719" i="60"/>
  <c r="C719" i="60" s="1"/>
  <c r="D400" i="60"/>
  <c r="B400" i="60" s="1"/>
  <c r="D426" i="60"/>
  <c r="E426" i="60" s="1"/>
  <c r="D348" i="60"/>
  <c r="B348" i="60" s="1"/>
  <c r="D346" i="60"/>
  <c r="B346" i="60" s="1"/>
  <c r="D824" i="60"/>
  <c r="C824" i="60" s="1"/>
  <c r="D323" i="60"/>
  <c r="B323" i="60" s="1"/>
  <c r="D322" i="60"/>
  <c r="C322" i="60" s="1"/>
  <c r="D782" i="60"/>
  <c r="C782" i="60" s="1"/>
  <c r="D498" i="60"/>
  <c r="C498" i="60" s="1"/>
  <c r="D169" i="60"/>
  <c r="B169" i="60" s="1"/>
  <c r="D139" i="60"/>
  <c r="B139" i="60" s="1"/>
  <c r="D631" i="60"/>
  <c r="B631" i="60" s="1"/>
  <c r="D192" i="60"/>
  <c r="E192" i="60" s="1"/>
  <c r="D535" i="60"/>
  <c r="B535" i="60" s="1"/>
  <c r="D516" i="60"/>
  <c r="B516" i="60" s="1"/>
  <c r="D104" i="60"/>
  <c r="E104" i="60" s="1"/>
  <c r="D526" i="60"/>
  <c r="D903" i="60"/>
  <c r="B903" i="60" s="1"/>
  <c r="D286" i="60"/>
  <c r="C286" i="60" s="1"/>
  <c r="D887" i="60"/>
  <c r="C887" i="60" s="1"/>
  <c r="D333" i="60"/>
  <c r="B333" i="60" s="1"/>
  <c r="D161" i="60"/>
  <c r="C161" i="60" s="1"/>
  <c r="D599" i="60"/>
  <c r="E599" i="60" s="1"/>
  <c r="D113" i="60"/>
  <c r="B113" i="60" s="1"/>
  <c r="D770" i="60"/>
  <c r="C770" i="60" s="1"/>
  <c r="D339" i="60"/>
  <c r="B339" i="60" s="1"/>
  <c r="D54" i="60"/>
  <c r="B54" i="60" s="1"/>
  <c r="D708" i="60"/>
  <c r="B708" i="60" s="1"/>
  <c r="D492" i="60"/>
  <c r="B492" i="60" s="1"/>
  <c r="D739" i="60"/>
  <c r="C739" i="60" s="1"/>
  <c r="D365" i="60"/>
  <c r="E365" i="60" s="1"/>
  <c r="D128" i="60"/>
  <c r="C128" i="60" s="1"/>
  <c r="D65" i="60"/>
  <c r="B65" i="60" s="1"/>
  <c r="D524" i="60"/>
  <c r="C524" i="60" s="1"/>
  <c r="D338" i="60"/>
  <c r="B338" i="60" s="1"/>
  <c r="D595" i="60"/>
  <c r="C595" i="60" s="1"/>
  <c r="D924" i="60"/>
  <c r="E924" i="60" s="1"/>
  <c r="D89" i="60"/>
  <c r="C89" i="60" s="1"/>
  <c r="D185" i="60"/>
  <c r="B185" i="60" s="1"/>
  <c r="D268" i="60"/>
  <c r="C268" i="60" s="1"/>
  <c r="D697" i="60"/>
  <c r="B697" i="60" s="1"/>
  <c r="D174" i="60"/>
  <c r="B174" i="60" s="1"/>
  <c r="D402" i="60"/>
  <c r="C402" i="60" s="1"/>
  <c r="D655" i="60"/>
  <c r="C655" i="60" s="1"/>
  <c r="D68" i="60"/>
  <c r="B68" i="60" s="1"/>
  <c r="D469" i="60"/>
  <c r="E469" i="60" s="1"/>
  <c r="D755" i="60"/>
  <c r="E755" i="60" s="1"/>
  <c r="D823" i="60"/>
  <c r="E823" i="60" s="1"/>
  <c r="D376" i="60"/>
  <c r="E376" i="60" s="1"/>
  <c r="D873" i="60"/>
  <c r="E873" i="60" s="1"/>
  <c r="D537" i="60"/>
  <c r="E537" i="60" s="1"/>
  <c r="D207" i="60"/>
  <c r="C207" i="60" s="1"/>
  <c r="D540" i="60"/>
  <c r="B540" i="60" s="1"/>
  <c r="D279" i="60"/>
  <c r="B279" i="60" s="1"/>
  <c r="D67" i="60"/>
  <c r="C67" i="60" s="1"/>
  <c r="D224" i="60"/>
  <c r="B224" i="60" s="1"/>
  <c r="D228" i="60"/>
  <c r="C228" i="60" s="1"/>
  <c r="D208" i="60"/>
  <c r="D99" i="60"/>
  <c r="C99" i="60" s="1"/>
  <c r="D275" i="60"/>
  <c r="C275" i="60" s="1"/>
  <c r="D840" i="60"/>
  <c r="D930" i="60"/>
  <c r="B930" i="60" s="1"/>
  <c r="D677" i="60"/>
  <c r="C677" i="60" s="1"/>
  <c r="D355" i="60"/>
  <c r="C355" i="60" s="1"/>
  <c r="D699" i="60"/>
  <c r="E699" i="60" s="1"/>
  <c r="D476" i="60"/>
  <c r="B476" i="60" s="1"/>
  <c r="D223" i="60"/>
  <c r="B223" i="60" s="1"/>
  <c r="D761" i="60"/>
  <c r="B761" i="60" s="1"/>
  <c r="D568" i="60"/>
  <c r="C568" i="60" s="1"/>
  <c r="D152" i="60"/>
  <c r="B152" i="60" s="1"/>
  <c r="D900" i="60"/>
  <c r="B900" i="60" s="1"/>
  <c r="D869" i="60"/>
  <c r="B869" i="60" s="1"/>
  <c r="D134" i="60"/>
  <c r="B134" i="60" s="1"/>
  <c r="D920" i="60"/>
  <c r="B920" i="60" s="1"/>
  <c r="D210" i="60"/>
  <c r="C210" i="60" s="1"/>
  <c r="D607" i="60"/>
  <c r="C607" i="60" s="1"/>
  <c r="D344" i="60"/>
  <c r="C344" i="60" s="1"/>
  <c r="D456" i="60"/>
  <c r="C456" i="60" s="1"/>
  <c r="D182" i="60"/>
  <c r="B182" i="60" s="1"/>
  <c r="D58" i="60"/>
  <c r="B58" i="60" s="1"/>
  <c r="D529" i="60"/>
  <c r="B529" i="60" s="1"/>
  <c r="D575" i="60"/>
  <c r="B575" i="60" s="1"/>
  <c r="D48" i="60"/>
  <c r="B48" i="60" s="1"/>
  <c r="D154" i="60"/>
  <c r="B154" i="60" s="1"/>
  <c r="D127" i="60"/>
  <c r="B127" i="60" s="1"/>
  <c r="D438" i="60"/>
  <c r="B438" i="60" s="1"/>
  <c r="D172" i="60"/>
  <c r="B172" i="60" s="1"/>
  <c r="D612" i="60"/>
  <c r="C612" i="60" s="1"/>
  <c r="D777" i="60"/>
  <c r="B777" i="60" s="1"/>
  <c r="D28" i="60"/>
  <c r="D294" i="60"/>
  <c r="E294" i="60" s="1"/>
  <c r="D272" i="60"/>
  <c r="B272" i="60" s="1"/>
  <c r="D299" i="60"/>
  <c r="C299" i="60" s="1"/>
  <c r="D541" i="60"/>
  <c r="B541" i="60" s="1"/>
  <c r="D539" i="60"/>
  <c r="C539" i="60" s="1"/>
  <c r="D698" i="60"/>
  <c r="C698" i="60" s="1"/>
  <c r="D191" i="60"/>
  <c r="B191" i="60" s="1"/>
  <c r="D845" i="60"/>
  <c r="D449" i="60"/>
  <c r="D703" i="60"/>
  <c r="E703" i="60" s="1"/>
  <c r="D61" i="60"/>
  <c r="B61" i="60" s="1"/>
  <c r="D591" i="60"/>
  <c r="E591" i="60" s="1"/>
  <c r="D519" i="60"/>
  <c r="E519" i="60" s="1"/>
  <c r="D197" i="60"/>
  <c r="C197" i="60" s="1"/>
  <c r="D800" i="60"/>
  <c r="E800" i="60" s="1"/>
  <c r="D615" i="60"/>
  <c r="B615" i="60" s="1"/>
  <c r="E888" i="60"/>
  <c r="C914" i="60"/>
  <c r="C888" i="60"/>
  <c r="E327" i="60"/>
  <c r="D57" i="60"/>
  <c r="B57" i="60" s="1"/>
  <c r="D804" i="60"/>
  <c r="C804" i="60" s="1"/>
  <c r="D302" i="60"/>
  <c r="B302" i="60" s="1"/>
  <c r="D98" i="60"/>
  <c r="C98" i="60" s="1"/>
  <c r="D445" i="60"/>
  <c r="B445" i="60" s="1"/>
  <c r="D720" i="60"/>
  <c r="D345" i="60"/>
  <c r="E345" i="60" s="1"/>
  <c r="D549" i="60"/>
  <c r="C549" i="60" s="1"/>
  <c r="D337" i="60"/>
  <c r="C337" i="60" s="1"/>
  <c r="D17" i="60"/>
  <c r="C17" i="60" s="1"/>
  <c r="D88" i="60"/>
  <c r="B88" i="60" s="1"/>
  <c r="D546" i="60"/>
  <c r="B546" i="60" s="1"/>
  <c r="D857" i="60"/>
  <c r="B857" i="60" s="1"/>
  <c r="D690" i="60"/>
  <c r="B690" i="60" s="1"/>
  <c r="D412" i="60"/>
  <c r="D759" i="60"/>
  <c r="D811" i="60"/>
  <c r="C811" i="60" s="1"/>
  <c r="D401" i="60"/>
  <c r="B401" i="60" s="1"/>
  <c r="D178" i="60"/>
  <c r="B178" i="60" s="1"/>
  <c r="D683" i="60"/>
  <c r="C683" i="60" s="1"/>
  <c r="D30" i="60"/>
  <c r="C30" i="60" s="1"/>
  <c r="D798" i="60"/>
  <c r="E798" i="60" s="1"/>
  <c r="D340" i="60"/>
  <c r="E340" i="60" s="1"/>
  <c r="D305" i="60"/>
  <c r="E305" i="60" s="1"/>
  <c r="D77" i="60"/>
  <c r="C77" i="60" s="1"/>
  <c r="D95" i="60"/>
  <c r="B95" i="60" s="1"/>
  <c r="D471" i="60"/>
  <c r="C471" i="60" s="1"/>
  <c r="D714" i="60"/>
  <c r="C714" i="60" s="1"/>
  <c r="D358" i="60"/>
  <c r="D637" i="60"/>
  <c r="D781" i="60"/>
  <c r="E781" i="60" s="1"/>
  <c r="D117" i="60"/>
  <c r="C117" i="60" s="1"/>
  <c r="D393" i="60"/>
  <c r="C393" i="60" s="1"/>
  <c r="D632" i="60"/>
  <c r="C632" i="60" s="1"/>
  <c r="D679" i="60"/>
  <c r="C679" i="60" s="1"/>
  <c r="D262" i="60"/>
  <c r="E262" i="60" s="1"/>
  <c r="D485" i="60"/>
  <c r="C485" i="60" s="1"/>
  <c r="D563" i="60"/>
  <c r="B563" i="60" s="1"/>
  <c r="D638" i="60"/>
  <c r="C638" i="60" s="1"/>
  <c r="D579" i="60"/>
  <c r="B579" i="60" s="1"/>
  <c r="D784" i="60"/>
  <c r="C784" i="60" s="1"/>
  <c r="D238" i="60"/>
  <c r="B238" i="60" s="1"/>
  <c r="D810" i="60"/>
  <c r="E810" i="60" s="1"/>
  <c r="D291" i="60"/>
  <c r="E291" i="60" s="1"/>
  <c r="D550" i="60"/>
  <c r="D451" i="60"/>
  <c r="C451" i="60" s="1"/>
  <c r="D483" i="60"/>
  <c r="E483" i="60" s="1"/>
  <c r="D646" i="60"/>
  <c r="E646" i="60" s="1"/>
  <c r="D664" i="60"/>
  <c r="C664" i="60" s="1"/>
  <c r="D367" i="60"/>
  <c r="C367" i="60" s="1"/>
  <c r="D738" i="60"/>
  <c r="E738" i="60" s="1"/>
  <c r="D626" i="60"/>
  <c r="B626" i="60" s="1"/>
  <c r="D908" i="60"/>
  <c r="E908" i="60" s="1"/>
  <c r="E933" i="60"/>
  <c r="D621" i="60"/>
  <c r="E621" i="60" s="1"/>
  <c r="D897" i="60"/>
  <c r="C897" i="60" s="1"/>
  <c r="D627" i="60"/>
  <c r="C627" i="60" s="1"/>
  <c r="D55" i="60"/>
  <c r="D808" i="60"/>
  <c r="E808" i="60" s="1"/>
  <c r="D730" i="60"/>
  <c r="B730" i="60" s="1"/>
  <c r="D841" i="60"/>
  <c r="E841" i="60" s="1"/>
  <c r="D820" i="60"/>
  <c r="C820" i="60" s="1"/>
  <c r="D582" i="60"/>
  <c r="C582" i="60" s="1"/>
  <c r="D685" i="60"/>
  <c r="D799" i="60"/>
  <c r="B799" i="60" s="1"/>
  <c r="D902" i="60"/>
  <c r="B902" i="60" s="1"/>
  <c r="D399" i="60"/>
  <c r="E399" i="60" s="1"/>
  <c r="D147" i="60"/>
  <c r="C147" i="60" s="1"/>
  <c r="D462" i="60"/>
  <c r="E462" i="60" s="1"/>
  <c r="D641" i="60"/>
  <c r="B641" i="60" s="1"/>
  <c r="D879" i="60"/>
  <c r="B879" i="60" s="1"/>
  <c r="D176" i="60"/>
  <c r="B176" i="60" s="1"/>
  <c r="D430" i="60"/>
  <c r="B430" i="60" s="1"/>
  <c r="D600" i="60"/>
  <c r="B600" i="60" s="1"/>
  <c r="D390" i="60"/>
  <c r="E390" i="60" s="1"/>
  <c r="D870" i="60"/>
  <c r="C870" i="60" s="1"/>
  <c r="D919" i="60"/>
  <c r="B919" i="60" s="1"/>
  <c r="D561" i="60"/>
  <c r="E561" i="60" s="1"/>
  <c r="D828" i="60"/>
  <c r="C828" i="60" s="1"/>
  <c r="E447" i="60"/>
  <c r="D427" i="60"/>
  <c r="C427" i="60" s="1"/>
  <c r="D830" i="60"/>
  <c r="B830" i="60" s="1"/>
  <c r="D604" i="60"/>
  <c r="B604" i="60" s="1"/>
  <c r="D807" i="60"/>
  <c r="D532" i="60"/>
  <c r="C532" i="60" s="1"/>
  <c r="D763" i="60"/>
  <c r="D512" i="60"/>
  <c r="B512" i="60" s="1"/>
  <c r="D391" i="60"/>
  <c r="D816" i="60"/>
  <c r="D311" i="60"/>
  <c r="C311" i="60" s="1"/>
  <c r="D282" i="60"/>
  <c r="B282" i="60" s="1"/>
  <c r="D850" i="60"/>
  <c r="B850" i="60" s="1"/>
  <c r="D559" i="60"/>
  <c r="D589" i="60"/>
  <c r="C589" i="60" s="1"/>
  <c r="D855" i="60"/>
  <c r="C855" i="60" s="1"/>
  <c r="D125" i="60"/>
  <c r="C125" i="60" s="1"/>
  <c r="D598" i="60"/>
  <c r="C598" i="60" s="1"/>
  <c r="D705" i="60"/>
  <c r="C705" i="60" s="1"/>
  <c r="D473" i="60"/>
  <c r="B473" i="60" s="1"/>
  <c r="D601" i="60"/>
  <c r="C601" i="60" s="1"/>
  <c r="D225" i="60"/>
  <c r="B225" i="60" s="1"/>
  <c r="D707" i="60"/>
  <c r="C707" i="60" s="1"/>
  <c r="D381" i="60"/>
  <c r="D277" i="60"/>
  <c r="B277" i="60" s="1"/>
  <c r="E434" i="60"/>
  <c r="D230" i="60"/>
  <c r="D331" i="60"/>
  <c r="B331" i="60" s="1"/>
  <c r="D603" i="60"/>
  <c r="C603" i="60" s="1"/>
  <c r="D893" i="60"/>
  <c r="B893" i="60" s="1"/>
  <c r="D240" i="60"/>
  <c r="B240" i="60" s="1"/>
  <c r="D56" i="60"/>
  <c r="D673" i="60"/>
  <c r="D691" i="60"/>
  <c r="B691" i="60" s="1"/>
  <c r="D847" i="60"/>
  <c r="B847" i="60" s="1"/>
  <c r="D126" i="60"/>
  <c r="C126" i="60" s="1"/>
  <c r="D166" i="60"/>
  <c r="B166" i="60" s="1"/>
  <c r="D809" i="60"/>
  <c r="B809" i="60" s="1"/>
  <c r="D107" i="60"/>
  <c r="C107" i="60" s="1"/>
  <c r="D605" i="60"/>
  <c r="E605" i="60" s="1"/>
  <c r="D507" i="60"/>
  <c r="B507" i="60" s="1"/>
  <c r="D236" i="60"/>
  <c r="B236" i="60" s="1"/>
  <c r="D834" i="60"/>
  <c r="C834" i="60" s="1"/>
  <c r="D411" i="60"/>
  <c r="D156" i="60"/>
  <c r="D450" i="60"/>
  <c r="C450" i="60" s="1"/>
  <c r="D49" i="60"/>
  <c r="B49" i="60" s="1"/>
  <c r="D200" i="60"/>
  <c r="B200" i="60" s="1"/>
  <c r="D844" i="60"/>
  <c r="C844" i="60" s="1"/>
  <c r="D706" i="60"/>
  <c r="D431" i="60"/>
  <c r="E431" i="60" s="1"/>
  <c r="D303" i="60"/>
  <c r="D394" i="60"/>
  <c r="E394" i="60" s="1"/>
  <c r="D774" i="60"/>
  <c r="B774" i="60" s="1"/>
  <c r="D80" i="60"/>
  <c r="D233" i="60"/>
  <c r="B233" i="60" s="1"/>
  <c r="D629" i="60"/>
  <c r="C629" i="60" s="1"/>
  <c r="D204" i="60"/>
  <c r="C204" i="60" s="1"/>
  <c r="D515" i="60"/>
  <c r="C515" i="60" s="1"/>
  <c r="D227" i="60"/>
  <c r="B227" i="60" s="1"/>
  <c r="D634" i="60"/>
  <c r="C634" i="60" s="1"/>
  <c r="D379" i="60"/>
  <c r="C379" i="60" s="1"/>
  <c r="D813" i="60"/>
  <c r="C813" i="60" s="1"/>
  <c r="D330" i="60"/>
  <c r="B330" i="60" s="1"/>
  <c r="D929" i="60"/>
  <c r="E929" i="60" s="1"/>
  <c r="D862" i="60"/>
  <c r="D613" i="60"/>
  <c r="E613" i="60" s="1"/>
  <c r="D525" i="60"/>
  <c r="C525" i="60" s="1"/>
  <c r="D321" i="60"/>
  <c r="B321" i="60" s="1"/>
  <c r="D725" i="60"/>
  <c r="C725" i="60" s="1"/>
  <c r="D509" i="60"/>
  <c r="C509" i="60" s="1"/>
  <c r="D293" i="60"/>
  <c r="C293" i="60" s="1"/>
  <c r="D649" i="60"/>
  <c r="C649" i="60" s="1"/>
  <c r="D668" i="60"/>
  <c r="C668" i="60" s="1"/>
  <c r="D521" i="60"/>
  <c r="B521" i="60" s="1"/>
  <c r="D424" i="60"/>
  <c r="E424" i="60" s="1"/>
  <c r="D617" i="60"/>
  <c r="D505" i="60"/>
  <c r="B505" i="60" s="1"/>
  <c r="D443" i="60"/>
  <c r="C443" i="60" s="1"/>
  <c r="D479" i="60"/>
  <c r="B479" i="60" s="1"/>
  <c r="D123" i="60"/>
  <c r="C123" i="60" s="1"/>
  <c r="D565" i="60"/>
  <c r="C565" i="60" s="1"/>
  <c r="D414" i="60"/>
  <c r="E414" i="60" s="1"/>
  <c r="D602" i="60"/>
  <c r="D556" i="60"/>
  <c r="B556" i="60" s="1"/>
  <c r="D911" i="60"/>
  <c r="B911" i="60" s="1"/>
  <c r="D205" i="60"/>
  <c r="B205" i="60" s="1"/>
  <c r="D459" i="60"/>
  <c r="C459" i="60" s="1"/>
  <c r="D357" i="60"/>
  <c r="E357" i="60" s="1"/>
  <c r="D375" i="60"/>
  <c r="B375" i="60" s="1"/>
  <c r="D203" i="60"/>
  <c r="C203" i="60" s="1"/>
  <c r="D661" i="60"/>
  <c r="C661" i="60" s="1"/>
  <c r="D343" i="60"/>
  <c r="D863" i="60"/>
  <c r="C863" i="60" s="1"/>
  <c r="D417" i="60"/>
  <c r="B417" i="60" s="1"/>
  <c r="D132" i="60"/>
  <c r="E132" i="60" s="1"/>
  <c r="D678" i="60"/>
  <c r="C678" i="60" s="1"/>
  <c r="D775" i="60"/>
  <c r="C775" i="60" s="1"/>
  <c r="D642" i="60"/>
  <c r="E642" i="60" s="1"/>
  <c r="E722" i="60"/>
  <c r="B722" i="60"/>
  <c r="C722" i="60"/>
  <c r="E558" i="60"/>
  <c r="C351" i="60"/>
  <c r="E368" i="60"/>
  <c r="B447" i="60"/>
  <c r="B368" i="60"/>
  <c r="C434" i="60"/>
  <c r="E131" i="60"/>
  <c r="C447" i="60"/>
  <c r="E522" i="60"/>
  <c r="C522" i="60"/>
  <c r="E458" i="60"/>
  <c r="C37" i="60"/>
  <c r="B327" i="60"/>
  <c r="E11" i="60"/>
  <c r="B11" i="60"/>
  <c r="C511" i="60"/>
  <c r="E460" i="60"/>
  <c r="C891" i="60"/>
  <c r="B837" i="60"/>
  <c r="D114" i="60"/>
  <c r="D79" i="60"/>
  <c r="D670" i="60"/>
  <c r="D418" i="60"/>
  <c r="D544" i="60"/>
  <c r="D97" i="60"/>
  <c r="D805" i="60"/>
  <c r="D175" i="60"/>
  <c r="D912" i="60"/>
  <c r="D43" i="60"/>
  <c r="D34" i="60"/>
  <c r="D717" i="60"/>
  <c r="D581" i="60"/>
  <c r="D571" i="60"/>
  <c r="D27" i="60"/>
  <c r="D110" i="60"/>
  <c r="D398" i="60"/>
  <c r="D364" i="60"/>
  <c r="D422" i="60"/>
  <c r="D523" i="60"/>
  <c r="D116" i="60"/>
  <c r="D864" i="60"/>
  <c r="D663" i="60"/>
  <c r="D853" i="60"/>
  <c r="D856" i="60"/>
  <c r="D353" i="60"/>
  <c r="D640" i="60"/>
  <c r="D82" i="60"/>
  <c r="D713" i="60"/>
  <c r="D19" i="60"/>
  <c r="D155" i="60"/>
  <c r="D23" i="60"/>
  <c r="D716" i="60"/>
  <c r="D842" i="60"/>
  <c r="D918" i="60"/>
  <c r="D159" i="60"/>
  <c r="D408" i="60"/>
  <c r="D463" i="60"/>
  <c r="D827" i="60"/>
  <c r="D96" i="60"/>
  <c r="D745" i="60"/>
  <c r="D406" i="60"/>
  <c r="D121" i="60"/>
  <c r="D105" i="60"/>
  <c r="D419" i="60"/>
  <c r="D141" i="60"/>
  <c r="D672" i="60"/>
  <c r="D324" i="60"/>
  <c r="D439" i="60"/>
  <c r="D111" i="60"/>
  <c r="D196" i="60"/>
  <c r="D846" i="60"/>
  <c r="D527" i="60"/>
  <c r="D854" i="60"/>
  <c r="D917" i="60"/>
  <c r="D793" i="60"/>
  <c r="D73" i="60"/>
  <c r="D83" i="60"/>
  <c r="D531" i="60"/>
  <c r="D566" i="60"/>
  <c r="D287" i="60"/>
  <c r="D548" i="60"/>
  <c r="D124" i="60"/>
  <c r="D103" i="60"/>
  <c r="D359" i="60"/>
  <c r="D370" i="60"/>
  <c r="D75" i="60"/>
  <c r="D676" i="60"/>
  <c r="D78" i="60"/>
  <c r="D138" i="60"/>
  <c r="D895" i="60"/>
  <c r="C895" i="60" s="1"/>
  <c r="D467" i="60"/>
  <c r="D585" i="60"/>
  <c r="D237" i="60"/>
  <c r="D420" i="60"/>
  <c r="D791" i="60"/>
  <c r="D326" i="60"/>
  <c r="D656" i="60"/>
  <c r="D636" i="60"/>
  <c r="D150" i="60"/>
  <c r="D164" i="60"/>
  <c r="D442" i="60"/>
  <c r="D570" i="60"/>
  <c r="D148" i="60"/>
  <c r="D167" i="60"/>
  <c r="D118" i="60"/>
  <c r="D700" i="60"/>
  <c r="D26" i="60"/>
  <c r="D271" i="60"/>
  <c r="D669" i="60"/>
  <c r="D221" i="60"/>
  <c r="D363" i="60"/>
  <c r="D688" i="60"/>
  <c r="D173" i="60"/>
  <c r="D797" i="60"/>
  <c r="D618" i="60"/>
  <c r="D487" i="60"/>
  <c r="D596" i="60"/>
  <c r="D795" i="60"/>
  <c r="D478" i="60"/>
  <c r="D762" i="60"/>
  <c r="D909" i="60"/>
  <c r="D588" i="60"/>
  <c r="D310" i="60"/>
  <c r="D112" i="60"/>
  <c r="D452" i="60"/>
  <c r="D328" i="60"/>
  <c r="D701" i="60"/>
  <c r="D718" i="60"/>
  <c r="D325" i="60"/>
  <c r="D259" i="60"/>
  <c r="D171" i="60"/>
  <c r="D255" i="60"/>
  <c r="D538" i="60"/>
  <c r="D380" i="60"/>
  <c r="D833" i="60"/>
  <c r="D213" i="60"/>
  <c r="D573" i="60"/>
  <c r="D106" i="60"/>
  <c r="D671" i="60"/>
  <c r="D149" i="60"/>
  <c r="D779" i="60"/>
  <c r="D362" i="60"/>
  <c r="D12" i="60"/>
  <c r="D748" i="60"/>
  <c r="D877" i="60"/>
  <c r="D94" i="60"/>
  <c r="D765" i="60"/>
  <c r="D84" i="60"/>
  <c r="D907" i="60"/>
  <c r="D14" i="60"/>
  <c r="D280" i="60"/>
  <c r="D319" i="60"/>
  <c r="D609" i="60"/>
  <c r="D416" i="60"/>
  <c r="D144" i="60"/>
  <c r="D675" i="60"/>
  <c r="D892" i="60"/>
  <c r="D251" i="60"/>
  <c r="D542" i="60"/>
  <c r="D245" i="60"/>
  <c r="D773" i="60"/>
  <c r="D296" i="60"/>
  <c r="D410" i="60"/>
  <c r="D317" i="60"/>
  <c r="D922" i="60"/>
  <c r="D533" i="60"/>
  <c r="D610" i="60"/>
  <c r="D285" i="60"/>
  <c r="D628" i="60"/>
  <c r="D52" i="60"/>
  <c r="D772" i="60"/>
  <c r="D220" i="60"/>
  <c r="D905" i="60"/>
  <c r="D901" i="60"/>
  <c r="D397" i="60"/>
  <c r="D899" i="60"/>
  <c r="D22" i="60"/>
  <c r="D10" i="60"/>
  <c r="D686" i="60"/>
  <c r="D778" i="60"/>
  <c r="D260" i="60"/>
  <c r="D723" i="60"/>
  <c r="D86" i="60"/>
  <c r="D290" i="60"/>
  <c r="D731" i="60"/>
  <c r="D858" i="60"/>
  <c r="D60" i="60"/>
  <c r="D687" i="60"/>
  <c r="D211" i="60"/>
  <c r="D884" i="60"/>
  <c r="D488" i="60"/>
  <c r="D704" i="60"/>
  <c r="D867" i="60"/>
  <c r="D18" i="60"/>
  <c r="D724" i="60"/>
  <c r="D300" i="60"/>
  <c r="D500" i="60"/>
  <c r="D13" i="60"/>
  <c r="D241" i="60"/>
  <c r="D494" i="60"/>
  <c r="D47" i="60"/>
  <c r="D831" i="60"/>
  <c r="D69" i="60"/>
  <c r="D232" i="60"/>
  <c r="D616" i="60"/>
  <c r="D608" i="60"/>
  <c r="D40" i="60"/>
  <c r="D180" i="60"/>
  <c r="D750" i="60"/>
  <c r="D29" i="60"/>
  <c r="D815" i="60"/>
  <c r="D843" i="60"/>
  <c r="D534" i="60"/>
  <c r="D273" i="60"/>
  <c r="D567" i="60"/>
  <c r="D474" i="60"/>
  <c r="D352" i="60"/>
  <c r="D108" i="60"/>
  <c r="D866" i="60"/>
  <c r="D475" i="60"/>
  <c r="D647" i="60"/>
  <c r="D839" i="60"/>
  <c r="D216" i="60"/>
  <c r="D186" i="60"/>
  <c r="D560" i="60"/>
  <c r="D530" i="60"/>
  <c r="D597" i="60"/>
  <c r="D428" i="60"/>
  <c r="D764" i="60"/>
  <c r="D593" i="60"/>
  <c r="D732" i="60"/>
  <c r="D497" i="60"/>
  <c r="D190" i="60"/>
  <c r="D758" i="60"/>
  <c r="D129" i="60"/>
  <c r="D786" i="60"/>
  <c r="D653" i="60"/>
  <c r="D832" i="60"/>
  <c r="D554" i="60"/>
  <c r="D751" i="60"/>
  <c r="D812" i="60"/>
  <c r="D482" i="60"/>
  <c r="D395" i="60"/>
  <c r="D269" i="60"/>
  <c r="D783" i="60"/>
  <c r="D710" i="60"/>
  <c r="D592" i="60"/>
  <c r="D756" i="60"/>
  <c r="D652" i="60"/>
  <c r="D454" i="60"/>
  <c r="D557" i="60"/>
  <c r="D366" i="60"/>
  <c r="D212" i="60"/>
  <c r="D242" i="60"/>
  <c r="D361" i="60"/>
  <c r="D257" i="60"/>
  <c r="D694" i="60"/>
  <c r="D342" i="60"/>
  <c r="D162" i="60"/>
  <c r="D709" i="60"/>
  <c r="D436" i="60"/>
  <c r="D283" i="60"/>
  <c r="D916" i="60"/>
  <c r="D246" i="60"/>
  <c r="D194" i="60"/>
  <c r="D36" i="60"/>
  <c r="D715" i="60"/>
  <c r="D620" i="60"/>
  <c r="D239" i="60"/>
  <c r="D767" i="60"/>
  <c r="D270" i="60"/>
  <c r="D792" i="60"/>
  <c r="D432" i="60"/>
  <c r="D878" i="60"/>
  <c r="D71" i="60"/>
  <c r="D574" i="60"/>
  <c r="D354" i="60"/>
  <c r="D304" i="60"/>
  <c r="D115" i="60"/>
  <c r="D740" i="60"/>
  <c r="D577" i="60"/>
  <c r="D648" i="60"/>
  <c r="D371" i="60"/>
  <c r="D248" i="60"/>
  <c r="D274" i="60"/>
  <c r="D635" i="60"/>
  <c r="D821" i="60"/>
  <c r="D829" i="60"/>
  <c r="D695" i="60"/>
  <c r="D25" i="60"/>
  <c r="D347" i="60"/>
  <c r="D684" i="60"/>
  <c r="D235" i="60"/>
  <c r="D871" i="60"/>
  <c r="D657" i="60"/>
  <c r="D90" i="60"/>
  <c r="D32" i="60"/>
  <c r="D377" i="60"/>
  <c r="D130" i="60"/>
  <c r="D413" i="60"/>
  <c r="D818" i="60"/>
  <c r="D889" i="60"/>
  <c r="D222" i="60"/>
  <c r="D851" i="60"/>
  <c r="D31" i="60"/>
  <c r="D409" i="60"/>
  <c r="D254" i="60"/>
  <c r="D665" i="60"/>
  <c r="D146" i="60"/>
  <c r="D63" i="60"/>
  <c r="D15" i="60"/>
  <c r="D39" i="60"/>
  <c r="D910" i="60"/>
  <c r="D490" i="60"/>
  <c r="D645" i="60"/>
  <c r="D444" i="60"/>
  <c r="D206" i="60"/>
  <c r="D518" i="60"/>
  <c r="D76" i="60"/>
  <c r="D349" i="60"/>
  <c r="D20" i="60"/>
  <c r="D702" i="60"/>
  <c r="D109" i="60"/>
  <c r="D369" i="60"/>
  <c r="D882" i="60"/>
  <c r="D74" i="60"/>
  <c r="D654" i="60"/>
  <c r="D625" i="60"/>
  <c r="D320" i="60"/>
  <c r="D890" i="60"/>
  <c r="D681" i="60"/>
  <c r="D199" i="60"/>
  <c r="D297" i="60"/>
  <c r="D384" i="60"/>
  <c r="D860" i="60"/>
  <c r="D729" i="60"/>
  <c r="D586" i="60"/>
  <c r="D785" i="60"/>
  <c r="D440" i="60"/>
  <c r="D281" i="60"/>
  <c r="D880" i="60"/>
  <c r="D838" i="60"/>
  <c r="D244" i="60"/>
  <c r="D356" i="60"/>
  <c r="D226" i="60"/>
  <c r="D481" i="60"/>
  <c r="D692" i="60"/>
  <c r="D202" i="60"/>
  <c r="D336" i="60"/>
  <c r="D429" i="60"/>
  <c r="D42" i="60"/>
  <c r="D712" i="60"/>
  <c r="D306" i="60"/>
  <c r="D753" i="60"/>
  <c r="D747" i="60"/>
  <c r="D508" i="60"/>
  <c r="D135" i="60"/>
  <c r="D298" i="60"/>
  <c r="D876" i="60"/>
  <c r="D62" i="60"/>
  <c r="D578" i="60"/>
  <c r="D466" i="60"/>
  <c r="D388" i="60"/>
  <c r="D510" i="60"/>
  <c r="D896" i="60"/>
  <c r="D374" i="60"/>
  <c r="D24" i="60"/>
  <c r="D651" i="60"/>
  <c r="D528" i="60"/>
  <c r="D276" i="60"/>
  <c r="D168" i="60"/>
  <c r="D874" i="60"/>
  <c r="D46" i="60"/>
  <c r="D189" i="60"/>
  <c r="D265" i="60"/>
  <c r="D41" i="60"/>
  <c r="D822" i="60"/>
  <c r="D622" i="60"/>
  <c r="D405" i="60"/>
  <c r="D923" i="60"/>
  <c r="D179" i="60"/>
  <c r="D332" i="60"/>
  <c r="D848" i="60"/>
  <c r="D576" i="60"/>
  <c r="D499" i="60"/>
  <c r="D486" i="60"/>
  <c r="D373" i="60"/>
  <c r="D760" i="60"/>
  <c r="D721" i="60"/>
  <c r="D802" i="60"/>
  <c r="D501" i="60"/>
  <c r="D53" i="60"/>
  <c r="D261" i="60"/>
  <c r="D151" i="60"/>
  <c r="D623" i="60"/>
  <c r="D66" i="60"/>
  <c r="D177" i="60"/>
  <c r="D313" i="60"/>
  <c r="D193" i="60"/>
  <c r="D315" i="60"/>
  <c r="D165" i="60"/>
  <c r="D734" i="60"/>
  <c r="D517" i="60"/>
  <c r="D553" i="60"/>
  <c r="D87" i="60"/>
  <c r="D421" i="60"/>
  <c r="D927" i="60"/>
  <c r="D865" i="60"/>
  <c r="D480" i="60"/>
  <c r="D752" i="60"/>
  <c r="D931" i="60"/>
  <c r="D584" i="60"/>
  <c r="D263" i="60"/>
  <c r="D45" i="60"/>
  <c r="D91" i="60"/>
  <c r="D861" i="60"/>
  <c r="D253" i="60"/>
  <c r="D859" i="60"/>
  <c r="D140" i="60"/>
  <c r="D181" i="60"/>
  <c r="D316" i="60"/>
  <c r="D201" i="60"/>
  <c r="D470" i="60"/>
  <c r="D423" i="60"/>
  <c r="D883" i="60"/>
  <c r="D674" i="60"/>
  <c r="D806" i="60"/>
  <c r="D606" i="60"/>
  <c r="D163" i="60"/>
  <c r="D252" i="60"/>
  <c r="D229" i="60"/>
  <c r="D727" i="60"/>
  <c r="D288" i="60"/>
  <c r="D493" i="60"/>
  <c r="D382" i="60"/>
  <c r="D513" i="60"/>
  <c r="D334" i="60"/>
  <c r="D247" i="60"/>
  <c r="D461" i="60"/>
  <c r="D188" i="60"/>
  <c r="E551" i="60"/>
  <c r="D660" i="60"/>
  <c r="D496" i="60"/>
  <c r="D639" i="60"/>
  <c r="D572" i="60"/>
  <c r="D160" i="60"/>
  <c r="D215" i="60"/>
  <c r="D250" i="60"/>
  <c r="D267" i="60"/>
  <c r="D787" i="60"/>
  <c r="D633" i="60"/>
  <c r="D383" i="60"/>
  <c r="D403" i="60"/>
  <c r="D737" i="60"/>
  <c r="D624" i="60"/>
  <c r="D50" i="60"/>
  <c r="D455" i="60"/>
  <c r="D658" i="60"/>
  <c r="D318" i="60"/>
  <c r="D309" i="60"/>
  <c r="D569" i="60"/>
  <c r="D817" i="60"/>
  <c r="D913" i="60"/>
  <c r="D415" i="60"/>
  <c r="D465" i="60"/>
  <c r="D504" i="60"/>
  <c r="D543" i="60"/>
  <c r="D743" i="60"/>
  <c r="D644" i="60"/>
  <c r="D243" i="60"/>
  <c r="D70" i="60"/>
  <c r="D312" i="60"/>
  <c r="D742" i="60"/>
  <c r="D38" i="60"/>
  <c r="D757" i="60"/>
  <c r="C551" i="60"/>
  <c r="D583" i="60"/>
  <c r="D689" i="60"/>
  <c r="D387" i="60"/>
  <c r="D218" i="60"/>
  <c r="D136" i="60"/>
  <c r="D153" i="60"/>
  <c r="D81" i="60"/>
  <c r="D170" i="60"/>
  <c r="D489" i="60"/>
  <c r="D256" i="60"/>
  <c r="D102" i="60"/>
  <c r="D396" i="60"/>
  <c r="D794" i="60"/>
  <c r="D137" i="60"/>
  <c r="D437" i="60"/>
  <c r="D249" i="60"/>
  <c r="D33" i="60"/>
  <c r="D392" i="60"/>
  <c r="D728" i="60"/>
  <c r="D735" i="60"/>
  <c r="D906" i="60"/>
  <c r="D120" i="60"/>
  <c r="D16" i="60"/>
  <c r="D378" i="60"/>
  <c r="D142" i="60"/>
  <c r="D835" i="60"/>
  <c r="D746" i="60"/>
  <c r="D389" i="60"/>
  <c r="D711" i="60"/>
  <c r="D726" i="60"/>
  <c r="D307" i="60"/>
  <c r="D614" i="60"/>
  <c r="D335" i="60"/>
  <c r="D157" i="60"/>
  <c r="E915" i="60" l="1"/>
  <c r="E360" i="60"/>
  <c r="B915" i="60"/>
  <c r="C360" i="60"/>
  <c r="B131" i="60"/>
  <c r="B771" i="60"/>
  <c r="B284" i="60"/>
  <c r="E284" i="60"/>
  <c r="B404" i="60"/>
  <c r="C58" i="60"/>
  <c r="B258" i="60"/>
  <c r="C904" i="60"/>
  <c r="B119" i="60"/>
  <c r="E258" i="60"/>
  <c r="E491" i="60"/>
  <c r="C404" i="60"/>
  <c r="C558" i="60"/>
  <c r="B37" i="60"/>
  <c r="E268" i="60"/>
  <c r="B825" i="60"/>
  <c r="B495" i="60"/>
  <c r="C491" i="60"/>
  <c r="E825" i="60"/>
  <c r="E453" i="60"/>
  <c r="B35" i="60"/>
  <c r="C289" i="60"/>
  <c r="B289" i="60"/>
  <c r="E590" i="60"/>
  <c r="C789" i="60"/>
  <c r="E512" i="60"/>
  <c r="B788" i="60"/>
  <c r="E754" i="60"/>
  <c r="B754" i="60"/>
  <c r="C800" i="60"/>
  <c r="B295" i="60"/>
  <c r="E788" i="60"/>
  <c r="B217" i="60"/>
  <c r="E659" i="60"/>
  <c r="B789" i="60"/>
  <c r="B471" i="60"/>
  <c r="C139" i="60"/>
  <c r="E217" i="60"/>
  <c r="C92" i="60"/>
  <c r="E139" i="60"/>
  <c r="E158" i="60"/>
  <c r="C158" i="60"/>
  <c r="E339" i="60"/>
  <c r="C169" i="60"/>
  <c r="B21" i="60"/>
  <c r="C826" i="60"/>
  <c r="C301" i="60"/>
  <c r="E169" i="60"/>
  <c r="E21" i="60"/>
  <c r="C926" i="60"/>
  <c r="E184" i="60"/>
  <c r="B219" i="60"/>
  <c r="C72" i="60"/>
  <c r="E219" i="60"/>
  <c r="E72" i="60"/>
  <c r="E292" i="60"/>
  <c r="E228" i="60"/>
  <c r="E113" i="60"/>
  <c r="E900" i="60"/>
  <c r="C166" i="60"/>
  <c r="B590" i="60"/>
  <c r="E166" i="60"/>
  <c r="E836" i="60"/>
  <c r="B498" i="60"/>
  <c r="B836" i="60"/>
  <c r="E498" i="60"/>
  <c r="C227" i="60"/>
  <c r="E438" i="60"/>
  <c r="B441" i="60"/>
  <c r="B925" i="60"/>
  <c r="E185" i="60"/>
  <c r="E667" i="60"/>
  <c r="C477" i="60"/>
  <c r="C152" i="60"/>
  <c r="C185" i="60"/>
  <c r="E341" i="60"/>
  <c r="E477" i="60"/>
  <c r="B184" i="60"/>
  <c r="E152" i="60"/>
  <c r="B868" i="60"/>
  <c r="B89" i="60"/>
  <c r="E425" i="60"/>
  <c r="B341" i="60"/>
  <c r="E278" i="60"/>
  <c r="E904" i="60"/>
  <c r="B292" i="60"/>
  <c r="E457" i="60"/>
  <c r="E803" i="60"/>
  <c r="E329" i="60"/>
  <c r="C209" i="60"/>
  <c r="C191" i="60"/>
  <c r="C484" i="60"/>
  <c r="B308" i="60"/>
  <c r="C35" i="60"/>
  <c r="E351" i="60"/>
  <c r="C386" i="60"/>
  <c r="E666" i="60"/>
  <c r="C771" i="60"/>
  <c r="B667" i="60"/>
  <c r="E127" i="60"/>
  <c r="C457" i="60"/>
  <c r="C375" i="60"/>
  <c r="E209" i="60"/>
  <c r="B329" i="60"/>
  <c r="E386" i="60"/>
  <c r="E540" i="60"/>
  <c r="E161" i="60"/>
  <c r="C696" i="60"/>
  <c r="E372" i="60"/>
  <c r="C101" i="60"/>
  <c r="B814" i="60"/>
  <c r="E928" i="60"/>
  <c r="C95" i="60"/>
  <c r="B506" i="60"/>
  <c r="C540" i="60"/>
  <c r="E733" i="60"/>
  <c r="B768" i="60"/>
  <c r="E749" i="60"/>
  <c r="E868" i="60"/>
  <c r="B824" i="60"/>
  <c r="E814" i="60"/>
  <c r="C308" i="60"/>
  <c r="C127" i="60"/>
  <c r="E696" i="60"/>
  <c r="E443" i="60"/>
  <c r="C749" i="60"/>
  <c r="E89" i="60"/>
  <c r="C453" i="60"/>
  <c r="E824" i="60"/>
  <c r="B425" i="60"/>
  <c r="C803" i="60"/>
  <c r="B278" i="60"/>
  <c r="E589" i="60"/>
  <c r="E234" i="60"/>
  <c r="C898" i="60"/>
  <c r="C562" i="60"/>
  <c r="C464" i="60"/>
  <c r="B552" i="60"/>
  <c r="C552" i="60"/>
  <c r="E301" i="60"/>
  <c r="B286" i="60"/>
  <c r="E562" i="60"/>
  <c r="B122" i="60"/>
  <c r="C64" i="60"/>
  <c r="E333" i="60"/>
  <c r="E187" i="60"/>
  <c r="E662" i="60"/>
  <c r="C122" i="60"/>
  <c r="E92" i="60"/>
  <c r="E64" i="60"/>
  <c r="B776" i="60"/>
  <c r="C187" i="60"/>
  <c r="E744" i="60"/>
  <c r="E295" i="60"/>
  <c r="C458" i="60"/>
  <c r="C626" i="60"/>
  <c r="C659" i="60"/>
  <c r="E323" i="60"/>
  <c r="B595" i="60"/>
  <c r="E914" i="60"/>
  <c r="C154" i="60"/>
  <c r="E471" i="60"/>
  <c r="C433" i="60"/>
  <c r="B662" i="60"/>
  <c r="B682" i="60"/>
  <c r="B926" i="60"/>
  <c r="B744" i="60"/>
  <c r="B698" i="60"/>
  <c r="C849" i="60"/>
  <c r="E761" i="60"/>
  <c r="B234" i="60"/>
  <c r="B736" i="60"/>
  <c r="E154" i="60"/>
  <c r="E837" i="60"/>
  <c r="E58" i="60"/>
  <c r="E698" i="60"/>
  <c r="C885" i="60"/>
  <c r="C279" i="60"/>
  <c r="C445" i="60"/>
  <c r="B568" i="60"/>
  <c r="C262" i="60"/>
  <c r="B101" i="60"/>
  <c r="B207" i="60"/>
  <c r="E207" i="60"/>
  <c r="C761" i="60"/>
  <c r="E885" i="60"/>
  <c r="E279" i="60"/>
  <c r="C580" i="60"/>
  <c r="B407" i="60"/>
  <c r="C503" i="60"/>
  <c r="C441" i="60"/>
  <c r="E464" i="60"/>
  <c r="E568" i="60"/>
  <c r="E736" i="60"/>
  <c r="B589" i="60"/>
  <c r="C733" i="60"/>
  <c r="E580" i="60"/>
  <c r="E826" i="60"/>
  <c r="E407" i="60"/>
  <c r="B294" i="60"/>
  <c r="E595" i="60"/>
  <c r="C338" i="60"/>
  <c r="C183" i="60"/>
  <c r="E126" i="60"/>
  <c r="C873" i="60"/>
  <c r="B873" i="60"/>
  <c r="E445" i="60"/>
  <c r="B214" i="60"/>
  <c r="B126" i="60"/>
  <c r="B536" i="60"/>
  <c r="E630" i="60"/>
  <c r="E849" i="60"/>
  <c r="B198" i="60"/>
  <c r="C555" i="60"/>
  <c r="C537" i="60"/>
  <c r="E529" i="60"/>
  <c r="C468" i="60"/>
  <c r="E575" i="60"/>
  <c r="E338" i="60"/>
  <c r="E472" i="60"/>
  <c r="B524" i="60"/>
  <c r="C886" i="60"/>
  <c r="B125" i="60"/>
  <c r="E484" i="60"/>
  <c r="B468" i="60"/>
  <c r="E541" i="60"/>
  <c r="E898" i="60"/>
  <c r="E682" i="60"/>
  <c r="B769" i="60"/>
  <c r="E891" i="60"/>
  <c r="E555" i="60"/>
  <c r="B630" i="60"/>
  <c r="B183" i="60"/>
  <c r="C100" i="60"/>
  <c r="C476" i="60"/>
  <c r="E100" i="60"/>
  <c r="C769" i="60"/>
  <c r="B887" i="60"/>
  <c r="E881" i="60"/>
  <c r="B928" i="60"/>
  <c r="E476" i="60"/>
  <c r="C823" i="60"/>
  <c r="B782" i="60"/>
  <c r="B693" i="60"/>
  <c r="E887" i="60"/>
  <c r="C541" i="60"/>
  <c r="E524" i="60"/>
  <c r="E98" i="60"/>
  <c r="B539" i="60"/>
  <c r="C529" i="60"/>
  <c r="C615" i="60"/>
  <c r="B823" i="60"/>
  <c r="E143" i="60"/>
  <c r="C693" i="60"/>
  <c r="C809" i="60"/>
  <c r="E768" i="60"/>
  <c r="E511" i="60"/>
  <c r="E819" i="60"/>
  <c r="C223" i="60"/>
  <c r="C48" i="60"/>
  <c r="B322" i="60"/>
  <c r="E9" i="60"/>
  <c r="F9" i="60" s="1"/>
  <c r="B714" i="60"/>
  <c r="C68" i="60"/>
  <c r="B195" i="60"/>
  <c r="C641" i="60"/>
  <c r="B9" i="60"/>
  <c r="C143" i="60"/>
  <c r="E809" i="60"/>
  <c r="C921" i="60"/>
  <c r="C575" i="60"/>
  <c r="E547" i="60"/>
  <c r="C472" i="60"/>
  <c r="E286" i="60"/>
  <c r="B886" i="60"/>
  <c r="E536" i="60"/>
  <c r="B627" i="60"/>
  <c r="B881" i="60"/>
  <c r="E714" i="60"/>
  <c r="E195" i="60"/>
  <c r="E615" i="60"/>
  <c r="B314" i="60"/>
  <c r="B800" i="60"/>
  <c r="E921" i="60"/>
  <c r="C93" i="60"/>
  <c r="B537" i="60"/>
  <c r="B93" i="60"/>
  <c r="E223" i="60"/>
  <c r="E539" i="60"/>
  <c r="C323" i="60"/>
  <c r="E433" i="60"/>
  <c r="B781" i="60"/>
  <c r="E314" i="60"/>
  <c r="B355" i="60"/>
  <c r="E503" i="60"/>
  <c r="B801" i="60"/>
  <c r="C801" i="60"/>
  <c r="E125" i="60"/>
  <c r="C781" i="60"/>
  <c r="E322" i="60"/>
  <c r="B819" i="60"/>
  <c r="C372" i="60"/>
  <c r="B547" i="60"/>
  <c r="E355" i="60"/>
  <c r="E204" i="60"/>
  <c r="E741" i="60"/>
  <c r="C920" i="60"/>
  <c r="E95" i="60"/>
  <c r="C266" i="60"/>
  <c r="E350" i="60"/>
  <c r="C495" i="60"/>
  <c r="E920" i="60"/>
  <c r="C869" i="60"/>
  <c r="E641" i="60"/>
  <c r="E857" i="60"/>
  <c r="E198" i="60"/>
  <c r="B67" i="60"/>
  <c r="E48" i="60"/>
  <c r="C587" i="60"/>
  <c r="B668" i="60"/>
  <c r="C879" i="60"/>
  <c r="B448" i="60"/>
  <c r="E375" i="60"/>
  <c r="B798" i="60"/>
  <c r="C233" i="60"/>
  <c r="E231" i="60"/>
  <c r="C857" i="60"/>
  <c r="C113" i="60"/>
  <c r="B738" i="60"/>
  <c r="C925" i="60"/>
  <c r="E587" i="60"/>
  <c r="B77" i="60"/>
  <c r="E879" i="60"/>
  <c r="E855" i="60"/>
  <c r="E233" i="60"/>
  <c r="C231" i="60"/>
  <c r="C738" i="60"/>
  <c r="B51" i="60"/>
  <c r="C460" i="60"/>
  <c r="B460" i="60"/>
  <c r="E506" i="60"/>
  <c r="E546" i="60"/>
  <c r="C51" i="60"/>
  <c r="B664" i="60"/>
  <c r="B594" i="60"/>
  <c r="C691" i="60"/>
  <c r="E210" i="60"/>
  <c r="E632" i="60"/>
  <c r="E119" i="60"/>
  <c r="E61" i="60"/>
  <c r="E626" i="60"/>
  <c r="C333" i="60"/>
  <c r="C516" i="60"/>
  <c r="E664" i="60"/>
  <c r="C224" i="60"/>
  <c r="E227" i="60"/>
  <c r="E782" i="60"/>
  <c r="E535" i="60"/>
  <c r="B741" i="60"/>
  <c r="B435" i="60"/>
  <c r="E668" i="60"/>
  <c r="B266" i="60"/>
  <c r="C350" i="60"/>
  <c r="E776" i="60"/>
  <c r="C708" i="60"/>
  <c r="B611" i="60"/>
  <c r="E77" i="60"/>
  <c r="C133" i="60"/>
  <c r="B210" i="60"/>
  <c r="C59" i="60"/>
  <c r="B44" i="60"/>
  <c r="E875" i="60"/>
  <c r="E427" i="60"/>
  <c r="C502" i="60"/>
  <c r="C619" i="60"/>
  <c r="B643" i="60"/>
  <c r="E214" i="60"/>
  <c r="E448" i="60"/>
  <c r="C766" i="60"/>
  <c r="B766" i="60"/>
  <c r="C520" i="60"/>
  <c r="B520" i="60"/>
  <c r="B502" i="60"/>
  <c r="E619" i="60"/>
  <c r="E446" i="60"/>
  <c r="B161" i="60"/>
  <c r="B875" i="60"/>
  <c r="B204" i="60"/>
  <c r="B275" i="60"/>
  <c r="E430" i="60"/>
  <c r="C546" i="60"/>
  <c r="B268" i="60"/>
  <c r="C282" i="60"/>
  <c r="B790" i="60"/>
  <c r="E545" i="60"/>
  <c r="B897" i="60"/>
  <c r="B780" i="60"/>
  <c r="E133" i="60"/>
  <c r="B228" i="60"/>
  <c r="E282" i="60"/>
  <c r="C545" i="60"/>
  <c r="E790" i="60"/>
  <c r="E770" i="60"/>
  <c r="E897" i="60"/>
  <c r="E780" i="60"/>
  <c r="B666" i="60"/>
  <c r="E191" i="60"/>
  <c r="C650" i="60"/>
  <c r="B650" i="60"/>
  <c r="E677" i="60"/>
  <c r="B85" i="60"/>
  <c r="E85" i="60"/>
  <c r="C469" i="60"/>
  <c r="E402" i="60"/>
  <c r="C777" i="60"/>
  <c r="C605" i="60"/>
  <c r="E607" i="60"/>
  <c r="E417" i="60"/>
  <c r="E299" i="60"/>
  <c r="C401" i="60"/>
  <c r="B385" i="60"/>
  <c r="E525" i="60"/>
  <c r="B796" i="60"/>
  <c r="C330" i="60"/>
  <c r="C134" i="60"/>
  <c r="B719" i="60"/>
  <c r="E777" i="60"/>
  <c r="B197" i="60"/>
  <c r="C643" i="60"/>
  <c r="C426" i="60"/>
  <c r="C208" i="60"/>
  <c r="B208" i="60"/>
  <c r="E344" i="60"/>
  <c r="E845" i="60"/>
  <c r="C845" i="60"/>
  <c r="B834" i="60"/>
  <c r="E893" i="60"/>
  <c r="E796" i="60"/>
  <c r="C591" i="60"/>
  <c r="E719" i="60"/>
  <c r="E813" i="60"/>
  <c r="E197" i="60"/>
  <c r="B262" i="60"/>
  <c r="E435" i="60"/>
  <c r="C900" i="60"/>
  <c r="E852" i="60"/>
  <c r="B599" i="60"/>
  <c r="C599" i="60"/>
  <c r="E564" i="60"/>
  <c r="B564" i="60"/>
  <c r="E346" i="60"/>
  <c r="B456" i="60"/>
  <c r="E68" i="60"/>
  <c r="C348" i="60"/>
  <c r="B426" i="60"/>
  <c r="E28" i="60"/>
  <c r="C28" i="60"/>
  <c r="B519" i="60"/>
  <c r="C492" i="60"/>
  <c r="E516" i="60"/>
  <c r="C449" i="60"/>
  <c r="B449" i="60"/>
  <c r="E549" i="60"/>
  <c r="E627" i="60"/>
  <c r="B828" i="60"/>
  <c r="C104" i="60"/>
  <c r="C535" i="60"/>
  <c r="E903" i="60"/>
  <c r="B813" i="60"/>
  <c r="C631" i="60"/>
  <c r="C697" i="60"/>
  <c r="B28" i="60"/>
  <c r="B128" i="60"/>
  <c r="C908" i="60"/>
  <c r="B99" i="60"/>
  <c r="E182" i="60"/>
  <c r="E869" i="60"/>
  <c r="B755" i="60"/>
  <c r="C755" i="60"/>
  <c r="C65" i="60"/>
  <c r="C840" i="60"/>
  <c r="E840" i="60"/>
  <c r="B840" i="60"/>
  <c r="B526" i="60"/>
  <c r="C526" i="60"/>
  <c r="E456" i="60"/>
  <c r="E275" i="60"/>
  <c r="C294" i="60"/>
  <c r="E348" i="60"/>
  <c r="B601" i="60"/>
  <c r="E611" i="60"/>
  <c r="E208" i="60"/>
  <c r="B344" i="60"/>
  <c r="B703" i="60"/>
  <c r="C703" i="60"/>
  <c r="B525" i="60"/>
  <c r="C272" i="60"/>
  <c r="E272" i="60"/>
  <c r="C893" i="60"/>
  <c r="B450" i="60"/>
  <c r="B469" i="60"/>
  <c r="C61" i="60"/>
  <c r="C519" i="60"/>
  <c r="C182" i="60"/>
  <c r="E631" i="60"/>
  <c r="C479" i="60"/>
  <c r="B485" i="60"/>
  <c r="B605" i="60"/>
  <c r="B820" i="60"/>
  <c r="C400" i="60"/>
  <c r="E99" i="60"/>
  <c r="B632" i="60"/>
  <c r="B591" i="60"/>
  <c r="E708" i="60"/>
  <c r="C339" i="60"/>
  <c r="E449" i="60"/>
  <c r="B770" i="60"/>
  <c r="B924" i="60"/>
  <c r="C924" i="60"/>
  <c r="B894" i="60"/>
  <c r="C894" i="60"/>
  <c r="B680" i="60"/>
  <c r="C680" i="60"/>
  <c r="B299" i="60"/>
  <c r="E492" i="60"/>
  <c r="E601" i="60"/>
  <c r="B549" i="60"/>
  <c r="B565" i="60"/>
  <c r="E385" i="60"/>
  <c r="C852" i="60"/>
  <c r="B655" i="60"/>
  <c r="B402" i="60"/>
  <c r="B739" i="60"/>
  <c r="B661" i="60"/>
  <c r="E594" i="60"/>
  <c r="E134" i="60"/>
  <c r="E697" i="60"/>
  <c r="E44" i="60"/>
  <c r="E450" i="60"/>
  <c r="B104" i="60"/>
  <c r="C54" i="60"/>
  <c r="E479" i="60"/>
  <c r="E485" i="60"/>
  <c r="E820" i="60"/>
  <c r="E400" i="60"/>
  <c r="E224" i="60"/>
  <c r="C192" i="60"/>
  <c r="E872" i="60"/>
  <c r="C872" i="60"/>
  <c r="E264" i="60"/>
  <c r="C346" i="60"/>
  <c r="C145" i="60"/>
  <c r="B145" i="60"/>
  <c r="E565" i="60"/>
  <c r="B784" i="60"/>
  <c r="C903" i="60"/>
  <c r="E655" i="60"/>
  <c r="E739" i="60"/>
  <c r="B607" i="60"/>
  <c r="C417" i="60"/>
  <c r="E930" i="60"/>
  <c r="B855" i="60"/>
  <c r="B192" i="60"/>
  <c r="C930" i="60"/>
  <c r="B683" i="60"/>
  <c r="E401" i="60"/>
  <c r="E828" i="60"/>
  <c r="C174" i="60"/>
  <c r="B365" i="60"/>
  <c r="B446" i="60"/>
  <c r="B612" i="60"/>
  <c r="E54" i="60"/>
  <c r="B845" i="60"/>
  <c r="B264" i="60"/>
  <c r="E67" i="60"/>
  <c r="C699" i="60"/>
  <c r="B699" i="60"/>
  <c r="C376" i="60"/>
  <c r="B376" i="60"/>
  <c r="E532" i="60"/>
  <c r="E65" i="60"/>
  <c r="E172" i="60"/>
  <c r="C172" i="60"/>
  <c r="C365" i="60"/>
  <c r="E128" i="60"/>
  <c r="E526" i="60"/>
  <c r="E59" i="60"/>
  <c r="B677" i="60"/>
  <c r="E174" i="60"/>
  <c r="E680" i="60"/>
  <c r="C430" i="60"/>
  <c r="E563" i="60"/>
  <c r="B443" i="60"/>
  <c r="E612" i="60"/>
  <c r="B98" i="60"/>
  <c r="B908" i="60"/>
  <c r="C438" i="60"/>
  <c r="B514" i="60"/>
  <c r="C514" i="60"/>
  <c r="C56" i="60"/>
  <c r="B56" i="60"/>
  <c r="E774" i="60"/>
  <c r="C88" i="60"/>
  <c r="E598" i="60"/>
  <c r="B775" i="60"/>
  <c r="C556" i="60"/>
  <c r="E602" i="60"/>
  <c r="C602" i="60"/>
  <c r="E303" i="60"/>
  <c r="B303" i="60"/>
  <c r="E240" i="60"/>
  <c r="C240" i="60"/>
  <c r="C225" i="60"/>
  <c r="E225" i="60"/>
  <c r="B810" i="60"/>
  <c r="C810" i="60"/>
  <c r="E178" i="60"/>
  <c r="C178" i="60"/>
  <c r="E337" i="60"/>
  <c r="B337" i="60"/>
  <c r="E683" i="60"/>
  <c r="B427" i="60"/>
  <c r="E88" i="60"/>
  <c r="E775" i="60"/>
  <c r="B532" i="60"/>
  <c r="B808" i="60"/>
  <c r="E556" i="60"/>
  <c r="B414" i="60"/>
  <c r="C414" i="60"/>
  <c r="C613" i="60"/>
  <c r="B613" i="60"/>
  <c r="E807" i="60"/>
  <c r="B807" i="60"/>
  <c r="C807" i="60"/>
  <c r="C561" i="60"/>
  <c r="B561" i="60"/>
  <c r="E238" i="60"/>
  <c r="C238" i="60"/>
  <c r="E685" i="60"/>
  <c r="B685" i="60"/>
  <c r="E603" i="60"/>
  <c r="B603" i="60"/>
  <c r="E759" i="60"/>
  <c r="B759" i="60"/>
  <c r="C604" i="60"/>
  <c r="E638" i="60"/>
  <c r="B638" i="60"/>
  <c r="E919" i="60"/>
  <c r="C563" i="60"/>
  <c r="C390" i="60"/>
  <c r="E579" i="60"/>
  <c r="E799" i="60"/>
  <c r="E661" i="60"/>
  <c r="B30" i="60"/>
  <c r="E379" i="60"/>
  <c r="B379" i="60"/>
  <c r="E507" i="60"/>
  <c r="C507" i="60"/>
  <c r="E706" i="60"/>
  <c r="C706" i="60"/>
  <c r="E550" i="60"/>
  <c r="C550" i="60"/>
  <c r="E862" i="60"/>
  <c r="C862" i="60"/>
  <c r="C411" i="60"/>
  <c r="B411" i="60"/>
  <c r="E870" i="60"/>
  <c r="B870" i="60"/>
  <c r="E412" i="60"/>
  <c r="C412" i="60"/>
  <c r="B132" i="60"/>
  <c r="C902" i="60"/>
  <c r="C303" i="60"/>
  <c r="B602" i="60"/>
  <c r="B390" i="60"/>
  <c r="E634" i="60"/>
  <c r="B634" i="60"/>
  <c r="E176" i="60"/>
  <c r="C176" i="60"/>
  <c r="E80" i="60"/>
  <c r="C80" i="60"/>
  <c r="E673" i="60"/>
  <c r="B673" i="60"/>
  <c r="B550" i="60"/>
  <c r="C200" i="60"/>
  <c r="C277" i="60"/>
  <c r="C841" i="60"/>
  <c r="B841" i="60"/>
  <c r="C642" i="60"/>
  <c r="C291" i="60"/>
  <c r="C331" i="60"/>
  <c r="E811" i="60"/>
  <c r="E277" i="60"/>
  <c r="B394" i="60"/>
  <c r="E230" i="60"/>
  <c r="C230" i="60"/>
  <c r="C720" i="60"/>
  <c r="B720" i="60"/>
  <c r="E720" i="60"/>
  <c r="B291" i="60"/>
  <c r="C919" i="60"/>
  <c r="E330" i="60"/>
  <c r="B706" i="60"/>
  <c r="E200" i="60"/>
  <c r="E321" i="60"/>
  <c r="C579" i="60"/>
  <c r="C799" i="60"/>
  <c r="C759" i="60"/>
  <c r="E30" i="60"/>
  <c r="E236" i="60"/>
  <c r="C236" i="60"/>
  <c r="C132" i="60"/>
  <c r="E902" i="60"/>
  <c r="B598" i="60"/>
  <c r="C685" i="60"/>
  <c r="B862" i="60"/>
  <c r="C730" i="60"/>
  <c r="E505" i="60"/>
  <c r="C505" i="60"/>
  <c r="E107" i="60"/>
  <c r="B107" i="60"/>
  <c r="E559" i="60"/>
  <c r="B559" i="60"/>
  <c r="C559" i="60"/>
  <c r="B621" i="60"/>
  <c r="C621" i="60"/>
  <c r="E679" i="60"/>
  <c r="B679" i="60"/>
  <c r="E302" i="60"/>
  <c r="C302" i="60"/>
  <c r="E391" i="60"/>
  <c r="B391" i="60"/>
  <c r="E358" i="60"/>
  <c r="C358" i="60"/>
  <c r="E17" i="60"/>
  <c r="B17" i="60"/>
  <c r="C394" i="60"/>
  <c r="B156" i="60"/>
  <c r="E156" i="60"/>
  <c r="E705" i="60"/>
  <c r="B705" i="60"/>
  <c r="C345" i="60"/>
  <c r="B345" i="60"/>
  <c r="E411" i="60"/>
  <c r="E123" i="60"/>
  <c r="B123" i="60"/>
  <c r="E203" i="60"/>
  <c r="B203" i="60"/>
  <c r="E55" i="60"/>
  <c r="B55" i="60"/>
  <c r="B707" i="60"/>
  <c r="B642" i="60"/>
  <c r="E834" i="60"/>
  <c r="B412" i="60"/>
  <c r="E56" i="60"/>
  <c r="E784" i="60"/>
  <c r="C321" i="60"/>
  <c r="C431" i="60"/>
  <c r="E730" i="60"/>
  <c r="B357" i="60"/>
  <c r="C357" i="60"/>
  <c r="B617" i="60"/>
  <c r="E617" i="60"/>
  <c r="C617" i="60"/>
  <c r="E521" i="60"/>
  <c r="C521" i="60"/>
  <c r="E515" i="60"/>
  <c r="B515" i="60"/>
  <c r="E850" i="60"/>
  <c r="C850" i="60"/>
  <c r="E367" i="60"/>
  <c r="B367" i="60"/>
  <c r="E509" i="60"/>
  <c r="E691" i="60"/>
  <c r="C798" i="60"/>
  <c r="E678" i="60"/>
  <c r="B678" i="60"/>
  <c r="E763" i="60"/>
  <c r="C763" i="60"/>
  <c r="C929" i="60"/>
  <c r="B929" i="60"/>
  <c r="E600" i="60"/>
  <c r="C600" i="60"/>
  <c r="C830" i="60"/>
  <c r="B358" i="60"/>
  <c r="E707" i="60"/>
  <c r="B811" i="60"/>
  <c r="B582" i="60"/>
  <c r="B763" i="60"/>
  <c r="E49" i="60"/>
  <c r="B431" i="60"/>
  <c r="C808" i="60"/>
  <c r="E459" i="60"/>
  <c r="B459" i="60"/>
  <c r="B424" i="60"/>
  <c r="C424" i="60"/>
  <c r="B462" i="60"/>
  <c r="C462" i="60"/>
  <c r="E393" i="60"/>
  <c r="B393" i="60"/>
  <c r="E690" i="60"/>
  <c r="C690" i="60"/>
  <c r="E451" i="60"/>
  <c r="B451" i="60"/>
  <c r="E381" i="60"/>
  <c r="C381" i="60"/>
  <c r="B509" i="60"/>
  <c r="C156" i="60"/>
  <c r="E582" i="60"/>
  <c r="C55" i="60"/>
  <c r="C57" i="60"/>
  <c r="B381" i="60"/>
  <c r="C49" i="60"/>
  <c r="B863" i="60"/>
  <c r="E725" i="60"/>
  <c r="E649" i="60"/>
  <c r="B649" i="60"/>
  <c r="E629" i="60"/>
  <c r="B629" i="60"/>
  <c r="E311" i="60"/>
  <c r="B311" i="60"/>
  <c r="E147" i="60"/>
  <c r="B147" i="60"/>
  <c r="B646" i="60"/>
  <c r="C646" i="60"/>
  <c r="E117" i="60"/>
  <c r="B117" i="60"/>
  <c r="C305" i="60"/>
  <c r="B305" i="60"/>
  <c r="E804" i="60"/>
  <c r="B804" i="60"/>
  <c r="E911" i="60"/>
  <c r="C911" i="60"/>
  <c r="E637" i="60"/>
  <c r="B637" i="60"/>
  <c r="E844" i="60"/>
  <c r="B844" i="60"/>
  <c r="C774" i="60"/>
  <c r="B80" i="60"/>
  <c r="E473" i="60"/>
  <c r="C473" i="60"/>
  <c r="E343" i="60"/>
  <c r="C343" i="60"/>
  <c r="E830" i="60"/>
  <c r="C673" i="60"/>
  <c r="E331" i="60"/>
  <c r="B230" i="60"/>
  <c r="E604" i="60"/>
  <c r="B343" i="60"/>
  <c r="E57" i="60"/>
  <c r="E863" i="60"/>
  <c r="C391" i="60"/>
  <c r="C512" i="60"/>
  <c r="C637" i="60"/>
  <c r="B725" i="60"/>
  <c r="E205" i="60"/>
  <c r="C205" i="60"/>
  <c r="E293" i="60"/>
  <c r="B293" i="60"/>
  <c r="E847" i="60"/>
  <c r="C847" i="60"/>
  <c r="C816" i="60"/>
  <c r="E816" i="60"/>
  <c r="B816" i="60"/>
  <c r="C399" i="60"/>
  <c r="B399" i="60"/>
  <c r="B483" i="60"/>
  <c r="C483" i="60"/>
  <c r="C340" i="60"/>
  <c r="B340" i="60"/>
  <c r="E74" i="60"/>
  <c r="B74" i="60"/>
  <c r="C74" i="60"/>
  <c r="C874" i="60"/>
  <c r="B874" i="60"/>
  <c r="E874" i="60"/>
  <c r="C269" i="60"/>
  <c r="B269" i="60"/>
  <c r="E269" i="60"/>
  <c r="E164" i="60"/>
  <c r="B164" i="60"/>
  <c r="C164" i="60"/>
  <c r="E307" i="60"/>
  <c r="C307" i="60"/>
  <c r="B307" i="60"/>
  <c r="E298" i="60"/>
  <c r="C298" i="60"/>
  <c r="B298" i="60"/>
  <c r="E871" i="60"/>
  <c r="B871" i="60"/>
  <c r="C871" i="60"/>
  <c r="E283" i="60"/>
  <c r="B283" i="60"/>
  <c r="C283" i="60"/>
  <c r="E593" i="60"/>
  <c r="B593" i="60"/>
  <c r="C593" i="60"/>
  <c r="E273" i="60"/>
  <c r="B273" i="60"/>
  <c r="C273" i="60"/>
  <c r="B723" i="60"/>
  <c r="C723" i="60"/>
  <c r="E723" i="60"/>
  <c r="E533" i="60"/>
  <c r="C533" i="60"/>
  <c r="B533" i="60"/>
  <c r="B380" i="60"/>
  <c r="E380" i="60"/>
  <c r="C380" i="60"/>
  <c r="E470" i="60"/>
  <c r="B470" i="60"/>
  <c r="C470" i="60"/>
  <c r="E304" i="60"/>
  <c r="B304" i="60"/>
  <c r="C304" i="60"/>
  <c r="E710" i="60"/>
  <c r="C710" i="60"/>
  <c r="B710" i="60"/>
  <c r="E13" i="60"/>
  <c r="B13" i="60"/>
  <c r="C13" i="60"/>
  <c r="E14" i="60"/>
  <c r="C14" i="60"/>
  <c r="B14" i="60"/>
  <c r="E927" i="60"/>
  <c r="C927" i="60"/>
  <c r="B927" i="60"/>
  <c r="E63" i="60"/>
  <c r="B63" i="60"/>
  <c r="C63" i="60"/>
  <c r="E334" i="60"/>
  <c r="B334" i="60"/>
  <c r="C334" i="60"/>
  <c r="E281" i="60"/>
  <c r="C281" i="60"/>
  <c r="B281" i="60"/>
  <c r="B709" i="60"/>
  <c r="E709" i="60"/>
  <c r="C709" i="60"/>
  <c r="E778" i="60"/>
  <c r="C778" i="60"/>
  <c r="B778" i="60"/>
  <c r="C359" i="60"/>
  <c r="B359" i="60"/>
  <c r="E359" i="60"/>
  <c r="E787" i="60"/>
  <c r="C787" i="60"/>
  <c r="B787" i="60"/>
  <c r="E499" i="60"/>
  <c r="C499" i="60"/>
  <c r="B499" i="60"/>
  <c r="E794" i="60"/>
  <c r="C794" i="60"/>
  <c r="B794" i="60"/>
  <c r="E193" i="60"/>
  <c r="B193" i="60"/>
  <c r="C193" i="60"/>
  <c r="E665" i="60"/>
  <c r="B665" i="60"/>
  <c r="C665" i="60"/>
  <c r="E300" i="60"/>
  <c r="B300" i="60"/>
  <c r="C300" i="60"/>
  <c r="E255" i="60"/>
  <c r="C255" i="60"/>
  <c r="B255" i="60"/>
  <c r="E27" i="60"/>
  <c r="B27" i="60"/>
  <c r="C27" i="60"/>
  <c r="E504" i="60"/>
  <c r="B504" i="60"/>
  <c r="C504" i="60"/>
  <c r="E46" i="60"/>
  <c r="B46" i="60"/>
  <c r="C46" i="60"/>
  <c r="E250" i="60"/>
  <c r="B250" i="60"/>
  <c r="C250" i="60"/>
  <c r="E508" i="60"/>
  <c r="C508" i="60"/>
  <c r="B508" i="60"/>
  <c r="E574" i="60"/>
  <c r="B574" i="60"/>
  <c r="C574" i="60"/>
  <c r="C487" i="60"/>
  <c r="E487" i="60"/>
  <c r="B487" i="60"/>
  <c r="E461" i="60"/>
  <c r="C461" i="60"/>
  <c r="B461" i="60"/>
  <c r="B838" i="60"/>
  <c r="E838" i="60"/>
  <c r="C838" i="60"/>
  <c r="E415" i="60"/>
  <c r="C415" i="60"/>
  <c r="B415" i="60"/>
  <c r="E848" i="60"/>
  <c r="C848" i="60"/>
  <c r="B848" i="60"/>
  <c r="C684" i="60"/>
  <c r="E684" i="60"/>
  <c r="B684" i="60"/>
  <c r="E428" i="60"/>
  <c r="B428" i="60"/>
  <c r="C428" i="60"/>
  <c r="B317" i="60"/>
  <c r="C317" i="60"/>
  <c r="E317" i="60"/>
  <c r="B439" i="60"/>
  <c r="C439" i="60"/>
  <c r="E439" i="60"/>
  <c r="E437" i="60"/>
  <c r="B437" i="60"/>
  <c r="C437" i="60"/>
  <c r="E165" i="60"/>
  <c r="C165" i="60"/>
  <c r="B165" i="60"/>
  <c r="E711" i="60"/>
  <c r="C711" i="60"/>
  <c r="B711" i="60"/>
  <c r="E316" i="60"/>
  <c r="C316" i="60"/>
  <c r="B316" i="60"/>
  <c r="E369" i="60"/>
  <c r="B369" i="60"/>
  <c r="C369" i="60"/>
  <c r="E843" i="60"/>
  <c r="C843" i="60"/>
  <c r="B843" i="60"/>
  <c r="B84" i="60"/>
  <c r="C84" i="60"/>
  <c r="E84" i="60"/>
  <c r="E353" i="60"/>
  <c r="B353" i="60"/>
  <c r="C353" i="60"/>
  <c r="E795" i="60"/>
  <c r="B795" i="60"/>
  <c r="C795" i="60"/>
  <c r="E570" i="60"/>
  <c r="C570" i="60"/>
  <c r="B570" i="60"/>
  <c r="E75" i="60"/>
  <c r="B75" i="60"/>
  <c r="C75" i="60"/>
  <c r="E196" i="60"/>
  <c r="C196" i="60"/>
  <c r="B196" i="60"/>
  <c r="B918" i="60"/>
  <c r="E918" i="60"/>
  <c r="C918" i="60"/>
  <c r="E398" i="60"/>
  <c r="C398" i="60"/>
  <c r="B398" i="60"/>
  <c r="E114" i="60"/>
  <c r="C114" i="60"/>
  <c r="B114" i="60"/>
  <c r="E726" i="60"/>
  <c r="C726" i="60"/>
  <c r="B726" i="60"/>
  <c r="E137" i="60"/>
  <c r="B137" i="60"/>
  <c r="C137" i="60"/>
  <c r="E465" i="60"/>
  <c r="B465" i="60"/>
  <c r="C465" i="60"/>
  <c r="E267" i="60"/>
  <c r="C267" i="60"/>
  <c r="B267" i="60"/>
  <c r="B247" i="60"/>
  <c r="E247" i="60"/>
  <c r="C247" i="60"/>
  <c r="E201" i="60"/>
  <c r="B201" i="60"/>
  <c r="C201" i="60"/>
  <c r="E315" i="60"/>
  <c r="C315" i="60"/>
  <c r="B315" i="60"/>
  <c r="E576" i="60"/>
  <c r="B576" i="60"/>
  <c r="C576" i="60"/>
  <c r="E135" i="60"/>
  <c r="B135" i="60"/>
  <c r="C135" i="60"/>
  <c r="E880" i="60"/>
  <c r="B880" i="60"/>
  <c r="C880" i="60"/>
  <c r="B882" i="60"/>
  <c r="E882" i="60"/>
  <c r="C882" i="60"/>
  <c r="E146" i="60"/>
  <c r="C146" i="60"/>
  <c r="B146" i="60"/>
  <c r="E235" i="60"/>
  <c r="C235" i="60"/>
  <c r="B235" i="60"/>
  <c r="E354" i="60"/>
  <c r="C354" i="60"/>
  <c r="B354" i="60"/>
  <c r="C436" i="60"/>
  <c r="B436" i="60"/>
  <c r="E436" i="60"/>
  <c r="E783" i="60"/>
  <c r="B783" i="60"/>
  <c r="C783" i="60"/>
  <c r="E764" i="60"/>
  <c r="B764" i="60"/>
  <c r="C764" i="60"/>
  <c r="C534" i="60"/>
  <c r="E534" i="60"/>
  <c r="B534" i="60"/>
  <c r="B500" i="60"/>
  <c r="E500" i="60"/>
  <c r="C500" i="60"/>
  <c r="E260" i="60"/>
  <c r="C260" i="60"/>
  <c r="B260" i="60"/>
  <c r="B922" i="60"/>
  <c r="E922" i="60"/>
  <c r="C922" i="60"/>
  <c r="B907" i="60"/>
  <c r="E907" i="60"/>
  <c r="C907" i="60"/>
  <c r="E538" i="60"/>
  <c r="B538" i="60"/>
  <c r="C538" i="60"/>
  <c r="E596" i="60"/>
  <c r="B596" i="60"/>
  <c r="C596" i="60"/>
  <c r="E442" i="60"/>
  <c r="C442" i="60"/>
  <c r="B442" i="60"/>
  <c r="E370" i="60"/>
  <c r="B370" i="60"/>
  <c r="C370" i="60"/>
  <c r="B111" i="60"/>
  <c r="C111" i="60"/>
  <c r="E111" i="60"/>
  <c r="E842" i="60"/>
  <c r="B842" i="60"/>
  <c r="C842" i="60"/>
  <c r="E640" i="60"/>
  <c r="B640" i="60"/>
  <c r="C640" i="60"/>
  <c r="E110" i="60"/>
  <c r="C110" i="60"/>
  <c r="B110" i="60"/>
  <c r="E181" i="60"/>
  <c r="C181" i="60"/>
  <c r="B181" i="60"/>
  <c r="E597" i="60"/>
  <c r="B597" i="60"/>
  <c r="C597" i="60"/>
  <c r="E171" i="60"/>
  <c r="B171" i="60"/>
  <c r="C171" i="60"/>
  <c r="E382" i="60"/>
  <c r="B382" i="60"/>
  <c r="C382" i="60"/>
  <c r="E530" i="60"/>
  <c r="B530" i="60"/>
  <c r="C530" i="60"/>
  <c r="B672" i="60"/>
  <c r="C672" i="60"/>
  <c r="E672" i="60"/>
  <c r="E586" i="60"/>
  <c r="C586" i="60"/>
  <c r="B586" i="60"/>
  <c r="B325" i="60"/>
  <c r="C325" i="60"/>
  <c r="E325" i="60"/>
  <c r="E639" i="60"/>
  <c r="C639" i="60"/>
  <c r="B639" i="60"/>
  <c r="B851" i="60"/>
  <c r="C851" i="60"/>
  <c r="E851" i="60"/>
  <c r="E718" i="60"/>
  <c r="C718" i="60"/>
  <c r="B718" i="60"/>
  <c r="E496" i="60"/>
  <c r="C496" i="60"/>
  <c r="B496" i="60"/>
  <c r="E554" i="60"/>
  <c r="C554" i="60"/>
  <c r="B554" i="60"/>
  <c r="C701" i="60"/>
  <c r="E701" i="60"/>
  <c r="B701" i="60"/>
  <c r="E658" i="60"/>
  <c r="C658" i="60"/>
  <c r="B658" i="60"/>
  <c r="E374" i="60"/>
  <c r="B374" i="60"/>
  <c r="C374" i="60"/>
  <c r="E429" i="60"/>
  <c r="C429" i="60"/>
  <c r="B429" i="60"/>
  <c r="E384" i="60"/>
  <c r="B384" i="60"/>
  <c r="C384" i="60"/>
  <c r="E518" i="60"/>
  <c r="B518" i="60"/>
  <c r="C518" i="60"/>
  <c r="B889" i="60"/>
  <c r="C889" i="60"/>
  <c r="E889" i="60"/>
  <c r="E635" i="60"/>
  <c r="B635" i="60"/>
  <c r="C635" i="60"/>
  <c r="C767" i="60"/>
  <c r="B767" i="60"/>
  <c r="E767" i="60"/>
  <c r="E242" i="60"/>
  <c r="C242" i="60"/>
  <c r="B242" i="60"/>
  <c r="E832" i="60"/>
  <c r="B832" i="60"/>
  <c r="C832" i="60"/>
  <c r="B839" i="60"/>
  <c r="E839" i="60"/>
  <c r="C839" i="60"/>
  <c r="E608" i="60"/>
  <c r="C608" i="60"/>
  <c r="B608" i="60"/>
  <c r="B884" i="60"/>
  <c r="C884" i="60"/>
  <c r="E884" i="60"/>
  <c r="E901" i="60"/>
  <c r="C901" i="60"/>
  <c r="B901" i="60"/>
  <c r="E251" i="60"/>
  <c r="B251" i="60"/>
  <c r="C251" i="60"/>
  <c r="E362" i="60"/>
  <c r="C362" i="60"/>
  <c r="B362" i="60"/>
  <c r="E328" i="60"/>
  <c r="B328" i="60"/>
  <c r="C328" i="60"/>
  <c r="C221" i="60"/>
  <c r="E221" i="60"/>
  <c r="B221" i="60"/>
  <c r="E420" i="60"/>
  <c r="C420" i="60"/>
  <c r="B420" i="60"/>
  <c r="E531" i="60"/>
  <c r="B531" i="60"/>
  <c r="C531" i="60"/>
  <c r="C121" i="60"/>
  <c r="B121" i="60"/>
  <c r="E121" i="60"/>
  <c r="C912" i="60"/>
  <c r="E912" i="60"/>
  <c r="B912" i="60"/>
  <c r="E313" i="60"/>
  <c r="C313" i="60"/>
  <c r="B313" i="60"/>
  <c r="E618" i="60"/>
  <c r="C618" i="60"/>
  <c r="B618" i="60"/>
  <c r="E746" i="60"/>
  <c r="C746" i="60"/>
  <c r="B746" i="60"/>
  <c r="B177" i="60"/>
  <c r="C177" i="60"/>
  <c r="E177" i="60"/>
  <c r="E342" i="60"/>
  <c r="C342" i="60"/>
  <c r="B342" i="60"/>
  <c r="C296" i="60"/>
  <c r="B296" i="60"/>
  <c r="E296" i="60"/>
  <c r="E124" i="60"/>
  <c r="B124" i="60"/>
  <c r="C124" i="60"/>
  <c r="E569" i="60"/>
  <c r="B569" i="60"/>
  <c r="C569" i="60"/>
  <c r="E528" i="60"/>
  <c r="B528" i="60"/>
  <c r="C528" i="60"/>
  <c r="E812" i="60"/>
  <c r="C812" i="60"/>
  <c r="B812" i="60"/>
  <c r="E877" i="60"/>
  <c r="B877" i="60"/>
  <c r="C877" i="60"/>
  <c r="E853" i="60"/>
  <c r="B853" i="60"/>
  <c r="C853" i="60"/>
  <c r="E253" i="60"/>
  <c r="B253" i="60"/>
  <c r="C253" i="60"/>
  <c r="E829" i="60"/>
  <c r="B829" i="60"/>
  <c r="C829" i="60"/>
  <c r="E704" i="60"/>
  <c r="C704" i="60"/>
  <c r="B704" i="60"/>
  <c r="E326" i="60"/>
  <c r="B326" i="60"/>
  <c r="C326" i="60"/>
  <c r="E170" i="60"/>
  <c r="C170" i="60"/>
  <c r="B170" i="60"/>
  <c r="E861" i="60"/>
  <c r="B861" i="60"/>
  <c r="C861" i="60"/>
  <c r="C222" i="60"/>
  <c r="B222" i="60"/>
  <c r="E222" i="60"/>
  <c r="E488" i="60"/>
  <c r="B488" i="60"/>
  <c r="C488" i="60"/>
  <c r="B791" i="60"/>
  <c r="C791" i="60"/>
  <c r="E791" i="60"/>
  <c r="E91" i="60"/>
  <c r="B91" i="60"/>
  <c r="C91" i="60"/>
  <c r="E336" i="60"/>
  <c r="B336" i="60"/>
  <c r="C336" i="60"/>
  <c r="E212" i="60"/>
  <c r="B212" i="60"/>
  <c r="C212" i="60"/>
  <c r="C892" i="60"/>
  <c r="E892" i="60"/>
  <c r="B892" i="60"/>
  <c r="E669" i="60"/>
  <c r="C669" i="60"/>
  <c r="B669" i="60"/>
  <c r="E175" i="60"/>
  <c r="B175" i="60"/>
  <c r="C175" i="60"/>
  <c r="E906" i="60"/>
  <c r="B906" i="60"/>
  <c r="C906" i="60"/>
  <c r="E136" i="60"/>
  <c r="B136" i="60"/>
  <c r="C136" i="60"/>
  <c r="E312" i="60"/>
  <c r="B312" i="60"/>
  <c r="C312" i="60"/>
  <c r="E50" i="60"/>
  <c r="C50" i="60"/>
  <c r="B50" i="60"/>
  <c r="E163" i="60"/>
  <c r="B163" i="60"/>
  <c r="C163" i="60"/>
  <c r="E263" i="60"/>
  <c r="B263" i="60"/>
  <c r="C263" i="60"/>
  <c r="E501" i="60"/>
  <c r="B501" i="60"/>
  <c r="C501" i="60"/>
  <c r="B510" i="60"/>
  <c r="E510" i="60"/>
  <c r="C510" i="60"/>
  <c r="E202" i="60"/>
  <c r="B202" i="60"/>
  <c r="C202" i="60"/>
  <c r="E199" i="60"/>
  <c r="B199" i="60"/>
  <c r="C199" i="60"/>
  <c r="E444" i="60"/>
  <c r="B444" i="60"/>
  <c r="C444" i="60"/>
  <c r="E413" i="60"/>
  <c r="B413" i="60"/>
  <c r="C413" i="60"/>
  <c r="E248" i="60"/>
  <c r="C248" i="60"/>
  <c r="B248" i="60"/>
  <c r="E620" i="60"/>
  <c r="C620" i="60"/>
  <c r="B620" i="60"/>
  <c r="E366" i="60"/>
  <c r="B366" i="60"/>
  <c r="C366" i="60"/>
  <c r="E786" i="60"/>
  <c r="C786" i="60"/>
  <c r="B786" i="60"/>
  <c r="E475" i="60"/>
  <c r="B475" i="60"/>
  <c r="C475" i="60"/>
  <c r="C232" i="60"/>
  <c r="B232" i="60"/>
  <c r="E232" i="60"/>
  <c r="C687" i="60"/>
  <c r="B687" i="60"/>
  <c r="E687" i="60"/>
  <c r="B220" i="60"/>
  <c r="E220" i="60"/>
  <c r="C220" i="60"/>
  <c r="E675" i="60"/>
  <c r="B675" i="60"/>
  <c r="C675" i="60"/>
  <c r="E149" i="60"/>
  <c r="C149" i="60"/>
  <c r="B149" i="60"/>
  <c r="B112" i="60"/>
  <c r="C112" i="60"/>
  <c r="E112" i="60"/>
  <c r="C271" i="60"/>
  <c r="B271" i="60"/>
  <c r="E271" i="60"/>
  <c r="C585" i="60"/>
  <c r="B585" i="60"/>
  <c r="E585" i="60"/>
  <c r="E73" i="60"/>
  <c r="C73" i="60"/>
  <c r="B73" i="60"/>
  <c r="E745" i="60"/>
  <c r="B745" i="60"/>
  <c r="C745" i="60"/>
  <c r="E716" i="60"/>
  <c r="B716" i="60"/>
  <c r="C716" i="60"/>
  <c r="E523" i="60"/>
  <c r="B523" i="60"/>
  <c r="C523" i="60"/>
  <c r="E805" i="60"/>
  <c r="C805" i="60"/>
  <c r="B805" i="60"/>
  <c r="C913" i="60"/>
  <c r="B913" i="60"/>
  <c r="E913" i="60"/>
  <c r="E747" i="60"/>
  <c r="B747" i="60"/>
  <c r="C747" i="60"/>
  <c r="E71" i="60"/>
  <c r="C71" i="60"/>
  <c r="B71" i="60"/>
  <c r="E686" i="60"/>
  <c r="C686" i="60"/>
  <c r="B686" i="60"/>
  <c r="E324" i="60"/>
  <c r="C324" i="60"/>
  <c r="B324" i="60"/>
  <c r="E160" i="60"/>
  <c r="B160" i="60"/>
  <c r="C160" i="60"/>
  <c r="E753" i="60"/>
  <c r="B753" i="60"/>
  <c r="C753" i="60"/>
  <c r="E878" i="60"/>
  <c r="B878" i="60"/>
  <c r="C878" i="60"/>
  <c r="B10" i="60"/>
  <c r="C10" i="60"/>
  <c r="E10" i="60"/>
  <c r="E636" i="60"/>
  <c r="B636" i="60"/>
  <c r="C636" i="60"/>
  <c r="E572" i="60"/>
  <c r="C572" i="60"/>
  <c r="B572" i="60"/>
  <c r="E306" i="60"/>
  <c r="C306" i="60"/>
  <c r="B306" i="60"/>
  <c r="E432" i="60"/>
  <c r="C432" i="60"/>
  <c r="B432" i="60"/>
  <c r="C867" i="60"/>
  <c r="E867" i="60"/>
  <c r="B867" i="60"/>
  <c r="C173" i="60"/>
  <c r="E173" i="60"/>
  <c r="B173" i="60"/>
  <c r="E309" i="60"/>
  <c r="C309" i="60"/>
  <c r="B309" i="60"/>
  <c r="E712" i="60"/>
  <c r="C712" i="60"/>
  <c r="B712" i="60"/>
  <c r="E751" i="60"/>
  <c r="B751" i="60"/>
  <c r="C751" i="60"/>
  <c r="E748" i="60"/>
  <c r="B748" i="60"/>
  <c r="C748" i="60"/>
  <c r="E663" i="60"/>
  <c r="B663" i="60"/>
  <c r="C663" i="60"/>
  <c r="E151" i="60"/>
  <c r="B151" i="60"/>
  <c r="C151" i="60"/>
  <c r="E821" i="60"/>
  <c r="C821" i="60"/>
  <c r="B821" i="60"/>
  <c r="E397" i="60"/>
  <c r="B397" i="60"/>
  <c r="C397" i="60"/>
  <c r="E566" i="60"/>
  <c r="C566" i="60"/>
  <c r="B566" i="60"/>
  <c r="E229" i="60"/>
  <c r="C229" i="60"/>
  <c r="B229" i="60"/>
  <c r="E742" i="60"/>
  <c r="C742" i="60"/>
  <c r="B742" i="60"/>
  <c r="E896" i="60"/>
  <c r="C896" i="60"/>
  <c r="B896" i="60"/>
  <c r="E239" i="60"/>
  <c r="B239" i="60"/>
  <c r="C239" i="60"/>
  <c r="E211" i="60"/>
  <c r="C211" i="60"/>
  <c r="B211" i="60"/>
  <c r="E452" i="60"/>
  <c r="C452" i="60"/>
  <c r="B452" i="60"/>
  <c r="E116" i="60"/>
  <c r="B116" i="60"/>
  <c r="C116" i="60"/>
  <c r="E735" i="60"/>
  <c r="C735" i="60"/>
  <c r="B735" i="60"/>
  <c r="E218" i="60"/>
  <c r="B218" i="60"/>
  <c r="C218" i="60"/>
  <c r="C70" i="60"/>
  <c r="E70" i="60"/>
  <c r="B70" i="60"/>
  <c r="E624" i="60"/>
  <c r="B624" i="60"/>
  <c r="C624" i="60"/>
  <c r="E606" i="60"/>
  <c r="B606" i="60"/>
  <c r="C606" i="60"/>
  <c r="E584" i="60"/>
  <c r="B584" i="60"/>
  <c r="C584" i="60"/>
  <c r="B421" i="60"/>
  <c r="E421" i="60"/>
  <c r="C421" i="60"/>
  <c r="E802" i="60"/>
  <c r="C802" i="60"/>
  <c r="B802" i="60"/>
  <c r="E388" i="60"/>
  <c r="C388" i="60"/>
  <c r="B388" i="60"/>
  <c r="E692" i="60"/>
  <c r="C692" i="60"/>
  <c r="B692" i="60"/>
  <c r="E681" i="60"/>
  <c r="C681" i="60"/>
  <c r="B681" i="60"/>
  <c r="C645" i="60"/>
  <c r="E645" i="60"/>
  <c r="B645" i="60"/>
  <c r="E130" i="60"/>
  <c r="C130" i="60"/>
  <c r="B130" i="60"/>
  <c r="E371" i="60"/>
  <c r="B371" i="60"/>
  <c r="C371" i="60"/>
  <c r="B715" i="60"/>
  <c r="E715" i="60"/>
  <c r="C715" i="60"/>
  <c r="E557" i="60"/>
  <c r="B557" i="60"/>
  <c r="C557" i="60"/>
  <c r="E129" i="60"/>
  <c r="B129" i="60"/>
  <c r="C129" i="60"/>
  <c r="B866" i="60"/>
  <c r="E866" i="60"/>
  <c r="C866" i="60"/>
  <c r="E69" i="60"/>
  <c r="B69" i="60"/>
  <c r="C69" i="60"/>
  <c r="E60" i="60"/>
  <c r="B60" i="60"/>
  <c r="C60" i="60"/>
  <c r="C772" i="60"/>
  <c r="E772" i="60"/>
  <c r="B772" i="60"/>
  <c r="E144" i="60"/>
  <c r="C144" i="60"/>
  <c r="B144" i="60"/>
  <c r="B671" i="60"/>
  <c r="C671" i="60"/>
  <c r="E671" i="60"/>
  <c r="E310" i="60"/>
  <c r="C310" i="60"/>
  <c r="B310" i="60"/>
  <c r="E26" i="60"/>
  <c r="B26" i="60"/>
  <c r="C26" i="60"/>
  <c r="E467" i="60"/>
  <c r="C467" i="60"/>
  <c r="B467" i="60"/>
  <c r="E793" i="60"/>
  <c r="B793" i="60"/>
  <c r="C793" i="60"/>
  <c r="E96" i="60"/>
  <c r="B96" i="60"/>
  <c r="C96" i="60"/>
  <c r="C23" i="60"/>
  <c r="B23" i="60"/>
  <c r="E23" i="60"/>
  <c r="E97" i="60"/>
  <c r="C97" i="60"/>
  <c r="B97" i="60"/>
  <c r="C389" i="60"/>
  <c r="E389" i="60"/>
  <c r="B389" i="60"/>
  <c r="E332" i="60"/>
  <c r="B332" i="60"/>
  <c r="C332" i="60"/>
  <c r="E254" i="60"/>
  <c r="C254" i="60"/>
  <c r="B254" i="60"/>
  <c r="B815" i="60"/>
  <c r="C815" i="60"/>
  <c r="E815" i="60"/>
  <c r="E150" i="60"/>
  <c r="C150" i="60"/>
  <c r="B150" i="60"/>
  <c r="E102" i="60"/>
  <c r="C102" i="60"/>
  <c r="B102" i="60"/>
  <c r="E179" i="60"/>
  <c r="C179" i="60"/>
  <c r="B179" i="60"/>
  <c r="E409" i="60"/>
  <c r="C409" i="60"/>
  <c r="B409" i="60"/>
  <c r="E18" i="60"/>
  <c r="C18" i="60"/>
  <c r="B18" i="60"/>
  <c r="E259" i="60"/>
  <c r="B259" i="60"/>
  <c r="C259" i="60"/>
  <c r="E256" i="60"/>
  <c r="B256" i="60"/>
  <c r="C256" i="60"/>
  <c r="E66" i="60"/>
  <c r="B66" i="60"/>
  <c r="C66" i="60"/>
  <c r="E695" i="60"/>
  <c r="B695" i="60"/>
  <c r="C695" i="60"/>
  <c r="E22" i="60"/>
  <c r="C22" i="60"/>
  <c r="B22" i="60"/>
  <c r="B141" i="60"/>
  <c r="C141" i="60"/>
  <c r="E141" i="60"/>
  <c r="E623" i="60"/>
  <c r="C623" i="60"/>
  <c r="B623" i="60"/>
  <c r="E729" i="60"/>
  <c r="C729" i="60"/>
  <c r="B729" i="60"/>
  <c r="E186" i="60"/>
  <c r="B186" i="60"/>
  <c r="C186" i="60"/>
  <c r="E688" i="60"/>
  <c r="B688" i="60"/>
  <c r="C688" i="60"/>
  <c r="E378" i="60"/>
  <c r="C378" i="60"/>
  <c r="B378" i="60"/>
  <c r="E24" i="60"/>
  <c r="B24" i="60"/>
  <c r="C24" i="60"/>
  <c r="E270" i="60"/>
  <c r="B270" i="60"/>
  <c r="C270" i="60"/>
  <c r="E542" i="60"/>
  <c r="C542" i="60"/>
  <c r="B542" i="60"/>
  <c r="E43" i="60"/>
  <c r="B43" i="60"/>
  <c r="C43" i="60"/>
  <c r="E38" i="60"/>
  <c r="B38" i="60"/>
  <c r="C38" i="60"/>
  <c r="E120" i="60"/>
  <c r="C120" i="60"/>
  <c r="B120" i="60"/>
  <c r="E53" i="60"/>
  <c r="C53" i="60"/>
  <c r="B53" i="60"/>
  <c r="E274" i="60"/>
  <c r="C274" i="60"/>
  <c r="B274" i="60"/>
  <c r="C905" i="60"/>
  <c r="E905" i="60"/>
  <c r="B905" i="60"/>
  <c r="C237" i="60"/>
  <c r="E237" i="60"/>
  <c r="B237" i="60"/>
  <c r="E728" i="60"/>
  <c r="C728" i="60"/>
  <c r="B728" i="60"/>
  <c r="E387" i="60"/>
  <c r="C387" i="60"/>
  <c r="B387" i="60"/>
  <c r="E243" i="60"/>
  <c r="C243" i="60"/>
  <c r="B243" i="60"/>
  <c r="E737" i="60"/>
  <c r="B737" i="60"/>
  <c r="C737" i="60"/>
  <c r="E806" i="60"/>
  <c r="B806" i="60"/>
  <c r="C806" i="60"/>
  <c r="B931" i="60"/>
  <c r="C931" i="60"/>
  <c r="E931" i="60"/>
  <c r="E87" i="60"/>
  <c r="B87" i="60"/>
  <c r="C87" i="60"/>
  <c r="E721" i="60"/>
  <c r="C721" i="60"/>
  <c r="B721" i="60"/>
  <c r="E41" i="60"/>
  <c r="C41" i="60"/>
  <c r="B41" i="60"/>
  <c r="E466" i="60"/>
  <c r="B466" i="60"/>
  <c r="C466" i="60"/>
  <c r="B481" i="60"/>
  <c r="C481" i="60"/>
  <c r="E481" i="60"/>
  <c r="C890" i="60"/>
  <c r="B890" i="60"/>
  <c r="E890" i="60"/>
  <c r="E490" i="60"/>
  <c r="C490" i="60"/>
  <c r="B490" i="60"/>
  <c r="E377" i="60"/>
  <c r="B377" i="60"/>
  <c r="C377" i="60"/>
  <c r="E648" i="60"/>
  <c r="C648" i="60"/>
  <c r="B648" i="60"/>
  <c r="E36" i="60"/>
  <c r="C36" i="60"/>
  <c r="B36" i="60"/>
  <c r="B454" i="60"/>
  <c r="C454" i="60"/>
  <c r="E454" i="60"/>
  <c r="C758" i="60"/>
  <c r="B758" i="60"/>
  <c r="E758" i="60"/>
  <c r="E108" i="60"/>
  <c r="B108" i="60"/>
  <c r="C108" i="60"/>
  <c r="E831" i="60"/>
  <c r="B831" i="60"/>
  <c r="C831" i="60"/>
  <c r="E858" i="60"/>
  <c r="B858" i="60"/>
  <c r="C858" i="60"/>
  <c r="E52" i="60"/>
  <c r="C52" i="60"/>
  <c r="B52" i="60"/>
  <c r="E416" i="60"/>
  <c r="C416" i="60"/>
  <c r="B416" i="60"/>
  <c r="E106" i="60"/>
  <c r="B106" i="60"/>
  <c r="C106" i="60"/>
  <c r="C588" i="60"/>
  <c r="B588" i="60"/>
  <c r="E588" i="60"/>
  <c r="C700" i="60"/>
  <c r="B700" i="60"/>
  <c r="E700" i="60"/>
  <c r="E895" i="60"/>
  <c r="B895" i="60"/>
  <c r="E917" i="60"/>
  <c r="C917" i="60"/>
  <c r="B917" i="60"/>
  <c r="B827" i="60"/>
  <c r="C827" i="60"/>
  <c r="E827" i="60"/>
  <c r="E155" i="60"/>
  <c r="B155" i="60"/>
  <c r="C155" i="60"/>
  <c r="E422" i="60"/>
  <c r="B422" i="60"/>
  <c r="C422" i="60"/>
  <c r="B544" i="60"/>
  <c r="E544" i="60"/>
  <c r="C544" i="60"/>
  <c r="E215" i="60"/>
  <c r="B215" i="60"/>
  <c r="C215" i="60"/>
  <c r="B109" i="60"/>
  <c r="C109" i="60"/>
  <c r="E109" i="60"/>
  <c r="E395" i="60"/>
  <c r="B395" i="60"/>
  <c r="C395" i="60"/>
  <c r="E765" i="60"/>
  <c r="B765" i="60"/>
  <c r="C765" i="60"/>
  <c r="E571" i="60"/>
  <c r="C571" i="60"/>
  <c r="B571" i="60"/>
  <c r="E140" i="60"/>
  <c r="C140" i="60"/>
  <c r="B140" i="60"/>
  <c r="C702" i="60"/>
  <c r="E702" i="60"/>
  <c r="B702" i="60"/>
  <c r="E493" i="60"/>
  <c r="B493" i="60"/>
  <c r="C493" i="60"/>
  <c r="E31" i="60"/>
  <c r="B31" i="60"/>
  <c r="C31" i="60"/>
  <c r="B750" i="60"/>
  <c r="E750" i="60"/>
  <c r="C750" i="60"/>
  <c r="E548" i="60"/>
  <c r="C548" i="60"/>
  <c r="B548" i="60"/>
  <c r="E489" i="60"/>
  <c r="B489" i="60"/>
  <c r="C489" i="60"/>
  <c r="E405" i="60"/>
  <c r="C405" i="60"/>
  <c r="B405" i="60"/>
  <c r="C792" i="60"/>
  <c r="B792" i="60"/>
  <c r="E792" i="60"/>
  <c r="E245" i="60"/>
  <c r="C245" i="60"/>
  <c r="B245" i="60"/>
  <c r="E287" i="60"/>
  <c r="B287" i="60"/>
  <c r="C287" i="60"/>
  <c r="E727" i="60"/>
  <c r="C727" i="60"/>
  <c r="B727" i="60"/>
  <c r="E860" i="60"/>
  <c r="C860" i="60"/>
  <c r="B860" i="60"/>
  <c r="E216" i="60"/>
  <c r="B216" i="60"/>
  <c r="C216" i="60"/>
  <c r="E864" i="60"/>
  <c r="C864" i="60"/>
  <c r="B864" i="60"/>
  <c r="E16" i="60"/>
  <c r="B16" i="60"/>
  <c r="C16" i="60"/>
  <c r="E261" i="60"/>
  <c r="B261" i="60"/>
  <c r="C261" i="60"/>
  <c r="E455" i="60"/>
  <c r="C455" i="60"/>
  <c r="B455" i="60"/>
  <c r="E297" i="60"/>
  <c r="B297" i="60"/>
  <c r="C297" i="60"/>
  <c r="E653" i="60"/>
  <c r="B653" i="60"/>
  <c r="C653" i="60"/>
  <c r="B779" i="60"/>
  <c r="E779" i="60"/>
  <c r="C779" i="60"/>
  <c r="E406" i="60"/>
  <c r="C406" i="60"/>
  <c r="B406" i="60"/>
  <c r="E392" i="60"/>
  <c r="C392" i="60"/>
  <c r="B392" i="60"/>
  <c r="E689" i="60"/>
  <c r="C689" i="60"/>
  <c r="B689" i="60"/>
  <c r="E644" i="60"/>
  <c r="C644" i="60"/>
  <c r="B644" i="60"/>
  <c r="E403" i="60"/>
  <c r="C403" i="60"/>
  <c r="B403" i="60"/>
  <c r="E674" i="60"/>
  <c r="B674" i="60"/>
  <c r="C674" i="60"/>
  <c r="E752" i="60"/>
  <c r="B752" i="60"/>
  <c r="C752" i="60"/>
  <c r="E553" i="60"/>
  <c r="B553" i="60"/>
  <c r="C553" i="60"/>
  <c r="E760" i="60"/>
  <c r="C760" i="60"/>
  <c r="B760" i="60"/>
  <c r="E578" i="60"/>
  <c r="C578" i="60"/>
  <c r="B578" i="60"/>
  <c r="E226" i="60"/>
  <c r="B226" i="60"/>
  <c r="C226" i="60"/>
  <c r="E320" i="60"/>
  <c r="C320" i="60"/>
  <c r="B320" i="60"/>
  <c r="E910" i="60"/>
  <c r="B910" i="60"/>
  <c r="C910" i="60"/>
  <c r="E32" i="60"/>
  <c r="B32" i="60"/>
  <c r="C32" i="60"/>
  <c r="E577" i="60"/>
  <c r="C577" i="60"/>
  <c r="B577" i="60"/>
  <c r="E194" i="60"/>
  <c r="B194" i="60"/>
  <c r="C194" i="60"/>
  <c r="E652" i="60"/>
  <c r="B652" i="60"/>
  <c r="C652" i="60"/>
  <c r="E190" i="60"/>
  <c r="C190" i="60"/>
  <c r="B190" i="60"/>
  <c r="E352" i="60"/>
  <c r="B352" i="60"/>
  <c r="C352" i="60"/>
  <c r="E47" i="60"/>
  <c r="B47" i="60"/>
  <c r="C47" i="60"/>
  <c r="E731" i="60"/>
  <c r="B731" i="60"/>
  <c r="C731" i="60"/>
  <c r="B628" i="60"/>
  <c r="C628" i="60"/>
  <c r="E628" i="60"/>
  <c r="E609" i="60"/>
  <c r="B609" i="60"/>
  <c r="C609" i="60"/>
  <c r="E573" i="60"/>
  <c r="C573" i="60"/>
  <c r="B573" i="60"/>
  <c r="E909" i="60"/>
  <c r="B909" i="60"/>
  <c r="C909" i="60"/>
  <c r="E118" i="60"/>
  <c r="C118" i="60"/>
  <c r="B118" i="60"/>
  <c r="E138" i="60"/>
  <c r="C138" i="60"/>
  <c r="B138" i="60"/>
  <c r="E854" i="60"/>
  <c r="B854" i="60"/>
  <c r="C854" i="60"/>
  <c r="E463" i="60"/>
  <c r="B463" i="60"/>
  <c r="C463" i="60"/>
  <c r="E19" i="60"/>
  <c r="C19" i="60"/>
  <c r="B19" i="60"/>
  <c r="E418" i="60"/>
  <c r="B418" i="60"/>
  <c r="C418" i="60"/>
  <c r="C513" i="60"/>
  <c r="B513" i="60"/>
  <c r="E513" i="60"/>
  <c r="E440" i="60"/>
  <c r="B440" i="60"/>
  <c r="C440" i="60"/>
  <c r="E162" i="60"/>
  <c r="C162" i="60"/>
  <c r="B162" i="60"/>
  <c r="E410" i="60"/>
  <c r="B410" i="60"/>
  <c r="C410" i="60"/>
  <c r="E856" i="60"/>
  <c r="C856" i="60"/>
  <c r="B856" i="60"/>
  <c r="E276" i="60"/>
  <c r="B276" i="60"/>
  <c r="C276" i="60"/>
  <c r="E482" i="60"/>
  <c r="C482" i="60"/>
  <c r="B482" i="60"/>
  <c r="C94" i="60"/>
  <c r="B94" i="60"/>
  <c r="E94" i="60"/>
  <c r="E581" i="60"/>
  <c r="C581" i="60"/>
  <c r="B581" i="60"/>
  <c r="E859" i="60"/>
  <c r="B859" i="60"/>
  <c r="C859" i="60"/>
  <c r="B20" i="60"/>
  <c r="E20" i="60"/>
  <c r="C20" i="60"/>
  <c r="E560" i="60"/>
  <c r="C560" i="60"/>
  <c r="B560" i="60"/>
  <c r="E717" i="60"/>
  <c r="C717" i="60"/>
  <c r="B717" i="60"/>
  <c r="E142" i="60"/>
  <c r="B142" i="60"/>
  <c r="C142" i="60"/>
  <c r="E651" i="60"/>
  <c r="C651" i="60"/>
  <c r="B651" i="60"/>
  <c r="E257" i="60"/>
  <c r="B257" i="60"/>
  <c r="C257" i="60"/>
  <c r="E899" i="60"/>
  <c r="B899" i="60"/>
  <c r="C899" i="60"/>
  <c r="E419" i="60"/>
  <c r="C419" i="60"/>
  <c r="B419" i="60"/>
  <c r="E318" i="60"/>
  <c r="B318" i="60"/>
  <c r="C318" i="60"/>
  <c r="E42" i="60"/>
  <c r="C42" i="60"/>
  <c r="B42" i="60"/>
  <c r="E361" i="60"/>
  <c r="C361" i="60"/>
  <c r="B361" i="60"/>
  <c r="E12" i="60"/>
  <c r="C12" i="60"/>
  <c r="B12" i="60"/>
  <c r="E105" i="60"/>
  <c r="B105" i="60"/>
  <c r="C105" i="60"/>
  <c r="E660" i="60"/>
  <c r="C660" i="60"/>
  <c r="B660" i="60"/>
  <c r="B153" i="60"/>
  <c r="E153" i="60"/>
  <c r="C153" i="60"/>
  <c r="E45" i="60"/>
  <c r="C45" i="60"/>
  <c r="B45" i="60"/>
  <c r="E818" i="60"/>
  <c r="B818" i="60"/>
  <c r="C818" i="60"/>
  <c r="C616" i="60"/>
  <c r="B616" i="60"/>
  <c r="E616" i="60"/>
  <c r="E83" i="60"/>
  <c r="C83" i="60"/>
  <c r="B83" i="60"/>
  <c r="C157" i="60"/>
  <c r="B157" i="60"/>
  <c r="E157" i="60"/>
  <c r="E335" i="60"/>
  <c r="B335" i="60"/>
  <c r="C335" i="60"/>
  <c r="E33" i="60"/>
  <c r="C33" i="60"/>
  <c r="B33" i="60"/>
  <c r="B583" i="60"/>
  <c r="E583" i="60"/>
  <c r="C583" i="60"/>
  <c r="E743" i="60"/>
  <c r="C743" i="60"/>
  <c r="B743" i="60"/>
  <c r="E383" i="60"/>
  <c r="B383" i="60"/>
  <c r="C383" i="60"/>
  <c r="E883" i="60"/>
  <c r="C883" i="60"/>
  <c r="B883" i="60"/>
  <c r="E480" i="60"/>
  <c r="B480" i="60"/>
  <c r="C480" i="60"/>
  <c r="C517" i="60"/>
  <c r="B517" i="60"/>
  <c r="E517" i="60"/>
  <c r="E373" i="60"/>
  <c r="C373" i="60"/>
  <c r="B373" i="60"/>
  <c r="E265" i="60"/>
  <c r="B265" i="60"/>
  <c r="C265" i="60"/>
  <c r="B62" i="60"/>
  <c r="E62" i="60"/>
  <c r="C62" i="60"/>
  <c r="E356" i="60"/>
  <c r="C356" i="60"/>
  <c r="B356" i="60"/>
  <c r="B625" i="60"/>
  <c r="C625" i="60"/>
  <c r="E625" i="60"/>
  <c r="E39" i="60"/>
  <c r="C39" i="60"/>
  <c r="B39" i="60"/>
  <c r="E90" i="60"/>
  <c r="B90" i="60"/>
  <c r="C90" i="60"/>
  <c r="C740" i="60"/>
  <c r="E740" i="60"/>
  <c r="B740" i="60"/>
  <c r="E246" i="60"/>
  <c r="C246" i="60"/>
  <c r="B246" i="60"/>
  <c r="E756" i="60"/>
  <c r="C756" i="60"/>
  <c r="B756" i="60"/>
  <c r="C497" i="60"/>
  <c r="E497" i="60"/>
  <c r="B497" i="60"/>
  <c r="E474" i="60"/>
  <c r="B474" i="60"/>
  <c r="C474" i="60"/>
  <c r="E494" i="60"/>
  <c r="B494" i="60"/>
  <c r="C494" i="60"/>
  <c r="E290" i="60"/>
  <c r="C290" i="60"/>
  <c r="B290" i="60"/>
  <c r="B285" i="60"/>
  <c r="E285" i="60"/>
  <c r="C285" i="60"/>
  <c r="E319" i="60"/>
  <c r="B319" i="60"/>
  <c r="C319" i="60"/>
  <c r="E213" i="60"/>
  <c r="B213" i="60"/>
  <c r="C213" i="60"/>
  <c r="E762" i="60"/>
  <c r="B762" i="60"/>
  <c r="C762" i="60"/>
  <c r="E167" i="60"/>
  <c r="B167" i="60"/>
  <c r="C167" i="60"/>
  <c r="E78" i="60"/>
  <c r="C78" i="60"/>
  <c r="B78" i="60"/>
  <c r="B527" i="60"/>
  <c r="C527" i="60"/>
  <c r="E527" i="60"/>
  <c r="E408" i="60"/>
  <c r="C408" i="60"/>
  <c r="B408" i="60"/>
  <c r="E713" i="60"/>
  <c r="C713" i="60"/>
  <c r="B713" i="60"/>
  <c r="E670" i="60"/>
  <c r="B670" i="60"/>
  <c r="C670" i="60"/>
  <c r="E396" i="60"/>
  <c r="B396" i="60"/>
  <c r="C396" i="60"/>
  <c r="E168" i="60"/>
  <c r="B168" i="60"/>
  <c r="C168" i="60"/>
  <c r="E347" i="60"/>
  <c r="B347" i="60"/>
  <c r="C347" i="60"/>
  <c r="B724" i="60"/>
  <c r="C724" i="60"/>
  <c r="E724" i="60"/>
  <c r="E103" i="60"/>
  <c r="C103" i="60"/>
  <c r="B103" i="60"/>
  <c r="E817" i="60"/>
  <c r="C817" i="60"/>
  <c r="B817" i="60"/>
  <c r="E785" i="60"/>
  <c r="C785" i="60"/>
  <c r="B785" i="60"/>
  <c r="E25" i="60"/>
  <c r="C25" i="60"/>
  <c r="B25" i="60"/>
  <c r="B29" i="60"/>
  <c r="E29" i="60"/>
  <c r="C29" i="60"/>
  <c r="E797" i="60"/>
  <c r="B797" i="60"/>
  <c r="C797" i="60"/>
  <c r="E835" i="60"/>
  <c r="C835" i="60"/>
  <c r="B835" i="60"/>
  <c r="E923" i="60"/>
  <c r="C923" i="60"/>
  <c r="B923" i="60"/>
  <c r="E694" i="60"/>
  <c r="C694" i="60"/>
  <c r="B694" i="60"/>
  <c r="C773" i="60"/>
  <c r="B773" i="60"/>
  <c r="E773" i="60"/>
  <c r="C656" i="60"/>
  <c r="B656" i="60"/>
  <c r="E656" i="60"/>
  <c r="E288" i="60"/>
  <c r="B288" i="60"/>
  <c r="C288" i="60"/>
  <c r="B349" i="60"/>
  <c r="C349" i="60"/>
  <c r="E349" i="60"/>
  <c r="E180" i="60"/>
  <c r="B180" i="60"/>
  <c r="C180" i="60"/>
  <c r="E34" i="60"/>
  <c r="C34" i="60"/>
  <c r="B34" i="60"/>
  <c r="E757" i="60"/>
  <c r="B757" i="60"/>
  <c r="C757" i="60"/>
  <c r="E622" i="60"/>
  <c r="C622" i="60"/>
  <c r="B622" i="60"/>
  <c r="E76" i="60"/>
  <c r="B76" i="60"/>
  <c r="C76" i="60"/>
  <c r="E40" i="60"/>
  <c r="B40" i="60"/>
  <c r="C40" i="60"/>
  <c r="E363" i="60"/>
  <c r="B363" i="60"/>
  <c r="C363" i="60"/>
  <c r="C81" i="60"/>
  <c r="E81" i="60"/>
  <c r="B81" i="60"/>
  <c r="E822" i="60"/>
  <c r="C822" i="60"/>
  <c r="B822" i="60"/>
  <c r="E252" i="60"/>
  <c r="C252" i="60"/>
  <c r="B252" i="60"/>
  <c r="E206" i="60"/>
  <c r="B206" i="60"/>
  <c r="C206" i="60"/>
  <c r="C647" i="60"/>
  <c r="E647" i="60"/>
  <c r="B647" i="60"/>
  <c r="E614" i="60"/>
  <c r="B614" i="60"/>
  <c r="C614" i="60"/>
  <c r="E249" i="60"/>
  <c r="C249" i="60"/>
  <c r="B249" i="60"/>
  <c r="C543" i="60"/>
  <c r="B543" i="60"/>
  <c r="E543" i="60"/>
  <c r="E633" i="60"/>
  <c r="B633" i="60"/>
  <c r="C633" i="60"/>
  <c r="B188" i="60"/>
  <c r="C188" i="60"/>
  <c r="E188" i="60"/>
  <c r="C423" i="60"/>
  <c r="E423" i="60"/>
  <c r="B423" i="60"/>
  <c r="B865" i="60"/>
  <c r="E865" i="60"/>
  <c r="C865" i="60"/>
  <c r="E734" i="60"/>
  <c r="C734" i="60"/>
  <c r="B734" i="60"/>
  <c r="E486" i="60"/>
  <c r="C486" i="60"/>
  <c r="B486" i="60"/>
  <c r="E189" i="60"/>
  <c r="B189" i="60"/>
  <c r="C189" i="60"/>
  <c r="E876" i="60"/>
  <c r="B876" i="60"/>
  <c r="C876" i="60"/>
  <c r="E244" i="60"/>
  <c r="B244" i="60"/>
  <c r="C244" i="60"/>
  <c r="E654" i="60"/>
  <c r="B654" i="60"/>
  <c r="C654" i="60"/>
  <c r="E15" i="60"/>
  <c r="B15" i="60"/>
  <c r="C15" i="60"/>
  <c r="B657" i="60"/>
  <c r="C657" i="60"/>
  <c r="E657" i="60"/>
  <c r="E115" i="60"/>
  <c r="B115" i="60"/>
  <c r="C115" i="60"/>
  <c r="E916" i="60"/>
  <c r="C916" i="60"/>
  <c r="B916" i="60"/>
  <c r="B592" i="60"/>
  <c r="C592" i="60"/>
  <c r="E592" i="60"/>
  <c r="B732" i="60"/>
  <c r="C732" i="60"/>
  <c r="E732" i="60"/>
  <c r="E567" i="60"/>
  <c r="B567" i="60"/>
  <c r="C567" i="60"/>
  <c r="E241" i="60"/>
  <c r="C241" i="60"/>
  <c r="B241" i="60"/>
  <c r="E86" i="60"/>
  <c r="C86" i="60"/>
  <c r="B86" i="60"/>
  <c r="E610" i="60"/>
  <c r="B610" i="60"/>
  <c r="C610" i="60"/>
  <c r="E280" i="60"/>
  <c r="B280" i="60"/>
  <c r="C280" i="60"/>
  <c r="E833" i="60"/>
  <c r="B833" i="60"/>
  <c r="C833" i="60"/>
  <c r="E478" i="60"/>
  <c r="C478" i="60"/>
  <c r="B478" i="60"/>
  <c r="E148" i="60"/>
  <c r="C148" i="60"/>
  <c r="B148" i="60"/>
  <c r="B676" i="60"/>
  <c r="E676" i="60"/>
  <c r="C676" i="60"/>
  <c r="C846" i="60"/>
  <c r="E846" i="60"/>
  <c r="B846" i="60"/>
  <c r="E159" i="60"/>
  <c r="C159" i="60"/>
  <c r="B159" i="60"/>
  <c r="E82" i="60"/>
  <c r="C82" i="60"/>
  <c r="B82" i="60"/>
  <c r="E364" i="60"/>
  <c r="B364" i="60"/>
  <c r="C364" i="60"/>
  <c r="E79" i="60"/>
  <c r="C79" i="60"/>
  <c r="B79" i="60"/>
  <c r="F10" i="60" l="1"/>
  <c r="F11" i="60" s="1"/>
  <c r="F12" i="60" s="1"/>
  <c r="F13" i="60" s="1"/>
  <c r="F14" i="60" s="1"/>
  <c r="F15" i="60" s="1"/>
  <c r="F16" i="60" s="1"/>
  <c r="F17" i="60" s="1"/>
  <c r="F18" i="60" s="1"/>
  <c r="F19" i="60" s="1"/>
  <c r="F20" i="60" s="1"/>
  <c r="F21" i="60" s="1"/>
  <c r="F22" i="60" s="1"/>
  <c r="F23" i="60" s="1"/>
  <c r="F24" i="60" s="1"/>
  <c r="F25" i="60" s="1"/>
  <c r="F26" i="60" s="1"/>
  <c r="F27" i="60" s="1"/>
  <c r="F28" i="60" s="1"/>
  <c r="F29" i="60" s="1"/>
  <c r="F30" i="60" s="1"/>
  <c r="F31" i="60" s="1"/>
  <c r="F32" i="60" s="1"/>
  <c r="F33" i="60" s="1"/>
  <c r="F34" i="60" s="1"/>
  <c r="F35" i="60" s="1"/>
  <c r="F36" i="60" s="1"/>
  <c r="F37" i="60" s="1"/>
  <c r="F38" i="60" s="1"/>
  <c r="F39" i="60" s="1"/>
  <c r="F40" i="60" s="1"/>
  <c r="F41" i="60" s="1"/>
  <c r="F42" i="60" s="1"/>
  <c r="F43" i="60" s="1"/>
  <c r="F44" i="60" s="1"/>
  <c r="F45" i="60" s="1"/>
  <c r="F46" i="60" s="1"/>
  <c r="F47" i="60" s="1"/>
  <c r="F48" i="60" s="1"/>
  <c r="F49" i="60" s="1"/>
  <c r="F50" i="60" s="1"/>
  <c r="F51" i="60" s="1"/>
  <c r="F52" i="60" s="1"/>
  <c r="F53" i="60" s="1"/>
  <c r="F54" i="60" s="1"/>
  <c r="F55" i="60" s="1"/>
  <c r="F56" i="60" s="1"/>
  <c r="F57" i="60" s="1"/>
  <c r="F58" i="60" s="1"/>
  <c r="F59" i="60" s="1"/>
  <c r="F60" i="60" s="1"/>
  <c r="F61" i="60" s="1"/>
  <c r="F62" i="60" s="1"/>
  <c r="F63" i="60" s="1"/>
  <c r="F64" i="60" s="1"/>
  <c r="F65" i="60" s="1"/>
  <c r="F66" i="60" s="1"/>
  <c r="F67" i="60" s="1"/>
  <c r="F68" i="60" s="1"/>
  <c r="F69" i="60" s="1"/>
  <c r="F70" i="60" s="1"/>
  <c r="F71" i="60" s="1"/>
  <c r="F72" i="60" s="1"/>
  <c r="F73" i="60" s="1"/>
  <c r="F74" i="60" s="1"/>
  <c r="F75" i="60" s="1"/>
  <c r="F76" i="60" s="1"/>
  <c r="F77" i="60" s="1"/>
  <c r="F78" i="60" s="1"/>
  <c r="F79" i="60" s="1"/>
  <c r="F80" i="60" s="1"/>
  <c r="F81" i="60" s="1"/>
  <c r="F82" i="60" s="1"/>
  <c r="F83" i="60" s="1"/>
  <c r="F84" i="60" s="1"/>
  <c r="F85" i="60" s="1"/>
  <c r="F86" i="60" s="1"/>
  <c r="F87" i="60" s="1"/>
  <c r="F88" i="60" s="1"/>
  <c r="F89" i="60" s="1"/>
  <c r="F90" i="60" s="1"/>
  <c r="F91" i="60" s="1"/>
  <c r="F92" i="60" s="1"/>
  <c r="F93" i="60" s="1"/>
  <c r="F94" i="60" s="1"/>
  <c r="F95" i="60" s="1"/>
  <c r="F96" i="60" s="1"/>
  <c r="F97" i="60" s="1"/>
  <c r="F98" i="60" s="1"/>
  <c r="F99" i="60" s="1"/>
  <c r="F100" i="60" s="1"/>
  <c r="F101" i="60" s="1"/>
  <c r="F102" i="60" s="1"/>
  <c r="F103" i="60" s="1"/>
  <c r="F104" i="60" s="1"/>
  <c r="F105" i="60" s="1"/>
  <c r="F106" i="60" s="1"/>
  <c r="F107" i="60" s="1"/>
  <c r="F108" i="60" s="1"/>
  <c r="F109" i="60" s="1"/>
  <c r="F110" i="60" s="1"/>
  <c r="F111" i="60" s="1"/>
  <c r="F112" i="60" s="1"/>
  <c r="F113" i="60" s="1"/>
  <c r="F114" i="60" s="1"/>
  <c r="F115" i="60" s="1"/>
  <c r="F116" i="60" s="1"/>
  <c r="F117" i="60" s="1"/>
  <c r="F118" i="60" s="1"/>
  <c r="F119" i="60" s="1"/>
  <c r="F120" i="60" s="1"/>
  <c r="F121" i="60" s="1"/>
  <c r="F122" i="60" s="1"/>
  <c r="F123" i="60" s="1"/>
  <c r="F124" i="60" s="1"/>
  <c r="F125" i="60" s="1"/>
  <c r="F126" i="60" s="1"/>
  <c r="F127" i="60" s="1"/>
  <c r="F128" i="60" s="1"/>
  <c r="F129" i="60" s="1"/>
  <c r="F130" i="60" s="1"/>
  <c r="F131" i="60" s="1"/>
  <c r="F132" i="60" s="1"/>
  <c r="F133" i="60" s="1"/>
  <c r="F134" i="60" s="1"/>
  <c r="F135" i="60" s="1"/>
  <c r="F136" i="60" s="1"/>
  <c r="F137" i="60" s="1"/>
  <c r="F138" i="60" s="1"/>
  <c r="F139" i="60" s="1"/>
  <c r="F140" i="60" s="1"/>
  <c r="F141" i="60" s="1"/>
  <c r="F142" i="60" s="1"/>
  <c r="F143" i="60" s="1"/>
  <c r="F144" i="60" s="1"/>
  <c r="F145" i="60" s="1"/>
  <c r="F146" i="60" s="1"/>
  <c r="F147" i="60" s="1"/>
  <c r="F148" i="60" s="1"/>
  <c r="F149" i="60" s="1"/>
  <c r="F150" i="60" s="1"/>
  <c r="F151" i="60" s="1"/>
  <c r="F152" i="60" s="1"/>
  <c r="F153" i="60" s="1"/>
  <c r="F154" i="60" s="1"/>
  <c r="F155" i="60" s="1"/>
  <c r="F156" i="60" s="1"/>
  <c r="F157" i="60" s="1"/>
  <c r="F158" i="60" s="1"/>
  <c r="F159" i="60" s="1"/>
  <c r="F160" i="60" s="1"/>
  <c r="F161" i="60" s="1"/>
  <c r="F162" i="60" s="1"/>
  <c r="F163" i="60" s="1"/>
  <c r="F164" i="60" s="1"/>
  <c r="F165" i="60" s="1"/>
  <c r="F166" i="60" s="1"/>
  <c r="F167" i="60" s="1"/>
  <c r="F168" i="60" s="1"/>
  <c r="F169" i="60" s="1"/>
  <c r="F170" i="60" s="1"/>
  <c r="F171" i="60" s="1"/>
  <c r="F172" i="60" s="1"/>
  <c r="F173" i="60" s="1"/>
  <c r="F174" i="60" s="1"/>
  <c r="F175" i="60" s="1"/>
  <c r="F176" i="60" s="1"/>
  <c r="F177" i="60" s="1"/>
  <c r="F178" i="60" s="1"/>
  <c r="F179" i="60" s="1"/>
  <c r="F180" i="60" s="1"/>
  <c r="F181" i="60" s="1"/>
  <c r="F182" i="60" s="1"/>
  <c r="F183" i="60" s="1"/>
  <c r="F184" i="60" s="1"/>
  <c r="F185" i="60" s="1"/>
  <c r="F186" i="60" s="1"/>
  <c r="F187" i="60" s="1"/>
  <c r="F188" i="60" s="1"/>
  <c r="F189" i="60" s="1"/>
  <c r="F190" i="60" s="1"/>
  <c r="F191" i="60" s="1"/>
  <c r="F192" i="60" s="1"/>
  <c r="F193" i="60" s="1"/>
  <c r="F194" i="60" s="1"/>
  <c r="F195" i="60" s="1"/>
  <c r="F196" i="60" s="1"/>
  <c r="F197" i="60" s="1"/>
  <c r="F198" i="60" s="1"/>
  <c r="F199" i="60" s="1"/>
  <c r="F200" i="60" s="1"/>
  <c r="F201" i="60" s="1"/>
  <c r="F202" i="60" s="1"/>
  <c r="F203" i="60" s="1"/>
  <c r="F204" i="60" s="1"/>
  <c r="F205" i="60" s="1"/>
  <c r="F206" i="60" s="1"/>
  <c r="F207" i="60" s="1"/>
  <c r="F208" i="60" s="1"/>
  <c r="F209" i="60" s="1"/>
  <c r="F210" i="60" s="1"/>
  <c r="F211" i="60" s="1"/>
  <c r="F212" i="60" s="1"/>
  <c r="F213" i="60" s="1"/>
  <c r="F214" i="60" s="1"/>
  <c r="F215" i="60" s="1"/>
  <c r="F216" i="60" s="1"/>
  <c r="F217" i="60" s="1"/>
  <c r="F218" i="60" s="1"/>
  <c r="F219" i="60" s="1"/>
  <c r="F220" i="60" s="1"/>
  <c r="F221" i="60" s="1"/>
  <c r="F222" i="60" s="1"/>
  <c r="F223" i="60" s="1"/>
  <c r="F224" i="60" s="1"/>
  <c r="F225" i="60" s="1"/>
  <c r="F226" i="60" s="1"/>
  <c r="F227" i="60" s="1"/>
  <c r="F228" i="60" s="1"/>
  <c r="F229" i="60" s="1"/>
  <c r="F230" i="60" s="1"/>
  <c r="F231" i="60" s="1"/>
  <c r="F232" i="60" s="1"/>
  <c r="F233" i="60" s="1"/>
  <c r="F234" i="60" s="1"/>
  <c r="F235" i="60" s="1"/>
  <c r="F236" i="60" s="1"/>
  <c r="F237" i="60" s="1"/>
  <c r="F238" i="60" s="1"/>
  <c r="F239" i="60" s="1"/>
  <c r="F240" i="60" s="1"/>
  <c r="F241" i="60" s="1"/>
  <c r="F242" i="60" s="1"/>
  <c r="F243" i="60" s="1"/>
  <c r="F244" i="60" s="1"/>
  <c r="F245" i="60" s="1"/>
  <c r="F246" i="60" s="1"/>
  <c r="F247" i="60" s="1"/>
  <c r="F248" i="60" s="1"/>
  <c r="F249" i="60" s="1"/>
  <c r="F250" i="60" s="1"/>
  <c r="F251" i="60" s="1"/>
  <c r="F252" i="60" s="1"/>
  <c r="F253" i="60" s="1"/>
  <c r="F254" i="60" s="1"/>
  <c r="F255" i="60" s="1"/>
  <c r="F256" i="60" s="1"/>
  <c r="F257" i="60" s="1"/>
  <c r="F258" i="60" s="1"/>
  <c r="F259" i="60" s="1"/>
  <c r="F260" i="60" s="1"/>
  <c r="F261" i="60" s="1"/>
  <c r="F262" i="60" s="1"/>
  <c r="F263" i="60" s="1"/>
  <c r="F264" i="60" s="1"/>
  <c r="F265" i="60" s="1"/>
  <c r="F266" i="60" s="1"/>
  <c r="F267" i="60" s="1"/>
  <c r="F268" i="60" s="1"/>
  <c r="F269" i="60" s="1"/>
  <c r="F270" i="60" s="1"/>
  <c r="F271" i="60" s="1"/>
  <c r="F272" i="60" s="1"/>
  <c r="F273" i="60" s="1"/>
  <c r="F274" i="60" s="1"/>
  <c r="F275" i="60" s="1"/>
  <c r="F276" i="60" s="1"/>
  <c r="F277" i="60" s="1"/>
  <c r="F278" i="60" s="1"/>
  <c r="F279" i="60" s="1"/>
  <c r="F280" i="60" s="1"/>
  <c r="F281" i="60" s="1"/>
  <c r="F282" i="60" s="1"/>
  <c r="F283" i="60" s="1"/>
  <c r="F284" i="60" s="1"/>
  <c r="F285" i="60" s="1"/>
  <c r="F286" i="60" s="1"/>
  <c r="F287" i="60" s="1"/>
  <c r="F288" i="60" s="1"/>
  <c r="F289" i="60" s="1"/>
  <c r="F290" i="60" s="1"/>
  <c r="F291" i="60" s="1"/>
  <c r="F292" i="60" s="1"/>
  <c r="F293" i="60" s="1"/>
  <c r="F294" i="60" s="1"/>
  <c r="F295" i="60" s="1"/>
  <c r="F296" i="60" s="1"/>
  <c r="F297" i="60" s="1"/>
  <c r="F298" i="60" s="1"/>
  <c r="F299" i="60" s="1"/>
  <c r="F300" i="60" s="1"/>
  <c r="F301" i="60" s="1"/>
  <c r="F302" i="60" s="1"/>
  <c r="F303" i="60" s="1"/>
  <c r="F304" i="60" s="1"/>
  <c r="F305" i="60" s="1"/>
  <c r="F306" i="60" s="1"/>
  <c r="F307" i="60" s="1"/>
  <c r="F308" i="60" s="1"/>
  <c r="F309" i="60" s="1"/>
  <c r="F310" i="60" s="1"/>
  <c r="F311" i="60" s="1"/>
  <c r="F312" i="60" s="1"/>
  <c r="F313" i="60" s="1"/>
  <c r="F314" i="60" s="1"/>
  <c r="F315" i="60" s="1"/>
  <c r="F316" i="60" s="1"/>
  <c r="F317" i="60" s="1"/>
  <c r="F318" i="60" s="1"/>
  <c r="F319" i="60" s="1"/>
  <c r="F320" i="60" s="1"/>
  <c r="F321" i="60" s="1"/>
  <c r="F322" i="60" s="1"/>
  <c r="F323" i="60" s="1"/>
  <c r="F324" i="60" s="1"/>
  <c r="F325" i="60" s="1"/>
  <c r="F326" i="60" s="1"/>
  <c r="F327" i="60" s="1"/>
  <c r="F328" i="60" s="1"/>
  <c r="F329" i="60" s="1"/>
  <c r="F330" i="60" s="1"/>
  <c r="F331" i="60" s="1"/>
  <c r="F332" i="60" s="1"/>
  <c r="F333" i="60" s="1"/>
  <c r="F334" i="60" s="1"/>
  <c r="F335" i="60" s="1"/>
  <c r="F336" i="60" s="1"/>
  <c r="F337" i="60" s="1"/>
  <c r="F338" i="60" s="1"/>
  <c r="F339" i="60" s="1"/>
  <c r="F340" i="60" s="1"/>
  <c r="F341" i="60" s="1"/>
  <c r="F342" i="60" s="1"/>
  <c r="F343" i="60" s="1"/>
  <c r="F344" i="60" s="1"/>
  <c r="F345" i="60" s="1"/>
  <c r="F346" i="60" s="1"/>
  <c r="F347" i="60" s="1"/>
  <c r="F348" i="60" s="1"/>
  <c r="F349" i="60" s="1"/>
  <c r="F350" i="60" s="1"/>
  <c r="F351" i="60" s="1"/>
  <c r="F352" i="60" s="1"/>
  <c r="F353" i="60" s="1"/>
  <c r="F354" i="60" s="1"/>
  <c r="F355" i="60" s="1"/>
  <c r="F356" i="60" s="1"/>
  <c r="F357" i="60" s="1"/>
  <c r="F358" i="60" s="1"/>
  <c r="F359" i="60" s="1"/>
  <c r="F360" i="60" s="1"/>
  <c r="F361" i="60" s="1"/>
  <c r="F362" i="60" s="1"/>
  <c r="F363" i="60" s="1"/>
  <c r="F364" i="60" s="1"/>
  <c r="F365" i="60" s="1"/>
  <c r="F366" i="60" s="1"/>
  <c r="F367" i="60" s="1"/>
  <c r="F368" i="60" s="1"/>
  <c r="F369" i="60" s="1"/>
  <c r="F370" i="60" s="1"/>
  <c r="F371" i="60" s="1"/>
  <c r="F372" i="60" s="1"/>
  <c r="F373" i="60" s="1"/>
  <c r="F374" i="60" s="1"/>
  <c r="F375" i="60" s="1"/>
  <c r="F376" i="60" s="1"/>
  <c r="F377" i="60" s="1"/>
  <c r="F378" i="60" s="1"/>
  <c r="F379" i="60" s="1"/>
  <c r="F380" i="60" s="1"/>
  <c r="F381" i="60" s="1"/>
  <c r="F382" i="60" s="1"/>
  <c r="F383" i="60" s="1"/>
  <c r="F384" i="60" s="1"/>
  <c r="F385" i="60" s="1"/>
  <c r="F386" i="60" s="1"/>
  <c r="F387" i="60" s="1"/>
  <c r="F388" i="60" s="1"/>
  <c r="F389" i="60" s="1"/>
  <c r="F390" i="60" s="1"/>
  <c r="F391" i="60" s="1"/>
  <c r="F392" i="60" s="1"/>
  <c r="F393" i="60" s="1"/>
  <c r="F394" i="60" s="1"/>
  <c r="F395" i="60" s="1"/>
  <c r="F396" i="60" s="1"/>
  <c r="F397" i="60" s="1"/>
  <c r="F398" i="60" s="1"/>
  <c r="F399" i="60" s="1"/>
  <c r="F400" i="60" s="1"/>
  <c r="F401" i="60" s="1"/>
  <c r="F402" i="60" s="1"/>
  <c r="F403" i="60" s="1"/>
  <c r="F404" i="60" s="1"/>
  <c r="F405" i="60" s="1"/>
  <c r="F406" i="60" s="1"/>
  <c r="F407" i="60" s="1"/>
  <c r="F408" i="60" s="1"/>
  <c r="F409" i="60" s="1"/>
  <c r="F410" i="60" s="1"/>
  <c r="F411" i="60" s="1"/>
  <c r="F412" i="60" s="1"/>
  <c r="F413" i="60" s="1"/>
  <c r="F414" i="60" s="1"/>
  <c r="F415" i="60" s="1"/>
  <c r="F416" i="60" s="1"/>
  <c r="F417" i="60" s="1"/>
  <c r="F418" i="60" s="1"/>
  <c r="F419" i="60" s="1"/>
  <c r="F420" i="60" s="1"/>
  <c r="F421" i="60" s="1"/>
  <c r="F422" i="60" s="1"/>
  <c r="F423" i="60" s="1"/>
  <c r="F424" i="60" s="1"/>
  <c r="F425" i="60" s="1"/>
  <c r="F426" i="60" s="1"/>
  <c r="F427" i="60" s="1"/>
  <c r="F428" i="60" s="1"/>
  <c r="F429" i="60" s="1"/>
  <c r="F430" i="60" s="1"/>
  <c r="F431" i="60" s="1"/>
  <c r="F432" i="60" s="1"/>
  <c r="F433" i="60" s="1"/>
  <c r="F434" i="60" s="1"/>
  <c r="F435" i="60" s="1"/>
  <c r="F436" i="60" s="1"/>
  <c r="F437" i="60" s="1"/>
  <c r="F438" i="60" s="1"/>
  <c r="F439" i="60" s="1"/>
  <c r="F440" i="60" s="1"/>
  <c r="F441" i="60" s="1"/>
  <c r="F442" i="60" s="1"/>
  <c r="F443" i="60" s="1"/>
  <c r="F444" i="60" s="1"/>
  <c r="F445" i="60" s="1"/>
  <c r="F446" i="60" s="1"/>
  <c r="F447" i="60" s="1"/>
  <c r="F448" i="60" s="1"/>
  <c r="F449" i="60" s="1"/>
  <c r="F450" i="60" s="1"/>
  <c r="F451" i="60" s="1"/>
  <c r="F452" i="60" s="1"/>
  <c r="F453" i="60" s="1"/>
  <c r="F454" i="60" s="1"/>
  <c r="F455" i="60" s="1"/>
  <c r="F456" i="60" s="1"/>
  <c r="F457" i="60" s="1"/>
  <c r="F458" i="60" s="1"/>
  <c r="F459" i="60" s="1"/>
  <c r="F460" i="60" s="1"/>
  <c r="F461" i="60" s="1"/>
  <c r="F462" i="60" s="1"/>
  <c r="F463" i="60" s="1"/>
  <c r="F464" i="60" s="1"/>
  <c r="F465" i="60" s="1"/>
  <c r="F466" i="60" s="1"/>
  <c r="F467" i="60" s="1"/>
  <c r="F468" i="60" s="1"/>
  <c r="F469" i="60" s="1"/>
  <c r="F470" i="60" s="1"/>
  <c r="F471" i="60" s="1"/>
  <c r="F472" i="60" s="1"/>
  <c r="F473" i="60" s="1"/>
  <c r="F474" i="60" s="1"/>
  <c r="F475" i="60" s="1"/>
  <c r="F476" i="60" s="1"/>
  <c r="F477" i="60" s="1"/>
  <c r="F478" i="60" s="1"/>
  <c r="F479" i="60" s="1"/>
  <c r="F480" i="60" s="1"/>
  <c r="F481" i="60" s="1"/>
  <c r="F482" i="60" s="1"/>
  <c r="F483" i="60" s="1"/>
  <c r="F484" i="60" s="1"/>
  <c r="F485" i="60" s="1"/>
  <c r="F486" i="60" s="1"/>
  <c r="F487" i="60" s="1"/>
  <c r="F488" i="60" s="1"/>
  <c r="F489" i="60" s="1"/>
  <c r="F490" i="60" s="1"/>
  <c r="F491" i="60" s="1"/>
  <c r="F492" i="60" s="1"/>
  <c r="F493" i="60" s="1"/>
  <c r="F494" i="60" s="1"/>
  <c r="F495" i="60" s="1"/>
  <c r="F496" i="60" s="1"/>
  <c r="F497" i="60" s="1"/>
  <c r="F498" i="60" s="1"/>
  <c r="F499" i="60" s="1"/>
  <c r="F500" i="60" s="1"/>
  <c r="F501" i="60" s="1"/>
  <c r="F502" i="60" s="1"/>
  <c r="F503" i="60" s="1"/>
  <c r="F504" i="60" s="1"/>
  <c r="F505" i="60" s="1"/>
  <c r="F506" i="60" s="1"/>
  <c r="F507" i="60" s="1"/>
  <c r="F508" i="60" s="1"/>
  <c r="F509" i="60" s="1"/>
  <c r="F510" i="60" s="1"/>
  <c r="F511" i="60" s="1"/>
  <c r="F512" i="60" s="1"/>
  <c r="F513" i="60" s="1"/>
  <c r="F514" i="60" s="1"/>
  <c r="F515" i="60" s="1"/>
  <c r="F516" i="60" s="1"/>
  <c r="F517" i="60" s="1"/>
  <c r="F518" i="60" s="1"/>
  <c r="F519" i="60" s="1"/>
  <c r="F520" i="60" s="1"/>
  <c r="F521" i="60" s="1"/>
  <c r="F522" i="60" s="1"/>
  <c r="F523" i="60" s="1"/>
  <c r="F524" i="60" s="1"/>
  <c r="F525" i="60" s="1"/>
  <c r="F526" i="60" s="1"/>
  <c r="F527" i="60" s="1"/>
  <c r="F528" i="60" s="1"/>
  <c r="F529" i="60" s="1"/>
  <c r="F530" i="60" s="1"/>
  <c r="F531" i="60" s="1"/>
  <c r="F532" i="60" s="1"/>
  <c r="F533" i="60" s="1"/>
  <c r="F534" i="60" s="1"/>
  <c r="F535" i="60" s="1"/>
  <c r="F536" i="60" s="1"/>
  <c r="F537" i="60" s="1"/>
  <c r="F538" i="60" s="1"/>
  <c r="F539" i="60" s="1"/>
  <c r="F540" i="60" s="1"/>
  <c r="F541" i="60" s="1"/>
  <c r="F542" i="60" s="1"/>
  <c r="F543" i="60" s="1"/>
  <c r="F544" i="60" s="1"/>
  <c r="F545" i="60" s="1"/>
  <c r="F546" i="60" s="1"/>
  <c r="F547" i="60" s="1"/>
  <c r="F548" i="60" s="1"/>
  <c r="F549" i="60" s="1"/>
  <c r="F550" i="60" s="1"/>
  <c r="F551" i="60" s="1"/>
  <c r="F552" i="60" s="1"/>
  <c r="F553" i="60" s="1"/>
  <c r="F554" i="60" s="1"/>
  <c r="F555" i="60" s="1"/>
  <c r="F556" i="60" s="1"/>
  <c r="F557" i="60" s="1"/>
  <c r="F558" i="60" s="1"/>
  <c r="F559" i="60" s="1"/>
  <c r="F560" i="60" s="1"/>
  <c r="F561" i="60" s="1"/>
  <c r="F562" i="60" s="1"/>
  <c r="F563" i="60" s="1"/>
  <c r="F564" i="60" s="1"/>
  <c r="F565" i="60" s="1"/>
  <c r="F566" i="60" s="1"/>
  <c r="F567" i="60" s="1"/>
  <c r="F568" i="60" s="1"/>
  <c r="F569" i="60" s="1"/>
  <c r="F570" i="60" s="1"/>
  <c r="F571" i="60" s="1"/>
  <c r="F572" i="60" s="1"/>
  <c r="F573" i="60" s="1"/>
  <c r="F574" i="60" s="1"/>
  <c r="F575" i="60" s="1"/>
  <c r="F576" i="60" s="1"/>
  <c r="F577" i="60" s="1"/>
  <c r="F578" i="60" s="1"/>
  <c r="F579" i="60" s="1"/>
  <c r="F580" i="60" s="1"/>
  <c r="F581" i="60" s="1"/>
  <c r="F582" i="60" s="1"/>
  <c r="F583" i="60" s="1"/>
  <c r="F584" i="60" s="1"/>
  <c r="F585" i="60" s="1"/>
  <c r="F586" i="60" s="1"/>
  <c r="F587" i="60" s="1"/>
  <c r="F588" i="60" s="1"/>
  <c r="F589" i="60" s="1"/>
  <c r="F590" i="60" s="1"/>
  <c r="F591" i="60" s="1"/>
  <c r="F592" i="60" s="1"/>
  <c r="F593" i="60" s="1"/>
  <c r="F594" i="60" s="1"/>
  <c r="F595" i="60" s="1"/>
  <c r="F596" i="60" s="1"/>
  <c r="F597" i="60" s="1"/>
  <c r="F598" i="60" s="1"/>
  <c r="F599" i="60" s="1"/>
  <c r="F600" i="60" s="1"/>
  <c r="F601" i="60" s="1"/>
  <c r="F602" i="60" s="1"/>
  <c r="F603" i="60" s="1"/>
  <c r="F604" i="60" s="1"/>
  <c r="F605" i="60" s="1"/>
  <c r="F606" i="60" s="1"/>
  <c r="F607" i="60" s="1"/>
  <c r="F608" i="60" s="1"/>
  <c r="F609" i="60" s="1"/>
  <c r="F610" i="60" s="1"/>
  <c r="F611" i="60" s="1"/>
  <c r="F612" i="60" s="1"/>
  <c r="F613" i="60" s="1"/>
  <c r="F614" i="60" s="1"/>
  <c r="F615" i="60" s="1"/>
  <c r="F616" i="60" s="1"/>
  <c r="F617" i="60" s="1"/>
  <c r="F618" i="60" s="1"/>
  <c r="F619" i="60" s="1"/>
  <c r="F620" i="60" s="1"/>
  <c r="F621" i="60" s="1"/>
  <c r="F622" i="60" s="1"/>
  <c r="F623" i="60" s="1"/>
  <c r="F624" i="60" s="1"/>
  <c r="F625" i="60" s="1"/>
  <c r="F626" i="60" s="1"/>
  <c r="F627" i="60" s="1"/>
  <c r="F628" i="60" s="1"/>
  <c r="F629" i="60" s="1"/>
  <c r="F630" i="60" s="1"/>
  <c r="F631" i="60" s="1"/>
  <c r="F632" i="60" s="1"/>
  <c r="F633" i="60" s="1"/>
  <c r="F634" i="60" s="1"/>
  <c r="F635" i="60" s="1"/>
  <c r="F636" i="60" s="1"/>
  <c r="F637" i="60" s="1"/>
  <c r="F638" i="60" s="1"/>
  <c r="F639" i="60" s="1"/>
  <c r="F640" i="60" s="1"/>
  <c r="F641" i="60" s="1"/>
  <c r="F642" i="60" s="1"/>
  <c r="F643" i="60" s="1"/>
  <c r="F644" i="60" s="1"/>
  <c r="F645" i="60" s="1"/>
  <c r="F646" i="60" s="1"/>
  <c r="F647" i="60" s="1"/>
  <c r="F648" i="60" s="1"/>
  <c r="F649" i="60" s="1"/>
  <c r="F650" i="60" s="1"/>
  <c r="F651" i="60" s="1"/>
  <c r="F652" i="60" s="1"/>
  <c r="F653" i="60" s="1"/>
  <c r="F654" i="60" s="1"/>
  <c r="F655" i="60" s="1"/>
  <c r="F656" i="60" s="1"/>
  <c r="F657" i="60" s="1"/>
  <c r="F658" i="60" s="1"/>
  <c r="F659" i="60" s="1"/>
  <c r="F660" i="60" s="1"/>
  <c r="F661" i="60" s="1"/>
  <c r="F662" i="60" s="1"/>
  <c r="F663" i="60" s="1"/>
  <c r="F664" i="60" s="1"/>
  <c r="F665" i="60" s="1"/>
  <c r="F666" i="60" s="1"/>
  <c r="F667" i="60" s="1"/>
  <c r="F668" i="60" s="1"/>
  <c r="F669" i="60" s="1"/>
  <c r="F670" i="60" s="1"/>
  <c r="F671" i="60" s="1"/>
  <c r="F672" i="60" s="1"/>
  <c r="F673" i="60" s="1"/>
  <c r="F674" i="60" s="1"/>
  <c r="F675" i="60" s="1"/>
  <c r="F676" i="60" s="1"/>
  <c r="F677" i="60" s="1"/>
  <c r="F678" i="60" s="1"/>
  <c r="F679" i="60" s="1"/>
  <c r="F680" i="60" s="1"/>
  <c r="F681" i="60" s="1"/>
  <c r="F682" i="60" s="1"/>
  <c r="F683" i="60" s="1"/>
  <c r="F684" i="60" s="1"/>
  <c r="F685" i="60" s="1"/>
  <c r="F686" i="60" s="1"/>
  <c r="F687" i="60" s="1"/>
  <c r="F688" i="60" s="1"/>
  <c r="F689" i="60" s="1"/>
  <c r="F690" i="60" s="1"/>
  <c r="F691" i="60" s="1"/>
  <c r="F692" i="60" s="1"/>
  <c r="F693" i="60" s="1"/>
  <c r="F694" i="60" s="1"/>
  <c r="F695" i="60" s="1"/>
  <c r="F696" i="60" s="1"/>
  <c r="F697" i="60" s="1"/>
  <c r="F698" i="60" s="1"/>
  <c r="F699" i="60" s="1"/>
  <c r="F700" i="60" s="1"/>
  <c r="F701" i="60" s="1"/>
  <c r="F702" i="60" s="1"/>
  <c r="F703" i="60" s="1"/>
  <c r="F704" i="60" s="1"/>
  <c r="F705" i="60" s="1"/>
  <c r="F706" i="60" s="1"/>
  <c r="F707" i="60" s="1"/>
  <c r="F708" i="60" s="1"/>
  <c r="F709" i="60" s="1"/>
  <c r="F710" i="60" s="1"/>
  <c r="F711" i="60" s="1"/>
  <c r="F712" i="60" s="1"/>
  <c r="F713" i="60" s="1"/>
  <c r="F714" i="60" s="1"/>
  <c r="F715" i="60" s="1"/>
  <c r="F716" i="60" s="1"/>
  <c r="F717" i="60" s="1"/>
  <c r="F718" i="60" s="1"/>
  <c r="F719" i="60" s="1"/>
  <c r="F720" i="60" s="1"/>
  <c r="F721" i="60" s="1"/>
  <c r="F722" i="60" s="1"/>
  <c r="F723" i="60" s="1"/>
  <c r="F724" i="60" s="1"/>
  <c r="F725" i="60" s="1"/>
  <c r="F726" i="60" s="1"/>
  <c r="F727" i="60" s="1"/>
  <c r="F728" i="60" s="1"/>
  <c r="F729" i="60" s="1"/>
  <c r="F730" i="60" s="1"/>
  <c r="F731" i="60" s="1"/>
  <c r="F732" i="60" s="1"/>
  <c r="F733" i="60" s="1"/>
  <c r="F734" i="60" s="1"/>
  <c r="F735" i="60" s="1"/>
  <c r="F736" i="60" s="1"/>
  <c r="F737" i="60" s="1"/>
  <c r="F738" i="60" s="1"/>
  <c r="F739" i="60" s="1"/>
  <c r="F740" i="60" s="1"/>
  <c r="F741" i="60" s="1"/>
  <c r="F742" i="60" s="1"/>
  <c r="F743" i="60" s="1"/>
  <c r="F744" i="60" s="1"/>
  <c r="F745" i="60" s="1"/>
  <c r="F746" i="60" s="1"/>
  <c r="F747" i="60" s="1"/>
  <c r="F748" i="60" s="1"/>
  <c r="F749" i="60" s="1"/>
  <c r="F750" i="60" s="1"/>
  <c r="F751" i="60" s="1"/>
  <c r="F752" i="60" s="1"/>
  <c r="F753" i="60" s="1"/>
  <c r="F754" i="60" s="1"/>
  <c r="F755" i="60" s="1"/>
  <c r="F756" i="60" s="1"/>
  <c r="F757" i="60" s="1"/>
  <c r="F758" i="60" s="1"/>
  <c r="F759" i="60" s="1"/>
  <c r="F760" i="60" s="1"/>
  <c r="F761" i="60" s="1"/>
  <c r="F762" i="60" s="1"/>
  <c r="F763" i="60" s="1"/>
  <c r="F764" i="60" s="1"/>
  <c r="F765" i="60" s="1"/>
  <c r="F766" i="60" s="1"/>
  <c r="F767" i="60" s="1"/>
  <c r="F768" i="60" s="1"/>
  <c r="F769" i="60" s="1"/>
  <c r="F770" i="60" s="1"/>
  <c r="F771" i="60" s="1"/>
  <c r="F772" i="60" s="1"/>
  <c r="F773" i="60" s="1"/>
  <c r="F774" i="60" s="1"/>
  <c r="F775" i="60" s="1"/>
  <c r="F776" i="60" s="1"/>
  <c r="F777" i="60" s="1"/>
  <c r="F778" i="60" s="1"/>
  <c r="F779" i="60" s="1"/>
  <c r="F780" i="60" s="1"/>
  <c r="F781" i="60" s="1"/>
  <c r="F782" i="60" s="1"/>
  <c r="F783" i="60" s="1"/>
  <c r="F784" i="60" s="1"/>
  <c r="F785" i="60" s="1"/>
  <c r="F786" i="60" s="1"/>
  <c r="F787" i="60" s="1"/>
  <c r="F788" i="60" s="1"/>
  <c r="F789" i="60" s="1"/>
  <c r="F790" i="60" s="1"/>
  <c r="F791" i="60" s="1"/>
  <c r="F792" i="60" s="1"/>
  <c r="F793" i="60" s="1"/>
  <c r="F794" i="60" s="1"/>
  <c r="F795" i="60" s="1"/>
  <c r="F796" i="60" s="1"/>
  <c r="F797" i="60" s="1"/>
  <c r="F798" i="60" s="1"/>
  <c r="F799" i="60" s="1"/>
  <c r="F800" i="60" s="1"/>
  <c r="F801" i="60" s="1"/>
  <c r="F802" i="60" s="1"/>
  <c r="F803" i="60" s="1"/>
  <c r="F804" i="60" s="1"/>
  <c r="F805" i="60" s="1"/>
  <c r="F806" i="60" s="1"/>
  <c r="F807" i="60" s="1"/>
  <c r="F808" i="60" s="1"/>
  <c r="F809" i="60" s="1"/>
  <c r="F810" i="60" s="1"/>
  <c r="F811" i="60" s="1"/>
  <c r="F812" i="60" s="1"/>
  <c r="F813" i="60" s="1"/>
  <c r="F814" i="60" s="1"/>
  <c r="F815" i="60" s="1"/>
  <c r="F816" i="60" s="1"/>
  <c r="F817" i="60" s="1"/>
  <c r="F818" i="60" s="1"/>
  <c r="F819" i="60" s="1"/>
  <c r="F820" i="60" s="1"/>
  <c r="F821" i="60" s="1"/>
  <c r="F822" i="60" s="1"/>
  <c r="F823" i="60" s="1"/>
  <c r="F824" i="60" s="1"/>
  <c r="F825" i="60" s="1"/>
  <c r="F826" i="60" s="1"/>
  <c r="F827" i="60" s="1"/>
  <c r="F828" i="60" s="1"/>
  <c r="F829" i="60" s="1"/>
  <c r="F830" i="60" s="1"/>
  <c r="F831" i="60" s="1"/>
  <c r="F832" i="60" s="1"/>
  <c r="F833" i="60" s="1"/>
  <c r="F834" i="60" s="1"/>
  <c r="F835" i="60" s="1"/>
  <c r="F836" i="60" s="1"/>
  <c r="F837" i="60" s="1"/>
  <c r="F838" i="60" s="1"/>
  <c r="F839" i="60" s="1"/>
  <c r="F840" i="60" s="1"/>
  <c r="F841" i="60" s="1"/>
  <c r="F842" i="60" s="1"/>
  <c r="F843" i="60" s="1"/>
  <c r="F844" i="60" s="1"/>
  <c r="F845" i="60" s="1"/>
  <c r="F846" i="60" s="1"/>
  <c r="F847" i="60" s="1"/>
  <c r="F848" i="60" s="1"/>
  <c r="F849" i="60" s="1"/>
  <c r="F850" i="60" s="1"/>
  <c r="F851" i="60" s="1"/>
  <c r="F852" i="60" s="1"/>
  <c r="F853" i="60" s="1"/>
  <c r="F854" i="60" s="1"/>
  <c r="F855" i="60" s="1"/>
  <c r="F856" i="60" s="1"/>
  <c r="F857" i="60" s="1"/>
  <c r="F858" i="60" s="1"/>
  <c r="F859" i="60" s="1"/>
  <c r="F860" i="60" s="1"/>
  <c r="F861" i="60" s="1"/>
  <c r="F862" i="60" s="1"/>
  <c r="F863" i="60" s="1"/>
  <c r="F864" i="60" s="1"/>
  <c r="F865" i="60" s="1"/>
  <c r="F866" i="60" s="1"/>
  <c r="F867" i="60" s="1"/>
  <c r="F868" i="60" s="1"/>
  <c r="F869" i="60" s="1"/>
  <c r="F870" i="60" s="1"/>
  <c r="F871" i="60" s="1"/>
  <c r="F872" i="60" s="1"/>
  <c r="F873" i="60" s="1"/>
  <c r="F874" i="60" s="1"/>
  <c r="F875" i="60" s="1"/>
  <c r="F876" i="60" s="1"/>
  <c r="F877" i="60" s="1"/>
  <c r="F878" i="60" s="1"/>
  <c r="F879" i="60" s="1"/>
  <c r="F880" i="60" s="1"/>
  <c r="F881" i="60" s="1"/>
  <c r="F882" i="60" s="1"/>
  <c r="F883" i="60" s="1"/>
  <c r="F884" i="60" s="1"/>
  <c r="F885" i="60" s="1"/>
  <c r="F886" i="60" s="1"/>
  <c r="F887" i="60" s="1"/>
  <c r="F888" i="60" s="1"/>
  <c r="F889" i="60" s="1"/>
  <c r="F890" i="60" s="1"/>
  <c r="F891" i="60" s="1"/>
  <c r="F892" i="60" s="1"/>
  <c r="F893" i="60" s="1"/>
  <c r="F894" i="60" s="1"/>
  <c r="F895" i="60" s="1"/>
  <c r="F896" i="60" s="1"/>
  <c r="F897" i="60" s="1"/>
  <c r="F898" i="60" s="1"/>
  <c r="F899" i="60" s="1"/>
  <c r="F900" i="60" s="1"/>
  <c r="F901" i="60" s="1"/>
  <c r="F902" i="60" s="1"/>
  <c r="F903" i="60" s="1"/>
  <c r="F904" i="60" s="1"/>
  <c r="F905" i="60" s="1"/>
  <c r="F906" i="60" s="1"/>
  <c r="F907" i="60" s="1"/>
  <c r="F908" i="60" s="1"/>
  <c r="F909" i="60" s="1"/>
  <c r="F910" i="60" s="1"/>
  <c r="F911" i="60" s="1"/>
  <c r="F912" i="60" s="1"/>
  <c r="F913" i="60" s="1"/>
  <c r="F914" i="60" s="1"/>
  <c r="F915" i="60" s="1"/>
  <c r="F916" i="60" s="1"/>
  <c r="F917" i="60" s="1"/>
  <c r="F918" i="60" s="1"/>
  <c r="F919" i="60" s="1"/>
  <c r="F920" i="60" s="1"/>
  <c r="F921" i="60" s="1"/>
  <c r="F922" i="60" s="1"/>
  <c r="F923" i="60" s="1"/>
  <c r="F924" i="60" s="1"/>
  <c r="F925" i="60" s="1"/>
  <c r="F926" i="60" s="1"/>
  <c r="F927" i="60" s="1"/>
  <c r="F928" i="60" s="1"/>
  <c r="F929" i="60" s="1"/>
  <c r="F930" i="60" s="1"/>
  <c r="F931" i="60" s="1"/>
  <c r="I9" i="60" a="1"/>
  <c r="I9" i="6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<sst xmlns="http://schemas.openxmlformats.org/spreadsheetml/2006/main" count="74093" uniqueCount="10802">
  <si>
    <t>CODIGO</t>
  </si>
  <si>
    <t>FONTE</t>
  </si>
  <si>
    <t>UNID</t>
  </si>
  <si>
    <t>KG</t>
  </si>
  <si>
    <t>UN</t>
  </si>
  <si>
    <t>M2</t>
  </si>
  <si>
    <t>H</t>
  </si>
  <si>
    <t>M</t>
  </si>
  <si>
    <t>L</t>
  </si>
  <si>
    <t>M3</t>
  </si>
  <si>
    <t>MES</t>
  </si>
  <si>
    <t>T</t>
  </si>
  <si>
    <t>EXECUÇÃO DE CENTRAL DE ARMADURA EM CANTEIRO DE OBRA, NÃO INCLUSO MOBILIÁRIO E EQUIPAMENTOS. AF_04/2016</t>
  </si>
  <si>
    <t>EXECUÇÃO DE CENTRAL DE FÔRMAS, PRODUÇÃO DE ARGAMASSA OU CONCRETO EM CANTEIRO DE OBRA, NÃO INCLUSO MOBILIÁRIO E EQUIPAMENTOS. AF_04/2016</t>
  </si>
  <si>
    <t>ESCAVADEIRA HIDRÁULICA SOBRE ESTEIRAS, CAÇAMBA 0,80 M3, PESO OPERACIONAL 17 T, POTENCIA BRUTA 111 HP - CHP DIURNO. AF_06/2014</t>
  </si>
  <si>
    <t>CHP</t>
  </si>
  <si>
    <t>VIBRADOR DE IMERSÃO, DIÂMETRO DE PONTEIRA 45MM, MOTOR ELÉTRICO TRIFÁSICO POTÊNCIA DE 2 CV - CHP DIURNO. AF_06/2015</t>
  </si>
  <si>
    <t>PLACA VIBRATÓRIA REVERSÍVEL COM MOTOR 4 TEMPOS A GASOLINA, FORÇA CENTRÍFUGA DE 25 KN (2500 KGF), POTÊNCIA 5,5 CV - CHP DIURNO. AF_08/2015</t>
  </si>
  <si>
    <t>ESCAVADEIRA HIDRÁULICA SOBRE ESTEIRAS, CAÇAMBA 0,80 M3, PESO OPERACIONAL 17 T, POTENCIA BRUTA 111 HP - CHI DIURNO. AF_06/2014</t>
  </si>
  <si>
    <t>CHI</t>
  </si>
  <si>
    <t>EXECUÇÃO DE PROTEÇÃO DA CABEÇA DO TIRANTE COM USO DE FÔRMAS EM CHAPA COMPENSADA PLASTIFICADA DE MADEIRA E CONCRETO FCK =15 MPA. AF_07/2016</t>
  </si>
  <si>
    <t>ELETRODUTO DE AÇO GALVANIZADO, CLASSE LEVE, DN 20 MM (3/4), APARENTE, INSTALADO EM TETO - FORNECIMENTO E INSTALAÇÃO. AF_11/2016_P</t>
  </si>
  <si>
    <t>ELETRODUTO DE AÇO GALVANIZADO, CLASSE LEVE, DN 25 MM (1), APARENTE, INSTALADO EM TETO - FORNECIMENTO E INSTALAÇÃO. AF_11/2016_P</t>
  </si>
  <si>
    <t>ELETRODUTO DE AÇO GALVANIZADO, CLASSE LEVE, DN 20 MM (3/4), APARENTE, INSTALADO EM PAREDE - FORNECIMENTO E INSTALAÇÃO. AF_11/2016_P</t>
  </si>
  <si>
    <t>ELETRODUTO DE AÇO GALVANIZADO, CLASSE LEVE, DN 25 MM (1), APARENTE, INSTALADO EM PAREDE - FORNECIMENTO E INSTALAÇÃO. AF_11/2016_P</t>
  </si>
  <si>
    <t>LUVA DE EMENDA PARA ELETRODUTO, AÇO GALVANIZADO, DN 25 MM (1''), APARENTE, INSTALADA EM PAREDE - FORNECIMENTO E INSTALAÇÃO. AF_11/2016_P</t>
  </si>
  <si>
    <t>CABO DE COBRE FLEXÍVEL ISOLADO, 2,5 MM², ANTI-CHAMA 450/750 V, PARA CIRCUITOS TERMINAIS - FORNECIMENTO E INSTALAÇÃO. AF_12/2015</t>
  </si>
  <si>
    <t>CABO DE COBRE FLEXÍVEL ISOLADO, 2,5 MM², ANTI-CHAMA 0,6/1,0 KV, PARA CIRCUITOS TERMINAIS - FORNECIMENTO E INSTALAÇÃO. AF_12/2015</t>
  </si>
  <si>
    <t>CABO DE COBRE FLEXÍVEL ISOLADO, 4 MM², ANTI-CHAMA 450/750 V, PARA CIRCUITOS TERMINAIS - FORNECIMENTO E INSTALAÇÃO. AF_12/2015</t>
  </si>
  <si>
    <t>CAIXA RETANGULAR 4" X 2" BAIXA (0,30 M DO PISO), PVC, INSTALADA EM PAREDE - FORNECIMENTO E INSTALAÇÃO. AF_12/2015</t>
  </si>
  <si>
    <t>CAIXA RETANGULAR 4" X 4" BAIXA (0,30 M DO PISO), PVC, INSTALADA EM PAREDE - FORNECIMENTO E INSTALAÇÃO. AF_12/2015</t>
  </si>
  <si>
    <t>CONDULETE DE ALUMÍNIO, TIPO C, PARA ELETRODUTO DE AÇO GALVANIZADO DN 25 MM (1''), APARENTE - FORNECIMENTO E INSTALAÇÃO. AF_11/2016_P</t>
  </si>
  <si>
    <t>CONDULETE DE ALUMÍNIO, TIPO T, PARA ELETRODUTO DE AÇO GALVANIZADO DN 20 MM (3/4''), APARENTE - FORNECIMENTO E INSTALAÇÃO. AF_11/2016_P</t>
  </si>
  <si>
    <t>CONDULETE DE ALUMÍNIO, TIPO T, PARA ELETRODUTO DE AÇO GALVANIZADO DN 25 MM (1''), APARENTE - FORNECIMENTO E INSTALAÇÃO. AF_11/2016_P</t>
  </si>
  <si>
    <t>TOMADA ALTA DE EMBUTIR (1 MÓDULO), 2P+T 10 A, SEM SUPORTE E SEM PLACA - FORNECIMENTO E INSTALAÇÃO. AF_12/2015</t>
  </si>
  <si>
    <t>TOMADA ALTA DE EMBUTIR (1 MÓDULO), 2P+T 20 A, SEM SUPORTE E SEM PLACA - FORNECIMENTO E INSTALAÇÃO. AF_12/2015</t>
  </si>
  <si>
    <t>TUBO, PVC, SOLDÁVEL, DN 25MM, INSTALADO EM RAMAL DE DISTRIBUIÇÃO DE ÁGUA - FORNECIMENTO E INSTALAÇÃO. AF_12/2014</t>
  </si>
  <si>
    <t>TUBO PVC, SÉRIE R, ÁGUA PLUVIAL, DN 100 MM, FORNECIDO E INSTALADO EM RAMAL DE ENCAMINHAMENTO. AF_12/2014</t>
  </si>
  <si>
    <t>TUBO PVC, SÉRIE R, ÁGUA PLUVIAL, DN 75 MM, FORNECIDO E INSTALADO EM CONDUTORES VERTICAIS DE ÁGUAS PLUVIAIS. AF_12/2014</t>
  </si>
  <si>
    <t>TUBO PVC, SÉRIE R, ÁGUA PLUVIAL, DN 150 MM, FORNECIDO E INSTALADO EM CONDUTORES VERTICAIS DE ÁGUAS PLUVIAIS. AF_12/2014</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</si>
  <si>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</si>
  <si>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</si>
  <si>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75 MM, FORNECIDO E INSTALADO EM RAMAL DE DESCARGA OU RAMAL DE ESGOTO SANITÁRIO. AF_12/2014</t>
  </si>
  <si>
    <t>TUBO PVC, SERIE NORMAL, ESGOTO PREDIAL, DN 100 MM, FORNECIDO E INSTALADO EM RAMAL DE DESCARGA OU RAMAL DE ESGOTO SANITÁRIO. AF_12/2014</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</si>
  <si>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</si>
  <si>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</si>
  <si>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</si>
  <si>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</si>
  <si>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</si>
  <si>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</si>
  <si>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JOELHO 90 GRAUS COM BUCHA DE LATÃO, PVC, SOLDÁVEL, DN 25MM, X 3/4 INSTALADO EM RAMAL OU SUB-RAMAL DE ÁGUA - FORNECIMENTO E INSTALAÇÃO. AF_12/2014</t>
  </si>
  <si>
    <t>LUVA SOLDÁVEL E COM ROSCA, PVC, SOLDÁVEL, DN 25MM X 3/4, INSTALADO EM RAMAL OU SUB-RAMAL DE ÁGUA - FORNECIMENTO E INSTALAÇÃO. AF_12/2014</t>
  </si>
  <si>
    <t>ADAPTADOR CURTO COM BOLSA E ROSCA PARA REGISTRO, PVC, SOLDÁVEL, DN 32MM X 1, INSTALADO EM RAMAL OU SUB-RAMAL DE ÁGUA - FORNECIMENTO E INSTALAÇÃO. AF_12/2014</t>
  </si>
  <si>
    <t>JOELHO 90 GRAUS, PVC, SOLDÁVEL, DN 32MM, INSTALADO EM RAMAL DE DISTRIBUIÇÃO DE ÁGUA - FORNECIMENTO E INSTALAÇÃO. AF_12/2014</t>
  </si>
  <si>
    <t>ADAPTADOR CURTO COM BOLSA E ROSCA PARA REGISTRO, PVC, SOLDÁVEL, DN 25MM X 3/4, INSTALADO EM RAMAL DE DISTRIBUIÇÃO DE ÁGUA - FORNECIMENTO E INSTALAÇÃO. AF_12/2014</t>
  </si>
  <si>
    <t>TE, PVC, SOLDÁVEL, DN 25MM, INSTALADO EM RAMAL DE DISTRIBUIÇÃO DE ÁGUA - FORNECIMENTO E INSTALAÇÃO. AF_12/2014</t>
  </si>
  <si>
    <t>TE, PVC, SOLDÁVEL, DN 32MM, INSTALADO EM RAMAL DE DISTRIBUIÇÃO DE ÁGUA - FORNECIMENTO E INSTALAÇÃO. AF_12/2014</t>
  </si>
  <si>
    <t>JOELHO 90 GRAUS, PVC, SOLDÁVEL, DN 25MM, INSTALADO EM PRUMADA DE ÁGUA - FORNECIMENTO E INSTALAÇÃO. AF_12/2014</t>
  </si>
  <si>
    <t>JOELHO 90 GRAUS, PVC, SOLDÁVEL, DN 40MM, INSTALADO EM PRUMADA DE ÁGUA - FORNECIMENTO E INSTALAÇÃO. AF_12/2014</t>
  </si>
  <si>
    <t>JOELHO 90 GRAUS, PVC, SOLDÁVEL, DN 50MM, INSTALADO EM PRUMADA DE ÁGUA - FORNECIMENTO E INSTALAÇÃO. AF_12/2014</t>
  </si>
  <si>
    <t>JOELHO 90 GRAUS, PVC, SOLDÁVEL, DN 60MM, INSTALADO EM PRUMADA DE ÁGUA - FORNECIMENTO E INSTALAÇÃO. AF_12/2014</t>
  </si>
  <si>
    <t>JOELHO 90 GRAUS, PVC, SOLDÁVEL, DN 85MM, INSTALADO EM PRUMADA DE ÁGUA - FORNECIMENTO E INSTALAÇÃO. AF_12/2014</t>
  </si>
  <si>
    <t>JUNÇÃO SIMPLES, PVC, SERIE R, ÁGUA PLUVIAL, DN 40 MM, JUNTA SOLDÁVEL, FORNECIDO E INSTALADO EM RAMAL DE ENCAMINHAMENTO. AF_12/2014</t>
  </si>
  <si>
    <t>UNIÃO, PVC, SOLDÁVEL, DN 40MM, INSTALADO EM PRUMADA DE ÁGUA - FORNECIMENTO E INSTALAÇÃO. AF_12/2014</t>
  </si>
  <si>
    <t>ADAPTADOR CURTO COM BOLSA E ROSCA PARA REGISTRO, PVC, SOLDÁVEL, DN 40MM X 1.1/2, INSTALADO EM PRUMADA DE ÁGUA - FORNECIMENTO E INSTALAÇÃO. AF_12/2014</t>
  </si>
  <si>
    <t>JOELHO 90 GRAUS, PVC, SERIE R, ÁGUA PLUVIAL, DN 75 MM, JUNTA ELÁSTICA, FORNECIDO E INSTALADO EM CONDUTORES VERTICAIS DE ÁGUAS PLUVIAIS. AF_12/2014</t>
  </si>
  <si>
    <t>JOELHO 45 GRAUS, PVC, SERIE R, ÁGUA PLUVIAL, DN 75 MM, JUNTA ELÁSTICA, FORNECIDO E INSTALADO EM CONDUTORES VERTICAIS DE ÁGUAS PLUVIAIS. AF_12/2014</t>
  </si>
  <si>
    <t>JOELHO 90 GRAUS, PVC, SERIE R, ÁGUA PLUVIAL, DN 100 MM, JUNTA ELÁSTICA, FORNECIDO E INSTALADO EM CONDUTORES VERTICAIS DE ÁGUAS PLUVIAIS. AF_12/2014</t>
  </si>
  <si>
    <t>JOELHO 45 GRAUS, PVC, SERIE R, ÁGUA PLUVIAL, DN 100 MM, JUNTA ELÁSTICA, FORNECIDO E INSTALADO EM CONDUTORES VERTICAIS DE ÁGUAS PLUVIAIS. AF_12/2014</t>
  </si>
  <si>
    <t>JOELHO 90 GRAUS, PVC, SERIE R, ÁGUA PLUVIAL, DN 150 MM, JUNTA ELÁSTICA, FORNECIDO E INSTALADO EM CONDUTORES VERTICAIS DE ÁGUAS PLUVIAIS. AF_12/2014</t>
  </si>
  <si>
    <t>JOELHO 45 GRAUS, PVC, SERIE R, ÁGUA PLUVIAL, DN 150 MM, JUNTA ELÁSTICA, FORNECIDO E INSTALADO EM CONDUTORES VERTICAIS DE ÁGUAS PLUVIAIS. AF_12/2014</t>
  </si>
  <si>
    <t>UNIÃO, PVC, SOLDÁVEL, DN 50MM, INSTALADO EM PRUMADA DE ÁGUA - FORNECIMENTO E INSTALAÇÃO. AF_12/2014</t>
  </si>
  <si>
    <t>ADAPTADOR CURTO COM BOLSA E ROSCA PARA REGISTRO, PVC, SOLDÁVEL, DN 50MM X 1.1/2, INSTALADO EM PRUMADA DE ÁGUA - FORNECIMENTO E INSTALAÇÃO. AF_12/2014</t>
  </si>
  <si>
    <t>LUVA SIMPLES, PVC, SERIE R, ÁGUA PLUVIAL, DN 75 MM, JUNTA ELÁSTICA, FORNECIDO E INSTALADO EM CONDUTORES VERTICAIS DE ÁGUAS PLUVIAIS. AF_12/2014</t>
  </si>
  <si>
    <t>TÊ DE REDUÇÃO, PVC, SOLDÁVEL, DN 25MM X 20MM, INSTALADO EM PRUMADA DE ÁGUA - FORNECIMENTO E INSTALAÇÃO. AF_12/2014</t>
  </si>
  <si>
    <t>TÊ DE REDUÇÃO, PVC, SOLDÁVEL, DN 40MM X 32MM, INSTALADO EM PRUMADA DE ÁGUA - FORNECIMENTO E INSTALAÇÃO. AF_12/2014</t>
  </si>
  <si>
    <t>TE, PVC, SOLDÁVEL, DN 50MM, INSTALADO EM PRUMADA DE ÁGUA - FORNECIMENTO E INSTALAÇÃO. AF_12/2014</t>
  </si>
  <si>
    <t>TÊ DE REDUÇÃO, PVC, SOLDÁVEL, DN 50MM X 40MM, INSTALADO EM PRUMADA DE ÁGUA - FORNECIMENTO E INSTALAÇÃO. AF_12/2014</t>
  </si>
  <si>
    <t>TÊ DE REDUÇÃO, PVC, SOLDÁVEL, DN 50MM X 25MM, INSTALADO EM PRUMADA DE ÁGUA - FORNECIMENTO E INSTALAÇÃO. AF_12/2014</t>
  </si>
  <si>
    <t>TE, PVC, SOLDÁVEL, DN 60MM, INSTALADO EM PRUMADA DE ÁGUA - FORNECIMENTO E INSTALAÇÃO. AF_12/2014</t>
  </si>
  <si>
    <t>TE, PVC, SOLDÁVEL, DN 75MM, INSTALADO EM PRUMADA DE ÁGUA - FORNECIMENTO E INSTALAÇÃO. AF_12/2014</t>
  </si>
  <si>
    <t>LUVA SIMPLES, PVC, SERIE R, ÁGUA PLUVIAL, DN 100 MM, JUNTA ELÁSTICA, FORNECIDO E INSTALADO EM CONDUTORES VERTICAIS DE ÁGUAS PLUVIAIS. AF_12/2014</t>
  </si>
  <si>
    <t>REDUÇÃO EXCÊNTRICA, PVC, SERIE R, ÁGUA PLUVIAL, DN 100 X 75 MM, JUNTA ELÁSTICA, FORNECIDO E INSTALADO EM CONDUTORES VERTICAIS DE ÁGUAS PLUVIAIS. AF_12/2014</t>
  </si>
  <si>
    <t>REDUÇÃO EXCÊNTRICA, PVC, SERIE R, ÁGUA PLUVIAL, DN 150 X 100 MM, JUNTA ELÁSTICA, FORNECIDO E INSTALADO EM CONDUTORES VERTICAIS DE ÁGUAS PLUVIAIS. AF_12/2014</t>
  </si>
  <si>
    <t>JUNÇÃO SIMPLES, PVC, SERIE R, ÁGUA PLUVIAL, DN 75 X 75 MM, JUNTA ELÁSTICA, FORNECIDO E INSTALADO EM CONDUTORES VERTICAIS DE ÁGUAS PLUVIAIS. AF_12/2014</t>
  </si>
  <si>
    <t>TÊ, PVC, SERIE R, ÁGUA PLUVIAL, DN 75 X 75 MM, JUNTA ELÁSTICA, FORNECIDO E INSTALADO EM CONDUTORES VERTICAIS DE ÁGUAS PLUVIAIS. AF_12/2014</t>
  </si>
  <si>
    <t>JUNÇÃO SIMPLES, PVC, SERIE R, ÁGUA PLUVIAL, DN 100 X 100 MM, JUNTA ELÁSTICA, FORNECIDO E INSTALADO EM CONDUTORES VERTICAIS DE ÁGUAS PLUVIAIS. AF_12/2014</t>
  </si>
  <si>
    <t>JUNÇÃO SIMPLES, PVC, SERIE R, ÁGUA PLUVIAL, DN 100 X 75 MM, JUNTA ELÁSTICA, FORNECIDO E INSTALADO EM CONDUTORES VERTICAIS DE ÁGUAS PLUVIAIS. AF_12/2014</t>
  </si>
  <si>
    <t>TÊ, PVC, SERIE R, ÁGUA PLUVIAL, DN 100 X 100 MM, JUNTA ELÁSTICA, FORNECIDO E INSTALADO EM CONDUTORES VERTICAIS DE ÁGUAS PLUVIAIS. AF_12/2014</t>
  </si>
  <si>
    <t>JUNÇÃO SIMPLES, PVC, SERIE R, ÁGUA PLUVIAL, DN 150 X 150 MM, JUNTA ELÁSTICA, FORNECIDO E INSTALADO EM CONDUTORES VERTICAIS DE ÁGUAS PLUVIAIS. AF_12/2014</t>
  </si>
  <si>
    <t>JUNÇÃO SIMPLES, PVC, SERIE R, ÁGUA PLUVIAL, DN 150 X 100 MM, JUNTA ELÁSTICA, FORNECIDO E INSTALADO EM CONDUTORES VERTICAIS DE ÁGUAS PLUVIAIS. AF_12/2014</t>
  </si>
  <si>
    <t>JOELHO 90 GRAUS, PVC, SERIE NORMAL, ESGOTO PREDIAL, DN 40 MM, JUNTA SOLDÁVEL, FORNECIDO E INSTALADO EM RAMAL DE DESCARGA OU RAMAL DE ESGOTO SANITÁRIO. AF_12/2014</t>
  </si>
  <si>
    <t>JOELHO 45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</si>
  <si>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</si>
  <si>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JOELHO 45 GRAUS, PVC, SERIE NORMAL, ESGOTO PREDIAL, DN 50 MM, JUNTA ELÁSTICA, FORNECIDO E INSTALADO EM RAMAL DE DESCARGA OU RAMAL DE ESGOTO SANITÁRIO. AF_12/2014</t>
  </si>
  <si>
    <t>JOELHO 45 GRAUS, PVC, SERIE NORMAL, ESGOTO PREDIAL, DN 75 MM, JUNTA ELÁSTICA, FORNECIDO E INSTALADO EM RAMAL DE DESCARGA OU RAMAL DE ESGOTO SANITÁRIO. AF_12/2014</t>
  </si>
  <si>
    <t>JOELHO 90 GRAUS, PVC, SERIE NORMAL, ESGOTO PREDIAL, DN 100 MM, JUNTA ELÁSTICA, FORNECIDO E INSTALADO EM RAMAL DE DESCARGA OU RAMAL DE ESGOTO SANITÁRIO. AF_12/2014</t>
  </si>
  <si>
    <t>LUVA SIMPLES, PVC, SERIE NORMAL, ESGOTO PREDIAL, DN 50 MM, JUNTA ELÁSTICA, FORNECIDO E INSTALADO EM RAMAL DE DESCARGA OU RAMAL DE ESGOTO SANITÁRIO. AF_12/2014</t>
  </si>
  <si>
    <t>LUVA SIMPLES, PVC, SERIE NORMAL, ESGOTO PREDIAL, DN 75 MM, JUNTA ELÁSTICA, FORNECIDO E INSTALADO EM RAMAL DE DESCARGA OU RAMAL DE ESGOTO SANITÁRIO. AF_12/2014</t>
  </si>
  <si>
    <t>TE, PVC, SERIE NORMAL, ESGOTO PREDIAL, DN 40 X 40 MM, JUNTA SOLDÁVEL, FORNECIDO E INSTALADO EM RAMAL DE DESCARGA OU RAMAL DE ESGOTO SANITÁRIO. AF_12/2014</t>
  </si>
  <si>
    <t>TE, PVC, SERIE NORMAL, ESGOTO PREDIAL, DN 50 X 50 MM, JUNTA ELÁSTICA, FORNECIDO E INSTALADO EM RAMAL DE DESCARGA OU RAMAL DE ESGOTO SANITÁRIO. AF_12/2014</t>
  </si>
  <si>
    <t>JUNÇÃO SIMPLES, PVC, SERIE NORMAL, ESGOTO PREDIAL, DN 50 X 50 MM, JUNTA ELÁSTICA, FORNECIDO E INSTALADO EM RAMAL DE DESCARGA OU RAMAL DE ESGOTO SANITÁRIO. AF_12/2014</t>
  </si>
  <si>
    <t>JOELHO 45 GRAUS, PVC, SERIE NORMAL, ESGOTO PREDIAL, DN 100 MM, JUNTA ELÁSTICA, FORNECIDO E INSTALADO EM PRUMADA DE ESGOTO SANITÁRIO OU VENTILAÇÃO. AF_12/2014</t>
  </si>
  <si>
    <t>LUVA SIMPLES, PVC, SERIE NORMAL, ESGOTO PREDIAL, DN 100 MM, JUNTA ELÁSTICA, FORNECIDO E INSTALADO EM SUBCOLETOR AÉREO DE ESGOTO SANITÁRIO. AF_12/2014</t>
  </si>
  <si>
    <t>LUVA COM BUCHA DE LATÃO, PVC, SOLDÁVEL, DN 25MM X 3/4, INSTALADO EM PRUMADA DE ÁGUA - FORNECIMENTO E INSTALAÇÃO. AF_12/2014</t>
  </si>
  <si>
    <t>COTOVELO 90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</si>
  <si>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</si>
  <si>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ADAPTADOR CURTO COM BOLSA E ROSCA PARA REGISTRO, PVC, SOLDÁVEL, DN 60 MM X 2 ,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</si>
  <si>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</si>
  <si>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</si>
  <si>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</si>
  <si>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CURVA 90 GRAUS, CPVC, SOLDÁVEL, DN 28 MM, INSTALADO EM RESERVAÇÃO DE ÁGUA DE EDIFICAÇÃO QUE POSSUA RESERVATÓRIO DE FIBRA/FIBROCIMENTO 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</si>
  <si>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</si>
  <si>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40 MM X 1 1/4 , INSTALADO EM RESERVAÇÃO DE ÁGUA DE EDIFICAÇÃO QUE POSSUA RESERVATÓRIO DE FIBRA/FIBROCIMENTO   FORNECIMENTO E INSTALAÇÃO. AF_06/2016</t>
  </si>
  <si>
    <t>ADAPTADOR COM FLANGES LIVRES, PVC, SOLDÁVEL LONGO, DN 50 MM X 1 1/2 , INSTALADO EM RESERVAÇÃO DE ÁGUA DE EDIFICAÇÃO QUE POSSUA RESERVATÓRIO DE FIBRA/FIBROCIMENTO   FORNECIMENTO E INSTALAÇÃO. AF_06/2016</t>
  </si>
  <si>
    <t>ADAPTADOR COM FLANGES LIVRES, PVC, SOLDÁVEL LONGO, DN 60 MM X 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</si>
  <si>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</si>
  <si>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LUVA SIMPLES, PVC, SÉRIE NORMAL, ESGOTO PREDIAL, DN 150 MM, JUNTA ELÁSTICA, FORNECIDO E INSTALADO EM SUBCOLETOR AÉREO DE ESGOTO SANITÁRIO. AF_12/2014</t>
  </si>
  <si>
    <t>CAIXA SIFONADA, PVC, DN 150 X 185 X 75 MM, JUNTA ELÁSTICA, FORNECIDA E INSTALADA EM RAMAL DE DESCARGA OU EM RAMAL DE ESGOTO SANITÁRIO. AF_12/2014</t>
  </si>
  <si>
    <t>REATERRO MANUAL DE VALAS COM COMPACTAÇÃO MECANIZADA. AF_04/2016</t>
  </si>
  <si>
    <t>M3XKM</t>
  </si>
  <si>
    <t>CHAPISCO APLICADO EM ALVENARIAS E ESTRUTURAS DE CONCRETO INTERNAS, COM COLHER DE PEDREIRO.  ARGAMASSA TRAÇO 1:3 COM PREPARO MANUAL. AF_06/2014</t>
  </si>
  <si>
    <t>EMBOÇO, PARA RECEBIMENTO DE CERÂMICA, EM ARGAMASSA TRAÇO 1:2:8, PREPARO MANUAL, APLICADO MANUALMENTE EM FACES INTERNAS DE PAREDES, PARA AMBIENTE COM ÁREA  MAIOR QUE 10M2, ESPESSURA DE 20MM, COM EXECUÇÃO DE TALISCAS. AF_06/2014</t>
  </si>
  <si>
    <t>AJUDANTE DE ARMADOR COM ENCARGOS COMPLEMENTARES</t>
  </si>
  <si>
    <t>AJUDANTE DE CARPINTEIRO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</si>
  <si>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</si>
  <si>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</si>
  <si>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</si>
  <si>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</si>
  <si>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</si>
  <si>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MECÂNICO COM ENCARGOS COMPLEMENTARES</t>
  </si>
  <si>
    <t>AUXILIAR DE SERRALHEIRO COM ENCARGOS COMPLEMENTARES</t>
  </si>
  <si>
    <t>AUXILIAR DE TOPÓGRAFO COM ENCARGOS COMPLEMENTARES</t>
  </si>
  <si>
    <t>CALCETEIRO COM ENCARGOS COMPLEMENTARES</t>
  </si>
  <si>
    <t>CARPINTEIRO DE FORMAS COM ENCARGOS COMPLEMENTARES</t>
  </si>
  <si>
    <t>ELETRICISTA COM ENCARGOS COMPLEMENTARES</t>
  </si>
  <si>
    <t>ELETROTÉCNICO COM ENCARGOS COMPLEMENTARES</t>
  </si>
  <si>
    <t>ENCANADOR OU BOMBEIRO HIDRÁULICO COM ENCARGOS COMPLEMENTARES</t>
  </si>
  <si>
    <t>MARMORISTA/GRANITEIRO COM ENCARGOS COMPLEMENTARES</t>
  </si>
  <si>
    <t>MECÃNICO DE EQUIPAMENTOS PESADOS COM ENCARGOS COMPLEMENTARES</t>
  </si>
  <si>
    <t>MONTADOR (TUBO AÇO/EQUIPAMENTOS) COM ENCARGOS COMPLEMENTARES</t>
  </si>
  <si>
    <t>OPERADOR DE MÁQUINAS E EQUIPAMENTOS COM ENCARGOS COMPLEMENTARES</t>
  </si>
  <si>
    <t>OPERADOR DE USINA DE ASFALTO, DE SOLOS OU DE CONCRETO COM ENCARGOS COMPLEMENTARES</t>
  </si>
  <si>
    <t>OPERADOR PARA BATE ESTACAS COM ENCARGOS COMPLEMENTARES</t>
  </si>
  <si>
    <t>PEDREIRO COM ENCARGOS COMPLEMENTARES</t>
  </si>
  <si>
    <t>PINTOR COM ENCARGOS COMPLEMENTARES</t>
  </si>
  <si>
    <t>SERRALHEIRO COM ENCARGOS COMPLEMENTARES</t>
  </si>
  <si>
    <t>SERVENTE COM ENCARGOS COMPLEMENTARES</t>
  </si>
  <si>
    <t>SOLDADOR COM ENCARGOS COMPLEMENTARES</t>
  </si>
  <si>
    <t>VIDRACEIRO COM ENCARGOS COMPLEMENTARES</t>
  </si>
  <si>
    <t>VIGIA NOTURNO COM ENCARGOS COMPLEMENTARES</t>
  </si>
  <si>
    <t>OPERADOR DE BETONEIRA ESTACIONÁRIA/MISTURADOR COM ENCARGOS COMPLEMENTARES</t>
  </si>
  <si>
    <t>JARDINEIRO COM ENCARGOS COMPLEMENTARES</t>
  </si>
  <si>
    <t>ALMOXARIFE COM ENCARGOS COMPLEMENTARES</t>
  </si>
  <si>
    <t>AUXILIAR DE ESCRITORIO COM ENCARGOS COMPLEMENTARES</t>
  </si>
  <si>
    <t>ENCARREGADO GERAL COM ENCARGOS COMPLEMENTARES</t>
  </si>
  <si>
    <t>ENGENHEIRO CIVIL DE OBRA PLENO COM ENCARGOS COMPLEMENTARES</t>
  </si>
  <si>
    <t>MESTRE DE OBRAS COM ENCARGOS COMPLEMENTARES</t>
  </si>
  <si>
    <t>TOPOGRAFO COM ENCARGOS COMPLEMENTARES</t>
  </si>
  <si>
    <t>ENCARREGADO GERAL DE OBRAS COM ENCARGOS COMPLEMENTARES</t>
  </si>
  <si>
    <t>ITEM</t>
  </si>
  <si>
    <t>LUCRO</t>
  </si>
  <si>
    <t>ADMINISTRAÇÃO LOCAL DA OBRA</t>
  </si>
  <si>
    <t>%</t>
  </si>
  <si>
    <t>ORÇAMENTO SINTÉTICO GLOBAL</t>
  </si>
  <si>
    <t>DESCRIÇÃO</t>
  </si>
  <si>
    <t>R$</t>
  </si>
  <si>
    <t>SERVIÇOS PRELIMINARES</t>
  </si>
  <si>
    <t>PAREDES E PAINEIS</t>
  </si>
  <si>
    <t>ESQUADRIAS</t>
  </si>
  <si>
    <t>MADEIRA</t>
  </si>
  <si>
    <t>REVESTIMENTOS</t>
  </si>
  <si>
    <t>PINTURA</t>
  </si>
  <si>
    <t>TOTAL</t>
  </si>
  <si>
    <t>PISOS</t>
  </si>
  <si>
    <t>REMOÇÃO DE PORTAS, DE FORMA MANUAL, SEM REAPROVEITAMENTO. AF_12/2017</t>
  </si>
  <si>
    <t>REMOÇÃO DE LOUÇAS, DE FORMA MANUAL, SEM REAPROVEITAMENTO. AF_12/2017</t>
  </si>
  <si>
    <t>ARMAÇÃO DE PILAR OU VIGA DE UMA ESTRUTURA CONVENCIONAL DE CONCRETO ARMADO EM UM EDIFÍCIO DE MÚLTIPLOS PAVIMENTOS UTILIZANDO AÇO CA-60 DE 5,0 MM - MONTAGEM. AF_12/2015</t>
  </si>
  <si>
    <t>ARMAÇÃO DE PILAR OU VIGA DE UMA ESTRUTURA CONVENCIONAL DE CONCRETO ARMADO EM UMA EDIFICAÇÃO TÉRREA OU SOBRADO UTILIZANDO AÇO CA-50 DE 6,3 MM - MONTAGEM. AF_12/2015</t>
  </si>
  <si>
    <t>ARMAÇÃO DE PILAR OU VIGA DE UMA ESTRUTURA CONVENCIONAL DE CONCRETO ARMADO EM UMA EDIFICAÇÃO TÉRREA OU SOBRADO UTILIZANDO AÇO CA-50 DE 8,0 MM - MONTAGEM. AF_12/2015</t>
  </si>
  <si>
    <t>ARMAÇÃO DE PILAR OU VIGA DE UMA ESTRUTURA CONVENCIONAL DE CONCRETO ARMADO EM UMA EDIFICAÇÃO TÉRREA OU SOBRADO UTILIZANDO AÇO CA-50 DE 10,0 MM - MONTAGEM. AF_12/2015</t>
  </si>
  <si>
    <t>ARMAÇÃO DE PILAR OU VIGA DE UMA ESTRUTURA CONVENCIONAL DE CONCRETO ARMADO EM UMA EDIFICAÇÃO TÉRREA OU SOBRADO UTILIZANDO AÇO CA-50 DE 12,5 MM - MONTAGEM. AF_12/2015</t>
  </si>
  <si>
    <t>ARMAÇÃO DE PILAR OU VIGA DE UMA ESTRUTURA CONVENCIONAL DE CONCRETO ARMADO EM UMA EDIFICAÇÃO TÉRREA OU SOBRADO UTILIZANDO AÇO CA-50 DE 16,0 MM - MONTAGEM. AF_12/2015</t>
  </si>
  <si>
    <t>ARMAÇÃO DE PILAR OU VIGA DE UMA ESTRUTURA CONVENCIONAL DE CONCRETO ARMADO EM UMA EDIFICAÇÃO TÉRREA OU SOBRADO UTILIZANDO AÇO CA-50 DE 20,0 MM - MONTAGEM. AF_12/2015</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</si>
  <si>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</si>
  <si>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</si>
  <si>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</si>
  <si>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</si>
  <si>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</si>
  <si>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</si>
  <si>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EXECUÇÃO DE RESERVATÓRIO ELEVADO DE ÁGUA (2000 LITROS) EM CANTEIRO DE OBRA, APOIADO EM ESTRUTURA DE MADEIRA. AF_02/2016</t>
  </si>
  <si>
    <t>TAPUME COM TELHA METÁLICA. AF_05/2018</t>
  </si>
  <si>
    <t>ESTACA METÁLICA PARA FUNDAÇÃO, UTILIZANDO PERFIL LAMINADO HP310X79 (EXCLUSIVE MOBILIZAÇÃO E DESMOBILIZAÇÃO). AF_01/2020</t>
  </si>
  <si>
    <t>LASTRO DE CONCRETO MAGRO, APLICADO EM BLOCOS DE COROAMENTO OU SAPATAS. AF_08/2017</t>
  </si>
  <si>
    <t>ELETRODUTO FLEXÍVEL CORRUGADO REFORÇADO, PVC, DN 25 MM (3/4"), PARA CIRCUITOS TERMINAIS, INSTALADO EM FORRO - FORNECIMENTO E INSTALAÇÃO. AF_12/2015</t>
  </si>
  <si>
    <t>ELETRODUTO FLEXÍVEL CORRUGADO REFORÇADO, PVC, DN 32 MM (1"), PARA CIRCUITOS TERMINAIS, INSTALADO EM FORRO - FORNECIMENTO E INSTALAÇÃO. AF_12/2015</t>
  </si>
  <si>
    <t>HASTE DE ATERRAMENTO 5/8  PARA SPDA - FORNECIMENTO E INSTALAÇÃO. AF_12/2017</t>
  </si>
  <si>
    <t>CAPTOR TIPO FRANKLIN PARA SPDA - FORNECIMENTO E INSTALAÇÃO. AF_12/2017</t>
  </si>
  <si>
    <t>TUBO, PPR, DN 110, CLASSE PN 25,  INSTALADO EM PRUMADA DE ÁGUA  FORNECIMENTO E INSTALAÇÃO. AF_06/2015</t>
  </si>
  <si>
    <t>TUBO EM COBRE RÍGIDO, DN 15 MM, CLASSE A, SEM ISOLAMENTO, INSTALADO EM RAMAL DE DISTRIBUIÇÃO  FORNECIMENTO E INSTALAÇÃO. AF_12/2015</t>
  </si>
  <si>
    <t>TUBO EM COBRE RÍGIDO, DN 22 MM, CLASSE A, SEM ISOLAMENTO, INSTALADO EM RAMAL DE DISTRIBUIÇÃO FORNECIMENTO E INSTALAÇÃO. AF_12/2015</t>
  </si>
  <si>
    <t>TUBO EM COBRE RÍGIDO, DN 28 MM, CLASSE A, SEM ISOLAMENTO, INSTALADO EM RAMAL DE DISTRIBUIÇÃO FORNECIMENTO E INSTALAÇÃO. AF_12/2015</t>
  </si>
  <si>
    <t>TE EM COBRE, DN 28 MM, SEM ANEL DE SOLDA, INSTALADO EM PRUMADA  FORNECIMENTO E INSTALAÇÃO. AF_12/2015</t>
  </si>
  <si>
    <t>COTOVELO EM COBRE, DN 15 MM, 90 GRAUS, SEM ANEL DE SOLDA, INSTALADO EM RAMAL DE DISTRIBUIÇÃO  FORNECIMENTO E INSTALAÇÃO. AF_12/2015</t>
  </si>
  <si>
    <t>BUCHA DE REDUÇÃO EM COBRE, DN 35 MM X 28 MM, SEM ANEL DE SOLDA, PONTA X BOLSA, INSTALADO EM PRUMADA  FORNECIMENTO E INSTALAÇÃO. AF_01/2016</t>
  </si>
  <si>
    <t>BUCHA DE REDUÇÃO EM COBRE, DN 28 MM X 22 MM, SEM ANEL DE SOLDA, INSTALADO EM RAMAL DE DISTRIBUIÇÃO  FORNECIMENTO E INSTALAÇÃO. AF_01/2016</t>
  </si>
  <si>
    <t>BUCHA DE REDUÇÃO EM COBRE, DN 22 MM X 15 MM, SEM ANEL DE SOLDA, PONTA X BOLSA, INSTALADO EM RAMAL E SUB-RAMAL  FORNECIMENTO E INSTALAÇÃO. AF_01/2016</t>
  </si>
  <si>
    <t>BUCHA DE REDUÇÃO, PPR, 40 X 25, CLASSE PN 25, INSTALADO EM RAMAL DE DISTRIBUIÇÃO DE ÁGUA  FORNECIMENTO E INSTALAÇÃO . AF_06/2015</t>
  </si>
  <si>
    <t>JOELHO 90 GRAUS, PPR, DN 110 MM, CLASSE PN 25, INSTALADO EM PRUMADA DE ÁGUA  FORNECIMENTO E INSTALAÇÃO . AF_06/2015</t>
  </si>
  <si>
    <t>BUCHA DE REDUÇÃO, PPR, 32 X 25, CLASSE PN 25, INSTALADO EM PRUMADA DE ÁGUA  FORNECIMENTO E INSTALAÇÃO . AF_06/2015</t>
  </si>
  <si>
    <t>VÁLVULA EM METAL CROMADO 1.1/2 X 1.1/2 PARA TANQUE OU LAVATÓRIO, COM OU SEM LADRÃO - FORNECIMENTO E INSTALAÇÃO. AF_01/2020</t>
  </si>
  <si>
    <t>SIFÃO DO TIPO GARRAFA EM METAL CROMADO 1 X 1.1/2 - FORNECIMENTO E INSTALAÇÃO. AF_01/2020</t>
  </si>
  <si>
    <t>TORNEIRA CROMADA 1/2 OU 3/4 PARA TANQUE, PADRÃO MÉDIO - FORNECIMENTO E INSTALAÇÃO. AF_01/2020</t>
  </si>
  <si>
    <t>VASO SANITÁRIO SIFONADO COM CAIXA ACOPLADA LOUÇA BRANCA - PADRÃO MÉDIO, INCLUSO ENGATE FLEXÍVEL EM METAL CROMADO, 1/2  X 40CM - FORNECIMENTO E INSTALAÇÃO. AF_01/2020</t>
  </si>
  <si>
    <t>TORNEIRA CROMADA DE MESA PARA LAVATÓRIO COM SENSOR DE PRESENCA. AF_01/2020</t>
  </si>
  <si>
    <t>BARRA DE APOIO LATERAL ARTICULADA, COM TRAVA, EM ACO INOX POLIDO, FIXADA NA PAREDE - FORNECIMENTO E INSTALAÇÃO. AF_01/2020</t>
  </si>
  <si>
    <t>BARRA DE APOIO RETA, EM ACO INOX POLIDO, COMPRIMENTO 80 CM,  FIXADA NA PAREDE - FORNECIMENTO E INSTALAÇÃO. AF_01/2020</t>
  </si>
  <si>
    <t>REGULARIZAÇÃO E COMPACTAÇÃO DE SUBLEITO DE SOLO  PREDOMINANTEMENTE ARGILOSO. AF_11/2019</t>
  </si>
  <si>
    <t>PINTURA COM TINTA ALQUÍDICA DE ACABAMENTO (ESMALTE SINTÉTICO ACETINADO) APLICADA A ROLO OU PINCEL SOBRE SUPERFÍCIES METÁLICAS (EXCETO PERFIL) EXECUTADO EM OBRA (02 DEMÃOS). AF_01/2020</t>
  </si>
  <si>
    <t>ARGAMASSA TRAÇO 1:3:12 (EM VOLUME DE CIMENTO, CAL E AREIA MÉDIA ÚMIDA) PARA EMBOÇO/MASSA ÚNICA/ASSENTAMENTO DE ALVENARIA DE VEDAÇÃO, PREPARO MECÂNICO COM BETONEIRA 600 L. AF_08/2019</t>
  </si>
  <si>
    <t>ARGAMASSA TRAÇO 1:3 (EM VOLUME DE CIMENTO E AREIA MÉDIA ÚMIDA), PREPARO MANUAL. AF_08/2019</t>
  </si>
  <si>
    <t>DEMOLIÇÃO DE ALVENARIA PARA QUALQUER TIPO DE BLOCO, DE FORMA MECANIZADA, SEM REAPROVEITAMENTO. AF_12/2017</t>
  </si>
  <si>
    <t>DEMOLIÇÃO DE PILARES E VIGAS EM CONCRETO ARMADO, DE FORMA MECANIZADA COM MARTELETE, SEM REAPROVEITAMENTO. AF_12/2017</t>
  </si>
  <si>
    <t>REMOÇÃO DE JANELAS, DE FORMA MANUAL, SEM REAPROVEITAMENTO. AF_12/2017</t>
  </si>
  <si>
    <t>REMOÇÃO DE TELHAS DE FIBROCIMENTO, METÁLICA E CERÂMICA, DE FORMA MECANIZADA, COM USO DE GUINDASTE, SEM REAPROVEITAMENTO. AF_12/2017</t>
  </si>
  <si>
    <t>REMOÇÃO DE TRAMA METÁLICA PARA COBERTURA, DE FORMA MANUAL, SEM REAPROVEITAMENTO. AF_12/2017</t>
  </si>
  <si>
    <t>LOCACAO CONVENCIONAL DE OBRA, UTILIZANDO GABARITO DE TÁBUAS CORRIDAS PONTALETADAS A CADA 2,00M -  2 UTILIZAÇÕES. AF_10/2018</t>
  </si>
  <si>
    <t>VIGIA DIURNO COM ENCARGOS COMPLEMENTARES</t>
  </si>
  <si>
    <t>TÉCNICO EM SEGURANÇA DO TRABALHO COM ENCARGOS COMPLEMENTARES</t>
  </si>
  <si>
    <t>TECNICO DE EDIFICACOES COM ENCARGOS COMPLEMENTARES</t>
  </si>
  <si>
    <t>ABRACADEIRA DE NYLON PARA AMARRACAO DE CABOS, COMPRIMENTO DE 100 X 2,5 MM</t>
  </si>
  <si>
    <t>ACO CA-25, 25,0 MM, BARRA DE TRANSFERENCIA</t>
  </si>
  <si>
    <t>ADAPTADOR, EM LATAO, ENGATE RAPIDO1 1/2" X ROSCA INTERNA 5 FIOS 2 1/2",  PARA INSTALACAO PREDIAL DE COMBATE A INCENDIO</t>
  </si>
  <si>
    <t>ADITIVO PLASTIFICANTE RETARDADOR DE PEGA E REDUTOR DE AGUA PARA CONCRETO, LIQUIDO E ISENTO DE CLORETOS</t>
  </si>
  <si>
    <t>ANEL BORRACHA PARA TUBO ESGOTO PREDIAL, DN 100 MM (NBR 5688)</t>
  </si>
  <si>
    <t>ANEL BORRACHA, DN 150 MM, PARA TUBO SERIE REFORCADA ESGOTO PREDIAL</t>
  </si>
  <si>
    <t>ARAME GALVANIZADO 12 BWG, D = 2,76 MM (0,048 KG/M) OU 14 BWG, D = 2,11 MM (0,026 KG/M)</t>
  </si>
  <si>
    <t>ARAME RECOZIDO 16 BWG, D = 1,65 MM (0,016 KG/M) OU 18 BWG, D = 1,25 MM (0,01 KG/M)</t>
  </si>
  <si>
    <t>AREIA GROSSA - POSTO JAZIDA/FORNECEDOR (RETIRADO NA JAZIDA, SEM TRANSPORTE)</t>
  </si>
  <si>
    <t>AREIA MEDIA - POSTO JAZIDA/FORNECEDOR (RETIRADO NA JAZIDA, SEM TRANSPORTE)</t>
  </si>
  <si>
    <t>ARGAMASSA COLANTE TIPO AC III</t>
  </si>
  <si>
    <t>BUCHA DE NYLON SEM ABA S10, COM PARAFUSO DE 6,10 X 65 MM EM ACO ZINCADO COM ROSCA SOBERBA, CABECA CHATA E FENDA PHILLIPS</t>
  </si>
  <si>
    <t>BUCHA DE NYLON SEM ABA S6, COM PARAFUSO DE 4,20 X 40 MM EM ACO ZINCADO COM ROSCA SOBERBA, CABECA CHATA E FENDA PHILLIPS</t>
  </si>
  <si>
    <t>BUCHA DE NYLON, DIAMETRO DO FURO 8 MM, COMPRIMENTO 40 MM, COM PARAFUSO DE ROSCA SOBERBA, CABECA CHATA, FENDA SIMPLES, 4,8 X 50 MM</t>
  </si>
  <si>
    <t>BUCHA DE REDUCAO DE COBRE (REF 600-2) SEM ANEL DE SOLDA, PONTA X BOLSA, 22 X 15 MM</t>
  </si>
  <si>
    <t>BUCHA DE REDUCAO DE COBRE (REF 600-2) SEM ANEL DE SOLDA, PONTA X BOLSA, 28 X 22 MM</t>
  </si>
  <si>
    <t>BUCHA DE REDUCAO DE COBRE (REF 600-2) SEM ANEL DE SOLDA, PONTA X BOLSA, 35 X 28 MM</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</si>
  <si>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</si>
  <si>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</si>
  <si>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CAL HIDRATADA CH-I PARA ARGAMASSAS</t>
  </si>
  <si>
    <t>CHAVE DUPLA PARA CONEXOES TIPO STORZ, ENGATE RAPIDO 1 1/2" X 2 1/2", EM LATAO, PARA INSTALACAO PREDIAL COMBATE A INCENDIO</t>
  </si>
  <si>
    <t>CIMENTO PORTLAND COMPOSTO CP II-32</t>
  </si>
  <si>
    <t>CONCRETO USINADO BOMBEAVEL, CLASSE DE RESISTENCIA C20, COM BRITA 0 E 1, SLUMP = 100 +/- 20 MM, EXCLUI SERVICO DE BOMBEAMENTO (NBR 8953)</t>
  </si>
  <si>
    <t>CONDULETE DE ALUMINIO TIPO LR, PARA ELETRODUTO ROSCAVEL DE 1", COM TAMPA CEGA</t>
  </si>
  <si>
    <t>CONDULETE DE ALUMINIO TIPO LR, PARA ELETRODUTO ROSCAVEL DE 3/4", COM TAMPA CEGA</t>
  </si>
  <si>
    <t>CORRENTE DE ELO CURTO COMUM, SOLDADA, GALVANIZADA, ESPESSURA DO ELO = 1/2" (12,5 MM)</t>
  </si>
  <si>
    <t>COTOVELO DE COBRE 90 GRAUS (REF 607) SEM ANEL DE SOLDA, BOLSA X BOLSA, 28 MM</t>
  </si>
  <si>
    <t>DESMOLDANTE PROTETOR PARA FORMAS DE MADEIRA, DE BASE OLEOSA EMULSIONADA EM AGUA</t>
  </si>
  <si>
    <t>ELETRODUTO DE PVC RIGIDO ROSCAVEL DE 1/2 ", SEM LUVA</t>
  </si>
  <si>
    <t>ELETRODUTO/DUTO PEAD FLEXIVEL PAREDE SIMPLES, CORRUGACAO HELICOIDAL, COR PRETA, SEM ROSCA, DE 2",  PARA CABEAMENTO SUBTERRANEO (NBR 15715)</t>
  </si>
  <si>
    <t>ESGUICHO JATO REGULAVEL, TIPO ELKHART, ENGATE RAPIDO 1 1/2", PARA COMBATE A INCENDIO</t>
  </si>
  <si>
    <t>FITA DE PAPEL REFORCADA COM LAMINA DE METAL PARA REFORCO DE CANTOS DE CHAPA DE GESSO PARA DRYWALL</t>
  </si>
  <si>
    <t>FITA VEDA ROSCA EM ROLOS DE 18 MM X 50 M (L X C)</t>
  </si>
  <si>
    <t>GRAMA ESMERALDA OU SAO CARLOS OU CURITIBANA, EM PLACAS, SEM PLANTIO</t>
  </si>
  <si>
    <t>GRANITO PARA BANCADA, POLIDO, TIPO ANDORINHA/ QUARTZ/ CASTELO/ CORUMBA OU OUTROS EQUIVALENTES DA REGIAO, E=  *2,5* CM</t>
  </si>
  <si>
    <t>GRELHA FOFO SIMPLES COM REQUADRO, CARGA MAXIMA 1,5 T, 200 X 1000 MM, E= *15* MM</t>
  </si>
  <si>
    <t>LIXA D'AGUA EM FOLHA, GRAO 100</t>
  </si>
  <si>
    <t>MANGUEIRA DE INCENDIO, TIPO 2, DE 2 1/2", COMPRIMENTO = 30 M, TECIDO EM FIO DE POLIESTER E TUBO INTERNO EM BORRACHA SINTETICA, COM UNIOES ENGATE RAPIDO</t>
  </si>
  <si>
    <t>MASSA PLASTICA PARA MARMORE/GRANITO</t>
  </si>
  <si>
    <t>PASTA PARA SOLDA DE TUBOS E CONEXOES DE COBRE (EMBALAGEM COM 250 G)</t>
  </si>
  <si>
    <t>PEDRA BRITADA N. 0, OU PEDRISCO (4,8 A 9,5 MM) POSTO PEDREIRA/FORNECEDOR, SEM FRETE</t>
  </si>
  <si>
    <t>PEDRA BRITADA N. 1 (9,5 a 19 MM) POSTO PEDREIRA/FORNECEDOR, SEM FRETE</t>
  </si>
  <si>
    <t>PERFIL DE ALUMINIO ANODIZADO</t>
  </si>
  <si>
    <t>PORCA ZINCADA, SEXTAVADA, DIAMETRO 1/4"</t>
  </si>
  <si>
    <t>PREGO DE ACO POLIDO COM CABECA 17 X 21 (2 X 11)</t>
  </si>
  <si>
    <t>PREGO DE ACO POLIDO COM CABECA 18 X 27 (2 1/2 X 10)</t>
  </si>
  <si>
    <t>REGISTRO OU VALVULA GLOBO ANGULAR EM LATAO, PARA HIDRANTES EM INSTALACAO PREDIAL DE INCENDIO, 45 GRAUS, DIAMETRO DE 2 1/2", COM VOLANTE, CLASSE DE PRESSAO DE ATE 200 PSI</t>
  </si>
  <si>
    <t>REJUNTE CIMENTICIO, QUALQUER COR</t>
  </si>
  <si>
    <t>REJUNTE EPOXI, QUALQUER COR</t>
  </si>
  <si>
    <t>SILICONE ACETICO USO GERAL INCOLOR 280 G</t>
  </si>
  <si>
    <t>SOLDA ESTANHO/COBRE PARA CONEXOES DE COBRE, FIO 2,5 MM, CARRETEL 500 GR (SEM CHUMBO)</t>
  </si>
  <si>
    <t>SUPORTE MAO-FRANCESA EM ACO, ABAS IGUAIS 30 CM, CAPACIDADE MINIMA 60 KG, BRANCO</t>
  </si>
  <si>
    <t>TE DE REDUCAO, PVC, SOLDAVEL, 90 GRAUS, 50 MM X 25 MM, PARA AGUA FRIA PREDIAL</t>
  </si>
  <si>
    <t>TERRA VEGETAL (GRANEL)</t>
  </si>
  <si>
    <t>TIJOLO CERAMICO MACICO COMUM *5 X 10 X 20* CM (L X A X C)</t>
  </si>
  <si>
    <t>TINTA ESMALTE SINTETICO PREMIUM ACETINADO</t>
  </si>
  <si>
    <t>TOMADA 2P+T 10A, 250V  (APENAS MODULO)</t>
  </si>
  <si>
    <t>TOMADA 2P+T 20A, 250V  (APENAS MODULO)</t>
  </si>
  <si>
    <t>TRELICA NERVURADA (ESPACADOR), ALTURA = 120,0 MM, DIAMETRO DOS BANZOS INFERIORES E SUPERIOR = 6,0 MM, DIAMETRO DA DIAGONAL = 4,2 MM</t>
  </si>
  <si>
    <t>TUBO COLETOR DE ESGOTO PVC, JEI, DN 250 MM (NBR 7362)</t>
  </si>
  <si>
    <t>TUBO COLETOR DE ESGOTO PVC, JEI, DN 300 MM (NBR 7362)</t>
  </si>
  <si>
    <t>VERGALHAO ZINCADO ROSCA TOTAL, 1/4 " (6,3 MM)</t>
  </si>
  <si>
    <t>VIDRO TEMPERADO INCOLOR E = 8 MM, SEM COLOCACAO</t>
  </si>
  <si>
    <t>TRANSPORTE COM CAMINHÃO BASCULANTE DE 10 M³, EM VIA URBANA PAVIMENTADA, ADICIONAL PARA DMT EXCEDENTE A 30 KM (UNIDADE: M3XKM). AF_07/2020</t>
  </si>
  <si>
    <t>TRANSPORTE COM CAMINHÃO BASCULANTE DE 10 M³, EM VIA URBANA PAVIMENTADA, DMT ATÉ 30 KM (UNIDADE: M3XKM). AF_07/2020</t>
  </si>
  <si>
    <t>CARGA, MANOBRA E DESCARGA DE ENTULHO EM CAMINHÃO BASCULANTE 6 M³ - CARGA COM ESCAVADEIRA HIDRÁULICA  (CAÇAMBA DE 0,80 M³ / 111 HP) E DESCARGA LIVRE (UNIDADE: M3). AF_07/2020</t>
  </si>
  <si>
    <t>AJUDANTE DE ELETRICISTA COM ENCARGOS COMPLEMENTARES</t>
  </si>
  <si>
    <t>AUXILIAR TÉCNICO / ASSISTENTE DE ENGENHARIA COM ENCARGOS COMPLEMENTARES</t>
  </si>
  <si>
    <t>AR CONDICIONADO</t>
  </si>
  <si>
    <t>ACESSÓRIOS</t>
  </si>
  <si>
    <t>COTAÇÕES</t>
  </si>
  <si>
    <t>DESPESAS FINANCEIRAS</t>
  </si>
  <si>
    <t>ADMINISTRAÇÃO CENTRAL</t>
  </si>
  <si>
    <t>ISS</t>
  </si>
  <si>
    <t>ARRUELA LISA, REDONDA, DE LATAO POLIDO, DIAMETRO NOMINAL 5/8", DIAMETRO EXTERNO = 34 MM, DIAMETRO DO FURO = 17 MM, ESPESSURA = *2,5* MM</t>
  </si>
  <si>
    <t>LONA PLASTICA PESADA PRETA, E = 150 MICRA</t>
  </si>
  <si>
    <t>PONTALETE *7,5 X 7,5* CM EM PINUS, MISTA OU EQUIVALENTE DA REGIAO - BRUTA</t>
  </si>
  <si>
    <t>SARRAFO *2,5 X 7,5* CM EM PINUS, MISTA OU EQUIVALENTE DA REGIAO - BRUTA</t>
  </si>
  <si>
    <t>TABUA *2,5 X 23* CM EM PINUS, MISTA OU EQUIVALENTE DA REGIAO - BRUTA</t>
  </si>
  <si>
    <t>TABUA NAO APARELHADA *2,5 X 30* CM, EM MACARANDUBA, ANGELIM OU EQUIVALENTE DA REGIAO - BRUTA</t>
  </si>
  <si>
    <t>TUBO DE PVC PARA REDE COLETORA DE ESGOTO DE PAREDE MACIÇA, DN 200 MM, JUNTA ELÁSTICA - FORNECIMENTO E ASSENTAMENTO. AF_01/2021</t>
  </si>
  <si>
    <t>ASSENTAMENTO DE TUBO DE PVC PARA REDE COLETORA DE ESGOTO DE PAREDE MACIÇA, DN 200 MM, JUNTA ELÁSTICA (NÃO INCLUI FORNECIMENTO). AF_01/2021</t>
  </si>
  <si>
    <t>ARRASAMENTO MECANICO DE ESTACA DE CONCRETO ARMADO, DIAMETROS DE 41 CM A 60 CM. AF_05/2021</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</si>
  <si>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</si>
  <si>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</si>
  <si>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</si>
  <si>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</si>
  <si>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</si>
  <si>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32A - FORNECIMENTO E INSTALAÇÃO. AF_10/2020</t>
  </si>
  <si>
    <t>DISJUNTOR BIPOLAR TIPO DIN, CORRENTE NOMINAL DE 40A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</si>
  <si>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</si>
  <si>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</si>
  <si>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</si>
  <si>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</si>
  <si>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</si>
  <si>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</si>
  <si>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</si>
  <si>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</si>
  <si>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</si>
  <si>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</si>
  <si>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</si>
  <si>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250A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</si>
  <si>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</si>
  <si>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</si>
  <si>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NIPLE, EM FERRO GALVANIZADO, CONEXÃO ROSQUEADA, DN 15 (1/2"), INSTALADO EM RAMAIS E SUB-RAMAIS DE GÁS - FORNECIMENTO E INSTALAÇÃO. AF_10/2020</t>
  </si>
  <si>
    <t>CURVA 90 GRAUS, EM AÇO, CONEXÃO SOLDADA, DN 20 (3/4"), INSTALADO EM RAMAIS E SUB-RAMAIS DE GÁS - FORNECIMENTO E INSTALAÇÃO. AF_10/2020</t>
  </si>
  <si>
    <t>CURVA 90 GRAUS, EM AÇO, CONEXÃO SOLDADA, DN 25 (1"), INSTALADO EM RAMAIS E SUB-RAMAIS DE GÁS - FORNECIMENTO E INSTALAÇÃO. AF_10/2020</t>
  </si>
  <si>
    <t>CAIXA D´ÁGUA EM POLIÉSTER REFORÇADO COM FIBRA DE VIDRO, 1000 LITROS - FORNECIMENTO E INSTALAÇÃO. AF_06/2021</t>
  </si>
  <si>
    <t>CAIXA D´ÁGUA EM POLIÉSTER REFORÇADO COM FIBRA DE VIDRO, 5000 LITROS - FORNECIMENTO E INSTALAÇÃO. AF_06/2021</t>
  </si>
  <si>
    <t>KIT CAVALETE PARA MEDIÇÃO DE ÁGUA - ENTRADA PRINCIPAL, EM AÇO GALVANIZADO DN 25 (1 )   FORNECIMENTO E INSTALAÇÃO (EXCLUSIVE HIDRÔMETRO). AF_11/2016</t>
  </si>
  <si>
    <t>ESCAVAÇÃO HORIZONTAL, INCLUINDO CARGA E DESCARGA EM SOLO DE 1A CATEGORIA COM TRATOR DE ESTEIRAS (100HP/LÂMINA: 2,19M3). AF_07/2020</t>
  </si>
  <si>
    <t>PINTURA HIDROFUGANTE COM SILICONE, APLICAÇÃO MANUAL, 2 DEMÃOS. AF_05/2021</t>
  </si>
  <si>
    <t>ÁGUAS PLUVIAIS</t>
  </si>
  <si>
    <t>ACESSIBILIDADE</t>
  </si>
  <si>
    <t>IMPERMEABILIZAÇÃO</t>
  </si>
  <si>
    <t>PASTA LUBRIFICANTE PARA TUBOS E CONEXOES COM JUNTA ELASTICA, EMBALAGEM DE *400* GR (USO EM PVC, ACO, POLIETILENO E OUTROS)</t>
  </si>
  <si>
    <t>ENCHIMENTO DE AREIA PARA DRENO, LANÇAMENTO MANUAL. AF_07/2021</t>
  </si>
  <si>
    <t>CONCRETAGEM DE RADIER, PISO DE CONCRETO OU LAJE SOBRE SOLO, FCK 30 MPA - LANÇAMENTO, ADENSAMENTO E ACABAMENTO. AF_09/2021</t>
  </si>
  <si>
    <t>GRAUTE FGK=30 MPA; TRAÇO 1:0,9:1,2:0,6 (EM MASSA SECA DE CIMENTO/ AREIA GROSSA/ BRITA 0/ ADITIVO) - PREPARO MECÂNICO COM BETONEIRA 400 L. AF_09/2021</t>
  </si>
  <si>
    <t>ADESIVO PLASTICO PARA PVC, FRASCO COM *850* GR</t>
  </si>
  <si>
    <t>SOLUCAO PREPARADORA / LIMPADORA PARA PVC, FRASCO COM 1000 CM3</t>
  </si>
  <si>
    <t>ANEL DE VEDACAO, PVC FLEXIVEL, 100 MM, PARA SAIDA DE BACIA / VASO SANITARIO</t>
  </si>
  <si>
    <t>REGISTRO DE PRESSÃO BRUTO, LATÃO, ROSCÁVEL, 3/4", COM ACABAMENTO E CANOPLA CROMADOS - FORNECIMENTO E INSTALAÇÃO. AF_08/2021</t>
  </si>
  <si>
    <t>REGISTRO DE GAVETA BRUTO, LATÃO, ROSCÁVEL, 3/4", COM ACABAMENTO E CANOPLA CROMADOS - FORNECIMENTO E INSTALAÇÃO. AF_08/2021</t>
  </si>
  <si>
    <t>REGISTRO DE GAVETA BRUTO, LATÃO, ROSCÁVEL, 2 1/2" - FORNECIMENTO E INSTALAÇÃO. AF_08/2021</t>
  </si>
  <si>
    <t>REGISTRO DE GAVETA BRUTO, LATÃO, ROSCÁVEL, 3" - FORNECIMENTO E INSTALAÇÃO. AF_08/2021</t>
  </si>
  <si>
    <t>REGISTRO DE GAVETA BRUTO, LATÃO, ROSCÁVEL, 1", COM ACABAMENTO E CANOPLA CROMADOS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</si>
  <si>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</si>
  <si>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</si>
  <si>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</si>
  <si>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</si>
  <si>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</si>
  <si>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1 1/2"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</si>
  <si>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</si>
  <si>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</si>
  <si>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DE BRONZE, PÉ COM CRIVOS, ROSCÁVEL, 1 1/4" - FORNECIMENTO E INSTALAÇÃO. AF_08/2021</t>
  </si>
  <si>
    <t>VÁLVULA DE RETENÇÃO, DE BRONZE, PÉ COM CRIVOS, ROSCÁVEL, 3" - FORNECIMENTO E INSTALAÇÃO. AF_08/2021</t>
  </si>
  <si>
    <t>REGISTRO OU VÁLVULA GLOBO ANGULAR EM LATÃO, PARA HIDRANTES EM INSTALAÇÃO PREDIAL DE INCÊNDIO, 45 GRAUS, 2 1/2" - FORNECIMENTO E INSTALAÇÃO. AF_08/2021</t>
  </si>
  <si>
    <t>ESCAVAÇÃO MANUAL PARA BLOCO DE COROAMENTO OU SAPATA (INCLUINDO ESCAVAÇÃO PARA COLOCAÇÃO DE FÔRMAS). AF_06/2017</t>
  </si>
  <si>
    <t>TINTA LATEX ACRILICA PREMIUM, COR BRANCO FOSCO</t>
  </si>
  <si>
    <t>DILUENTE AGUARRAS</t>
  </si>
  <si>
    <t>B</t>
  </si>
  <si>
    <t>ADMINISTRAÇÃO, CANTEIRO DE OBRAS E LOGÍSTICA</t>
  </si>
  <si>
    <t>CUSTOS</t>
  </si>
  <si>
    <t>BANCADAS E PRATELEIRAS</t>
  </si>
  <si>
    <t>LOUÇAS E METAIS</t>
  </si>
  <si>
    <t>IMPLANTAÇÃO E MANUTENÇÃO DO CANTEIRO DE OBRAS</t>
  </si>
  <si>
    <t>DESPESAS GERAIS DE MANUTENCAO CANTEIRO DE OBRAS</t>
  </si>
  <si>
    <t>MÁQUINAS, EQUIPAMENTOS E VEÍCULOS</t>
  </si>
  <si>
    <t>ARQUITETURA</t>
  </si>
  <si>
    <t>CJ</t>
  </si>
  <si>
    <t>FORROS</t>
  </si>
  <si>
    <t>ANEL BORRACHA PARA TUBO ESGOTO PREDIAL, DN 50 MM (NBR 5688)</t>
  </si>
  <si>
    <t>ANEL BORRACHA PARA TUBO ESGOTO PREDIAL, DN 75 MM (NBR 5688)</t>
  </si>
  <si>
    <t>LAVATORIO SUSPENSO LOUCA BRANCA LINHA IZY L-15.17 - DECA</t>
  </si>
  <si>
    <t>MOVIMENTO DE TERRA E BOTA-FORA</t>
  </si>
  <si>
    <t>CONCRETO ARMADO</t>
  </si>
  <si>
    <t>ESTRUTURA METÁLICA</t>
  </si>
  <si>
    <t>CUBA</t>
  </si>
  <si>
    <t>HIDRANTES</t>
  </si>
  <si>
    <t>INSTALAÇÕES ELÉTRICAS, LUMINOTÉCNICA E SPDA</t>
  </si>
  <si>
    <t>ESGOTO SANITÁRIO</t>
  </si>
  <si>
    <t>17.01.020</t>
  </si>
  <si>
    <t>LIMPEZA FINAL DA OBRA E BOTA-FORA</t>
  </si>
  <si>
    <t>LIMPEZA FINAL DA OBRA</t>
  </si>
  <si>
    <t>SINAPI</t>
  </si>
  <si>
    <t>GEOTÊXTIL NÃO TECIDO 100% POLIÉSTER, RESISTÊNCIA A TRAÇÃO DE 31 KN/M (RT-31), INSTALADO EM DRENO - FORNECIMENTO E INSTALAÇÃO. AF_07/2021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</si>
  <si>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</si>
  <si>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</si>
  <si>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100 (4"), PARA REDE ENTERRADA DE DISTRIBUIÇÃO DE ENERGIA ELÉTRICA - FORNECIMENTO E INSTALAÇÃO. AF_12/2021</t>
  </si>
  <si>
    <t>ALVENARIA DE VEDAÇÃO DE BLOCOS  VAZADOS DE CONCRETO APARENTE DE 19X19X39 CM (ESPESSURA 19 CM) E ARGAMASSA DE ASSENTAMENTO COM PREPARO EM BETONEIRA. AF_12/2021</t>
  </si>
  <si>
    <t>ARMADOR (HORISTA)</t>
  </si>
  <si>
    <t>CALCETEIRO (HORISTA)</t>
  </si>
  <si>
    <t>CARPINTEIRO DE FORMAS (HORISTA)</t>
  </si>
  <si>
    <t>ELETRICISTA (HORISTA)</t>
  </si>
  <si>
    <t>ENCANADOR OU BOMBEIRO HIDRAULICO (HORISTA)</t>
  </si>
  <si>
    <t>PEDREIRO (HORISTA)</t>
  </si>
  <si>
    <t>TAMPAO FOFO SIMPLES COM BASE, CLASSE D400 CARGA MAX 40 T, REDONDO, TAMPA 600 MM, REDE PLUVIAL/ESGOTO (COM INSCRICAO EM RELEVO DO TIPO DE REDE)</t>
  </si>
  <si>
    <t>SBC</t>
  </si>
  <si>
    <t>40.05.020</t>
  </si>
  <si>
    <t>40.05.080</t>
  </si>
  <si>
    <t>Obra</t>
  </si>
  <si>
    <t>Bancos</t>
  </si>
  <si>
    <t>Código</t>
  </si>
  <si>
    <t>Banco</t>
  </si>
  <si>
    <t>Descrição</t>
  </si>
  <si>
    <t>Und</t>
  </si>
  <si>
    <t>CONDULETE TIPO ""E"" - 3/4""</t>
  </si>
  <si>
    <t>40.02.010</t>
  </si>
  <si>
    <t>Caixa de tomada em alumínio para piso 4´ x 4´</t>
  </si>
  <si>
    <t>ORSE</t>
  </si>
  <si>
    <t>Curva horizontal 150 x 100 mm para eletrocalha metálica, com ângulo 90° (ref.: mopa ou similar)</t>
  </si>
  <si>
    <t>un</t>
  </si>
  <si>
    <t>Curva vertical 150 x 100 mm para eletrocalha metálica, com ângulo 90° (ref.: mopa ou similar)</t>
  </si>
  <si>
    <t>SAIDA HORIZONTAL PARA ELETRODUTO 3/4""</t>
  </si>
  <si>
    <t>SAIDA HORIZONTAL PARA ELETRODUTO 1""</t>
  </si>
  <si>
    <t>PERFILADO PERFURADO 38x38mm</t>
  </si>
  <si>
    <t>SAIDA LATERAL SIMPLES PARA ELETRODUTO 3/4""</t>
  </si>
  <si>
    <t>SAIDA LATERAL SIMPLES PARA ELETRODUTO 1""</t>
  </si>
  <si>
    <t>JUNCAO ANGULAR ZZ DUPLA BAIXA PARA PERFILADO</t>
  </si>
  <si>
    <t>11.12.14</t>
  </si>
  <si>
    <t>SUDECAP</t>
  </si>
  <si>
    <t>SAIDA LATERAL DUPLA  3/4"</t>
  </si>
  <si>
    <t>CABO PP CORDPLAST 3 CONDUTORES 450/750V 1,50mm2</t>
  </si>
  <si>
    <t>39.02.016</t>
  </si>
  <si>
    <t>Cabo de cobre de 2,5 mm², isolamento 750 V - isolação em PVC 70°C</t>
  </si>
  <si>
    <t>IOPES</t>
  </si>
  <si>
    <t>m</t>
  </si>
  <si>
    <t>ELE-ELE-090</t>
  </si>
  <si>
    <t>SETOP</t>
  </si>
  <si>
    <t>ELETRODUTO DE AÇO GALVANIZADO MÉDIO, INCLUSIVE CONEXÕES, SUPORTES E FIXAÇÃO DN 100 (4")</t>
  </si>
  <si>
    <t>CURVA 90 GALVANIZADA 4""</t>
  </si>
  <si>
    <t>CONDULETE ALUMINIO ""T"" 2"" COM TAMPA</t>
  </si>
  <si>
    <t>Condulete em alumínio tipo "C" de 2"</t>
  </si>
  <si>
    <t>Caixa de passagem pvc 20 x 20cm, sistema "x", com tampa</t>
  </si>
  <si>
    <t>PONTO PARA RECEPCAO SINAIS DE TV CIRCUITO DIRIGIDO</t>
  </si>
  <si>
    <t>BUCHA DE ALUMINIO PARA ELETRODUTO 3/4""</t>
  </si>
  <si>
    <t>LEITOS - PORCA E ARRUELA 1/4""</t>
  </si>
  <si>
    <t>Fornecimento e instalação de parafuso cabeça lentilha 1/4" x 1/2" (ref. vl 1.68 valemam ou similar)</t>
  </si>
  <si>
    <t>Porca sextavada 1/4", bicromatizada</t>
  </si>
  <si>
    <t>69.20.340</t>
  </si>
  <si>
    <t>Tomada para TV, tipo pino Jack, com placa</t>
  </si>
  <si>
    <t>50.05.430</t>
  </si>
  <si>
    <t>Detector óptico de fumaça com base endereçável</t>
  </si>
  <si>
    <t>60.02.06</t>
  </si>
  <si>
    <t>EMBASA</t>
  </si>
  <si>
    <t>CONECTOR RETO BITOLA 3/4" FERRO GALV OU ALUMINIO PARA ADAPTACAO DE ENTRADAS</t>
  </si>
  <si>
    <t>Eletroduto metalico flexivel revestido externamente com pvc preto, diametro externo de 25 mm (3/4"), tipo sealtubo</t>
  </si>
  <si>
    <t>ACIONADOR MANUAL DE ALARME CONTRA INCENDIO</t>
  </si>
  <si>
    <t>SINALIZADOR SONORO EM LED VEICULAR</t>
  </si>
  <si>
    <t>ELE-CXS-200</t>
  </si>
  <si>
    <t>CAIXA DE LIGAÇÃO/PASSAGEM EM PVC RÍGIDO PARA ELETRODUTO, DIMENSÕES 4"X4", EMBUTIDA EM PAREDE DE GESSO ACARTONADO (DRY-WALL) - FORNECIMENTO E INSTALAÇÃO</t>
  </si>
  <si>
    <t>MODULO DE CONTROLE CENTRAL CS-NET WEB HITACHI</t>
  </si>
  <si>
    <t>CENTRAL DE ALARME DE INCENDIO INTELBRAS CIE 1125 ENDERECAVEL</t>
  </si>
  <si>
    <t>MASTRO DE PARA-RAIOS 1.1/2""x3,0m</t>
  </si>
  <si>
    <t>42.04.060</t>
  </si>
  <si>
    <t>Base para mastro de diâmetro 2´</t>
  </si>
  <si>
    <t>42.04.080</t>
  </si>
  <si>
    <t>Contraventagem com cabo para mastro de diâmetro 2´</t>
  </si>
  <si>
    <t>42.03.080</t>
  </si>
  <si>
    <t>Isolador galvanizado para mastro de diâmetro 2´, reforçado com 2 descidas</t>
  </si>
  <si>
    <t>42.05.440</t>
  </si>
  <si>
    <t>Barra condutora chata em alumínio de 7/8´ x 1/8´, inclusive acessórios de fixação</t>
  </si>
  <si>
    <t>39.09.120</t>
  </si>
  <si>
    <t>Conector split-bolt para cabo de 35 mm², latão, com rabicho</t>
  </si>
  <si>
    <t>39.10.130</t>
  </si>
  <si>
    <t>Terminal de pressão/compressão para cabo de 35 mm²</t>
  </si>
  <si>
    <t>42.05.160</t>
  </si>
  <si>
    <t>Conector olhal cabo/haste de 5/8´</t>
  </si>
  <si>
    <t>39.09.060</t>
  </si>
  <si>
    <t>Conector split-bolt para cabo de 50 mm², latão, simples</t>
  </si>
  <si>
    <t>11.91.06</t>
  </si>
  <si>
    <t>CABO DE COBRE NU # 50 MM2</t>
  </si>
  <si>
    <t>Fornecimento e assentamento de tubo pead flexível corrugado perfurado d = 4" (Kananet ou similar)</t>
  </si>
  <si>
    <t>AGETOP CIVIL</t>
  </si>
  <si>
    <t>BORNE TERMINAL SAK 2,5 MM2</t>
  </si>
  <si>
    <t>Un</t>
  </si>
  <si>
    <t>BORNE TERMINAL SAK 4 MM2</t>
  </si>
  <si>
    <t>BORNE TERMINAL SAK 6 MM2</t>
  </si>
  <si>
    <t>09.06.009</t>
  </si>
  <si>
    <t>FDE</t>
  </si>
  <si>
    <t>CAIXA DE PASSAGEM CHAPA TAMPA PARAFUSADA DE 20X20X10 CM</t>
  </si>
  <si>
    <t>09.06.015</t>
  </si>
  <si>
    <t>CAIXA DE PASSAGEM CHAPA TAMPA PARAFUSADA DE 40X40X15 CM</t>
  </si>
  <si>
    <t>39.26.040</t>
  </si>
  <si>
    <t>Cabo de cobre flexível de 6 mm², isolamento 0,6/1 kV - isolação HEPR 90°C - baixa emissão de fumaça e gases</t>
  </si>
  <si>
    <t>39.26.050</t>
  </si>
  <si>
    <t>Cabo de cobre flexível de 10 mm², isolamento 0,6/1 kV - isolação HEPR 90°C - baixa emissão de fumaça e gases</t>
  </si>
  <si>
    <t>39.26.060</t>
  </si>
  <si>
    <t>Cabo de cobre flexível de 16 mm², isolamento 0,6/1 kV - isolação HEPR 90°C - baixa emissão de fumaça e gases</t>
  </si>
  <si>
    <t>39.26.070</t>
  </si>
  <si>
    <t>Cabo de cobre flexível de 25 mm², isolamento 0,6/1 kV - isolação HEPR 90°C - baixa emissão de fumaça e gases</t>
  </si>
  <si>
    <t>39.26.080</t>
  </si>
  <si>
    <t>Cabo de cobre flexível de 35 mm², isolamento 0,6/1 kV - isolação HEPR 90°C - baixa emissão de fumaça e gases</t>
  </si>
  <si>
    <t>39.26.090</t>
  </si>
  <si>
    <t>Cabo de cobre flexível de 50 mm², isolamento 0,6/1 kV - isolação HEPR 90°C - baixa emissão de fumaça e gases</t>
  </si>
  <si>
    <t>39.26.140</t>
  </si>
  <si>
    <t>Cabo de cobre flexível de 185 mm², isolamento 0,6/1 kV - isolação HEPR 90°C - baixa emissão de fumaça e gases</t>
  </si>
  <si>
    <t>39.10.060</t>
  </si>
  <si>
    <t>Terminal de pressão/compressão para cabo de 6 até 10 mm²</t>
  </si>
  <si>
    <t>39.10.080</t>
  </si>
  <si>
    <t>Terminal de pressão/compressão para cabo de 16 mm²</t>
  </si>
  <si>
    <t>39.10.120</t>
  </si>
  <si>
    <t>Terminal de pressão/compressão para cabo de 25 mm²</t>
  </si>
  <si>
    <t>39.10.160</t>
  </si>
  <si>
    <t>Terminal de pressão/compressão para cabo de 50 mm²</t>
  </si>
  <si>
    <t>39.10.246</t>
  </si>
  <si>
    <t>Terminal de pressão/compressão para cabo de 120 mm²</t>
  </si>
  <si>
    <t>39.10.300</t>
  </si>
  <si>
    <t>Terminal de pressão/compressão para cabo de 240 mm²</t>
  </si>
  <si>
    <t>Fornecimento e instalação de caixa de passagem em alumínio (30 x 30 x 10 cm)</t>
  </si>
  <si>
    <t>40.20.120</t>
  </si>
  <si>
    <t>Placa de 4´ x 2´</t>
  </si>
  <si>
    <t>40.20.140</t>
  </si>
  <si>
    <t>Placa de 4´ x 4´</t>
  </si>
  <si>
    <t>38.21.920</t>
  </si>
  <si>
    <t>38.22.120</t>
  </si>
  <si>
    <t>REFLETOR 100W LED LINEAR BLINDADO A PROVA D'AGUA</t>
  </si>
  <si>
    <t>DETECTOR DE FUMACA FOTOELETRICO - ENDERECAVEL - CL-180</t>
  </si>
  <si>
    <t>Eletrocalha perfurada galvanizada a fogo, 100 x 50 mm, com acessórios</t>
  </si>
  <si>
    <t>Eletrocalha perfurada galvanizada a fogo, 150x100mm, com acessórios</t>
  </si>
  <si>
    <t>Caixa de Passagem de Alumínio para piso 30x30x12cm, da marca Wetzel Mod: Cp-3030-12 ou similar.</t>
  </si>
  <si>
    <t>Conector reto de aluminio para eletroduto de 3/4", para adaptar entrada de eletroduto metalico flexivel em quadros - fornecimento e instalação</t>
  </si>
  <si>
    <t>Cap de pvc rígido soldavel p/ esgoto, diâm =100mm</t>
  </si>
  <si>
    <t>VOZ E DADOS</t>
  </si>
  <si>
    <t>FIBRA ÓTICA</t>
  </si>
  <si>
    <t>CHAMADA DE EMERGÊNCIA</t>
  </si>
  <si>
    <t>CFTV</t>
  </si>
  <si>
    <t>CONTROLE DE ACESSO</t>
  </si>
  <si>
    <t>PARA RAIOS</t>
  </si>
  <si>
    <t>ALIMENTADORES</t>
  </si>
  <si>
    <t>QGBT-N-LITOTECA</t>
  </si>
  <si>
    <t>QLF-N-SUPERIOR PREPARO</t>
  </si>
  <si>
    <t>QLF-N-INFERIOR SCANNER</t>
  </si>
  <si>
    <t>QLF-N-INFERIOR LITOTECA</t>
  </si>
  <si>
    <t>TUBULAÇÕES</t>
  </si>
  <si>
    <t>TUBOS E CONEXÕES - JUNTA ELÁSTICA INTEGRADA - JEI</t>
  </si>
  <si>
    <t>TUBOS E CONEXÕES - FERRO FUNDIDO - SME</t>
  </si>
  <si>
    <t>ELEVATÓRIA DE ÁGUAS PLUVIAIS</t>
  </si>
  <si>
    <t>GRELHAS E RALOS</t>
  </si>
  <si>
    <t>TUBOS E CONEXÕES - PVC RÍGIDO SÉRIE NORMAL</t>
  </si>
  <si>
    <t xml:space="preserve">PVC RÍGIDO MARROM </t>
  </si>
  <si>
    <t>ISOLANTE TÉRMICO (AR CONDICIONADO)</t>
  </si>
  <si>
    <t>TUBOS E CONEXÕES - AÇO GALVANIZADO</t>
  </si>
  <si>
    <t>VÁLVULAS E REGISTROS</t>
  </si>
  <si>
    <t>REGISTRO DE RECALQUE</t>
  </si>
  <si>
    <t>50.01.190</t>
  </si>
  <si>
    <t>BOMBAS E EQUIPAMENTOS</t>
  </si>
  <si>
    <t>TUBOS E CONEXÕES - COBRE</t>
  </si>
  <si>
    <t>VÁLVULAS</t>
  </si>
  <si>
    <t>TARUGO DE COBRE</t>
  </si>
  <si>
    <t>COMPRESSOR DE AR</t>
  </si>
  <si>
    <t>ANEL BORRACHA TUBO PVC 50mm</t>
  </si>
  <si>
    <t>ANEL BORRACHA PARA PVC 50MM</t>
  </si>
  <si>
    <t>ANEL BORRACHA TUBO PVC 75mm</t>
  </si>
  <si>
    <t>ANEL BORRACHA TUBO PVC 100mm</t>
  </si>
  <si>
    <t>ANEL BORRACHA TUBO PVC 150mm</t>
  </si>
  <si>
    <t>Vedação para saída de vaso sanitário em  pvc rígido soldável, para esgoto primário, diâm = 100mm</t>
  </si>
  <si>
    <t>Fornecimento e instalação de sifão cromado para pia</t>
  </si>
  <si>
    <t>Sifão em PVC para tanque 2"</t>
  </si>
  <si>
    <t>und</t>
  </si>
  <si>
    <t>JOELHO 87 FERRO FUNDIDO 100mm</t>
  </si>
  <si>
    <t>JOELHO 45 FERRO FUNDIDO 150mm</t>
  </si>
  <si>
    <t>UNIAO PVC SOLDAVEL 110mm</t>
  </si>
  <si>
    <t>U</t>
  </si>
  <si>
    <t>Próprio</t>
  </si>
  <si>
    <t>TAMPAO FERRO FUNDIDO Ø 60CM</t>
  </si>
  <si>
    <t>Bóia Flyght</t>
  </si>
  <si>
    <t>Corrente</t>
  </si>
  <si>
    <t>Bucha de redução longa de pvc rígido soldável, marrom, diâm = 40 x 25mm</t>
  </si>
  <si>
    <t>Tarugo de cobre</t>
  </si>
  <si>
    <t>BORRACHA ELASTOMÉRICA - ESP: 9MM 1.1/4" (9X42)</t>
  </si>
  <si>
    <t>PÇ</t>
  </si>
  <si>
    <t>TE REDUCAO COBRE 28X15mm</t>
  </si>
  <si>
    <t>TE REDUCAO COBRE 22X15mm</t>
  </si>
  <si>
    <t>TE REDUCAO COBRE 28X22mm</t>
  </si>
  <si>
    <t>TE 90 FERRO GALVANIZADO DIAM. 2.1/2""</t>
  </si>
  <si>
    <t>TE 90 FERRO GALVANIZADO DIAM. 3""</t>
  </si>
  <si>
    <t>Tampão de engate rápido em latão, DN= 2 1/2´, com corrente</t>
  </si>
  <si>
    <t>Fornecimento e assentamento de união de ferro galvanizado assento bronze de     3"</t>
  </si>
  <si>
    <t>INSTALAÇÕES E ILUMINAÇÃO</t>
  </si>
  <si>
    <t>ELE-PER-015</t>
  </si>
  <si>
    <t>Conector reto de aluminio para eletroduto de 1", para adaptar entrada de eletroduto metalico flexivel em quadros - fornecimento e instalação</t>
  </si>
  <si>
    <t>Fornecimento e instalação de saída horizontal para eletroduto 1" (ref. vl 33 valemam ou similar)</t>
  </si>
  <si>
    <t>Arruela de pressão 1/4"</t>
  </si>
  <si>
    <t>BUCHA DE ALUMINIO PARA ELETRODUTO 1""</t>
  </si>
  <si>
    <t>PERFILADO LISO (38X38)MM EM CHAPA DE AÇO GALVANIZADO #18, COM TRATAMENTO PRÉ-ZINCADO, INCLUSIVE TAMPA DE ENCAIXE, FIXAÇÃO SUPERIOR, CONEXÕES E ACESSÓRIOS</t>
  </si>
  <si>
    <t>Fornecimento de rack tipo armário 19" x 42u x 680mm c/ 05 patch panel 24 portas cat.6e - Rev 02</t>
  </si>
  <si>
    <t>ELETRODUTOS, CONEXÕES, CAIXAS, CONDUTORES - ILUMINAÇÃO COMPLEMENTAR</t>
  </si>
  <si>
    <t>24.02.040</t>
  </si>
  <si>
    <t>22.03.140</t>
  </si>
  <si>
    <t>22.02.030</t>
  </si>
  <si>
    <t>14.30.070</t>
  </si>
  <si>
    <t xml:space="preserve"> 1 </t>
  </si>
  <si>
    <t xml:space="preserve"> 2 </t>
  </si>
  <si>
    <t xml:space="preserve"> 3 </t>
  </si>
  <si>
    <t xml:space="preserve"> 4 </t>
  </si>
  <si>
    <t xml:space="preserve"> 5 </t>
  </si>
  <si>
    <t xml:space="preserve"> 6 </t>
  </si>
  <si>
    <t xml:space="preserve"> 7 </t>
  </si>
  <si>
    <t xml:space="preserve"> 8 </t>
  </si>
  <si>
    <t xml:space="preserve"> 9 </t>
  </si>
  <si>
    <t xml:space="preserve"> 10 </t>
  </si>
  <si>
    <t xml:space="preserve"> 11 </t>
  </si>
  <si>
    <t xml:space="preserve"> 12 </t>
  </si>
  <si>
    <t xml:space="preserve"> 13 </t>
  </si>
  <si>
    <t xml:space="preserve"> 14 </t>
  </si>
  <si>
    <t xml:space="preserve"> 15 </t>
  </si>
  <si>
    <t xml:space="preserve"> 16 </t>
  </si>
  <si>
    <t xml:space="preserve"> 17 </t>
  </si>
  <si>
    <t xml:space="preserve"> 18 </t>
  </si>
  <si>
    <t xml:space="preserve"> 19 </t>
  </si>
  <si>
    <t xml:space="preserve"> 20 </t>
  </si>
  <si>
    <t xml:space="preserve"> 21 </t>
  </si>
  <si>
    <t xml:space="preserve"> 22 </t>
  </si>
  <si>
    <t xml:space="preserve"> 23 </t>
  </si>
  <si>
    <t xml:space="preserve"> 24 </t>
  </si>
  <si>
    <t xml:space="preserve"> 25 </t>
  </si>
  <si>
    <t xml:space="preserve"> 26 </t>
  </si>
  <si>
    <t xml:space="preserve"> 27 </t>
  </si>
  <si>
    <t xml:space="preserve"> 28 </t>
  </si>
  <si>
    <t xml:space="preserve"> 29 </t>
  </si>
  <si>
    <t xml:space="preserve"> 30 </t>
  </si>
  <si>
    <t xml:space="preserve"> 31 </t>
  </si>
  <si>
    <t xml:space="preserve"> 32 </t>
  </si>
  <si>
    <t xml:space="preserve"> 33 </t>
  </si>
  <si>
    <t xml:space="preserve"> 34 </t>
  </si>
  <si>
    <t xml:space="preserve"> 35 </t>
  </si>
  <si>
    <t xml:space="preserve"> 36 </t>
  </si>
  <si>
    <t xml:space="preserve"> 37 </t>
  </si>
  <si>
    <t xml:space="preserve"> 38 </t>
  </si>
  <si>
    <t xml:space="preserve"> 39 </t>
  </si>
  <si>
    <t xml:space="preserve"> 40 </t>
  </si>
  <si>
    <t xml:space="preserve"> 41 </t>
  </si>
  <si>
    <t xml:space="preserve"> 42 </t>
  </si>
  <si>
    <t xml:space="preserve"> 43 </t>
  </si>
  <si>
    <t xml:space="preserve"> 44 </t>
  </si>
  <si>
    <t xml:space="preserve"> 45 </t>
  </si>
  <si>
    <t xml:space="preserve"> 46 </t>
  </si>
  <si>
    <t xml:space="preserve"> 47 </t>
  </si>
  <si>
    <t xml:space="preserve"> 48 </t>
  </si>
  <si>
    <t xml:space="preserve"> 49 </t>
  </si>
  <si>
    <t xml:space="preserve"> 50 </t>
  </si>
  <si>
    <t xml:space="preserve"> 51 </t>
  </si>
  <si>
    <t xml:space="preserve"> 52 </t>
  </si>
  <si>
    <t xml:space="preserve"> 53 </t>
  </si>
  <si>
    <t xml:space="preserve"> 54 </t>
  </si>
  <si>
    <t xml:space="preserve"> 55 </t>
  </si>
  <si>
    <t xml:space="preserve"> 56 </t>
  </si>
  <si>
    <t xml:space="preserve"> 57 </t>
  </si>
  <si>
    <t xml:space="preserve"> 58 </t>
  </si>
  <si>
    <t xml:space="preserve"> 59 </t>
  </si>
  <si>
    <t xml:space="preserve"> 60 </t>
  </si>
  <si>
    <t xml:space="preserve"> 61 </t>
  </si>
  <si>
    <t xml:space="preserve"> 62 </t>
  </si>
  <si>
    <t xml:space="preserve"> 63 </t>
  </si>
  <si>
    <t xml:space="preserve"> 64 </t>
  </si>
  <si>
    <t xml:space="preserve"> 65 </t>
  </si>
  <si>
    <t xml:space="preserve"> 66 </t>
  </si>
  <si>
    <t xml:space="preserve"> 67 </t>
  </si>
  <si>
    <t xml:space="preserve"> 68 </t>
  </si>
  <si>
    <t xml:space="preserve"> 69 </t>
  </si>
  <si>
    <t xml:space="preserve"> 70 </t>
  </si>
  <si>
    <t xml:space="preserve"> 71 </t>
  </si>
  <si>
    <t xml:space="preserve"> 72 </t>
  </si>
  <si>
    <t>m²</t>
  </si>
  <si>
    <t xml:space="preserve"> 73 </t>
  </si>
  <si>
    <t>Divisória sanitária em painel laminado melamínico estrutural com perfis em alumínio, inclusive ferragem completa para vão de porta</t>
  </si>
  <si>
    <t xml:space="preserve"> 74 </t>
  </si>
  <si>
    <t xml:space="preserve"> 75 </t>
  </si>
  <si>
    <t xml:space="preserve"> 76 </t>
  </si>
  <si>
    <t>REBOCO INTERNO 5mm PAREDES ARGAMASSA PREFABRICADA</t>
  </si>
  <si>
    <t xml:space="preserve"> 77 </t>
  </si>
  <si>
    <t>AZULEJO 20X20CM BRILHANTE BORDA ARRED. BRANCO EXTRA PIERINI</t>
  </si>
  <si>
    <t xml:space="preserve"> 78 </t>
  </si>
  <si>
    <t xml:space="preserve"> 79 </t>
  </si>
  <si>
    <t>PINTURA ACRILICA SEMI BRILHO PAREDE 2 DEMAOS COM EMASSAMENTO</t>
  </si>
  <si>
    <t xml:space="preserve"> 80 </t>
  </si>
  <si>
    <t xml:space="preserve"> 81 </t>
  </si>
  <si>
    <t xml:space="preserve"> 82 </t>
  </si>
  <si>
    <t xml:space="preserve"> 83 </t>
  </si>
  <si>
    <t xml:space="preserve"> 84 </t>
  </si>
  <si>
    <t xml:space="preserve"> 85 </t>
  </si>
  <si>
    <t xml:space="preserve"> 86 </t>
  </si>
  <si>
    <t xml:space="preserve"> 87 </t>
  </si>
  <si>
    <t xml:space="preserve"> 88 </t>
  </si>
  <si>
    <t xml:space="preserve"> 89 </t>
  </si>
  <si>
    <t xml:space="preserve"> 90 </t>
  </si>
  <si>
    <t xml:space="preserve"> 91 </t>
  </si>
  <si>
    <t xml:space="preserve"> 92 </t>
  </si>
  <si>
    <t xml:space="preserve"> 93 </t>
  </si>
  <si>
    <t xml:space="preserve"> 94 </t>
  </si>
  <si>
    <t xml:space="preserve"> 95 </t>
  </si>
  <si>
    <t xml:space="preserve"> 96 </t>
  </si>
  <si>
    <t xml:space="preserve"> 97 </t>
  </si>
  <si>
    <t xml:space="preserve"> 98 </t>
  </si>
  <si>
    <t xml:space="preserve"> 99 </t>
  </si>
  <si>
    <t>Porta/portão tipo gradil sob medida</t>
  </si>
  <si>
    <t xml:space="preserve"> 100 </t>
  </si>
  <si>
    <t>Porta corta fogo, 0,90 x 2,10, de abrir, em chapa de aço galvanizado nº24, batente em chapa nº18, classe 90, isolante em manta cerâmica incombustível e=5cm, dobradiças tipo helicoidal em aço 1010/1020, e fechadura reversível sem chave</t>
  </si>
  <si>
    <t xml:space="preserve"> 101 </t>
  </si>
  <si>
    <t>Porta corta fogo, 1,50 x 2,10, de abrir, 02 folha, em chapa de aço galvanizado nº24, batente em chapa nº18, classe 90, isolante em manta cerâmica incombustível e=5cm, dobradiças tipo helicoidal em aço 1010/1020, e fechadura reversível sem chave</t>
  </si>
  <si>
    <t>Argamassa de regularização e/ou proteção</t>
  </si>
  <si>
    <t>m³</t>
  </si>
  <si>
    <t xml:space="preserve"> 104 </t>
  </si>
  <si>
    <t xml:space="preserve"> 105 </t>
  </si>
  <si>
    <t xml:space="preserve"> 106 </t>
  </si>
  <si>
    <t xml:space="preserve"> 107 </t>
  </si>
  <si>
    <t xml:space="preserve"> 108 </t>
  </si>
  <si>
    <t>44.03.180</t>
  </si>
  <si>
    <t>44.20.220</t>
  </si>
  <si>
    <t>44.20.200</t>
  </si>
  <si>
    <t xml:space="preserve"> 109 </t>
  </si>
  <si>
    <t>Dispenser toalheiro em ABS, para folhas</t>
  </si>
  <si>
    <t xml:space="preserve"> 110 </t>
  </si>
  <si>
    <t xml:space="preserve"> 111 </t>
  </si>
  <si>
    <t>Sifão de metal cromado de 1´ x 1 1/2´</t>
  </si>
  <si>
    <t xml:space="preserve"> 112 </t>
  </si>
  <si>
    <t>Sifão de metal cromado de 1 1/2´ x 2´</t>
  </si>
  <si>
    <t xml:space="preserve"> 113 </t>
  </si>
  <si>
    <t xml:space="preserve"> 114 </t>
  </si>
  <si>
    <t xml:space="preserve"> 115 </t>
  </si>
  <si>
    <t xml:space="preserve"> 116 </t>
  </si>
  <si>
    <t xml:space="preserve"> 117 </t>
  </si>
  <si>
    <t xml:space="preserve"> 118 </t>
  </si>
  <si>
    <t xml:space="preserve"> 119 </t>
  </si>
  <si>
    <t xml:space="preserve"> 120 </t>
  </si>
  <si>
    <t xml:space="preserve"> 121 </t>
  </si>
  <si>
    <t>TELA ELETROSOLDADA NERVURADA Q-246 10x10cm 5,6mm (3,91kg/m2)</t>
  </si>
  <si>
    <t xml:space="preserve"> 122 </t>
  </si>
  <si>
    <t xml:space="preserve"> 123 </t>
  </si>
  <si>
    <t xml:space="preserve"> 124 </t>
  </si>
  <si>
    <t xml:space="preserve"> 125 </t>
  </si>
  <si>
    <t xml:space="preserve"> 126 </t>
  </si>
  <si>
    <t xml:space="preserve"> 127 </t>
  </si>
  <si>
    <t xml:space="preserve"> 128 </t>
  </si>
  <si>
    <t xml:space="preserve"> 129 </t>
  </si>
  <si>
    <t xml:space="preserve"> 130 </t>
  </si>
  <si>
    <t xml:space="preserve"> 131 </t>
  </si>
  <si>
    <t>32.07.090</t>
  </si>
  <si>
    <t xml:space="preserve"> 132 </t>
  </si>
  <si>
    <t>Junta de dilatação ou vedação com mastique de silicone, 1,0 x 0,5 cm - inclusive guia de apoio em polietileno</t>
  </si>
  <si>
    <t>OBRAS EM GERAL</t>
  </si>
  <si>
    <t>12.12.010</t>
  </si>
  <si>
    <t>11.01.320</t>
  </si>
  <si>
    <t xml:space="preserve"> 133 </t>
  </si>
  <si>
    <t>Taxa de mobilização e desmobilização de equipamentos para execução de estaca tipo hélice contínua em solo</t>
  </si>
  <si>
    <t>TX</t>
  </si>
  <si>
    <t xml:space="preserve"> 134 </t>
  </si>
  <si>
    <t>Concreto usinado, fck = 30 MPa - para bombeamento</t>
  </si>
  <si>
    <t xml:space="preserve"> 135 </t>
  </si>
  <si>
    <t>SERVICO BOMBEAMENTO CONCRETO USINADO ATE PECAS ESTRUTURAIS</t>
  </si>
  <si>
    <t>PAREDES DE CONTENÇÃO</t>
  </si>
  <si>
    <t>03.03.085</t>
  </si>
  <si>
    <t xml:space="preserve"> 136 </t>
  </si>
  <si>
    <t>Forma plana para sapatas, em madeira maciça, 02 usos, inclusive escoramento</t>
  </si>
  <si>
    <t>m2</t>
  </si>
  <si>
    <t xml:space="preserve"> 137 </t>
  </si>
  <si>
    <t xml:space="preserve"> 138 </t>
  </si>
  <si>
    <t xml:space="preserve"> 139 </t>
  </si>
  <si>
    <t>EMENDA EM ESTACA TRILHO TR-32 A TR-68 kgf/m</t>
  </si>
  <si>
    <t xml:space="preserve"> 140 </t>
  </si>
  <si>
    <t>CORTE DE TRILHOS DE ACO TR-37Kgf/m COM ELETRODOS ELETRICOS</t>
  </si>
  <si>
    <t xml:space="preserve"> 141 </t>
  </si>
  <si>
    <t xml:space="preserve"> 142 </t>
  </si>
  <si>
    <t xml:space="preserve"> 143 </t>
  </si>
  <si>
    <t xml:space="preserve"> 144 </t>
  </si>
  <si>
    <t xml:space="preserve"> 145 </t>
  </si>
  <si>
    <t>LAJE PRE-FABRICADA PRE-LAJE TRELICADA UNIDIR C/ EPS PLT20-100KGF/M2</t>
  </si>
  <si>
    <t xml:space="preserve"> 146 </t>
  </si>
  <si>
    <t xml:space="preserve"> 147 </t>
  </si>
  <si>
    <t/>
  </si>
  <si>
    <t>TIRANTES</t>
  </si>
  <si>
    <t xml:space="preserve"> 148 </t>
  </si>
  <si>
    <t xml:space="preserve"> 149 </t>
  </si>
  <si>
    <t xml:space="preserve"> 150 </t>
  </si>
  <si>
    <t>INJECAO NATA CIMENTO EM TIRANTES ATE 50 TF</t>
  </si>
  <si>
    <t xml:space="preserve"> 151 </t>
  </si>
  <si>
    <t>CHUMBADOR TIRANTE ACO CA-50 5/8""</t>
  </si>
  <si>
    <t>FUN-HEL-020</t>
  </si>
  <si>
    <t xml:space="preserve"> 152 </t>
  </si>
  <si>
    <t>EXECUÇÃO DE ESTACA TIPO HÉLICE CONTÍNUA D = 600 MM, EXCETO CONCRETO</t>
  </si>
  <si>
    <t xml:space="preserve"> 153 </t>
  </si>
  <si>
    <t>ESTACA PERFIL METALICO DUPLO I - 10""x4.5/8"" 80tf</t>
  </si>
  <si>
    <t xml:space="preserve"> 154 </t>
  </si>
  <si>
    <t xml:space="preserve"> 155 </t>
  </si>
  <si>
    <t xml:space="preserve"> 156 </t>
  </si>
  <si>
    <t xml:space="preserve"> 157 </t>
  </si>
  <si>
    <t xml:space="preserve"> 158 </t>
  </si>
  <si>
    <t xml:space="preserve"> 159 </t>
  </si>
  <si>
    <t>Fornecimento e instalação de treliça TB9, para suporte de barras de transferência em juntas, ou similar</t>
  </si>
  <si>
    <t xml:space="preserve"> 160 </t>
  </si>
  <si>
    <t>Fornecimento e instalação de treliça TB14, para suporte de tela</t>
  </si>
  <si>
    <t>24.08.020</t>
  </si>
  <si>
    <t xml:space="preserve"> 162 </t>
  </si>
  <si>
    <t xml:space="preserve"> 163 </t>
  </si>
  <si>
    <t xml:space="preserve"> 164 </t>
  </si>
  <si>
    <t xml:space="preserve"> 165 </t>
  </si>
  <si>
    <t xml:space="preserve"> 166 </t>
  </si>
  <si>
    <t xml:space="preserve"> 167 </t>
  </si>
  <si>
    <t xml:space="preserve"> 168 </t>
  </si>
  <si>
    <t>Corrimão duplo em tubo de aço inoxidável escovado, com diâmetro de 1 1/2´ e montantes com diâmetro de 2´</t>
  </si>
  <si>
    <t xml:space="preserve"> 169 </t>
  </si>
  <si>
    <t xml:space="preserve"> 170 </t>
  </si>
  <si>
    <t xml:space="preserve"> 190213 </t>
  </si>
  <si>
    <t>CUBA ACO INOX ESCOVADO RETANGULAR 50x40x20cm SQUARE 540 SINK</t>
  </si>
  <si>
    <t xml:space="preserve"> 171 </t>
  </si>
  <si>
    <t xml:space="preserve"> 24.08.020 </t>
  </si>
  <si>
    <t xml:space="preserve"> 172 </t>
  </si>
  <si>
    <t xml:space="preserve"> 173 </t>
  </si>
  <si>
    <t xml:space="preserve"> 174 </t>
  </si>
  <si>
    <t>15.03.140</t>
  </si>
  <si>
    <t>03.04.010</t>
  </si>
  <si>
    <t xml:space="preserve"> 175 </t>
  </si>
  <si>
    <t xml:space="preserve"> 15.03.140 </t>
  </si>
  <si>
    <t>Fornecimento e montagem de estrutura tubular em aço ASTM-A572 Grau 50, sem pintura</t>
  </si>
  <si>
    <t xml:space="preserve"> 176 </t>
  </si>
  <si>
    <t xml:space="preserve"> 040491 </t>
  </si>
  <si>
    <t>MONTAGEM PERFIL ACO ASTM A36 6"" LAMINADO + FIXACOES</t>
  </si>
  <si>
    <t xml:space="preserve"> 177 </t>
  </si>
  <si>
    <t xml:space="preserve"> 03.04.010 </t>
  </si>
  <si>
    <t>FORNECIMENTO E MONTAGEM DE ESTRUTURA METALICA COM AÇO NAO PATINAVE (ASTM A36/A570)</t>
  </si>
  <si>
    <t xml:space="preserve"> 178 </t>
  </si>
  <si>
    <t xml:space="preserve"> FUN-HEL-020 </t>
  </si>
  <si>
    <t>11.01.321</t>
  </si>
  <si>
    <t>09.02.140</t>
  </si>
  <si>
    <t xml:space="preserve"> 179 </t>
  </si>
  <si>
    <t xml:space="preserve"> 180 </t>
  </si>
  <si>
    <t xml:space="preserve"> 11.01.321 </t>
  </si>
  <si>
    <t>Concreto usinado, fck = 35 MPa - para bombeamento</t>
  </si>
  <si>
    <t xml:space="preserve"> 181 </t>
  </si>
  <si>
    <t xml:space="preserve"> 182 </t>
  </si>
  <si>
    <t xml:space="preserve"> 09.02.140 </t>
  </si>
  <si>
    <t>Forma plana em compensado para estrutura aparente com cimbramento tubular metálico</t>
  </si>
  <si>
    <t xml:space="preserve"> 183 </t>
  </si>
  <si>
    <t>FUNDAÇÕES E ESTRUTURA</t>
  </si>
  <si>
    <t>GASES</t>
  </si>
  <si>
    <t>02.02.130</t>
  </si>
  <si>
    <t>02.02.140</t>
  </si>
  <si>
    <t>02.02.150</t>
  </si>
  <si>
    <t xml:space="preserve"> 184 </t>
  </si>
  <si>
    <t xml:space="preserve"> 02.02.130 </t>
  </si>
  <si>
    <t>Locação de container tipo escritório com 1 vaso sanitário, 1 lavatório e 1 ponto para chuveiro - área mínima de 13,80 m²</t>
  </si>
  <si>
    <t>UNMES</t>
  </si>
  <si>
    <t xml:space="preserve"> 185 </t>
  </si>
  <si>
    <t xml:space="preserve"> 02.02.140 </t>
  </si>
  <si>
    <t>Locação de container tipo sanitário com 2 vasos sanitários, 2 lavatórios, 2 mictórios e 4 pontos para chuveiro - área mínima de 13,80 m²</t>
  </si>
  <si>
    <t xml:space="preserve"> 186 </t>
  </si>
  <si>
    <t xml:space="preserve"> 02.02.150 </t>
  </si>
  <si>
    <t>Locação de container tipo depósito - área mínima de 13,80 m²</t>
  </si>
  <si>
    <t>EM PAREDES E ALVENARIAS</t>
  </si>
  <si>
    <t>PONTOI WI-FI</t>
  </si>
  <si>
    <t>CAPTOR TIPO FRANKLIN</t>
  </si>
  <si>
    <t>CAPTOR TIPO GAIOLA DE FARADAY</t>
  </si>
  <si>
    <t>ATERRAMENTO</t>
  </si>
  <si>
    <t>ELETRODUTOS E TUBOS</t>
  </si>
  <si>
    <t>CABOS E TERMINAIS</t>
  </si>
  <si>
    <t>BLOCOS, SAPATAS E BALDRAMES</t>
  </si>
  <si>
    <t xml:space="preserve"> 40.05.020 </t>
  </si>
  <si>
    <t xml:space="preserve"> 40.05.080 </t>
  </si>
  <si>
    <t xml:space="preserve"> 061542 </t>
  </si>
  <si>
    <t xml:space="preserve"> 40.02.010 </t>
  </si>
  <si>
    <t xml:space="preserve"> 11548 </t>
  </si>
  <si>
    <t xml:space="preserve"> 11549 </t>
  </si>
  <si>
    <t xml:space="preserve"> 063756 </t>
  </si>
  <si>
    <t xml:space="preserve"> 063754 </t>
  </si>
  <si>
    <t xml:space="preserve"> 060504 </t>
  </si>
  <si>
    <t xml:space="preserve"> 062572 </t>
  </si>
  <si>
    <t xml:space="preserve"> 062575 </t>
  </si>
  <si>
    <t xml:space="preserve"> 063007 </t>
  </si>
  <si>
    <t xml:space="preserve"> 11.12.14 </t>
  </si>
  <si>
    <t xml:space="preserve"> 063511 </t>
  </si>
  <si>
    <t xml:space="preserve"> 39.02.016 </t>
  </si>
  <si>
    <t xml:space="preserve"> ELE-ELE-090 </t>
  </si>
  <si>
    <t xml:space="preserve"> 052043 </t>
  </si>
  <si>
    <t xml:space="preserve"> 061223 </t>
  </si>
  <si>
    <t xml:space="preserve"> 11815 </t>
  </si>
  <si>
    <t xml:space="preserve"> 9139 </t>
  </si>
  <si>
    <t xml:space="preserve"> 059400 </t>
  </si>
  <si>
    <t xml:space="preserve"> 068156 </t>
  </si>
  <si>
    <t xml:space="preserve"> 063445 </t>
  </si>
  <si>
    <t xml:space="preserve"> 8351 </t>
  </si>
  <si>
    <t xml:space="preserve"> 12495 </t>
  </si>
  <si>
    <t xml:space="preserve"> 69.20.340 </t>
  </si>
  <si>
    <t xml:space="preserve"> 50.05.430 </t>
  </si>
  <si>
    <t xml:space="preserve"> 60.02.06 </t>
  </si>
  <si>
    <t xml:space="preserve"> 11749 </t>
  </si>
  <si>
    <t xml:space="preserve"> 058003 </t>
  </si>
  <si>
    <t xml:space="preserve"> 061972 </t>
  </si>
  <si>
    <t xml:space="preserve"> ELE-CXS-200 </t>
  </si>
  <si>
    <t xml:space="preserve"> 070938 </t>
  </si>
  <si>
    <t xml:space="preserve"> 058110 </t>
  </si>
  <si>
    <t xml:space="preserve"> 059436 </t>
  </si>
  <si>
    <t xml:space="preserve"> 078114 </t>
  </si>
  <si>
    <t xml:space="preserve"> 063461 </t>
  </si>
  <si>
    <t xml:space="preserve"> 42.04.060 </t>
  </si>
  <si>
    <t xml:space="preserve"> 42.04.080 </t>
  </si>
  <si>
    <t xml:space="preserve"> 42.03.080 </t>
  </si>
  <si>
    <t xml:space="preserve"> 42.05.440 </t>
  </si>
  <si>
    <t xml:space="preserve"> 39.09.120 </t>
  </si>
  <si>
    <t xml:space="preserve"> 39.10.130 </t>
  </si>
  <si>
    <t xml:space="preserve"> 42.05.160 </t>
  </si>
  <si>
    <t xml:space="preserve"> 39.09.060 </t>
  </si>
  <si>
    <t xml:space="preserve"> 11.91.06 </t>
  </si>
  <si>
    <t xml:space="preserve"> 4869 </t>
  </si>
  <si>
    <t xml:space="preserve"> 070285 </t>
  </si>
  <si>
    <t xml:space="preserve"> 070286 </t>
  </si>
  <si>
    <t xml:space="preserve"> 070287 </t>
  </si>
  <si>
    <t xml:space="preserve"> 09.06.009 </t>
  </si>
  <si>
    <t xml:space="preserve"> 09.06.015 </t>
  </si>
  <si>
    <t xml:space="preserve"> 39.26.040 </t>
  </si>
  <si>
    <t xml:space="preserve"> 39.26.050 </t>
  </si>
  <si>
    <t xml:space="preserve"> 39.26.060 </t>
  </si>
  <si>
    <t xml:space="preserve"> 39.26.070 </t>
  </si>
  <si>
    <t xml:space="preserve"> 39.26.080 </t>
  </si>
  <si>
    <t xml:space="preserve"> 39.26.090 </t>
  </si>
  <si>
    <t xml:space="preserve"> 39.26.140 </t>
  </si>
  <si>
    <t xml:space="preserve"> 39.10.060 </t>
  </si>
  <si>
    <t xml:space="preserve"> 39.10.080 </t>
  </si>
  <si>
    <t xml:space="preserve"> 39.10.120 </t>
  </si>
  <si>
    <t xml:space="preserve"> 39.10.160 </t>
  </si>
  <si>
    <t xml:space="preserve"> 39.10.246 </t>
  </si>
  <si>
    <t xml:space="preserve"> 39.10.300 </t>
  </si>
  <si>
    <t xml:space="preserve"> 707 </t>
  </si>
  <si>
    <t xml:space="preserve"> 91991 </t>
  </si>
  <si>
    <t xml:space="preserve"> 40.20.120 </t>
  </si>
  <si>
    <t xml:space="preserve"> 40.20.140 </t>
  </si>
  <si>
    <t xml:space="preserve"> 060316 </t>
  </si>
  <si>
    <t xml:space="preserve"> 058020 </t>
  </si>
  <si>
    <t xml:space="preserve"> 38.21.920 </t>
  </si>
  <si>
    <t xml:space="preserve"> 11304 </t>
  </si>
  <si>
    <t xml:space="preserve"> 12890 </t>
  </si>
  <si>
    <t xml:space="preserve"> 38.22.120 </t>
  </si>
  <si>
    <t xml:space="preserve"> 1536 </t>
  </si>
  <si>
    <t xml:space="preserve"> 053615 </t>
  </si>
  <si>
    <t xml:space="preserve"> 053620 </t>
  </si>
  <si>
    <t xml:space="preserve"> 053619 </t>
  </si>
  <si>
    <t xml:space="preserve"> 053617 </t>
  </si>
  <si>
    <t xml:space="preserve"> 053006 </t>
  </si>
  <si>
    <t xml:space="preserve"> 1595 </t>
  </si>
  <si>
    <t xml:space="preserve"> 2094 </t>
  </si>
  <si>
    <t xml:space="preserve"> 142106 </t>
  </si>
  <si>
    <t xml:space="preserve"> 053292 </t>
  </si>
  <si>
    <t xml:space="preserve"> 053189 </t>
  </si>
  <si>
    <t xml:space="preserve"> 052485 </t>
  </si>
  <si>
    <t xml:space="preserve"> 272 </t>
  </si>
  <si>
    <t xml:space="preserve"> 275 </t>
  </si>
  <si>
    <t xml:space="preserve"> 276 </t>
  </si>
  <si>
    <t xml:space="preserve"> 1081 </t>
  </si>
  <si>
    <t xml:space="preserve"> 281 </t>
  </si>
  <si>
    <t xml:space="preserve"> 282 </t>
  </si>
  <si>
    <t xml:space="preserve"> 283 </t>
  </si>
  <si>
    <t xml:space="preserve"> 284 </t>
  </si>
  <si>
    <t xml:space="preserve"> 285 </t>
  </si>
  <si>
    <t xml:space="preserve"> 286 </t>
  </si>
  <si>
    <t xml:space="preserve"> 287 </t>
  </si>
  <si>
    <t xml:space="preserve"> 288 </t>
  </si>
  <si>
    <t xml:space="preserve"> 292 </t>
  </si>
  <si>
    <t xml:space="preserve"> 294 </t>
  </si>
  <si>
    <t xml:space="preserve"> 295 </t>
  </si>
  <si>
    <t xml:space="preserve"> 293 </t>
  </si>
  <si>
    <t xml:space="preserve"> 299 </t>
  </si>
  <si>
    <t xml:space="preserve"> 297 </t>
  </si>
  <si>
    <t xml:space="preserve"> 300 </t>
  </si>
  <si>
    <t xml:space="preserve"> 296 </t>
  </si>
  <si>
    <t xml:space="preserve"> 298 </t>
  </si>
  <si>
    <t xml:space="preserve"> 055718 </t>
  </si>
  <si>
    <t xml:space="preserve"> 055713 </t>
  </si>
  <si>
    <t xml:space="preserve"> 50.01.190 </t>
  </si>
  <si>
    <t xml:space="preserve"> 301 </t>
  </si>
  <si>
    <t xml:space="preserve"> 302 </t>
  </si>
  <si>
    <t xml:space="preserve"> 986 </t>
  </si>
  <si>
    <t xml:space="preserve"> 987 </t>
  </si>
  <si>
    <t xml:space="preserve"> 303 </t>
  </si>
  <si>
    <t xml:space="preserve"> 11303 </t>
  </si>
  <si>
    <t xml:space="preserve"> 724 </t>
  </si>
  <si>
    <t xml:space="preserve"> 12538 </t>
  </si>
  <si>
    <t xml:space="preserve"> 068020 </t>
  </si>
  <si>
    <t xml:space="preserve"> ELE-PER-015 </t>
  </si>
  <si>
    <t xml:space="preserve"> 305 </t>
  </si>
  <si>
    <t xml:space="preserve"> 306 </t>
  </si>
  <si>
    <t xml:space="preserve"> 14.30.070 </t>
  </si>
  <si>
    <t xml:space="preserve"> 120012 </t>
  </si>
  <si>
    <t xml:space="preserve"> 120492 </t>
  </si>
  <si>
    <t xml:space="preserve"> 180586 </t>
  </si>
  <si>
    <t xml:space="preserve"> 100758 </t>
  </si>
  <si>
    <t xml:space="preserve"> 88489 </t>
  </si>
  <si>
    <t xml:space="preserve"> 24.02.040 </t>
  </si>
  <si>
    <t xml:space="preserve"> 11960 </t>
  </si>
  <si>
    <t xml:space="preserve"> 12168 </t>
  </si>
  <si>
    <t xml:space="preserve"> 102 </t>
  </si>
  <si>
    <t xml:space="preserve"> 103 </t>
  </si>
  <si>
    <t xml:space="preserve"> 17.01.020 </t>
  </si>
  <si>
    <t xml:space="preserve"> 22.03.140 </t>
  </si>
  <si>
    <t xml:space="preserve"> 22.02.030 </t>
  </si>
  <si>
    <t xml:space="preserve"> 44.03.180 </t>
  </si>
  <si>
    <t xml:space="preserve"> 44.20.220 </t>
  </si>
  <si>
    <t xml:space="preserve"> 44.20.200 </t>
  </si>
  <si>
    <t xml:space="preserve"> 190454 </t>
  </si>
  <si>
    <t xml:space="preserve"> 040161 </t>
  </si>
  <si>
    <t xml:space="preserve"> 97118 </t>
  </si>
  <si>
    <t xml:space="preserve"> 12788 </t>
  </si>
  <si>
    <t xml:space="preserve"> 32.07.090 </t>
  </si>
  <si>
    <t xml:space="preserve"> 12.12.010 </t>
  </si>
  <si>
    <t xml:space="preserve"> 11.01.320 </t>
  </si>
  <si>
    <t xml:space="preserve"> 040387 </t>
  </si>
  <si>
    <t xml:space="preserve"> 7582 </t>
  </si>
  <si>
    <t xml:space="preserve"> 031085 </t>
  </si>
  <si>
    <t xml:space="preserve"> 020711 </t>
  </si>
  <si>
    <t xml:space="preserve"> 03.03.085 </t>
  </si>
  <si>
    <t xml:space="preserve"> 031318 </t>
  </si>
  <si>
    <t xml:space="preserve"> 040757 </t>
  </si>
  <si>
    <t xml:space="preserve"> 031018 </t>
  </si>
  <si>
    <t xml:space="preserve"> 329 </t>
  </si>
  <si>
    <t xml:space="preserve"> 330 </t>
  </si>
  <si>
    <t xml:space="preserve"> 161 </t>
  </si>
  <si>
    <t xml:space="preserve"> 331 </t>
  </si>
  <si>
    <t>B.D.I.</t>
  </si>
  <si>
    <t>Encargos Sociais</t>
  </si>
  <si>
    <t>Tipo</t>
  </si>
  <si>
    <t>Quant.</t>
  </si>
  <si>
    <t>Valor Unit</t>
  </si>
  <si>
    <t>Total</t>
  </si>
  <si>
    <t>Composição</t>
  </si>
  <si>
    <t>Composição Auxiliar</t>
  </si>
  <si>
    <t xml:space="preserve"> 88247 </t>
  </si>
  <si>
    <t>SEDI - SERVIÇOS DIVERSOS</t>
  </si>
  <si>
    <t xml:space="preserve"> 88264 </t>
  </si>
  <si>
    <t>Insumo</t>
  </si>
  <si>
    <t>Material</t>
  </si>
  <si>
    <t xml:space="preserve"> 003423 </t>
  </si>
  <si>
    <t>BUCHA DE ALUMINIO PARA ELETRODUTO 3/4"</t>
  </si>
  <si>
    <t xml:space="preserve"> 003420 </t>
  </si>
  <si>
    <t>FITA ISOLANTE HIGHLAND ADESIVA 19m x 20mm</t>
  </si>
  <si>
    <t xml:space="preserve"> 004500 </t>
  </si>
  <si>
    <t>INTERRUPTOR SIMPLES EMBUTIR 10A-250V COM PLACA SILENTOQUE 1100 PIAL (CONJUNTO)</t>
  </si>
  <si>
    <t>MO sem LS =&gt;</t>
  </si>
  <si>
    <t>LS =&gt;</t>
  </si>
  <si>
    <t>MO com LS =&gt;</t>
  </si>
  <si>
    <t>Valor do BDI =&gt;</t>
  </si>
  <si>
    <t>Valor com BDI =&gt;</t>
  </si>
  <si>
    <t xml:space="preserve"> B.01.000.010115 </t>
  </si>
  <si>
    <t>Eletricista</t>
  </si>
  <si>
    <t>Mão de Obra</t>
  </si>
  <si>
    <t xml:space="preserve"> B.01.000.010116 </t>
  </si>
  <si>
    <t>Ajudante eletricista</t>
  </si>
  <si>
    <t xml:space="preserve"> P.13.000.045501 </t>
  </si>
  <si>
    <t>Interruptor com 1 tecla (simples), com placa</t>
  </si>
  <si>
    <t xml:space="preserve"> P.13.000.045502 </t>
  </si>
  <si>
    <t>Interruptor com 1 tecla (paralelo), com placa</t>
  </si>
  <si>
    <t xml:space="preserve"> 047600 </t>
  </si>
  <si>
    <t>CONDULETE ALUMINIO "E" 3/4" COM TAMPA</t>
  </si>
  <si>
    <t xml:space="preserve"> P.13.000.045047 </t>
  </si>
  <si>
    <t>Anel de regulagem 4" x 4" em alumínio para tomada de piso, ref. Tramontina, Stamplac, Olivo ou equivalente</t>
  </si>
  <si>
    <t xml:space="preserve"> P.13.000.045046 </t>
  </si>
  <si>
    <t>Caixa de tomada 4" x 4" em alumínio para piso, com saída de 3/4" ou 1", ref. Tramontina, Stamplac, Olivo ou equivalente</t>
  </si>
  <si>
    <t>Pontos de Suprimento de Energia para Computador</t>
  </si>
  <si>
    <t xml:space="preserve"> 10552 </t>
  </si>
  <si>
    <t>Encargos Complementares - Eletricista</t>
  </si>
  <si>
    <t>Provisórios</t>
  </si>
  <si>
    <t>h</t>
  </si>
  <si>
    <t xml:space="preserve"> 10549 </t>
  </si>
  <si>
    <t>Encargos Complementares - Servente</t>
  </si>
  <si>
    <t xml:space="preserve"> 3998 </t>
  </si>
  <si>
    <t xml:space="preserve"> 00002436 </t>
  </si>
  <si>
    <t xml:space="preserve"> 00006111 </t>
  </si>
  <si>
    <t xml:space="preserve"> 4012 </t>
  </si>
  <si>
    <t xml:space="preserve"> 037518 </t>
  </si>
  <si>
    <t>SAIDA HORIZONTAL PRE GALVANIZADA PARA ELETRODUTO 3/4"</t>
  </si>
  <si>
    <t xml:space="preserve"> 037517 </t>
  </si>
  <si>
    <t>SAIDA HORIZONTAL PRE GALVANIZADA PARA ELETRODUTO 1"</t>
  </si>
  <si>
    <t xml:space="preserve"> 001279 </t>
  </si>
  <si>
    <t>PERFILADO PERFURADO 38x19x3000mm CHAPA 16</t>
  </si>
  <si>
    <t xml:space="preserve"> 034534 </t>
  </si>
  <si>
    <t>SAIDA LATERAL SIMPLES PRE GALVANIZADA PARA ELETRODUTO 3/4"</t>
  </si>
  <si>
    <t xml:space="preserve"> 034537 </t>
  </si>
  <si>
    <t>SAIDA LATERAL SIMPLES PRE GALVANIZADA PARA ELETRODUTO 1"</t>
  </si>
  <si>
    <t xml:space="preserve"> 001281 </t>
  </si>
  <si>
    <t>JUNCAO INTERNA TIPO T PARA PERFILADO 38 x 38mm</t>
  </si>
  <si>
    <t>PERFILADO E ACESSORIO, INCLUSIVE CONEXOES</t>
  </si>
  <si>
    <t xml:space="preserve"> 55.10.10 </t>
  </si>
  <si>
    <t>AUXILIAR BOMBEIRO/ELETRICISTA</t>
  </si>
  <si>
    <t xml:space="preserve"> 55.10.55 </t>
  </si>
  <si>
    <t>ELETRICISTA</t>
  </si>
  <si>
    <t xml:space="preserve"> 74.05.45 </t>
  </si>
  <si>
    <t>PORCA LOSANGULAR COM PINO 5/16"</t>
  </si>
  <si>
    <t xml:space="preserve"> 74.05.32 </t>
  </si>
  <si>
    <t>PORCA SEXTAVADA 5/16"</t>
  </si>
  <si>
    <t xml:space="preserve"> 74.05.10 </t>
  </si>
  <si>
    <t>SAIDA LATERAL DUPLA DE PERFILADO P/ELETRODUTO 3/4"</t>
  </si>
  <si>
    <t xml:space="preserve"> 74.05.31 </t>
  </si>
  <si>
    <t>ARRUELA LISA 5/16"</t>
  </si>
  <si>
    <t xml:space="preserve"> 012824 </t>
  </si>
  <si>
    <t xml:space="preserve"> P.08.000.043025 </t>
  </si>
  <si>
    <t>Cabo de cobre flexível de 2,5 mm², isolamento 750V - isolação PVC 70°C</t>
  </si>
  <si>
    <t xml:space="preserve"> 010101 </t>
  </si>
  <si>
    <t>AJUDANTE (AJUDANTE PRATICO - SINDUSCON) (LABOR)</t>
  </si>
  <si>
    <t>Interligações até Quadro Geral - Eletrodutos e Conexões</t>
  </si>
  <si>
    <t xml:space="preserve"> MAO-AJD-015 </t>
  </si>
  <si>
    <t>hora</t>
  </si>
  <si>
    <t xml:space="preserve"> MAO-OFC-035 </t>
  </si>
  <si>
    <t>ELETRODUTO DE AÇO GALVANIZADO (TIPO: LEVE| DIÂMETRO: 4")</t>
  </si>
  <si>
    <t xml:space="preserve"> 88267 </t>
  </si>
  <si>
    <t xml:space="preserve"> 88248 </t>
  </si>
  <si>
    <t xml:space="preserve"> 004636 </t>
  </si>
  <si>
    <t>FITA TEFLON VEDA ROSCA 18mm x 25m</t>
  </si>
  <si>
    <t xml:space="preserve"> 031172 </t>
  </si>
  <si>
    <t>CONDULETE ALUMINIO "T" 2" COM TAMPA</t>
  </si>
  <si>
    <t xml:space="preserve"> 3895 </t>
  </si>
  <si>
    <t>Condulete tipo "C" de 2" em alumínio fundido a prova de tempo, gases, vapores e pós.</t>
  </si>
  <si>
    <t>Interligações até Quadro Geral - Fios e Cabos</t>
  </si>
  <si>
    <t xml:space="preserve"> 9435 </t>
  </si>
  <si>
    <t xml:space="preserve"> 000400 </t>
  </si>
  <si>
    <t>ARAME RECOZIDO ISGW #16 (0,032kg/m) (55 AMARRAS/pm3)</t>
  </si>
  <si>
    <t xml:space="preserve"> 003826 </t>
  </si>
  <si>
    <t>CAIXA DE PASSAGEM FERRO ESMALTADO 3"x3"</t>
  </si>
  <si>
    <t xml:space="preserve"> 001566 </t>
  </si>
  <si>
    <t>ELETRODUTO GALVANIZADO NBR 5597 20mm 3/4" (1,472kg/m)</t>
  </si>
  <si>
    <t xml:space="preserve"> 006359 </t>
  </si>
  <si>
    <t>PORCA E ARRUELA A325 1/4" PARA FIXACAO DE LEITOS</t>
  </si>
  <si>
    <t>Pontos de Suprimento de Telefone</t>
  </si>
  <si>
    <t xml:space="preserve"> 6554 </t>
  </si>
  <si>
    <t>Parafuso cabeça lentilha auto-travante 1/4" x 1/2"</t>
  </si>
  <si>
    <t xml:space="preserve"> 13323 </t>
  </si>
  <si>
    <t xml:space="preserve"> P.13.000.042351 </t>
  </si>
  <si>
    <t>Tomada para TV, tipo pino Jack, com placa, ref. linha Trii da Tramontina, Simon, Pial Legrand, ou equivalente</t>
  </si>
  <si>
    <t xml:space="preserve"> P.17.000.042521 </t>
  </si>
  <si>
    <t>Detector óptico de fumaça endereçável, com base de fixação, ref. BH-300 da Kidde, Protege ou equivalente</t>
  </si>
  <si>
    <t xml:space="preserve"> B010000016 </t>
  </si>
  <si>
    <t>AJUDANTE DE ELETRICISTA</t>
  </si>
  <si>
    <t xml:space="preserve"> B010000058 </t>
  </si>
  <si>
    <t xml:space="preserve"> 005776 </t>
  </si>
  <si>
    <t>ACIONADOR MANUAL PARA AVISO DE EMERGENCIA 420 INTELBRAS</t>
  </si>
  <si>
    <t xml:space="preserve"> 047595 </t>
  </si>
  <si>
    <t>SINALIZADOR VISUAL E SONORO CONVENCIONAL SAV420</t>
  </si>
  <si>
    <t xml:space="preserve"> MAO-OFC-075 </t>
  </si>
  <si>
    <t xml:space="preserve"> MAO-AJD-040 </t>
  </si>
  <si>
    <t>CAIXA DE LIGAÇÃO PARA ELETRODUTO FLEXÍVEL EM PAREDE DE GESSO ACARTONADO(APLICAÇÃO: EMBUTIR [EM DRY-WALL]| MATERIAL: PVC|ALTURA: 4[ 105MM]|LARGURA: 4[ 105MM]|PROFUNDIDADE*: 47MM)*MEDIDAS REFERENCIAIS APROXIMADAS</t>
  </si>
  <si>
    <t xml:space="preserve"> 036707 </t>
  </si>
  <si>
    <t>MODULO DE CONTROLE CENTRAL CS-NET WEB (CSNET WEB) HITACHI</t>
  </si>
  <si>
    <t xml:space="preserve"> 063806 </t>
  </si>
  <si>
    <t>START UP MODULO DE CONTROLE CENTRAL NET WEB (VALOR DE REFERENCIA, PODENDO VARIAR EM FUNCAO DE TIPO E QUANTIDADE DE EQUIPAMENTOS)</t>
  </si>
  <si>
    <t xml:space="preserve"> 88266 </t>
  </si>
  <si>
    <t xml:space="preserve"> 88243 </t>
  </si>
  <si>
    <t xml:space="preserve"> 203049 </t>
  </si>
  <si>
    <t>CENTRAL DE ALARME DE INCENDIO INTELBRAS CIE 1125C</t>
  </si>
  <si>
    <t xml:space="preserve"> 007366 </t>
  </si>
  <si>
    <t>MASTRO DE PARA-RAIOS GALVANIZADO 1.1/2"x3,0m</t>
  </si>
  <si>
    <t xml:space="preserve"> 012620 </t>
  </si>
  <si>
    <t>CABO DE COBRE NU MEIO DURO 7 FIOS 35mm2</t>
  </si>
  <si>
    <t xml:space="preserve"> P.19.000.042237 </t>
  </si>
  <si>
    <t>Base para mastro em aço galvanizado de 2´, ref. PK 0505 da Paraklim ou equivalente</t>
  </si>
  <si>
    <t xml:space="preserve"> P.19.000.042238 </t>
  </si>
  <si>
    <t>Contraventagem com cabo para mastro de 2´</t>
  </si>
  <si>
    <t xml:space="preserve"> P.19.000.042234 </t>
  </si>
  <si>
    <t>Isolador galvanizado reforçado para mastro 2´, com 2 descida</t>
  </si>
  <si>
    <t xml:space="preserve"> P.19.000.048002 </t>
  </si>
  <si>
    <t>Barra condutora chata em alumínio de 7/8´ x 1/8´ x 3 m; ref. TEL 771 da Termotécnica ou equivalente</t>
  </si>
  <si>
    <t xml:space="preserve"> P.30.000.042212 </t>
  </si>
  <si>
    <t>Conector Split-Bolt para cabo de 35mm², em latão, com rabicho</t>
  </si>
  <si>
    <t xml:space="preserve"> P.30.000.090458 </t>
  </si>
  <si>
    <t>Terminal de pressão para cabo 35mm²</t>
  </si>
  <si>
    <t xml:space="preserve"> P.19.000.042250 </t>
  </si>
  <si>
    <t>Conector tipo olhal reforçado cabo/haste de 5/8", em latão forjado natural; ref. PK-0104 Paraklin, PRT-908 Paratec, 662301 Magnet, DR-097 Raycon, PG-0104 Paragam, Th-58-R Intelli, TTC004-1 Conimel ou equivalente</t>
  </si>
  <si>
    <t xml:space="preserve"> P.30.000.042209 </t>
  </si>
  <si>
    <t>Conector Split-Bolt para cabo de 50mm², em latão, simples</t>
  </si>
  <si>
    <t>CONDUTORES DE ATERRAMENTO</t>
  </si>
  <si>
    <t xml:space="preserve"> 74.17.15 </t>
  </si>
  <si>
    <t>CABO DE COBRE NU (CORDOALHA) 50,0MM2</t>
  </si>
  <si>
    <t>Drenos</t>
  </si>
  <si>
    <t xml:space="preserve"> 10554 </t>
  </si>
  <si>
    <t>Encargos Complementares - Encanador</t>
  </si>
  <si>
    <t xml:space="preserve"> 4690 </t>
  </si>
  <si>
    <t>Tubo pead flexivel corrugado perfurado d= 4" (Kananet ou similar)</t>
  </si>
  <si>
    <t xml:space="preserve"> 00002696 </t>
  </si>
  <si>
    <t xml:space="preserve"> 3032 </t>
  </si>
  <si>
    <t xml:space="preserve"> 0008 </t>
  </si>
  <si>
    <t>AJUDANTE</t>
  </si>
  <si>
    <t xml:space="preserve"> 0012 </t>
  </si>
  <si>
    <t xml:space="preserve"> 3035 </t>
  </si>
  <si>
    <t xml:space="preserve"> 3037 </t>
  </si>
  <si>
    <t xml:space="preserve"> 1.01.16 </t>
  </si>
  <si>
    <t>AJUDANTE ELETRICISTA</t>
  </si>
  <si>
    <t xml:space="preserve"> 1.01.15 </t>
  </si>
  <si>
    <t xml:space="preserve"> 4.50.03 </t>
  </si>
  <si>
    <t>CAIXA PASS CH TAMPA PARAF 20X20X10 CM</t>
  </si>
  <si>
    <t xml:space="preserve"> 4.50.07 </t>
  </si>
  <si>
    <t>CAIXA PASS CH TAMPA PARAF 40X40X15 CM</t>
  </si>
  <si>
    <t xml:space="preserve"> P.08.000.043053 </t>
  </si>
  <si>
    <t>Cabo cobre flexível 6 mm², isolamento 0,6/1 kV - isolação HEPR 90°C, têmpera mole, classe 5, baixa emissão fumaça, ref. Cabos Afumex Prysmian; Atexsil Sil; ToxFree Conduspar ou equivalente</t>
  </si>
  <si>
    <t xml:space="preserve"> P.08.000.043054 </t>
  </si>
  <si>
    <t>Cabo cobre flexível 10 mm², isolamento 0,6/1 kV - isolação HEPR 90°C, têmpera mole, classe 5, baixa emissão fumaça, ref. Cabos Afumex Prysmian; Atexsil Sil; ToxFree Conduspar ou equivalente</t>
  </si>
  <si>
    <t xml:space="preserve"> P.08.000.043055 </t>
  </si>
  <si>
    <t>Cabo cobre flexível 16 mm², isolamento 0,6/1 kV - isolação HEPR 90°C, têmpera mole, classe 5, baixa emissão fumaça, ref. Cabos Afumex Prysmian; Atexsil Sil; ToxFree Conduspar ou equivalente</t>
  </si>
  <si>
    <t xml:space="preserve"> P.08.000.043056 </t>
  </si>
  <si>
    <t>Cabo cobre flexível 25 mm², isolamento 0,6/1 kV - isolação HEPR 90°C, têmpera mole, classe 5, baixa emissão fumaça, ref. Cabos Afumex Prysmian; Atexsil Sil; ToxFree Conduspar ou equivalente</t>
  </si>
  <si>
    <t xml:space="preserve"> P.08.000.043057 </t>
  </si>
  <si>
    <t>Cabo cobre flexível 35 mm², isolamento 0,6/1 kV - isolação HEPR 90°C, têmpera mole, classe 5, baixa emissão fumaça, ref. Cabos Afumex Prysmian; Atexsil Sil; ToxFree Conduspar ou equivalente</t>
  </si>
  <si>
    <t xml:space="preserve"> P.08.000.043058 </t>
  </si>
  <si>
    <t>Cabo cobre flexível 50 mm², isolamento 0,6/1 kV - isolação HEPR 90°C, têmpera mole, classe 5, baixa emissão fumaça, ref. Cabos Afumex Prysmian; Atexsil Sil; ToxFree Conduspar ou equivalente</t>
  </si>
  <si>
    <t xml:space="preserve"> P.08.000.043063 </t>
  </si>
  <si>
    <t>Cabo cobre flexível 185 mm², isolamento 0,6/1 kV - isolação HEPR 90°C, têmpera mole, classe 5, baixa emissão fumaça, ref. Cabos Afumex Prysmian; Atexsil Sil; ToxFree Conduspar ou equivalente</t>
  </si>
  <si>
    <t xml:space="preserve"> P.30.000.049430 </t>
  </si>
  <si>
    <t>Terminal de pressão para cabo 6 até 10mm² (8AWG)</t>
  </si>
  <si>
    <t xml:space="preserve"> P.30.000.049582 </t>
  </si>
  <si>
    <t>Terminal de pressão para cabo 16mm² (6AWG)</t>
  </si>
  <si>
    <t xml:space="preserve"> P.30.000.049431 </t>
  </si>
  <si>
    <t>Terminal de pressão para cabo 25mm² (4AWG)</t>
  </si>
  <si>
    <t xml:space="preserve"> P.30.000.049432 </t>
  </si>
  <si>
    <t>Terminal de pressão para cabo 50mm² (1/0AWG)</t>
  </si>
  <si>
    <t xml:space="preserve"> P.30.000.049541 </t>
  </si>
  <si>
    <t>Terminal de pressão/compressão para cabo 120mm² (250MCM)</t>
  </si>
  <si>
    <t xml:space="preserve"> P.30.000.049542 </t>
  </si>
  <si>
    <t>Terminal de pressão/compressão para cabo 240mm² (500MCM)</t>
  </si>
  <si>
    <t>Pontos de Suprimento de Lógica</t>
  </si>
  <si>
    <t xml:space="preserve"> 448 </t>
  </si>
  <si>
    <t>Caixa de passagem em alumínio 30 x 30 x 10 cm</t>
  </si>
  <si>
    <t>INEL - INSTALAÇÃO ELÉTRICA/ELETRIFICAÇÃO E ILUMINAÇÃO EXTERNA</t>
  </si>
  <si>
    <t xml:space="preserve"> 00038101 </t>
  </si>
  <si>
    <t xml:space="preserve"> 00038102 </t>
  </si>
  <si>
    <t xml:space="preserve"> 88629 </t>
  </si>
  <si>
    <t xml:space="preserve"> P.13.000.042285 </t>
  </si>
  <si>
    <t>Placa com ou sem furo, em poliestireno de 4´x 2´, ref. modelo Silentoque da Pial ou equivalente</t>
  </si>
  <si>
    <t xml:space="preserve"> P.13.000.042286 </t>
  </si>
  <si>
    <t>Placa de 4´x 4´</t>
  </si>
  <si>
    <t xml:space="preserve"> 049526 </t>
  </si>
  <si>
    <t>LUMINARIA/REFLETOR 100W LED LINEAR BLINDADO A PROVA DE AGUA</t>
  </si>
  <si>
    <t xml:space="preserve"> 006525 </t>
  </si>
  <si>
    <t xml:space="preserve"> P.04.000.062115 </t>
  </si>
  <si>
    <t>Eletrocalha perfurada galvanizada a fogo, 100x50mm</t>
  </si>
  <si>
    <t>Tomadas Convencionais e Interruptores</t>
  </si>
  <si>
    <t xml:space="preserve"> 13645 </t>
  </si>
  <si>
    <t xml:space="preserve"> P.04.000.062132 </t>
  </si>
  <si>
    <t>Eletrocalha perfurada galvanizada a fogo, 150x100mm</t>
  </si>
  <si>
    <t>Tubos e Conexões de PVC Rígido Soldável para Esgoto</t>
  </si>
  <si>
    <t>Adesivo pvc em frasco de 850 gramas</t>
  </si>
  <si>
    <t>kg</t>
  </si>
  <si>
    <t xml:space="preserve"> 2036 </t>
  </si>
  <si>
    <t>Solucao limpadora pvc</t>
  </si>
  <si>
    <t>l</t>
  </si>
  <si>
    <t xml:space="preserve"> 004477 </t>
  </si>
  <si>
    <t>ANEL BORRACHA PARA PVC 50mm</t>
  </si>
  <si>
    <t xml:space="preserve"> 004479 </t>
  </si>
  <si>
    <t>ANEL BORRACHA PARA PVC 75mm</t>
  </si>
  <si>
    <t xml:space="preserve"> 004481 </t>
  </si>
  <si>
    <t>ANEL BORRACHA PARA PVC SERIE R 100mm</t>
  </si>
  <si>
    <t xml:space="preserve"> 001146 </t>
  </si>
  <si>
    <t>ANEL BORRACHA PARA PVC 150mm</t>
  </si>
  <si>
    <t xml:space="preserve"> 003389 </t>
  </si>
  <si>
    <t>ADESIVO PARA PVC bisnaga de 75 gramas</t>
  </si>
  <si>
    <t xml:space="preserve"> 00006138 </t>
  </si>
  <si>
    <t>Louças e Metais Sanitários</t>
  </si>
  <si>
    <t xml:space="preserve"> 981 </t>
  </si>
  <si>
    <t>Fita veda rosca 18mm</t>
  </si>
  <si>
    <t xml:space="preserve"> 2016 </t>
  </si>
  <si>
    <t>Sifão para pia de cozinha ou tanque, DECA ref. 1680.C112, acabamento cromado 1 1/2 x 1 1/2 ou similar.</t>
  </si>
  <si>
    <t>CAIXAS DE PVC / EQUIPAMENTOS</t>
  </si>
  <si>
    <t xml:space="preserve"> 010118 </t>
  </si>
  <si>
    <t>ENCANADOR - (OFICIAL - SINDUSCON) (LABOR)</t>
  </si>
  <si>
    <t xml:space="preserve"> 069512 </t>
  </si>
  <si>
    <t>FITA DE VEDACAO 18MM X 50M (LABOR)</t>
  </si>
  <si>
    <t xml:space="preserve"> 064515 </t>
  </si>
  <si>
    <t>SIFAO DE PVC DIAMETRO 2" (LABOR)</t>
  </si>
  <si>
    <t xml:space="preserve"> 003487 </t>
  </si>
  <si>
    <t>LIXA PARA MADEIRA S422 NORTON 100</t>
  </si>
  <si>
    <t xml:space="preserve"> 003889 </t>
  </si>
  <si>
    <t>SOLUCAO LIMPADORA PARA TUBOS PVC FRASCO 1 LITRO</t>
  </si>
  <si>
    <t xml:space="preserve"> 006946 </t>
  </si>
  <si>
    <t>ANEL BORRACHA P/ FoFo JUNTA ELASTICA DN 100 PARA AGUA</t>
  </si>
  <si>
    <t xml:space="preserve"> 004281 </t>
  </si>
  <si>
    <t>JOELHO 87 30" FERRO FUNDIDO 100mm</t>
  </si>
  <si>
    <t xml:space="preserve"> 006948 </t>
  </si>
  <si>
    <t>LUBRIFICANTE EM PASTA 1000GR TIGRE</t>
  </si>
  <si>
    <t xml:space="preserve"> 006989 </t>
  </si>
  <si>
    <t>ANEL BORRACHA P/ FoFo JUNTA ELASTICA DN 150 PARA AGUA</t>
  </si>
  <si>
    <t xml:space="preserve"> 003699 </t>
  </si>
  <si>
    <t xml:space="preserve"> 005008 </t>
  </si>
  <si>
    <t xml:space="preserve"> 88262 </t>
  </si>
  <si>
    <t xml:space="preserve"> 88239 </t>
  </si>
  <si>
    <t xml:space="preserve"> 88304 </t>
  </si>
  <si>
    <t xml:space="preserve"> 88316 </t>
  </si>
  <si>
    <t xml:space="preserve"> 006473 </t>
  </si>
  <si>
    <t>COMPENSADO RESINADO FENOLICO 12mm 2,20x1.10m(2,42m2)</t>
  </si>
  <si>
    <t xml:space="preserve"> 001350 </t>
  </si>
  <si>
    <t>PONTALETE 7,5x7,5cm (3x3") PERNA/BARROTE/ESTRONCA</t>
  </si>
  <si>
    <t xml:space="preserve"> 001450 </t>
  </si>
  <si>
    <t>PREGO FERRO GALVANIZADO 16x24 (285 un/kg)</t>
  </si>
  <si>
    <t>DROP - DRENAGEM/OBRAS DE CONTENÇÃO / POÇOS DE VISITA E CAIXAS</t>
  </si>
  <si>
    <t xml:space="preserve"> 91277 </t>
  </si>
  <si>
    <t xml:space="preserve"> 90586 </t>
  </si>
  <si>
    <t xml:space="preserve"> 5631 </t>
  </si>
  <si>
    <t xml:space="preserve"> 88245 </t>
  </si>
  <si>
    <t xml:space="preserve"> 88309 </t>
  </si>
  <si>
    <t xml:space="preserve"> 00000370 </t>
  </si>
  <si>
    <t xml:space="preserve"> 00001379 </t>
  </si>
  <si>
    <t xml:space="preserve"> 00005061 </t>
  </si>
  <si>
    <t xml:space="preserve"> 00006189 </t>
  </si>
  <si>
    <t xml:space="preserve"> 00006240 </t>
  </si>
  <si>
    <t xml:space="preserve"> 00007258 </t>
  </si>
  <si>
    <t>LIPR - LIGAÇÕES PREDIAIS ÁGUA/ESGOTO/ENERGIA/TELEFONE</t>
  </si>
  <si>
    <t xml:space="preserve"> B.07.000.069552 </t>
  </si>
  <si>
    <t>Fita teflon de 18 mm</t>
  </si>
  <si>
    <t xml:space="preserve"> TWBE54 </t>
  </si>
  <si>
    <t>Chave Bóia regulador sensor de nível Cylem Flyght ENM-10</t>
  </si>
  <si>
    <t>ASTU - ASSENTAMENTO DE TUBOS E PECAS</t>
  </si>
  <si>
    <t xml:space="preserve"> 88238 </t>
  </si>
  <si>
    <t xml:space="preserve"> 00005086 </t>
  </si>
  <si>
    <t>Equipamento</t>
  </si>
  <si>
    <t>Tubos e Conexões de PVC Rígido Soldável</t>
  </si>
  <si>
    <t>INHI - INSTALAÇÕES HIDROS SANITÁRIAS</t>
  </si>
  <si>
    <t xml:space="preserve"> 00011267 </t>
  </si>
  <si>
    <t xml:space="preserve"> 00039996 </t>
  </si>
  <si>
    <t xml:space="preserve"> 00039997 </t>
  </si>
  <si>
    <t>Equipamento para Aquisição Permanente</t>
  </si>
  <si>
    <t>cj</t>
  </si>
  <si>
    <t xml:space="preserve"> 90776 </t>
  </si>
  <si>
    <t xml:space="preserve"> 006275 </t>
  </si>
  <si>
    <t>FERRAMENTAS - ESCOVA DE ACO 6 FIEIRAS SEM CABO</t>
  </si>
  <si>
    <t xml:space="preserve"> 006276 </t>
  </si>
  <si>
    <t>MACARICO GAS GL C/MANGUEIRA-SERVICOS IMPERMEABILIZACAO</t>
  </si>
  <si>
    <t xml:space="preserve"> 006273 </t>
  </si>
  <si>
    <t>PASTA PARA SOLDA (FLUXO)97 x 3 (Sn Cu)</t>
  </si>
  <si>
    <t>GR</t>
  </si>
  <si>
    <t xml:space="preserve"> 004822 </t>
  </si>
  <si>
    <t>SOLDA FOSCOPE PARA FIXACAO DE CONEXOES EM COBRE</t>
  </si>
  <si>
    <t>pç</t>
  </si>
  <si>
    <t xml:space="preserve"> TWBE65 </t>
  </si>
  <si>
    <t xml:space="preserve"> 00000296 </t>
  </si>
  <si>
    <t xml:space="preserve"> 00020078 </t>
  </si>
  <si>
    <t xml:space="preserve"> 00000297 </t>
  </si>
  <si>
    <t>INES - INSTALAÇÕES ESPECIAIS</t>
  </si>
  <si>
    <t xml:space="preserve"> 00037595 </t>
  </si>
  <si>
    <t xml:space="preserve"> TWBE69 </t>
  </si>
  <si>
    <t xml:space="preserve"> 00004350 </t>
  </si>
  <si>
    <t xml:space="preserve"> 00010900 </t>
  </si>
  <si>
    <t xml:space="preserve"> 00010904 </t>
  </si>
  <si>
    <t xml:space="preserve"> 00020971 </t>
  </si>
  <si>
    <t xml:space="preserve"> 00037554 </t>
  </si>
  <si>
    <t xml:space="preserve"> 00010885 </t>
  </si>
  <si>
    <t xml:space="preserve"> 00021037 </t>
  </si>
  <si>
    <t xml:space="preserve"> TWBE73 </t>
  </si>
  <si>
    <t xml:space="preserve"> 00020963 </t>
  </si>
  <si>
    <t xml:space="preserve"> TWBE74 </t>
  </si>
  <si>
    <t>Tubos e Conexões de Ferro Galvanizado</t>
  </si>
  <si>
    <t xml:space="preserve"> 001626 </t>
  </si>
  <si>
    <t>TE 90 FERRO GALVANIZADO 2.1/2"</t>
  </si>
  <si>
    <t xml:space="preserve"> 001627 </t>
  </si>
  <si>
    <t>TE 90 FERRO GALVANIZADO 3"</t>
  </si>
  <si>
    <t xml:space="preserve"> B.01.000.010119 </t>
  </si>
  <si>
    <t>Ajudante de encanador</t>
  </si>
  <si>
    <t xml:space="preserve"> B.01.000.010118 </t>
  </si>
  <si>
    <t>Encanador</t>
  </si>
  <si>
    <t xml:space="preserve"> O.16.000.063528 </t>
  </si>
  <si>
    <t>Tampão de engate rápido em latão, Storz de 2 1/2´</t>
  </si>
  <si>
    <t xml:space="preserve"> 88251 </t>
  </si>
  <si>
    <t xml:space="preserve"> 88315 </t>
  </si>
  <si>
    <t xml:space="preserve"> 88325 </t>
  </si>
  <si>
    <t xml:space="preserve"> 000100 </t>
  </si>
  <si>
    <t>AREIA GROSSA LAVADA</t>
  </si>
  <si>
    <t xml:space="preserve"> 000050 </t>
  </si>
  <si>
    <t>CIMENTO PORTLAND CP III 32RS NBR 11578 (quilo)</t>
  </si>
  <si>
    <t xml:space="preserve"> 88277 </t>
  </si>
  <si>
    <t xml:space="preserve"> 00038383 </t>
  </si>
  <si>
    <t xml:space="preserve"> 2001 </t>
  </si>
  <si>
    <t>Saída horizontal para eletroduto 1" (ref. vl 33 valemam ou similar)</t>
  </si>
  <si>
    <t xml:space="preserve"> 13355 </t>
  </si>
  <si>
    <t xml:space="preserve"> 003435 </t>
  </si>
  <si>
    <t>BUCHA DE ALUMINIO PARA ELETRODUTO 1"</t>
  </si>
  <si>
    <t xml:space="preserve"> ED-19583 </t>
  </si>
  <si>
    <t>FIXAÇÃO DE PERFILADO HORIZONTAL, INCLUSIVE SUPORTE, VERGALHÃO E ACESSÓRIOS, EXCLUSIVE PERFILADO</t>
  </si>
  <si>
    <t>ARRUELA LISA REDONDA ( DIÂMETRO 6,35MM (1/4")| PESO/100PÇ: 0,204 KG)</t>
  </si>
  <si>
    <t>PARAFUSO (ROSCA: INTEIRA|APLICAÇÃO: ELETROCALHA E PERFILADO|CABEÇA: LENTILHA|MATERIAL: INOX| ACABAMENTO: CROMADO| BITOLA: 1/4"[6,35MM]X1/2"[ 12,7MM]|PESO/100PÇ: 0, 541KG)</t>
  </si>
  <si>
    <t>PERFILADO (TIPO: LISO| MATERIAL: CHAPA DE AÇO| TRATAMENTO: PRÉ- ZINCADO|CHAPA: N°18| LARGURA: 38MM|ALTURA: 38MM|TAMPA: NÃO INCLUSA)</t>
  </si>
  <si>
    <t>PORCA SEXTAVADA ( MATERIAL: AÇO| DIÂMETRO : 6,35MM [1/4"]| PESO/100PÇ : 0,320 KG)</t>
  </si>
  <si>
    <t>TALA RETA (TRATAMENTO: PRÉ-ZINCADO|CHAPA: N°18 |MEDIDA: 38MM|APLICAÇÃO : EMENDA PARA PERFILADO)</t>
  </si>
  <si>
    <t>TAMPA PARA PERFILADO ( TIPO: ENCAIXE| TRATAMENTO: PRÉ- ZINCADO|CHAPA: N°24| MEDIDA: 38MM)</t>
  </si>
  <si>
    <t>Aparelhos, Utensílios e Equipamentos Elétricos</t>
  </si>
  <si>
    <t xml:space="preserve"> 10592 </t>
  </si>
  <si>
    <t>Encargos Complementares - Cabista</t>
  </si>
  <si>
    <t>Cabista para instalação telefônica</t>
  </si>
  <si>
    <t>Abraçadeira de nylon p/amarração de cabos 140mm x 3,5mm</t>
  </si>
  <si>
    <t>Abraçadeira de nylon p/amarração de cabos 285mm x 3,5mm</t>
  </si>
  <si>
    <t xml:space="preserve"> 1089 </t>
  </si>
  <si>
    <t>Guia de cabos fechado 19" 1U Guia de cabos fechado 19"1U</t>
  </si>
  <si>
    <t xml:space="preserve"> 1659 </t>
  </si>
  <si>
    <t>Painel de fechamento 19"</t>
  </si>
  <si>
    <t xml:space="preserve"> 1688 </t>
  </si>
  <si>
    <t>Parafuso com porca gaiola</t>
  </si>
  <si>
    <t xml:space="preserve"> 6638 </t>
  </si>
  <si>
    <t>Patch panel 24 portas cat.6, Wiring</t>
  </si>
  <si>
    <t xml:space="preserve"> 00000414 </t>
  </si>
  <si>
    <t xml:space="preserve"> D.05.000.023509 </t>
  </si>
  <si>
    <t>Divisória para sanitários, painéis em laminado melamínico estrutural, perfis em alumínio, inclusive ferragem</t>
  </si>
  <si>
    <t xml:space="preserve"> 88261 </t>
  </si>
  <si>
    <t xml:space="preserve"> 008624 </t>
  </si>
  <si>
    <t>ADUELA/MARCO/BATENTE MADEIRA 3,5x14cm P/PINTURA</t>
  </si>
  <si>
    <t xml:space="preserve"> 008272 </t>
  </si>
  <si>
    <t>COLA PARA LAMINADO FORMICA 3,78kg/m2</t>
  </si>
  <si>
    <t xml:space="preserve"> 012737 </t>
  </si>
  <si>
    <t>DOBRADICA LATAO CROMADO 3"x2.1/2"</t>
  </si>
  <si>
    <t xml:space="preserve"> 000157 </t>
  </si>
  <si>
    <t>LAMINADO MELAMINICO 1,3mm 1,25x3,08m (3,85m2)FOS/BRILHO</t>
  </si>
  <si>
    <t xml:space="preserve"> 001421 </t>
  </si>
  <si>
    <t>PREGO FERRO GALVANIZADO 12x15 (756 un/kg)</t>
  </si>
  <si>
    <t xml:space="preserve"> 002203 </t>
  </si>
  <si>
    <t>TACO DE MADEIRA PARA FIXACAO DE ESQUADRIAS/CAIXILHOS</t>
  </si>
  <si>
    <t xml:space="preserve"> 008649 </t>
  </si>
  <si>
    <t>TARJETA SOBREPOR TIPO LIVRE/OCUPADO METAL CROMADO</t>
  </si>
  <si>
    <t xml:space="preserve"> 008232 </t>
  </si>
  <si>
    <t>ARGAMASSA MASSA FINA REBOQUIT INTERNO 1,4Kg/mm/m2</t>
  </si>
  <si>
    <t xml:space="preserve"> 88256 </t>
  </si>
  <si>
    <t xml:space="preserve"> 087023 </t>
  </si>
  <si>
    <t>ARGAMASSA PRONTA COLANTE CIMENTCOLA 4,5kg/m2</t>
  </si>
  <si>
    <t xml:space="preserve"> 040303 </t>
  </si>
  <si>
    <t>AZULEJO 20x20cm BRILHANTE BORDA ARREDONDADA BRANCO EXTRA PIERINI</t>
  </si>
  <si>
    <t xml:space="preserve"> 042522 </t>
  </si>
  <si>
    <t>REJUNTE ACRILICO PORTKOLL</t>
  </si>
  <si>
    <t xml:space="preserve"> 88310 </t>
  </si>
  <si>
    <t xml:space="preserve"> 002605 </t>
  </si>
  <si>
    <t>LIXA PARA MASSA 60</t>
  </si>
  <si>
    <t xml:space="preserve"> 005180 </t>
  </si>
  <si>
    <t>MASSA CORRIDA ACRILICA CORAL (25 Kg)</t>
  </si>
  <si>
    <t xml:space="preserve"> 006248 </t>
  </si>
  <si>
    <t>TINTA ACRILICA ILUMINA SEMI-BRILHO SUVINIL (LATA 18 LITROS)</t>
  </si>
  <si>
    <t xml:space="preserve"> 00005318 </t>
  </si>
  <si>
    <t xml:space="preserve"> 00007311 </t>
  </si>
  <si>
    <t xml:space="preserve"> 00007356 </t>
  </si>
  <si>
    <t xml:space="preserve"> 040264 </t>
  </si>
  <si>
    <t>ADUELA/BATENTE/MARCO/CAXONETE(60/90cm)MADEIRA P/PINTURA</t>
  </si>
  <si>
    <t xml:space="preserve"> 001349 </t>
  </si>
  <si>
    <t>ALIZAR/MOLDURA MADEIRA DE LEI 1,5x4,5cm PARA PINTURA</t>
  </si>
  <si>
    <t xml:space="preserve"> 001313 </t>
  </si>
  <si>
    <t>PORTA MADEIRA LISA PARA PINTURA (60/70/80/90cm)</t>
  </si>
  <si>
    <t xml:space="preserve"> 014213 </t>
  </si>
  <si>
    <t>PREGO FERRO GALVANIZADO 15x15 (636 un/kg)</t>
  </si>
  <si>
    <t xml:space="preserve"> 004776 </t>
  </si>
  <si>
    <t>PREGO FERRO GALVANIZADO 19x36 (109 un/kg)</t>
  </si>
  <si>
    <t xml:space="preserve"> 000098 </t>
  </si>
  <si>
    <t>AREIA MEDIA LAVADA</t>
  </si>
  <si>
    <t xml:space="preserve"> 037880 </t>
  </si>
  <si>
    <t>PERFIL ALUMINIO ANODIZADO BELMETAL 48 x 12mm REF. 233</t>
  </si>
  <si>
    <t xml:space="preserve"> 002202 </t>
  </si>
  <si>
    <t>TACO FIXACAO 5x10cm MADEIRA DE LEI</t>
  </si>
  <si>
    <t xml:space="preserve"> 040012 </t>
  </si>
  <si>
    <t>CHAPA ACO INOXIDAVEL 304 USG16 E=1,5mm 12,0kg/m2</t>
  </si>
  <si>
    <t xml:space="preserve"> 000769 </t>
  </si>
  <si>
    <t>PORTA MADEIRA LISA PINTURA 0,60x2,10m</t>
  </si>
  <si>
    <t xml:space="preserve"> 008380 </t>
  </si>
  <si>
    <t>CHAPA ACO INOXIDAVEL 304 USG14 E=2,0mm 16,0kg/m2</t>
  </si>
  <si>
    <t xml:space="preserve"> 000699 </t>
  </si>
  <si>
    <t>PORTA MADEIRA LISA PINTURA 0,80x2,10m</t>
  </si>
  <si>
    <t xml:space="preserve"> 008770 </t>
  </si>
  <si>
    <t>VIDRO LISO INCOLOR 3mm</t>
  </si>
  <si>
    <t xml:space="preserve"> 1.01.39 </t>
  </si>
  <si>
    <t>PEDREIRO</t>
  </si>
  <si>
    <t xml:space="preserve"> 1.01.46 </t>
  </si>
  <si>
    <t>SERVENTE</t>
  </si>
  <si>
    <t xml:space="preserve"> B.01.000.010146 </t>
  </si>
  <si>
    <t>Servente</t>
  </si>
  <si>
    <t xml:space="preserve"> B.01.000.010139 </t>
  </si>
  <si>
    <t>Pedreiro</t>
  </si>
  <si>
    <t xml:space="preserve"> B.02.000.020508 </t>
  </si>
  <si>
    <t>Cimento CPII-E-32 (sacos de 50 kg)</t>
  </si>
  <si>
    <t xml:space="preserve"> B.04.000.020503 </t>
  </si>
  <si>
    <t>Areia média lavada (a granel caçamba fechada)</t>
  </si>
  <si>
    <t xml:space="preserve"> H.03.000.031296 </t>
  </si>
  <si>
    <t>Portão tipo gradil 1 ou 2 folhas, com ou sem bandeira, sob medida</t>
  </si>
  <si>
    <t>Esquadrias de Ferro</t>
  </si>
  <si>
    <t xml:space="preserve"> 10550 </t>
  </si>
  <si>
    <t>Encargos Complementares - Pedreiro</t>
  </si>
  <si>
    <t xml:space="preserve"> 1817 </t>
  </si>
  <si>
    <t xml:space="preserve"> 00004721 </t>
  </si>
  <si>
    <t xml:space="preserve"> 00004750 </t>
  </si>
  <si>
    <t xml:space="preserve"> 12993 </t>
  </si>
  <si>
    <t xml:space="preserve"> 001100 </t>
  </si>
  <si>
    <t>CIMENTO DIRECIONAL BRANCO (SACO 1 QUILOGRAMA)</t>
  </si>
  <si>
    <t xml:space="preserve"> 005437 </t>
  </si>
  <si>
    <t>JUNTA PLASTICA DILATACAO 50 x 4,0cm</t>
  </si>
  <si>
    <t xml:space="preserve"> 005432 </t>
  </si>
  <si>
    <t>PISO FULGET (GRANITO LAVADO) EM PLACAS DE 40x40cm</t>
  </si>
  <si>
    <t xml:space="preserve"> S.01.000.080125 </t>
  </si>
  <si>
    <t>Betoneira reversível com carregador, capacidade de 320 litros, acionamento do motor combustão interna (diesel e gasolina) ou motor elétrico Alfa 320</t>
  </si>
  <si>
    <t xml:space="preserve"> S.04.000.023626 </t>
  </si>
  <si>
    <t>Forro em fibra mineral com placas acústicas removíveis de 625 x 625mm; ref. linha Sandila NRC T24 da OWA do Brasil ou equivalente</t>
  </si>
  <si>
    <t xml:space="preserve"> L.01.000.034021 </t>
  </si>
  <si>
    <t>Forro em painel de gesso acartonado, tipo standard, espessura 12,5mm, estrutura em aço galvanizado; ref. Gypsum FGE, Placostil F530 ou equivalente</t>
  </si>
  <si>
    <t>ESQV - ESQUADRIAS/FERRAGENS/VIDROS</t>
  </si>
  <si>
    <t xml:space="preserve"> O.12.000.092309 </t>
  </si>
  <si>
    <t>Toalheiro plástico em ABS branco tipo dispenser para papel</t>
  </si>
  <si>
    <t xml:space="preserve"> O.11.000.064503 </t>
  </si>
  <si>
    <t>Sifão metálico cromado 1´ x 1 1/2´, com tubo de ligação ajustável; ref. Fabrimar, Esteves, ou equivalente</t>
  </si>
  <si>
    <t xml:space="preserve"> O.11.000.064513 </t>
  </si>
  <si>
    <t>Sifão metálico cromado 1 1/2´  x  2´, com tubo de ligação, ref. Fabrimar, Oriente ou equivalente</t>
  </si>
  <si>
    <t>Soleiras e Rodapés</t>
  </si>
  <si>
    <t xml:space="preserve"> 005800 </t>
  </si>
  <si>
    <t>DUCHA REDONDA PAREDE BRANCA NEW 4" FAME</t>
  </si>
  <si>
    <t xml:space="preserve"> 004066 </t>
  </si>
  <si>
    <t xml:space="preserve"> 003818 </t>
  </si>
  <si>
    <t>RABICHO FLEXIVEL 40cm PVC 1/2" COM CANOPLAS</t>
  </si>
  <si>
    <t xml:space="preserve"> 033131 </t>
  </si>
  <si>
    <t>VALVULA METAL CROMADO 1600 PARA LAVATORIO</t>
  </si>
  <si>
    <t xml:space="preserve"> 036846 </t>
  </si>
  <si>
    <t>TELA ELETROSOLDADA NERVURADA Q-246 10x10 5,6mm (3,91kg/m2)</t>
  </si>
  <si>
    <t>Pavimentações Externas</t>
  </si>
  <si>
    <t xml:space="preserve"> 2866 </t>
  </si>
  <si>
    <t>Mastique de Poliuretano NP1, MBT, BASF ou similar, cartucho com 300ml</t>
  </si>
  <si>
    <t xml:space="preserve"> 10555 </t>
  </si>
  <si>
    <t>Encargos Complementares - Armador</t>
  </si>
  <si>
    <t xml:space="preserve"> 00000378 </t>
  </si>
  <si>
    <t xml:space="preserve"> 00042404 </t>
  </si>
  <si>
    <t xml:space="preserve"> 00042407 </t>
  </si>
  <si>
    <t>Conversão InfoWOrca</t>
  </si>
  <si>
    <t xml:space="preserve"> 10594 </t>
  </si>
  <si>
    <t>Encargos Complementares - Serralheiro ou Operador de Equipamento Leve</t>
  </si>
  <si>
    <t xml:space="preserve"> 12749 </t>
  </si>
  <si>
    <t>Aluguel de Máquina de corte em asfalto/concreto utilizando disco diamantado diam. 350 mm (não inclui o disco)</t>
  </si>
  <si>
    <t>d</t>
  </si>
  <si>
    <t xml:space="preserve"> 12750 </t>
  </si>
  <si>
    <t>Disco de corte diamantado para asfalto e concreto diam. 350mm (utilização 1.000,0m)</t>
  </si>
  <si>
    <t xml:space="preserve"> 12950 </t>
  </si>
  <si>
    <t>bg</t>
  </si>
  <si>
    <t xml:space="preserve"> F.08.000.062026 </t>
  </si>
  <si>
    <t>Guia de polietileno Tarucel, diâmetro de 15 mm</t>
  </si>
  <si>
    <t xml:space="preserve"> F.08.000.024103 </t>
  </si>
  <si>
    <t>Mastique silicone Silix 567; referência comercial Rhodia / Dow Corning 790 ou equivalente</t>
  </si>
  <si>
    <t xml:space="preserve"> A.08.000.020137 </t>
  </si>
  <si>
    <t xml:space="preserve"> C.04.000.020559 </t>
  </si>
  <si>
    <t>Concreto usinado bombeado fck= 30 MPa, slump 8 ± 1cm, brita 1 e 2</t>
  </si>
  <si>
    <t xml:space="preserve"> 88297 </t>
  </si>
  <si>
    <t xml:space="preserve"> 021774 </t>
  </si>
  <si>
    <t>TAXA BOMBA (a partir 15MPa) PARA CONCRETO USINADO</t>
  </si>
  <si>
    <t>Formas</t>
  </si>
  <si>
    <t xml:space="preserve"> 10551 </t>
  </si>
  <si>
    <t>Encargos Complementares - Carpinteiro</t>
  </si>
  <si>
    <t xml:space="preserve"> 1569 </t>
  </si>
  <si>
    <t>Madeira mista serrada (barrote) 6 x 6cm - 0,0036 m3/m (angelim, louro)</t>
  </si>
  <si>
    <t xml:space="preserve"> 6995 </t>
  </si>
  <si>
    <t>Madeira mista serrada (sarrafo) 2,2 x 5,5cm - 0,00121 m³/m</t>
  </si>
  <si>
    <t xml:space="preserve"> 00043132 </t>
  </si>
  <si>
    <t xml:space="preserve"> 00001213 </t>
  </si>
  <si>
    <t xml:space="preserve"> 00002692 </t>
  </si>
  <si>
    <t xml:space="preserve"> 00010567 </t>
  </si>
  <si>
    <t>Quantidade</t>
  </si>
  <si>
    <t xml:space="preserve"> 88307 </t>
  </si>
  <si>
    <t xml:space="preserve"> 88317 </t>
  </si>
  <si>
    <t xml:space="preserve"> 030448 </t>
  </si>
  <si>
    <t>MAQUINA SOLDA ELETR.SMASHWELD 180 BANTAN 3,5kVA</t>
  </si>
  <si>
    <t xml:space="preserve"> 000433 </t>
  </si>
  <si>
    <t>SOLDA-ELETRODO OK 4804 AWS 7018 5,0mm 3/16" (lata 17kg)</t>
  </si>
  <si>
    <t xml:space="preserve"> 030447 </t>
  </si>
  <si>
    <t>MAQUINA SOLDA ELETR.SMASHWELD 180E ESAB 6,1kVA</t>
  </si>
  <si>
    <t xml:space="preserve"> 88274 </t>
  </si>
  <si>
    <t>Kg</t>
  </si>
  <si>
    <t xml:space="preserve"> 1.01.11 </t>
  </si>
  <si>
    <t>CARPINTEIRO</t>
  </si>
  <si>
    <t xml:space="preserve"> 1.01.12 </t>
  </si>
  <si>
    <t>AJUDANTE DE CARPINTEIRO</t>
  </si>
  <si>
    <t xml:space="preserve"> 2.05.36 </t>
  </si>
  <si>
    <t>CONCRETO DOSADO (CONDICAO A) FCK 25 MPA</t>
  </si>
  <si>
    <t xml:space="preserve"> 2.10.11 </t>
  </si>
  <si>
    <t>PONTALETE DE MADEIRA 7.5X7.5CM G1-C2</t>
  </si>
  <si>
    <t xml:space="preserve"> 2.10.13 </t>
  </si>
  <si>
    <t>SARRAFO BRUTO 10X2,5CM G1-C2</t>
  </si>
  <si>
    <t xml:space="preserve"> 2.10.20 </t>
  </si>
  <si>
    <t>TABUA 30X2.5CM G1-C2</t>
  </si>
  <si>
    <t xml:space="preserve"> 2.21.54 </t>
  </si>
  <si>
    <t>PRE-LAJE TREL UNIDIR C/EPS PLT20-100KGF/M2</t>
  </si>
  <si>
    <t xml:space="preserve"> 2.67.60 </t>
  </si>
  <si>
    <t>PREGO</t>
  </si>
  <si>
    <t xml:space="preserve"> 8.03.29 </t>
  </si>
  <si>
    <t>CAMINHAO GUINDASTE SOBRE PNEUS CAPAC.CARGA DE 60 TON</t>
  </si>
  <si>
    <t xml:space="preserve"> 001457 </t>
  </si>
  <si>
    <t>CIMENTO SUPER GROUT QUARTZOLIT 25KG</t>
  </si>
  <si>
    <t xml:space="preserve"> 003118 </t>
  </si>
  <si>
    <t>ACO CA 50 16,0mm (5/8") (1,578 kg/m)</t>
  </si>
  <si>
    <t xml:space="preserve"> 003422 </t>
  </si>
  <si>
    <t>ARRUELA ACO 1/2"</t>
  </si>
  <si>
    <t xml:space="preserve"> 003129 </t>
  </si>
  <si>
    <t>PORCA ACO SEXTAVADA 5/8"</t>
  </si>
  <si>
    <t xml:space="preserve"> MATED- 11098 </t>
  </si>
  <si>
    <t>EXECUÇÃO DE ESTACA TIPO HÉLICE CONTÍNUA DN = 600 MM, EXCETO CONCRETO</t>
  </si>
  <si>
    <t xml:space="preserve"> 032205 </t>
  </si>
  <si>
    <t>BATE ESTACAS MAGAN IM 1200 PM/E 80tn 58CV</t>
  </si>
  <si>
    <t xml:space="preserve"> 006932 </t>
  </si>
  <si>
    <t>PERFIL ACO "I" 310x52mm</t>
  </si>
  <si>
    <t xml:space="preserve"> 080108 </t>
  </si>
  <si>
    <t>PORTA MADEIRA LISA PINTURA 1,00x2,10m</t>
  </si>
  <si>
    <t>PISO - PISOS</t>
  </si>
  <si>
    <t xml:space="preserve"> TWBF03 </t>
  </si>
  <si>
    <t>Fornecimento e instalação de treliça TB9</t>
  </si>
  <si>
    <t xml:space="preserve"> TWBF04 </t>
  </si>
  <si>
    <t xml:space="preserve"> E.18.000.031932 </t>
  </si>
  <si>
    <t>Corrimão duplo em tubo de aço inoxidável com diâmetro de 1 1/2´ e montantes com diâmetro de 2´, acabamento aço inox 304 escovado, fixado com flange e canopla</t>
  </si>
  <si>
    <t xml:space="preserve"> 003909 </t>
  </si>
  <si>
    <t>CUBA ACO INOXIDAVEL RETANGULAR 50x40x17cm - MEKAL</t>
  </si>
  <si>
    <t xml:space="preserve"> 006883 </t>
  </si>
  <si>
    <t>VALVULA METAL CROMADO PARA PIA AMERICANA 3.1/2" BLUKIT</t>
  </si>
  <si>
    <t xml:space="preserve"> E.04.000.037503 </t>
  </si>
  <si>
    <t xml:space="preserve"> 2.50.17 </t>
  </si>
  <si>
    <t>ESTR METALICA ACO NAO PATINAVEL (ASTM A36/A570)</t>
  </si>
  <si>
    <t xml:space="preserve"> 2.50.20 </t>
  </si>
  <si>
    <t>MONTAGEM DE ESTRUTURA METALICA</t>
  </si>
  <si>
    <t xml:space="preserve"> 00043130 </t>
  </si>
  <si>
    <t xml:space="preserve"> 00005068 </t>
  </si>
  <si>
    <t xml:space="preserve"> C.04.000.020556 </t>
  </si>
  <si>
    <t>Concreto usinado bombeado fck= 35 MPa, slump 8 ± 1cm, brita 1 e 2</t>
  </si>
  <si>
    <t xml:space="preserve"> B.01.000.010111 </t>
  </si>
  <si>
    <t>Carpinteiro</t>
  </si>
  <si>
    <t xml:space="preserve"> B.01.000.010112 </t>
  </si>
  <si>
    <t>Ajudante de carpinteiro</t>
  </si>
  <si>
    <t xml:space="preserve"> A.11.000.020364 </t>
  </si>
  <si>
    <t>Locação de escoramento tubular metálico (pontual ou em quadros)</t>
  </si>
  <si>
    <t>KGMES</t>
  </si>
  <si>
    <t xml:space="preserve"> D.02.000.021017 </t>
  </si>
  <si>
    <t>Sarrafo de cedrinho 2,5 x 10 cm</t>
  </si>
  <si>
    <t xml:space="preserve"> D.02.000.021021 </t>
  </si>
  <si>
    <t>Tábua cedrinho 25 mm x 300 mm de 3ª</t>
  </si>
  <si>
    <t xml:space="preserve"> E.02.000.026760 </t>
  </si>
  <si>
    <t>Prego diversas bitolas (referência 18 x 27)</t>
  </si>
  <si>
    <t xml:space="preserve"> F.12.000.028008 </t>
  </si>
  <si>
    <t>Desmoldante para formas</t>
  </si>
  <si>
    <t xml:space="preserve"> B.01.000.010101 </t>
  </si>
  <si>
    <t>Ajudante geral</t>
  </si>
  <si>
    <t xml:space="preserve"> A.12.000.021100 </t>
  </si>
  <si>
    <t>Container escritório com WC, em aço galvanizado, piso compensado naval (escritório), 1 vaso sanitário, 1 lavatório, 1 ponto para chuveiro, piso impermeável e antiderrapante (WC)</t>
  </si>
  <si>
    <t xml:space="preserve"> A.12.000.021098 </t>
  </si>
  <si>
    <t>Container sanitário, módulo aço galvanizado, 2 vasos sanitários, 2 lavatórios/calha e 2 mictórios/calha, 4 pontos para chuveiro, piso impermeável e antiderrapante</t>
  </si>
  <si>
    <t xml:space="preserve"> A.12.000.021099 </t>
  </si>
  <si>
    <t>Container depósito, módulo metálico em aço galvanizado de 6,0x2,3x2,5m, vão livre, piso de concreto, cimentado, madeira ou material equivalente</t>
  </si>
  <si>
    <t>55.01.020</t>
  </si>
  <si>
    <t>Limpeza final da obra</t>
  </si>
  <si>
    <t xml:space="preserve"> 187 </t>
  </si>
  <si>
    <t xml:space="preserve"> 188 </t>
  </si>
  <si>
    <t>ESTRUTURA PRÉ-MOLDADA</t>
  </si>
  <si>
    <t>FORNECEDOR</t>
  </si>
  <si>
    <t>QTDE</t>
  </si>
  <si>
    <t>PREÇO TOTAL</t>
  </si>
  <si>
    <t>COBERTURAS E FECHAMENTOS</t>
  </si>
  <si>
    <t>M01.01.002</t>
  </si>
  <si>
    <t>ESTRUTURA NOLDADA IN LOCO</t>
  </si>
  <si>
    <t>14.28.030</t>
  </si>
  <si>
    <t>74004/003</t>
  </si>
  <si>
    <t xml:space="preserve"> 189 </t>
  </si>
  <si>
    <t xml:space="preserve"> 190 </t>
  </si>
  <si>
    <t>CONCRETO GROUT, PREPARADO NO LOCAL, LANCADO E ADENSADO</t>
  </si>
  <si>
    <t xml:space="preserve"> 192 </t>
  </si>
  <si>
    <t>Elemento vazado em concreto, tipo quadriculado de 39 x 39 x 10 cm</t>
  </si>
  <si>
    <t xml:space="preserve"> 193 </t>
  </si>
  <si>
    <t xml:space="preserve"> 194 </t>
  </si>
  <si>
    <t xml:space="preserve"> 195 </t>
  </si>
  <si>
    <t xml:space="preserve"> 196 </t>
  </si>
  <si>
    <t xml:space="preserve"> 197 </t>
  </si>
  <si>
    <t>Estimado</t>
  </si>
  <si>
    <t>BRS01 - PAINEL DE SISTEMA LINEAR RB FIXADO SOBRE PORTA PAINEL RB AUTOTRAVE TODO EM ALUMÍNIO, COR RAL 7021 - 0,685X 2,96M</t>
  </si>
  <si>
    <t>BRS02 - PAINEL DE SISTEMA LINEAR RB FIXADO SOBRE PORTA PAINEL RB AUTOTRAVE TODO EM ALUMÍNIO, COR RAL 7021 - 0,885X 2,96M</t>
  </si>
  <si>
    <t>BRS03 - PAINEL DE SISTEMA LINEAR RB FIXADO SOBRE PORTA PAINEL RB AUTOTRAVE TODO EM ALUMÍNIO, COR RAL 7021 - 5,405X 2,96M</t>
  </si>
  <si>
    <t>BRS04 - PAINEL DE SISTEMA LINEAR RB FIXADO SOBRE PORTA PAINEL RB AUTOTRAVE TODO EM ALUMÍNIO, COR RAL 7021 - 10,905X 2,96M</t>
  </si>
  <si>
    <t>PAINEÍS REFAX</t>
  </si>
  <si>
    <t xml:space="preserve"> 199 </t>
  </si>
  <si>
    <t>PAINEIS DE VIDRO TEMPERADO COM PERFIL"U"</t>
  </si>
  <si>
    <t>ESQUADRIAS EM ALUMÍNIO E VIDRO</t>
  </si>
  <si>
    <t>PA02 - PORTA DUPLA DE ABRIR DE VENEZIANA DE ALUMÍNIO COM PINTURA ELETROSTÁTICA COR RAL 7021 - 1,74X 2,07M</t>
  </si>
  <si>
    <t xml:space="preserve"> 200 </t>
  </si>
  <si>
    <t>Proposta</t>
  </si>
  <si>
    <t xml:space="preserve">MOBILIÁRIO </t>
  </si>
  <si>
    <t>PAINEÍS ESPECIAIS EM AÇO INOX</t>
  </si>
  <si>
    <t xml:space="preserve"> 201 </t>
  </si>
  <si>
    <t xml:space="preserve"> 202 </t>
  </si>
  <si>
    <t xml:space="preserve"> 203 </t>
  </si>
  <si>
    <t>REGULARIZACAO MANUAL DE SOLO COM NIVELAMENTO E APILOAMENTO</t>
  </si>
  <si>
    <t>21.10.051</t>
  </si>
  <si>
    <t xml:space="preserve"> 204 </t>
  </si>
  <si>
    <t>SOLEIRA EM PERFIL INOX QUADRADO COR PRATA ACAB. ESCOVADO H=10mm, HDL OU SIMILAR</t>
  </si>
  <si>
    <t xml:space="preserve"> 205 </t>
  </si>
  <si>
    <t>RODAPÉ EM PRÉ-MOLDADO  H=10cm</t>
  </si>
  <si>
    <t xml:space="preserve"> 206 </t>
  </si>
  <si>
    <t>RODAPÉ EM PRÉ-MOLDADO  H=30cm</t>
  </si>
  <si>
    <t xml:space="preserve"> 207 </t>
  </si>
  <si>
    <t>Rodapé de poliestireno, espessura de 8 cm</t>
  </si>
  <si>
    <t xml:space="preserve"> 208 </t>
  </si>
  <si>
    <t>PM01 - PORTA SIMPLES DE ABRIR EM MADEIRA COM REVESTIMENTO MELAMÍNICO NA COR BRANCA - 0,70X 2,07M</t>
  </si>
  <si>
    <t xml:space="preserve"> 209 </t>
  </si>
  <si>
    <t>PM02 - PORTA SIMPLES DE ABRIR EM MADEIRA COM REVESTIMENTO MELAMÍNICO NA COR BRANCA - 0,80X 2,10M</t>
  </si>
  <si>
    <t xml:space="preserve"> 210 </t>
  </si>
  <si>
    <t>PM03 - PORTA SIMPLES DE ABRIR EM MADEIRA PARA PCD COM BARRA DE APOIO E CHAPA DE PROTEÇÃO - 0,90X 2,10M</t>
  </si>
  <si>
    <t xml:space="preserve"> 211 </t>
  </si>
  <si>
    <t>PM04 - PORTA SIMPLES DE ABRIR EM MADEIRA COM REVESTIMENTO MELAMÍNICO NA COR BRANCA - 0,90X 2,10M</t>
  </si>
  <si>
    <t xml:space="preserve"> 212 </t>
  </si>
  <si>
    <t xml:space="preserve"> 213 </t>
  </si>
  <si>
    <t xml:space="preserve"> 214 </t>
  </si>
  <si>
    <t xml:space="preserve"> 215 </t>
  </si>
  <si>
    <t>CONJUNTO 6236 PARA BANHEIRO, ACABAMENTO CROMADO LA FONTE</t>
  </si>
  <si>
    <t xml:space="preserve"> 216 </t>
  </si>
  <si>
    <t>DOBRADIÇAS COM ROLAMENTO REF. 80 4x3 - LA FONTE</t>
  </si>
  <si>
    <t xml:space="preserve"> 217 </t>
  </si>
  <si>
    <t>MOLA HIDRÁULICA REF. TS-72 - DORMA</t>
  </si>
  <si>
    <t>32.15.100</t>
  </si>
  <si>
    <t>32.16.040</t>
  </si>
  <si>
    <t xml:space="preserve"> 218 </t>
  </si>
  <si>
    <t xml:space="preserve"> 219 </t>
  </si>
  <si>
    <t>Impermeabilização em manta asfáltica plastomérica com armadura, tipo III, espessura de 4 mm, face exposta em geotêxtil com membrana acrílica</t>
  </si>
  <si>
    <t xml:space="preserve"> 220 </t>
  </si>
  <si>
    <t>Impermeabilização em membrana de asfalto modificado com elastômeros, na cor preta e reforço em tela poliéster</t>
  </si>
  <si>
    <t xml:space="preserve"> 221 </t>
  </si>
  <si>
    <t xml:space="preserve"> 222 </t>
  </si>
  <si>
    <t xml:space="preserve"> 223 </t>
  </si>
  <si>
    <t xml:space="preserve"> 224 </t>
  </si>
  <si>
    <t>14.31.030</t>
  </si>
  <si>
    <t xml:space="preserve"> 225 </t>
  </si>
  <si>
    <t>Tabica metálica 3x3cm para forro de gesso (fornecimento e montagem)</t>
  </si>
  <si>
    <t xml:space="preserve"> 226 </t>
  </si>
  <si>
    <t>CERÂMICA REF LIVERPOOL MATT BLACK 7x24cm, PORTOBELLO OU SIMILAR</t>
  </si>
  <si>
    <t xml:space="preserve"> 227 </t>
  </si>
  <si>
    <t>CERÂMICA REF LIVERPOOL MATT WHITE 7x24cm, PORTOBELLO OU SIMILAR</t>
  </si>
  <si>
    <t xml:space="preserve"> 228 </t>
  </si>
  <si>
    <t>Fechamento em placa cimentícia com espessura de 12 mm</t>
  </si>
  <si>
    <t>44.03.360</t>
  </si>
  <si>
    <t>30.01.061</t>
  </si>
  <si>
    <t>44.03.050</t>
  </si>
  <si>
    <t xml:space="preserve"> 229 </t>
  </si>
  <si>
    <t>ASSENTO SANITARIO COM ABERTURA FRONTAL PARA BACIA VOGUE PLUS</t>
  </si>
  <si>
    <t xml:space="preserve"> 230 </t>
  </si>
  <si>
    <t>TORNEIRA P/LAVATORIO MESA DECAMATIC 1173 CONFORTO FECH.AUTOM</t>
  </si>
  <si>
    <t xml:space="preserve"> 231 </t>
  </si>
  <si>
    <t xml:space="preserve"> 232 </t>
  </si>
  <si>
    <t>CHUVEIRO ELETRICO/ DUCHA FASHION BRANCA - LORENZETTI</t>
  </si>
  <si>
    <t xml:space="preserve"> 233 </t>
  </si>
  <si>
    <t>ESPELHO CRISTAL 4mm COM MOLDURA DE ALUMINIO</t>
  </si>
  <si>
    <t xml:space="preserve"> 234 </t>
  </si>
  <si>
    <t xml:space="preserve"> 235 </t>
  </si>
  <si>
    <t xml:space="preserve"> 236 </t>
  </si>
  <si>
    <t xml:space="preserve"> 237 </t>
  </si>
  <si>
    <t>DISPENSER PARA PROTETOR DE ASSENTO REF. 70610, MELHORAMENTOS OU SIMILAR</t>
  </si>
  <si>
    <t xml:space="preserve"> 238 </t>
  </si>
  <si>
    <t>DISPENSER PARA SAQUINHOS MELBAG REF.: 70780, MELHORAMENTOS OU SIMILAR</t>
  </si>
  <si>
    <t xml:space="preserve"> 239 </t>
  </si>
  <si>
    <t>DISPENSER PARA SABONETE LÍQUIDO REF. 70090, MELHORAMENTOS OU SIMILAR</t>
  </si>
  <si>
    <t xml:space="preserve"> 240 </t>
  </si>
  <si>
    <t>Dispenser papel higiênico em ABS para rolão 300 / 600 m, com visor</t>
  </si>
  <si>
    <t xml:space="preserve"> 241 </t>
  </si>
  <si>
    <t>Ducha higiênica cromada</t>
  </si>
  <si>
    <t xml:space="preserve"> 242 </t>
  </si>
  <si>
    <t>Cabide em aço inox, DECA 2060 C40, acabamento cromado ou similar</t>
  </si>
  <si>
    <t xml:space="preserve"> 243 </t>
  </si>
  <si>
    <t>Espelho de cristal 4mm, com moldura de alumínio, acabamento em laminado, dim. 50 x 70cm</t>
  </si>
  <si>
    <t xml:space="preserve"> 244 </t>
  </si>
  <si>
    <t xml:space="preserve"> 245 </t>
  </si>
  <si>
    <t>Barra de apoio lateral para lavatório, para pessoas com mobilidade reduzida, em tubo de aço inoxidável de 1.1/4", comprimento 25 a 30 cm</t>
  </si>
  <si>
    <t xml:space="preserve"> 246 </t>
  </si>
  <si>
    <t xml:space="preserve"> 247 </t>
  </si>
  <si>
    <t>MOBILIÁRIO URCA</t>
  </si>
  <si>
    <t>17.12.240</t>
  </si>
  <si>
    <t xml:space="preserve"> 248 </t>
  </si>
  <si>
    <t>Rodapé qualquer em alta resistência moldado no local até 10 cm</t>
  </si>
  <si>
    <t xml:space="preserve"> 249 </t>
  </si>
  <si>
    <t>PISO MONOLÍTICO DE ALTA RESISTÊNCIA, REF:. FERCODUR-COR ACABAMENTO TIPO FULGET LAVADO, FERCOBAN OU SIMILAR</t>
  </si>
  <si>
    <t>18.08.072</t>
  </si>
  <si>
    <t xml:space="preserve"> 250 </t>
  </si>
  <si>
    <t>Rodapé em porcelanato esmaltado polido para área interna e ambiente com tráfego médio, grupo de absorção BIa, assentado com argamassa colante industrializada, rejuntado</t>
  </si>
  <si>
    <t>02.02.160</t>
  </si>
  <si>
    <t xml:space="preserve"> 191 </t>
  </si>
  <si>
    <t xml:space="preserve"> 198 </t>
  </si>
  <si>
    <t xml:space="preserve"> 251 </t>
  </si>
  <si>
    <t xml:space="preserve"> 252 </t>
  </si>
  <si>
    <t xml:space="preserve"> 253 </t>
  </si>
  <si>
    <t xml:space="preserve"> 254 </t>
  </si>
  <si>
    <t xml:space="preserve"> 255 </t>
  </si>
  <si>
    <t xml:space="preserve"> 256 </t>
  </si>
  <si>
    <t xml:space="preserve"> 257 </t>
  </si>
  <si>
    <t xml:space="preserve"> 258 </t>
  </si>
  <si>
    <t xml:space="preserve"> 259 </t>
  </si>
  <si>
    <t xml:space="preserve"> 260 </t>
  </si>
  <si>
    <t xml:space="preserve"> 261 </t>
  </si>
  <si>
    <t xml:space="preserve"> 262 </t>
  </si>
  <si>
    <t xml:space="preserve"> 263 </t>
  </si>
  <si>
    <t xml:space="preserve"> 264 </t>
  </si>
  <si>
    <t xml:space="preserve"> 266 </t>
  </si>
  <si>
    <t>Fecho, 40cm x 3/4", acabamento cr (cromado),  La fonte, ref. 400 (ou similar)</t>
  </si>
  <si>
    <t xml:space="preserve"> 267 </t>
  </si>
  <si>
    <t>Fecho, 20cm x 3/4", acabamento cr (cromado),  La fonte, ref. 400 (ou similar)</t>
  </si>
  <si>
    <t xml:space="preserve"> 268 </t>
  </si>
  <si>
    <t>02.03.110</t>
  </si>
  <si>
    <t xml:space="preserve"> 265 </t>
  </si>
  <si>
    <t xml:space="preserve"> 269 </t>
  </si>
  <si>
    <t xml:space="preserve"> 270 </t>
  </si>
  <si>
    <t>Locação de container tipo guarita - área mínima de 4,60 m²</t>
  </si>
  <si>
    <t xml:space="preserve"> 271 </t>
  </si>
  <si>
    <t>Tapume móvel para fechamento de áreas</t>
  </si>
  <si>
    <t xml:space="preserve"> 273 </t>
  </si>
  <si>
    <t>vb</t>
  </si>
  <si>
    <t>39.02.030</t>
  </si>
  <si>
    <t>38.04.120</t>
  </si>
  <si>
    <t>38.04.180</t>
  </si>
  <si>
    <t>09.06.012</t>
  </si>
  <si>
    <t>39.26.110</t>
  </si>
  <si>
    <t>ELE-CXS-130</t>
  </si>
  <si>
    <t>ELE-CXS-135</t>
  </si>
  <si>
    <t>40.02.610</t>
  </si>
  <si>
    <t xml:space="preserve"> 274 </t>
  </si>
  <si>
    <t xml:space="preserve"> 277 </t>
  </si>
  <si>
    <t xml:space="preserve"> 278 </t>
  </si>
  <si>
    <t xml:space="preserve"> 279 </t>
  </si>
  <si>
    <t xml:space="preserve"> 280 </t>
  </si>
  <si>
    <t xml:space="preserve"> 289 </t>
  </si>
  <si>
    <t xml:space="preserve"> 290 </t>
  </si>
  <si>
    <t xml:space="preserve"> 291 </t>
  </si>
  <si>
    <t>CONDULETE DE ALUMÍNIO, TIPO L, PARA ELETRODUTO DE AÇO GALVANIZADO DN 20 MM (3/4''), APARENTE - FORNECIMENTO E INSTALAÇÃO. AF_11/2016_P</t>
  </si>
  <si>
    <t>CONDULETE DE ALUMÍNIO, TIPO L, PARA ELETRODUTO DE AÇO GALVANIZADO DN 25 MM (1''), APARENTE - FORNECIMENTO E INSTALAÇÃO. AF_11/2016_P</t>
  </si>
  <si>
    <t>Cabo de cobre de 6 mm², isolamento 750 V - isolação em PVC 70°C</t>
  </si>
  <si>
    <t>SAIDA HORIZONTAL PARA ELETRODUTO 2""</t>
  </si>
  <si>
    <t>Eletroduto galvanizado conforme NBR13057 -  2´ com acessórios</t>
  </si>
  <si>
    <t>Eletroduto galvanizado conforme NBR13057 -  4´ com acessórios</t>
  </si>
  <si>
    <t>CAIXA DE PASSAGEM Nº 2 PADRÃO TELEBRÁS DIM. (20 X 20 X 12) CM EM CHAPA DE AÇO GALVANIZADO</t>
  </si>
  <si>
    <t>CAIXA DE PASSAGEM Nº 3 PADRÃO TELEBRÁS DIM. (40 X 40 X 12) CM EM CHAPA DE AÇO GALVANIZADO</t>
  </si>
  <si>
    <t>Caixa de passagem para eletricidade em aluminio, dim: 50 x 50 x 15 cm</t>
  </si>
  <si>
    <t>CONDULETE ALUMINIO ""L"" 2"" COM TAMPA</t>
  </si>
  <si>
    <t>Caixa de passagem em alumínio para piso 4" x 2" - Fornecimento e assentamento</t>
  </si>
  <si>
    <t>Caixa de passagem em alumínio fundido à prova de tempo, 200 x 200 mm</t>
  </si>
  <si>
    <t>Cabo de cobre PP Cordplast 2 x 1,5 mm2, 450/750v</t>
  </si>
  <si>
    <t>Prensa cabo de 3/4", fornecimento</t>
  </si>
  <si>
    <t>BARRA GALVANIZADA A FOGO DIAM. 3/8"</t>
  </si>
  <si>
    <t>SAIDA VERTICAL PARA ELETRODUTO D=1"</t>
  </si>
  <si>
    <t>ELETRODUTO FERRO GALVANIZADO ROSCAVEL 1.1/2"" COM CONEXOES</t>
  </si>
  <si>
    <t>ELETRODUTO FERRO GALVANIZADO ROSCAVEL 1.1/4"" COM CONEXOES</t>
  </si>
  <si>
    <t>CURVA 90 ELETRODUTO FERRO GALVANIZADO 1""</t>
  </si>
  <si>
    <t>CURVA ELETRODUTO GALVANIZADO 2""</t>
  </si>
  <si>
    <t>CAIXA DE PASSAGEM CHAPA TAMPA PARAFUSADA DE 30X30X12 CM</t>
  </si>
  <si>
    <t>Bóia elétrica para reservatório superior, marca aquamatic ou similar, capacidade 30 a - fornecimento e instalação</t>
  </si>
  <si>
    <t>Cabo de cobre flexível de 95 mm², isolamento 0,6/1 kV - isolação HEPR 90°C - baixa emissão de fumaça e gases</t>
  </si>
  <si>
    <t>ÁREAS EXTERNAS</t>
  </si>
  <si>
    <t>NOBREAK APC SMC3000XLI-BR SMART-UPS 3,0 KVA (3000VA) 220V - T.E.-127V-1F+T - T.S.-127V-1F+T</t>
  </si>
  <si>
    <t>38.04.060</t>
  </si>
  <si>
    <t>40.20.110</t>
  </si>
  <si>
    <t>QLF-N-COBERTURA SCANNER</t>
  </si>
  <si>
    <t>QF-N-RECALQUE</t>
  </si>
  <si>
    <t>PF-PRESSURIZAÇÃO</t>
  </si>
  <si>
    <t xml:space="preserve"> 304 </t>
  </si>
  <si>
    <t xml:space="preserve"> 307 </t>
  </si>
  <si>
    <t xml:space="preserve"> 308 </t>
  </si>
  <si>
    <t xml:space="preserve"> 309 </t>
  </si>
  <si>
    <t xml:space="preserve"> 310 </t>
  </si>
  <si>
    <t xml:space="preserve"> 311 </t>
  </si>
  <si>
    <t xml:space="preserve"> 312 </t>
  </si>
  <si>
    <t xml:space="preserve"> 313 </t>
  </si>
  <si>
    <t xml:space="preserve"> 314 </t>
  </si>
  <si>
    <t xml:space="preserve"> 315 </t>
  </si>
  <si>
    <t>Caixa de passagem em pvc tipo aquatic, 100x100x50mm</t>
  </si>
  <si>
    <t xml:space="preserve"> 316 </t>
  </si>
  <si>
    <t>Alarme sonoro bitonal 220 V para painel de comando</t>
  </si>
  <si>
    <t xml:space="preserve"> 317 </t>
  </si>
  <si>
    <t xml:space="preserve"> 318 </t>
  </si>
  <si>
    <t xml:space="preserve"> 319 </t>
  </si>
  <si>
    <t xml:space="preserve"> 320 </t>
  </si>
  <si>
    <t>ELETRODUTO FERRO GALVANIZADO ROSCAVEL 3/4"" COM CONEXOES</t>
  </si>
  <si>
    <t xml:space="preserve"> 321 </t>
  </si>
  <si>
    <t xml:space="preserve"> 322 </t>
  </si>
  <si>
    <t xml:space="preserve"> 323 </t>
  </si>
  <si>
    <t xml:space="preserve"> 324 </t>
  </si>
  <si>
    <t xml:space="preserve"> 325 </t>
  </si>
  <si>
    <t>ELETRODUTO FERRO GALVANIZADO ROSCAVEL 2"" COM CONEXOES</t>
  </si>
  <si>
    <t xml:space="preserve"> 326 </t>
  </si>
  <si>
    <t xml:space="preserve"> 327 </t>
  </si>
  <si>
    <t xml:space="preserve"> 328 </t>
  </si>
  <si>
    <t>redução excêntrica - PVC rígido - junta elástica integrada - JEI 200 x 150 mm</t>
  </si>
  <si>
    <t xml:space="preserve"> 332 </t>
  </si>
  <si>
    <t xml:space="preserve"> 333 </t>
  </si>
  <si>
    <t>Tampão em ferro fundido de 600 x 600 mm, classe B 125 (ruptura &gt; 125 kN)</t>
  </si>
  <si>
    <t xml:space="preserve"> 334 </t>
  </si>
  <si>
    <t>Tampão em ferro fundido de 800 x 800 mm, classe B 125 (ruptura &gt; 125 kN)</t>
  </si>
  <si>
    <t xml:space="preserve"> 335 </t>
  </si>
  <si>
    <t>GRELHA EM FERRO FUNDIDO COM CAIXILHO 20x20cm</t>
  </si>
  <si>
    <t>49.06.030</t>
  </si>
  <si>
    <t>49.06.010</t>
  </si>
  <si>
    <t>49.06.080</t>
  </si>
  <si>
    <t>49.06.460</t>
  </si>
  <si>
    <t>TUBO DE PVC PARA REDE COLETORA DE ESGOTO DE PAREDE MACIÇA, DN 300 MM, JUNTA ELÁSTICA, INSTALADO EM LOCAL COM NÍVEL ALTO DE INTERFERÊNCIAS - FORNECIMENTO E ASSENTAMENTO. AF_06/2015</t>
  </si>
  <si>
    <t xml:space="preserve"> 336 </t>
  </si>
  <si>
    <t xml:space="preserve"> 337 </t>
  </si>
  <si>
    <t>TUBO DE PVC PARA REDE COLETORA DE ESGOTO DE PAREDE MACIÇA, DN 250 MM, JUNTA ELÁSTICA, INSTALADO EM LOCAL COM NÍVEL ALTO DE INTERFERÊNCIAS - FORNECIMENTO E ASSENTAMENTO. AF_06/2015</t>
  </si>
  <si>
    <t xml:space="preserve"> 338 </t>
  </si>
  <si>
    <t>Cap de pvc rígido c/ anéis p/ esgoto, diâm. =150mm</t>
  </si>
  <si>
    <t>TUBOS E CONEXÕES - FERRO FUNDIDO</t>
  </si>
  <si>
    <t>46.09.100</t>
  </si>
  <si>
    <t>46.09.120</t>
  </si>
  <si>
    <t xml:space="preserve"> 339 </t>
  </si>
  <si>
    <t xml:space="preserve"> 340 </t>
  </si>
  <si>
    <t xml:space="preserve"> 341 </t>
  </si>
  <si>
    <t xml:space="preserve"> 342 </t>
  </si>
  <si>
    <t xml:space="preserve"> 343 </t>
  </si>
  <si>
    <t xml:space="preserve"> 344 </t>
  </si>
  <si>
    <t xml:space="preserve"> 345 </t>
  </si>
  <si>
    <t xml:space="preserve"> 346 </t>
  </si>
  <si>
    <t xml:space="preserve"> 347 </t>
  </si>
  <si>
    <t>Joelho 87° 30´ em ferro fundido, linha predial tradicional, DN= 50 mm</t>
  </si>
  <si>
    <t xml:space="preserve"> 348 </t>
  </si>
  <si>
    <t>Joelho 87° 30´ em ferro fundido, linha predial tradicional, DN= 100 mm</t>
  </si>
  <si>
    <t xml:space="preserve"> 349 </t>
  </si>
  <si>
    <t>Terminal de ventilação em pvc rígido soldável, para esgoto primário, diâm = 50mm</t>
  </si>
  <si>
    <t xml:space="preserve"> 350 </t>
  </si>
  <si>
    <t xml:space="preserve"> 351 </t>
  </si>
  <si>
    <t xml:space="preserve"> 352 </t>
  </si>
  <si>
    <t xml:space="preserve"> 353 </t>
  </si>
  <si>
    <t xml:space="preserve"> 354 </t>
  </si>
  <si>
    <t xml:space="preserve"> 355 </t>
  </si>
  <si>
    <t xml:space="preserve"> 356 </t>
  </si>
  <si>
    <t>POSTOS DE UTILIZAÇÃO EMBUTIDOS (COM ENGATE RAPIDO)</t>
  </si>
  <si>
    <t xml:space="preserve"> 357 </t>
  </si>
  <si>
    <t xml:space="preserve"> 358 </t>
  </si>
  <si>
    <t>CONECTOR COBRE 35mmx1.1/4""</t>
  </si>
  <si>
    <t>TUBOS E CONEXÕES - PVC RÍGIDO MARROM</t>
  </si>
  <si>
    <t>BOMBAS</t>
  </si>
  <si>
    <t>RESERVATÓRIOS</t>
  </si>
  <si>
    <t>MET-LIG-005</t>
  </si>
  <si>
    <t xml:space="preserve"> 359 </t>
  </si>
  <si>
    <t xml:space="preserve"> 360 </t>
  </si>
  <si>
    <t xml:space="preserve"> 361 </t>
  </si>
  <si>
    <t>Joelho de redução 90º de pvc rígido soldável, marrom  diâm = 25 x 20mm</t>
  </si>
  <si>
    <t xml:space="preserve"> 362 </t>
  </si>
  <si>
    <t xml:space="preserve"> 363 </t>
  </si>
  <si>
    <t xml:space="preserve"> 364 </t>
  </si>
  <si>
    <t>Bucha de redução longa de pvc rígido soldável, marrom, diâm = 50 x 32mm</t>
  </si>
  <si>
    <t xml:space="preserve"> 365 </t>
  </si>
  <si>
    <t xml:space="preserve"> 366 </t>
  </si>
  <si>
    <t xml:space="preserve"> 367 </t>
  </si>
  <si>
    <t xml:space="preserve"> 368 </t>
  </si>
  <si>
    <t>Conector de latão, cobre ou bronze, juntas soldadas, 28mm x 1"</t>
  </si>
  <si>
    <t xml:space="preserve"> 369 </t>
  </si>
  <si>
    <t>Torneira de bóia p/caixa d'agua d= 3/4" (deca ou similar)</t>
  </si>
  <si>
    <t xml:space="preserve"> 370 </t>
  </si>
  <si>
    <t xml:space="preserve"> 371 </t>
  </si>
  <si>
    <t>Torneira cromada para tanque/jardim, 1/2", ref.1153 C39, DECA ou similar</t>
  </si>
  <si>
    <t xml:space="preserve"> 372 </t>
  </si>
  <si>
    <t>Torneira de esfera 3/4"</t>
  </si>
  <si>
    <t xml:space="preserve"> 373 </t>
  </si>
  <si>
    <t>ÁGUA FRIA</t>
  </si>
  <si>
    <t>INCÊNDIO</t>
  </si>
  <si>
    <t xml:space="preserve"> 374 </t>
  </si>
  <si>
    <t xml:space="preserve"> 375 </t>
  </si>
  <si>
    <t>Fornecimento e assentamento de te de redução de ferro galvanizado de 3" x 2 1/2"</t>
  </si>
  <si>
    <t xml:space="preserve"> 376 </t>
  </si>
  <si>
    <t>NIPLE DUPLO GALVANIZADO 2.1/2""</t>
  </si>
  <si>
    <t xml:space="preserve"> 377 </t>
  </si>
  <si>
    <t>NIPLE DUPLO GALVANIZADO 3""</t>
  </si>
  <si>
    <t>EXTINTORES (PORTÁTIL)</t>
  </si>
  <si>
    <t>50.10.140</t>
  </si>
  <si>
    <t>INC-EXT-016</t>
  </si>
  <si>
    <t xml:space="preserve"> 378 </t>
  </si>
  <si>
    <t>Extintor manual de gás carbônico 5 BC - capacidade de 6 kg</t>
  </si>
  <si>
    <t xml:space="preserve"> 379 </t>
  </si>
  <si>
    <t>EXTINTOR DE INCÊNDIO TIPO PÓ QUÍMICO 2-A:20-B:C, CAPACIDADE 6 KG</t>
  </si>
  <si>
    <t xml:space="preserve"> 380 </t>
  </si>
  <si>
    <t xml:space="preserve"> 381 </t>
  </si>
  <si>
    <t xml:space="preserve"> 382 </t>
  </si>
  <si>
    <t xml:space="preserve"> 383 </t>
  </si>
  <si>
    <t>ÁLVULA DE ESFERA BRUTA, BRONZE, ROSCÁVEL, 3'', INSTALADO EM RESERVAÇÃO DE ÁGUA DE EDIFICAÇÃO QUE POSSUA RESERVATÓRIO DE FIBRA/FIBROCIMENTO - FORNECIMENTO E INSTALAÇÃO. AF_06/2016</t>
  </si>
  <si>
    <t xml:space="preserve"> 384 </t>
  </si>
  <si>
    <t>Conector de latão, cobre ou bronze, juntas soldadas, 35mm x 1 1/4"</t>
  </si>
  <si>
    <t xml:space="preserve"> 385 </t>
  </si>
  <si>
    <t xml:space="preserve"> 386 </t>
  </si>
  <si>
    <t>TE DE REDUCAO 90 PVC SOLDAVEL 60 x 50mm</t>
  </si>
  <si>
    <t xml:space="preserve"> 387 </t>
  </si>
  <si>
    <t xml:space="preserve"> 388 </t>
  </si>
  <si>
    <t xml:space="preserve"> 389 </t>
  </si>
  <si>
    <t>GRELHA DE FERRO FUNDIDO PARA CANALETA LARG = 20CM, FORNECIMENTO E ASSENTAMENTO</t>
  </si>
  <si>
    <t>INSTALAÇÕES HIDRÁULICA - ÁGUAS PLUVIAIS, ÁGUA FRIA,  ESGOTO,  INCÊNDIO E GASES</t>
  </si>
  <si>
    <t>10.35.22</t>
  </si>
  <si>
    <t xml:space="preserve"> 390 </t>
  </si>
  <si>
    <t>Joelho de redução 90º de pvc rígido soldável, marrom  diâm = 40 x 32mm</t>
  </si>
  <si>
    <t xml:space="preserve"> 391 </t>
  </si>
  <si>
    <t xml:space="preserve"> 392 </t>
  </si>
  <si>
    <t>Junção simples em pvc rígido soldável, para esgoto primário, diâm = 100 x 50mm</t>
  </si>
  <si>
    <t xml:space="preserve"> 393 </t>
  </si>
  <si>
    <t>Junção simples em pvc rígido soldável, para esgoto primário, diâm = 100 x 75mm</t>
  </si>
  <si>
    <t xml:space="preserve"> 394 </t>
  </si>
  <si>
    <t>Luva de correr em pvc rígido soldável, para esgoto secundário, diâm = 40mm</t>
  </si>
  <si>
    <t xml:space="preserve"> 395 </t>
  </si>
  <si>
    <t>Redução excentrica em pvc rígido soldável, para esgoto primário, diâm =   75 x 50mm</t>
  </si>
  <si>
    <t xml:space="preserve"> 396 </t>
  </si>
  <si>
    <t xml:space="preserve"> 397 </t>
  </si>
  <si>
    <t xml:space="preserve"> 398 </t>
  </si>
  <si>
    <t xml:space="preserve"> 399 </t>
  </si>
  <si>
    <t xml:space="preserve"> 400 </t>
  </si>
  <si>
    <t xml:space="preserve"> 401 </t>
  </si>
  <si>
    <t xml:space="preserve"> 402 </t>
  </si>
  <si>
    <t xml:space="preserve"> 403 </t>
  </si>
  <si>
    <t>CAIXA SIFONADA PVC 100X150X50MM</t>
  </si>
  <si>
    <t>11.16.040</t>
  </si>
  <si>
    <t>11.16.060</t>
  </si>
  <si>
    <t xml:space="preserve"> 404 </t>
  </si>
  <si>
    <t>Lançamento e adensamento de concreto ou massa em estrutura</t>
  </si>
  <si>
    <t xml:space="preserve"> 405 </t>
  </si>
  <si>
    <t>Lançamento e adensamento de concreto ou massa em fundação</t>
  </si>
  <si>
    <t>PRÉ-LAJE</t>
  </si>
  <si>
    <t>13.01.320</t>
  </si>
  <si>
    <t xml:space="preserve"> 406 </t>
  </si>
  <si>
    <t xml:space="preserve"> 407 </t>
  </si>
  <si>
    <t>APILOAMENTO COM MACO DE 30KG</t>
  </si>
  <si>
    <t xml:space="preserve"> 408 </t>
  </si>
  <si>
    <t>TELA ELETROSOLDADA NERVURADA Q92 15x15cm 4,2mm(1,48kg/m2)</t>
  </si>
  <si>
    <t xml:space="preserve"> 409 </t>
  </si>
  <si>
    <t>TELA ELETROSOLDADA NERVURADA Q113 30x10cm 3,8mm(2,11kg/m2)</t>
  </si>
  <si>
    <t xml:space="preserve"> 410 </t>
  </si>
  <si>
    <t xml:space="preserve"> 411 </t>
  </si>
  <si>
    <t xml:space="preserve"> 412 </t>
  </si>
  <si>
    <t>Laje pré-fabricada unidirecional em viga treliçada/lajota em EPS LT 16 (12 + 4), com capa de concreto de 25 MPa</t>
  </si>
  <si>
    <t xml:space="preserve"> 413 </t>
  </si>
  <si>
    <t xml:space="preserve"> 414 </t>
  </si>
  <si>
    <t>DIVISÓRIAS</t>
  </si>
  <si>
    <t>LUMINÁRIAS</t>
  </si>
  <si>
    <t>LUMINÁRIA DE EMBUTIR GREEN SPACE DN393B</t>
  </si>
  <si>
    <t>SPOT BASIC EMBUTIR REF. GD221B WB /3000K, PHILIPS OU SIMILAR</t>
  </si>
  <si>
    <t xml:space="preserve">LUMINÁRIA DE SOBREPOR HERMÉTICA REF. WT118C SMARTLED </t>
  </si>
  <si>
    <t>PANEL G3 36W 620X620 UGR 100-277V, LEDVANCE OU SIMILAR</t>
  </si>
  <si>
    <t>Luva de alumínio Ø3/4"</t>
  </si>
  <si>
    <t>50.10.100</t>
  </si>
  <si>
    <t>TE REDUCAO COBRE 35X22mm</t>
  </si>
  <si>
    <t>Extintor manual de água pressurizada - capacidade de 10 litros</t>
  </si>
  <si>
    <t xml:space="preserve"> 415 </t>
  </si>
  <si>
    <t xml:space="preserve"> 416 </t>
  </si>
  <si>
    <t xml:space="preserve"> 417 </t>
  </si>
  <si>
    <t xml:space="preserve"> 418 </t>
  </si>
  <si>
    <t xml:space="preserve"> 419 </t>
  </si>
  <si>
    <t xml:space="preserve"> 420 </t>
  </si>
  <si>
    <t xml:space="preserve"> 421 </t>
  </si>
  <si>
    <t xml:space="preserve"> 422 </t>
  </si>
  <si>
    <t xml:space="preserve"> 423 </t>
  </si>
  <si>
    <t xml:space="preserve"> 424 </t>
  </si>
  <si>
    <t xml:space="preserve"> 425 </t>
  </si>
  <si>
    <t xml:space="preserve"> 426 </t>
  </si>
  <si>
    <t xml:space="preserve"> 427 </t>
  </si>
  <si>
    <t xml:space="preserve"> 428 </t>
  </si>
  <si>
    <t xml:space="preserve"> 429 </t>
  </si>
  <si>
    <t xml:space="preserve"> 430 </t>
  </si>
  <si>
    <t xml:space="preserve"> 431 </t>
  </si>
  <si>
    <t xml:space="preserve"> 432 </t>
  </si>
  <si>
    <t xml:space="preserve"> 433 </t>
  </si>
  <si>
    <t xml:space="preserve"> 434 </t>
  </si>
  <si>
    <t xml:space="preserve"> 435 </t>
  </si>
  <si>
    <t xml:space="preserve"> 436 </t>
  </si>
  <si>
    <t xml:space="preserve"> 437 </t>
  </si>
  <si>
    <t xml:space="preserve"> 438 </t>
  </si>
  <si>
    <t xml:space="preserve"> 439 </t>
  </si>
  <si>
    <t>ABRIGO PARA HIDRANTE, 90X60X17CM EMBUTIR, COM REGISTRO GLOBO ANGULAR 45 GRAUS 2 1/2", ADAPTADOR STORZ 2 1/2", MANGUEIRA DE INCÊNDIO 30M, REDUÇÃO 2 1/2" X 1 1/2" E ESGUICHO EM LATÃO 1 1/2" - FORNECIMENTO E INSTALAÇÃO. AF_10/2020</t>
  </si>
  <si>
    <t>ABRIGO PARA HIDRANTE, 90X60X17CM SOBREPOR, COM REGISTRO GLOBO ANGULAR 45 GRAUS 2 1/2", ADAPTADOR STORZ 2 1/2", MANGUEIRA DE INCÊNDIO 30M, REDUÇÃO 2 1/2" X 1 1/2" E ESGUICHO EM LATÃO 1 1/2" - FORNECIMENTO E INSTALAÇÃO. AF_10/2020</t>
  </si>
  <si>
    <t>TE REDUCAO COBRE 38X15mm</t>
  </si>
  <si>
    <t>Bucha de redução de cobre, juntas soldadas, diâm = 28mm x 15mm</t>
  </si>
  <si>
    <t xml:space="preserve"> 440 </t>
  </si>
  <si>
    <t>Bucha de redução de cobre, juntas soldadas, diâm = 35mm x 22mm</t>
  </si>
  <si>
    <t xml:space="preserve"> 441 </t>
  </si>
  <si>
    <t>flexível para lavatório - 1/2"</t>
  </si>
  <si>
    <t>flexível para pia - 1/2"</t>
  </si>
  <si>
    <t>flexível para tanque - 1/2"</t>
  </si>
  <si>
    <t>flexível para bacia com caixa acoplada - 1/2"</t>
  </si>
  <si>
    <t>flexível para filtro (bebedouro) - 1/2"</t>
  </si>
  <si>
    <t xml:space="preserve"> 442 </t>
  </si>
  <si>
    <t>EXECUÇÃO DE PISO DE CONCRETO COM CONCRETO MOLDADO IN LOCO, USINADO, ACABAMENTO CONVENCIONAL, ESPESSURA 12 CM, ARMADO. AF_07/2016</t>
  </si>
  <si>
    <t>Roll-on, VU, Calha, Passarela, Estrutura de fechamento</t>
  </si>
  <si>
    <t xml:space="preserve"> 443 </t>
  </si>
  <si>
    <t>Bloco Autônomo para Iluminação de Emergência, com leds de aclaramento, fluxo luminoso constante de 1500Lumens , autonomia superior a 2h na falta de energia, com bateria selada, FLUXEON-1500/L SE IP 43 ACLARAMENTO OU BALIZAMENTO, DJ - SOBREPOR</t>
  </si>
  <si>
    <t xml:space="preserve"> 444 </t>
  </si>
  <si>
    <t>Bloco Autônomo para Iluminação de Emergência, com leds de aclaramento, fluxo luminoso constante de 1500Lumens , autonomia superior a 2h na falta de energia, com bateria selada - FLUXEON-1500/L SE IP 43 ACLARAMENTO, DJ - EMBUTIR FORRO</t>
  </si>
  <si>
    <t xml:space="preserve"> 445 </t>
  </si>
  <si>
    <t xml:space="preserve"> 446 </t>
  </si>
  <si>
    <t xml:space="preserve"> 447 </t>
  </si>
  <si>
    <t xml:space="preserve"> 449 </t>
  </si>
  <si>
    <t xml:space="preserve"> 450 </t>
  </si>
  <si>
    <t xml:space="preserve"> 451 </t>
  </si>
  <si>
    <t xml:space="preserve"> 452 </t>
  </si>
  <si>
    <t xml:space="preserve"> 453 </t>
  </si>
  <si>
    <t xml:space="preserve"> 454 </t>
  </si>
  <si>
    <t>luva de correr - junta elástica integrada - JEI - 300 MM</t>
  </si>
  <si>
    <t>Anéis de concreto armado Ø1.20m</t>
  </si>
  <si>
    <t xml:space="preserve"> 455 </t>
  </si>
  <si>
    <t>Luva de correr - junta elástica integrada - JEI - 200 MM</t>
  </si>
  <si>
    <t xml:space="preserve"> 456 </t>
  </si>
  <si>
    <t>Luva de correr - junta elástica integrada - JEI - 250 MM</t>
  </si>
  <si>
    <t xml:space="preserve"> 457 </t>
  </si>
  <si>
    <t xml:space="preserve"> 458 </t>
  </si>
  <si>
    <t xml:space="preserve"> 459 </t>
  </si>
  <si>
    <t xml:space="preserve"> 460 </t>
  </si>
  <si>
    <t>Filtro de separação de folhas</t>
  </si>
  <si>
    <t xml:space="preserve"> 461 </t>
  </si>
  <si>
    <t>TÊ DE REDUÇÃO, PVC, SOLDÁVEL, DN 50MM X 32MM, INSTALADO EM PRUMADA DE ÁGUA - FORNECIMENTO E INSTALAÇÃO. AF_12/2014</t>
  </si>
  <si>
    <t xml:space="preserve"> 462 </t>
  </si>
  <si>
    <t xml:space="preserve"> 463 </t>
  </si>
  <si>
    <t xml:space="preserve"> 464 </t>
  </si>
  <si>
    <t xml:space="preserve"> 465 </t>
  </si>
  <si>
    <t xml:space="preserve"> 466 </t>
  </si>
  <si>
    <t xml:space="preserve"> 469 </t>
  </si>
  <si>
    <t>PORTA WC 0,60x1,80m COMPENSADO C/LAMINADO/FERRAGENS W.C.</t>
  </si>
  <si>
    <t xml:space="preserve"> 467 </t>
  </si>
  <si>
    <t xml:space="preserve"> 468 </t>
  </si>
  <si>
    <t xml:space="preserve"> 470 </t>
  </si>
  <si>
    <t>DISPENSER PARA PAPEL HIGIÊNICO INTERFOLHADO REF.: 70080, MELHORAMENTOS OU SIMILAR</t>
  </si>
  <si>
    <t>PSA</t>
  </si>
  <si>
    <t xml:space="preserve"> 613 </t>
  </si>
  <si>
    <t xml:space="preserve"> 614 </t>
  </si>
  <si>
    <t xml:space="preserve"> 615 </t>
  </si>
  <si>
    <t xml:space="preserve"> 616 </t>
  </si>
  <si>
    <t xml:space="preserve"> 617 </t>
  </si>
  <si>
    <t xml:space="preserve"> 618 </t>
  </si>
  <si>
    <t xml:space="preserve"> 50.10.100 </t>
  </si>
  <si>
    <t xml:space="preserve"> 619 </t>
  </si>
  <si>
    <t xml:space="preserve"> 55.01.020 </t>
  </si>
  <si>
    <t xml:space="preserve"> 90285 </t>
  </si>
  <si>
    <t xml:space="preserve"> 74004/003 </t>
  </si>
  <si>
    <t xml:space="preserve"> 14.28.030 </t>
  </si>
  <si>
    <t xml:space="preserve"> 102180 </t>
  </si>
  <si>
    <t xml:space="preserve"> 020014 </t>
  </si>
  <si>
    <t xml:space="preserve"> 21.10.051 </t>
  </si>
  <si>
    <t xml:space="preserve"> 32.15.100 </t>
  </si>
  <si>
    <t xml:space="preserve"> 32.16.040 </t>
  </si>
  <si>
    <t xml:space="preserve"> 9082 </t>
  </si>
  <si>
    <t xml:space="preserve"> 14.31.030 </t>
  </si>
  <si>
    <t xml:space="preserve"> 202314 </t>
  </si>
  <si>
    <t xml:space="preserve"> 202351 </t>
  </si>
  <si>
    <t xml:space="preserve"> 190535 </t>
  </si>
  <si>
    <t xml:space="preserve"> 200123 </t>
  </si>
  <si>
    <t xml:space="preserve"> 44.03.050 </t>
  </si>
  <si>
    <t xml:space="preserve"> 44.03.360 </t>
  </si>
  <si>
    <t xml:space="preserve"> 3708 </t>
  </si>
  <si>
    <t xml:space="preserve"> 7347 </t>
  </si>
  <si>
    <t xml:space="preserve"> 30.01.061 </t>
  </si>
  <si>
    <t xml:space="preserve"> 17.12.240 </t>
  </si>
  <si>
    <t xml:space="preserve"> 18.08.072 </t>
  </si>
  <si>
    <t xml:space="preserve"> 98503 </t>
  </si>
  <si>
    <t xml:space="preserve"> 02.02.160 </t>
  </si>
  <si>
    <t xml:space="preserve"> 02.03.110 </t>
  </si>
  <si>
    <t xml:space="preserve"> 597 </t>
  </si>
  <si>
    <t xml:space="preserve"> 598 </t>
  </si>
  <si>
    <t xml:space="preserve"> 599 </t>
  </si>
  <si>
    <t xml:space="preserve"> 600 </t>
  </si>
  <si>
    <t xml:space="preserve"> 39.02.030 </t>
  </si>
  <si>
    <t xml:space="preserve"> 38.04.120 </t>
  </si>
  <si>
    <t xml:space="preserve"> 38.04.180 </t>
  </si>
  <si>
    <t xml:space="preserve"> 40.02.610 </t>
  </si>
  <si>
    <t xml:space="preserve"> 063613 </t>
  </si>
  <si>
    <t xml:space="preserve"> 061169 </t>
  </si>
  <si>
    <t xml:space="preserve"> 059098 </t>
  </si>
  <si>
    <t xml:space="preserve"> 061869 </t>
  </si>
  <si>
    <t xml:space="preserve"> 061260 </t>
  </si>
  <si>
    <t xml:space="preserve"> ELE-CXS-130 </t>
  </si>
  <si>
    <t xml:space="preserve"> ELE-CXS-135 </t>
  </si>
  <si>
    <t xml:space="preserve"> 9425 </t>
  </si>
  <si>
    <t xml:space="preserve"> 11415 </t>
  </si>
  <si>
    <t xml:space="preserve"> 8466 </t>
  </si>
  <si>
    <t xml:space="preserve"> 4202 </t>
  </si>
  <si>
    <t xml:space="preserve"> 072328 </t>
  </si>
  <si>
    <t xml:space="preserve"> 09.06.012 </t>
  </si>
  <si>
    <t xml:space="preserve"> 818 </t>
  </si>
  <si>
    <t xml:space="preserve"> 39.26.110 </t>
  </si>
  <si>
    <t xml:space="preserve"> 708 </t>
  </si>
  <si>
    <t xml:space="preserve"> 665 </t>
  </si>
  <si>
    <t xml:space="preserve"> 602 </t>
  </si>
  <si>
    <t xml:space="preserve"> 38.04.060 </t>
  </si>
  <si>
    <t xml:space="preserve"> 8699 </t>
  </si>
  <si>
    <t xml:space="preserve"> 40.20.110 </t>
  </si>
  <si>
    <t xml:space="preserve"> 061166 </t>
  </si>
  <si>
    <t xml:space="preserve"> 061168 </t>
  </si>
  <si>
    <t xml:space="preserve"> 061170 </t>
  </si>
  <si>
    <t xml:space="preserve"> 670 </t>
  </si>
  <si>
    <t xml:space="preserve"> 49.06.030 </t>
  </si>
  <si>
    <t xml:space="preserve"> 49.06.010 </t>
  </si>
  <si>
    <t xml:space="preserve"> 49.06.080 </t>
  </si>
  <si>
    <t xml:space="preserve"> 49.06.460 </t>
  </si>
  <si>
    <t xml:space="preserve"> 053009 </t>
  </si>
  <si>
    <t xml:space="preserve"> 90713 </t>
  </si>
  <si>
    <t xml:space="preserve"> 604 </t>
  </si>
  <si>
    <t xml:space="preserve"> 90712 </t>
  </si>
  <si>
    <t xml:space="preserve"> 4763 </t>
  </si>
  <si>
    <t xml:space="preserve"> 46.09.100 </t>
  </si>
  <si>
    <t xml:space="preserve"> 46.09.120 </t>
  </si>
  <si>
    <t xml:space="preserve"> 1594 </t>
  </si>
  <si>
    <t xml:space="preserve"> 93062 </t>
  </si>
  <si>
    <t xml:space="preserve"> 93108 </t>
  </si>
  <si>
    <t xml:space="preserve"> 93091 </t>
  </si>
  <si>
    <t xml:space="preserve"> 1143 </t>
  </si>
  <si>
    <t xml:space="preserve"> 1084 </t>
  </si>
  <si>
    <t xml:space="preserve"> 1087 </t>
  </si>
  <si>
    <t xml:space="preserve"> 983 </t>
  </si>
  <si>
    <t xml:space="preserve"> 984 </t>
  </si>
  <si>
    <t xml:space="preserve"> 8798 </t>
  </si>
  <si>
    <t xml:space="preserve"> 4281 </t>
  </si>
  <si>
    <t xml:space="preserve"> MET-LIG-005 </t>
  </si>
  <si>
    <t xml:space="preserve"> 3682 </t>
  </si>
  <si>
    <t xml:space="preserve"> 610 </t>
  </si>
  <si>
    <t xml:space="preserve"> 1016 </t>
  </si>
  <si>
    <t xml:space="preserve"> 055232 </t>
  </si>
  <si>
    <t xml:space="preserve"> 052295 </t>
  </si>
  <si>
    <t xml:space="preserve"> 50.10.140 </t>
  </si>
  <si>
    <t xml:space="preserve"> INC-EXT-016 </t>
  </si>
  <si>
    <t xml:space="preserve"> 92288 </t>
  </si>
  <si>
    <t xml:space="preserve"> 607 </t>
  </si>
  <si>
    <t xml:space="preserve"> 606 </t>
  </si>
  <si>
    <t xml:space="preserve"> 055128 </t>
  </si>
  <si>
    <t xml:space="preserve"> 83624 </t>
  </si>
  <si>
    <t xml:space="preserve"> 1145 </t>
  </si>
  <si>
    <t xml:space="preserve"> 1560 </t>
  </si>
  <si>
    <t xml:space="preserve"> 1562 </t>
  </si>
  <si>
    <t xml:space="preserve"> 1563 </t>
  </si>
  <si>
    <t xml:space="preserve"> 1608 </t>
  </si>
  <si>
    <t xml:space="preserve"> 1582 </t>
  </si>
  <si>
    <t xml:space="preserve"> 1583 </t>
  </si>
  <si>
    <t xml:space="preserve"> 1584 </t>
  </si>
  <si>
    <t xml:space="preserve"> 10.35.22 </t>
  </si>
  <si>
    <t xml:space="preserve"> 11.16.060 </t>
  </si>
  <si>
    <t xml:space="preserve"> 11.16.040 </t>
  </si>
  <si>
    <t xml:space="preserve"> 79483 </t>
  </si>
  <si>
    <t xml:space="preserve"> 021226 </t>
  </si>
  <si>
    <t xml:space="preserve"> 021039 </t>
  </si>
  <si>
    <t xml:space="preserve"> 13.01.320 </t>
  </si>
  <si>
    <t xml:space="preserve"> 612 </t>
  </si>
  <si>
    <t xml:space="preserve"> 611 </t>
  </si>
  <si>
    <t xml:space="preserve"> 620 </t>
  </si>
  <si>
    <t xml:space="preserve"> 11009 </t>
  </si>
  <si>
    <t xml:space="preserve"> 11011 </t>
  </si>
  <si>
    <t xml:space="preserve"> 621 </t>
  </si>
  <si>
    <t xml:space="preserve"> 622 </t>
  </si>
  <si>
    <t xml:space="preserve"> 624 </t>
  </si>
  <si>
    <t xml:space="preserve"> 625 </t>
  </si>
  <si>
    <t xml:space="preserve"> 626 </t>
  </si>
  <si>
    <t xml:space="preserve"> 627 </t>
  </si>
  <si>
    <t xml:space="preserve"> 628 </t>
  </si>
  <si>
    <t xml:space="preserve"> 629 </t>
  </si>
  <si>
    <t xml:space="preserve"> 630 </t>
  </si>
  <si>
    <t xml:space="preserve"> 631 </t>
  </si>
  <si>
    <t xml:space="preserve"> 632 </t>
  </si>
  <si>
    <t xml:space="preserve"> 633 </t>
  </si>
  <si>
    <t xml:space="preserve"> 634 </t>
  </si>
  <si>
    <t xml:space="preserve"> 635 </t>
  </si>
  <si>
    <t xml:space="preserve"> 636 </t>
  </si>
  <si>
    <t xml:space="preserve"> 637 </t>
  </si>
  <si>
    <t xml:space="preserve"> 638 </t>
  </si>
  <si>
    <t xml:space="preserve"> 639 </t>
  </si>
  <si>
    <t xml:space="preserve"> 641 </t>
  </si>
  <si>
    <t xml:space="preserve"> 642 </t>
  </si>
  <si>
    <t xml:space="preserve"> 643 </t>
  </si>
  <si>
    <t xml:space="preserve"> 644 </t>
  </si>
  <si>
    <t xml:space="preserve"> 645 </t>
  </si>
  <si>
    <t xml:space="preserve"> 646 </t>
  </si>
  <si>
    <t xml:space="preserve"> 647 </t>
  </si>
  <si>
    <t xml:space="preserve"> 648 </t>
  </si>
  <si>
    <t xml:space="preserve"> 110308 </t>
  </si>
  <si>
    <t xml:space="preserve"> 656 </t>
  </si>
  <si>
    <t>0,0%</t>
  </si>
  <si>
    <t>INSTALACOES ELETRICAS - DUTOS E TOMADAS</t>
  </si>
  <si>
    <t>INSTALACOES ELETRICAS - ELETRODUTOS</t>
  </si>
  <si>
    <t>INSTALACOES DE TELEFONE-LOGICA-CFTV-CATV</t>
  </si>
  <si>
    <t>INSTALACOES ELETRICAS - LUMINARIAS</t>
  </si>
  <si>
    <t>INSTALACOES ELETRICAS - LEITOS E CABOS</t>
  </si>
  <si>
    <t>INSTALACOES HIDRAULICAS - AGUA</t>
  </si>
  <si>
    <t>INSTALACOES ELETRICAS - SONORIZACAO</t>
  </si>
  <si>
    <t>INSTALACOES ELETRICAS - DETECCAO DE INCENDIO</t>
  </si>
  <si>
    <t>INSTALACOES MECANICAS - AR CONDICIONADO</t>
  </si>
  <si>
    <t>INSTALACOES HIDRAULICAS - INCENDIO</t>
  </si>
  <si>
    <t>INSTALACOES HIDRAULICAS - ESGOTO</t>
  </si>
  <si>
    <t xml:space="preserve"> TWBG64 </t>
  </si>
  <si>
    <t xml:space="preserve"> O.16.000.067011 </t>
  </si>
  <si>
    <t>Extintor manual de água pressurizada capacidade de 10 litros</t>
  </si>
  <si>
    <t>APARELHOS SANITARIOS</t>
  </si>
  <si>
    <t>ESQUADRIAS DE MADEIRA</t>
  </si>
  <si>
    <t>REVESTIMENTOS INTERNOS</t>
  </si>
  <si>
    <t>PINTURAS</t>
  </si>
  <si>
    <t>ESTRUTURA</t>
  </si>
  <si>
    <t>FUNDACOES INDIRETAS</t>
  </si>
  <si>
    <t>PREPARACAO DO TERRENO</t>
  </si>
  <si>
    <t>CONTENCOES</t>
  </si>
  <si>
    <t>FUES - FUNDAÇÕES E ESTRUTURAS</t>
  </si>
  <si>
    <t xml:space="preserve"> 88830 </t>
  </si>
  <si>
    <t xml:space="preserve"> 88831 </t>
  </si>
  <si>
    <t xml:space="preserve"> 88377 </t>
  </si>
  <si>
    <t xml:space="preserve"> 00000132 </t>
  </si>
  <si>
    <t xml:space="preserve"> 00000367 </t>
  </si>
  <si>
    <t xml:space="preserve"> 00004720 </t>
  </si>
  <si>
    <t xml:space="preserve"> 00001106 </t>
  </si>
  <si>
    <t xml:space="preserve"> B.03.000.020505 </t>
  </si>
  <si>
    <t>Cal hidratada (saco de 20 kg)</t>
  </si>
  <si>
    <t xml:space="preserve"> C.07.000.023016 </t>
  </si>
  <si>
    <t>Elemento vazado em concreto do tipo quadriculado de 39 x 39 x 10 cm; ref. Neo-Rex 23A ou equivalente</t>
  </si>
  <si>
    <t xml:space="preserve"> 00011950 </t>
  </si>
  <si>
    <t xml:space="preserve"> 00039432 </t>
  </si>
  <si>
    <t xml:space="preserve"> 00034360 </t>
  </si>
  <si>
    <t xml:space="preserve"> 00039961 </t>
  </si>
  <si>
    <t xml:space="preserve"> 00010506 </t>
  </si>
  <si>
    <t xml:space="preserve"> 017172 </t>
  </si>
  <si>
    <t>VIDRO CRISTAL PLANO INCOLOR 6mm</t>
  </si>
  <si>
    <t xml:space="preserve"> TWBF11 </t>
  </si>
  <si>
    <t xml:space="preserve"> 00034357 </t>
  </si>
  <si>
    <t xml:space="preserve"> TWBF12 </t>
  </si>
  <si>
    <t>RODAPÉ EM PRÉ-MOLDADO H=10cm</t>
  </si>
  <si>
    <t xml:space="preserve"> TWBF13 </t>
  </si>
  <si>
    <t xml:space="preserve"> B.01.000.010141 </t>
  </si>
  <si>
    <t>Ajudante de pintor</t>
  </si>
  <si>
    <t xml:space="preserve"> B.01.000.010140 </t>
  </si>
  <si>
    <t>Pintor</t>
  </si>
  <si>
    <t xml:space="preserve"> M.04.000.033526 </t>
  </si>
  <si>
    <t>Rodapé em poliestireno de sobrepor, altura de 8 cm; ref. linha Blend da Tarkett ou equivalente</t>
  </si>
  <si>
    <t xml:space="preserve"> S.03.000.028009 </t>
  </si>
  <si>
    <t>Cola de contato para chapa vinílica / borracha</t>
  </si>
  <si>
    <t xml:space="preserve"> TWBF15 </t>
  </si>
  <si>
    <t xml:space="preserve"> TWBF14 </t>
  </si>
  <si>
    <t xml:space="preserve">DOBRADIÇAS COM ROLAMENTO REF. 80 4x3 - LA FONTE - </t>
  </si>
  <si>
    <t xml:space="preserve"> TWBF16 </t>
  </si>
  <si>
    <t xml:space="preserve"> F.03.000.024078 </t>
  </si>
  <si>
    <t>Impermeabilização Denvercril Super / Igolflex / Vedapren / Viaflex branco ou equivalente</t>
  </si>
  <si>
    <t xml:space="preserve"> F.03.000.024023 </t>
  </si>
  <si>
    <t>Manta asfáltica plastomérica com armadura filme de poliéster tipo III, espessura 4mm, face exposta em geotêxtil, Premium Geotêxtil da Viapol ou equivalente</t>
  </si>
  <si>
    <t xml:space="preserve"> F.03.000.039005 </t>
  </si>
  <si>
    <t>Pintura impermeabilizante com asfalto oxidado e solventes orgânicos, ref. Viabit/Viapol, Neutrol/Otto Baumgart/IGOL55 Sika, ou equivalente</t>
  </si>
  <si>
    <t xml:space="preserve"> F.03.000.024081 </t>
  </si>
  <si>
    <t>Membrana de asfalto modificado com elastômeros cor preta, ref. Vedapren / Otto Baumgart, Denverpren SBS / Denver, Igolflex Preto / Sika ou equivalente</t>
  </si>
  <si>
    <t xml:space="preserve"> R.03.000.020341 </t>
  </si>
  <si>
    <t>Tela em poliéster, malha 2 x 2 mm, gramatura mínima de 36g/m², estruturante para impermeabilização a frio</t>
  </si>
  <si>
    <t xml:space="preserve"> 9368 </t>
  </si>
  <si>
    <t>REVE - REVESTIMENTO E TRATAMENTO DE SUPERFÍCIES</t>
  </si>
  <si>
    <t xml:space="preserve"> 3374 </t>
  </si>
  <si>
    <t>Argamassa industrializada Votomassa AC-III, ou similar</t>
  </si>
  <si>
    <t xml:space="preserve"> 9401 </t>
  </si>
  <si>
    <t>Rejunte acrílico para revestimentos cerâmicos</t>
  </si>
  <si>
    <t xml:space="preserve"> TWBF17 </t>
  </si>
  <si>
    <t xml:space="preserve"> TWBF18 </t>
  </si>
  <si>
    <t xml:space="preserve"> B.01.000.010144 </t>
  </si>
  <si>
    <t>Serralheiro</t>
  </si>
  <si>
    <t xml:space="preserve"> E.05.000.026678 </t>
  </si>
  <si>
    <t>Ferro cantoneira abas iguais em aço carbono, de 1´ x 1´ x 1/8´</t>
  </si>
  <si>
    <t xml:space="preserve"> I.05.000.021057 </t>
  </si>
  <si>
    <t>Placa cimentícia impermeabilizada com espessura de 12mm, em chapa de 1,20 x 2,40m, ref. Brasilit ou equivalente</t>
  </si>
  <si>
    <t xml:space="preserve"> 065245 </t>
  </si>
  <si>
    <t>ASSENTO ABERTURA FRONTAL POLIESTER PARA VOGUE PLUS DECA</t>
  </si>
  <si>
    <t xml:space="preserve"> 008559 </t>
  </si>
  <si>
    <t>TORNEIRA PARA LAVATORIO MESA DECAMATIC 1173 CONFORTO FECHAMENTO AUTOMATICO DECA</t>
  </si>
  <si>
    <t xml:space="preserve"> 017042 </t>
  </si>
  <si>
    <t>ELEMENTOS DECORATIVOS</t>
  </si>
  <si>
    <t xml:space="preserve"> 005984 </t>
  </si>
  <si>
    <t>COMPENSADO COMUM TAPUME MADEIRIT 6mm 1,10x2,20m(2,42m2)</t>
  </si>
  <si>
    <t xml:space="preserve"> 040068 </t>
  </si>
  <si>
    <t>ESPELHO CRISTAL 4mm</t>
  </si>
  <si>
    <t xml:space="preserve"> 011802 </t>
  </si>
  <si>
    <t>MOLDURA ALUMINIO A28 ANODIZADO 12cm PARA ESPELHO</t>
  </si>
  <si>
    <t xml:space="preserve"> 00004823 </t>
  </si>
  <si>
    <t xml:space="preserve"> 00007568 </t>
  </si>
  <si>
    <t xml:space="preserve"> 00011795 </t>
  </si>
  <si>
    <t xml:space="preserve"> 00037329 </t>
  </si>
  <si>
    <t xml:space="preserve"> 00037590 </t>
  </si>
  <si>
    <t xml:space="preserve"> TWBF19 </t>
  </si>
  <si>
    <t xml:space="preserve"> TWBF20 </t>
  </si>
  <si>
    <t xml:space="preserve"> TWBF21 </t>
  </si>
  <si>
    <t xml:space="preserve"> O.12.000.092036 </t>
  </si>
  <si>
    <t>Dispenser papel higiênico em ABS para rolão 300/600m, com visor. Ref. Unik JSN, Trilha ou equivalente</t>
  </si>
  <si>
    <t xml:space="preserve"> O.11.000.066023 </t>
  </si>
  <si>
    <t>Ducha higiênica manual cromada, ref. linha activa cromada C40 da Deca ou equivalente</t>
  </si>
  <si>
    <t xml:space="preserve"> 2899 </t>
  </si>
  <si>
    <t xml:space="preserve"> 6966 </t>
  </si>
  <si>
    <t xml:space="preserve"> E.18.000.020159 </t>
  </si>
  <si>
    <t>Barra de apoio lateral para lavatório, para pessoas com mobilidade reduzida, em tubo de aço inoxidável de 1.1/4´, comprimento 25 a 30 cm</t>
  </si>
  <si>
    <t xml:space="preserve"> K.01.000.036140 </t>
  </si>
  <si>
    <t>Rodapé para piso alta resistência (&gt;40MPa), moldado no local, tráfego médio (8mm) ou tráfego pesado (12mm) aplicado média</t>
  </si>
  <si>
    <t xml:space="preserve"> B.02.000.093344 </t>
  </si>
  <si>
    <t>Rejunte flexível para porcelanato, aplicada em áreas internas e externas com junta até 3mm, ref. Rejunte Ligamax Gold Total da Eliane ou equivalente</t>
  </si>
  <si>
    <t xml:space="preserve"> B.02.000.039032 </t>
  </si>
  <si>
    <t>Argamassa colante industrializada flexível, para assentamento de placas cerâmicas em áreas internas e externas, tipo AC-II, conforme NBR 14081, ref. comercial Ligamax Gold Extra fabricante Eliane ou equivalente</t>
  </si>
  <si>
    <t xml:space="preserve"> G.02.000.023003 </t>
  </si>
  <si>
    <t>Porcelanato esmaltado polido, com acabamento retificado, indicado para áreas internas e ambientes com tráfego médio, grupo de absorção BIa; referência comercial Eliane, Cecrisa-Portinari ou equivalente</t>
  </si>
  <si>
    <t xml:space="preserve"> 10579 </t>
  </si>
  <si>
    <t xml:space="preserve"> 00003322 </t>
  </si>
  <si>
    <t xml:space="preserve"> 00004759 </t>
  </si>
  <si>
    <t xml:space="preserve"> 88260 </t>
  </si>
  <si>
    <t xml:space="preserve"> TWBF07 </t>
  </si>
  <si>
    <t xml:space="preserve">Porta(s) de enrolar para acionamento elétrico através de acionador proprio para este tipo de porta, tendo: Freio elétromagnético a disco, Acionamento  manual de emergencia feito com corrente de elos,para o caso de falta de energia,Comando magnético com contatores elétricos,Motor blindado para 220/380 Volts Monofásico, Eixo enrolador feito com tubo com custura de diametro determindado pela largura da porta e Guias corrediças feitas com	 perfil "U" de chapa dobrada com profundidade determinada pela largura da porta 2,50x2,40m													</t>
  </si>
  <si>
    <t xml:space="preserve"> TWBF08 </t>
  </si>
  <si>
    <t>Frete</t>
  </si>
  <si>
    <t>Serviços</t>
  </si>
  <si>
    <t xml:space="preserve"> TWBF09 </t>
  </si>
  <si>
    <t>Instalação porta de enrolar</t>
  </si>
  <si>
    <t xml:space="preserve"> TWBF10 </t>
  </si>
  <si>
    <t>Impostos porta de enrolar</t>
  </si>
  <si>
    <t>Taxas</t>
  </si>
  <si>
    <t xml:space="preserve"> 88441 </t>
  </si>
  <si>
    <t xml:space="preserve"> 00007253 </t>
  </si>
  <si>
    <t>ESQUADRIAS DE FERRO</t>
  </si>
  <si>
    <t xml:space="preserve"> TWBF26 </t>
  </si>
  <si>
    <t>FECHO REF. 400 - 20cm</t>
  </si>
  <si>
    <t xml:space="preserve"> TWBF27 </t>
  </si>
  <si>
    <t>FECHO REF. 400 - 40cm</t>
  </si>
  <si>
    <t xml:space="preserve"> A.12.000.021081 </t>
  </si>
  <si>
    <t>Container guarita, módulo metálico aço galvanizado 2,00x2,30m ou 2,30x2,30m, vão livre, forro térmico, piso concreto, cimentado, madeira ou material equivalente</t>
  </si>
  <si>
    <t xml:space="preserve"> D.03.000.021030 </t>
  </si>
  <si>
    <t>Chapa compensada cola PVA resinada de 6mm (2,20 x 1,10)m</t>
  </si>
  <si>
    <t xml:space="preserve"> D.02.000.021009 </t>
  </si>
  <si>
    <t>Pontalete de cedrinho de 75 mm x 75 mm - 3ª construção</t>
  </si>
  <si>
    <t xml:space="preserve"> J.02.000.037513 </t>
  </si>
  <si>
    <t>Tinta látex, acabamento fosco aveludado, ref. coral 3 em 1 da Coral, rende e cobre muito da Suvinil ou equivalente</t>
  </si>
  <si>
    <t xml:space="preserve"> TWBG40 </t>
  </si>
  <si>
    <t xml:space="preserve"> TWBG41 </t>
  </si>
  <si>
    <t xml:space="preserve"> TWBG44 </t>
  </si>
  <si>
    <t>CONDULETE ALUMINIO "L" 2" COM TAMP</t>
  </si>
  <si>
    <t xml:space="preserve"> TWBG45 </t>
  </si>
  <si>
    <t>Barra Galvanizada a fogo 3/8</t>
  </si>
  <si>
    <t xml:space="preserve"> P.08.000.043027 </t>
  </si>
  <si>
    <t>Cabo de cobre flexível de 6 mm², isolamento 750V - isolação PVC 70°C</t>
  </si>
  <si>
    <t xml:space="preserve"> P.04.000.042175 </t>
  </si>
  <si>
    <t>Eletroduto com costura galvanizado eletroliticamente, DN = 2´ - NBR13057</t>
  </si>
  <si>
    <t xml:space="preserve"> P.04.000.042174 </t>
  </si>
  <si>
    <t>Eletroduto com costura galvanizado eletroliticamente, DN = 4´ - NBR13057</t>
  </si>
  <si>
    <t xml:space="preserve"> P.07.000.045075 </t>
  </si>
  <si>
    <t>Caixa de passagem em alumínio fundido, à prova de tempo e tampa, de 200x200mm, profundidade mínima 100mm, ref. CDT20 da Daisa, Cemar ou equivalente</t>
  </si>
  <si>
    <t xml:space="preserve"> 035755 </t>
  </si>
  <si>
    <t>SAIDA HORIZONTAL PRE GALVANIZADA PARA ELETRODUTO 2"</t>
  </si>
  <si>
    <t xml:space="preserve"> 007852 </t>
  </si>
  <si>
    <t>LUVA ELETRODUTO GALVANIZADO 1.1/2"</t>
  </si>
  <si>
    <t xml:space="preserve"> 005935 </t>
  </si>
  <si>
    <t>CURVA 90 ELETRODUTO GALVANIZADO ELETROLITICO 1.1/4"</t>
  </si>
  <si>
    <t xml:space="preserve"> 001567 </t>
  </si>
  <si>
    <t>ELETRODUTO GALVANIZADO NBR 5597 25mm 1" (2,178kg/m)</t>
  </si>
  <si>
    <t xml:space="preserve"> 007853 </t>
  </si>
  <si>
    <t>LUVA ELETRODUTO GALVANIZADO 1.1/4"</t>
  </si>
  <si>
    <t xml:space="preserve"> 007838 </t>
  </si>
  <si>
    <t>CURVA 90 ELETRODUTO GALVANIZADO ELETROLITICO 1"</t>
  </si>
  <si>
    <t xml:space="preserve"> 005937 </t>
  </si>
  <si>
    <t>CURVA 90 ELETRODUTO GALVANIZADO ELETROLITICO 2"</t>
  </si>
  <si>
    <t xml:space="preserve"> 043826 </t>
  </si>
  <si>
    <t>ELETRODUTO FLEXIVEL TIGREFLEX REFORCADO LARANJA 20mm</t>
  </si>
  <si>
    <t xml:space="preserve"> AUX-ARG-015 </t>
  </si>
  <si>
    <t>ARGAMASSA, TRAÇO 1:4 (CIMENTO E AREIA), PREPARO MECÂNICO</t>
  </si>
  <si>
    <t xml:space="preserve"> MATED- 12435 </t>
  </si>
  <si>
    <t>CAIXA DE PASSAGEM CP Nº 2 DIM. (20 X 20 X 12)CM</t>
  </si>
  <si>
    <t xml:space="preserve"> MATED- 12436 </t>
  </si>
  <si>
    <t>CAIXA DE PASSAGEM CP Nº 3 DIM. (40 X 40 X 12)CM</t>
  </si>
  <si>
    <t xml:space="preserve"> 9762 </t>
  </si>
  <si>
    <t>Caixa de passagem em alumínio 50 x 50 x 15 cm</t>
  </si>
  <si>
    <t xml:space="preserve"> 12356 </t>
  </si>
  <si>
    <t>Caixa de passagem em alumínio para piso 4" x 2"</t>
  </si>
  <si>
    <t xml:space="preserve"> 3803 </t>
  </si>
  <si>
    <t>Subestação Transformadora em Poste</t>
  </si>
  <si>
    <t xml:space="preserve"> 3304 </t>
  </si>
  <si>
    <t>Prensa cabo de 3/4"</t>
  </si>
  <si>
    <t xml:space="preserve"> 3806 </t>
  </si>
  <si>
    <t>SAIDA VERTICAL P/ELETRODUTO D=1"</t>
  </si>
  <si>
    <t xml:space="preserve"> 4.50.05 </t>
  </si>
  <si>
    <t>CAIXA PASS CH TAMPA PARAF 30X30X12 CM</t>
  </si>
  <si>
    <t xml:space="preserve"> 1689 </t>
  </si>
  <si>
    <t>Parafuso de fixação com bucha plástica 8 mm</t>
  </si>
  <si>
    <t xml:space="preserve"> 00002673 </t>
  </si>
  <si>
    <t xml:space="preserve"> P.08.000.043060 </t>
  </si>
  <si>
    <t>Cabo cobre flexível 95 mm², isolamento 0,6/1 kV - isolação HEPR 90°C, têmpera mole, classe 5, baixa emissão fumaça, ref. Cabos Afumex Prysmian; Atexsil Sil; ToxFree Conduspar ou equivalente</t>
  </si>
  <si>
    <t>Pontos de Suprimento de Energia Convencionais</t>
  </si>
  <si>
    <t xml:space="preserve"> 00002446 </t>
  </si>
  <si>
    <t xml:space="preserve"> P.04.000.042172 </t>
  </si>
  <si>
    <t>Eletroduto com costura galvanizado eletroliticamente, DN = 1´ - NBR13057</t>
  </si>
  <si>
    <t xml:space="preserve"> 8958 </t>
  </si>
  <si>
    <t>Caixa de passagem aquatic 100x100x50mm</t>
  </si>
  <si>
    <t xml:space="preserve"> P.17.000.042462 </t>
  </si>
  <si>
    <t>Alarme sonoro bitonal de 220V, para painel de comando; ref. 104/220 B Cutler Hammer ou equivalente</t>
  </si>
  <si>
    <t xml:space="preserve"> 007839 </t>
  </si>
  <si>
    <t>CURVA 90 ELETRODUTO GALVANIZADO ELETROLITICO 3/4"</t>
  </si>
  <si>
    <t xml:space="preserve"> 007854 </t>
  </si>
  <si>
    <t>LUVA ELETRODUTO GALVANIZADO 3/4"</t>
  </si>
  <si>
    <t xml:space="preserve"> 005073 </t>
  </si>
  <si>
    <t>ELETRODUTO GALVANIZADO NBR 5597 32mm 1.1/4"(2,812kg/un)</t>
  </si>
  <si>
    <t xml:space="preserve"> 007851 </t>
  </si>
  <si>
    <t>LUVA ELETRODUTO GALVANIZADO 2"</t>
  </si>
  <si>
    <t xml:space="preserve"> O.05.000.090496 </t>
  </si>
  <si>
    <t>Grelha hemisférica em ferro fundido de 3´</t>
  </si>
  <si>
    <t xml:space="preserve"> O.05.000.090427 </t>
  </si>
  <si>
    <t>Grelha hemisférica em ferro fundido de 4´</t>
  </si>
  <si>
    <t xml:space="preserve"> O.05.000.091171 </t>
  </si>
  <si>
    <t>Grelha hemisférica em ferro fundido de 6´</t>
  </si>
  <si>
    <t xml:space="preserve"> O.05.000.036527 </t>
  </si>
  <si>
    <t>Tampão ferro dúctil, de 600 x 600 mm, classe 125 (ruptura &gt; 125 kN), para tráfego leve, conforme NBR 10160/2005</t>
  </si>
  <si>
    <t xml:space="preserve"> 003693 </t>
  </si>
  <si>
    <t>GRELHA (RALO) FERRO FUNDIDO COM REQUADRO 20x20cm</t>
  </si>
  <si>
    <t xml:space="preserve"> 88246 </t>
  </si>
  <si>
    <t xml:space="preserve"> 00041932 </t>
  </si>
  <si>
    <t xml:space="preserve"> 00041931 </t>
  </si>
  <si>
    <t xml:space="preserve"> 1703 </t>
  </si>
  <si>
    <t>Pasta lubrificante p/  pvc je</t>
  </si>
  <si>
    <t xml:space="preserve"> O.05.000.061137 </t>
  </si>
  <si>
    <t>Joelho 87° 30' em ferro fundido, linha predial tradicional, DN= 50 mm, ref. J87SBB 315916 Saint-Gobain ou equivalente</t>
  </si>
  <si>
    <t xml:space="preserve"> O.12.000.069527 </t>
  </si>
  <si>
    <t>Lubrificante para anel de neoprene</t>
  </si>
  <si>
    <t xml:space="preserve"> O.05.000.061139 </t>
  </si>
  <si>
    <t>Joelho 87° 30' em ferro fundido, linha predial tradicional, DN= 100 mm, ref. J87SBB 315920 Saint-Gobain ou equivalente</t>
  </si>
  <si>
    <t xml:space="preserve"> 2207 </t>
  </si>
  <si>
    <t>Terminal de ventilação pvc rigido d=  50mm</t>
  </si>
  <si>
    <t>MOVT - MOVIMENTO DE TERRA</t>
  </si>
  <si>
    <t xml:space="preserve"> 00004491 </t>
  </si>
  <si>
    <t xml:space="preserve"> 00004517 </t>
  </si>
  <si>
    <t xml:space="preserve"> 00039888 </t>
  </si>
  <si>
    <t xml:space="preserve"> 00039897 </t>
  </si>
  <si>
    <t xml:space="preserve"> 00012732 </t>
  </si>
  <si>
    <t xml:space="preserve"> 00039886 </t>
  </si>
  <si>
    <t xml:space="preserve"> 00039887 </t>
  </si>
  <si>
    <t xml:space="preserve"> 000741 </t>
  </si>
  <si>
    <t>CONECTOR COBRE MACHO RM 604 SEM ANEL DE SOLDA 35mmx1.1/4"</t>
  </si>
  <si>
    <t xml:space="preserve"> 2353 </t>
  </si>
  <si>
    <t>União ferro galvanizado assento bronze d=1 1/ 4"</t>
  </si>
  <si>
    <t>Tubos e Conexões de Cobre Soldáveis e Roscáveis</t>
  </si>
  <si>
    <t xml:space="preserve"> 1704 </t>
  </si>
  <si>
    <t>Pasta p/ soldar</t>
  </si>
  <si>
    <t xml:space="preserve"> 2023 </t>
  </si>
  <si>
    <t>Solda branca preparada 30/70</t>
  </si>
  <si>
    <t xml:space="preserve"> 6480 </t>
  </si>
  <si>
    <t>Conector de bronze d = 28mm x 1"</t>
  </si>
  <si>
    <t>Reservatórios</t>
  </si>
  <si>
    <t xml:space="preserve"> 3349 </t>
  </si>
  <si>
    <t>Torneira de bóia p/caixa d'agua d = 3/4", ref:1350 (deca ou similar)</t>
  </si>
  <si>
    <t xml:space="preserve"> MAO-OFC-040 </t>
  </si>
  <si>
    <t>BOMBEIRO/ENCANADOR COM ENCARGOS COMPLEMENTARES</t>
  </si>
  <si>
    <t>ENGATE FLEXÍVEL METÁLICO (APLICAÇÃO: ENTRADA DE ÁGUA| COMPRIMENTO: 40CM| DIÂMETRO DA SEÇÃO: 1/2"[ 20MM])</t>
  </si>
  <si>
    <t>FITA DE VEDAÇÃO PARA TUBOS E CONEXÕES ROSCÁVEIS (LARGURA: 12 MM)</t>
  </si>
  <si>
    <t xml:space="preserve"> TWBG55 </t>
  </si>
  <si>
    <t>torneira de esfra 3/4"</t>
  </si>
  <si>
    <t xml:space="preserve"> 5632 </t>
  </si>
  <si>
    <t xml:space="preserve"> 004156 </t>
  </si>
  <si>
    <t>NIPLE DUPLO FERRO GALVANIZADO 2.1/2"</t>
  </si>
  <si>
    <t xml:space="preserve"> 004157 </t>
  </si>
  <si>
    <t>NIPLE DUPLO FERRO GALVANIZADO 3"</t>
  </si>
  <si>
    <t xml:space="preserve"> O.16.000.067079 </t>
  </si>
  <si>
    <t>Extintor manual de gás carbônico de 06 kg, capacidade extintora 5BC</t>
  </si>
  <si>
    <t xml:space="preserve"> MAO-AJD-020 </t>
  </si>
  <si>
    <t>AJUDANTE DE BOMBEIRO/ENCANADOR COM ENCARGOS COMPLEMENTARES</t>
  </si>
  <si>
    <t xml:space="preserve"> MATED- 11337 </t>
  </si>
  <si>
    <t>BUCHA DE NYLON COM PARAFUSO AUTO ATARRAXANTE CABEÇA PANELA, FENDA SIMPLES ( COMPRIMENTO: 50MM| DIÂMETRO NOMINAL DO PARAFUSO: 4,8MM| DIÂMETRO NOMINAL DA BUCHA: 8MM)</t>
  </si>
  <si>
    <t>EXTINTOR DE PÓ QUIMICO (CAPACIDADE EXTINTORA: 2-A:20-B:C|AGENTE: FOSFATO MONOAMÔNICO| CARGA: 4KG)</t>
  </si>
  <si>
    <t xml:space="preserve"> 00012716 </t>
  </si>
  <si>
    <t xml:space="preserve"> 00003148 </t>
  </si>
  <si>
    <t xml:space="preserve"> TWBG54 </t>
  </si>
  <si>
    <t xml:space="preserve">VALVULA DE ESFERA BRUTA EM BRONZE, BITOLA 3 " </t>
  </si>
  <si>
    <t xml:space="preserve"> TWBG53 </t>
  </si>
  <si>
    <t>Conector de bronze d = 35mm x 1 1/4"	Mat</t>
  </si>
  <si>
    <t xml:space="preserve"> 008503 </t>
  </si>
  <si>
    <t xml:space="preserve"> 00011236 </t>
  </si>
  <si>
    <t xml:space="preserve"> 1270 </t>
  </si>
  <si>
    <t>Juncao simples pvc rigido p/ esgoto primario, diam =100 x  50mm</t>
  </si>
  <si>
    <t xml:space="preserve"> 1407 </t>
  </si>
  <si>
    <t>Luva correr pvc rigido p/ esgoto secundario, d = 40mm</t>
  </si>
  <si>
    <t xml:space="preserve"> 1936 </t>
  </si>
  <si>
    <t>Reducao excentrica  pvc sanitario d=  75 x   50mm</t>
  </si>
  <si>
    <t xml:space="preserve"> 1937 </t>
  </si>
  <si>
    <t>Reducao excentrica  pvc sanitario d= 100 x  50mm</t>
  </si>
  <si>
    <t xml:space="preserve"> 1938 </t>
  </si>
  <si>
    <t>Reducao excentrica  pvc sanitario d= 100 x  75mm</t>
  </si>
  <si>
    <t>CAIXA E RALO</t>
  </si>
  <si>
    <t xml:space="preserve"> 55.10.39 </t>
  </si>
  <si>
    <t>BOMBEIRO</t>
  </si>
  <si>
    <t xml:space="preserve"> 73.57.12 </t>
  </si>
  <si>
    <t>CAIXA SIFONADA PVC SEM GRELHA E PORTA GRELHA 100X150X50MM</t>
  </si>
  <si>
    <t xml:space="preserve"> 036840 </t>
  </si>
  <si>
    <t>TELA ELETROSOLDADA NERVURADA Q-092 15x15cm 4,2mm(1,48kg/m2)</t>
  </si>
  <si>
    <t xml:space="preserve"> 004431 </t>
  </si>
  <si>
    <t>ESPACADOR PLASTICO PARA ARMACOES EP-22 2,5mm x 10mm</t>
  </si>
  <si>
    <t xml:space="preserve"> 004411 </t>
  </si>
  <si>
    <t xml:space="preserve"> C.04.000.020536 </t>
  </si>
  <si>
    <t>Concreto usinado fck= 25 MPa, slump 5 ± 1cm, slump 1 e 2</t>
  </si>
  <si>
    <t xml:space="preserve"> C.06.000.022012 </t>
  </si>
  <si>
    <t>Laje pré-fabricada unidirecional em viga treliçada/lajota em EPS LT 16 (12 + 4) - SC = 300kgf/m²</t>
  </si>
  <si>
    <t xml:space="preserve"> TWBG58 </t>
  </si>
  <si>
    <t xml:space="preserve"> TWBG57 </t>
  </si>
  <si>
    <t xml:space="preserve"> TWBG68 </t>
  </si>
  <si>
    <t xml:space="preserve"> 11871 </t>
  </si>
  <si>
    <t>Bucha de redução cobre d= 28mm x 15mm</t>
  </si>
  <si>
    <t xml:space="preserve"> 11873 </t>
  </si>
  <si>
    <t>Bucha de redução cobre d= 35mm x 22mm</t>
  </si>
  <si>
    <t xml:space="preserve"> 00003777 </t>
  </si>
  <si>
    <t xml:space="preserve"> 00034492 </t>
  </si>
  <si>
    <t xml:space="preserve"> TWBG71 </t>
  </si>
  <si>
    <t xml:space="preserve"> TWBG72 </t>
  </si>
  <si>
    <t xml:space="preserve"> 00000300 </t>
  </si>
  <si>
    <t xml:space="preserve"> TWBG83 </t>
  </si>
  <si>
    <t xml:space="preserve"> TWBG84 </t>
  </si>
  <si>
    <t>luva de correr - junta elástica integrada - JEI - 250 MM</t>
  </si>
  <si>
    <t xml:space="preserve"> TWBG85 </t>
  </si>
  <si>
    <t xml:space="preserve"> TWBG86 </t>
  </si>
  <si>
    <t xml:space="preserve"> TWBG87 </t>
  </si>
  <si>
    <t xml:space="preserve"> 88250 </t>
  </si>
  <si>
    <t xml:space="preserve"> 88275 </t>
  </si>
  <si>
    <t xml:space="preserve"> TWBG88 </t>
  </si>
  <si>
    <t xml:space="preserve"> 00000122 </t>
  </si>
  <si>
    <t xml:space="preserve"> 00020083 </t>
  </si>
  <si>
    <t xml:space="preserve"> TWBG89 </t>
  </si>
  <si>
    <t xml:space="preserve"> 00000301 </t>
  </si>
  <si>
    <t xml:space="preserve"> 080102 </t>
  </si>
  <si>
    <t>PORTA MADEIRA LISA PINTURA 0,60x1,80m</t>
  </si>
  <si>
    <t xml:space="preserve"> TWBG97 </t>
  </si>
  <si>
    <t>ELETRODUTO RÍGIDO SOLDÁVEL, PVC, DN 25 MM (3/4"), APARENTE, INSTALADO EM TETO - FORNECIMENTO E INSTALAÇÃO. AF_11/2016</t>
  </si>
  <si>
    <t>ELETRODUTO RÍGIDO SOLDÁVEL, PVC, DN 32 MM (1"), APARENTE, INSTALADO EM TETO - FORNECIMENTO E INSTALAÇÃO. AF_11/2016</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</si>
  <si>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</si>
  <si>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</si>
  <si>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</si>
  <si>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</si>
  <si>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LUVA EM COBRE, DN 35 MM, SEM ANEL DE SOLDA, INSTALADO EM PRUMADA DE HIDRÁULICA PREDIAL - FORNECIMENTO E INSTALAÇÃO. AF_04/2022</t>
  </si>
  <si>
    <t>TE EM COBRE, DN 35 MM, SEM ANEL DE SOLDA, INSTALADO EM PRUMADA DE HIDRÁULICA PREDIAL - FORNECIMENTO E INSTALAÇÃO. AF_04/2022</t>
  </si>
  <si>
    <t>COTOVELO EM COBRE, DN 22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</si>
  <si>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</si>
  <si>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</si>
  <si>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</si>
  <si>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</si>
  <si>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</si>
  <si>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CURVA EM COBRE, DN 35 MM, 45 GRAUS, SEM ANEL DE SOLDA, BOLSA X BOLSA, INSTALADO EM PRUMADA DE HIDRÁULICA PREDIAL -  FORNECIMENTO E INSTALAÇÃO. AF_04/2022</t>
  </si>
  <si>
    <t>BARRAS DE TRANSFERÊNCIA, AÇO CA-25 DE 25,0 MM, PARA EXECUÇÃO DE PAVIMENTO DE CONCRETO  FORNECIMENTO E INSTALAÇÃO. AF_04/2022</t>
  </si>
  <si>
    <t xml:space="preserve">LOCACAO DE ANDAIME METALICO TUBULAR DE ENCAIXE, TIPO DE TORRE, COM LARGURA DE 1 ATE 1,5 M E ALTURA DE *1,00* M (INCLUSO SAPATAS FIXAS OU RODIZIOS)                                                                                                                                                                                                                                                                                                                                                        </t>
  </si>
  <si>
    <t xml:space="preserve"> 471 </t>
  </si>
  <si>
    <t xml:space="preserve"> 472 </t>
  </si>
  <si>
    <t xml:space="preserve"> 473 </t>
  </si>
  <si>
    <t xml:space="preserve"> 474 </t>
  </si>
  <si>
    <t xml:space="preserve"> 476 </t>
  </si>
  <si>
    <t>EMOP</t>
  </si>
  <si>
    <t>05.105.0187-0</t>
  </si>
  <si>
    <t>ED-16355</t>
  </si>
  <si>
    <t xml:space="preserve"> 477 </t>
  </si>
  <si>
    <t>MAO-DE-OBRA DE COMPRADOR,INCLUSIVE ENCARGOS SOCIAIS</t>
  </si>
  <si>
    <t xml:space="preserve"> 478 </t>
  </si>
  <si>
    <t>MOBILIZACAO E DESMOBILIZACAO DE CANTEIRO</t>
  </si>
  <si>
    <t xml:space="preserve"> 479 </t>
  </si>
  <si>
    <t>INSTALACAO PROVISORIA DE AGUA/LUZ/FORCA/ESGOTOS</t>
  </si>
  <si>
    <t xml:space="preserve"> 480 </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</si>
  <si>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</si>
  <si>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mês</t>
  </si>
  <si>
    <t xml:space="preserve"> 481 </t>
  </si>
  <si>
    <t xml:space="preserve"> 482 </t>
  </si>
  <si>
    <t>PLACA DE RESP.TECNICA-MADEIRA/CHAPA GALVANIZADA 26(3,0x1,5 m)</t>
  </si>
  <si>
    <t xml:space="preserve"> 483 </t>
  </si>
  <si>
    <t>ALUGUEL DE CACAMBA 48 HORAS COM RETIRADA</t>
  </si>
  <si>
    <t xml:space="preserve"> 484 </t>
  </si>
  <si>
    <t>DISJUNTOR TRIPOLAR 250A</t>
  </si>
  <si>
    <t>QF-N-B.INCÊNDIO 220/127V</t>
  </si>
  <si>
    <t>CAIXA PARA 1 DISJUNTOR TRIFÁSICO ATÉ 100A E BARRAMENTOS</t>
  </si>
  <si>
    <t>DISJUNTOR TRIPOLAR IN=40A</t>
  </si>
  <si>
    <t>DISPOSITIVO SUPPRESOR DE SURTO DPS CLASSE 1 100 KA, 350V, 1,5 KV</t>
  </si>
  <si>
    <t>MEDIDOR MULTIFUNÇÃO PARA MEDIÇÃO INDIRETA</t>
  </si>
  <si>
    <t>DISPOSITIVO SUPRESSOR DE SURTO DPS CLASSE 2 40 KA, 350V, 1,4 KV</t>
  </si>
  <si>
    <t>QLF-N-INFERIOR SL.CORTES</t>
  </si>
  <si>
    <t>CAIXA PARA ATÉ 80 DISJUNTORES E BARRAMENTO</t>
  </si>
  <si>
    <t>QLF-N-SUPERIOR ADM</t>
  </si>
  <si>
    <t>QFAC-N-COBERTURA ADM</t>
  </si>
  <si>
    <t>CONTATORA 3RT10-15</t>
  </si>
  <si>
    <t>RELÉ TÉRMICO 3RU11-16 (1,8 - 2,8A)</t>
  </si>
  <si>
    <t>CHAVE ROTATIVA MANUAL/AUTOMÁTICO Ø 30,5</t>
  </si>
  <si>
    <t>CHAVE ROTATIVA Ø 30,5 LIGA/DESLIGA</t>
  </si>
  <si>
    <t xml:space="preserve">CHAVE COMUTADORA Ø 30,5 </t>
  </si>
  <si>
    <t>FUSÍVEL DIAZED 4A</t>
  </si>
  <si>
    <t>LÂMPADA DE SINALIZAÇÃO 220V, COR VERMELHA</t>
  </si>
  <si>
    <t>QF-N-B.INCÊNDIO</t>
  </si>
  <si>
    <t>CONTATORA 3RT10-26</t>
  </si>
  <si>
    <t>RELÉ TÉRMICO 3RU11-26 (14-20A)</t>
  </si>
  <si>
    <t>BOTÃO Ø 22MM LIGA A BOMBA</t>
  </si>
  <si>
    <t>RELÉ DE TEMPO 7PU05</t>
  </si>
  <si>
    <t>RELÉ BIESTÁVEL P2Q COEL OU SIEMENS</t>
  </si>
  <si>
    <t>CHAVE DE 3 POSIÇÕES AUTOMÁTICO/MANUAL</t>
  </si>
  <si>
    <t>RELÉ DE TEMPO 7PU20</t>
  </si>
  <si>
    <t>ADEQUAÇÃO NO PAINEL EXISTENTE PARA INSTALAÇÃO DO DISJUNTOR</t>
  </si>
  <si>
    <t>SIURB</t>
  </si>
  <si>
    <t>37.12.200</t>
  </si>
  <si>
    <t>37.12.220</t>
  </si>
  <si>
    <t>37.17.074</t>
  </si>
  <si>
    <t>37.17.080</t>
  </si>
  <si>
    <t xml:space="preserve"> 485 </t>
  </si>
  <si>
    <t xml:space="preserve"> 486 </t>
  </si>
  <si>
    <t xml:space="preserve"> 487 </t>
  </si>
  <si>
    <t>Botão de comando duplo sem sinalizador</t>
  </si>
  <si>
    <t xml:space="preserve"> 488 </t>
  </si>
  <si>
    <t>Botão de comando duplo com sinaleira - Siemens ou similar</t>
  </si>
  <si>
    <t xml:space="preserve"> 489 </t>
  </si>
  <si>
    <t>Botão de comando 22,5mm</t>
  </si>
  <si>
    <t xml:space="preserve"> 490 </t>
  </si>
  <si>
    <t xml:space="preserve"> 491 </t>
  </si>
  <si>
    <t>Botoeira Liga-Desliga para Bomba de Incêndio Modelo BLD-1, marca VERIN  ou similar</t>
  </si>
  <si>
    <t xml:space="preserve"> 492 </t>
  </si>
  <si>
    <t xml:space="preserve"> 493 </t>
  </si>
  <si>
    <t>Quadro de distribuição de embutir, em chapa de aço, para até 56 disjuntores, com barramento, padrão DIN, exclusive disjuntores</t>
  </si>
  <si>
    <t xml:space="preserve"> 494 </t>
  </si>
  <si>
    <t>Quadro de distribuição de embutir, em chapa de aço, para até 70 disjuntores, com barramento, padrão DIN, exclusive disjuntores</t>
  </si>
  <si>
    <t xml:space="preserve"> 495 </t>
  </si>
  <si>
    <t>CHAVE SECCIONADORA TRIPOLAR, ABERTURA SOB CARGA, COM FUSÍVEIS NH - 100A/250V - FORNECIMENTO E INSTALACAO</t>
  </si>
  <si>
    <t xml:space="preserve"> 496 </t>
  </si>
  <si>
    <t>CHAVE SECCIONADORA TRIPOLAR, ABERTURA SOB CARGA, COM FUSÍVEIS NH00 - 125A/500V</t>
  </si>
  <si>
    <t xml:space="preserve"> 497 </t>
  </si>
  <si>
    <t xml:space="preserve"> 498 </t>
  </si>
  <si>
    <t>Chave seccionadora tripolar 63a, manobra c/ carga acionamento por alavanca p/ quadro de dist de energia</t>
  </si>
  <si>
    <t xml:space="preserve"> 499 </t>
  </si>
  <si>
    <t xml:space="preserve"> 500 </t>
  </si>
  <si>
    <t>Disjuntor bipolar DR 40 A  - Dispositivo residual diferencial, tipo AC, 30MA, ref.5SM1 314-OMB, Siemens ou similar</t>
  </si>
  <si>
    <t xml:space="preserve"> 501 </t>
  </si>
  <si>
    <t>Fusível Diazed retardado de 2 A até 25 A</t>
  </si>
  <si>
    <t xml:space="preserve"> 502 </t>
  </si>
  <si>
    <t>Fusível Diazed retardado de 35 A até 63 A</t>
  </si>
  <si>
    <t xml:space="preserve"> 503 </t>
  </si>
  <si>
    <t xml:space="preserve"> 504 </t>
  </si>
  <si>
    <t xml:space="preserve"> 505 </t>
  </si>
  <si>
    <t>TRANSFORMADOR DE CORRENTE RELAÇÃO 400:5 A</t>
  </si>
  <si>
    <t xml:space="preserve"> 506 </t>
  </si>
  <si>
    <t>40.20.060</t>
  </si>
  <si>
    <t xml:space="preserve"> 507 </t>
  </si>
  <si>
    <t>Dispositivo diferencial residual de 25 A x 30 mA - 4 polos</t>
  </si>
  <si>
    <t xml:space="preserve"> 508 </t>
  </si>
  <si>
    <t>Dispositivo diferencial residual de 40 A x 30 mA - 4 polos</t>
  </si>
  <si>
    <t xml:space="preserve"> 509 </t>
  </si>
  <si>
    <t xml:space="preserve"> 510 </t>
  </si>
  <si>
    <t xml:space="preserve"> 511 </t>
  </si>
  <si>
    <t>DISJUNTOR TRIPOLAR 80A CURVA C</t>
  </si>
  <si>
    <t xml:space="preserve"> 475 </t>
  </si>
  <si>
    <t>Pintura de acabamento com aplicação de fundo preparador epoxi, 01 demão de massa epoxi e 02 demãos de tinta esmalte epoxi branco, e = 35 micra p/ demão - R1</t>
  </si>
  <si>
    <t xml:space="preserve"> 512 </t>
  </si>
  <si>
    <t xml:space="preserve"> 513 </t>
  </si>
  <si>
    <t xml:space="preserve"> 514 </t>
  </si>
  <si>
    <t xml:space="preserve"> 515 </t>
  </si>
  <si>
    <t xml:space="preserve"> 516 </t>
  </si>
  <si>
    <t xml:space="preserve"> 517 </t>
  </si>
  <si>
    <t xml:space="preserve"> 518 </t>
  </si>
  <si>
    <t xml:space="preserve"> 519 </t>
  </si>
  <si>
    <t xml:space="preserve"> 520 </t>
  </si>
  <si>
    <t xml:space="preserve"> 521 </t>
  </si>
  <si>
    <t xml:space="preserve"> 522 </t>
  </si>
  <si>
    <t xml:space="preserve"> 523 </t>
  </si>
  <si>
    <t xml:space="preserve"> 524 </t>
  </si>
  <si>
    <t xml:space="preserve"> 525 </t>
  </si>
  <si>
    <t xml:space="preserve"> 526 </t>
  </si>
  <si>
    <t xml:space="preserve"> 527 </t>
  </si>
  <si>
    <t xml:space="preserve"> 528 </t>
  </si>
  <si>
    <t xml:space="preserve"> 529 </t>
  </si>
  <si>
    <t xml:space="preserve"> 530 </t>
  </si>
  <si>
    <t xml:space="preserve"> 531 </t>
  </si>
  <si>
    <t xml:space="preserve"> 532 </t>
  </si>
  <si>
    <t xml:space="preserve"> 533 </t>
  </si>
  <si>
    <t>CONTATORA 3RT10-15 </t>
  </si>
  <si>
    <t xml:space="preserve"> 534 </t>
  </si>
  <si>
    <t xml:space="preserve"> 535 </t>
  </si>
  <si>
    <t xml:space="preserve"> 536 </t>
  </si>
  <si>
    <t xml:space="preserve"> 537 </t>
  </si>
  <si>
    <t xml:space="preserve"> 538 </t>
  </si>
  <si>
    <t xml:space="preserve"> 539 </t>
  </si>
  <si>
    <t xml:space="preserve"> 540 </t>
  </si>
  <si>
    <t xml:space="preserve"> 541 </t>
  </si>
  <si>
    <t xml:space="preserve"> 542 </t>
  </si>
  <si>
    <t xml:space="preserve"> 543 </t>
  </si>
  <si>
    <t xml:space="preserve"> 544 </t>
  </si>
  <si>
    <t xml:space="preserve"> 545 </t>
  </si>
  <si>
    <t xml:space="preserve"> 546 </t>
  </si>
  <si>
    <t>RELÉ DE TEMPO 7PU05 </t>
  </si>
  <si>
    <t xml:space="preserve"> 547 </t>
  </si>
  <si>
    <t xml:space="preserve"> 548 </t>
  </si>
  <si>
    <t xml:space="preserve"> 549 </t>
  </si>
  <si>
    <t xml:space="preserve"> 550 </t>
  </si>
  <si>
    <t xml:space="preserve"> 551 </t>
  </si>
  <si>
    <t xml:space="preserve"> 552 </t>
  </si>
  <si>
    <t xml:space="preserve"> 553 </t>
  </si>
  <si>
    <t>PAVIMENTAÇÃO (PISO ARMADO) TIPO 1</t>
  </si>
  <si>
    <t xml:space="preserve">CONTRAPISO DE CONCRETO SOBRE TERRA </t>
  </si>
  <si>
    <t>PISOS ACABAMENTOS INTERNOS</t>
  </si>
  <si>
    <t>PISOS ACABAMENTOS EXTERNOS</t>
  </si>
  <si>
    <t xml:space="preserve"> 554 </t>
  </si>
  <si>
    <t>MOBILIARIO PARA ESCRITORIO OBRAS</t>
  </si>
  <si>
    <t xml:space="preserve"> 555 </t>
  </si>
  <si>
    <t>dia</t>
  </si>
  <si>
    <t xml:space="preserve"> 556 </t>
  </si>
  <si>
    <t>MAO-DE-OBRA DE ARQUITETO OU ENGENHEIRO PLENO,PARA SERVICOS D E CONSULTORIA DE ENGENHARIA E ARQUITETURA,INCLUSIVE ENCARGOS SOCIAIS</t>
  </si>
  <si>
    <t xml:space="preserve"> 557 </t>
  </si>
  <si>
    <t>UNIDADE DE REFERENCIA,PARA DESPESAS DENTRO DO CANTEIRO DE OBRAS,TAIS COMO:CONSUMO DE AGUA,TELEFONE,ENERGIA ELETRICA, ETC,E DEMAIS ITENS QUE COMPLEMENTAM AS DESPESAS JA CONSIDERA DAS.</t>
  </si>
  <si>
    <t>UR</t>
  </si>
  <si>
    <t>01.050.0715-A</t>
  </si>
  <si>
    <t>05.100.0900-0</t>
  </si>
  <si>
    <t>09.01.020</t>
  </si>
  <si>
    <t xml:space="preserve"> 558 </t>
  </si>
  <si>
    <t>Forma em madeira comum para fundação</t>
  </si>
  <si>
    <t xml:space="preserve"> 559 </t>
  </si>
  <si>
    <t>HB VAL 150W/840</t>
  </si>
  <si>
    <t xml:space="preserve"> 560 </t>
  </si>
  <si>
    <t>INSTALAÇÃO DE LUMINÁRIAS</t>
  </si>
  <si>
    <t>FORNECIMANTO DE CONDICIONADORES DE AR</t>
  </si>
  <si>
    <t>GL</t>
  </si>
  <si>
    <t>FRETE DOS EQUIPAMENTOS</t>
  </si>
  <si>
    <t>AMBIENT AIR</t>
  </si>
  <si>
    <t>EQUIPAMENTOS, MATERIAIS COMPLEMENTARES E MÃO DE OBRA INSTALAÇÃO</t>
  </si>
  <si>
    <t>M01.02.008</t>
  </si>
  <si>
    <t>M01.02.009</t>
  </si>
  <si>
    <t>M01.02.010</t>
  </si>
  <si>
    <t>M01.02.011</t>
  </si>
  <si>
    <t>M01.02.012</t>
  </si>
  <si>
    <t>M01.02.013</t>
  </si>
  <si>
    <t>M01.02.014</t>
  </si>
  <si>
    <t>M01.02.015</t>
  </si>
  <si>
    <t>M01.02.016</t>
  </si>
  <si>
    <t>M01.02.017</t>
  </si>
  <si>
    <t>M01.02.018</t>
  </si>
  <si>
    <t>M01.02.019</t>
  </si>
  <si>
    <t>M01.02.020</t>
  </si>
  <si>
    <t>M01.02.021</t>
  </si>
  <si>
    <t>M01.02.022</t>
  </si>
  <si>
    <t>ROLL-ON</t>
  </si>
  <si>
    <t>MARKO</t>
  </si>
  <si>
    <t>COBERTURA ROLL-ON</t>
  </si>
  <si>
    <t>ROLL-ON, VU, CALHA, PASSARELA, ESTRUTURA DE FECHAMENTO</t>
  </si>
  <si>
    <t>M01.04.014</t>
  </si>
  <si>
    <t>M01.04.015</t>
  </si>
  <si>
    <t>M01.04.016</t>
  </si>
  <si>
    <t>M01.04.017</t>
  </si>
  <si>
    <t>M01.04.018</t>
  </si>
  <si>
    <t>M01.04.019</t>
  </si>
  <si>
    <t>M01.04.020</t>
  </si>
  <si>
    <t>M01.04.021</t>
  </si>
  <si>
    <t>M01.04.022</t>
  </si>
  <si>
    <t>M01.04.023</t>
  </si>
  <si>
    <t>M01.04.024</t>
  </si>
  <si>
    <t>M01.04.025</t>
  </si>
  <si>
    <t>M01.04.026</t>
  </si>
  <si>
    <t>M01.04.027</t>
  </si>
  <si>
    <t>M01.04.028</t>
  </si>
  <si>
    <t>M01.04.029</t>
  </si>
  <si>
    <t>M01.04.030</t>
  </si>
  <si>
    <t>M01.04.031</t>
  </si>
  <si>
    <t>M01.04.032</t>
  </si>
  <si>
    <t>M01.07.001</t>
  </si>
  <si>
    <t>M01.07.002</t>
  </si>
  <si>
    <t>M01.07.003</t>
  </si>
  <si>
    <t>M01.07.004</t>
  </si>
  <si>
    <t>M01.07.005</t>
  </si>
  <si>
    <t>M01.07.006</t>
  </si>
  <si>
    <t>M01.10.001</t>
  </si>
  <si>
    <t>M01.10.002</t>
  </si>
  <si>
    <t>M01.10.003</t>
  </si>
  <si>
    <t>M01.10.004</t>
  </si>
  <si>
    <t>M01.10.005</t>
  </si>
  <si>
    <t>M01.10.006</t>
  </si>
  <si>
    <t>M01.10.007</t>
  </si>
  <si>
    <t>M01.10.008</t>
  </si>
  <si>
    <t>M01.10.009</t>
  </si>
  <si>
    <t>M01.10.010</t>
  </si>
  <si>
    <t>M01.10.011</t>
  </si>
  <si>
    <t>M01.10.012</t>
  </si>
  <si>
    <t>M01.10.013</t>
  </si>
  <si>
    <t>M01.10.014</t>
  </si>
  <si>
    <t>M01.10.015</t>
  </si>
  <si>
    <t>M01.10.016</t>
  </si>
  <si>
    <t>M01.10.017</t>
  </si>
  <si>
    <t>M01.10.018</t>
  </si>
  <si>
    <t>M01.10.019</t>
  </si>
  <si>
    <t>M01.10.020</t>
  </si>
  <si>
    <t>M01.10.021</t>
  </si>
  <si>
    <t>M01.10.022</t>
  </si>
  <si>
    <t>M01.10.023</t>
  </si>
  <si>
    <t>M01.10.024</t>
  </si>
  <si>
    <t>M01.10.025</t>
  </si>
  <si>
    <t>M01.10.026</t>
  </si>
  <si>
    <t>M01.10.027</t>
  </si>
  <si>
    <t>M01.12.001</t>
  </si>
  <si>
    <t>M01.12.002</t>
  </si>
  <si>
    <t>M01.12.003</t>
  </si>
  <si>
    <t>M01.12.004</t>
  </si>
  <si>
    <t>M01.12.005</t>
  </si>
  <si>
    <t>M01.13.001</t>
  </si>
  <si>
    <t>M01.13.002</t>
  </si>
  <si>
    <t>M01.13.003</t>
  </si>
  <si>
    <t>M01.13.004</t>
  </si>
  <si>
    <t>M01.13.005</t>
  </si>
  <si>
    <t>M01.13.006</t>
  </si>
  <si>
    <t>M01.10.030</t>
  </si>
  <si>
    <t>Compressor de ar comprimido industrial, mod. BRAVO CSLV 60BR, potência estimada 15cv, tensão 220v trifásico, Fabricante: Schulz</t>
  </si>
  <si>
    <t>Manômetro para automatização do sistema de incêndio, escala 0 a 100mca, fabricante Dox.</t>
  </si>
  <si>
    <t xml:space="preserve"> 561 </t>
  </si>
  <si>
    <t xml:space="preserve"> 562 </t>
  </si>
  <si>
    <t xml:space="preserve"> 563 </t>
  </si>
  <si>
    <t xml:space="preserve"> 564 </t>
  </si>
  <si>
    <t xml:space="preserve"> 565 </t>
  </si>
  <si>
    <t>Conjunto completo de pressurização completo - mod. MAX PRESS 30 E, vazão cal 5,0m³/ h, pressão cal 20mca, potência 0,85cv, motor trifásico 220V, fabricante ROWA.</t>
  </si>
  <si>
    <t xml:space="preserve"> 566 </t>
  </si>
  <si>
    <t xml:space="preserve"> 567 </t>
  </si>
  <si>
    <t xml:space="preserve"> 568 </t>
  </si>
  <si>
    <t xml:space="preserve"> 569 </t>
  </si>
  <si>
    <t>Bomba centrífuga horizontal - Mod. C750 N, vazão 4,30m³/ h, potência 0,75cv, motor trifásico 380V, rotação 3450rpm, AMT 20,0mca, fabricante KSB.</t>
  </si>
  <si>
    <t xml:space="preserve"> 570 </t>
  </si>
  <si>
    <t>Bomba centrífuga horizontal - Mod. UNI 300T, vazão 12,2m³/ h, potência 0,5cv, motor trifásico 220V, rotação 3450rpm, AMT 6,0mca, fabricante ABS.</t>
  </si>
  <si>
    <t xml:space="preserve"> 571 </t>
  </si>
  <si>
    <t xml:space="preserve"> 572 </t>
  </si>
  <si>
    <t xml:space="preserve"> 573 </t>
  </si>
  <si>
    <t xml:space="preserve"> 574 </t>
  </si>
  <si>
    <t xml:space="preserve"> 575 </t>
  </si>
  <si>
    <t xml:space="preserve"> 576 </t>
  </si>
  <si>
    <t xml:space="preserve"> 577 </t>
  </si>
  <si>
    <t xml:space="preserve"> 578 </t>
  </si>
  <si>
    <t xml:space="preserve"> 579 </t>
  </si>
  <si>
    <t xml:space="preserve"> 580 </t>
  </si>
  <si>
    <t>EQUIPAMENTOS</t>
  </si>
  <si>
    <t xml:space="preserve"> 581 </t>
  </si>
  <si>
    <t>Fornecimento e instalação de fonte de alimentação  12V / 10A (ou similar)</t>
  </si>
  <si>
    <t>PAINEL GERAL DE B.T DA CPRM SUBESTAÇÃO SE 1 (EXISTENTE)</t>
  </si>
  <si>
    <t xml:space="preserve"> 582 </t>
  </si>
  <si>
    <t xml:space="preserve"> 583 </t>
  </si>
  <si>
    <t xml:space="preserve"> 584 </t>
  </si>
  <si>
    <t xml:space="preserve"> 585 </t>
  </si>
  <si>
    <t xml:space="preserve"> 586 </t>
  </si>
  <si>
    <t>DESPESAS GERAIS E DE CONSUMO</t>
  </si>
  <si>
    <t xml:space="preserve"> 587 </t>
  </si>
  <si>
    <t>Selante endurecedor de concreto antipó</t>
  </si>
  <si>
    <t>11.20.090</t>
  </si>
  <si>
    <t>18.029.0070-0</t>
  </si>
  <si>
    <t xml:space="preserve"> 588 </t>
  </si>
  <si>
    <t>BOMBA CENTRIFUGA SUBMERSA,PARA AGUAS SERVIDAS,DE 0,5CV,110/2 20V.FORNECIMENTO E COLOCACAO</t>
  </si>
  <si>
    <t xml:space="preserve"> 589 </t>
  </si>
  <si>
    <t>Modulo de supervisão endereçavel BSKY im5ei</t>
  </si>
  <si>
    <t>32.15.030</t>
  </si>
  <si>
    <t>RESERVATÓRIO DE REUSO</t>
  </si>
  <si>
    <t xml:space="preserve"> 590 </t>
  </si>
  <si>
    <t>Impermeabilização em manta asfáltica com armadura, tipo III-B, espessura de 3 mm</t>
  </si>
  <si>
    <t xml:space="preserve"> 591 </t>
  </si>
  <si>
    <t>Junta de encontro, seção transversal dim. 20mm, inclusive tarugo e preenchimento com mastique MBT ou similar.</t>
  </si>
  <si>
    <t>Base inercia - Fabricante Vibra-Stop B.I.2 - (dim. 1,50x0,50)m MSCC 100 - UNC 3/8"</t>
  </si>
  <si>
    <t>Base inercia - Fabricante Vibra-Stop  (dim. 1,00x1,00)m - MSCC 200 - UNC 3/8"</t>
  </si>
  <si>
    <t xml:space="preserve">CAIXA DE DECANTAÇÃO </t>
  </si>
  <si>
    <t xml:space="preserve"> 592 </t>
  </si>
  <si>
    <t xml:space="preserve"> 9032 </t>
  </si>
  <si>
    <t>Base com brita graduada, exclusive pó de pedra e transporte da brita)</t>
  </si>
  <si>
    <t xml:space="preserve"> 593 </t>
  </si>
  <si>
    <t xml:space="preserve"> 594 </t>
  </si>
  <si>
    <t xml:space="preserve"> 97341 </t>
  </si>
  <si>
    <t xml:space="preserve"> 97342 </t>
  </si>
  <si>
    <t xml:space="preserve"> 97343 </t>
  </si>
  <si>
    <t xml:space="preserve"> 89980 </t>
  </si>
  <si>
    <t xml:space="preserve"> 89619 </t>
  </si>
  <si>
    <t xml:space="preserve"> 05.105.0187-0 </t>
  </si>
  <si>
    <t xml:space="preserve"> 012689 </t>
  </si>
  <si>
    <t xml:space="preserve"> 012031 </t>
  </si>
  <si>
    <t xml:space="preserve"> ED-16355 </t>
  </si>
  <si>
    <t xml:space="preserve"> 012710 </t>
  </si>
  <si>
    <t xml:space="preserve"> 012661 </t>
  </si>
  <si>
    <t xml:space="preserve"> 210500 </t>
  </si>
  <si>
    <t xml:space="preserve"> 101897 </t>
  </si>
  <si>
    <t xml:space="preserve"> 40.20.060 </t>
  </si>
  <si>
    <t xml:space="preserve"> 3805 </t>
  </si>
  <si>
    <t xml:space="preserve"> 12015 </t>
  </si>
  <si>
    <t xml:space="preserve"> 12232 </t>
  </si>
  <si>
    <t xml:space="preserve"> 12233 </t>
  </si>
  <si>
    <t xml:space="preserve"> 72322 </t>
  </si>
  <si>
    <t xml:space="preserve"> 090627 </t>
  </si>
  <si>
    <t xml:space="preserve"> 8077 </t>
  </si>
  <si>
    <t xml:space="preserve"> 37.12.200 </t>
  </si>
  <si>
    <t xml:space="preserve"> 37.12.220 </t>
  </si>
  <si>
    <t xml:space="preserve"> 072619 </t>
  </si>
  <si>
    <t xml:space="preserve"> 37.17.074 </t>
  </si>
  <si>
    <t xml:space="preserve"> 37.17.080 </t>
  </si>
  <si>
    <t xml:space="preserve"> 064410 </t>
  </si>
  <si>
    <t xml:space="preserve"> 3761 </t>
  </si>
  <si>
    <t xml:space="preserve"> 666 </t>
  </si>
  <si>
    <t xml:space="preserve"> 667 </t>
  </si>
  <si>
    <t xml:space="preserve"> 671 </t>
  </si>
  <si>
    <t xml:space="preserve"> 672 </t>
  </si>
  <si>
    <t xml:space="preserve"> 674 </t>
  </si>
  <si>
    <t xml:space="preserve"> 675 </t>
  </si>
  <si>
    <t xml:space="preserve"> 676 </t>
  </si>
  <si>
    <t xml:space="preserve"> 677 </t>
  </si>
  <si>
    <t xml:space="preserve"> 678 </t>
  </si>
  <si>
    <t xml:space="preserve"> 679 </t>
  </si>
  <si>
    <t xml:space="preserve"> 680 </t>
  </si>
  <si>
    <t xml:space="preserve"> 681 </t>
  </si>
  <si>
    <t xml:space="preserve"> 683 </t>
  </si>
  <si>
    <t xml:space="preserve"> 684 </t>
  </si>
  <si>
    <t xml:space="preserve"> 685 </t>
  </si>
  <si>
    <t xml:space="preserve"> 686 </t>
  </si>
  <si>
    <t xml:space="preserve"> 687 </t>
  </si>
  <si>
    <t xml:space="preserve"> 688 </t>
  </si>
  <si>
    <t xml:space="preserve"> 689 </t>
  </si>
  <si>
    <t xml:space="preserve"> 690 </t>
  </si>
  <si>
    <t xml:space="preserve"> 691 </t>
  </si>
  <si>
    <t xml:space="preserve"> 668 </t>
  </si>
  <si>
    <t xml:space="preserve"> 669 </t>
  </si>
  <si>
    <t xml:space="preserve"> 682 </t>
  </si>
  <si>
    <t xml:space="preserve"> 692 </t>
  </si>
  <si>
    <t xml:space="preserve"> 3099 </t>
  </si>
  <si>
    <t xml:space="preserve"> 01.050.0715-A </t>
  </si>
  <si>
    <t xml:space="preserve"> 05.100.0900-0 </t>
  </si>
  <si>
    <t xml:space="preserve"> 09.01.020 </t>
  </si>
  <si>
    <t xml:space="preserve"> 693 </t>
  </si>
  <si>
    <t xml:space="preserve"> 694 </t>
  </si>
  <si>
    <t xml:space="preserve"> 695 </t>
  </si>
  <si>
    <t xml:space="preserve"> 696 </t>
  </si>
  <si>
    <t xml:space="preserve"> 698 </t>
  </si>
  <si>
    <t xml:space="preserve"> 699 </t>
  </si>
  <si>
    <t xml:space="preserve"> 700 </t>
  </si>
  <si>
    <t xml:space="preserve"> 701 </t>
  </si>
  <si>
    <t xml:space="preserve"> 702 </t>
  </si>
  <si>
    <t xml:space="preserve"> 703 </t>
  </si>
  <si>
    <t xml:space="preserve"> 704 </t>
  </si>
  <si>
    <t xml:space="preserve"> 705 </t>
  </si>
  <si>
    <t xml:space="preserve"> 706 </t>
  </si>
  <si>
    <t xml:space="preserve"> 709 </t>
  </si>
  <si>
    <t xml:space="preserve"> 710 </t>
  </si>
  <si>
    <t xml:space="preserve"> 711 </t>
  </si>
  <si>
    <t xml:space="preserve"> 712 </t>
  </si>
  <si>
    <t xml:space="preserve"> 10724 </t>
  </si>
  <si>
    <t xml:space="preserve"> 11.20.090 </t>
  </si>
  <si>
    <t xml:space="preserve"> 18.029.0070-0 </t>
  </si>
  <si>
    <t xml:space="preserve"> 713 </t>
  </si>
  <si>
    <t xml:space="preserve"> 32.15.030 </t>
  </si>
  <si>
    <t xml:space="preserve"> 13193 </t>
  </si>
  <si>
    <t xml:space="preserve"> 12437 </t>
  </si>
  <si>
    <t>Cuba de embutir quadrada (deca linha ref l701 - GE17 - 41cm)  p/ instalação em bancadas, c/ sifão cromado (deca ref c1680) , válvula cromada (deca c1602) e engate cromado (deca) ou similares</t>
  </si>
  <si>
    <t xml:space="preserve">CABOS  </t>
  </si>
  <si>
    <t>24.03.100</t>
  </si>
  <si>
    <t xml:space="preserve"> 595 </t>
  </si>
  <si>
    <t xml:space="preserve"> 24.03.100 </t>
  </si>
  <si>
    <t>Alçapão/tampa em chapa de ferro com porta cadeado</t>
  </si>
  <si>
    <t xml:space="preserve"> 596 </t>
  </si>
  <si>
    <t xml:space="preserve"> 111701 </t>
  </si>
  <si>
    <t>ESCADA MARINHEIRO PERFIL 1.1/2"" ACO+BARRA CHATA VERT/HORIZ.</t>
  </si>
  <si>
    <t>49.15.100</t>
  </si>
  <si>
    <t xml:space="preserve"> 49.15.100 </t>
  </si>
  <si>
    <t>Anel pré-moldado de concreto com diâmetro de 3,00 m</t>
  </si>
  <si>
    <t>Porcent.</t>
  </si>
  <si>
    <t xml:space="preserve"> 00039747 </t>
  </si>
  <si>
    <t>TUBO DE COBRE CLASSE "A", DN = 1/2 " (15 MM), PARA INSTALACOES DE MEDIA PRESSAO PARA GASES COMBUSTIVEIS E MEDICINAIS</t>
  </si>
  <si>
    <t xml:space="preserve"> 00039748 </t>
  </si>
  <si>
    <t>TUBO DE COBRE CLASSE "A", DN = 3/4 " (22 MM), PARA INSTALACOES DE MEDIA PRESSAO PARA GASES COMBUSTIVEIS E MEDICINAIS</t>
  </si>
  <si>
    <t xml:space="preserve"> 00039749 </t>
  </si>
  <si>
    <t>TUBO DE COBRE CLASSE "A", DN = 1 " (28 MM), PARA INSTALACOES DE MEDIA PRESSAO PARA GASES COMBUSTIVEIS E MEDICINAIS</t>
  </si>
  <si>
    <t xml:space="preserve"> 00003870 </t>
  </si>
  <si>
    <t>LUVA SOLDAVEL COM BUCHA DE LATAO, PVC, 25 MM X 3/4"</t>
  </si>
  <si>
    <t xml:space="preserve"> 00007104 </t>
  </si>
  <si>
    <t>TE DE REDUCAO, PVC, SOLDAVEL, 90 GRAUS, 25 MM X 20 MM, PARA AGUA FRIA PREDIAL</t>
  </si>
  <si>
    <t xml:space="preserve"> 13901 </t>
  </si>
  <si>
    <t>MAO DE OBRA DE COMPRADOR, INCLUSIVE ENCA RGOS SOCIAIS</t>
  </si>
  <si>
    <t>INSTALACOES PROVISORIAS</t>
  </si>
  <si>
    <t xml:space="preserve"> 008981 </t>
  </si>
  <si>
    <t>ASSENTO SANITARIO OVAL SOFT BRANCO ASTRA</t>
  </si>
  <si>
    <t xml:space="preserve"> 004300 </t>
  </si>
  <si>
    <t>BOLSA DE LIGACAO PVC 1.1/2"x 40mm VASO SANITARIO</t>
  </si>
  <si>
    <t xml:space="preserve"> 012488 </t>
  </si>
  <si>
    <t>CABO GSETTE 0,6/1KV 1 CONDUTOR 6mm2</t>
  </si>
  <si>
    <t xml:space="preserve"> 006929 </t>
  </si>
  <si>
    <t>CAIXA D'AGUA EM POLIETILENO 500 LITROS COM TAMPA FORTLEV</t>
  </si>
  <si>
    <t xml:space="preserve"> 005551 </t>
  </si>
  <si>
    <t>CAIXA DE DESCARGA PVC SOBREPOR BRANCA COM ENGATE 9 LITROS TIGRE</t>
  </si>
  <si>
    <t xml:space="preserve"> 007863 </t>
  </si>
  <si>
    <t>BUCHA/ARRUELA DE ALUMINIO PARA ELETRODUTO 1"</t>
  </si>
  <si>
    <t xml:space="preserve"> 003585 </t>
  </si>
  <si>
    <t>CHAVE SECCIONADORA ROTATIVA MSW100 100A FIXACAO TOPO NR12 WEG</t>
  </si>
  <si>
    <t xml:space="preserve"> 003355 </t>
  </si>
  <si>
    <t>CURVA 90 ELETRODUTO ROSCAVEL PVC 1"</t>
  </si>
  <si>
    <t xml:space="preserve"> 043804 </t>
  </si>
  <si>
    <t>CURVA 180 ELETRODUTO ROSCAVEL PVC 2"</t>
  </si>
  <si>
    <t xml:space="preserve"> 003949 </t>
  </si>
  <si>
    <t>CURVA 90 PVC CURTA ESGOTO SERIE NORMAL 100mm</t>
  </si>
  <si>
    <t xml:space="preserve"> 007910 </t>
  </si>
  <si>
    <t>DISJUNTOR TRIPOLAR 40A MINI DIN MDW C40 CURVA C WEG</t>
  </si>
  <si>
    <t xml:space="preserve"> 003347 </t>
  </si>
  <si>
    <t>ELETRODUTO PVC RIGIDO ROSCAVEL 1"</t>
  </si>
  <si>
    <t xml:space="preserve"> 007508 </t>
  </si>
  <si>
    <t>ELETRODUTO PVC RIGIDO ROSCAVEL 2"</t>
  </si>
  <si>
    <t xml:space="preserve"> 003530 </t>
  </si>
  <si>
    <t>FIO NEOFLAN ANTICHAMA BWF 750V 1,5mm2 (14 AWG)</t>
  </si>
  <si>
    <t xml:space="preserve"> 003580 </t>
  </si>
  <si>
    <t>FIO 450/750V 4mm2 (10 AWG) PRETO</t>
  </si>
  <si>
    <t xml:space="preserve"> 012072 </t>
  </si>
  <si>
    <t>FUSIVEL CARTUCHO 20A 250V NEGRINI</t>
  </si>
  <si>
    <t xml:space="preserve"> 080084 </t>
  </si>
  <si>
    <t>GRAMPO "U" PARA TUBO DE 3.1/2"</t>
  </si>
  <si>
    <t xml:space="preserve"> 005209 </t>
  </si>
  <si>
    <t>JOELHO 90 PVC ROSCAVEL 2"</t>
  </si>
  <si>
    <t xml:space="preserve"> 047772 </t>
  </si>
  <si>
    <t>ISOLADOR ROLDANA 72x72 2030</t>
  </si>
  <si>
    <t xml:space="preserve"> 047093 </t>
  </si>
  <si>
    <t>LAMPADA LED GALAXY LED BULBO 5W AMARELO BIVOLT</t>
  </si>
  <si>
    <t xml:space="preserve"> 047739 </t>
  </si>
  <si>
    <t>LUVA PVC ELETRODUTO ROSCAVEL 2"</t>
  </si>
  <si>
    <t xml:space="preserve"> 006805 </t>
  </si>
  <si>
    <t>LUVA PVC ELETRODUTO ROSCAVEL 3/4"</t>
  </si>
  <si>
    <t xml:space="preserve"> 004030 </t>
  </si>
  <si>
    <t>MEDIDOR ENERGIA TRIFASICO 2402V 15A COM NEUTRO</t>
  </si>
  <si>
    <t xml:space="preserve"> 003586 </t>
  </si>
  <si>
    <t>PLAFON POP BIVOLT BRANCO</t>
  </si>
  <si>
    <t xml:space="preserve"> 008741 </t>
  </si>
  <si>
    <t>POSTE CONCRETO DUPLO "T" 6,0m 100Kg</t>
  </si>
  <si>
    <t xml:space="preserve"> 003448 </t>
  </si>
  <si>
    <t>QUADRO DE DISTRIBUICAO SOBREPOR UNIVERSAL CEMAR 56/40 225A</t>
  </si>
  <si>
    <t xml:space="preserve"> 002279 </t>
  </si>
  <si>
    <t>REGISTRO GAVETA BRONZE BRUTO 1502.B 2" DECA</t>
  </si>
  <si>
    <t xml:space="preserve"> 002274 </t>
  </si>
  <si>
    <t>REGISTRO GAVETA BRONZE BRUTO 1/2"</t>
  </si>
  <si>
    <t xml:space="preserve"> 003376 </t>
  </si>
  <si>
    <t>TUBO PVC AGUA ROSCA 2"</t>
  </si>
  <si>
    <t xml:space="preserve"> 003300 </t>
  </si>
  <si>
    <t>TUBO PVC AGUA ROSCA 1/2"</t>
  </si>
  <si>
    <t xml:space="preserve"> 004480 </t>
  </si>
  <si>
    <t>TUBO PVC ESGOTO SERIE NORMAL 100mm</t>
  </si>
  <si>
    <t xml:space="preserve"> 008050 </t>
  </si>
  <si>
    <t>VASO SANITARIO CONVENCIONAL BRANCO SABARA 3500 ICASA</t>
  </si>
  <si>
    <t>ARMÁRIO (COR: CINZA| MATERIAL: AÇO|NÚMERO DE PORTAS: 4|ALTURA*: 200CM|LARGURA*: 75CM| PROFUNIDADE*: 40CM)* MEDIDAS REFERENCIAIS APROXIMADAS</t>
  </si>
  <si>
    <t>LÂMPADA (TIPO: LED| FORMATO: TUBULAR| COMPRIMENTO: 120CM| DIÂMETRO: T8[Ø26MM]| POTÊNCIA: 18-20W| LÚMENS: 1850LM|COR DA LUZ: BRANCA-6500K| SOQUETE-BASE: G13| TENSÃO: 110|220V)</t>
  </si>
  <si>
    <t>LOCAÇÃO DE CONTAINER COM ISOLAMENTO TÉRMICO (APLICAÇÃO: VESTIÁRIO|ESQUADRIAS: 2| LÂMPADAS: NÃO INCLUSO| INSTALAÇÃO ELÉTRICA INTERNA: INCLUSA| MOBILIZAÇÃO: NÃO INCLUSO|COMPRIMENTO*: 600CM/LARGURA*: 230CM/ ALTURA EXTERNA*: 285CM/ ALTURA ÚTIL INTERNA*: 250CM)*MEDIDAS REFERENCIAIS APROXIMADAS</t>
  </si>
  <si>
    <t xml:space="preserve"> ED-14454 </t>
  </si>
  <si>
    <t xml:space="preserve"> 006315 </t>
  </si>
  <si>
    <t>ALUGUEL MENSAL RELOGIO DE PONTO</t>
  </si>
  <si>
    <t xml:space="preserve"> 000776 </t>
  </si>
  <si>
    <t>ARAME GALVANIZADO #18 AWG 1,24mm</t>
  </si>
  <si>
    <t xml:space="preserve"> 003348 </t>
  </si>
  <si>
    <t>ELETRODUTO PVC RIGIDO ROSCAVEL 3/4"</t>
  </si>
  <si>
    <t xml:space="preserve"> 010943 </t>
  </si>
  <si>
    <t>CHAPA GALVANIZADA #26 600mm x 0,50mm (4,00kg/m2)</t>
  </si>
  <si>
    <t xml:space="preserve"> 018122 </t>
  </si>
  <si>
    <t>PRIMER SOLIDO CINZA 8200 LAZZURIL GALAO 3,6 LITROS</t>
  </si>
  <si>
    <t xml:space="preserve"> 018118 </t>
  </si>
  <si>
    <t>TINTA ESMALTE ACETINADA SEM CHEIRO A BASE D'AGUA CORAL (3,6 L)</t>
  </si>
  <si>
    <t>LIMPEZA</t>
  </si>
  <si>
    <t xml:space="preserve"> 012334 </t>
  </si>
  <si>
    <t>ALUGUEL DE CACAMBA 48 HORAS</t>
  </si>
  <si>
    <t xml:space="preserve"> 00002393 </t>
  </si>
  <si>
    <t>DISJUNTOR TERMOMAGNETICO TRIPOLAR 250 A / 600 V, TIPO FXD</t>
  </si>
  <si>
    <t xml:space="preserve"> 00001581 </t>
  </si>
  <si>
    <t>TERMINAL A COMPRESSAO EM COBRE ESTANHADO PARA CABO 120 MM2, 1 FURO E 1 COMPRESSAO, PARA PARAFUSO DE FIXACAO M12</t>
  </si>
  <si>
    <t xml:space="preserve"> P.13.000.042284 </t>
  </si>
  <si>
    <t>Botão de comando duplo sem sinalização</t>
  </si>
  <si>
    <t>Fusíveis, Disjuntores e Chaves</t>
  </si>
  <si>
    <t xml:space="preserve"> 3002 </t>
  </si>
  <si>
    <t>Botão de comando duplo com sinaleira</t>
  </si>
  <si>
    <t xml:space="preserve"> 3000 </t>
  </si>
  <si>
    <t>Equipamentos para Combate a Incêndio</t>
  </si>
  <si>
    <t xml:space="preserve"> 12852 </t>
  </si>
  <si>
    <t xml:space="preserve"> 87296 </t>
  </si>
  <si>
    <t xml:space="preserve"> 4908 </t>
  </si>
  <si>
    <t>Quadro de distribuição de embutir em chapa de aço, p/até 56 disjuntores c/barramento, padrão DIN, Cemar ou similar</t>
  </si>
  <si>
    <t xml:space="preserve"> 8261 </t>
  </si>
  <si>
    <t>Quadro de distribuição de embutir em chapa de aço, p/até 70 disjuntores c/barramento, padrão DIN, Cemar ou similar</t>
  </si>
  <si>
    <t xml:space="preserve"> 00003302 </t>
  </si>
  <si>
    <t>FUSIVEL NH 100 A TAMANHO 00, CAPACIDADE DE INTERRUPCAO DE 120 KA, TENSAO NOMIMNAL DE 500 V</t>
  </si>
  <si>
    <t xml:space="preserve"> 00013369 </t>
  </si>
  <si>
    <t>CHAVE SECCIONADORA-FUSIVEL BLINDADA TRIPOLAR, ABERTURA COM CARGA, PARA FUSIVEL NH00, CORRENTE NOMINAL DE 160 A, TENSAO DE 500 V</t>
  </si>
  <si>
    <t>Edificações</t>
  </si>
  <si>
    <t xml:space="preserve"> 53275 </t>
  </si>
  <si>
    <t>CHAVE SECCIONADORA TRIP. ABERTURA SOB CARGA - 125A/525V - SEM FUSÍVEIS</t>
  </si>
  <si>
    <t xml:space="preserve"> 53622 </t>
  </si>
  <si>
    <t>FUSÍVEL TIPO NH00 - 125A</t>
  </si>
  <si>
    <t xml:space="preserve"> 2041 </t>
  </si>
  <si>
    <t>ELETRICISTA (SGSP)</t>
  </si>
  <si>
    <t xml:space="preserve"> 2044 </t>
  </si>
  <si>
    <t>AJUDANTE DE ELETRICISTA (SGSP)</t>
  </si>
  <si>
    <t>Chave liga-desliga 3x30a</t>
  </si>
  <si>
    <t>Chave liga-desliga 3x60a</t>
  </si>
  <si>
    <t xml:space="preserve"> 3749 </t>
  </si>
  <si>
    <t>Disjuntor bipolar DR 40 A, tipo AC, corrente nominal residual 30mA, ref.5SM1 314-OMB Siemens ou similar</t>
  </si>
  <si>
    <t xml:space="preserve"> P.27.000.044102 </t>
  </si>
  <si>
    <t>Fusível Diazed retardado 2A a 25A, referência modelo 2A 500V 5SB2 11 da Siemens, 20A 500VCA FDW-20S / 25A 500VCA FDW-25S Web ou equivalente</t>
  </si>
  <si>
    <t xml:space="preserve"> P.27.000.044101 </t>
  </si>
  <si>
    <t>Fusível Diazed rap/ret 35A a 63A</t>
  </si>
  <si>
    <t xml:space="preserve"> 3843 </t>
  </si>
  <si>
    <t>TRANSFORMADOR DE CORRENTE RELAÇÃO 400:5</t>
  </si>
  <si>
    <t xml:space="preserve"> P.26.000.044611 </t>
  </si>
  <si>
    <t>Dispositivo referencial residual de 25A x 30mA - 4 polos; ref. WRx12530mA da Cutler Hammer, 5SM1 da Siemens, SDR 425-30 da Steck ou equivalente</t>
  </si>
  <si>
    <t xml:space="preserve"> P.26.000.090541 </t>
  </si>
  <si>
    <t>Dispositivo diferencial residual de 40 A x 30 mA, 4 polos, GE V/304-044031, Siemens 5SM1 344-0 ou equivalente</t>
  </si>
  <si>
    <t>INSTALACOES ELETRICAS - QUADROS</t>
  </si>
  <si>
    <t xml:space="preserve"> 005960 </t>
  </si>
  <si>
    <t>DISJUNTOR - MINI DISJUNTOR TRIPOLAR WEG MDW-C80-3 80A CURVA C 5KA</t>
  </si>
  <si>
    <t>Outras Pinturas</t>
  </si>
  <si>
    <t xml:space="preserve"> 10553 </t>
  </si>
  <si>
    <t>Encargos Complementares - Pintor</t>
  </si>
  <si>
    <t xml:space="preserve"> 2224 </t>
  </si>
  <si>
    <t>Esmalte epóxi</t>
  </si>
  <si>
    <t xml:space="preserve"> 00004783 </t>
  </si>
  <si>
    <t>PINTOR (HORISTA)</t>
  </si>
  <si>
    <t xml:space="preserve"> TWBH10 </t>
  </si>
  <si>
    <t xml:space="preserve"> TWBH11 </t>
  </si>
  <si>
    <t xml:space="preserve"> TWBH12 </t>
  </si>
  <si>
    <t xml:space="preserve"> TWBH13 </t>
  </si>
  <si>
    <t xml:space="preserve"> TWBH14 </t>
  </si>
  <si>
    <t xml:space="preserve">CONTATORA 3RT10-26 </t>
  </si>
  <si>
    <t xml:space="preserve"> B.01.000.010117 </t>
  </si>
  <si>
    <t>Eletrotécnico montador</t>
  </si>
  <si>
    <t xml:space="preserve"> TWBH18 </t>
  </si>
  <si>
    <t>DISPOSITIVO SUPRESOR DE SURTO DPS CLASSE 1 100 KA, 350V, 1,5 KV</t>
  </si>
  <si>
    <t xml:space="preserve"> TWBH19 </t>
  </si>
  <si>
    <t xml:space="preserve"> TWBH23 </t>
  </si>
  <si>
    <t xml:space="preserve"> 000200 </t>
  </si>
  <si>
    <t>PEDRA BRITADA #1 E 2</t>
  </si>
  <si>
    <t xml:space="preserve"> 007143 </t>
  </si>
  <si>
    <t>ARMACAO 3x16 PRESSBOW PARA POSTE 3 ISOLADORES</t>
  </si>
  <si>
    <t xml:space="preserve"> 007727 </t>
  </si>
  <si>
    <t>ISOLADOR PINO POLIMERICO 15KV</t>
  </si>
  <si>
    <t xml:space="preserve"> TWBH24 </t>
  </si>
  <si>
    <t xml:space="preserve"> TWBH25 </t>
  </si>
  <si>
    <t xml:space="preserve"> TWBH26 </t>
  </si>
  <si>
    <t xml:space="preserve"> TWBH27 </t>
  </si>
  <si>
    <t xml:space="preserve">RELÉ DE TEMPO 7PU20 </t>
  </si>
  <si>
    <t xml:space="preserve"> TWBH28 </t>
  </si>
  <si>
    <t xml:space="preserve">RELÉ TÉRMICO 3RU11-16 (1,8 - 2,8A) </t>
  </si>
  <si>
    <t xml:space="preserve"> TWBH29 </t>
  </si>
  <si>
    <t xml:space="preserve"> TWBH07 </t>
  </si>
  <si>
    <t xml:space="preserve"> TWBH20 </t>
  </si>
  <si>
    <t>CANT - CANTEIRO DE OBRAS</t>
  </si>
  <si>
    <t xml:space="preserve"> 004225 </t>
  </si>
  <si>
    <t>MESA MADEIRA 140x80x70cm (1,12m2)</t>
  </si>
  <si>
    <t xml:space="preserve"> 004226 </t>
  </si>
  <si>
    <t>MESA MADEIRA 120x60x74cm TAMPO EM LAMINADO(0,72m2)</t>
  </si>
  <si>
    <t xml:space="preserve"> 004228 </t>
  </si>
  <si>
    <t>MESA P/COMPUTADOR MADEIRA 80x43x69cm (0,34m2)3 PRAT.</t>
  </si>
  <si>
    <t xml:space="preserve"> 004233 </t>
  </si>
  <si>
    <t>POLTRONA COM BRACO 69x74cm</t>
  </si>
  <si>
    <t xml:space="preserve"> 004238 </t>
  </si>
  <si>
    <t>CADEIRA PLASTICA INJETADA EM POLIPROPILENO</t>
  </si>
  <si>
    <t xml:space="preserve"> 005190 </t>
  </si>
  <si>
    <t>MAQUINA CALCULAR VISOR 12 DIGITOS ELETR.DISMAC</t>
  </si>
  <si>
    <t xml:space="preserve"> 005834 </t>
  </si>
  <si>
    <t>QUADRO BRANCO EM LAMINADO COLADO COMPENSADO MADEIRA</t>
  </si>
  <si>
    <t xml:space="preserve"> 005835 </t>
  </si>
  <si>
    <t>QUADRO DE AVISOS COM FORRO EM FELTRO</t>
  </si>
  <si>
    <t xml:space="preserve"> 008575 </t>
  </si>
  <si>
    <t>ESTANTE ACO DESMONTAVEL 2,0x0,925x0,40m</t>
  </si>
  <si>
    <t xml:space="preserve"> 036936 </t>
  </si>
  <si>
    <t>AR CONDICIONADO DE JANELA 12.000 BTU'S SPRINGER MIDEA</t>
  </si>
  <si>
    <t>Locação de Serviços de Terraplenagem e Acompanhamento Topográfico da Obra</t>
  </si>
  <si>
    <t xml:space="preserve"> 20018 </t>
  </si>
  <si>
    <t>MAO DE OBRA DE ARQUITETO OU ENGENHEIRO P LENO-PROJETO E CONSULTORIA, INCLUSIVE EN CARGOS SOCIAIS DESONERADOS</t>
  </si>
  <si>
    <t xml:space="preserve"> 06096 </t>
  </si>
  <si>
    <t>VALOR BASICO PARA INSUMOS</t>
  </si>
  <si>
    <t xml:space="preserve"> TWBH34 </t>
  </si>
  <si>
    <t>PRESSURIZADOR ROWA PRESS MAX 30E MONOFÁSICO 220V</t>
  </si>
  <si>
    <t xml:space="preserve"> TWBH36 </t>
  </si>
  <si>
    <t>Base inercia - Fabricante Vibra-Stop (dim. 1,00x0,50)m</t>
  </si>
  <si>
    <t xml:space="preserve"> TWBH52 </t>
  </si>
  <si>
    <t>Mola base inércia - Vidra Stop - MSCC 100 - UNC 3/8"</t>
  </si>
  <si>
    <t xml:space="preserve"> TWBH37 </t>
  </si>
  <si>
    <t>Base inercia - Fabricante Vibra-Stop (dim. 1,00x1,00)m</t>
  </si>
  <si>
    <t xml:space="preserve"> TWBH53 </t>
  </si>
  <si>
    <t>Mola base inércia - Vidra Stop - MSCC 200 - UNC 3/8"</t>
  </si>
  <si>
    <t xml:space="preserve"> TWBH39 </t>
  </si>
  <si>
    <t xml:space="preserve">BOMBA CENTRIFUGA KSB HYDROBLOC C750N 0,75 CV TRIFASICA 220/380V			</t>
  </si>
  <si>
    <t xml:space="preserve"> TWBH40 </t>
  </si>
  <si>
    <t>BOMBA SUBMERSIVEL ABS SULZER UNI 300T 0,5CV TRIFASICA 220V</t>
  </si>
  <si>
    <t xml:space="preserve"> TWBH41 </t>
  </si>
  <si>
    <t xml:space="preserve"> TWBH46 </t>
  </si>
  <si>
    <t>Quadro de distribuição de embutir em chapa de aço, p/até 80 disjuntores c/barramento, padrão DIN, Cemar ou similar</t>
  </si>
  <si>
    <t xml:space="preserve"> TWBH48 </t>
  </si>
  <si>
    <t>COMPRESSOR SCHULZ BRAVO CSLV 60BR/350 15CV TRIFASICO 220V</t>
  </si>
  <si>
    <t xml:space="preserve"> 10096 </t>
  </si>
  <si>
    <t>Fonte de alimentação  12V / 10A (ou similar)</t>
  </si>
  <si>
    <t xml:space="preserve"> F.12.000.024026 </t>
  </si>
  <si>
    <t>Selante endurecedor à base de polímeros siliconados, ref. Otto baugart, Masterkure HD 200WB da Basf ou equivalente</t>
  </si>
  <si>
    <t xml:space="preserve"> 00286 </t>
  </si>
  <si>
    <t>FIO C/ISOLAMENTO TERMOPLASTICO ANTICHAMA DE 750V, DE 01,5MM2</t>
  </si>
  <si>
    <t xml:space="preserve"> 01999 </t>
  </si>
  <si>
    <t>MAO DE OBRA DE SERVENTE DA CONSTRUCAO CI VIL, INCLUSIVE ENCARGOS SOCIAIS</t>
  </si>
  <si>
    <t xml:space="preserve"> 01993 </t>
  </si>
  <si>
    <t>MAO DE OBRA DE BOMBEIRO HIDRAULICO DA CO NSTRUCAO CIVIL, INCLUSIVE ENCARGOS SOCIA IS</t>
  </si>
  <si>
    <t xml:space="preserve"> 01983 </t>
  </si>
  <si>
    <t>MAO DE OBRA DE ELETRICISTA DE CONSTRUCAO CIVIL, INCLUSIVE ENCARGOS SOCIAIS</t>
  </si>
  <si>
    <t xml:space="preserve"> 02611 </t>
  </si>
  <si>
    <t>TUBO DE PVC RIGIDO ROSQUEAVEL, EM BARRAS DE 6,00M, ROSCA EM AMBAS AS EXTREMIDADE S, DE 2"</t>
  </si>
  <si>
    <t xml:space="preserve"> 05544 </t>
  </si>
  <si>
    <t>BOMBA SUBMERSIVEL PARA AGUA SERVIDAS OU LIMPAS, DE 0,50CV - 110/220V</t>
  </si>
  <si>
    <t xml:space="preserve"> B.01.000.020119 </t>
  </si>
  <si>
    <t>Engenheiro senior de elétrica</t>
  </si>
  <si>
    <t xml:space="preserve"> TWBH49 </t>
  </si>
  <si>
    <t xml:space="preserve"> F.03.000.024109 </t>
  </si>
  <si>
    <t>Manta asfáltica com armadura filme de poliéster, tipo III-B, espessura de 3 mm, ref. Denvermanta III-B Denver Global, Torodin III-B Viapol, Premium Poliéster III-B Viapol ou equivalente</t>
  </si>
  <si>
    <t xml:space="preserve"> 13972 </t>
  </si>
  <si>
    <t>Tarugo delimitador de profundidade em espuma de polietileno de baixa densidade 30 mm</t>
  </si>
  <si>
    <t>Base Estabilizada Granulometricamente</t>
  </si>
  <si>
    <t>Encarregado de turma - Fonte DNIT -  Mês de ref.: 01/22</t>
  </si>
  <si>
    <t xml:space="preserve"> 2450 </t>
  </si>
  <si>
    <t>Caminhão basc. 15,0t/10,0m3 ( m. benz lk 1418 -170,0kw ou equivalente)</t>
  </si>
  <si>
    <t xml:space="preserve"> 2466 </t>
  </si>
  <si>
    <t>Distribuidor de agregado de pneus autopropulsor -" ciber" , ss - 31, 400tph - spreader - 90 hp.</t>
  </si>
  <si>
    <t xml:space="preserve"> 2458 </t>
  </si>
  <si>
    <t>Caminhao tanque (pipa)10000 l (m. benz - 2423 K - 184,0 hp ou equivalente)</t>
  </si>
  <si>
    <t xml:space="preserve"> 2488 </t>
  </si>
  <si>
    <t>Rolo pneu a. prop. 25 t (caterpillar - ps -360 - 145,0 hp ou equivalente)</t>
  </si>
  <si>
    <t xml:space="preserve"> 4248 </t>
  </si>
  <si>
    <t>Rolo tandem vib. a. prop. 10,9 t (DYNAPAC CC-422C - 112 kW)</t>
  </si>
  <si>
    <t xml:space="preserve"> 00004718 </t>
  </si>
  <si>
    <t>PEDRA BRITADA N. 2 (19 A 38 MM) POSTO PEDREIRA/FORNECEDOR, SEM FRETE</t>
  </si>
  <si>
    <t xml:space="preserve"> 2384 </t>
  </si>
  <si>
    <t>Válvula de escoamento para lavatório, DECA 1602C ou similar</t>
  </si>
  <si>
    <t xml:space="preserve"> 13235 </t>
  </si>
  <si>
    <t>Cuba de embutir branca quadrada  ref. L-701 GE17 41cm - Deca ou similar</t>
  </si>
  <si>
    <t xml:space="preserve"> 00006136 </t>
  </si>
  <si>
    <t>SIFAO EM METAL CROMADO PARA PIA OU LAVATORIO, 1 X 1.1/2 "</t>
  </si>
  <si>
    <t xml:space="preserve"> H.04.000.031390 </t>
  </si>
  <si>
    <t>Tampa para alçapão em chapa de aço galvanizada de 14, com porta cadeado</t>
  </si>
  <si>
    <t xml:space="preserve"> 047874 </t>
  </si>
  <si>
    <t>ESCADA DE MARINHEIRO SEM GUARDA GORPO, L=40CM PERFIL 1.1/2" ACO+BARRA CHATA VERT/HORIZ.</t>
  </si>
  <si>
    <t xml:space="preserve"> B.09.000.024069 </t>
  </si>
  <si>
    <t>Aditivo hidrófugo de pega normal, ref. Vedacit / Otto Baumgart, Sika 1 / Sika</t>
  </si>
  <si>
    <t xml:space="preserve"> O.13.000.091172 </t>
  </si>
  <si>
    <t>Anel pré-moldado em concreto, diâmetro externo de 3,00 m, h= 0,50 m</t>
  </si>
  <si>
    <t xml:space="preserve"> S.03.000.080328 </t>
  </si>
  <si>
    <t>Guindaste hidráulico autopropelido, com lança telescópica, para espaços limitados, tração 4x4, capacidade acima de 30 ton, potência 97 KW</t>
  </si>
  <si>
    <t>CRONOGRAMA FÍSICO-FINANCEIRO</t>
  </si>
  <si>
    <t xml:space="preserve">% REL. </t>
  </si>
  <si>
    <t>MÊS</t>
  </si>
  <si>
    <t>1</t>
  </si>
  <si>
    <t>2</t>
  </si>
  <si>
    <t>3</t>
  </si>
  <si>
    <t>4</t>
  </si>
  <si>
    <t>5</t>
  </si>
  <si>
    <t>6</t>
  </si>
  <si>
    <t>7</t>
  </si>
  <si>
    <t>8</t>
  </si>
  <si>
    <t>TOTAIS</t>
  </si>
  <si>
    <t>AO     VALOR</t>
  </si>
  <si>
    <t>GLOBAL</t>
  </si>
  <si>
    <t xml:space="preserve">% </t>
  </si>
  <si>
    <t>BARRA</t>
  </si>
  <si>
    <t>TOTAL DA OBRA</t>
  </si>
  <si>
    <t>TOTAL  PREVISTO MENSAL R$</t>
  </si>
  <si>
    <t>TOTAL  PREVISTO ACUMULADO R$</t>
  </si>
  <si>
    <t>A</t>
  </si>
  <si>
    <t>Planilha Orçamentária Sintética Com Valor do Material, Mão de Obra e Equipamento</t>
  </si>
  <si>
    <t>Item</t>
  </si>
  <si>
    <t>Valor Unit com BDI</t>
  </si>
  <si>
    <t>Peso (%)</t>
  </si>
  <si>
    <t>M. O.</t>
  </si>
  <si>
    <t>EQ.</t>
  </si>
  <si>
    <t>MAT.</t>
  </si>
  <si>
    <t>LOCACAO DE ANDAIME METALICO TUBULAR DE ENCAIXE, TIPO DE TORRE, COM LARGURA DE 1 ATE 1,5 M E ALTURA DE *1,00* M (INCLUSO SAPATAS FIXAS OU RODIZIOS)</t>
  </si>
  <si>
    <t>MXMES</t>
  </si>
  <si>
    <t xml:space="preserve"> 601 </t>
  </si>
  <si>
    <t xml:space="preserve"> 603 </t>
  </si>
  <si>
    <t xml:space="preserve"> 605 </t>
  </si>
  <si>
    <t xml:space="preserve"> 608 </t>
  </si>
  <si>
    <t xml:space="preserve"> 609 </t>
  </si>
  <si>
    <t xml:space="preserve"> 623 </t>
  </si>
  <si>
    <t xml:space="preserve"> 640 </t>
  </si>
  <si>
    <t xml:space="preserve"> 649 </t>
  </si>
  <si>
    <t xml:space="preserve"> 650 </t>
  </si>
  <si>
    <t xml:space="preserve"> 651 </t>
  </si>
  <si>
    <t xml:space="preserve"> 652 </t>
  </si>
  <si>
    <t xml:space="preserve"> 653 </t>
  </si>
  <si>
    <t xml:space="preserve"> 654 </t>
  </si>
  <si>
    <t xml:space="preserve"> 655 </t>
  </si>
  <si>
    <t xml:space="preserve"> 657 </t>
  </si>
  <si>
    <t xml:space="preserve"> 658 </t>
  </si>
  <si>
    <t xml:space="preserve"> 659 </t>
  </si>
  <si>
    <t xml:space="preserve"> 660 </t>
  </si>
  <si>
    <t xml:space="preserve"> 661 </t>
  </si>
  <si>
    <t xml:space="preserve"> 662 </t>
  </si>
  <si>
    <t xml:space="preserve"> 663 </t>
  </si>
  <si>
    <t xml:space="preserve"> 664 </t>
  </si>
  <si>
    <t xml:space="preserve"> 673 </t>
  </si>
  <si>
    <t xml:space="preserve"> 697 </t>
  </si>
  <si>
    <t xml:space="preserve"> 714 </t>
  </si>
  <si>
    <t xml:space="preserve"> 715 </t>
  </si>
  <si>
    <t xml:space="preserve"> 716 </t>
  </si>
  <si>
    <t xml:space="preserve"> 717 </t>
  </si>
  <si>
    <t xml:space="preserve"> 718 </t>
  </si>
  <si>
    <t xml:space="preserve"> 719 </t>
  </si>
  <si>
    <t xml:space="preserve"> 720 </t>
  </si>
  <si>
    <t xml:space="preserve"> 721 </t>
  </si>
  <si>
    <t xml:space="preserve"> 722 </t>
  </si>
  <si>
    <t xml:space="preserve"> 723 </t>
  </si>
  <si>
    <t xml:space="preserve"> 725 </t>
  </si>
  <si>
    <t xml:space="preserve"> 726 </t>
  </si>
  <si>
    <t xml:space="preserve"> 727 </t>
  </si>
  <si>
    <t xml:space="preserve"> 728 </t>
  </si>
  <si>
    <t xml:space="preserve"> 729 </t>
  </si>
  <si>
    <t xml:space="preserve"> 730 </t>
  </si>
  <si>
    <t xml:space="preserve"> 731 </t>
  </si>
  <si>
    <t xml:space="preserve"> 732 </t>
  </si>
  <si>
    <t xml:space="preserve"> 733 </t>
  </si>
  <si>
    <t xml:space="preserve"> 734 </t>
  </si>
  <si>
    <t xml:space="preserve"> 735 </t>
  </si>
  <si>
    <t xml:space="preserve"> 736 </t>
  </si>
  <si>
    <t xml:space="preserve"> 737 </t>
  </si>
  <si>
    <t xml:space="preserve"> 738 </t>
  </si>
  <si>
    <t xml:space="preserve"> 739 </t>
  </si>
  <si>
    <t xml:space="preserve"> 740 </t>
  </si>
  <si>
    <t xml:space="preserve"> 741 </t>
  </si>
  <si>
    <t xml:space="preserve"> 742 </t>
  </si>
  <si>
    <t xml:space="preserve"> 743 </t>
  </si>
  <si>
    <t xml:space="preserve"> 744 </t>
  </si>
  <si>
    <t xml:space="preserve"> 745 </t>
  </si>
  <si>
    <t xml:space="preserve"> 746 </t>
  </si>
  <si>
    <t xml:space="preserve"> 747 </t>
  </si>
  <si>
    <t xml:space="preserve"> 748 </t>
  </si>
  <si>
    <t xml:space="preserve"> 749 </t>
  </si>
  <si>
    <t xml:space="preserve"> 750 </t>
  </si>
  <si>
    <t xml:space="preserve"> 751 </t>
  </si>
  <si>
    <t xml:space="preserve"> 752 </t>
  </si>
  <si>
    <t xml:space="preserve"> 753 </t>
  </si>
  <si>
    <t xml:space="preserve"> 754 </t>
  </si>
  <si>
    <t xml:space="preserve"> 755 </t>
  </si>
  <si>
    <t xml:space="preserve"> 756 </t>
  </si>
  <si>
    <t xml:space="preserve"> 757 </t>
  </si>
  <si>
    <t xml:space="preserve"> 758 </t>
  </si>
  <si>
    <t xml:space="preserve"> 759 </t>
  </si>
  <si>
    <t xml:space="preserve"> 760 </t>
  </si>
  <si>
    <t xml:space="preserve"> 761 </t>
  </si>
  <si>
    <t xml:space="preserve"> 762 </t>
  </si>
  <si>
    <t xml:space="preserve"> 763 </t>
  </si>
  <si>
    <t xml:space="preserve"> 764 </t>
  </si>
  <si>
    <t xml:space="preserve"> 765 </t>
  </si>
  <si>
    <t xml:space="preserve"> 766 </t>
  </si>
  <si>
    <t xml:space="preserve"> 767 </t>
  </si>
  <si>
    <t xml:space="preserve"> 768 </t>
  </si>
  <si>
    <t xml:space="preserve"> 769 </t>
  </si>
  <si>
    <t>SUPORTE SUSPENSAO VERTICAL PARA ELETROCALHA 100 x 50 mm</t>
  </si>
  <si>
    <t xml:space="preserve"> 770 </t>
  </si>
  <si>
    <t xml:space="preserve"> 771 </t>
  </si>
  <si>
    <t xml:space="preserve"> 772 </t>
  </si>
  <si>
    <t xml:space="preserve"> 773 </t>
  </si>
  <si>
    <t xml:space="preserve"> 774 </t>
  </si>
  <si>
    <t xml:space="preserve"> 775 </t>
  </si>
  <si>
    <t xml:space="preserve"> 776 </t>
  </si>
  <si>
    <t xml:space="preserve"> 777 </t>
  </si>
  <si>
    <t xml:space="preserve"> 778 </t>
  </si>
  <si>
    <t xml:space="preserve"> 779 </t>
  </si>
  <si>
    <t xml:space="preserve"> 780 </t>
  </si>
  <si>
    <t xml:space="preserve"> 781 </t>
  </si>
  <si>
    <t xml:space="preserve"> 782 </t>
  </si>
  <si>
    <t xml:space="preserve"> 783 </t>
  </si>
  <si>
    <t xml:space="preserve"> 784 </t>
  </si>
  <si>
    <t xml:space="preserve"> 785 </t>
  </si>
  <si>
    <t xml:space="preserve"> 786 </t>
  </si>
  <si>
    <t xml:space="preserve"> 787 </t>
  </si>
  <si>
    <t xml:space="preserve"> 788 </t>
  </si>
  <si>
    <t xml:space="preserve"> 789 </t>
  </si>
  <si>
    <t xml:space="preserve"> 790 </t>
  </si>
  <si>
    <t xml:space="preserve"> 791 </t>
  </si>
  <si>
    <t xml:space="preserve"> 792 </t>
  </si>
  <si>
    <t xml:space="preserve"> 793 </t>
  </si>
  <si>
    <t xml:space="preserve"> 794 </t>
  </si>
  <si>
    <t xml:space="preserve"> 795 </t>
  </si>
  <si>
    <t xml:space="preserve"> 796 </t>
  </si>
  <si>
    <t xml:space="preserve"> 797 </t>
  </si>
  <si>
    <t xml:space="preserve"> 798 </t>
  </si>
  <si>
    <t xml:space="preserve"> 799 </t>
  </si>
  <si>
    <t xml:space="preserve"> 800 </t>
  </si>
  <si>
    <t xml:space="preserve"> 801 </t>
  </si>
  <si>
    <t xml:space="preserve"> 802 </t>
  </si>
  <si>
    <t xml:space="preserve"> 803 </t>
  </si>
  <si>
    <t xml:space="preserve"> 804 </t>
  </si>
  <si>
    <t xml:space="preserve"> 805 </t>
  </si>
  <si>
    <t xml:space="preserve"> 806 </t>
  </si>
  <si>
    <t xml:space="preserve"> 807 </t>
  </si>
  <si>
    <t xml:space="preserve"> 808 </t>
  </si>
  <si>
    <t xml:space="preserve"> 809 </t>
  </si>
  <si>
    <t xml:space="preserve"> 810 </t>
  </si>
  <si>
    <t xml:space="preserve"> 811 </t>
  </si>
  <si>
    <t xml:space="preserve"> 812 </t>
  </si>
  <si>
    <t xml:space="preserve"> 813 </t>
  </si>
  <si>
    <t xml:space="preserve"> 814 </t>
  </si>
  <si>
    <t xml:space="preserve"> 815 </t>
  </si>
  <si>
    <t xml:space="preserve"> 816 </t>
  </si>
  <si>
    <t xml:space="preserve"> 817 </t>
  </si>
  <si>
    <t xml:space="preserve"> 819 </t>
  </si>
  <si>
    <t xml:space="preserve"> 820 </t>
  </si>
  <si>
    <t xml:space="preserve"> 821 </t>
  </si>
  <si>
    <t xml:space="preserve"> 822 </t>
  </si>
  <si>
    <t xml:space="preserve"> 823 </t>
  </si>
  <si>
    <t xml:space="preserve"> 824 </t>
  </si>
  <si>
    <t xml:space="preserve"> 825 </t>
  </si>
  <si>
    <t xml:space="preserve"> 826 </t>
  </si>
  <si>
    <t xml:space="preserve"> 827 </t>
  </si>
  <si>
    <t>DETECÇÃO  E ALARME</t>
  </si>
  <si>
    <t>DEMOLIÇÃO</t>
  </si>
  <si>
    <t>03.01.020</t>
  </si>
  <si>
    <t>Taxa de destinação de resíduo sólido em aterro, tipo inerte</t>
  </si>
  <si>
    <t>Transporte de entulho, para distâncias superiores ao 20° km</t>
  </si>
  <si>
    <t>Transporte manual horizontal e/ou vertical de entulho até o local de despejo - ensacado</t>
  </si>
  <si>
    <t>05.09.006</t>
  </si>
  <si>
    <t>05.09.008</t>
  </si>
  <si>
    <t>05.08.140</t>
  </si>
  <si>
    <t>05.04.060</t>
  </si>
  <si>
    <t xml:space="preserve"> 828 </t>
  </si>
  <si>
    <t>Demolição manual de concreto simples</t>
  </si>
  <si>
    <t xml:space="preserve"> 829 </t>
  </si>
  <si>
    <t xml:space="preserve"> 830 </t>
  </si>
  <si>
    <t xml:space="preserve"> 831 </t>
  </si>
  <si>
    <t xml:space="preserve"> 832 </t>
  </si>
  <si>
    <t xml:space="preserve"> 833 </t>
  </si>
  <si>
    <t xml:space="preserve"> 834 </t>
  </si>
  <si>
    <t xml:space="preserve"> 835 </t>
  </si>
  <si>
    <t xml:space="preserve"> 836 </t>
  </si>
  <si>
    <t xml:space="preserve"> 837 </t>
  </si>
  <si>
    <t xml:space="preserve"> 838 </t>
  </si>
  <si>
    <t xml:space="preserve"> 839 </t>
  </si>
  <si>
    <t xml:space="preserve"> 840 </t>
  </si>
  <si>
    <t xml:space="preserve"> 841 </t>
  </si>
  <si>
    <t xml:space="preserve"> </t>
  </si>
  <si>
    <t>M.O.</t>
  </si>
  <si>
    <t>LOCAÇÃO DE CONTAINER TIPO ESCRITÓRIO COM 1 VASO SANITÁRIO, 1 LAVATÓRIO E 1 PONTO PARA CHUVEIRO - ÁREA MÍNIMA DE 13,80 M²</t>
  </si>
  <si>
    <t>LOCAÇÃO DE CONTAINER TIPO SANITÁRIO COM 2 VASOS SANITÁRIOS, 2 LAVATÓRIOS, 2 MICTÓRIOS E 4 PONTOS PARA CHUVEIRO - ÁREA MÍNIMA DE 13,80 M²</t>
  </si>
  <si>
    <t>LOCAÇÃO DE CONTAINER TIPO DEPÓSITO - ÁREA MÍNIMA DE 13,80 M²</t>
  </si>
  <si>
    <t>TAPUME MÓVEL PARA FECHAMENTO DE ÁREAS</t>
  </si>
  <si>
    <t>PLACA DE RESP.TECNICA-MADEIRA/CHAPA GALVANIZADA 26(3,0X1,5 M)</t>
  </si>
  <si>
    <t>TAXA DE MOBILIZAÇÃO E DESMOBILIZAÇÃO DE EQUIPAMENTOS PARA EXECUÇÃO DE ESTACA TIPO HÉLICE CONTÍNUA EM SOLO</t>
  </si>
  <si>
    <t>CONCRETO USINADO, FCK = 30 MPA - PARA BOMBEAMENTO</t>
  </si>
  <si>
    <t>FORMA PLANA PARA SAPATAS, EM MADEIRA MACIÇA, 02 USOS, INCLUSIVE ESCORAMENTO</t>
  </si>
  <si>
    <t>LANÇAMENTO E ADENSAMENTO DE CONCRETO OU MASSA EM FUNDAÇÃO</t>
  </si>
  <si>
    <t>ESTACA PERFIL METALICO DUPLO I - 10""X4.5/8"" 80TF</t>
  </si>
  <si>
    <t>EMENDA EM ESTACA TRILHO TR-32 A TR-68 KGF/M</t>
  </si>
  <si>
    <t>CORTE DE TRILHOS DE ACO TR-37KGF/M COM ELETRODOS ELETRICOS</t>
  </si>
  <si>
    <t>LANÇAMENTO E ADENSAMENTO DE CONCRETO OU MASSA EM ESTRUTURA</t>
  </si>
  <si>
    <t>LAJE PRÉ-FABRICADA UNIDIRECIONAL EM VIGA TRELIÇADA/LAJOTA EM EPS LT 16 (12 + 4), COM CAPA DE CONCRETO DE 25 MPA</t>
  </si>
  <si>
    <t>FORMA PLANA EM COMPENSADO PARA ESTRUTURA APARENTE COM CIMBRAMENTO TUBULAR METÁLICO</t>
  </si>
  <si>
    <t>SELANTE ENDURECEDOR DE CONCRETO ANTIPÓ</t>
  </si>
  <si>
    <t>TELA ELETROSOLDADA NERVURADA Q92 15X15CM 4,2MM(1,48KG/M2)</t>
  </si>
  <si>
    <t>CONCRETO USINADO, FCK = 35 MPA - PARA BOMBEAMENTO</t>
  </si>
  <si>
    <t>ANEL PRÉ-MOLDADO DE CONCRETO COM DIÂMETRO DE 3,00 M</t>
  </si>
  <si>
    <t>IMPERMEABILIZAÇÃO EM MANTA ASFÁLTICA COM ARMADURA, TIPO III-B, ESPESSURA DE 3 MM</t>
  </si>
  <si>
    <t>ALÇAPÃO/TAMPA EM CHAPA DE FERRO COM PORTA CADEADO</t>
  </si>
  <si>
    <t>BASE COM BRITA GRADUADA, EXCLUSIVE PÓ DE PEDRA E TRANSPORTE DA BRITA)</t>
  </si>
  <si>
    <t>FORNECIMENTO E MONTAGEM DE ESTRUTURA TUBULAR EM AÇO ASTM-A572 GRAU 50, SEM PINTURA</t>
  </si>
  <si>
    <t>DIVISÓRIA SANITÁRIA EM PAINEL LAMINADO MELAMÍNICO ESTRUTURAL COM PERFIS EM ALUMÍNIO, INCLUSIVE FERRAGEM COMPLETA PARA VÃO DE PORTA</t>
  </si>
  <si>
    <t>PORTA WC 0,60X1,80M COMPENSADO C/LAMINADO/FERRAGENS W.C.</t>
  </si>
  <si>
    <t>REBOCO INTERNO 5MM PAREDES ARGAMASSA PREFABRICADA</t>
  </si>
  <si>
    <t>PINTURA DE ACABAMENTO COM APLICAÇÃO DE FUNDO PREPARADOR EPOXI, 01 DEMÃO DE MASSA EPOXI E 02 DEMÃOS DE TINTA ESMALTE EPOXI BRANCO, E = 35 MICRA P/ DEMÃO - R1</t>
  </si>
  <si>
    <t>TELA ELETROSOLDADA NERVURADA Q113 30X10CM 3,8MM(2,11KG/M2)</t>
  </si>
  <si>
    <t>TELA ELETROSOLDADA NERVURADA Q-246 10X10CM 5,6MM (3,91KG/M2)</t>
  </si>
  <si>
    <t>JUNTA DE ENCONTRO, SEÇÃO TRANSVERSAL DIM. 20MM, INCLUSIVE TARUGO E PREENCHIMENTO COM MASTIQUE MBT OU SIMILAR.</t>
  </si>
  <si>
    <t>JUNTA SERRADA, DIMENSÕES 6X60MM, COM PREENCHIMENTO DE MASTIQUE DE POLIURETANO MBT, BASF OU SIMILAR, PARA PAVIMENTOS EM CONCRETO</t>
  </si>
  <si>
    <t>JUNTA DE DILATAÇÃO OU VEDAÇÃO COM MASTIQUE DE SILICONE, 1,0 X 0,5 CM - INCLUSIVE GUIA DE APOIO EM POLIETILENO</t>
  </si>
  <si>
    <t>FORNECIMENTO E INSTALAÇÃO DE TRELIÇA TB9, PARA SUPORTE DE BARRAS DE TRANSFERÊNCIA EM JUNTAS, OU SIMILAR</t>
  </si>
  <si>
    <t>FORNECIMENTO E INSTALAÇÃO DE TRELIÇA TB14, PARA SUPORTE DE TELA</t>
  </si>
  <si>
    <t>ARGAMASSA DE REGULARIZAÇÃO E/OU PROTEÇÃO</t>
  </si>
  <si>
    <t>SOLEIRA EM PERFIL INOX QUADRADO COR PRATA ACAB. ESCOVADO H=10MM, HDL OU SIMILAR</t>
  </si>
  <si>
    <t>IMPERMEABILIZAÇÃO EM MANTA ASFÁLTICA PLASTOMÉRICA COM ARMADURA, TIPO III, ESPESSURA DE 4 MM, FACE EXPOSTA EM GEOTÊXTIL COM MEMBRANA ACRÍLICA</t>
  </si>
  <si>
    <t>IMPERMEABILIZAÇÃO EM MEMBRANA DE ASFALTO MODIFICADO COM ELASTÔMEROS, NA COR PRETA E REFORÇO EM TELA POLIÉSTER</t>
  </si>
  <si>
    <t>TABICA METÁLICA 3X3CM PARA FORRO DE GESSO (FORNECIMENTO E MONTAGEM)</t>
  </si>
  <si>
    <t>ROLL-ON RO 150 KS</t>
  </si>
  <si>
    <t>ROLL-ON RO 150 SS</t>
  </si>
  <si>
    <t>CALHA INTERNA MK</t>
  </si>
  <si>
    <t>TYLON MK 1.4 - ILUMINAÇÃO</t>
  </si>
  <si>
    <t>TYLON MK 1.4 - VENTILADOR</t>
  </si>
  <si>
    <t>ESTRUTURA ILUM. ZENITAL</t>
  </si>
  <si>
    <t>ESTR. VENT. NATURAL C/ TYLON</t>
  </si>
  <si>
    <t>VU 90 S</t>
  </si>
  <si>
    <t>TRELIÇA CONTENÇÃO LATERAL</t>
  </si>
  <si>
    <t>ESTRUTURA AUXILIAR DE FECH.</t>
  </si>
  <si>
    <t>PASSARELA PADRÃO ROLL-ON</t>
  </si>
  <si>
    <t>ESTRUTURA DE LINHA DE VIDA</t>
  </si>
  <si>
    <t>FRETE (MATERIAL MARKO)</t>
  </si>
  <si>
    <t>ILUM. - POLICARB. PRISMÁTICO</t>
  </si>
  <si>
    <t>CUBA DE EMBUTIR QUADRADA (DECA LINHA REF L701 - GE17 - 41CM)  P/ INSTALAÇÃO EM BANCADAS, C/ SIFÃO CROMADO (DECA REF C1680) , VÁLVULA CROMADA (DECA C1602) E ENGATE CROMADO (DECA) OU SIMILARES</t>
  </si>
  <si>
    <t>CUBA ACO INOX ESCOVADO RETANGULAR 50X40X20CM SQUARE 540 SINK</t>
  </si>
  <si>
    <t>DISPENSER PAPEL HIGIÊNICO EM ABS PARA ROLÃO 300 / 600 M, COM VISOR</t>
  </si>
  <si>
    <t>DUCHA HIGIÊNICA CROMADA</t>
  </si>
  <si>
    <t>BARRA DE APOIO LATERAL PARA LAVATÓRIO, PARA PESSOAS COM MOBILIDADE REDUZIDA, EM TUBO DE AÇO INOXIDÁVEL DE 1.1/4", COMPRIMENTO 25 A 30 CM</t>
  </si>
  <si>
    <t>CABIDE EM AÇO INOX, DECA 2060 C40, ACABAMENTO CROMADO OU SIMILAR</t>
  </si>
  <si>
    <t>ESPELHO DE CRISTAL 4MM, COM MOLDURA DE ALUMÍNIO, ACABAMENTO EM LAMINADO, DIM. 50 X 70CM</t>
  </si>
  <si>
    <t>ESPELHO CRISTAL 4MM COM MOLDURA DE ALUMINIO</t>
  </si>
  <si>
    <t>SIFÃO DE METAL CROMADO DE 1´ X 1 1/2´</t>
  </si>
  <si>
    <t>SIFÃO DE METAL CROMADO DE 1 1/2´ X 2´</t>
  </si>
  <si>
    <t>DOBRADIÇAS COM ROLAMENTO REF. 80 4X3 - LA FONTE</t>
  </si>
  <si>
    <t>FECHO, 40CM X 3/4", ACABAMENTO CR (CROMADO),  LA FONTE, REF. 400 (OU SIMILAR)</t>
  </si>
  <si>
    <t>FECHO, 20CM X 3/4", ACABAMENTO CR (CROMADO),  LA FONTE, REF. 400 (OU SIMILAR)</t>
  </si>
  <si>
    <t>CAIXA DE PASSAGEM COM TAMPA APARAFUSADA 20 X 20 X 10 CM</t>
  </si>
  <si>
    <t>INTERRUPTOR COM 1 TECLA SIMPLES E PLACA</t>
  </si>
  <si>
    <t>INTERRUPTOR COM 1 TECLA PARALELO E PLACA</t>
  </si>
  <si>
    <t>CAIXA DE TOMADA EM ALUMÍNIO PARA PISO 4´ X 4´</t>
  </si>
  <si>
    <t>ELETROCALHA PERFURADA GALVANIZADA A FOGO, 100 X 50 MM, COM ACESSÓRIOS</t>
  </si>
  <si>
    <t>ELETROCALHA PERFURADA GALVANIZADA A FOGO, 150X100MM, COM ACESSÓRIOS</t>
  </si>
  <si>
    <t>CURVA HORIZONTAL 150 X 100 MM PARA ELETROCALHA METÁLICA, COM ÂNGULO 90° (REF.: MOPA OU SIMILAR)</t>
  </si>
  <si>
    <t>CURVA VERTICAL 150 X 100 MM PARA ELETROCALHA METÁLICA, COM ÂNGULO 90° (REF.: MOPA OU SIMILAR)</t>
  </si>
  <si>
    <t>PERFILADO PERFURADO 38X38MM</t>
  </si>
  <si>
    <t>CONJUNTO PARA JUNTA INTERNA "L"</t>
  </si>
  <si>
    <t>CONJUNTO PARA JUNTA RETA INTERNA I</t>
  </si>
  <si>
    <t>ILUMINAÇÃO DE EMERGÊNCIA POR BLOCOS AUTÔNOMOS</t>
  </si>
  <si>
    <t>BLOCO AUTÔNOMO PARA ILUMINAÇÃO DE EMERGÊNCIA, COM LEDS DE ACLARAMENTO, FLUXO LUMINOSO CONSTANTE DE 1500LUMENS , AUTONOMIA SUPERIOR A 2H NA FALTA DE ENERGIA, COM BATERIA SELADA, FLUXEON-1500/L SE IP 43 ACLARAMENTO OU BALIZAMENTO, DJ - SOBREPOR</t>
  </si>
  <si>
    <t>BLOCO AUTÔNOMO PARA ILUMINAÇÃO DE EMERGÊNCIA, COM LEDS DE ACLARAMENTO, FLUXO LUMINOSO CONSTANTE DE 1500LUMENS , AUTONOMIA SUPERIOR A 2H NA FALTA DE ENERGIA, COM BATERIA SELADA - FLUXEON-1500/L SE IP 43 ACLARAMENTO, DJ - EMBUTIR FORRO</t>
  </si>
  <si>
    <t>CABO PP CORDPLAST 3 CONDUTORES 450/750V 1,50MM2</t>
  </si>
  <si>
    <t>CABO DE COBRE DE 2,5 MM², ISOLAMENTO 750 V - ISOLAÇÃO EM PVC 70°C</t>
  </si>
  <si>
    <t>CABO DE COBRE DE 6 MM², ISOLAMENTO 750 V - ISOLAÇÃO EM PVC 70°C</t>
  </si>
  <si>
    <t>PLACA DE 4´ X 4´</t>
  </si>
  <si>
    <t>CONECTOR RETO DE ALUMINIO PARA ELETRODUTO DE 1", PARA ADAPTAR ENTRADA DE ELETRODUTO METALICO FLEXIVEL EM QUADROS - FORNECIMENTO E INSTALAÇÃO</t>
  </si>
  <si>
    <t>FORNECIMENTO E INSTALAÇÃO DE SAÍDA HORIZONTAL PARA ELETRODUTO 1" (REF. VL 33 VALEMAM OU SIMILAR)</t>
  </si>
  <si>
    <t>FORNECIMENTO E INSTALAÇÃO DE PARAFUSO CABEÇA LENTILHA 1/4" X 1/2" (REF. VL 1.68 VALEMAM OU SIMILAR)</t>
  </si>
  <si>
    <t>PORCA SEXTAVADA 1/4", BICROMATIZADA</t>
  </si>
  <si>
    <t>ARRUELA DE PRESSÃO 1/4"</t>
  </si>
  <si>
    <t>FORNECIMENTO DE RACK TIPO ARMÁRIO 19" X 42U X 680MM C/ 05 PATCH PANEL 24 PORTAS CAT.6E - REV 02</t>
  </si>
  <si>
    <t>ELETRODUTO GALVANIZADO CONFORME NBR13057 -  2´ COM ACESSÓRIOS</t>
  </si>
  <si>
    <t>ELETRODUTO GALVANIZADO CONFORME NBR13057 -  4´ COM ACESSÓRIOS</t>
  </si>
  <si>
    <t>CAIXA DE PASSAGEM PARA ELETRICIDADE EM ALUMINIO, DIM: 50 X 50 X 15 CM</t>
  </si>
  <si>
    <t>FORNECIMENTO E ASSENTAMENTO DE TUBO PEAD FLEXÍVEL CORRUGADO PERFURADO D = 4" (KANANET OU SIMILAR)</t>
  </si>
  <si>
    <t>CAP DE PVC RÍGIDO SOLDAVEL P/ ESGOTO, DIÂM =100MM</t>
  </si>
  <si>
    <t>PLACA DE 4´ X 2´</t>
  </si>
  <si>
    <t>ELETRODUTO GALVANIZADO A QUENTE CONFORME NBR6323 - 1´ COM ACESSÓRIOS</t>
  </si>
  <si>
    <t>CONDULETE EM ALUMÍNIO TIPO "C" DE 2"</t>
  </si>
  <si>
    <t>CAIXA DE PASSAGEM PVC 20 X 20CM, SISTEMA "X", COM TAMPA</t>
  </si>
  <si>
    <t>CAIXA DE PASSAGEM EM PVC TIPO AQUATIC, 100X100X50MM</t>
  </si>
  <si>
    <t>CAIXA DE PASSAGEM EM ALUMÍNIO PARA PISO 4" X 2" - FORNECIMENTO E ASSENTAMENTO</t>
  </si>
  <si>
    <t>TV - PAREDES EM ALVENARIA</t>
  </si>
  <si>
    <t>LUVA DE ALUMÍNIO Ø3/4"</t>
  </si>
  <si>
    <t>CONECTOR RETO DE ALUMINIO PARA ELETRODUTO DE 3/4", PARA ADAPTAR ENTRADA DE ELETRODUTO METALICO FLEXIVEL EM QUADROS - FORNECIMENTO E INSTALAÇÃO</t>
  </si>
  <si>
    <t>TOMADA PARA TV, TIPO PINO JACK, COM PLACA</t>
  </si>
  <si>
    <t>DETECTOR ÓPTICO DE FUMAÇA COM BASE ENDEREÇÁVEL</t>
  </si>
  <si>
    <t>CAIXA DE PASSAGEM DE ALUMÍNIO PARA PISO 30X30X12CM, DA MARCA WETZEL MOD: CP-3030-12 OU SIMILAR.</t>
  </si>
  <si>
    <t>ELETRODUTO METALICO FLEXIVEL REVESTIDO EXTERNAMENTE COM PVC PRETO, DIAMETRO EXTERNO DE 25 MM (3/4"), TIPO SEALTUBO</t>
  </si>
  <si>
    <t>ALARME SONORO BITONAL 220 V PARA PAINEL DE COMANDO</t>
  </si>
  <si>
    <t>MODULO DE SUPERVISÃO ENDEREÇAVEL BSKY IM5EI</t>
  </si>
  <si>
    <t>CAIXA DE PASSAGEM EM ALUMÍNIO FUNDIDO À PROVA DE TEMPO, 200 X 200 MM</t>
  </si>
  <si>
    <t>CABO DE COBRE PP CORDPLAST 2 X 1,5 MM2, 450/750V</t>
  </si>
  <si>
    <t>PRENSA CABO DE 3/4", FORNECIMENTO</t>
  </si>
  <si>
    <t>FORNECIMENTO E INSTALAÇÃO DE FONTE DE ALIMENTAÇÃO  12V / 10A (OU SIMILAR)</t>
  </si>
  <si>
    <t>MASTRO DE PARA-RAIOS 1.1/2""X3,0M</t>
  </si>
  <si>
    <t>BASE PARA MASTRO DE DIÂMETRO 2´</t>
  </si>
  <si>
    <t>CONTRAVENTAGEM COM CABO PARA MASTRO DE DIÂMETRO 2´</t>
  </si>
  <si>
    <t>ISOLADOR GALVANIZADO PARA MASTRO DE DIÂMETRO 2´, REFORÇADO COM 2 DESCIDAS</t>
  </si>
  <si>
    <t>BARRA CONDUTORA CHATA EM ALUMÍNIO DE 7/8´ X 1/8´, INCLUSIVE ACESSÓRIOS DE FIXAÇÃO</t>
  </si>
  <si>
    <t>CABO COBRE NU 7 FIOS 1AWG - 35MM2</t>
  </si>
  <si>
    <t>CONECTOR SPLIT-BOLT PARA CABO DE 35 MM², LATÃO, COM RABICHO</t>
  </si>
  <si>
    <t>TERMINAL DE PRESSÃO/COMPRESSÃO PARA CABO DE 35 MM²</t>
  </si>
  <si>
    <t>DESCIDAS</t>
  </si>
  <si>
    <t>CONECTOR OLHAL CABO/HASTE DE 5/8´</t>
  </si>
  <si>
    <t>FORNECIMENTO E INSTALAÇÃO DE CAIXA DE PASSAGEM EM ALUMÍNIO (30 X 30 X 10 CM)</t>
  </si>
  <si>
    <t>CONECTOR SPLIT-BOLT PARA CABO DE 50 MM², LATÃO, SIMPLES</t>
  </si>
  <si>
    <t>FUSÍVEL DIAZED RETARDADO DE 2 A ATÉ 25 A</t>
  </si>
  <si>
    <t>QUADRO DE DISTRIBUIÇÃO DE EMBUTIR, EM CHAPA DE AÇO, PARA ATÉ 70 DISJUNTORES, COM BARRAMENTO, PADRÃO DIN, EXCLUSIVE DISJUNTORES</t>
  </si>
  <si>
    <t>DISJUNTOR BIPOLAR DR 40 A  - DISPOSITIVO RESIDUAL DIFERENCIAL, TIPO AC, 30MA, REF.5SM1 314-OMB, SIEMENS OU SIMILAR</t>
  </si>
  <si>
    <t>DISPOSITIVO DIFERENCIAL RESIDUAL DE 25 A X 30 MA - 4 POLOS</t>
  </si>
  <si>
    <t>DISPOSITIVO DIFERENCIAL RESIDUAL DE 40 A X 30 MA - 4 POLOS</t>
  </si>
  <si>
    <t>QUADRO DE DISTRIBUIÇÃO DE EMBUTIR, EM CHAPA DE AÇO, PARA ATÉ 56 DISJUNTORES, COM BARRAMENTO, PADRÃO DIN, EXCLUSIVE DISJUNTORES</t>
  </si>
  <si>
    <t>CHAVE SECCIONADORA TRIPOLAR 63A, MANOBRA C/ CARGA ACIONAMENTO POR ALAVANCA P/ QUADRO DE DIST DE ENERGIA</t>
  </si>
  <si>
    <t>CHAVE SECCIONADORA TRIPOLAR 40A, MANOBRA C/ CARGA ACIONAMENTO POR ALAVANCA P/ QUADRO DE DIST DE ENERGIA</t>
  </si>
  <si>
    <t>FUSÍVEL DIAZED RETARDADO DE 35 A ATÉ 63 A</t>
  </si>
  <si>
    <t>BOTÃO DE COMANDO DUPLO SEM SINALIZADOR</t>
  </si>
  <si>
    <t>BOTÃO DE COMANDO DUPLO COM SINALEIRA - SIEMENS OU SIMILAR</t>
  </si>
  <si>
    <t>BOTOEIRA LIGA-DESLIGA PARA BOMBA DE INCÊNDIO MODELO BLD-1, MARCA VERIN  OU SIMILAR</t>
  </si>
  <si>
    <t>ELETRODUTO FLEXIVEL PVC TIGREFLEX REFORCADO LARANJA 25MM</t>
  </si>
  <si>
    <t>BÓIA ELÉTRICA PARA RESERVATÓRIO SUPERIOR, MARCA AQUAMATIC OU SIMILAR, CAPACIDADE 30 A - FORNECIMENTO E INSTALAÇÃO</t>
  </si>
  <si>
    <t>CABO DE COBRE FLEXÍVEL DE 6 MM², ISOLAMENTO 0,6/1 KV - ISOLAÇÃO HEPR 90°C - BAIXA EMISSÃO DE FUMAÇA E GASES</t>
  </si>
  <si>
    <t>CABO DE COBRE FLEXÍVEL DE 10 MM², ISOLAMENTO 0,6/1 KV - ISOLAÇÃO HEPR 90°C - BAIXA EMISSÃO DE FUMAÇA E GASES</t>
  </si>
  <si>
    <t>CABO DE COBRE FLEXÍVEL DE 16 MM², ISOLAMENTO 0,6/1 KV - ISOLAÇÃO HEPR 90°C - BAIXA EMISSÃO DE FUMAÇA E GASES</t>
  </si>
  <si>
    <t>CABO DE COBRE FLEXÍVEL DE 25 MM², ISOLAMENTO 0,6/1 KV - ISOLAÇÃO HEPR 90°C - BAIXA EMISSÃO DE FUMAÇA E GASES</t>
  </si>
  <si>
    <t>CABO DE COBRE FLEXÍVEL DE 35 MM², ISOLAMENTO 0,6/1 KV - ISOLAÇÃO HEPR 90°C - BAIXA EMISSÃO DE FUMAÇA E GASES</t>
  </si>
  <si>
    <t>CABO DE COBRE FLEXÍVEL DE 50 MM², ISOLAMENTO 0,6/1 KV - ISOLAÇÃO HEPR 90°C - BAIXA EMISSÃO DE FUMAÇA E GASES</t>
  </si>
  <si>
    <t>CABO DE COBRE FLEXÍVEL DE 95 MM², ISOLAMENTO 0,6/1 KV - ISOLAÇÃO HEPR 90°C - BAIXA EMISSÃO DE FUMAÇA E GASES</t>
  </si>
  <si>
    <t>CABO DE COBRE FLEXÍVEL DE 185 MM², ISOLAMENTO 0,6/1 KV - ISOLAÇÃO HEPR 90°C - BAIXA EMISSÃO DE FUMAÇA E GASES</t>
  </si>
  <si>
    <t>TERMINAL DE PRESSÃO/COMPRESSÃO PARA CABO DE 6 ATÉ 10 MM²</t>
  </si>
  <si>
    <t>TERMINAL DE PRESSÃO/COMPRESSÃO PARA CABO DE 16 MM²</t>
  </si>
  <si>
    <t>TERMINAL DE PRESSÃO/COMPRESSÃO PARA CABO DE 25 MM²</t>
  </si>
  <si>
    <t>TERMINAL DE PRESSÃO/COMPRESSÃO PARA CABO DE 50 MM²</t>
  </si>
  <si>
    <t>TERMINAL DE PRESSÃO/COMPRESSÃO PARA CABO DE 120 MM²</t>
  </si>
  <si>
    <t>TERMINAL DE PRESSÃO/COMPRESSÃO PARA CABO DE 240 MM²</t>
  </si>
  <si>
    <t>ANEL BORRACHA TUBO PVC 75MM</t>
  </si>
  <si>
    <t>ANEL BORRACHA TUBO PVC 100MM</t>
  </si>
  <si>
    <t>ANEL BORRACHA TUBO PVC 150MM</t>
  </si>
  <si>
    <t>CAP DE PVC RÍGIDO C/ ANÉIS P/ ESGOTO, DIÂM. =150MM</t>
  </si>
  <si>
    <t>LUVA DE CORRER - JUNTA ELÁSTICA INTEGRADA - JEI - 200 MM</t>
  </si>
  <si>
    <t>LUVA DE CORRER - JUNTA ELÁSTICA INTEGRADA - JEI - 250 MM</t>
  </si>
  <si>
    <t>LUVA DE CORRER - JUNTA ELÁSTICA INTEGRADA - JEI - 300 MM</t>
  </si>
  <si>
    <t>REDUÇÃO EXCÊNTRICA - PVC RÍGIDO - JUNTA ELÁSTICA INTEGRADA - JEI 200 X 150 MM</t>
  </si>
  <si>
    <t>JOELHO 87 FERRO FUNDIDO 100MM</t>
  </si>
  <si>
    <t>JOELHO 45 FERRO FUNDIDO 150MM</t>
  </si>
  <si>
    <t>UNIAO PVC SOLDAVEL 110MM</t>
  </si>
  <si>
    <t>ANÉIS DE CONCRETO ARMADO Ø1.20M</t>
  </si>
  <si>
    <t>CORRENTE</t>
  </si>
  <si>
    <t>BÓIA FLYGHT</t>
  </si>
  <si>
    <t>GRELHA HEMISFÉRICA EM FERRO FUNDIDO DE 3"</t>
  </si>
  <si>
    <t>GRELHA HEMISFÉRICA EM FERRO FUNDIDO DE 4"</t>
  </si>
  <si>
    <t>GRELHA HEMISFÉRICA EM FERRO FUNDIDO DE 6"</t>
  </si>
  <si>
    <t>GRELHA EM FERRO FUNDIDO COM CAIXILHO 20X20CM</t>
  </si>
  <si>
    <t>TAMPÃO EM FERRO FUNDIDO DE 600 X 600 MM, CLASSE B 125 (RUPTURA &gt; 125 KN)</t>
  </si>
  <si>
    <t>TAMPÃO EM FERRO FUNDIDO DE 800 X 800 MM, CLASSE B 125 (RUPTURA &gt; 125 KN)</t>
  </si>
  <si>
    <t>FILTRO DE SEPARAÇÃO DE FOLHAS</t>
  </si>
  <si>
    <t>JOELHO DE REDUÇÃO 90º DE PVC RÍGIDO SOLDÁVEL, MARROM  DIÂM = 25 X 20MM</t>
  </si>
  <si>
    <t>TE DE REDUCAO 90 PVC SOLDAVEL 60 X 50MM</t>
  </si>
  <si>
    <t>BUCHA DE REDUÇÃO LONGA DE PVC RÍGIDO SOLDÁVEL, MARROM, DIÂM = 40 X 25MM</t>
  </si>
  <si>
    <t>BUCHA DE REDUÇÃO LONGA DE PVC RÍGIDO SOLDÁVEL, MARROM, DIÂM = 50 X 32MM</t>
  </si>
  <si>
    <t>BUCHA DE REDUÇÃO LONGA DE PVC RÍGIDO SOLDÁVEL, MARROM, DIÂM = 60 X 40MM</t>
  </si>
  <si>
    <t>FORNECIMENTO E ASSENTAMENTO DE UNIÃO DE FERRO GALVANIZADO ASSENTO BRONZE DE 1 1/4"</t>
  </si>
  <si>
    <t>FORNECIMENTO E ASSENTAMENTO DE UNIÃO DE FERRO GALVANIZADO ASSENTO BRONZE DE 1 1/2"</t>
  </si>
  <si>
    <t>CONECTOR DE LATÃO, COBRE OU BRONZE, JUNTAS SOLDADAS, 28MM X 1"</t>
  </si>
  <si>
    <t>CONECTOR DE LATÃO, COBRE OU BRONZE, JUNTAS SOLDADAS, 35MM X 1 1/4"</t>
  </si>
  <si>
    <t>TORNEIRA DE BÓIA P/CAIXA D'AGUA D= 3/4" (DECA OU SIMILAR)</t>
  </si>
  <si>
    <t>FLEXÍVEL PARA LAVATÓRIO - 1/2"</t>
  </si>
  <si>
    <t>FLEXÍVEL PARA PIA - 1/2"</t>
  </si>
  <si>
    <t>FLEXÍVEL PARA TANQUE - 1/2"</t>
  </si>
  <si>
    <t>FLEXÍVEL PARA BACIA COM CAIXA ACOPLADA - 1/2"</t>
  </si>
  <si>
    <t>FLEXÍVEL PARA FILTRO (BEBEDOURO) - 1/2"</t>
  </si>
  <si>
    <t>TORNEIRA CROMADA PARA TANQUE/JARDIM, 1/2", REF.1153 C39, DECA OU SIMILAR</t>
  </si>
  <si>
    <t>TORNEIRA DE ESFERA 3/4"</t>
  </si>
  <si>
    <t>BOMBA CENTRÍFUGA HORIZONTAL - MOD. C750 N, VAZÃO 4,30M³/ H, POTÊNCIA 0,75CV, MOTOR TRIFÁSICO 380V, ROTAÇÃO 3450RPM, AMT 20,0MCA, FABRICANTE KSB.</t>
  </si>
  <si>
    <t>CONJUNTO COMPLETO DE PRESSURIZAÇÃO COMPLETO - MOD. MAX PRESS 30 E, VAZÃO CAL 5,0M³/ H, PRESSÃO CAL 20MCA, POTÊNCIA 0,85CV, MOTOR TRIFÁSICO 220V, FABRICANTE ROWA.</t>
  </si>
  <si>
    <t>BASE INERCIA - FABRICANTE VIBRA-STOP B.I.2 - (DIM. 1,50X0,50)M MSCC 100 - UNC 3/8"</t>
  </si>
  <si>
    <t>BASE INERCIA - FABRICANTE VIBRA-STOP  (DIM. 1,00X1,00)M - MSCC 200 - UNC 3/8"</t>
  </si>
  <si>
    <t>ANEL BORRACHA TUBO PVC 50MM</t>
  </si>
  <si>
    <t>JOELHO DE REDUÇÃO 90º DE PVC RÍGIDO SOLDÁVEL, MARROM  DIÂM = 40 X 32MM</t>
  </si>
  <si>
    <t>JUNÇÃO SIMPLES EM PVC RÍGIDO SOLDÁVEL, PARA ESGOTO PRIMÁRIO, DIÂM = 75 X 50MM</t>
  </si>
  <si>
    <t>JUNÇÃO SIMPLES EM PVC RÍGIDO SOLDÁVEL, PARA ESGOTO PRIMÁRIO, DIÂM = 100 X 50MM</t>
  </si>
  <si>
    <t>JUNÇÃO SIMPLES EM PVC RÍGIDO SOLDÁVEL, PARA ESGOTO PRIMÁRIO, DIÂM = 100 X 75MM</t>
  </si>
  <si>
    <t>LUVA DE CORRER EM PVC RÍGIDO SOLDÁVEL, PARA ESGOTO SECUNDÁRIO, DIÂM = 40MM</t>
  </si>
  <si>
    <t>REDUÇÃO EXCENTRICA EM PVC RÍGIDO SOLDÁVEL, PARA ESGOTO PRIMÁRIO, DIÂM =   75 X 50MM</t>
  </si>
  <si>
    <t>REDUÇÃO EXCENTRICA EM PVC RÍGIDO SOLDÁVEL, PARA ESGOTO PRIMÁRIO, DIÂM = 100 X 50MM</t>
  </si>
  <si>
    <t>REDUÇÃO EXCENTRICA EM PVC RÍGIDO SOLDÁVEL, PARA ESGOTO PRIMÁRIO, DIÂM = 100 X 75MM</t>
  </si>
  <si>
    <t>JOELHO 87° 30´ EM FERRO FUNDIDO, LINHA PREDIAL TRADICIONAL, DN= 50 MM</t>
  </si>
  <si>
    <t>JOELHO 87° 30´ EM FERRO FUNDIDO, LINHA PREDIAL TRADICIONAL, DN= 100 MM</t>
  </si>
  <si>
    <t>FORNECIMENTO E INSTALAÇÃO DE SIFÃO CROMADO PARA PIA</t>
  </si>
  <si>
    <t>SIFÃO EM PVC PARA TANQUE 2"</t>
  </si>
  <si>
    <t>VEDAÇÃO PARA SAÍDA DE VASO SANITÁRIO EM  PVC RÍGIDO SOLDÁVEL, PARA ESGOTO PRIMÁRIO, DIÂM = 100MM</t>
  </si>
  <si>
    <t>TERMINAL DE VENTILAÇÃO EM PVC RÍGIDO SOLDÁVEL, PARA ESGOTO PRIMÁRIO, DIÂM = 50MM</t>
  </si>
  <si>
    <t>FORMA EM MADEIRA COMUM PARA FUNDAÇÃO</t>
  </si>
  <si>
    <t>FORNECIMENTO E ASSENTAMENTO DE TE DE REDUÇÃO DE FERRO GALVANIZADO DE 3" X 2 1/2"</t>
  </si>
  <si>
    <t>FORNECIMENTO E ASSENTAMENTO DE UNIÃO DE FERRO GALVANIZADO ASSENTO BRONZE DE 2 1/2"</t>
  </si>
  <si>
    <t>FORNECIMENTO E ASSENTAMENTO DE UNIÃO DE FERRO GALVANIZADO ASSENTO BRONZE DE     3"</t>
  </si>
  <si>
    <t>TAMPÃO DE ENGATE RÁPIDO EM LATÃO, DN= 2 1/2´, COM CORRENTE</t>
  </si>
  <si>
    <t>EXTINTOR MANUAL DE GÁS CARBÔNICO 5 BC - CAPACIDADE DE 6 KG</t>
  </si>
  <si>
    <t>EXTINTOR MANUAL DE ÁGUA PRESSURIZADA - CAPACIDADE DE 10 LITROS</t>
  </si>
  <si>
    <t>BOMBA CENTRÍFUGA HORIZONTAL - MOD. UNI 300T, VAZÃO 12,2M³/ H, POTÊNCIA 0,5CV, MOTOR TRIFÁSICO 220V, ROTAÇÃO 3450RPM, AMT 6,0MCA, FABRICANTE ABS.</t>
  </si>
  <si>
    <t>MANÔMETRO PARA AUTOMATIZAÇÃO DO SISTEMA DE INCÊNDIO, ESCALA 0 A 100MCA, FABRICANTE DOX.</t>
  </si>
  <si>
    <t>TE REDUCAO COBRE 22X15MM</t>
  </si>
  <si>
    <t>TE REDUCAO COBRE 28X15MM</t>
  </si>
  <si>
    <t>TE REDUCAO COBRE 38X15MM</t>
  </si>
  <si>
    <t>TE REDUCAO COBRE 35X22MM</t>
  </si>
  <si>
    <t>BUCHA DE REDUÇÃO DE COBRE, JUNTAS SOLDADAS, DIÂM = 28MM X 15MM</t>
  </si>
  <si>
    <t>BUCHA DE REDUÇÃO DE COBRE, JUNTAS SOLDADAS, DIÂM = 35MM X 22MM</t>
  </si>
  <si>
    <t>CONECTOR COBRE 35MMX1.1/4""</t>
  </si>
  <si>
    <t>COMPRESSOR DE AR COMPRIMIDO INDUSTRIAL, MOD. BRAVO CSLV 60BR, POTÊNCIA ESTIMADA 15CV, TENSÃO 220V TRIFÁSICO, FABRICANTE: SCHULZ</t>
  </si>
  <si>
    <t>M01.12.130</t>
  </si>
  <si>
    <t>BDI:</t>
  </si>
  <si>
    <t>DETALHAMENTO DO BDI</t>
  </si>
  <si>
    <t>Descrição dos Serviços</t>
  </si>
  <si>
    <t>PV</t>
  </si>
  <si>
    <t>CD</t>
  </si>
  <si>
    <t>1.1</t>
  </si>
  <si>
    <t>ESCRITÓRIO CENTRAL</t>
  </si>
  <si>
    <t>1.2</t>
  </si>
  <si>
    <t>VIAGENS</t>
  </si>
  <si>
    <t>1.3</t>
  </si>
  <si>
    <t>OUTROS</t>
  </si>
  <si>
    <t>IMPOSTOS E TAXAS</t>
  </si>
  <si>
    <t>2.1</t>
  </si>
  <si>
    <t>2.2</t>
  </si>
  <si>
    <t>PIS</t>
  </si>
  <si>
    <t>2.3</t>
  </si>
  <si>
    <t>Cofins</t>
  </si>
  <si>
    <t>TAXA DE RISCO</t>
  </si>
  <si>
    <t>3.1</t>
  </si>
  <si>
    <t>SEGURO</t>
  </si>
  <si>
    <t>3.2</t>
  </si>
  <si>
    <t>RISCO</t>
  </si>
  <si>
    <t>GARANTIA</t>
  </si>
  <si>
    <t>BDI - CALCULADO</t>
  </si>
  <si>
    <t>BDI (CALCULADO):</t>
  </si>
  <si>
    <t xml:space="preserve">BDI CALCULADO CONFORME ACÓRDÃO Nº 2369/2011 – TCU </t>
  </si>
  <si>
    <t>TOTAL PLANILHA (SEM BDI)</t>
  </si>
  <si>
    <t>TOTAL GERAL + BDI</t>
  </si>
  <si>
    <t>01</t>
  </si>
  <si>
    <t>01.01</t>
  </si>
  <si>
    <t>01.02</t>
  </si>
  <si>
    <t>01.03</t>
  </si>
  <si>
    <t>01.04</t>
  </si>
  <si>
    <t>01.05</t>
  </si>
  <si>
    <t>02</t>
  </si>
  <si>
    <t>02.01</t>
  </si>
  <si>
    <t>02.02</t>
  </si>
  <si>
    <t>02.03</t>
  </si>
  <si>
    <t>02.04</t>
  </si>
  <si>
    <t>02.05</t>
  </si>
  <si>
    <t>02.06</t>
  </si>
  <si>
    <t>02.07</t>
  </si>
  <si>
    <t>URCA - RIO DE JANEIRO - RJ</t>
  </si>
  <si>
    <t>LOCAL:</t>
  </si>
  <si>
    <t>OBRA:</t>
  </si>
  <si>
    <t>TOTAL DA OBRA (SEM BDI)</t>
  </si>
  <si>
    <t>BDI  PREVISTO MENSAL R$</t>
  </si>
  <si>
    <t>TOTAL PREVISTO MEDIDO + BDI MENSAL R$</t>
  </si>
  <si>
    <t>BDI  PREVISTO ACUMULADO R$</t>
  </si>
  <si>
    <t>TOTAL  PREVISTO ACUMULADO MEDIDO + BDI R$</t>
  </si>
  <si>
    <t>Não Desonerado: 0,00%</t>
  </si>
  <si>
    <t xml:space="preserve"> 93567 </t>
  </si>
  <si>
    <t xml:space="preserve"> 101390 </t>
  </si>
  <si>
    <t xml:space="preserve"> 100534 </t>
  </si>
  <si>
    <t xml:space="preserve"> 94295 </t>
  </si>
  <si>
    <t xml:space="preserve"> 93572 </t>
  </si>
  <si>
    <t xml:space="preserve"> 100309 </t>
  </si>
  <si>
    <t xml:space="preserve"> 93566 </t>
  </si>
  <si>
    <t xml:space="preserve"> 93563 </t>
  </si>
  <si>
    <t xml:space="preserve"> 88326 </t>
  </si>
  <si>
    <t xml:space="preserve"> 100289 </t>
  </si>
  <si>
    <t xml:space="preserve"> 94296 </t>
  </si>
  <si>
    <t xml:space="preserve"> 101389 </t>
  </si>
  <si>
    <t xml:space="preserve"> 98459 </t>
  </si>
  <si>
    <t xml:space="preserve"> 93582 </t>
  </si>
  <si>
    <t xml:space="preserve"> 93583 </t>
  </si>
  <si>
    <t xml:space="preserve"> 00010527 </t>
  </si>
  <si>
    <t xml:space="preserve"> 93243 </t>
  </si>
  <si>
    <t xml:space="preserve"> 99059 </t>
  </si>
  <si>
    <t xml:space="preserve"> 101124 </t>
  </si>
  <si>
    <t xml:space="preserve"> 96523 </t>
  </si>
  <si>
    <t xml:space="preserve"> 93382 </t>
  </si>
  <si>
    <t xml:space="preserve"> 100981 </t>
  </si>
  <si>
    <t xml:space="preserve"> 95875 </t>
  </si>
  <si>
    <t xml:space="preserve"> 93590 </t>
  </si>
  <si>
    <t xml:space="preserve"> 96545 </t>
  </si>
  <si>
    <t xml:space="preserve"> 96548 </t>
  </si>
  <si>
    <t xml:space="preserve"> 95602 </t>
  </si>
  <si>
    <t xml:space="preserve"> 96616 </t>
  </si>
  <si>
    <t xml:space="preserve"> 96544 </t>
  </si>
  <si>
    <t xml:space="preserve"> 96546 </t>
  </si>
  <si>
    <t xml:space="preserve"> 96547 </t>
  </si>
  <si>
    <t xml:space="preserve"> 96549 </t>
  </si>
  <si>
    <t xml:space="preserve"> 100890 </t>
  </si>
  <si>
    <t xml:space="preserve"> 103653 </t>
  </si>
  <si>
    <t xml:space="preserve"> 102718 </t>
  </si>
  <si>
    <t xml:space="preserve"> 95108 </t>
  </si>
  <si>
    <t xml:space="preserve"> 92759 </t>
  </si>
  <si>
    <t xml:space="preserve"> 92776 </t>
  </si>
  <si>
    <t xml:space="preserve"> 92777 </t>
  </si>
  <si>
    <t xml:space="preserve"> 92778 </t>
  </si>
  <si>
    <t xml:space="preserve"> 92779 </t>
  </si>
  <si>
    <t xml:space="preserve"> 92780 </t>
  </si>
  <si>
    <t xml:space="preserve"> 92781 </t>
  </si>
  <si>
    <t xml:space="preserve"> 103340 </t>
  </si>
  <si>
    <t xml:space="preserve"> 102235 </t>
  </si>
  <si>
    <t xml:space="preserve"> 87878 </t>
  </si>
  <si>
    <t xml:space="preserve"> 87536 </t>
  </si>
  <si>
    <t xml:space="preserve"> 102489 </t>
  </si>
  <si>
    <t xml:space="preserve"> 100576 </t>
  </si>
  <si>
    <t xml:space="preserve"> 96397 </t>
  </si>
  <si>
    <t xml:space="preserve"> 97096 </t>
  </si>
  <si>
    <t xml:space="preserve"> 101749 </t>
  </si>
  <si>
    <t xml:space="preserve"> 87262 </t>
  </si>
  <si>
    <t xml:space="preserve"> 93679 </t>
  </si>
  <si>
    <t xml:space="preserve"> 86932 </t>
  </si>
  <si>
    <t xml:space="preserve"> 100868 </t>
  </si>
  <si>
    <t xml:space="preserve"> 100865 </t>
  </si>
  <si>
    <t xml:space="preserve"> 86877 </t>
  </si>
  <si>
    <t xml:space="preserve"> 89985 </t>
  </si>
  <si>
    <t xml:space="preserve"> 89987 </t>
  </si>
  <si>
    <t xml:space="preserve"> 100854 </t>
  </si>
  <si>
    <t xml:space="preserve"> 86914 </t>
  </si>
  <si>
    <t xml:space="preserve"> 94569 </t>
  </si>
  <si>
    <t xml:space="preserve"> 100674 </t>
  </si>
  <si>
    <t xml:space="preserve"> 91341 </t>
  </si>
  <si>
    <t xml:space="preserve"> 91941 </t>
  </si>
  <si>
    <t xml:space="preserve"> 91944 </t>
  </si>
  <si>
    <t xml:space="preserve"> 95795 </t>
  </si>
  <si>
    <t xml:space="preserve"> 95796 </t>
  </si>
  <si>
    <t xml:space="preserve"> 91990 </t>
  </si>
  <si>
    <t xml:space="preserve"> 95745 </t>
  </si>
  <si>
    <t xml:space="preserve"> 95746 </t>
  </si>
  <si>
    <t xml:space="preserve"> 97549 </t>
  </si>
  <si>
    <t xml:space="preserve"> 97551 </t>
  </si>
  <si>
    <t xml:space="preserve"> 95727 </t>
  </si>
  <si>
    <t xml:space="preserve"> 95728 </t>
  </si>
  <si>
    <t xml:space="preserve"> 91837 </t>
  </si>
  <si>
    <t xml:space="preserve"> 95758 </t>
  </si>
  <si>
    <t xml:space="preserve"> 95750 </t>
  </si>
  <si>
    <t xml:space="preserve"> 95749 </t>
  </si>
  <si>
    <t xml:space="preserve"> 91835 </t>
  </si>
  <si>
    <t xml:space="preserve"> 95781 </t>
  </si>
  <si>
    <t xml:space="preserve"> 94743 </t>
  </si>
  <si>
    <t xml:space="preserve"> 97667 </t>
  </si>
  <si>
    <t xml:space="preserve"> 91927 </t>
  </si>
  <si>
    <t xml:space="preserve"> 96989 </t>
  </si>
  <si>
    <t xml:space="preserve"> 96985 </t>
  </si>
  <si>
    <t xml:space="preserve"> 93672 </t>
  </si>
  <si>
    <t xml:space="preserve"> 101894 </t>
  </si>
  <si>
    <t xml:space="preserve"> 101895 </t>
  </si>
  <si>
    <t xml:space="preserve"> 93671 </t>
  </si>
  <si>
    <t xml:space="preserve"> 93673 </t>
  </si>
  <si>
    <t xml:space="preserve"> 93654 </t>
  </si>
  <si>
    <t xml:space="preserve"> 93661 </t>
  </si>
  <si>
    <t xml:space="preserve"> 93662 </t>
  </si>
  <si>
    <t xml:space="preserve"> 93668 </t>
  </si>
  <si>
    <t xml:space="preserve"> 93669 </t>
  </si>
  <si>
    <t xml:space="preserve"> 93670 </t>
  </si>
  <si>
    <t xml:space="preserve"> 93655 </t>
  </si>
  <si>
    <t xml:space="preserve"> 101881 </t>
  </si>
  <si>
    <t xml:space="preserve"> 93664 </t>
  </si>
  <si>
    <t xml:space="preserve"> 93665 </t>
  </si>
  <si>
    <t xml:space="preserve"> 101880 </t>
  </si>
  <si>
    <t xml:space="preserve"> 93653 </t>
  </si>
  <si>
    <t xml:space="preserve"> 101879 </t>
  </si>
  <si>
    <t xml:space="preserve"> 97668 </t>
  </si>
  <si>
    <t xml:space="preserve"> 97670 </t>
  </si>
  <si>
    <t xml:space="preserve"> 91926 </t>
  </si>
  <si>
    <t xml:space="preserve"> 91928 </t>
  </si>
  <si>
    <t xml:space="preserve"> 89576 </t>
  </si>
  <si>
    <t xml:space="preserve"> 89512 </t>
  </si>
  <si>
    <t xml:space="preserve"> 89580 </t>
  </si>
  <si>
    <t xml:space="preserve"> 89581 </t>
  </si>
  <si>
    <t xml:space="preserve"> 89584 </t>
  </si>
  <si>
    <t xml:space="preserve"> 89590 </t>
  </si>
  <si>
    <t xml:space="preserve"> 89582 </t>
  </si>
  <si>
    <t xml:space="preserve"> 89585 </t>
  </si>
  <si>
    <t xml:space="preserve"> 89591 </t>
  </si>
  <si>
    <t xml:space="preserve"> 89685 </t>
  </si>
  <si>
    <t xml:space="preserve"> 89692 </t>
  </si>
  <si>
    <t xml:space="preserve"> 89690 </t>
  </si>
  <si>
    <t xml:space="preserve"> 89699 </t>
  </si>
  <si>
    <t xml:space="preserve"> 89698 </t>
  </si>
  <si>
    <t xml:space="preserve"> 89687 </t>
  </si>
  <si>
    <t xml:space="preserve"> 89693 </t>
  </si>
  <si>
    <t xml:space="preserve"> 89599 </t>
  </si>
  <si>
    <t xml:space="preserve"> 89669 </t>
  </si>
  <si>
    <t xml:space="preserve"> 95693 </t>
  </si>
  <si>
    <t xml:space="preserve"> 89673 </t>
  </si>
  <si>
    <t xml:space="preserve"> 89681 </t>
  </si>
  <si>
    <t xml:space="preserve"> 96683 </t>
  </si>
  <si>
    <t xml:space="preserve"> 96697 </t>
  </si>
  <si>
    <t xml:space="preserve"> 94648 </t>
  </si>
  <si>
    <t xml:space="preserve"> 94649 </t>
  </si>
  <si>
    <t xml:space="preserve"> 94650 </t>
  </si>
  <si>
    <t xml:space="preserve"> 94651 </t>
  </si>
  <si>
    <t xml:space="preserve"> 94652 </t>
  </si>
  <si>
    <t xml:space="preserve"> 94654 </t>
  </si>
  <si>
    <t xml:space="preserve"> 89481 </t>
  </si>
  <si>
    <t xml:space="preserve"> 89413 </t>
  </si>
  <si>
    <t xml:space="preserve"> 89497 </t>
  </si>
  <si>
    <t xml:space="preserve"> 89501 </t>
  </si>
  <si>
    <t xml:space="preserve"> 89505 </t>
  </si>
  <si>
    <t xml:space="preserve"> 89521 </t>
  </si>
  <si>
    <t xml:space="preserve"> 89366 </t>
  </si>
  <si>
    <t xml:space="preserve"> 89440 </t>
  </si>
  <si>
    <t xml:space="preserve"> 89443 </t>
  </si>
  <si>
    <t xml:space="preserve"> 89625 </t>
  </si>
  <si>
    <t xml:space="preserve"> 89628 </t>
  </si>
  <si>
    <t xml:space="preserve"> 89629 </t>
  </si>
  <si>
    <t xml:space="preserve"> 94693 </t>
  </si>
  <si>
    <t xml:space="preserve"> 89624 </t>
  </si>
  <si>
    <t xml:space="preserve"> 89627 </t>
  </si>
  <si>
    <t xml:space="preserve"> 89626 </t>
  </si>
  <si>
    <t xml:space="preserve"> 89429 </t>
  </si>
  <si>
    <t xml:space="preserve"> 89391 </t>
  </si>
  <si>
    <t xml:space="preserve"> 89570 </t>
  </si>
  <si>
    <t xml:space="preserve"> 89596 </t>
  </si>
  <si>
    <t xml:space="preserve"> 94664 </t>
  </si>
  <si>
    <t xml:space="preserve"> 94785 </t>
  </si>
  <si>
    <t xml:space="preserve"> 94786 </t>
  </si>
  <si>
    <t xml:space="preserve"> 94787 </t>
  </si>
  <si>
    <t xml:space="preserve"> 94788 </t>
  </si>
  <si>
    <t xml:space="preserve"> 94790 </t>
  </si>
  <si>
    <t xml:space="preserve"> 89385 </t>
  </si>
  <si>
    <t xml:space="preserve"> 96702 </t>
  </si>
  <si>
    <t xml:space="preserve"> 90735 </t>
  </si>
  <si>
    <t xml:space="preserve"> 89568 </t>
  </si>
  <si>
    <t xml:space="preserve"> 89594 </t>
  </si>
  <si>
    <t xml:space="preserve"> 97336 </t>
  </si>
  <si>
    <t xml:space="preserve"> 97337 </t>
  </si>
  <si>
    <t xml:space="preserve"> 92289 </t>
  </si>
  <si>
    <t xml:space="preserve"> 93123 </t>
  </si>
  <si>
    <t xml:space="preserve"> 93118 </t>
  </si>
  <si>
    <t xml:space="preserve"> 95636 </t>
  </si>
  <si>
    <t xml:space="preserve"> 94792 </t>
  </si>
  <si>
    <t xml:space="preserve"> 95249 </t>
  </si>
  <si>
    <t xml:space="preserve"> 95250 </t>
  </si>
  <si>
    <t xml:space="preserve"> 95251 </t>
  </si>
  <si>
    <t xml:space="preserve"> 95252 </t>
  </si>
  <si>
    <t xml:space="preserve"> 95253 </t>
  </si>
  <si>
    <t xml:space="preserve"> 99622 </t>
  </si>
  <si>
    <t xml:space="preserve"> 103012 </t>
  </si>
  <si>
    <t xml:space="preserve"> 92692 </t>
  </si>
  <si>
    <t xml:space="preserve"> 102613 </t>
  </si>
  <si>
    <t xml:space="preserve"> 102617 </t>
  </si>
  <si>
    <t xml:space="preserve"> 89711 </t>
  </si>
  <si>
    <t xml:space="preserve"> 89712 </t>
  </si>
  <si>
    <t xml:space="preserve"> 89713 </t>
  </si>
  <si>
    <t xml:space="preserve"> 89714 </t>
  </si>
  <si>
    <t xml:space="preserve"> 89724 </t>
  </si>
  <si>
    <t xml:space="preserve"> 89731 </t>
  </si>
  <si>
    <t xml:space="preserve"> 89744 </t>
  </si>
  <si>
    <t xml:space="preserve"> 89726 </t>
  </si>
  <si>
    <t xml:space="preserve"> 89732 </t>
  </si>
  <si>
    <t xml:space="preserve"> 89739 </t>
  </si>
  <si>
    <t xml:space="preserve"> 89810 </t>
  </si>
  <si>
    <t xml:space="preserve"> 89561 </t>
  </si>
  <si>
    <t xml:space="preserve"> 89785 </t>
  </si>
  <si>
    <t xml:space="preserve"> 89782 </t>
  </si>
  <si>
    <t xml:space="preserve"> 89784 </t>
  </si>
  <si>
    <t xml:space="preserve"> 94698 </t>
  </si>
  <si>
    <t xml:space="preserve"> 94702 </t>
  </si>
  <si>
    <t xml:space="preserve"> 89753 </t>
  </si>
  <si>
    <t xml:space="preserve"> 89774 </t>
  </si>
  <si>
    <t xml:space="preserve"> 89856 </t>
  </si>
  <si>
    <t xml:space="preserve"> 89402 </t>
  </si>
  <si>
    <t xml:space="preserve"> 96664 </t>
  </si>
  <si>
    <t xml:space="preserve"> 86881 </t>
  </si>
  <si>
    <t xml:space="preserve"> 89708 </t>
  </si>
  <si>
    <t xml:space="preserve"> 92336 </t>
  </si>
  <si>
    <t xml:space="preserve"> 92337 </t>
  </si>
  <si>
    <t xml:space="preserve"> 94473 </t>
  </si>
  <si>
    <t xml:space="preserve"> 94475 </t>
  </si>
  <si>
    <t xml:space="preserve"> 99624 </t>
  </si>
  <si>
    <t xml:space="preserve"> 99625 </t>
  </si>
  <si>
    <t xml:space="preserve"> 103016 </t>
  </si>
  <si>
    <t xml:space="preserve"> 94499 </t>
  </si>
  <si>
    <t xml:space="preserve"> 94500 </t>
  </si>
  <si>
    <t xml:space="preserve"> 103019 </t>
  </si>
  <si>
    <t xml:space="preserve"> 92314 </t>
  </si>
  <si>
    <t xml:space="preserve"> 92315 </t>
  </si>
  <si>
    <t xml:space="preserve"> 92316 </t>
  </si>
  <si>
    <t xml:space="preserve"> 92295 </t>
  </si>
  <si>
    <t xml:space="preserve"> 92311 </t>
  </si>
  <si>
    <t xml:space="preserve"> 92312 </t>
  </si>
  <si>
    <t xml:space="preserve"> 92317 </t>
  </si>
  <si>
    <t xml:space="preserve"> 92318 </t>
  </si>
  <si>
    <t xml:space="preserve"> 92301 </t>
  </si>
  <si>
    <t xml:space="preserve"> 90696 </t>
  </si>
  <si>
    <t xml:space="preserve"> 063067 </t>
  </si>
  <si>
    <t xml:space="preserve"> 063619 </t>
  </si>
  <si>
    <t xml:space="preserve"> 03.01.020 </t>
  </si>
  <si>
    <t xml:space="preserve"> 05.09.006 </t>
  </si>
  <si>
    <t xml:space="preserve"> 05.09.008 </t>
  </si>
  <si>
    <t xml:space="preserve"> 05.08.140 </t>
  </si>
  <si>
    <t xml:space="preserve"> 05.04.060 </t>
  </si>
  <si>
    <t xml:space="preserve"> 97627 </t>
  </si>
  <si>
    <t xml:space="preserve"> 97625 </t>
  </si>
  <si>
    <t xml:space="preserve"> 97645 </t>
  </si>
  <si>
    <t xml:space="preserve"> 97644 </t>
  </si>
  <si>
    <t xml:space="preserve"> 97663 </t>
  </si>
  <si>
    <t xml:space="preserve"> 97649 </t>
  </si>
  <si>
    <t xml:space="preserve"> 97655 </t>
  </si>
  <si>
    <t>Peso</t>
  </si>
  <si>
    <t>Valor Acumulado</t>
  </si>
  <si>
    <t>Peso Acumulado</t>
  </si>
  <si>
    <t>Operativa</t>
  </si>
  <si>
    <t>Improdutiva</t>
  </si>
  <si>
    <t>Geral</t>
  </si>
  <si>
    <t xml:space="preserve"> 00040813 </t>
  </si>
  <si>
    <t>ENGENHEIRO CIVIL DE OBRA PLENO (MENSALISTA)</t>
  </si>
  <si>
    <t xml:space="preserve"> 00040819 </t>
  </si>
  <si>
    <t>MESTRE DE OBRAS (MENSALISTA)</t>
  </si>
  <si>
    <t xml:space="preserve"> 00034381 </t>
  </si>
  <si>
    <t>JANELA MAXIM AR, EM ALUMINIO PERFIL 25, 60 X 80 CM (A X L), ACABAMENTO BRANCO OU BRILHANTE, BATENTE DE 4 A 5 CM, COM VIDRO, SEM GUARNICAO/ALIZAR</t>
  </si>
  <si>
    <t xml:space="preserve"> 00040818 </t>
  </si>
  <si>
    <t>ENCARREGADO GERAL DE OBRAS (MENSALISTA)</t>
  </si>
  <si>
    <t xml:space="preserve"> 00040931 </t>
  </si>
  <si>
    <t>AUXILIAR TECNICO / ASSISTENTE DE ENGENHARIA (MENSALISTA)</t>
  </si>
  <si>
    <t xml:space="preserve"> 00040946 </t>
  </si>
  <si>
    <t>TECNICO DE EDIFICACOES (MENSALISTA)</t>
  </si>
  <si>
    <t xml:space="preserve"> 00037370 </t>
  </si>
  <si>
    <t>ALIMENTACAO - HORISTA (COLETADO CAIXA)</t>
  </si>
  <si>
    <t>Outros</t>
  </si>
  <si>
    <t xml:space="preserve"> 00040809 </t>
  </si>
  <si>
    <t>ALMOXARIFE (MENSALISTA)</t>
  </si>
  <si>
    <t xml:space="preserve"> 00003992 </t>
  </si>
  <si>
    <t>TABUA APARELHADA *2,5 X 30* CM, EM MACARANDUBA, ANGELIM OU EQUIVALENTE DA REGIAO</t>
  </si>
  <si>
    <t xml:space="preserve"> 00000247 </t>
  </si>
  <si>
    <t>AJUDANTE DE ELETRICISTA (HORISTA)</t>
  </si>
  <si>
    <t xml:space="preserve"> 00040820 </t>
  </si>
  <si>
    <t>TOPOGRAFO (MENSALISTA)</t>
  </si>
  <si>
    <t xml:space="preserve"> 00040812 </t>
  </si>
  <si>
    <t>AUXILIAR DE ESCRITORIO (MENSALISTA)</t>
  </si>
  <si>
    <t xml:space="preserve"> 00001214 </t>
  </si>
  <si>
    <t>CARPINTEIRO DE ESQUADRIAS (HORISTA)</t>
  </si>
  <si>
    <t xml:space="preserve"> 00037105 </t>
  </si>
  <si>
    <t>CAIXA D'AGUA FIBRA DE VIDRO PARA 5000 LITROS, COM TAMPA</t>
  </si>
  <si>
    <t xml:space="preserve"> 00006117 </t>
  </si>
  <si>
    <t>CARPINTEIRO AUXILIAR (HORISTA)</t>
  </si>
  <si>
    <t>0,50%</t>
  </si>
  <si>
    <t>0,48%</t>
  </si>
  <si>
    <t>0,47%</t>
  </si>
  <si>
    <t xml:space="preserve"> 00012039 </t>
  </si>
  <si>
    <t>QUADRO DE DISTRIBUICAO COM BARRAMENTO TRIFASICO, DE EMBUTIR, EM CHAPA DE ACO GALVANIZADO, PARA 24 DISJUNTORES DIN, 100 A</t>
  </si>
  <si>
    <t>0,44%</t>
  </si>
  <si>
    <t>0,43%</t>
  </si>
  <si>
    <t xml:space="preserve"> 00000246 </t>
  </si>
  <si>
    <t>AUXILIAR DE ENCANADOR OU BOMBEIRO HIDRAULICO (HORISTA)</t>
  </si>
  <si>
    <t>0,41%</t>
  </si>
  <si>
    <t xml:space="preserve"> 00041093 </t>
  </si>
  <si>
    <t>AUXILIAR DE TOPOGRAFO (MENSALISTA)</t>
  </si>
  <si>
    <t>0,39%</t>
  </si>
  <si>
    <t>0,37%</t>
  </si>
  <si>
    <t xml:space="preserve"> 00040863 </t>
  </si>
  <si>
    <t>EXAMES - MENSALISTA (COLETADO CAIXA)</t>
  </si>
  <si>
    <t xml:space="preserve"> 00004433 </t>
  </si>
  <si>
    <t>CAIBRO NAO APARELHADO  *7,5 X 7,5* CM, EM MACARANDUBA, ANGELIM OU EQUIVALENTE DA REGIAO -  BRUTA</t>
  </si>
  <si>
    <t>0,34%</t>
  </si>
  <si>
    <t xml:space="preserve"> 00037371 </t>
  </si>
  <si>
    <t>TRANSPORTE - HORISTA (COLETADO CAIXA)</t>
  </si>
  <si>
    <t>0,30%</t>
  </si>
  <si>
    <t xml:space="preserve"> 00034709 </t>
  </si>
  <si>
    <t>DISJUNTOR TIPO DIN/IEC, TRIPOLAR DE 10 ATE 50A</t>
  </si>
  <si>
    <t>0,28%</t>
  </si>
  <si>
    <t>0,27%</t>
  </si>
  <si>
    <t xml:space="preserve"> 00036795 </t>
  </si>
  <si>
    <t>TORNEIRA METALICA CROMADA DE MESA PARA LAVATORIO, COM SENSOR DE PRESENCA A PILHA, COM AREJADOR EMBUTIDO</t>
  </si>
  <si>
    <t xml:space="preserve"> 00039025 </t>
  </si>
  <si>
    <t>PORTA DE ABRIR EM ALUMINIO TIPO VENEZIANA, ACABAMENTO ANODIZADO NATURAL, SEM GUARNICAO/ALIZAR/VISTA, 87 X 210 CM</t>
  </si>
  <si>
    <t>0,26%</t>
  </si>
  <si>
    <t xml:space="preserve"> 00037372 </t>
  </si>
  <si>
    <t>EXAMES - HORISTA (COLETADO CAIXA)</t>
  </si>
  <si>
    <t xml:space="preserve"> 00012042 </t>
  </si>
  <si>
    <t>QUADRO DE DISTRIBUICAO COM BARRAMENTO TRIFASICO, DE EMBUTIR, EM CHAPA DE ACO GALVANIZADO, PARA 40 DISJUNTORES DIN, 100 A</t>
  </si>
  <si>
    <t>0,25%</t>
  </si>
  <si>
    <t>0,24%</t>
  </si>
  <si>
    <t>0,23%</t>
  </si>
  <si>
    <t xml:space="preserve"> 00034640 </t>
  </si>
  <si>
    <t>CAIXA D'AGUA EM POLIETILENO 2000 LITROS, COM TAMPA</t>
  </si>
  <si>
    <t>0,22%</t>
  </si>
  <si>
    <t>0,21%</t>
  </si>
  <si>
    <t>0,20%</t>
  </si>
  <si>
    <t>0,19%</t>
  </si>
  <si>
    <t xml:space="preserve"> 00000599 </t>
  </si>
  <si>
    <t>JANELA FIXA, EM ALUMINIO PERFIL 20, 60  X 80 CM (A X L), BATENTE/REQUADRO DE 3 A 14 CM, COM VIDRO 4 MM, SEM GUARNICAO/ALIZAR, ACABAMENTO ALUM BRANCO OU BRILHANTE</t>
  </si>
  <si>
    <t>0,18%</t>
  </si>
  <si>
    <t xml:space="preserve"> 00043681 </t>
  </si>
  <si>
    <t>CHAPA/PAINEL DE MADEIRA COMPENSADA RESINADA (MADEIRITE RESINADO ROSA) PARA FORMA DE CONCRETO, DE 2200 x 1100 MM, E = 8 A 12 MM</t>
  </si>
  <si>
    <t>0,17%</t>
  </si>
  <si>
    <t xml:space="preserve"> 00012041 </t>
  </si>
  <si>
    <t>QUADRO DE DISTRIBUICAO COM BARRAMENTO TRIFASICO, DE EMBUTIR, EM CHAPA DE ACO GALVANIZADO, PARA 30 DISJUNTORES DIN, 150 A</t>
  </si>
  <si>
    <t xml:space="preserve"> 00034616 </t>
  </si>
  <si>
    <t>DISJUNTOR TIPO DIN/IEC, BIPOLAR DE 6 ATE 32A</t>
  </si>
  <si>
    <t xml:space="preserve"> 00036888 </t>
  </si>
  <si>
    <t>GUARNICAO / MOLDURA / ARREMATE DE ACABAMENTO PARA ESQUADRIA, EM ALUMINIO PERFIL 25, ACABAMENTO ANODIZADO BRANCO OU BRILHANTE, PARA 1 FACE</t>
  </si>
  <si>
    <t>0,16%</t>
  </si>
  <si>
    <t>0,15%</t>
  </si>
  <si>
    <t>0,14%</t>
  </si>
  <si>
    <t xml:space="preserve"> 00011868 </t>
  </si>
  <si>
    <t>CAIXA D'AGUA FIBRA DE VIDRO PARA 1000 LITROS, COM TAMPA</t>
  </si>
  <si>
    <t>0,13%</t>
  </si>
  <si>
    <t>0,12%</t>
  </si>
  <si>
    <t xml:space="preserve"> 00043494 </t>
  </si>
  <si>
    <t>EPI - FAMILIA ALMOXARIFE - MENSALISTA (ENCARGOS COMPLEMENTARES - COLETADO CAIXA)</t>
  </si>
  <si>
    <t>0,11%</t>
  </si>
  <si>
    <t xml:space="preserve"> 00010489 </t>
  </si>
  <si>
    <t>VIDRACEIRO (HORISTA)</t>
  </si>
  <si>
    <t>0,10%</t>
  </si>
  <si>
    <t xml:space="preserve"> 00043484 </t>
  </si>
  <si>
    <t>EPI - FAMILIA ELETRICISTA - HORISTA (ENCARGOS COMPLEMENTARES - COLETADO CAIXA)</t>
  </si>
  <si>
    <t xml:space="preserve"> 00041930 </t>
  </si>
  <si>
    <t>TUBO COLETOR DE ESGOTO PVC, JEI, DN 200 MM (NBR 7362)</t>
  </si>
  <si>
    <t xml:space="preserve"> 00010422 </t>
  </si>
  <si>
    <t>BACIA SANITARIA (VASO) COM CAIXA ACOPLADA, SIFAO APARENTE, DE LOUCA BRANCA (SEM ASSENTO)</t>
  </si>
  <si>
    <t>0,09%</t>
  </si>
  <si>
    <t xml:space="preserve"> 00001525 </t>
  </si>
  <si>
    <t>CONCRETO USINADO BOMBEAVEL, CLASSE DE RESISTENCIA C30, COM BRITA 0 E 1, SLUMP = 100 +/- 20 MM, INCLUI SERVICO DE BOMBEAMENTO (NBR 8953)</t>
  </si>
  <si>
    <t xml:space="preserve"> 00043499 </t>
  </si>
  <si>
    <t>EPI - FAMILIA ENCARREGADO GERAL - MENSALISTA (ENCARGOS COMPLEMENTARES - COLETADO CAIXA)</t>
  </si>
  <si>
    <t xml:space="preserve"> 00002373 </t>
  </si>
  <si>
    <t>DISJUNTOR TIPO NEMA, TRIPOLAR 60 ATE 100 A, TENSAO MAXIMA DE 415 V</t>
  </si>
  <si>
    <t xml:space="preserve"> 00043483 </t>
  </si>
  <si>
    <t>EPI - FAMILIA CARPINTEIRO DE FORMAS - HORISTA (ENCARGOS COMPLEMENTARES - COLETADO CAIXA)</t>
  </si>
  <si>
    <t>Almoço (Participação do empregador)</t>
  </si>
  <si>
    <t xml:space="preserve"> 00010507 </t>
  </si>
  <si>
    <t>VIDRO TEMPERADO INCOLOR E = 10 MM, SEM COLOCACAO</t>
  </si>
  <si>
    <t>0,08%</t>
  </si>
  <si>
    <t xml:space="preserve"> 00036210 </t>
  </si>
  <si>
    <t>BARRA DE APOIO LATERAL ARTICULADA, COM TRAVA, EM ACO INOX POLIDO, 70 CM, DIAMETRO MINIMO 3 CM</t>
  </si>
  <si>
    <t xml:space="preserve"> 00043498 </t>
  </si>
  <si>
    <t>EPI - FAMILIA ENGENHEIRO CIVIL - MENSALISTA (ENCARGOS COMPLEMENTARES - COLETADO CAIXA)</t>
  </si>
  <si>
    <t xml:space="preserve"> 00039750 </t>
  </si>
  <si>
    <t>TUBO DE COBRE CLASSE "A", DN = 1 1/4 " (35 MM), PARA INSTALACOES DE MEDIA PRESSAO PARA GASES COMBUSTIVEIS E MEDICINAIS</t>
  </si>
  <si>
    <t xml:space="preserve"> 00044474 </t>
  </si>
  <si>
    <t>GUINDASTE HIDRAULICO AUTOPROPELIDO, COM LANCA TELESCOPICA 40 M, CAPACIDADE MAXIMA 60 T, POTENCIA 260 KW, TRACAO  6 X 6</t>
  </si>
  <si>
    <t xml:space="preserve"> 00000105 </t>
  </si>
  <si>
    <t>ADAPTADOR PVC SOLDAVEL, LONGO, COM FLANGE LIVRE,  85 MM X 3", PARA CAIXA D' AGUA</t>
  </si>
  <si>
    <t>0,07%</t>
  </si>
  <si>
    <t xml:space="preserve"> 00043491 </t>
  </si>
  <si>
    <t>EPI - FAMILIA SERVENTE - HORISTA (ENCARGOS COMPLEMENTARES - COLETADO CAIXA)</t>
  </si>
  <si>
    <t xml:space="preserve"> 00043460 </t>
  </si>
  <si>
    <t>FERRAMENTAS - FAMILIA ELETRICISTA - HORISTA (ENCARGOS COMPLEMENTARES - COLETADO CAIXA)</t>
  </si>
  <si>
    <t xml:space="preserve"> 00002391 </t>
  </si>
  <si>
    <t>DISJUNTOR TERMOMAGNETICO TRIPOLAR 125A</t>
  </si>
  <si>
    <t xml:space="preserve"> 00010406 </t>
  </si>
  <si>
    <t>VALVULA DE RETENCAO HORIZONTAL, DE BRONZE (PN-25), 3", 400 PSI, TAMPA DE PORCA DE UNIAO, EXTREMIDADES COM ROSCA</t>
  </si>
  <si>
    <t>0,06%</t>
  </si>
  <si>
    <t>0,05%</t>
  </si>
  <si>
    <t xml:space="preserve"> 00004351 </t>
  </si>
  <si>
    <t>PARAFUSO NIQUELADO 3 1/2" COM ACABAMENTO CROMADO PARA FIXAR PECA SANITARIA, INCLUI PORCA CEGA, ARRUELA E BUCHA DE NYLON TAMANHO S-8</t>
  </si>
  <si>
    <t xml:space="preserve"> 00037666 </t>
  </si>
  <si>
    <t>OPERADOR DE BETONEIRA ESTACIONARIA / MISTURADOR</t>
  </si>
  <si>
    <t xml:space="preserve"> 00038986 </t>
  </si>
  <si>
    <t>TUBO PPR, CLASSE PN 25, DN 110 MM, PARA AGUA QUENTE E FRIA PREDIAL</t>
  </si>
  <si>
    <t xml:space="preserve"> 00043505 </t>
  </si>
  <si>
    <t>EPI - FAMILIA TOPOGRAFO - MENSALISTA (ENCARGOS COMPLEMENTARES - COLETADO CAIXA)</t>
  </si>
  <si>
    <t xml:space="preserve"> 9565 </t>
  </si>
  <si>
    <t>Auxiliar topografia - T4 - Segundo grau completo - DNIT -  Mês de ref.: 01/22</t>
  </si>
  <si>
    <t xml:space="preserve"> 00010405 </t>
  </si>
  <si>
    <t>VALVULA DE RETENCAO HORIZONTAL, DE BRONZE (PN-25), 2 1/2", 400 PSI, TAMPA DE PORCA DE UNIAO, EXTREMIDADES COM ROSCA</t>
  </si>
  <si>
    <t xml:space="preserve"> 00010235 </t>
  </si>
  <si>
    <t>VALVULA DE RETENCAO DE BRONZE, PE COM CRIVOS, EXTREMIDADE COM ROSCA, DE 3", PARA FUNDO DE POCO</t>
  </si>
  <si>
    <t xml:space="preserve"> 00040380 </t>
  </si>
  <si>
    <t>CURVA 90 GRAUS EM ACO CARBONO, RAIO CURTO, SOLDAVEL, PRESSAO 3.000 LBS, DN 3/4"</t>
  </si>
  <si>
    <t xml:space="preserve"> 00043485 </t>
  </si>
  <si>
    <t>EPI - FAMILIA ENCANADOR - HORISTA (ENCARGOS COMPLEMENTARES - COLETADO CAIXA)</t>
  </si>
  <si>
    <t xml:space="preserve"> 00007106 </t>
  </si>
  <si>
    <t>TE DE REDUCAO, PVC, SOLDAVEL, 90 GRAUS, 110 MM X 60 MM, PARA AGUA FRIA PREDIAL</t>
  </si>
  <si>
    <t xml:space="preserve"> 10492 </t>
  </si>
  <si>
    <t>Cesta Básica</t>
  </si>
  <si>
    <t>0,04%</t>
  </si>
  <si>
    <t xml:space="preserve"> 00020146 </t>
  </si>
  <si>
    <t>JUNCAO SIMPLES, PVC SERIE R, DN 150 X 150 MM, PARA ESGOTO OU AGUAS PLUVIAIS PREDIAIS</t>
  </si>
  <si>
    <t xml:space="preserve"> 9566 </t>
  </si>
  <si>
    <t>Topografo - T2 - DNIT -  Mês de ref.: 01/22</t>
  </si>
  <si>
    <t xml:space="preserve"> 00006012 </t>
  </si>
  <si>
    <t>REGISTRO GAVETA BRUTO EM LATAO FORJADO, BITOLA 3 " (REF 1509)</t>
  </si>
  <si>
    <t xml:space="preserve"> 00038440 </t>
  </si>
  <si>
    <t>JOELHO PPR, 90 GRAUS, SOLDAVEL, DN 110 MM, PARA AGUA QUENTE PREDIAL</t>
  </si>
  <si>
    <t xml:space="preserve"> 00006160 </t>
  </si>
  <si>
    <t>SOLDADOR (HORISTA)</t>
  </si>
  <si>
    <t xml:space="preserve"> 00020145 </t>
  </si>
  <si>
    <t>JUNCAO SIMPLES, PVC SERIE R, DN 150 X 100 MM, PARA ESGOTO OU AGUAS PLUVIAIS PREDIAIS</t>
  </si>
  <si>
    <t xml:space="preserve"> 00007694 </t>
  </si>
  <si>
    <t>TUBO ACO GALVANIZADO COM COSTURA, CLASSE MEDIA, DN 3", E = *4,05* MM, PESO *8,47* KG/M (NBR 5580)</t>
  </si>
  <si>
    <t xml:space="preserve"> 00004058 </t>
  </si>
  <si>
    <t>MECANICO DE EQUIPAMENTOS PESADOS</t>
  </si>
  <si>
    <t xml:space="preserve"> 00000251 </t>
  </si>
  <si>
    <t>AUXILIAR DE MECANICO</t>
  </si>
  <si>
    <t>0,03%</t>
  </si>
  <si>
    <t xml:space="preserve"> 00036081 </t>
  </si>
  <si>
    <t>BARRA DE APOIO RETA, EM ACO INOX POLIDO, COMPRIMENTO 80CM, DIAMETRO MINIMO 3 CM</t>
  </si>
  <si>
    <t xml:space="preserve"> 00043467 </t>
  </si>
  <si>
    <t>FERRAMENTAS - FAMILIA SERVENTE - HORISTA (ENCARGOS COMPLEMENTARES - COLETADO CAIXA)</t>
  </si>
  <si>
    <t xml:space="preserve"> 00006011 </t>
  </si>
  <si>
    <t>REGISTRO GAVETA BRUTO EM LATAO FORJADO, BITOLA 2 1/2 " (REF 1509)</t>
  </si>
  <si>
    <t xml:space="preserve"> 00003459 </t>
  </si>
  <si>
    <t>COTOVELO 90 GRAUS DE FERRO GALVANIZADO, COM ROSCA BSP, DE 3"</t>
  </si>
  <si>
    <t xml:space="preserve"> 00004274 </t>
  </si>
  <si>
    <t>PARA-RAIOS TIPO FRANKLIN 350 MM, EM LATAO CROMADO, DUAS DESCIDAS, PARA PROTECAO DE EDIFICACOES CONTRA DESCARGAS ATMOSFERICAS</t>
  </si>
  <si>
    <t xml:space="preserve"> 00000242 </t>
  </si>
  <si>
    <t>AJUDANTE ESPECIALIZADO</t>
  </si>
  <si>
    <t xml:space="preserve"> 00003513 </t>
  </si>
  <si>
    <t>JOELHO PVC, SOLDAVEL, 90 GRAUS, 85 MM, PARA AGUA FRIA PREDIAL</t>
  </si>
  <si>
    <t xml:space="preserve"> 00043459 </t>
  </si>
  <si>
    <t>FERRAMENTAS - FAMILIA CARPINTEIRO DE FORMAS - HORISTA (ENCARGOS COMPLEMENTARES - COLETADO CAIXA)</t>
  </si>
  <si>
    <t xml:space="preserve"> 10761 </t>
  </si>
  <si>
    <t>Refeição - café da manhã ( café com leite e dois pães com manteiga)</t>
  </si>
  <si>
    <t xml:space="preserve"> 00020144 </t>
  </si>
  <si>
    <t>JUNCAO SIMPLES, PVC SERIE R, DN 100 X 100 MM, PARA ESGOTO OU AGUAS PLUVIAIS PREDIAIS</t>
  </si>
  <si>
    <t xml:space="preserve"> 00043489 </t>
  </si>
  <si>
    <t>EPI - FAMILIA PEDREIRO - HORISTA (ENCARGOS COMPLEMENTARES - COLETADO CAIXA)</t>
  </si>
  <si>
    <t xml:space="preserve"> 00007701 </t>
  </si>
  <si>
    <t>TUBO ACO GALVANIZADO COM COSTURA, CLASSE MEDIA, DN 2.1/2", E = *3,65* MM, PESO *6,51* KG/M (NBR 5580)</t>
  </si>
  <si>
    <t xml:space="preserve"> 00040864 </t>
  </si>
  <si>
    <t>SEGURO - MENSALISTA (COLETADO CAIXA)</t>
  </si>
  <si>
    <t xml:space="preserve"> 00040382 </t>
  </si>
  <si>
    <t>CURVA 90 GRAUS EM ACO CARBONO, RAIO CURTO, SOLDAVEL, PRESSAO 3.000 LBS, DN 1"</t>
  </si>
  <si>
    <t xml:space="preserve"> 00011747 </t>
  </si>
  <si>
    <t>VALVULA DE ESFERA BRUTA EM BRONZE, BITOLA 2 " (REF 1552-B)</t>
  </si>
  <si>
    <t xml:space="preserve"> 00007194 </t>
  </si>
  <si>
    <t>TELHA DE FIBROCIMENTO ONDULADA E = 6 MM, DE 2,44 X 1,10 M (SEM AMIANTO)</t>
  </si>
  <si>
    <t>95,33%</t>
  </si>
  <si>
    <t xml:space="preserve"> 00004230 </t>
  </si>
  <si>
    <t>OPERADOR DE MAQUINAS E TRATORES DIVERSOS (TERRAPLANAGEM)</t>
  </si>
  <si>
    <t>95,38%</t>
  </si>
  <si>
    <t xml:space="preserve"> 00004755 </t>
  </si>
  <si>
    <t>MARMORISTA / GRANITEIRO (HORISTA)</t>
  </si>
  <si>
    <t xml:space="preserve"> 00020158 </t>
  </si>
  <si>
    <t>JOELHO, PVC SERIE R, 90 GRAUS, DN 150 MM, PARA ESGOTO OU AGUAS PLUVIAIS PREDIAIS</t>
  </si>
  <si>
    <t xml:space="preserve"> 00004257 </t>
  </si>
  <si>
    <t>OPERADOR DE MARTELETE OU MARTELETEIRO</t>
  </si>
  <si>
    <t xml:space="preserve"> 00021128 </t>
  </si>
  <si>
    <t>!EM PROCESSO DESATIVACAO! ELETRODUTO EM ACO GALVANIZADO ELETROLITICO, LEVE, DIAMETRO 3/4", PAREDE DE 0,90 MM</t>
  </si>
  <si>
    <t xml:space="preserve"> 00020047 </t>
  </si>
  <si>
    <t>REDUCAO EXCENTRICA PVC, SERIE R, DN 150 X 100 MM, PARA ESGOTO OU AGUAS PLUVIAIS PREDIAIS</t>
  </si>
  <si>
    <t xml:space="preserve"> 00009868 </t>
  </si>
  <si>
    <t>TUBO PVC, SOLDAVEL, DN 25 MM, AGUA FRIA (NBR-5648)</t>
  </si>
  <si>
    <t>0,02%</t>
  </si>
  <si>
    <t xml:space="preserve"> 00010409 </t>
  </si>
  <si>
    <t>VALVULA DE RETENCAO HORIZONTAL, DE BRONZE (PN-25), 1 1/2", 400 PSI, TAMPA DE PORCA DE UNIAO, EXTREMIDADES COM ROSCA</t>
  </si>
  <si>
    <t xml:space="preserve"> 00034555 </t>
  </si>
  <si>
    <t>BLOCO DE VEDACAO DE CONCRETO APARENTE 19 X 19 X 39 CM  (CLASSE C - NBR 6136)</t>
  </si>
  <si>
    <t xml:space="preserve"> 00003470 </t>
  </si>
  <si>
    <t>COTOVELO 90 GRAUS DE FERRO GALVANIZADO, COM ROSCA BSP, DE 2 1/2"</t>
  </si>
  <si>
    <t xml:space="preserve"> 00006005 </t>
  </si>
  <si>
    <t>REGISTRO GAVETA COM ACABAMENTO E CANOPLA CROMADOS, SIMPLES, BITOLA 3/4 " (REF 1509)</t>
  </si>
  <si>
    <t>96,00%</t>
  </si>
  <si>
    <t xml:space="preserve"> 00011714 </t>
  </si>
  <si>
    <t>CAIXA SIFONADA, PVC, 150 X *185* X 75 MM, COM GRELHA QUADRADA, BRANCA</t>
  </si>
  <si>
    <t xml:space="preserve"> 00034623 </t>
  </si>
  <si>
    <t>DISJUNTOR TIPO DIN/IEC, BIPOLAR 40 ATE 50A</t>
  </si>
  <si>
    <t xml:space="preserve"> 00006024 </t>
  </si>
  <si>
    <t>REGISTRO PRESSAO COM ACABAMENTO E CANOPLA CROMADA, SIMPLES, BITOLA 3/4 " (REF 1416)</t>
  </si>
  <si>
    <t xml:space="preserve"> 00020152 </t>
  </si>
  <si>
    <t>JOELHO, PVC SERIE R, 45 GRAUS, DN 150 MM, PARA ESGOTO OU AGUAS PLUVIAIS PREDIAIS</t>
  </si>
  <si>
    <t xml:space="preserve"> 00012717 </t>
  </si>
  <si>
    <t>COTOVELO DE COBRE 90 GRAUS (REF 607) SEM ANEL DE SOLDA, BOLSA X BOLSA, 35 MM</t>
  </si>
  <si>
    <t xml:space="preserve"> 00034653 </t>
  </si>
  <si>
    <t>DISJUNTOR TIPO DIN/IEC, MONOPOLAR DE 6  ATE  32A</t>
  </si>
  <si>
    <t xml:space="preserve"> 00043465 </t>
  </si>
  <si>
    <t>FERRAMENTAS - FAMILIA PEDREIRO - HORISTA (ENCARGOS COMPLEMENTARES - COLETADO CAIXA)</t>
  </si>
  <si>
    <t xml:space="preserve"> 00002438 </t>
  </si>
  <si>
    <t>ELETROTECNICO (HORISTA)</t>
  </si>
  <si>
    <t xml:space="preserve"> 00009840 </t>
  </si>
  <si>
    <t>TUBO PVC, SERIE R, DN 150 MM, PARA ESGOTO OU AGUAS PLUVIAIS PREDIAIS (NBR 5688)</t>
  </si>
  <si>
    <t xml:space="preserve"> 00037373 </t>
  </si>
  <si>
    <t>SEGURO - HORISTA (COLETADO CAIXA)</t>
  </si>
  <si>
    <t xml:space="preserve"> 00039896 </t>
  </si>
  <si>
    <t>TE DUPLA CURVA BRONZE/LATAO (REF 764) SEM ANEL DE SOLDA, ROSCA F X BOLSA X ROSCA F, 3/4" X 22 X 3/4"</t>
  </si>
  <si>
    <t xml:space="preserve"> 00020142 </t>
  </si>
  <si>
    <t>JUNCAO SIMPLES, PVC SERIE R, DN 75 X 75 MM, PARA ESGOTO OU AGUAS PLUVIAIS PREDIAIS</t>
  </si>
  <si>
    <t xml:space="preserve"> 2378 </t>
  </si>
  <si>
    <t>Vale transporte</t>
  </si>
  <si>
    <t xml:space="preserve"> 00000142 </t>
  </si>
  <si>
    <t>SELANTE ELASTICO MONOCOMPONENTE A BASE DE POLIURETANO (PU) PARA JUNTAS DIVERSAS</t>
  </si>
  <si>
    <t>310ML</t>
  </si>
  <si>
    <t xml:space="preserve"> 00039413 </t>
  </si>
  <si>
    <t>PLACA / CHAPA DE GESSO ACARTONADO, STANDARD (ST), COR BRANCA, E = 12,5 MM, 1200 X 2400 MM (L X C)</t>
  </si>
  <si>
    <t xml:space="preserve"> 00011751 </t>
  </si>
  <si>
    <t>VALVULA DE ESFERA BRUTA EM BRONZE, BITOLA 1 1/2 " (REF 1552-B)</t>
  </si>
  <si>
    <t xml:space="preserve"> 00007144 </t>
  </si>
  <si>
    <t>TE SOLDAVEL, PVC, 90 GRAUS, 75 MM, PARA AGUA FRIA PREDIAL (NBR 5648)</t>
  </si>
  <si>
    <t xml:space="preserve"> 00021136 </t>
  </si>
  <si>
    <t>!EM PROCESSO DESATIVACAO! ELETRODUTO EM ACO GALVANIZADO ELETROLITICO, LEVE, DIAMETRO 1", PAREDE DE 0,90 MM</t>
  </si>
  <si>
    <t xml:space="preserve"> 00000081 </t>
  </si>
  <si>
    <t>ADAPTADOR PVC SOLDAVEL, LONGO, COM FLANGE LIVRE,  60 MM X 2", PARA CAIXA D' AGUA</t>
  </si>
  <si>
    <t xml:space="preserve"> 00004254 </t>
  </si>
  <si>
    <t>OPERADOR DE GUINDASTE</t>
  </si>
  <si>
    <t xml:space="preserve"> 00003472 </t>
  </si>
  <si>
    <t>COTOVELO 90 GRAUS DE FERRO GALVANIZADO, COM ROSCA BSP, DE 1"</t>
  </si>
  <si>
    <t xml:space="preserve"> 00043461 </t>
  </si>
  <si>
    <t>FERRAMENTAS - FAMILIA ENCANADOR - HORISTA (ENCARGOS COMPLEMENTARES - COLETADO CAIXA)</t>
  </si>
  <si>
    <t xml:space="preserve"> 00003379 </t>
  </si>
  <si>
    <t>!EM PROCESSO DE DESATIVACAO! HASTE DE ATERRAMENTO EM ACO COM 3,00 M DE COMPRIMENTO E DN = 5/8", REVESTIDA COM BAIXA CAMADA DE COBRE, SEM CONECTOR</t>
  </si>
  <si>
    <t xml:space="preserve"> 941 </t>
  </si>
  <si>
    <t>Fardamento com mangas curta</t>
  </si>
  <si>
    <t xml:space="preserve"> 00004377 </t>
  </si>
  <si>
    <t>PARAFUSO DE ACO ZINCADO COM ROSCA SOBERBA, CABECA CHATA E FENDA SIMPLES, DIAMETRO 4,2 MM, COMPRIMENTO * 32 * MM</t>
  </si>
  <si>
    <t xml:space="preserve"> 00011830 </t>
  </si>
  <si>
    <t>TORNEIRA DE BOIA CONVENCIONAL PARA CAIXA D'AGUA, AGUA FRIA, 3/4", COM HASTE E TORNEIRA METALICOS E BALAO PLASTICO</t>
  </si>
  <si>
    <t>97,29%</t>
  </si>
  <si>
    <t xml:space="preserve"> 00003799 </t>
  </si>
  <si>
    <t>LUMINARIA DE SOBREPOR EM CHAPA DE ACO PARA 2 LAMPADAS FLUORESCENTES DE *36* W, ALETADA, COMPLETA (LAMPADAS E REATOR INCLUSOS)</t>
  </si>
  <si>
    <t xml:space="preserve"> 00004425 </t>
  </si>
  <si>
    <t>VIGA NAO APARELHADA  *6 X 12* CM, EM MACARANDUBA, ANGELIM OU EQUIVALENTE DA REGIAO - BRUTA</t>
  </si>
  <si>
    <t>0,01%</t>
  </si>
  <si>
    <t>97,38%</t>
  </si>
  <si>
    <t xml:space="preserve"> 00011750 </t>
  </si>
  <si>
    <t>VALVULA DE ESFERA BRUTA EM BRONZE, BITOLA 1 1/4 " (REF 1552-B)</t>
  </si>
  <si>
    <t xml:space="preserve"> 00007132 </t>
  </si>
  <si>
    <t>TE DE REDUCAO, PVC, SOLDAVEL, 90 GRAUS, 75 MM X 50 MM, PARA AGUA FRIA PREDIAL</t>
  </si>
  <si>
    <t xml:space="preserve"> 00004384 </t>
  </si>
  <si>
    <t>PARAFUSO NIQUELADO COM ACABAMENTO CROMADO PARA FIXAR PECA SANITARIA, INCLUI PORCA CEGA, ARRUELA E BUCHA DE NYLON TAMANHO S-10</t>
  </si>
  <si>
    <t xml:space="preserve"> 00012736 </t>
  </si>
  <si>
    <t>TE DE COBRE (REF 611) SEM ANEL DE SOLDA, BOLSA X BOLSA X BOLSA, 35 MM</t>
  </si>
  <si>
    <t>BOMBEIRO/ ENCANADOR</t>
  </si>
  <si>
    <t>97,48%</t>
  </si>
  <si>
    <t xml:space="preserve"> 00001574 </t>
  </si>
  <si>
    <t>TERMINAL A COMPRESSAO EM COBRE ESTANHADO PARA CABO 10 MM2, 1 FURO E 1 COMPRESSAO, PARA PARAFUSO DE FIXACAO M6</t>
  </si>
  <si>
    <t xml:space="preserve"> 00013417 </t>
  </si>
  <si>
    <t>TORNEIRA METALICA CROMADA CANO CURTO, SEM BICO, SEM AREJADOR, DE PAREDE, PARA TANQUE E USO GERAL, 1/2 " OU 3/4 " (REF 1143)</t>
  </si>
  <si>
    <t xml:space="preserve"> 00000033 </t>
  </si>
  <si>
    <t>ACO CA-50, 8,0 MM, VERGALHAO</t>
  </si>
  <si>
    <t xml:space="preserve"> 00039422 </t>
  </si>
  <si>
    <t>PERFIL MONTANTE, FORMATO C, EM ACO ZINCADO, PARA ESTRUTURA PAREDE DRYWALL, E = 0,5 MM, 70 X 3000 MM (L X C)</t>
  </si>
  <si>
    <t>97,63%</t>
  </si>
  <si>
    <t xml:space="preserve"> 00020143 </t>
  </si>
  <si>
    <t>JUNCAO SIMPLES, PVC SERIE R, DN 100 X 75 MM, PARA ESGOTO OU AGUAS PLUVIAIS PREDIAIS</t>
  </si>
  <si>
    <t xml:space="preserve"> 00043055 </t>
  </si>
  <si>
    <t>ACO CA-50, 12,5 MM OU 16,0 MM, VERGALHAO</t>
  </si>
  <si>
    <t>97,67%</t>
  </si>
  <si>
    <t xml:space="preserve"> 00009872 </t>
  </si>
  <si>
    <t>TUBO PVC, SOLDAVEL, DN 85 MM, AGUA FRIA (NBR-5648)</t>
  </si>
  <si>
    <t>97,71%</t>
  </si>
  <si>
    <t xml:space="preserve"> 00006013 </t>
  </si>
  <si>
    <t>REGISTRO GAVETA COM ACABAMENTO E CANOPLA CROMADOS, SIMPLES, BITOLA 1 " (REF 1509)</t>
  </si>
  <si>
    <t xml:space="preserve"> 00020179 </t>
  </si>
  <si>
    <t>TE, PVC, SERIE R, 100 X 100 MM, PARA ESGOTO OU AGUAS PLUVIAIS PREDIAIS</t>
  </si>
  <si>
    <t xml:space="preserve"> 00036156 </t>
  </si>
  <si>
    <t>BLOQUETE/PISO INTERTRAVADO DE CONCRETO - MODELO ONDA/16 FACES/RETANGULAR/TIJOLINHO/PAVER/HOLANDES/PARALELEPIPEDO, 20 CM X 10 CM, E = 6 CM, RESISTENCIA DE 35 MPA (NBR 9781), COLORIDO</t>
  </si>
  <si>
    <t>97,83%</t>
  </si>
  <si>
    <t>97,84%</t>
  </si>
  <si>
    <t>97,87%</t>
  </si>
  <si>
    <t>97,88%</t>
  </si>
  <si>
    <t>97,89%</t>
  </si>
  <si>
    <t xml:space="preserve"> 00002586 </t>
  </si>
  <si>
    <t>CONDULETE DE ALUMINIO TIPO T, PARA ELETRODUTO ROSCAVEL DE 1", COM TAMPA CEGA</t>
  </si>
  <si>
    <t>97,93%</t>
  </si>
  <si>
    <t>97,94%</t>
  </si>
  <si>
    <t>97,95%</t>
  </si>
  <si>
    <t xml:space="preserve"> 00039882 </t>
  </si>
  <si>
    <t>CURVA 45 GRAUS DE COBRE (REF 606) SEM ANEL DE SOLDA, BOLSA X BOLSA, 35 MM</t>
  </si>
  <si>
    <t xml:space="preserve"> 00043490 </t>
  </si>
  <si>
    <t>EPI - FAMILIA PINTOR - HORISTA (ENCARGOS COMPLEMENTARES - COLETADO CAIXA)</t>
  </si>
  <si>
    <t>97,98%</t>
  </si>
  <si>
    <t xml:space="preserve"> 00043466 </t>
  </si>
  <si>
    <t>FERRAMENTAS - FAMILIA PINTOR - HORISTA (ENCARGOS COMPLEMENTARES - COLETADO CAIXA)</t>
  </si>
  <si>
    <t>97,99%</t>
  </si>
  <si>
    <t>98,00%</t>
  </si>
  <si>
    <t xml:space="preserve"> 00040626 </t>
  </si>
  <si>
    <t>TUBO ACO GALVANIZADO COM COSTURA, CLASSE MEDIA, DN 1", E = 3,38 MM, PESO 2,50 KG/M (NBR 5580)</t>
  </si>
  <si>
    <t>98,04%</t>
  </si>
  <si>
    <t xml:space="preserve"> 00010233 </t>
  </si>
  <si>
    <t>VALVULA DE RETENCAO DE BRONZE, PE COM CRIVOS, EXTREMIDADE COM ROSCA, DE 1 1/4", PARA FUNDO DE POCO</t>
  </si>
  <si>
    <t>98,05%</t>
  </si>
  <si>
    <t>98,06%</t>
  </si>
  <si>
    <t>98,07%</t>
  </si>
  <si>
    <t>98,09%</t>
  </si>
  <si>
    <t>98,11%</t>
  </si>
  <si>
    <t>98,12%</t>
  </si>
  <si>
    <t>98,13%</t>
  </si>
  <si>
    <t xml:space="preserve"> 00037588 </t>
  </si>
  <si>
    <t>VALVULA DE ESCOAMENTO PARA TANQUE, EM METAL CROMADO, 1.1/2 ", SEM LADRAO, COM TAMPAO PLASTICO</t>
  </si>
  <si>
    <t>98,17%</t>
  </si>
  <si>
    <t xml:space="preserve"> 00004221 </t>
  </si>
  <si>
    <t>OLEO DIESEL COMBUSTIVEL COMUM</t>
  </si>
  <si>
    <t>98,18%</t>
  </si>
  <si>
    <t>98,20%</t>
  </si>
  <si>
    <t>98,21%</t>
  </si>
  <si>
    <t>98,23%</t>
  </si>
  <si>
    <t>98,24%</t>
  </si>
  <si>
    <t>98,25%</t>
  </si>
  <si>
    <t>98,27%</t>
  </si>
  <si>
    <t>98,28%</t>
  </si>
  <si>
    <t>98,29%</t>
  </si>
  <si>
    <t xml:space="preserve"> 00002701 </t>
  </si>
  <si>
    <t>INSTALADOR DE TUBULACOES (TUBOS/EQUIPAMENTOS)</t>
  </si>
  <si>
    <t>98,30%</t>
  </si>
  <si>
    <t>98,31%</t>
  </si>
  <si>
    <t>98,32%</t>
  </si>
  <si>
    <t>98,33%</t>
  </si>
  <si>
    <t>98,34%</t>
  </si>
  <si>
    <t>98,35%</t>
  </si>
  <si>
    <t>98,36%</t>
  </si>
  <si>
    <t xml:space="preserve"> 00011746 </t>
  </si>
  <si>
    <t>VALVULA DE ESFERA BRUTA EM BRONZE, BITOLA 1 " (REF 1552-B)</t>
  </si>
  <si>
    <t>98,37%</t>
  </si>
  <si>
    <t>98,38%</t>
  </si>
  <si>
    <t xml:space="preserve"> 00000090 </t>
  </si>
  <si>
    <t>ADAPTADOR PVC SOLDAVEL, LONGO, COM FLANGE LIVRE,  50 MM X 1 1/2", PARA CAIXA D' AGUA</t>
  </si>
  <si>
    <t>98,39%</t>
  </si>
  <si>
    <t xml:space="preserve"> 00020080 </t>
  </si>
  <si>
    <t>ADESIVO PLASTICO PARA PVC, FRASCO COM 175 GR</t>
  </si>
  <si>
    <t>98,40%</t>
  </si>
  <si>
    <t>98,41%</t>
  </si>
  <si>
    <t>98,42%</t>
  </si>
  <si>
    <t>98,43%</t>
  </si>
  <si>
    <t>98,44%</t>
  </si>
  <si>
    <t xml:space="preserve"> 00009841 </t>
  </si>
  <si>
    <t>TUBO PVC, SERIE R, DN 100 MM, PARA ESGOTO OU AGUAS PLUVIAIS PREDIAIS (NBR 5688)</t>
  </si>
  <si>
    <t>98,45%</t>
  </si>
  <si>
    <t xml:space="preserve"> 00011684 </t>
  </si>
  <si>
    <t>ENGATE / RABICHO FLEXIVEL INOX 1/2 " X 40 CM</t>
  </si>
  <si>
    <t>98,46%</t>
  </si>
  <si>
    <t>98,47%</t>
  </si>
  <si>
    <t>98,48%</t>
  </si>
  <si>
    <t xml:space="preserve"> 00007243 </t>
  </si>
  <si>
    <t>TELHA TRAPEZOIDAL EM ACO ZINCADO, SEM PINTURA, ALTURA DE APROXIMADAMENTE 40 MM, ESPESSURA DE 0,50 MM E LARGURA UTIL DE 980 MM</t>
  </si>
  <si>
    <t>98,49%</t>
  </si>
  <si>
    <t>98,50%</t>
  </si>
  <si>
    <t xml:space="preserve"> 00001571 </t>
  </si>
  <si>
    <t>TERMINAL A COMPRESSAO EM COBRE ESTANHADO PARA CABO 4 MM2, 1 FURO E 1 COMPRESSAO, PARA PARAFUSO DE FIXACAO M5</t>
  </si>
  <si>
    <t>98,51%</t>
  </si>
  <si>
    <t xml:space="preserve"> 00009897 </t>
  </si>
  <si>
    <t>UNIAO PVC, SOLDAVEL, 50 MM,  PARA AGUA FRIA PREDIAL</t>
  </si>
  <si>
    <t>98,52%</t>
  </si>
  <si>
    <t xml:space="preserve"> 00007143 </t>
  </si>
  <si>
    <t>TE SOLDAVEL, PVC, 90 GRAUS, 60 MM, PARA AGUA FRIA PREDIAL (NBR 5648)</t>
  </si>
  <si>
    <t>98,53%</t>
  </si>
  <si>
    <t>98,54%</t>
  </si>
  <si>
    <t>98,55%</t>
  </si>
  <si>
    <t>98,56%</t>
  </si>
  <si>
    <t>98,57%</t>
  </si>
  <si>
    <t>98,58%</t>
  </si>
  <si>
    <t xml:space="preserve"> 00000089 </t>
  </si>
  <si>
    <t>ADAPTADOR PVC SOLDAVEL, LONGO, COM FLANGE LIVRE,  40 MM X 1 1/4", PARA CAIXA D' AGUA</t>
  </si>
  <si>
    <t>98,59%</t>
  </si>
  <si>
    <t xml:space="preserve"> 00040943 </t>
  </si>
  <si>
    <t>TECNICO EM SEGURANCA DO TRABALHO (HORISTA)</t>
  </si>
  <si>
    <t>98,60%</t>
  </si>
  <si>
    <t>98,61%</t>
  </si>
  <si>
    <t xml:space="preserve"> 00009894 </t>
  </si>
  <si>
    <t>UNIAO PVC, SOLDAVEL, 40 MM,  PARA AGUA FRIA PREDIAL</t>
  </si>
  <si>
    <t>98,62%</t>
  </si>
  <si>
    <t>98,63%</t>
  </si>
  <si>
    <t xml:space="preserve"> 00004262 </t>
  </si>
  <si>
    <t>PA CARREGADEIRA SOBRE RODAS, POTENCIA LIQUIDA 128 HP, CAPACIDADE DA CACAMBA DE 1,7 A 2,8 M3, PESO OPERACIONAL MAXIMO DE 11632 KG</t>
  </si>
  <si>
    <t>98,64%</t>
  </si>
  <si>
    <t xml:space="preserve"> 00043475 </t>
  </si>
  <si>
    <t>FERRAMENTAS - FAMILIA ENCARREGADO GERAL - MENSALISTA (ENCARGOS COMPLEMENTARES - COLETADO CAIXA)</t>
  </si>
  <si>
    <t>98,65%</t>
  </si>
  <si>
    <t>98,66%</t>
  </si>
  <si>
    <t xml:space="preserve"> 00043470 </t>
  </si>
  <si>
    <t>FERRAMENTAS - FAMILIA ALMOXARIFE - MENSALISTA (ENCARGOS COMPLEMENTARES - COLETADO CAIXA)</t>
  </si>
  <si>
    <t>98,67%</t>
  </si>
  <si>
    <t xml:space="preserve"> 00004760 </t>
  </si>
  <si>
    <t>AZULEJISTA OU LADRILHEIRO (HORISTA)</t>
  </si>
  <si>
    <t>98,68%</t>
  </si>
  <si>
    <t>98,69%</t>
  </si>
  <si>
    <t>98,70%</t>
  </si>
  <si>
    <t>98,71%</t>
  </si>
  <si>
    <t>98,72%</t>
  </si>
  <si>
    <t xml:space="preserve"> 00020157 </t>
  </si>
  <si>
    <t>JOELHO, PVC SERIE R, 90 GRAUS, DN 100 MM, PARA ESGOTO OU AGUAS PLUVIAIS PREDIAIS</t>
  </si>
  <si>
    <t xml:space="preserve"> 00002574 </t>
  </si>
  <si>
    <t>CONDULETE DE ALUMINIO TIPO T, PARA ELETRODUTO ROSCAVEL DE 3/4", COM TAMPA CEGA</t>
  </si>
  <si>
    <t>98,73%</t>
  </si>
  <si>
    <t xml:space="preserve"> 00000298 </t>
  </si>
  <si>
    <t>ANEL BORRACHA, DN 75 MM, PARA TUBO SERIE REFORCADA ESGOTO PREDIAL</t>
  </si>
  <si>
    <t>98,74%</t>
  </si>
  <si>
    <t>98,75%</t>
  </si>
  <si>
    <t xml:space="preserve"> 00004741 </t>
  </si>
  <si>
    <t>PO DE PEDRA (POSTO PEDREIRA/FORNECEDOR, SEM FRETE)</t>
  </si>
  <si>
    <t>98,76%</t>
  </si>
  <si>
    <t xml:space="preserve"> 00038676 </t>
  </si>
  <si>
    <t>LUVA SIMPLES, PVC, SOLDAVEL, DN 150 MM, SERIE NORMAL, PARA ESGOTO PREDIAL</t>
  </si>
  <si>
    <t>98,77%</t>
  </si>
  <si>
    <t xml:space="preserve"> 00001873 </t>
  </si>
  <si>
    <t>CAIXA DE PASSAGEM, EM PVC, DE 4" X 4", PARA ELETRODUTO FLEXIVEL CORRUGADO</t>
  </si>
  <si>
    <t>98,78%</t>
  </si>
  <si>
    <t xml:space="preserve"> 00020177 </t>
  </si>
  <si>
    <t>TE, PVC, SERIE R, 75 X 75 MM, PARA ESGOTO OU AGUAS PLUVIAIS PREDIAIS</t>
  </si>
  <si>
    <t>98,79%</t>
  </si>
  <si>
    <t xml:space="preserve"> 00001576 </t>
  </si>
  <si>
    <t>TERMINAL A COMPRESSAO EM COBRE ESTANHADO PARA CABO 25 MM2, 1 FURO E 1 COMPRESSAO, PARA PARAFUSO DE FIXACAO M8</t>
  </si>
  <si>
    <t>98,80%</t>
  </si>
  <si>
    <t>98,81%</t>
  </si>
  <si>
    <t xml:space="preserve"> A.05.000.020299 </t>
  </si>
  <si>
    <t>Taxa de destinação de resíduo sólido em aterro; tipo inerte</t>
  </si>
  <si>
    <t>98,82%</t>
  </si>
  <si>
    <t xml:space="preserve"> 00011749 </t>
  </si>
  <si>
    <t>VALVULA DE ESFERA BRUTA EM BRONZE, BITOLA 3/4 " (REF 1552-B)</t>
  </si>
  <si>
    <t xml:space="preserve"> 10517 </t>
  </si>
  <si>
    <t>Exames admissionais/demissionais (checkup)</t>
  </si>
  <si>
    <t>98,83%</t>
  </si>
  <si>
    <t>98,84%</t>
  </si>
  <si>
    <t xml:space="preserve"> 00001570 </t>
  </si>
  <si>
    <t>TERMINAL A COMPRESSAO EM COBRE ESTANHADO PARA CABO 2,5 MM2, 1 FURO E 1 COMPRESSAO, PARA PARAFUSO DE FIXACAO M5</t>
  </si>
  <si>
    <t>98,85%</t>
  </si>
  <si>
    <t xml:space="preserve"> 00043488 </t>
  </si>
  <si>
    <t>EPI - FAMILIA OPERADOR ESCAVADEIRA - HORISTA (ENCARGOS COMPLEMENTARES - COLETADO CAIXA)</t>
  </si>
  <si>
    <t>98,86%</t>
  </si>
  <si>
    <t>98,87%</t>
  </si>
  <si>
    <t xml:space="preserve"> 00003539 </t>
  </si>
  <si>
    <t>JOELHO PVC, SOLDAVEL, 90 GRAUS, 60 MM, PARA AGUA FRIA PREDIAL</t>
  </si>
  <si>
    <t>98,88%</t>
  </si>
  <si>
    <t xml:space="preserve"> 00006019 </t>
  </si>
  <si>
    <t>REGISTRO GAVETA BRUTO EM LATAO FORJADO, BITOLA 1 " (REF 1509)</t>
  </si>
  <si>
    <t>98,89%</t>
  </si>
  <si>
    <t>98,90%</t>
  </si>
  <si>
    <t>98,91%</t>
  </si>
  <si>
    <t>98,92%</t>
  </si>
  <si>
    <t>98,93%</t>
  </si>
  <si>
    <t xml:space="preserve"> 00009873 </t>
  </si>
  <si>
    <t>TUBO PVC, SOLDAVEL, DN 60 MM, AGUA FRIA (NBR-5648)</t>
  </si>
  <si>
    <t>98,94%</t>
  </si>
  <si>
    <t xml:space="preserve"> 00002560 </t>
  </si>
  <si>
    <t>CONDULETE DE ALUMINIO TIPO C, PARA ELETRODUTO ROSCAVEL DE 1", COM TAMPA CEGA</t>
  </si>
  <si>
    <t>98,95%</t>
  </si>
  <si>
    <t>98,96%</t>
  </si>
  <si>
    <t xml:space="preserve"> 00006110 </t>
  </si>
  <si>
    <t>SERRALHEIRO (HORISTA)</t>
  </si>
  <si>
    <t>98,97%</t>
  </si>
  <si>
    <t>98,98%</t>
  </si>
  <si>
    <t>98,99%</t>
  </si>
  <si>
    <t>99,00%</t>
  </si>
  <si>
    <t xml:space="preserve"> 00012726 </t>
  </si>
  <si>
    <t>LUVA DE COBRE (REF 600) SEM ANEL DE SOLDA, BOLSA X BOLSA, 35 MM</t>
  </si>
  <si>
    <t>99,01%</t>
  </si>
  <si>
    <t>99,02%</t>
  </si>
  <si>
    <t>99,03%</t>
  </si>
  <si>
    <t xml:space="preserve"> A.14.000.038043 </t>
  </si>
  <si>
    <t>Saco de ráfia - capacidade 50 kg - dimensões (60 x 90)cm</t>
  </si>
  <si>
    <t>99,04%</t>
  </si>
  <si>
    <t>99,05%</t>
  </si>
  <si>
    <t>99,06%</t>
  </si>
  <si>
    <t xml:space="preserve"> 00004179 </t>
  </si>
  <si>
    <t>NIPLE DE FERRO GALVANIZADO, COM ROSCA BSP, DE 1"</t>
  </si>
  <si>
    <t>99,07%</t>
  </si>
  <si>
    <t xml:space="preserve"> 00007128 </t>
  </si>
  <si>
    <t>TE DE REDUCAO, PVC, SOLDAVEL, 90 GRAUS, 40 MM X 32 MM, PARA AGUA FRIA PREDIAL</t>
  </si>
  <si>
    <t xml:space="preserve"> 00004018 </t>
  </si>
  <si>
    <t>GEOTEXTIL NAO TECIDO AGULHADO DE FILAMENTOS CONTINUOS 100% POLIESTER, RESITENCIA A TRACAO = 31 KN/M</t>
  </si>
  <si>
    <t>99,08%</t>
  </si>
  <si>
    <t xml:space="preserve"> 00043481 </t>
  </si>
  <si>
    <t>FERRAMENTAS - FAMILIA TOPOGRAFO - MENSALISTA (ENCARGOS COMPLEMENTARES - COLETADO CAIXA)</t>
  </si>
  <si>
    <t>99,09%</t>
  </si>
  <si>
    <t xml:space="preserve"> 00020151 </t>
  </si>
  <si>
    <t>JOELHO, PVC SERIE R, 45 GRAUS, DN 100 MM, PARA ESGOTO OU AGUAS PLUVIAIS PREDIAIS</t>
  </si>
  <si>
    <t>99,10%</t>
  </si>
  <si>
    <t xml:space="preserve"> 00044497 </t>
  </si>
  <si>
    <t>MONTADOR DE ESTRUTURAS METALICAS HORISTA</t>
  </si>
  <si>
    <t xml:space="preserve"> 00000088 </t>
  </si>
  <si>
    <t>ADAPTADOR PVC SOLDAVEL, LONGO, COM FLANGE LIVRE,  32 MM X 1", PARA CAIXA D' AGUA</t>
  </si>
  <si>
    <t>99,11%</t>
  </si>
  <si>
    <t>99,12%</t>
  </si>
  <si>
    <t>99,13%</t>
  </si>
  <si>
    <t xml:space="preserve"> 00006323 </t>
  </si>
  <si>
    <t>TE DE FERRO GALVANIZADO, DE 1"</t>
  </si>
  <si>
    <t>99,14%</t>
  </si>
  <si>
    <t xml:space="preserve"> 00010886 </t>
  </si>
  <si>
    <t>EXTINTOR DE INCENDIO PORTATIL COM CARGA DE AGUA PRESSURIZADA DE 10 L, CLASSE A</t>
  </si>
  <si>
    <t>99,15%</t>
  </si>
  <si>
    <t xml:space="preserve"> 00041776 </t>
  </si>
  <si>
    <t>VIGIA NOTURNO, HORA EFETIVAMENTE TRABALHADA DE 22 H AS 5 H (COM ADICIONAL NOTURNO)</t>
  </si>
  <si>
    <t xml:space="preserve"> 00043056 </t>
  </si>
  <si>
    <t>ACO CA-50, 20,0 MM OU 25,0 MM, VERGALHAO</t>
  </si>
  <si>
    <t>99,16%</t>
  </si>
  <si>
    <t xml:space="preserve"> 00009839 </t>
  </si>
  <si>
    <t>TUBO PVC, SERIE R, DN 75 MM, PARA ESGOTO OU AGUAS PLUVIAIS PREDIAIS (NBR 5688)</t>
  </si>
  <si>
    <t>99,17%</t>
  </si>
  <si>
    <t xml:space="preserve"> 00000032 </t>
  </si>
  <si>
    <t>ACO CA-50, 6,3 MM, VERGALHAO</t>
  </si>
  <si>
    <t>99,18%</t>
  </si>
  <si>
    <t>99,19%</t>
  </si>
  <si>
    <t xml:space="preserve"> 00010891 </t>
  </si>
  <si>
    <t>EXTINTOR DE INCENDIO PORTATIL COM CARGA DE PO QUIMICO SECO (PQS) DE 4 KG, CLASSE BC</t>
  </si>
  <si>
    <t>99,20%</t>
  </si>
  <si>
    <t xml:space="preserve"> 00000034 </t>
  </si>
  <si>
    <t>ACO CA-50, 10,0 MM, VERGALHAO</t>
  </si>
  <si>
    <t>99,21%</t>
  </si>
  <si>
    <t>99,22%</t>
  </si>
  <si>
    <t xml:space="preserve"> 00007131 </t>
  </si>
  <si>
    <t>TE DE REDUCAO, PVC, SOLDAVEL, 90 GRAUS, 50 MM X 40 MM, PARA AGUA FRIA PREDIAL</t>
  </si>
  <si>
    <t>99,23%</t>
  </si>
  <si>
    <t>99,24%</t>
  </si>
  <si>
    <t>99,25%</t>
  </si>
  <si>
    <t>99,26%</t>
  </si>
  <si>
    <t xml:space="preserve"> 00020156 </t>
  </si>
  <si>
    <t>JOELHO, PVC SERIE R, 90 GRAUS, DN 75 MM, PARA ESGOTO OU AGUAS PLUVIAIS PREDIAIS</t>
  </si>
  <si>
    <t>0,00%</t>
  </si>
  <si>
    <t>99,27%</t>
  </si>
  <si>
    <t>99,28%</t>
  </si>
  <si>
    <t>99,29%</t>
  </si>
  <si>
    <t xml:space="preserve"> 00039245 </t>
  </si>
  <si>
    <t>ELETRODUTO PVC FLEXIVEL CORRUGADO, REFORCADO, COR LARANJA, DE 32 MM, PARA LAJES E PISOS</t>
  </si>
  <si>
    <t>99,30%</t>
  </si>
  <si>
    <t xml:space="preserve"> 00039248 </t>
  </si>
  <si>
    <t>ELETRODUTO/DUTO PEAD FLEXIVEL PAREDE SIMPLES, CORRUGACAO HELICOIDAL, COR PRETA, SEM ROSCA, DE 4", PARA CABEAMENTO SUBTERRANEO (NBR 15715)</t>
  </si>
  <si>
    <t xml:space="preserve"> 00020046 </t>
  </si>
  <si>
    <t>REDUCAO EXCENTRICA PVC, SERIE R, DN 100 X 75 MM, PARA ESGOTO OU AGUAS PLUVIAIS PREDIAIS</t>
  </si>
  <si>
    <t>99,31%</t>
  </si>
  <si>
    <t>99,32%</t>
  </si>
  <si>
    <t xml:space="preserve"> 00001573 </t>
  </si>
  <si>
    <t>TERMINAL A COMPRESSAO EM COBRE ESTANHADO PARA CABO 6 MM2, 1 FURO E 1 COMPRESSAO, PARA PARAFUSO DE FIXACAO M6</t>
  </si>
  <si>
    <t>99,33%</t>
  </si>
  <si>
    <t>99,34%</t>
  </si>
  <si>
    <t xml:space="preserve"> 00006016 </t>
  </si>
  <si>
    <t>REGISTRO GAVETA BRUTO EM LATAO FORJADO, BITOLA 3/4 " (REF 1509)</t>
  </si>
  <si>
    <t>CESTA BÁSICA/ ALIMENTAÇÃO - HORISTA ( ENCARGOS COMPLEMENTARES)</t>
  </si>
  <si>
    <t>99,35%</t>
  </si>
  <si>
    <t xml:space="preserve"> 00002705 </t>
  </si>
  <si>
    <t>ENERGIA ELETRICA ATE 2000 KWH INDUSTRIAL, SEM DEMANDA</t>
  </si>
  <si>
    <t>KWH</t>
  </si>
  <si>
    <t>99,36%</t>
  </si>
  <si>
    <t>99,37%</t>
  </si>
  <si>
    <t>99,38%</t>
  </si>
  <si>
    <t xml:space="preserve"> 00009875 </t>
  </si>
  <si>
    <t>TUBO PVC, SOLDAVEL, DN 50 MM, PARA AGUA FRIA (NBR-5648)</t>
  </si>
  <si>
    <t>99,39%</t>
  </si>
  <si>
    <t xml:space="preserve"> 00020150 </t>
  </si>
  <si>
    <t>JOELHO, PVC SERIE R, 45 GRAUS, DN 75 MM, PARA ESGOTO OU AGUAS PLUVIAIS PREDIAIS</t>
  </si>
  <si>
    <t>99,40%</t>
  </si>
  <si>
    <t xml:space="preserve"> 00000252 </t>
  </si>
  <si>
    <t>AJUDANTE DE SERRALHEIRO (HORISTA)</t>
  </si>
  <si>
    <t xml:space="preserve"> 00040331 </t>
  </si>
  <si>
    <t>ASSENTADOR DE MANILHAS</t>
  </si>
  <si>
    <t>99,41%</t>
  </si>
  <si>
    <t>99,42%</t>
  </si>
  <si>
    <t xml:space="preserve"> 00004302 </t>
  </si>
  <si>
    <t>PARAFUSO ZINCADO ROSCA SOBERBA, CABECA SEXTAVADA, 5/16 " X 250 MM, PARA FIXACAO DE TELHA EM MADEIRA</t>
  </si>
  <si>
    <t xml:space="preserve"> 00034345 </t>
  </si>
  <si>
    <t>VIGIA DIURNO</t>
  </si>
  <si>
    <t>99,43%</t>
  </si>
  <si>
    <t xml:space="preserve"> 10599 </t>
  </si>
  <si>
    <t>Protetor solar fps 30 com 120ml</t>
  </si>
  <si>
    <t>99,44%</t>
  </si>
  <si>
    <t xml:space="preserve"> 00009836 </t>
  </si>
  <si>
    <t>TUBO PVC  SERIE NORMAL, DN 100 MM, PARA ESGOTO  PREDIAL (NBR 5688)</t>
  </si>
  <si>
    <t xml:space="preserve"> 00039419 </t>
  </si>
  <si>
    <t>PERFIL GUIA, FORMATO U, EM ACO ZINCADO, PARA ESTRUTURA PAREDE DRYWALL, E = 0,5 MM, 70 X 3000 MM (L X C)</t>
  </si>
  <si>
    <t xml:space="preserve"> 00012734 </t>
  </si>
  <si>
    <t>TE DE COBRE (REF 611) SEM ANEL DE SOLDA, BOLSA X BOLSA X BOLSA, 22 MM</t>
  </si>
  <si>
    <t>99,45%</t>
  </si>
  <si>
    <t xml:space="preserve"> 00037973 </t>
  </si>
  <si>
    <t>CURVA CPVC, 90 GRAUS, SOLDAVEL, 28 MM, PARA AGUA QUENTE</t>
  </si>
  <si>
    <t>99,46%</t>
  </si>
  <si>
    <t>99,47%</t>
  </si>
  <si>
    <t xml:space="preserve"> 00001578 </t>
  </si>
  <si>
    <t>TERMINAL A COMPRESSAO EM COBRE ESTANHADO PARA CABO 50 MM2, 1 FURO E 1 COMPRESSAO, PARA PARAFUSO DE FIXACAO M8</t>
  </si>
  <si>
    <t xml:space="preserve"> 00020170 </t>
  </si>
  <si>
    <t>LUVA SIMPLES, PVC SERIE R, 100 MM, PARA ESGOTO OU AGUAS PLUVIAIS PREDIAIS</t>
  </si>
  <si>
    <t xml:space="preserve"> 00009874 </t>
  </si>
  <si>
    <t>TUBO PVC, SOLDAVEL, DN 40 MM, AGUA FRIA (NBR-5648)</t>
  </si>
  <si>
    <t>99,48%</t>
  </si>
  <si>
    <t xml:space="preserve"> 00012869 </t>
  </si>
  <si>
    <t>TELHADOR (HORISTA)</t>
  </si>
  <si>
    <t>99,49%</t>
  </si>
  <si>
    <t xml:space="preserve"> 00036397 </t>
  </si>
  <si>
    <t>BETONEIRA, CAPACIDADE NOMINAL 600 L, CAPACIDADE DE MISTURA  360L, MOTOR ELETRICO TRIFASICO 220/380V, POTENCIA 4CV, EXCLUSO CARREGADOR</t>
  </si>
  <si>
    <t>99,50%</t>
  </si>
  <si>
    <t xml:space="preserve"> 00000113 </t>
  </si>
  <si>
    <t>ADAPTADOR PVC SOLDAVEL CURTO COM BOLSA E ROSCA, 60 MM X 2", PARA AGUA FRIA</t>
  </si>
  <si>
    <t xml:space="preserve"> 00004252 </t>
  </si>
  <si>
    <t>OPERADOR DE BATE-ESTACAS</t>
  </si>
  <si>
    <t>99,51%</t>
  </si>
  <si>
    <t xml:space="preserve"> 00009837 </t>
  </si>
  <si>
    <t>TUBO PVC SERIE NORMAL, DN 75 MM, PARA ESGOTO PREDIAL (NBR 5688)</t>
  </si>
  <si>
    <t>99,52%</t>
  </si>
  <si>
    <t xml:space="preserve"> 10362 </t>
  </si>
  <si>
    <t>Seguro de vida e acidente em grupo</t>
  </si>
  <si>
    <t>99,53%</t>
  </si>
  <si>
    <t xml:space="preserve"> 00006114 </t>
  </si>
  <si>
    <t>AJUDANTE DE ARMADOR (HORISTA)</t>
  </si>
  <si>
    <t>99,54%</t>
  </si>
  <si>
    <t xml:space="preserve"> 00000096 </t>
  </si>
  <si>
    <t>ADAPTADOR PVC SOLDAVEL, COM FLANGE E ANEL DE VEDACAO, 25 MM X 3/4", PARA CAIXA D'AGUA</t>
  </si>
  <si>
    <t>99,55%</t>
  </si>
  <si>
    <t>AJUDANTE DE BOMBEIRO/ ENCANADOR</t>
  </si>
  <si>
    <t>99,56%</t>
  </si>
  <si>
    <t>99,57%</t>
  </si>
  <si>
    <t xml:space="preserve"> 00020169 </t>
  </si>
  <si>
    <t>LUVA SIMPLES, PVC SERIE R, 75 MM, PARA ESGOTO OU AGUAS PLUVIAIS PREDIAIS</t>
  </si>
  <si>
    <t xml:space="preserve"> 00012715 </t>
  </si>
  <si>
    <t>COTOVELO DE COBRE 90 GRAUS (REF 607) SEM ANEL DE SOLDA, BOLSA X BOLSA, 22 MM</t>
  </si>
  <si>
    <t>99,58%</t>
  </si>
  <si>
    <t xml:space="preserve"> 00007142 </t>
  </si>
  <si>
    <t>TE SOLDAVEL, PVC, 90 GRAUS,50 MM, PARA AGUA FRIA PREDIAL (NBR 5648)</t>
  </si>
  <si>
    <t>99,59%</t>
  </si>
  <si>
    <t>99,60%</t>
  </si>
  <si>
    <t xml:space="preserve"> 00012725 </t>
  </si>
  <si>
    <t>LUVA DE COBRE (REF 600) SEM ANEL DE SOLDA, BOLSA X BOLSA, 28 MM</t>
  </si>
  <si>
    <t xml:space="preserve"> 00000151 </t>
  </si>
  <si>
    <t>IMPERMEABILIZANTE INCOLOR,  BASE SILICONE, PARA TRATAMENTO DE FACHADAS, TELHAS, PEDRAS E OUTRAS SUPERFICIES</t>
  </si>
  <si>
    <t>99,61%</t>
  </si>
  <si>
    <t xml:space="preserve"> 00004248 </t>
  </si>
  <si>
    <t>OPERADOR DE PA CARREGADEIRA</t>
  </si>
  <si>
    <t xml:space="preserve"> 00038993 </t>
  </si>
  <si>
    <t>BUCHA DE REDUCAO, PPR, DN 40 X 25 MM, PARA AGUA QUENTE E FRIA PREDIAL</t>
  </si>
  <si>
    <t>99,62%</t>
  </si>
  <si>
    <t xml:space="preserve"> 00007129 </t>
  </si>
  <si>
    <t>99,63%</t>
  </si>
  <si>
    <t xml:space="preserve"> 00043059 </t>
  </si>
  <si>
    <t>ACO CA-60, 4,2 MM, OU 5,0 MM, OU 6,0 MM, OU 7,0 MM, VERGALHAO</t>
  </si>
  <si>
    <t xml:space="preserve"> 00009869 </t>
  </si>
  <si>
    <t>TUBO PVC, SOLDAVEL, DN 32 MM, AGUA FRIA (NBR-5648)</t>
  </si>
  <si>
    <t>99,64%</t>
  </si>
  <si>
    <t>EXAMES - HORISTA ( ENCARGOS COMPLEMENTARES)</t>
  </si>
  <si>
    <t xml:space="preserve"> 00043492 </t>
  </si>
  <si>
    <t>EPI - FAMILIA SOLDADOR - HORISTA (ENCARGOS COMPLEMENTARES - COLETADO CAIXA)</t>
  </si>
  <si>
    <t>99,65%</t>
  </si>
  <si>
    <t xml:space="preserve"> 00039244 </t>
  </si>
  <si>
    <t>ELETRODUTO PVC FLEXIVEL CORRUGADO, REFORCADO, COR LARANJA, DE 25 MM, PARA LAJES E PISOS</t>
  </si>
  <si>
    <t>99,66%</t>
  </si>
  <si>
    <t>TRANSPORTE - HORISTA ( ENCARGOS COMPLEMENTARES)</t>
  </si>
  <si>
    <t>99,67%</t>
  </si>
  <si>
    <t xml:space="preserve"> 00009838 </t>
  </si>
  <si>
    <t>TUBO PVC SERIE NORMAL, DN 50 MM, PARA ESGOTO PREDIAL (NBR 5688)</t>
  </si>
  <si>
    <t>99,68%</t>
  </si>
  <si>
    <t>99,69%</t>
  </si>
  <si>
    <t xml:space="preserve"> 00001014 </t>
  </si>
  <si>
    <t>CABO DE COBRE, FLEXIVEL, CLASSE 4 OU 5, ISOLACAO EM PVC/A, ANTICHAMA BWF-B, 1 CONDUTOR, 450/750 V, SECAO NOMINAL 2,5 MM2</t>
  </si>
  <si>
    <t xml:space="preserve"> 00037758 </t>
  </si>
  <si>
    <t>CAMINHAO TRUCADO, PESO BRUTO TOTAL 23000 KG, CARGA UTIL MAXIMA 15285 KG, DISTANCIA ENTRE EIXOS 4,80 M, POTENCIA 326 CV (INCLUI CABINE E CHASSI, NAO INCLUI CARROCERIA)</t>
  </si>
  <si>
    <t xml:space="preserve"> 00003662 </t>
  </si>
  <si>
    <t>JUNCAO SIMPLES, PVC, DN 50 X 50 MM, SERIE NORMAL PARA ESGOTO PREDIAL</t>
  </si>
  <si>
    <t>99,70%</t>
  </si>
  <si>
    <t xml:space="preserve"> 00003524 </t>
  </si>
  <si>
    <t>JOELHO PVC, SOLDAVEL, COM BUCHA DE LATAO, 90 GRAUS, 25 MM X 3/4", PARA AGUA FRIA PREDIAL</t>
  </si>
  <si>
    <t>99,71%</t>
  </si>
  <si>
    <t xml:space="preserve"> 00003520 </t>
  </si>
  <si>
    <t>JOELHO PVC, SOLDAVEL, PB, 90 GRAUS, DN 100 MM, PARA ESGOTO PREDIAL</t>
  </si>
  <si>
    <t xml:space="preserve"> 00004222 </t>
  </si>
  <si>
    <t>GASOLINA COMUM</t>
  </si>
  <si>
    <t xml:space="preserve"> 00003528 </t>
  </si>
  <si>
    <t>JOELHO PVC, SOLDAVEL, PB, 45 GRAUS, DN 100 MM, PARA ESGOTO PREDIAL</t>
  </si>
  <si>
    <t>99,72%</t>
  </si>
  <si>
    <t xml:space="preserve"> 00000110 </t>
  </si>
  <si>
    <t>ADAPTADOR PVC SOLDAVEL CURTO COM BOLSA E ROSCA, 40 MM X 1 1/2", PARA AGUA FRIA</t>
  </si>
  <si>
    <t xml:space="preserve"> 00000979 </t>
  </si>
  <si>
    <t>CABO DE COBRE, FLEXIVEL, CLASSE 4 OU 5, ISOLACAO EM PVC/A, ANTICHAMA BWF-B, 1 CONDUTOR, 450/750 V, SECAO NOMINAL 16 MM2</t>
  </si>
  <si>
    <t>99,73%</t>
  </si>
  <si>
    <t>99,74%</t>
  </si>
  <si>
    <t xml:space="preserve"> 00001872 </t>
  </si>
  <si>
    <t>CAIXA DE PASSAGEM, EM PVC, DE 4" X 2", PARA ELETRODUTO FLEXIVEL CORRUGADO</t>
  </si>
  <si>
    <t>99,75%</t>
  </si>
  <si>
    <t xml:space="preserve"> 00003519 </t>
  </si>
  <si>
    <t>JOELHO PVC, SOLDAVEL, PB, 45 GRAUS, DN 75 MM, PARA ESGOTO PREDIAL</t>
  </si>
  <si>
    <t>99,76%</t>
  </si>
  <si>
    <t xml:space="preserve"> 00012733 </t>
  </si>
  <si>
    <t>TE DE COBRE (REF 611) SEM ANEL DE SOLDA, BOLSA X BOLSA X BOLSA, 15 MM</t>
  </si>
  <si>
    <t xml:space="preserve"> 00007097 </t>
  </si>
  <si>
    <t>TE SANITARIO, PVC, DN 50 X 50 MM, SERIE NORMAL, PARA ESGOTO PREDIAL</t>
  </si>
  <si>
    <t>99,77%</t>
  </si>
  <si>
    <t xml:space="preserve"> 00020140 </t>
  </si>
  <si>
    <t>JUNCAO SIMPLES, PVC SERIE R, DN 40 X 40 MM, PARA ESGOTO OU AGUAS PLUVIAIS PREDIAIS</t>
  </si>
  <si>
    <t xml:space="preserve"> 00020020 </t>
  </si>
  <si>
    <t>MOTORISTA DE CAMINHAO-BASCULANTE</t>
  </si>
  <si>
    <t xml:space="preserve"> 00043468 </t>
  </si>
  <si>
    <t>FERRAMENTAS - FAMILIA SOLDADOR - HORISTA (ENCARGOS COMPLEMENTARES - COLETADO CAIXA)</t>
  </si>
  <si>
    <t>99,78%</t>
  </si>
  <si>
    <t xml:space="preserve"> 00039246 </t>
  </si>
  <si>
    <t>ELETRODUTO/DUTO PEAD FLEXIVEL PAREDE SIMPLES, CORRUGACAO HELICOIDAL, COR PRETA, SEM ROSCA, DE 1 1/2", PARA CABEAMENTO SUBTERRANEO (NBR 15715)</t>
  </si>
  <si>
    <t xml:space="preserve"> 00003540 </t>
  </si>
  <si>
    <t>JOELHO PVC, SOLDAVEL, 90 GRAUS, 50 MM, PARA AGUA FRIA PREDIAL</t>
  </si>
  <si>
    <t>99,79%</t>
  </si>
  <si>
    <t xml:space="preserve"> 00034548 </t>
  </si>
  <si>
    <t>TELA DE ACO SOLDADA GALVANIZADA/ZINCADA PARA ALVENARIA, FIO  D = *1,20 A 1,70* MM, MALHA 15 X 15 MM, (C X L) *50 X 17,5* CM</t>
  </si>
  <si>
    <t xml:space="preserve"> 00003899 </t>
  </si>
  <si>
    <t>LUVA SIMPLES, PVC, SOLDAVEL, DN 100 MM, SERIE NORMAL, PARA ESGOTO PREDIAL</t>
  </si>
  <si>
    <t xml:space="preserve"> 00037752 </t>
  </si>
  <si>
    <t>CAMINHAO TOCO, PESO BRUTO TOTAL 16000 KG, CARGA UTIL MAXIMA 11030 KG, DISTANCIA ENTRE EIXOS 5,41 M, POTENCIA 185 CV (INCLUI CABINE E CHASSI, NAO INCLUI CARROCERIA)</t>
  </si>
  <si>
    <t>99,80%</t>
  </si>
  <si>
    <t xml:space="preserve"> 00010685 </t>
  </si>
  <si>
    <t>ESCAVADEIRA HIDRAULICA SOBRE ESTEIRAS, CACAMBA 0,80M3, PESO OPERACIONAL 17T, POTENCIA BRUTA 111HP</t>
  </si>
  <si>
    <t xml:space="preserve"> 00002638 </t>
  </si>
  <si>
    <t>LUVA PARA ELETRODUTO, EM ACO GALVANIZADO ELETROLITICO, DIAMETRO DE 25 MM (1")</t>
  </si>
  <si>
    <t xml:space="preserve"> 00003535 </t>
  </si>
  <si>
    <t>JOELHO PVC, SOLDAVEL, 90 GRAUS, 40 MM, PARA AGUA FRIA PREDIAL</t>
  </si>
  <si>
    <t>99,81%</t>
  </si>
  <si>
    <t xml:space="preserve"> 00002637 </t>
  </si>
  <si>
    <t>LUVA PARA ELETRODUTO, EM ACO GALVANIZADO ELETROLITICO, DIAMETRO DE 20 MM (3/4")</t>
  </si>
  <si>
    <t xml:space="preserve"> 00011002 </t>
  </si>
  <si>
    <t>ELETRODO REVESTIDO AWS - E6013, DIAMETRO IGUAL A 2,50 MM</t>
  </si>
  <si>
    <t xml:space="preserve"> 00002386 </t>
  </si>
  <si>
    <t>DISJUNTOR TIPO NEMA, MONOPOLAR 35  ATE  50 A, TENSAO MAXIMA DE 240 V</t>
  </si>
  <si>
    <t xml:space="preserve"> 00039437 </t>
  </si>
  <si>
    <t>PARAFUSO DRY WALL, EM ACO FOSFATIZADO, CABECA TROMBETA E PONTA AGULHA (TA), COMPRIMENTO 45 MM</t>
  </si>
  <si>
    <t xml:space="preserve"> 00004177 </t>
  </si>
  <si>
    <t>NIPLE DE FERRO GALVANIZADO, COM ROSCA BSP, DE 1/2"</t>
  </si>
  <si>
    <t>99,82%</t>
  </si>
  <si>
    <t xml:space="preserve"> 00004417 </t>
  </si>
  <si>
    <t>SARRAFO NAO APARELHADO *2,5 X 7* CM, EM MACARANDUBA, ANGELIM OU EQUIVALENTE DA REGIAO -  BRUTA</t>
  </si>
  <si>
    <t xml:space="preserve"> 00012724 </t>
  </si>
  <si>
    <t>LUVA DE COBRE (REF 600) SEM ANEL DE SOLDA, BOLSA X BOLSA, 22 MM</t>
  </si>
  <si>
    <t xml:space="preserve"> 00009835 </t>
  </si>
  <si>
    <t>TUBO PVC  SERIE NORMAL, DN 40 MM, PARA ESGOTO  PREDIAL (NBR 5688)</t>
  </si>
  <si>
    <t xml:space="preserve"> 00003898 </t>
  </si>
  <si>
    <t>LUVA SIMPLES, PVC, SOLDAVEL, DN 75 MM, SERIE NORMAL, PARA ESGOTO PREDIAL</t>
  </si>
  <si>
    <t>99,83%</t>
  </si>
  <si>
    <t xml:space="preserve"> 00001575 </t>
  </si>
  <si>
    <t>TERMINAL A COMPRESSAO EM COBRE ESTANHADO PARA CABO 16 MM2, 1 FURO E 1 COMPRESSAO, PARA PARAFUSO DE FIXACAO M6</t>
  </si>
  <si>
    <t xml:space="preserve"> 00039795 </t>
  </si>
  <si>
    <t>QUADRO DE DISTRIBUICAO, SEM BARRAMENTO, EM PVC, DE EMBUTIR, PARA 6 DISJUNTORES NEMA OU 8 DISJUNTORES DIN</t>
  </si>
  <si>
    <t xml:space="preserve"> 10596 </t>
  </si>
  <si>
    <t>Protetor auricular</t>
  </si>
  <si>
    <t>99,84%</t>
  </si>
  <si>
    <t xml:space="preserve"> 00012714 </t>
  </si>
  <si>
    <t>COTOVELO DE COBRE 90 GRAUS (REF 607) SEM ANEL DE SOLDA, BOLSA X BOLSA, 15 MM</t>
  </si>
  <si>
    <t xml:space="preserve"> 00000112 </t>
  </si>
  <si>
    <t>ADAPTADOR PVC SOLDAVEL CURTO COM BOLSA E ROSCA, 50 MM X1 1/2", PARA AGUA FRIA</t>
  </si>
  <si>
    <t>99,85%</t>
  </si>
  <si>
    <t xml:space="preserve"> 00043474 </t>
  </si>
  <si>
    <t>FERRAMENTAS - FAMILIA ENGENHEIRO CIVIL - MENSALISTA (ENCARGOS COMPLEMENTARES - COLETADO CAIXA)</t>
  </si>
  <si>
    <t xml:space="preserve"> 00007140 </t>
  </si>
  <si>
    <t>TE SOLDAVEL, PVC, 90 GRAUS, 32 MM, PARA AGUA FRIA PREDIAL (NBR 5648)</t>
  </si>
  <si>
    <t>99,86%</t>
  </si>
  <si>
    <t xml:space="preserve"> 00007139 </t>
  </si>
  <si>
    <t>TE SOLDAVEL, PVC, 90 GRAUS, 25 MM, PARA AGUA FRIA PREDIAL (NBR 5648)</t>
  </si>
  <si>
    <t xml:space="preserve"> ED-14646 </t>
  </si>
  <si>
    <t>EPI PARA AJUDANTE DE ELETRICISTA - HORISTA ( ENCARGOS COMPLEMENTARES)</t>
  </si>
  <si>
    <t xml:space="preserve"> ED-14650 </t>
  </si>
  <si>
    <t>EPI PARA ELETRICISTA - HORISTA (ENCARGOS COMPLEMENTARES)</t>
  </si>
  <si>
    <t>99,87%</t>
  </si>
  <si>
    <t xml:space="preserve"> 00000981 </t>
  </si>
  <si>
    <t>CABO DE COBRE, FLEXIVEL, CLASSE 4 OU 5, ISOLACAO EM PVC/A, ANTICHAMA BWF-B, 1 CONDUTOR, 450/750 V, SECAO NOMINAL 4 MM2</t>
  </si>
  <si>
    <t xml:space="preserve"> ED-49459 </t>
  </si>
  <si>
    <t>99,88%</t>
  </si>
  <si>
    <t xml:space="preserve"> 00004233 </t>
  </si>
  <si>
    <t>OPERADOR DE USINA DE ASFALTO, DE SOLOS OU DE CONCRETO</t>
  </si>
  <si>
    <t xml:space="preserve"> 00038992 </t>
  </si>
  <si>
    <t>BUCHA DE REDUCAO, PPR, DN 32 X 25 MM, PARA AGUA QUENTE E FRIA PREDIAL</t>
  </si>
  <si>
    <t xml:space="preserve"> 00003517 </t>
  </si>
  <si>
    <t>JOELHO PVC, SOLDAVEL, BB, 90 GRAUS, DN 40 MM, PARA ESGOTO PREDIAL</t>
  </si>
  <si>
    <t xml:space="preserve"> 00012010 </t>
  </si>
  <si>
    <t>CONDULETE EM PVC, TIPO "B", SEM TAMPA, DE 1/2" OU 3/4"</t>
  </si>
  <si>
    <t xml:space="preserve"> 007803 </t>
  </si>
  <si>
    <t>ELETROCALHA - SUPORTE SUSPENSAOSIMPLES TIPO "B" 100x50 mm</t>
  </si>
  <si>
    <t>99,89%</t>
  </si>
  <si>
    <t xml:space="preserve"> 00002679 </t>
  </si>
  <si>
    <t>ELETRODUTO DE PVC RIGIDO SOLDAVEL, CLASSE B, DE 32 MM</t>
  </si>
  <si>
    <t xml:space="preserve"> 11241 </t>
  </si>
  <si>
    <t>Alicate volt-amperimetro</t>
  </si>
  <si>
    <t xml:space="preserve"> 00004090 </t>
  </si>
  <si>
    <t>MOTONIVELADORA POTENCIA BASICA LIQUIDA (PRIMEIRA MARCHA) 125 HP , PESO BRUTO 13843 KG, LARGURA DA LAMINA DE 3,7 M</t>
  </si>
  <si>
    <t xml:space="preserve"> 00003529 </t>
  </si>
  <si>
    <t>JOELHO PVC, SOLDAVEL, 90 GRAUS, 25 MM, PARA AGUA FRIA PREDIAL</t>
  </si>
  <si>
    <t xml:space="preserve"> 00007116 </t>
  </si>
  <si>
    <t>TE PVC SOLDAVEL, BBB, 90 GRAUS, DN 40 MM, PARA ESGOTO SECUNDARIO PREDIAL</t>
  </si>
  <si>
    <t xml:space="preserve"> 00001022 </t>
  </si>
  <si>
    <t>CABO DE COBRE, FLEXIVEL, CLASSE 4 OU 5, ISOLACAO EM PVC/A, ANTICHAMA BWF-B, COBERTURA PVC-ST1, ANTICHAMA BWF-B, 1 CONDUTOR, 0,6/1 KV, SECAO NOMINAL 2,5 MM2</t>
  </si>
  <si>
    <t xml:space="preserve"> 00007622 </t>
  </si>
  <si>
    <t>TRATOR DE ESTEIRAS, POTENCIA DE 100 HP, PESO OPERACIONAL DE 9,4 T, COM LAMINA COM CAPACIDADE DE 2,19 M3</t>
  </si>
  <si>
    <t>ESTUCADOR</t>
  </si>
  <si>
    <t>99,90%</t>
  </si>
  <si>
    <t xml:space="preserve"> 00003518 </t>
  </si>
  <si>
    <t>JOELHO PVC, SOLDAVEL, PB, 45 GRAUS, DN 50 MM, PARA ESGOTO PREDIAL</t>
  </si>
  <si>
    <t xml:space="preserve"> ED-14682 </t>
  </si>
  <si>
    <t>FERRAMENTAS PARA AJUDANTE DE ELETRICISTA - HORISTA ( ENCARGOS COMPLEMENTARES)</t>
  </si>
  <si>
    <t xml:space="preserve"> ED-14686 </t>
  </si>
  <si>
    <t>FERRAMENTAS PARA ELETRICISTA - HORISTA ( ENCARGOS COMPLEMENTARES)</t>
  </si>
  <si>
    <t xml:space="preserve"> 00000065 </t>
  </si>
  <si>
    <t>ADAPTADOR PVC SOLDAVEL CURTO COM BOLSA E ROSCA, 25 MM X 3/4", PARA AGUA FRIA</t>
  </si>
  <si>
    <t xml:space="preserve"> 00039434 </t>
  </si>
  <si>
    <t>MASSA DE REJUNTE EM PO PARA DRYWALL, A BASE DE GESSO, SECAGEM RAPIDA, PARA TRATAMENTO DE JUNTAS DE CHAPA DE GESSO (NECESSITA ADICAO DE AGUA)</t>
  </si>
  <si>
    <t xml:space="preserve"> 00037586 </t>
  </si>
  <si>
    <t>PINO DE ACO COM ARRUELA CONICA, DIAMETRO ARRUELA = *23* MM E COMP HASTE = *27* MM (ACAO INDIRETA)</t>
  </si>
  <si>
    <t>CENTO</t>
  </si>
  <si>
    <t xml:space="preserve"> 00012723 </t>
  </si>
  <si>
    <t>LUVA DE COBRE (REF 600) SEM ANEL DE SOLDA, BOLSA X BOLSA, 15 MM</t>
  </si>
  <si>
    <t xml:space="preserve"> 00003875 </t>
  </si>
  <si>
    <t>LUVA SIMPLES, PVC, SOLDAVEL, DN 50 MM, SERIE NORMAL, PARA ESGOTO PREDIAL</t>
  </si>
  <si>
    <t>99,91%</t>
  </si>
  <si>
    <t xml:space="preserve"> 00000001 </t>
  </si>
  <si>
    <t>ACETILENO (RECARGA DE GAS ACETILENO PARA CILINDRO DE CONJUNTO OXICORTE GRANDE) NAO INCLUI TROCA/MANUTENCAO DO CILINDRO</t>
  </si>
  <si>
    <t>Operador de equipamento leve - DNIT -  Mês de ref.: 01/22</t>
  </si>
  <si>
    <t xml:space="preserve"> 00001013 </t>
  </si>
  <si>
    <t>CABO DE COBRE, FLEXIVEL, CLASSE 4 OU 5, ISOLACAO EM PVC/A, ANTICHAMA BWF-B, 1 CONDUTOR, 450/750 V, SECAO NOMINAL 1,5 MM2</t>
  </si>
  <si>
    <t xml:space="preserve"> ED-14651 </t>
  </si>
  <si>
    <t>EPI PARA BOMBEIRO/ ENCANADOR - HORISTA ( ENCARGOS COMPLEMENTARES)</t>
  </si>
  <si>
    <t xml:space="preserve"> 00039435 </t>
  </si>
  <si>
    <t>PARAFUSO DRY WALL, EM ACO FOSFATIZADO, CABECA TROMBETA E PONTA AGULHA (TA), COMPRIMENTO 25 MM</t>
  </si>
  <si>
    <t xml:space="preserve"> 00003536 </t>
  </si>
  <si>
    <t>JOELHO PVC, SOLDAVEL, 90 GRAUS, 32 MM, PARA AGUA FRIA PREDIAL</t>
  </si>
  <si>
    <t xml:space="preserve"> 00013458 </t>
  </si>
  <si>
    <t>COMPACTADOR DE SOLOS DE PERCURSAO (SOQUETE) COM MOTOR A GASOLINA 4 TEMPOS DE 4 HP (4 CV)</t>
  </si>
  <si>
    <t xml:space="preserve"> 00003526 </t>
  </si>
  <si>
    <t>JOELHO PVC, SOLDAVEL, PB, 90 GRAUS, DN 50 MM, PARA ESGOTO PREDIAL</t>
  </si>
  <si>
    <t>99,92%</t>
  </si>
  <si>
    <t xml:space="preserve"> S.01.000.080308 </t>
  </si>
  <si>
    <t>Caminhão basculante caçamba minério, capacidade de 8,0m³ - COND.D</t>
  </si>
  <si>
    <t xml:space="preserve"> 00004234 </t>
  </si>
  <si>
    <t>OPERADOR DE ESCAVADEIRA</t>
  </si>
  <si>
    <t xml:space="preserve"> ED-5224 </t>
  </si>
  <si>
    <t>CURSO DE CAPACITAÇÃO PARA ELETRICISTA ( ENCARGOS COMPLEMENTARES) - HORISTA</t>
  </si>
  <si>
    <t xml:space="preserve"> 00002678 </t>
  </si>
  <si>
    <t>ELETRODUTO DE PVC RIGIDO SOLDAVEL, CLASSE B, DE 25 MM</t>
  </si>
  <si>
    <t xml:space="preserve"> 00000108 </t>
  </si>
  <si>
    <t>ADAPTADOR PVC SOLDAVEL CURTO COM BOLSA E ROSCA, 32 MM X 1", PARA AGUA FRIA</t>
  </si>
  <si>
    <t xml:space="preserve"> 00040568 </t>
  </si>
  <si>
    <t>PREGO DE ACO POLIDO COM CABECA 22 X 48 (4 1/4 X 5)</t>
  </si>
  <si>
    <t xml:space="preserve"> 00014511 </t>
  </si>
  <si>
    <t>ROLO COMPACTADOR DE PNEUS, ESTATICO, PRESSAO VARIAVEL, POTENCIA 110 HP, PESO SEM/COM LASTRO 10,8/27 T, LARGURA DE ROLAGEM 2,30 M</t>
  </si>
  <si>
    <t>CIMENTO PORTLAND CP II- E-32 (RESISTÊNCIA: 32,00 MPA)</t>
  </si>
  <si>
    <t xml:space="preserve"> 00010535 </t>
  </si>
  <si>
    <t>BETONEIRA CAPACIDADE NOMINAL 400 L, CAPACIDADE DE MISTURA  280 L, MOTOR ELETRICO TRIFASICO 220/380 V POTENCIA 2 CV, SEM CARREGADOR</t>
  </si>
  <si>
    <t xml:space="preserve"> 00039017 </t>
  </si>
  <si>
    <t>ESPACADOR / DISTANCIADOR CIRCULAR COM ENTRADA LATERAL, EM PLASTICO, PARA VERGALHAO *4,2 A 12,5* MM, COBRIMENTO 20 MM</t>
  </si>
  <si>
    <t>99,93%</t>
  </si>
  <si>
    <t xml:space="preserve"> 00003906 </t>
  </si>
  <si>
    <t>LUVA SOLDAVEL COM ROSCA, PVC, 25 MM X 3/4", PARA AGUA FRIA PREDIAL</t>
  </si>
  <si>
    <t xml:space="preserve"> 00004238 </t>
  </si>
  <si>
    <t>OPERADOR DE ROLO COMPACTADOR</t>
  </si>
  <si>
    <t xml:space="preserve"> 00004253 </t>
  </si>
  <si>
    <t>OPERADOR DE GUINCHO OU GUINCHEIRO</t>
  </si>
  <si>
    <t xml:space="preserve"> ED-5225 </t>
  </si>
  <si>
    <t>CURSO DE CAPACITAÇÃO PARA AUXILIAR DE ELETRICISTA (ENCARGOS COMPLEMENTARES) - HORISTA</t>
  </si>
  <si>
    <t>CANTONEIRA ZZ PARA VERGALHÃO (ALTURA: 38MM|LARGURA:38MM)</t>
  </si>
  <si>
    <t xml:space="preserve"> 00004093 </t>
  </si>
  <si>
    <t>MOTORISTA DE CAMINHAO</t>
  </si>
  <si>
    <t xml:space="preserve"> 00003671 </t>
  </si>
  <si>
    <t>JUNTA PLASTICA DE DILATACAO PARA PISOS, COR CINZA, 17 X 3 MM (ALTURA X ESPESSURA)</t>
  </si>
  <si>
    <t xml:space="preserve"> 00010646 </t>
  </si>
  <si>
    <t>ROLO COMPACTADOR VIBRATORIO DE UM CILINDRO, ACO LISO, POTENCIA 80 HP, PESO OPERACIONAL MAXIMO 8,1 T, IMPACTO DINAMICO 16,15/9,5 T, LARGURA TRABALHO 1,68 M</t>
  </si>
  <si>
    <t xml:space="preserve"> 00007307 </t>
  </si>
  <si>
    <t>FUNDO ANTICORROSIVO PARA METAIS FERROSOS (ZARCAO)</t>
  </si>
  <si>
    <t>99,94%</t>
  </si>
  <si>
    <t xml:space="preserve"> 00037734 </t>
  </si>
  <si>
    <t>CACAMBA METALICA BASCULANTE COM CAPACIDADE DE 10 M3 (INCLUI MONTAGEM, NAO INCLUI CAMINHAO)</t>
  </si>
  <si>
    <t xml:space="preserve"> 00004239 </t>
  </si>
  <si>
    <t>OPERADOR DE MOTONIVELADORA</t>
  </si>
  <si>
    <t xml:space="preserve"> 00037733 </t>
  </si>
  <si>
    <t>CACAMBA METALICA BASCULANTE COM CAPACIDADE DE 6 M3 (INCLUI MONTAGEM, NAO INCLUI CAMINHAO)</t>
  </si>
  <si>
    <t xml:space="preserve"> 00038094 </t>
  </si>
  <si>
    <t>ESPELHO / PLACA DE 3 POSTOS 4" X 2", PARA INSTALACAO DE TOMADAS E INTERRUPTORES</t>
  </si>
  <si>
    <t xml:space="preserve"> 1651 </t>
  </si>
  <si>
    <t>Óculos branco proteção</t>
  </si>
  <si>
    <t>pr</t>
  </si>
  <si>
    <t xml:space="preserve"> 11247 </t>
  </si>
  <si>
    <t>Serra mármore Serra marmore</t>
  </si>
  <si>
    <t xml:space="preserve"> 00001607 </t>
  </si>
  <si>
    <t>CONJUNTO ARRUELAS DE VEDACAO 5/16" PARA TELHA FIBROCIMENTO (UMA ARRUELA METALICA E UMA ARRUELA PVC - CONICAS)</t>
  </si>
  <si>
    <t xml:space="preserve"> 00003516 </t>
  </si>
  <si>
    <t>JOELHO PVC, SOLDAVEL, BB, 45 GRAUS, DN 40 MM, PARA ESGOTO PREDIAL</t>
  </si>
  <si>
    <t xml:space="preserve"> 00004083 </t>
  </si>
  <si>
    <t>ENCARREGADO GERAL DE OBRAS</t>
  </si>
  <si>
    <t>AREIA LAVADA POSTO OBRA (TIPO: MÉDIA)</t>
  </si>
  <si>
    <t xml:space="preserve"> 11240 </t>
  </si>
  <si>
    <t>Alicate com isolamento</t>
  </si>
  <si>
    <t xml:space="preserve"> ED-14687 </t>
  </si>
  <si>
    <t>FERRAMENTAS PARA BOMBEIRO/ENCANADOR - HORISTA (ENCARGOS COMPLEMENTARES)</t>
  </si>
  <si>
    <t xml:space="preserve"> 00037395 </t>
  </si>
  <si>
    <t>PINO DE ACO COM FURO, HASTE = 27 MM (ACAO DIRETA)</t>
  </si>
  <si>
    <t xml:space="preserve"> 00009921 </t>
  </si>
  <si>
    <t>USINA MISTURADORA DE SOLOS,  DOSADORES TRIPLOS, CALHA VIBRATORIA CAPACIDADE DE 200 A 500 T/H, POTENCIA DE 75 KW</t>
  </si>
  <si>
    <t>99,95%</t>
  </si>
  <si>
    <t>VERGALHÃO DE AÇO COM ROSCA (DIÂMETRO DA SEÇÃO: 1/4" [6MM])</t>
  </si>
  <si>
    <t xml:space="preserve"> ED-5226 </t>
  </si>
  <si>
    <t>CURSO DE CAPACITAÇÃO PARA ENCANADOR OU BOMBEIRO HIDRÁULICO ( ENCARGOS COMPLEMENTARES) - HORISTA</t>
  </si>
  <si>
    <t xml:space="preserve"> ED-14645 </t>
  </si>
  <si>
    <t>EPI PARA AJUDANTE DE BOMBEIRO/ENCANADOR - HORISTA (ENCARGOS COMPLEMENTARES)</t>
  </si>
  <si>
    <t xml:space="preserve"> 00038112 </t>
  </si>
  <si>
    <t>INTERRUPTOR SIMPLES 10A, 250V (APENAS MODULO)</t>
  </si>
  <si>
    <t xml:space="preserve"> 00044503 </t>
  </si>
  <si>
    <t>JARDINEIRO (HORISTA)</t>
  </si>
  <si>
    <t>SEGURO - HORISTA ( ENCARGOS COMPLEMENTARES)</t>
  </si>
  <si>
    <t>OPERADOR DE BETONEIRA ESTACIONÁRIA</t>
  </si>
  <si>
    <t xml:space="preserve"> 00039431 </t>
  </si>
  <si>
    <t>FITA DE PAPEL MICROPERFURADO, 50 X 150 MM, PARA TRATAMENTO DE JUNTAS DE CHAPA DE GESSO PARA DRYWALL</t>
  </si>
  <si>
    <t xml:space="preserve"> 00000002 </t>
  </si>
  <si>
    <t>OXIGENIO, RECARGA PARA CILINDRO DE CONJUNTO OXICORTE GRANDE</t>
  </si>
  <si>
    <t xml:space="preserve"> 10788 </t>
  </si>
  <si>
    <t>Pá quadrada</t>
  </si>
  <si>
    <t xml:space="preserve"> 00038099 </t>
  </si>
  <si>
    <t>SUPORTE DE FIXACAO PARA ESPELHO / PLACA 4" X 2", PARA 3 MODULOS, PARA INSTALACAO DE TOMADAS E INTERRUPTORES (SOMENTE SUPORTE)</t>
  </si>
  <si>
    <t xml:space="preserve"> 00043482 </t>
  </si>
  <si>
    <t>EPI - FAMILIA ALMOXARIFE - HORISTA (ENCARGOS COMPLEMENTARES - COLETADO CAIXA)</t>
  </si>
  <si>
    <t xml:space="preserve"> 00021127 </t>
  </si>
  <si>
    <t>FITA ISOLANTE ADESIVA ANTICHAMA, USO ATE 750 V, EM ROLO DE 19 MM X 5 M</t>
  </si>
  <si>
    <t xml:space="preserve"> 00037736 </t>
  </si>
  <si>
    <t>TANQUE DE ACO CARBONO NAO REVESTIDO, PARA TRANSPORTE DE AGUA COM CAPACIDADE DE 10 M3, COM BOMBA CENTRIFUGA POR TOMADA DE FORCA, VAZAO MAXIMA *75* M3/H (INCLUI MONTAGEM, NAO INCLUI CAMINHAO)</t>
  </si>
  <si>
    <t xml:space="preserve"> ED-14652 </t>
  </si>
  <si>
    <t>EPI PARA PEDREIRO - HORISTA (ENCARGOS COMPLEMENTARES)</t>
  </si>
  <si>
    <t>Chave de fenda chata 30 cm</t>
  </si>
  <si>
    <t xml:space="preserve"> 11242 </t>
  </si>
  <si>
    <t>Chave inglesa 12"</t>
  </si>
  <si>
    <t xml:space="preserve"> 00040703 </t>
  </si>
  <si>
    <t>MARTELO DEMOLIDOR ELETRICO, COM POTENCIA DE 2.000 W, FREQUENCIA DE 1.000 IMPACTOS POR MINUTO, FORÇA DE IMPACTO ENTRE 60 E 65 J, PESO DE 30 KG</t>
  </si>
  <si>
    <t xml:space="preserve"> 00000123 </t>
  </si>
  <si>
    <t>ADITIVO IMPERMEABILIZANTE DE PEGA NORMAL PARA ARGAMASSAS E CONCRETOS SEM ARMACAO, LIQUIDO E ISENTO DE CLORETOS</t>
  </si>
  <si>
    <t xml:space="preserve"> 00003146 </t>
  </si>
  <si>
    <t>FITA VEDA ROSCA EM ROLOS DE 18 MM X 10 M (L X C)</t>
  </si>
  <si>
    <t xml:space="preserve"> 00043464 </t>
  </si>
  <si>
    <t>FERRAMENTAS - FAMILIA OPERADOR ESCAVADEIRA - HORISTA (ENCARGOS COMPLEMENTARES - COLETADO CAIXA)</t>
  </si>
  <si>
    <t xml:space="preserve"> 4728 </t>
  </si>
  <si>
    <t>Talhadeira chata 10" Talhadeira chara 10"</t>
  </si>
  <si>
    <t xml:space="preserve"> ED-14688 </t>
  </si>
  <si>
    <t>FERRAMENTAS PARA PEDREIRO - HORISTA ( ENCARGOS COMPLEMENTARES)</t>
  </si>
  <si>
    <t xml:space="preserve"> 00039443 </t>
  </si>
  <si>
    <t>PARAFUSO DRY WALL, EM ACO ZINCADO, CABECA LENTILHA E PONTA BROCA (LB), LARGURA 4,2 MM, COMPRIMENTO 13 MM</t>
  </si>
  <si>
    <t xml:space="preserve"> ED-14664 </t>
  </si>
  <si>
    <t>EPI PARA SERVENTE - HORISTA (ENCARGOS COMPLEMENTARES)</t>
  </si>
  <si>
    <t xml:space="preserve"> ED-14681 </t>
  </si>
  <si>
    <t>FERRAMENTAS PARA AJUDANTE DE BOMBEIRO/ ENCANADOR - HORISTA ( ENCARGOS COMPLEMENTARES)</t>
  </si>
  <si>
    <t xml:space="preserve"> 00014513 </t>
  </si>
  <si>
    <t>ROLO COMPACTADOR PE DE CARNEIRO VIBRATORIO, POTENCIA 80 HP, PESO OPERACIONAL SEM/COM LASTRO 7,4/8,8 T, LARGURA DE TRABALHO 1,68 M</t>
  </si>
  <si>
    <t xml:space="preserve"> 4729 </t>
  </si>
  <si>
    <t>Marreta 1 kg com cabo</t>
  </si>
  <si>
    <t xml:space="preserve"> 10282 </t>
  </si>
  <si>
    <t>Regua de alumínio c/ 2,00m (para pedreiro)</t>
  </si>
  <si>
    <t xml:space="preserve"> 11253 </t>
  </si>
  <si>
    <t>Tarracha para tubos PVC de 1/2"</t>
  </si>
  <si>
    <t xml:space="preserve"> 11245 </t>
  </si>
  <si>
    <t>Desempoladeira de madeira 12x22</t>
  </si>
  <si>
    <t xml:space="preserve"> 11256 </t>
  </si>
  <si>
    <t>Tarracha para tubos PVC de 1 1/2"</t>
  </si>
  <si>
    <t xml:space="preserve"> 4722 </t>
  </si>
  <si>
    <t>Colher de pedreiro</t>
  </si>
  <si>
    <t xml:space="preserve"> 11246 </t>
  </si>
  <si>
    <t>Escala métrica de bambú</t>
  </si>
  <si>
    <t xml:space="preserve"> 00001358 </t>
  </si>
  <si>
    <t>CHAPA/PAINEL DE MADEIRA COMPENSADA RESINADA (MADEIRITE RESINADO ROSA) PARA FORMA DE CONCRETO, DE 2200 x 1100 MM, E = 17 MM</t>
  </si>
  <si>
    <t xml:space="preserve"> 11251 </t>
  </si>
  <si>
    <t>Pincel de seda 2"</t>
  </si>
  <si>
    <t xml:space="preserve"> 4174 </t>
  </si>
  <si>
    <t>Desempenadeira de aço lisa, cabo madeira, ref:143, Atlas ou similar</t>
  </si>
  <si>
    <t xml:space="preserve"> 11249 </t>
  </si>
  <si>
    <t>Serra circular eletrica portatil</t>
  </si>
  <si>
    <t xml:space="preserve"> 00011280 </t>
  </si>
  <si>
    <t>CORTADEIRA DE PISO DE CONCRETO E ASFALTO, PARA DISCO PADRAO DE DIAMETRO 350 MM (14") OU 450 MM (18") , MOTOR A GASOLINA, POTENCIA 13 HP, SEM DISCO</t>
  </si>
  <si>
    <t xml:space="preserve"> ED-5227 </t>
  </si>
  <si>
    <t>CURSO DE CAPACITAÇÃO PARA AUXILIAR DE ENCANADOR OU BOMBEIRO HIDRÁULICO ( ENCARGOS COMPLEMENTARES) - HORISTA</t>
  </si>
  <si>
    <t xml:space="preserve"> 00014618 </t>
  </si>
  <si>
    <t>SERRA CIRCULAR DE BANCADA COM MOTOR ELETRICO, POTENCIA DE *1600* W, PARA DISCO DE DIAMETRO DE 10" (250 MM)</t>
  </si>
  <si>
    <t xml:space="preserve"> 11254 </t>
  </si>
  <si>
    <t>Tarracha para tubos PVC de 3/4"</t>
  </si>
  <si>
    <t xml:space="preserve"> 00013761 </t>
  </si>
  <si>
    <t>APARELHO CORTE OXI-ACETILENO PARA SOLDA E CORTE CONTENDO MACARICO SOLDA, BICO DE CORTE, CILINDROS, REGULADORES, MANGUEIRAS E CARRINHO</t>
  </si>
  <si>
    <t xml:space="preserve"> ED-5235 </t>
  </si>
  <si>
    <t>CURSO DE CAPACITAÇÃO PARA PEDREIRO ( ENCARGOS COMPLEMENTARES) - HORISTA</t>
  </si>
  <si>
    <t xml:space="preserve"> 11265 </t>
  </si>
  <si>
    <t>Martelo de borracha com cabo</t>
  </si>
  <si>
    <t xml:space="preserve"> 11255 </t>
  </si>
  <si>
    <t>Tarracha para tubos PVC de 1"</t>
  </si>
  <si>
    <t xml:space="preserve"> ED-14700 </t>
  </si>
  <si>
    <t>FERRAMENTAS PARA SERVENTE - HORISTA ( ENCARGOS COMPLEMENTARES)</t>
  </si>
  <si>
    <t xml:space="preserve"> 11257 </t>
  </si>
  <si>
    <t>Tarracha para tubos PVC de 1 1/4"</t>
  </si>
  <si>
    <t xml:space="preserve"> 10789 </t>
  </si>
  <si>
    <t>Nível de bolha de madeira</t>
  </si>
  <si>
    <t xml:space="preserve"> 00001442 </t>
  </si>
  <si>
    <t>COMPACTADOR DE SOLO TIPO PLACA VIBRATORIA REVERSIVEL, A GASOLINA, 4 TEMPOS, PESO DE 125 A 150 KG, FORCA CENTRIFUGA DE 2500 A 2800 KGF, LARG. TRABALHO DE 400 A 450 MM, FREQ VIBRACAO DE 4300 A 4500 RPM, VELOC. TRABALHO DE 15 A 20 M/MIN, POT. DE 5,5 A 6,0 HP</t>
  </si>
  <si>
    <t xml:space="preserve"> 00012815 </t>
  </si>
  <si>
    <t>FITA CREPE ROLO DE 25 MM X 50 M</t>
  </si>
  <si>
    <t xml:space="preserve"> 00013896 </t>
  </si>
  <si>
    <t>VIBRADOR DE IMERSAO, DIAMETRO DA PONTEIRA DE *45* MM, COM MOTOR ELETRICO TRIFASICO DE 2 HP (2 CV)</t>
  </si>
  <si>
    <t xml:space="preserve"> 11243 </t>
  </si>
  <si>
    <t>Martelo sem unha</t>
  </si>
  <si>
    <t xml:space="preserve"> 11264 </t>
  </si>
  <si>
    <t>Marreta de 1/2 kg com cabo</t>
  </si>
  <si>
    <t xml:space="preserve"> 11248 </t>
  </si>
  <si>
    <t>Furadeira e Parafusadeira eletrica Bosch ou Similar profissional</t>
  </si>
  <si>
    <t xml:space="preserve"> 10790 </t>
  </si>
  <si>
    <t>Prumo de face</t>
  </si>
  <si>
    <t xml:space="preserve"> 10583 </t>
  </si>
  <si>
    <t>Trincha 3"</t>
  </si>
  <si>
    <t xml:space="preserve"> 00036501 </t>
  </si>
  <si>
    <t>GRUPO GERADOR ESTACIONARIO, POTENCIA 150 KVA, MOTOR DIESEL</t>
  </si>
  <si>
    <t xml:space="preserve"> 11250 </t>
  </si>
  <si>
    <t>Rolo lã de carneiro 20cm</t>
  </si>
  <si>
    <t xml:space="preserve"> 00010997 </t>
  </si>
  <si>
    <t>ELETRODO REVESTIDO AWS - E7018, DIAMETRO IGUAL A 4,00 MM</t>
  </si>
  <si>
    <t xml:space="preserve"> 00037597 </t>
  </si>
  <si>
    <t>BATE-ESTACAS POR GRAVIDADE, POTENCIA160 HP, PESO DO MARTELO ATE 3 TONELADAS</t>
  </si>
  <si>
    <t xml:space="preserve"> ED-5236 </t>
  </si>
  <si>
    <t>CURSO DE CAPACITAÇÃO PARA SERVENTE ( ENCARGOS COMPLEMENTARES) - HORISTA</t>
  </si>
  <si>
    <t xml:space="preserve"> 00043458 </t>
  </si>
  <si>
    <t>FERRAMENTAS - FAMILIA ALMOXARIFE - HORISTA (ENCARGOS COMPLEMENTARES - COLETADO CAIXA)</t>
  </si>
  <si>
    <t xml:space="preserve"> 11252 </t>
  </si>
  <si>
    <t>Escada de aluminio de abrir com 7 degraus</t>
  </si>
  <si>
    <t>Lima chata 12"</t>
  </si>
  <si>
    <t xml:space="preserve"> ED-14677 </t>
  </si>
  <si>
    <t xml:space="preserve"> 00036487 </t>
  </si>
  <si>
    <t>GUINCHO ELETRICO DE COLUNA, CAPACIDADE 400 KG, COM MOTO FREIO, MOTOR TRIFASICO DE 1,25 CV</t>
  </si>
  <si>
    <t xml:space="preserve"> 00043487 </t>
  </si>
  <si>
    <t>EPI - FAMILIA ENCARREGADO GERAL - HORISTA (ENCARGOS COMPLEMENTARES - COLETADO CAIXA)</t>
  </si>
  <si>
    <t xml:space="preserve"> 11244 </t>
  </si>
  <si>
    <t>Martelo com unha</t>
  </si>
  <si>
    <t xml:space="preserve"> 00020247 </t>
  </si>
  <si>
    <t>PREGO DE ACO POLIDO COM CABECA 15 X 15 (1 1/4 X 13)</t>
  </si>
  <si>
    <t xml:space="preserve"> 00002707 </t>
  </si>
  <si>
    <t>ENGENHEIRO CIVIL DE OBRA PLENO</t>
  </si>
  <si>
    <t>BETONEIRA  (TIPO: ELÉTRICA|CAPACIDADE NOMINAL: 400L| CAPACIDADE DE MISTURA : 310L|MOTOR ELÉTRICO: TRIFÁSICO|POTÊNCIA: 2CV|CONSUMO: 1,5KWH| CARREGADOR MECÂNICO:  NÃO INCLUSO)</t>
  </si>
  <si>
    <t xml:space="preserve"> 10593 </t>
  </si>
  <si>
    <t>Praio simples 30cm</t>
  </si>
  <si>
    <t xml:space="preserve"> 10578 </t>
  </si>
  <si>
    <t>Formão grande</t>
  </si>
  <si>
    <t xml:space="preserve"> 10577 </t>
  </si>
  <si>
    <t>Serrote 40cm</t>
  </si>
  <si>
    <t xml:space="preserve"> 4725 </t>
  </si>
  <si>
    <t>Espátula</t>
  </si>
  <si>
    <t xml:space="preserve"> 00013887 </t>
  </si>
  <si>
    <t>DISCO DE CORTE DIAMANTADO SEGMENTADO PARA CONCRETO, DIAMETRO DE 350 MM, FURO DE 1 " (14 X 1 ")</t>
  </si>
  <si>
    <t xml:space="preserve"> 10586 </t>
  </si>
  <si>
    <t>Torquesa</t>
  </si>
  <si>
    <t xml:space="preserve"> 10585 </t>
  </si>
  <si>
    <t>Arco de serra</t>
  </si>
  <si>
    <t xml:space="preserve"> ED-8500 </t>
  </si>
  <si>
    <t xml:space="preserve"> 00043463 </t>
  </si>
  <si>
    <t>FERRAMENTAS - FAMILIA ENCARREGADO GERAL - HORISTA (ENCARGOS COMPLEMENTARES - COLETADO CAIXA)</t>
  </si>
  <si>
    <t xml:space="preserve"> ED-14712 </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</si>
  <si>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</si>
  <si>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</si>
  <si>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</si>
  <si>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</si>
  <si>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100299 </t>
  </si>
  <si>
    <t>CURSO DE CAPACITAÇÃO PARA TÉCNICO EM SEGURANÇA DO TRABALHO (ENCARGOS COMPLEMENTARES) - HORISTA</t>
  </si>
  <si>
    <t xml:space="preserve"> 95388 </t>
  </si>
  <si>
    <t>CURSO DE CAPACITAÇÃO PARA VIGIA NOTURNO (ENCARGOS COMPLEMENTARES) - HORISTA</t>
  </si>
  <si>
    <t xml:space="preserve"> 100288 </t>
  </si>
  <si>
    <t>CURSO DE CAPACITAÇÃO PARA VIGIA DIURNO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</si>
  <si>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</si>
  <si>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</si>
  <si>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</si>
  <si>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</si>
  <si>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94974 </t>
  </si>
  <si>
    <t>CONCRETO MAGRO PARA LASTRO, TRAÇO 1:4,5:4,5 (EM MASSA SECA DE CIMENTO/ AREIA MÉDIA/ BRITA 1) - PREPARO MANUAL. AF_05/2021</t>
  </si>
  <si>
    <t xml:space="preserve"> 98442 </t>
  </si>
  <si>
    <t>PAREDE DE MADEIRA COMPENSADA PARA CONSTRUÇÃO TEMPORÁRIA EM CHAPA SIMPLES, EXTERNA, COM ÁREA LÍQUIDA MENOR QUE 6 M², SEM VÃO. AF_05/2018</t>
  </si>
  <si>
    <t xml:space="preserve"> 98445 </t>
  </si>
  <si>
    <t xml:space="preserve"> 98441 </t>
  </si>
  <si>
    <t xml:space="preserve"> 98446 </t>
  </si>
  <si>
    <t xml:space="preserve"> 92543 </t>
  </si>
  <si>
    <t xml:space="preserve"> 94210 </t>
  </si>
  <si>
    <t>TELHAMENTO COM TELHA ONDULADA DE FIBROCIMENTO E = 6 MM, COM RECOBRIMENTO LATERAL DE 1 1/4 DE ONDA PARA TELHADO COM INCLINAÇÃO MÁXIMA DE 10°, COM ATÉ 2 ÁGUAS, INCLUSO IÇAMENTO. AF_07/2019</t>
  </si>
  <si>
    <t xml:space="preserve"> 95241 </t>
  </si>
  <si>
    <t xml:space="preserve"> 91862 </t>
  </si>
  <si>
    <t xml:space="preserve"> 91870 </t>
  </si>
  <si>
    <t xml:space="preserve"> 95805 </t>
  </si>
  <si>
    <t xml:space="preserve"> 91924 </t>
  </si>
  <si>
    <t xml:space="preserve"> 92981 </t>
  </si>
  <si>
    <t>CABO DE COBRE FLEXÍVEL ISOLADO, 16 MM², ANTI-CHAMA 450/750 V, PARA DISTRIBUIÇÃO - FORNECIMENTO E INSTALAÇÃO. AF_12/2015</t>
  </si>
  <si>
    <t xml:space="preserve"> 97886 </t>
  </si>
  <si>
    <t>CAIXA ENTERRADA ELÉTRICA RETANGULAR, EM ALVENARIA COM TIJOLOS CERÂMICOS MACIÇOS, FUNDO COM BRITA, DIMENSÕES INTERNAS: 0,3X0,3X0,3 M. AF_12/2020</t>
  </si>
  <si>
    <t xml:space="preserve"> 91959 </t>
  </si>
  <si>
    <t xml:space="preserve"> 101891 </t>
  </si>
  <si>
    <t xml:space="preserve"> 101876 </t>
  </si>
  <si>
    <t xml:space="preserve"> 97586 </t>
  </si>
  <si>
    <t>LUMINÁRIA TIPO CALHA, DE SOBREPOR, COM 2 LÂMPADAS TUBULARES FLUORESCENTES DE 36 W, COM REATOR DE PARTIDA RÁPIDA - FORNECIMENTO E INSTALAÇÃO. AF_02/2020</t>
  </si>
  <si>
    <t xml:space="preserve"> 92000 </t>
  </si>
  <si>
    <t xml:space="preserve"> 92001 </t>
  </si>
  <si>
    <t xml:space="preserve"> 91170 </t>
  </si>
  <si>
    <t xml:space="preserve"> 93358 </t>
  </si>
  <si>
    <t xml:space="preserve"> 92023 </t>
  </si>
  <si>
    <t xml:space="preserve"> 92008 </t>
  </si>
  <si>
    <t xml:space="preserve"> 91173 </t>
  </si>
  <si>
    <t xml:space="preserve"> 98462 </t>
  </si>
  <si>
    <t xml:space="preserve"> 89408 </t>
  </si>
  <si>
    <t xml:space="preserve"> 94688 </t>
  </si>
  <si>
    <t xml:space="preserve"> 94703 </t>
  </si>
  <si>
    <t xml:space="preserve"> 94796 </t>
  </si>
  <si>
    <t>TORNEIRA DE BOIA PARA CAIXA D'ÁGUA, ROSCÁVEL, 3/4" - FORNECIMENTO E INSTALAÇÃO. AF_08/2021</t>
  </si>
  <si>
    <t xml:space="preserve"> 89972 </t>
  </si>
  <si>
    <t>KIT DE REGISTRO DE GAVETA BRUTO DE LATÃO ¾", INCLUSIVE CONEXÕES, ROSCÁVEL, INSTALADO EM RAMAL DE ÁGUA FRIA - FORNECIMENTO E INSTALAÇÃO. AF_12/2014</t>
  </si>
  <si>
    <t xml:space="preserve"> 89031 </t>
  </si>
  <si>
    <t>TRATOR DE ESTEIRAS, POTÊNCIA 100 HP, PESO OPERACIONAL 9,4 T, COM LÂMINA 2,19 M3 - CHI DIURNO. AF_06/2014</t>
  </si>
  <si>
    <t xml:space="preserve"> 89032 </t>
  </si>
  <si>
    <t>TRATOR DE ESTEIRAS, POTÊNCIA 100 HP, PESO OPERACIONAL 9,4 T, COM LÂMINA 2,19 M3 - CHP DIURNO. AF_06/2014</t>
  </si>
  <si>
    <t xml:space="preserve"> 100974 </t>
  </si>
  <si>
    <t xml:space="preserve"> 91533 </t>
  </si>
  <si>
    <t>COMPACTADOR DE SOLOS DE PERCUSSÃO (SOQUETE) COM MOTOR A GASOLINA 4 TEMPOS, POTÊNCIA 4 CV - CHP DIURNO. AF_08/2015</t>
  </si>
  <si>
    <t xml:space="preserve"> 67827 </t>
  </si>
  <si>
    <t>CAMINHÃO BASCULANTE 6 M3 TOCO, PESO BRUTO TOTAL 16.000 KG, CARGA ÚTIL MÁXIMA 11.130 KG, DISTÂNCIA ENTRE EIXOS 5,36 M, POTÊNCIA 185 CV, INCLUSIVE CAÇAMBA METÁLICA - CHI DIURNO. AF_06/2014</t>
  </si>
  <si>
    <t xml:space="preserve"> 67826 </t>
  </si>
  <si>
    <t>CAMINHÃO BASCULANTE 6 M3 TOCO, PESO BRUTO TOTAL 16.000 KG, CARGA ÚTIL MÁXIMA 11.130 KG, DISTÂNCIA ENTRE EIXOS 5,36 M, POTÊNCIA 185 CV, INCLUSIVE CAÇAMBA METÁLICA - CHP DIURNO. AF_06/2014</t>
  </si>
  <si>
    <t xml:space="preserve"> 91386 </t>
  </si>
  <si>
    <t>CAMINHÃO BASCULANTE 10 M3, TRUCADO CABINE SIMPLES, PESO BRUTO TOTAL 23.000 KG, CARGA ÚTIL MÁXIMA 15.935 KG, DISTÂNCIA ENTRE EIXOS 4,80 M, POTÊNCIA 230 CV INCLUSIVE CAÇAMBA METÁLICA - CHP DIURNO. AF_06/2014</t>
  </si>
  <si>
    <t xml:space="preserve"> 91387 </t>
  </si>
  <si>
    <t>CAMINHÃO BASCULANTE 10 M3, TRUCADO CABINE SIMPLES, PESO BRUTO TOTAL 23.000 KG, CARGA ÚTIL MÁXIMA 15.935 KG, DISTÂNCIA ENTRE EIXOS 4,80 M, POTÊNCIA 230 CV INCLUSIVE CAÇAMBA METÁLICA - CHI DIURNO. AF_06/2014</t>
  </si>
  <si>
    <t xml:space="preserve"> 92793 </t>
  </si>
  <si>
    <t>CORTE E DOBRA DE AÇO CA-50, DIÂMETRO DE 8,0 MM, UTILIZADO EM ESTRUTURAS DIVERSAS, EXCETO LAJES. AF_12/2015</t>
  </si>
  <si>
    <t xml:space="preserve"> 92796 </t>
  </si>
  <si>
    <t>CORTE E DOBRA DE AÇO CA-50, DIÂMETRO DE 16,0 MM, UTILIZADO EM ESTRUTURAS DIVERSAS, EXCETO LAJES. AF_12/2015</t>
  </si>
  <si>
    <t xml:space="preserve"> 102275 </t>
  </si>
  <si>
    <t>MARTELO DEMOLIDOR ELÉTRICO, COM POTÊNCIA DE 2.000 W, 1.000 IMPACTOS POR MINUTO, PESO DE 30 KG - CHP DIURNO. AF_01/2021</t>
  </si>
  <si>
    <t xml:space="preserve"> 102274 </t>
  </si>
  <si>
    <t xml:space="preserve"> 94968 </t>
  </si>
  <si>
    <t>CONCRETO MAGRO PARA LASTRO, TRAÇO 1:4,5:4,5 (EM MASSA SECA DE CIMENTO/ AREIA MÉDIA/ BRITA 1) - PREPARO MECÂNICO COM BETONEIRA 600 L. AF_05/2021</t>
  </si>
  <si>
    <t xml:space="preserve"> 92792 </t>
  </si>
  <si>
    <t>CORTE E DOBRA DE AÇO CA-50, DIÂMETRO DE 6,3 MM, UTILIZADO EM ESTRUTURAS DIVERSAS, EXCETO LAJES. AF_12/2015</t>
  </si>
  <si>
    <t xml:space="preserve"> 92794 </t>
  </si>
  <si>
    <t>CORTE E DOBRA DE AÇO CA-50, DIÂMETRO DE 10,0 MM, UTILIZADO EM ESTRUTURAS DIVERSAS, EXCETO LAJES. AF_12/2015</t>
  </si>
  <si>
    <t xml:space="preserve"> 92795 </t>
  </si>
  <si>
    <t>CORTE E DOBRA DE AÇO CA-50, DIÂMETRO DE 12,5 MM, UTILIZADO EM ESTRUTURAS DIVERSAS, EXCETO LAJES. AF_12/2015</t>
  </si>
  <si>
    <t xml:space="preserve"> 92797 </t>
  </si>
  <si>
    <t>CORTE E DOBRA DE AÇO CA-50, DIÂMETRO DE 20,0 MM, UTILIZADO EM ESTRUTURAS DIVERSAS, EXCETO LAJES. AF_12/2015</t>
  </si>
  <si>
    <t xml:space="preserve"> 89843 </t>
  </si>
  <si>
    <t>BATE-ESTACAS POR GRAVIDADE, POTÊNCIA DE 160 HP, PESO DO MARTELO ATÉ 3 TONELADAS - CHP DIURNO. AF_11/2014</t>
  </si>
  <si>
    <t xml:space="preserve"> 89218 </t>
  </si>
  <si>
    <t>BATE-ESTACAS POR GRAVIDADE, POTÊNCIA DE 160 HP, PESO DO MARTELO ATÉ 3 TONELADAS - CHI DIURNO. AF_11/2014</t>
  </si>
  <si>
    <t xml:space="preserve"> 90778 </t>
  </si>
  <si>
    <t xml:space="preserve"> 94963 </t>
  </si>
  <si>
    <t>CONCRETO FCK = 15MPA, TRAÇO 1:3,4:3,5 (EM MASSA SECA DE CIMENTO/ AREIA MÉDIA/ BRITA 1) - PREPARO MECÂNICO COM BETONEIRA 400 L. AF_05/2021</t>
  </si>
  <si>
    <t xml:space="preserve"> 87292 </t>
  </si>
  <si>
    <t>ARGAMASSA TRAÇO 1:2:8 (EM VOLUME DE CIMENTO, CAL E AREIA MÉDIA ÚMIDA) PARA EMBOÇO/MASSA ÚNICA/ASSENTAMENTO DE ALVENARIA DE VEDAÇÃO, PREPARO MECÂNICO COM BETONEIRA 400 L. AF_08/2019</t>
  </si>
  <si>
    <t xml:space="preserve"> 88278 </t>
  </si>
  <si>
    <t xml:space="preserve"> 87377 </t>
  </si>
  <si>
    <t>ARGAMASSA TRAÇO 1:3 (EM VOLUME DE CIMENTO E AREIA GROSSA ÚMIDA) PARA CHAPISCO CONVENCIONAL, PREPARO MANUAL. AF_08/2019</t>
  </si>
  <si>
    <t xml:space="preserve"> 87369 </t>
  </si>
  <si>
    <t>ARGAMASSA TRAÇO 1:2:8 (EM VOLUME DE CIMENTO, CAL E AREIA MÉDIA ÚMIDA) PARA EMBOÇO/MASSA ÚNICA/ASSENTAMENTO DE ALVENARIA DE VEDAÇÃO, PREPARO MANUAL. AF_08/2019</t>
  </si>
  <si>
    <t xml:space="preserve"> 93244 </t>
  </si>
  <si>
    <t>ROLO COMPACTADOR VIBRATÓRIO PÉ DE CARNEIRO PARA SOLOS, POTÊNCIA 80 HP, PESO OPERACIONAL SEM/COM LASTRO 7,4 / 8,8 T, LARGURA DE TRABALHO 1,68 M - CHI DIURNO. AF_02/2016</t>
  </si>
  <si>
    <t xml:space="preserve"> 73436 </t>
  </si>
  <si>
    <t>ROLO COMPACTADOR VIBRATÓRIO PÉ DE CARNEIRO PARA SOLOS, POTÊNCIA 80 HP, PESO OPERACIONAL SEM/COM LASTRO 7,4 / 8,8 T, LARGURA DE TRABALHO 1,68 M - CHP DIURNO. AF_02/2016</t>
  </si>
  <si>
    <t xml:space="preserve"> 5903 </t>
  </si>
  <si>
    <t>CAMINHÃO PIPA 10.000 L TRUCADO, PESO BRUTO TOTAL 23.000 KG, CARGA ÚTIL MÁXIMA 15.935 KG, DISTÂNCIA ENTRE EIXOS 4,8 M, POTÊNCIA 230 CV, INCLUSIVE TANQUE DE AÇO PARA TRANSPORTE DE ÁGUA - CHI DIURNO. AF_06/2014</t>
  </si>
  <si>
    <t xml:space="preserve"> 5932 </t>
  </si>
  <si>
    <t>MOTONIVELADORA POTÊNCIA BÁSICA LÍQUIDA (PRIMEIRA MARCHA) 125 HP, PESO BRUTO 13032 KG, LARGURA DA LÂMINA DE 3,7 M - CHP DIURNO. AF_06/2014</t>
  </si>
  <si>
    <t xml:space="preserve"> 5934 </t>
  </si>
  <si>
    <t>MOTONIVELADORA POTÊNCIA BÁSICA LÍQUIDA (PRIMEIRA MARCHA) 125 HP, PESO BRUTO 13032 KG, LARGURA DA LÂMINA DE 3,7 M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</si>
  <si>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</si>
  <si>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</si>
  <si>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5685 </t>
  </si>
  <si>
    <t>ROLO COMPACTADOR VIBRATÓRIO DE UM CILINDRO AÇO LISO, POTÊNCIA 80 HP, PESO OPERACIONAL MÁXIMO 8,1 T, IMPACTO DINÂMICO 16,15 / 9,5 T, LARGURA DE TRABALHO 1,68 M - CHI DIURNO. AF_06/2014</t>
  </si>
  <si>
    <t xml:space="preserve"> 5684 </t>
  </si>
  <si>
    <t>ROLO COMPACTADOR VIBRATÓRIO DE UM CILINDRO AÇO LISO, POTÊNCIA 80 HP, PESO OPERACIONAL MÁXIMO 8,1 T, IMPACTO DINÂMICO 16,15 / 9,5 T, LARGURA DE TRABALHO 1,68 M - CHP DIURNO. AF_06/2014</t>
  </si>
  <si>
    <t xml:space="preserve"> 96463 </t>
  </si>
  <si>
    <t xml:space="preserve"> 96464 </t>
  </si>
  <si>
    <t xml:space="preserve"> 96394 </t>
  </si>
  <si>
    <t xml:space="preserve"> 90587 </t>
  </si>
  <si>
    <t>VIBRADOR DE IMERSÃO, DIÂMETRO DE PONTEIRA 45MM, MOTOR ELÉTRICO TRIFÁSICO POTÊNCIA DE 2 CV - CHI DIURNO. AF_06/2015</t>
  </si>
  <si>
    <t xml:space="preserve"> 91278 </t>
  </si>
  <si>
    <t>PLACA VIBRATÓRIA REVERSÍVEL COM MOTOR 4 TEMPOS A GASOLINA, FORÇA CENTRÍFUGA DE 25 KN (2500 KGF), POTÊNCIA 5,5 CV - CHI DIURNO. AF_08/2015</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</si>
  <si>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</si>
  <si>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</si>
  <si>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</si>
  <si>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</si>
  <si>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86888 </t>
  </si>
  <si>
    <t xml:space="preserve"> 86887 </t>
  </si>
  <si>
    <t xml:space="preserve"> 95753 </t>
  </si>
  <si>
    <t>LUVA DE EMENDA PARA ELETRODUTO, AÇO GALVANIZADO, DN 20 MM (3/4  ), APARENTE, INSTALADA EM TETO - FORNECIMENTO E INSTALAÇÃO. AF_11/2016_P</t>
  </si>
  <si>
    <t xml:space="preserve"> 95754 </t>
  </si>
  <si>
    <t>LUVA DE EMENDA PARA ELETRODUTO, AÇO GALVANIZADO, DN 25 MM (1''), APARENTE, INSTALADA EM TETO - FORNECIMENTO E INSTALAÇÃO. AF_11/2016_P</t>
  </si>
  <si>
    <t xml:space="preserve"> 95757 </t>
  </si>
  <si>
    <t>LUVA DE EMENDA PARA ELETRODUTO, AÇO GALVANIZADO, DN 20 MM (3/4''), APARENTE, INSTALADA EM PAREDE - FORNECIMENTO E INSTALAÇÃO. AF_11/2016_P</t>
  </si>
  <si>
    <t xml:space="preserve"> 87367 </t>
  </si>
  <si>
    <t>ARGAMASSA TRAÇO 1:1:6 (EM VOLUME DE CIMENTO, CAL E AREIA MÉDIA ÚMIDA) PARA EMBOÇO/MASSA ÚNICA/ASSENTAMENTO DE ALVENARIA DE VEDAÇÃO, PREPARO MANUAL. AF_08/2019</t>
  </si>
  <si>
    <t xml:space="preserve"> 93288 </t>
  </si>
  <si>
    <t>GUINDASTE HIDRÁULICO AUTOPROPELIDO, COM LANÇA TELESCÓPICA 40 M, CAPACIDADE MÁXIMA 60 T, POTÊNCIA 260 KW - CHI DIURNO. AF_03/2016</t>
  </si>
  <si>
    <t xml:space="preserve"> 93287 </t>
  </si>
  <si>
    <t>GUINDASTE HIDRÁULICO AUTOPROPELIDO, COM LANÇA TELESCÓPICA 40 M, CAPACIDADE MÁXIMA 60 T, POTÊNCIA 260 KW - CHP DIURNO. AF_03/2016</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</si>
  <si>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</si>
  <si>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</si>
  <si>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</si>
  <si>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</si>
  <si>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 xml:space="preserve"> 88323 </t>
  </si>
  <si>
    <t>TELHADISTA COM ENCARGOS COMPLEMENTARES</t>
  </si>
  <si>
    <t xml:space="preserve"> 92717 </t>
  </si>
  <si>
    <t xml:space="preserve"> 92716 </t>
  </si>
  <si>
    <t>Curva ABC de Insumos</t>
  </si>
  <si>
    <t>1,0000000</t>
  </si>
  <si>
    <t>176,0000000</t>
  </si>
  <si>
    <t>21.576,40</t>
  </si>
  <si>
    <t>7.595,00</t>
  </si>
  <si>
    <t>2,0000000</t>
  </si>
  <si>
    <t>2.851,00</t>
  </si>
  <si>
    <t>5.702,00</t>
  </si>
  <si>
    <t>39,9100000</t>
  </si>
  <si>
    <t>31,0000000</t>
  </si>
  <si>
    <t>110,00</t>
  </si>
  <si>
    <t>18,00</t>
  </si>
  <si>
    <t>3,6700000</t>
  </si>
  <si>
    <t>18,8500000</t>
  </si>
  <si>
    <t>2,0500000</t>
  </si>
  <si>
    <t>2.150,00</t>
  </si>
  <si>
    <t>3,0000000</t>
  </si>
  <si>
    <t>8,0000000</t>
  </si>
  <si>
    <t>4,1200000</t>
  </si>
  <si>
    <t>1.850,00</t>
  </si>
  <si>
    <t>0,58</t>
  </si>
  <si>
    <t>6,0000000</t>
  </si>
  <si>
    <t>5,0000000</t>
  </si>
  <si>
    <t>11,0000000</t>
  </si>
  <si>
    <t>9,0000000</t>
  </si>
  <si>
    <t>185,00</t>
  </si>
  <si>
    <t>129,0000000</t>
  </si>
  <si>
    <t>1,00</t>
  </si>
  <si>
    <t>3,8000000</t>
  </si>
  <si>
    <t>0,31%</t>
  </si>
  <si>
    <t>1,7300000</t>
  </si>
  <si>
    <t>23,0000000</t>
  </si>
  <si>
    <t>44,0930000</t>
  </si>
  <si>
    <t>1.163,00</t>
  </si>
  <si>
    <t>1.098,50</t>
  </si>
  <si>
    <t>1.037,50</t>
  </si>
  <si>
    <t>13,0000000</t>
  </si>
  <si>
    <t>4,0000000</t>
  </si>
  <si>
    <t>218,00</t>
  </si>
  <si>
    <t>75,4000000</t>
  </si>
  <si>
    <t>41,7400000</t>
  </si>
  <si>
    <t>33,04</t>
  </si>
  <si>
    <t>16,0000000</t>
  </si>
  <si>
    <t>754,00</t>
  </si>
  <si>
    <t>8,45</t>
  </si>
  <si>
    <t>320,00</t>
  </si>
  <si>
    <t>0,61</t>
  </si>
  <si>
    <t>188,00</t>
  </si>
  <si>
    <t>269,00</t>
  </si>
  <si>
    <t>1,07</t>
  </si>
  <si>
    <t>3,1500000</t>
  </si>
  <si>
    <t>0,2265200</t>
  </si>
  <si>
    <t>1,0600000</t>
  </si>
  <si>
    <t>200,00</t>
  </si>
  <si>
    <t>400,00</t>
  </si>
  <si>
    <t>1,0500000</t>
  </si>
  <si>
    <t>1,26</t>
  </si>
  <si>
    <t>27,8209016</t>
  </si>
  <si>
    <t>14,00</t>
  </si>
  <si>
    <t>389,49</t>
  </si>
  <si>
    <t>2,0450000</t>
  </si>
  <si>
    <t>21,59</t>
  </si>
  <si>
    <t>0,78</t>
  </si>
  <si>
    <t>21,0000000</t>
  </si>
  <si>
    <t>17,3100000</t>
  </si>
  <si>
    <t>2,6000000</t>
  </si>
  <si>
    <t>10,0000000</t>
  </si>
  <si>
    <t>2,0436000</t>
  </si>
  <si>
    <t>222,45</t>
  </si>
  <si>
    <t>7,0000000</t>
  </si>
  <si>
    <t>210,00</t>
  </si>
  <si>
    <t>92,32%</t>
  </si>
  <si>
    <t>3,3330000</t>
  </si>
  <si>
    <t>25,80</t>
  </si>
  <si>
    <t>1,2298041</t>
  </si>
  <si>
    <t>33,09</t>
  </si>
  <si>
    <t>190,96</t>
  </si>
  <si>
    <t>1,0200000</t>
  </si>
  <si>
    <t>35,00</t>
  </si>
  <si>
    <t>6,1600000</t>
  </si>
  <si>
    <t>0,7000000</t>
  </si>
  <si>
    <t>0,56</t>
  </si>
  <si>
    <t>16,9720000</t>
  </si>
  <si>
    <t>145,98</t>
  </si>
  <si>
    <t>4,2000000</t>
  </si>
  <si>
    <t>0,45</t>
  </si>
  <si>
    <t>5,00</t>
  </si>
  <si>
    <t>139,10</t>
  </si>
  <si>
    <t>4,3300000</t>
  </si>
  <si>
    <t>18,0000000</t>
  </si>
  <si>
    <t>94,87%</t>
  </si>
  <si>
    <t>33,25</t>
  </si>
  <si>
    <t>5,4000000</t>
  </si>
  <si>
    <t>4,3048111</t>
  </si>
  <si>
    <t>150,0000000</t>
  </si>
  <si>
    <t>95,20%</t>
  </si>
  <si>
    <t>2,9000000</t>
  </si>
  <si>
    <t>119,98</t>
  </si>
  <si>
    <t>8,4000000</t>
  </si>
  <si>
    <t>16,66</t>
  </si>
  <si>
    <t>1,1500000</t>
  </si>
  <si>
    <t>4,92</t>
  </si>
  <si>
    <t>95,71%</t>
  </si>
  <si>
    <t>27,2000000</t>
  </si>
  <si>
    <t>95,73%</t>
  </si>
  <si>
    <t>27,0000000</t>
  </si>
  <si>
    <t>95,78%</t>
  </si>
  <si>
    <t>95,80%</t>
  </si>
  <si>
    <t>5,4200000</t>
  </si>
  <si>
    <t>49,00</t>
  </si>
  <si>
    <t>2,3000000</t>
  </si>
  <si>
    <t>97,48</t>
  </si>
  <si>
    <t>1,1000000</t>
  </si>
  <si>
    <t>93,11</t>
  </si>
  <si>
    <t>93,00</t>
  </si>
  <si>
    <t>18,60</t>
  </si>
  <si>
    <t>20,0000000</t>
  </si>
  <si>
    <t>4,55</t>
  </si>
  <si>
    <t>1,0211000</t>
  </si>
  <si>
    <t>16,76</t>
  </si>
  <si>
    <t>0,74</t>
  </si>
  <si>
    <t>87,30</t>
  </si>
  <si>
    <t>96,48%</t>
  </si>
  <si>
    <t>96,50%</t>
  </si>
  <si>
    <t>42,67</t>
  </si>
  <si>
    <t>20,6362397</t>
  </si>
  <si>
    <t>4,00</t>
  </si>
  <si>
    <t>16,10</t>
  </si>
  <si>
    <t>78,00</t>
  </si>
  <si>
    <t>96,87%</t>
  </si>
  <si>
    <t>17,96</t>
  </si>
  <si>
    <t>96,92%</t>
  </si>
  <si>
    <t>500,0000000</t>
  </si>
  <si>
    <t>0,15</t>
  </si>
  <si>
    <t>66,23</t>
  </si>
  <si>
    <t>97,00%</t>
  </si>
  <si>
    <t>0,32</t>
  </si>
  <si>
    <t>1,1297000</t>
  </si>
  <si>
    <t>97,08%</t>
  </si>
  <si>
    <t>0,4099347</t>
  </si>
  <si>
    <t>0,27</t>
  </si>
  <si>
    <t>3,5000000</t>
  </si>
  <si>
    <t>0,3257000</t>
  </si>
  <si>
    <t>67,48</t>
  </si>
  <si>
    <t>3,2416665</t>
  </si>
  <si>
    <t>37,3727000</t>
  </si>
  <si>
    <t>1,72</t>
  </si>
  <si>
    <t>97,45%</t>
  </si>
  <si>
    <t>0,8000000</t>
  </si>
  <si>
    <t>18,19</t>
  </si>
  <si>
    <t>97,52%</t>
  </si>
  <si>
    <t>5,5500000</t>
  </si>
  <si>
    <t>60,00</t>
  </si>
  <si>
    <t>63,00</t>
  </si>
  <si>
    <t>59,90</t>
  </si>
  <si>
    <t>6,6600000</t>
  </si>
  <si>
    <t>9,34</t>
  </si>
  <si>
    <t>97,62%</t>
  </si>
  <si>
    <t>97,66%</t>
  </si>
  <si>
    <t>2,1000000</t>
  </si>
  <si>
    <t>29,15</t>
  </si>
  <si>
    <t>2,5900000</t>
  </si>
  <si>
    <t>97,78%</t>
  </si>
  <si>
    <t>15,0000000</t>
  </si>
  <si>
    <t>1,50</t>
  </si>
  <si>
    <t>1,48</t>
  </si>
  <si>
    <t>1,1430000</t>
  </si>
  <si>
    <t>1,1532000</t>
  </si>
  <si>
    <t>5,2740000</t>
  </si>
  <si>
    <t>0,7700000</t>
  </si>
  <si>
    <t>3,4700000</t>
  </si>
  <si>
    <t>98,15%</t>
  </si>
  <si>
    <t>51,63</t>
  </si>
  <si>
    <t>0,5360000</t>
  </si>
  <si>
    <t>100,0000000</t>
  </si>
  <si>
    <t>0,50</t>
  </si>
  <si>
    <t>50,00</t>
  </si>
  <si>
    <t>98,22%</t>
  </si>
  <si>
    <t>1,10</t>
  </si>
  <si>
    <t>43,88</t>
  </si>
  <si>
    <t>43,58</t>
  </si>
  <si>
    <t>99,90</t>
  </si>
  <si>
    <t>2,5000000</t>
  </si>
  <si>
    <t>16,65</t>
  </si>
  <si>
    <t>0,5853000</t>
  </si>
  <si>
    <t>39,40</t>
  </si>
  <si>
    <t>19,56</t>
  </si>
  <si>
    <t>18,58</t>
  </si>
  <si>
    <t>35,83</t>
  </si>
  <si>
    <t>3,52</t>
  </si>
  <si>
    <t>0,1048000</t>
  </si>
  <si>
    <t>4,34</t>
  </si>
  <si>
    <t>12,0000000</t>
  </si>
  <si>
    <t>0,1093159</t>
  </si>
  <si>
    <t>300,00</t>
  </si>
  <si>
    <t>32,79</t>
  </si>
  <si>
    <t>1,2520000</t>
  </si>
  <si>
    <t>32,0000000</t>
  </si>
  <si>
    <t>0,76</t>
  </si>
  <si>
    <t>18,1000000</t>
  </si>
  <si>
    <t>1,79</t>
  </si>
  <si>
    <t>32,40</t>
  </si>
  <si>
    <t>0,1960000</t>
  </si>
  <si>
    <t>15,64</t>
  </si>
  <si>
    <t>0,0742000</t>
  </si>
  <si>
    <t>0,4060000</t>
  </si>
  <si>
    <t>28,00</t>
  </si>
  <si>
    <t>4,1954000</t>
  </si>
  <si>
    <t>6,65</t>
  </si>
  <si>
    <t>1,85</t>
  </si>
  <si>
    <t>27,52</t>
  </si>
  <si>
    <t>3,05</t>
  </si>
  <si>
    <t>30,00</t>
  </si>
  <si>
    <t>13,50</t>
  </si>
  <si>
    <t>24,13</t>
  </si>
  <si>
    <t>26,54</t>
  </si>
  <si>
    <t>1,2105000</t>
  </si>
  <si>
    <t>26,45</t>
  </si>
  <si>
    <t>1,2000000</t>
  </si>
  <si>
    <t>1,88</t>
  </si>
  <si>
    <t>0,80</t>
  </si>
  <si>
    <t>25,60</t>
  </si>
  <si>
    <t>0,1880000</t>
  </si>
  <si>
    <t>0,1132000</t>
  </si>
  <si>
    <t>1,0041000</t>
  </si>
  <si>
    <t>2,2800000</t>
  </si>
  <si>
    <t>2,1400000</t>
  </si>
  <si>
    <t>10,78</t>
  </si>
  <si>
    <t>2,18</t>
  </si>
  <si>
    <t>22,65</t>
  </si>
  <si>
    <t>23,69</t>
  </si>
  <si>
    <t>7,72</t>
  </si>
  <si>
    <t>23,10</t>
  </si>
  <si>
    <t>1,99</t>
  </si>
  <si>
    <t>0,0550000</t>
  </si>
  <si>
    <t>0,0667000</t>
  </si>
  <si>
    <t>21,27</t>
  </si>
  <si>
    <t>3,3000000</t>
  </si>
  <si>
    <t>20,00</t>
  </si>
  <si>
    <t>21,00</t>
  </si>
  <si>
    <t>2,99</t>
  </si>
  <si>
    <t>10,34</t>
  </si>
  <si>
    <t>1,59</t>
  </si>
  <si>
    <t>1,43</t>
  </si>
  <si>
    <t>1,08</t>
  </si>
  <si>
    <t>19,95</t>
  </si>
  <si>
    <t>1,0533000</t>
  </si>
  <si>
    <t>0,5000000</t>
  </si>
  <si>
    <t>19,00</t>
  </si>
  <si>
    <t>0,95</t>
  </si>
  <si>
    <t>9,19</t>
  </si>
  <si>
    <t>3,9970980</t>
  </si>
  <si>
    <t>4,57</t>
  </si>
  <si>
    <t>0,2000000</t>
  </si>
  <si>
    <t>0,4919216</t>
  </si>
  <si>
    <t>0,1100000</t>
  </si>
  <si>
    <t>0,4500000</t>
  </si>
  <si>
    <t>17,10</t>
  </si>
  <si>
    <t>17,00</t>
  </si>
  <si>
    <t>16,94</t>
  </si>
  <si>
    <t>16,90</t>
  </si>
  <si>
    <t>16,47</t>
  </si>
  <si>
    <t>16,59</t>
  </si>
  <si>
    <t>15,42</t>
  </si>
  <si>
    <t>0,3620000</t>
  </si>
  <si>
    <t>16,17</t>
  </si>
  <si>
    <t>0,4300000</t>
  </si>
  <si>
    <t>15,89</t>
  </si>
  <si>
    <t>15,58</t>
  </si>
  <si>
    <t>12,54</t>
  </si>
  <si>
    <t>2,20</t>
  </si>
  <si>
    <t>1,1140000</t>
  </si>
  <si>
    <t>15,30</t>
  </si>
  <si>
    <t>20,5930000</t>
  </si>
  <si>
    <t>0,9800000</t>
  </si>
  <si>
    <t>0,2060328</t>
  </si>
  <si>
    <t>14,70</t>
  </si>
  <si>
    <t>0,9500000</t>
  </si>
  <si>
    <t>14,12</t>
  </si>
  <si>
    <t>13,68</t>
  </si>
  <si>
    <t>13,55</t>
  </si>
  <si>
    <t>1,7095000</t>
  </si>
  <si>
    <t>0,3300000</t>
  </si>
  <si>
    <t>38,88</t>
  </si>
  <si>
    <t>0,2010000</t>
  </si>
  <si>
    <t>12,09</t>
  </si>
  <si>
    <t>11,99</t>
  </si>
  <si>
    <t>0,5500000</t>
  </si>
  <si>
    <t>11,95</t>
  </si>
  <si>
    <t>0,4150000</t>
  </si>
  <si>
    <t>0,5700000</t>
  </si>
  <si>
    <t>11,76</t>
  </si>
  <si>
    <t>1,1377574</t>
  </si>
  <si>
    <t>0,96</t>
  </si>
  <si>
    <t>11,52</t>
  </si>
  <si>
    <t>0,82</t>
  </si>
  <si>
    <t>10,90</t>
  </si>
  <si>
    <t>0,5720000</t>
  </si>
  <si>
    <t>1,58</t>
  </si>
  <si>
    <t>0,0416667</t>
  </si>
  <si>
    <t>10,22</t>
  </si>
  <si>
    <t>0,4800000</t>
  </si>
  <si>
    <t>0,2549000</t>
  </si>
  <si>
    <t>0,5238094</t>
  </si>
  <si>
    <t>10,43</t>
  </si>
  <si>
    <t>1,0331000</t>
  </si>
  <si>
    <t>5,09</t>
  </si>
  <si>
    <t>15,90</t>
  </si>
  <si>
    <t>1,0375000</t>
  </si>
  <si>
    <t>9,46</t>
  </si>
  <si>
    <t>7,82</t>
  </si>
  <si>
    <t>0,6662149</t>
  </si>
  <si>
    <t>3,04</t>
  </si>
  <si>
    <t>9,12</t>
  </si>
  <si>
    <t>0,44</t>
  </si>
  <si>
    <t>8,52</t>
  </si>
  <si>
    <t>0,6285665</t>
  </si>
  <si>
    <t>7,46</t>
  </si>
  <si>
    <t>7,80</t>
  </si>
  <si>
    <t>8,10</t>
  </si>
  <si>
    <t>8,01</t>
  </si>
  <si>
    <t>7,95</t>
  </si>
  <si>
    <t>7,89</t>
  </si>
  <si>
    <t>0,1800000</t>
  </si>
  <si>
    <t>7,52</t>
  </si>
  <si>
    <t>2,50</t>
  </si>
  <si>
    <t>0,93</t>
  </si>
  <si>
    <t>0,3800000</t>
  </si>
  <si>
    <t>7,39</t>
  </si>
  <si>
    <t>0,20</t>
  </si>
  <si>
    <t>0,8400000</t>
  </si>
  <si>
    <t>7,17</t>
  </si>
  <si>
    <t>7,04</t>
  </si>
  <si>
    <t>2,3332000</t>
  </si>
  <si>
    <t>6,95</t>
  </si>
  <si>
    <t>6,94</t>
  </si>
  <si>
    <t>2,6664000</t>
  </si>
  <si>
    <t>6,83</t>
  </si>
  <si>
    <t>6,69</t>
  </si>
  <si>
    <t>0,3727000</t>
  </si>
  <si>
    <t>0,33</t>
  </si>
  <si>
    <t>6,41</t>
  </si>
  <si>
    <t>6,54</t>
  </si>
  <si>
    <t>0,7445000</t>
  </si>
  <si>
    <t>0,0920000</t>
  </si>
  <si>
    <t>6,00</t>
  </si>
  <si>
    <t>6,7500000</t>
  </si>
  <si>
    <t>6,20</t>
  </si>
  <si>
    <t>2,04</t>
  </si>
  <si>
    <t>0,3000000</t>
  </si>
  <si>
    <t>6,11</t>
  </si>
  <si>
    <t>6,09</t>
  </si>
  <si>
    <t>4,90</t>
  </si>
  <si>
    <t>6,03</t>
  </si>
  <si>
    <t>0,2900000</t>
  </si>
  <si>
    <t>179,90</t>
  </si>
  <si>
    <t>0,7800000</t>
  </si>
  <si>
    <t>5,87</t>
  </si>
  <si>
    <t>1,90</t>
  </si>
  <si>
    <t>0,9020000</t>
  </si>
  <si>
    <t>5,23</t>
  </si>
  <si>
    <t>0,6700000</t>
  </si>
  <si>
    <t>0,6000000</t>
  </si>
  <si>
    <t>0,0192550</t>
  </si>
  <si>
    <t>0,2500000</t>
  </si>
  <si>
    <t>19,97</t>
  </si>
  <si>
    <t>1,64</t>
  </si>
  <si>
    <t>4,85</t>
  </si>
  <si>
    <t>4,81</t>
  </si>
  <si>
    <t>4,78</t>
  </si>
  <si>
    <t>0,0446000</t>
  </si>
  <si>
    <t>4,49</t>
  </si>
  <si>
    <t>0,6666667</t>
  </si>
  <si>
    <t>4,46</t>
  </si>
  <si>
    <t>4,35</t>
  </si>
  <si>
    <t>4,44</t>
  </si>
  <si>
    <t>5,0182227</t>
  </si>
  <si>
    <t>0,86</t>
  </si>
  <si>
    <t>0,4527000</t>
  </si>
  <si>
    <t>9,18</t>
  </si>
  <si>
    <t>0,1250000</t>
  </si>
  <si>
    <t>13,35</t>
  </si>
  <si>
    <t>3,73</t>
  </si>
  <si>
    <t>0,0244048</t>
  </si>
  <si>
    <t>0,97</t>
  </si>
  <si>
    <t>3,86</t>
  </si>
  <si>
    <t>0,1750000</t>
  </si>
  <si>
    <t>3,68</t>
  </si>
  <si>
    <t>3,60</t>
  </si>
  <si>
    <t>0,79</t>
  </si>
  <si>
    <t>3,56</t>
  </si>
  <si>
    <t>1,16</t>
  </si>
  <si>
    <t>4,5000000</t>
  </si>
  <si>
    <t>0,2619046</t>
  </si>
  <si>
    <t>1,69</t>
  </si>
  <si>
    <t>3,38</t>
  </si>
  <si>
    <t>3,35</t>
  </si>
  <si>
    <t>0,2250000</t>
  </si>
  <si>
    <t>14,28</t>
  </si>
  <si>
    <t>3,20</t>
  </si>
  <si>
    <t>3,08</t>
  </si>
  <si>
    <t>0,0660000</t>
  </si>
  <si>
    <t>3,01</t>
  </si>
  <si>
    <t>3,00</t>
  </si>
  <si>
    <t>2,90</t>
  </si>
  <si>
    <t>0,1200000</t>
  </si>
  <si>
    <t>2,53</t>
  </si>
  <si>
    <t>2,58</t>
  </si>
  <si>
    <t>2,41</t>
  </si>
  <si>
    <t>2,49</t>
  </si>
  <si>
    <t>0,1639739</t>
  </si>
  <si>
    <t>0,0951690</t>
  </si>
  <si>
    <t>4,0150000</t>
  </si>
  <si>
    <t>0,57</t>
  </si>
  <si>
    <t>0,5880000</t>
  </si>
  <si>
    <t>0,0281000</t>
  </si>
  <si>
    <t>80,00</t>
  </si>
  <si>
    <t>2,25</t>
  </si>
  <si>
    <t>2,24</t>
  </si>
  <si>
    <t>0,22</t>
  </si>
  <si>
    <t>0,0400000</t>
  </si>
  <si>
    <t>55,00</t>
  </si>
  <si>
    <t>2,16</t>
  </si>
  <si>
    <t>0,0260000</t>
  </si>
  <si>
    <t>2,09</t>
  </si>
  <si>
    <t>2,03</t>
  </si>
  <si>
    <t>0,6666666</t>
  </si>
  <si>
    <t>17,83</t>
  </si>
  <si>
    <t>1,93</t>
  </si>
  <si>
    <t>0,0294215</t>
  </si>
  <si>
    <t>1,1280000</t>
  </si>
  <si>
    <t>0,0293000</t>
  </si>
  <si>
    <t>1,3333333</t>
  </si>
  <si>
    <t>1,76</t>
  </si>
  <si>
    <t>1,75</t>
  </si>
  <si>
    <t>0,0750000</t>
  </si>
  <si>
    <t>22,76</t>
  </si>
  <si>
    <t>1,71</t>
  </si>
  <si>
    <t>0,0000028</t>
  </si>
  <si>
    <t>1,57</t>
  </si>
  <si>
    <t>1,51</t>
  </si>
  <si>
    <t>1,46</t>
  </si>
  <si>
    <t>0,0230000</t>
  </si>
  <si>
    <t>1,42</t>
  </si>
  <si>
    <t>0,0082645</t>
  </si>
  <si>
    <t>168,85</t>
  </si>
  <si>
    <t>1,40</t>
  </si>
  <si>
    <t>0,4693000</t>
  </si>
  <si>
    <t>1,36</t>
  </si>
  <si>
    <t>0,2182352</t>
  </si>
  <si>
    <t>1,31</t>
  </si>
  <si>
    <t>1,29</t>
  </si>
  <si>
    <t>1,28</t>
  </si>
  <si>
    <t>1,25</t>
  </si>
  <si>
    <t>0,0036600</t>
  </si>
  <si>
    <t>1,20</t>
  </si>
  <si>
    <t>0,30</t>
  </si>
  <si>
    <t>1,19</t>
  </si>
  <si>
    <t>1,17</t>
  </si>
  <si>
    <t>0,0440000</t>
  </si>
  <si>
    <t>0,0133760</t>
  </si>
  <si>
    <t>1,13</t>
  </si>
  <si>
    <t>0,0600000</t>
  </si>
  <si>
    <t>1,5197000</t>
  </si>
  <si>
    <t>0,72</t>
  </si>
  <si>
    <t>0,0546580</t>
  </si>
  <si>
    <t>0,52</t>
  </si>
  <si>
    <t>0,0200000</t>
  </si>
  <si>
    <t>0,0000007</t>
  </si>
  <si>
    <t>0,48</t>
  </si>
  <si>
    <t>0,0018000</t>
  </si>
  <si>
    <t>0,29</t>
  </si>
  <si>
    <t>0,90</t>
  </si>
  <si>
    <t>0,1298000</t>
  </si>
  <si>
    <t>0,89</t>
  </si>
  <si>
    <t>0,87</t>
  </si>
  <si>
    <t>0,0517000</t>
  </si>
  <si>
    <t>0,75</t>
  </si>
  <si>
    <t>0,25</t>
  </si>
  <si>
    <t>36,90</t>
  </si>
  <si>
    <t>0,71</t>
  </si>
  <si>
    <t>77,84</t>
  </si>
  <si>
    <t>0,64</t>
  </si>
  <si>
    <t>3,1415925</t>
  </si>
  <si>
    <t>0,19</t>
  </si>
  <si>
    <t>0,23</t>
  </si>
  <si>
    <t>0,59</t>
  </si>
  <si>
    <t>0,3333333</t>
  </si>
  <si>
    <t>0,0251980</t>
  </si>
  <si>
    <t>0,0122024</t>
  </si>
  <si>
    <t>0,0255000</t>
  </si>
  <si>
    <t>0,0070000</t>
  </si>
  <si>
    <t>0,0300000</t>
  </si>
  <si>
    <t>0,2650000</t>
  </si>
  <si>
    <t>0,0340000</t>
  </si>
  <si>
    <t>0,51</t>
  </si>
  <si>
    <t>0,21</t>
  </si>
  <si>
    <t>0,46</t>
  </si>
  <si>
    <t>0,0700948</t>
  </si>
  <si>
    <t>6,47</t>
  </si>
  <si>
    <t>0,01</t>
  </si>
  <si>
    <t>0,43</t>
  </si>
  <si>
    <t>0,0700000</t>
  </si>
  <si>
    <t>6,02</t>
  </si>
  <si>
    <t>0,0117333</t>
  </si>
  <si>
    <t>0,0288824</t>
  </si>
  <si>
    <t>0,40</t>
  </si>
  <si>
    <t>0,35</t>
  </si>
  <si>
    <t>0,31</t>
  </si>
  <si>
    <t>0,0096275</t>
  </si>
  <si>
    <t>0,0073200</t>
  </si>
  <si>
    <t>0,0127600</t>
  </si>
  <si>
    <t>23,00</t>
  </si>
  <si>
    <t>0,11</t>
  </si>
  <si>
    <t>0,0256200</t>
  </si>
  <si>
    <t>0,0046400</t>
  </si>
  <si>
    <t>0,28</t>
  </si>
  <si>
    <t>0,0146400</t>
  </si>
  <si>
    <t>18,80</t>
  </si>
  <si>
    <t>0,0060000</t>
  </si>
  <si>
    <t>39,50</t>
  </si>
  <si>
    <t>0,24</t>
  </si>
  <si>
    <t>0,0044043</t>
  </si>
  <si>
    <t>52,44</t>
  </si>
  <si>
    <t>0,0072000</t>
  </si>
  <si>
    <t>0,2180000</t>
  </si>
  <si>
    <t>0,0191000</t>
  </si>
  <si>
    <t>0,0003966</t>
  </si>
  <si>
    <t>0,0081200</t>
  </si>
  <si>
    <t>22,80</t>
  </si>
  <si>
    <t>0,34</t>
  </si>
  <si>
    <t>0,18</t>
  </si>
  <si>
    <t>11,50</t>
  </si>
  <si>
    <t>0,17</t>
  </si>
  <si>
    <t>0,16</t>
  </si>
  <si>
    <t>0,0069600</t>
  </si>
  <si>
    <t>0,9400000</t>
  </si>
  <si>
    <t>0,13</t>
  </si>
  <si>
    <t>0,12</t>
  </si>
  <si>
    <t>0,0140000</t>
  </si>
  <si>
    <t>8,44</t>
  </si>
  <si>
    <t>0,10</t>
  </si>
  <si>
    <t>0,05</t>
  </si>
  <si>
    <t>13,52</t>
  </si>
  <si>
    <t>246,00</t>
  </si>
  <si>
    <t>0,07</t>
  </si>
  <si>
    <t>0,0036800</t>
  </si>
  <si>
    <t>17,50</t>
  </si>
  <si>
    <t>0,0012000</t>
  </si>
  <si>
    <t>0,0000001</t>
  </si>
  <si>
    <t>0,0001600</t>
  </si>
  <si>
    <t>0,0011600</t>
  </si>
  <si>
    <t>0,04</t>
  </si>
  <si>
    <t>0,03</t>
  </si>
  <si>
    <t>0,0007932</t>
  </si>
  <si>
    <t>0,0009908</t>
  </si>
  <si>
    <t>0,02</t>
  </si>
  <si>
    <t>0,0110000</t>
  </si>
  <si>
    <t>2,17</t>
  </si>
  <si>
    <t>19,57</t>
  </si>
  <si>
    <t>0,0006400</t>
  </si>
  <si>
    <t>0,0002450</t>
  </si>
  <si>
    <t>0,00</t>
  </si>
  <si>
    <t>0,0002000</t>
  </si>
  <si>
    <t>0,0000000</t>
  </si>
  <si>
    <t>03.01.230</t>
  </si>
  <si>
    <t xml:space="preserve"> 842 </t>
  </si>
  <si>
    <t xml:space="preserve"> 03.01.230 </t>
  </si>
  <si>
    <t>Demolição mecanizada de concreto simples, inclusive fragmentação e acomodação do material</t>
  </si>
  <si>
    <t xml:space="preserve"> 843 </t>
  </si>
  <si>
    <t xml:space="preserve"> 022106 </t>
  </si>
  <si>
    <t>RETIRADA TELHADO ESTRUTURA DE MADEIRA SEM REMOCAO</t>
  </si>
  <si>
    <t xml:space="preserve"> 846 </t>
  </si>
  <si>
    <t xml:space="preserve"> 847 </t>
  </si>
  <si>
    <t xml:space="preserve"> 022224 </t>
  </si>
  <si>
    <t>RETIRADA TELHAS DE BARRO</t>
  </si>
  <si>
    <t>P/M2</t>
  </si>
  <si>
    <t>88,23%</t>
  </si>
  <si>
    <t>92,36%</t>
  </si>
  <si>
    <t>92,67%</t>
  </si>
  <si>
    <t>94,25%</t>
  </si>
  <si>
    <t xml:space="preserve"> S.01.000.080129 </t>
  </si>
  <si>
    <t>Compressor de ar XA 125 MWD - COND. D</t>
  </si>
  <si>
    <t>94,76%</t>
  </si>
  <si>
    <t>94,79%</t>
  </si>
  <si>
    <t>94,90%</t>
  </si>
  <si>
    <t>95,28%</t>
  </si>
  <si>
    <t>96,20%</t>
  </si>
  <si>
    <t>96,22%</t>
  </si>
  <si>
    <t>96,24%</t>
  </si>
  <si>
    <t>96,26%</t>
  </si>
  <si>
    <t>96,28%</t>
  </si>
  <si>
    <t>96,30%</t>
  </si>
  <si>
    <t>96,32%</t>
  </si>
  <si>
    <t>96,34%</t>
  </si>
  <si>
    <t>96,36%</t>
  </si>
  <si>
    <t>96,38%</t>
  </si>
  <si>
    <t>96,55%</t>
  </si>
  <si>
    <t>96,57%</t>
  </si>
  <si>
    <t>96,59%</t>
  </si>
  <si>
    <t>96,61%</t>
  </si>
  <si>
    <t>96,66%</t>
  </si>
  <si>
    <t>96,68%</t>
  </si>
  <si>
    <t>96,84%</t>
  </si>
  <si>
    <t>96,89%</t>
  </si>
  <si>
    <t>96,94%</t>
  </si>
  <si>
    <t>96,97%</t>
  </si>
  <si>
    <t>96,99%</t>
  </si>
  <si>
    <t>97,02%</t>
  </si>
  <si>
    <t>97,05%</t>
  </si>
  <si>
    <t xml:space="preserve"> S.01.000.080157 </t>
  </si>
  <si>
    <t>Rompedor Pneumático ATLAS COPCO TEX 32 PS</t>
  </si>
  <si>
    <t>97,40%</t>
  </si>
  <si>
    <t>97,57%</t>
  </si>
  <si>
    <t>97,73%</t>
  </si>
  <si>
    <t>97,77%</t>
  </si>
  <si>
    <t>97,81%</t>
  </si>
  <si>
    <t>97,86%</t>
  </si>
  <si>
    <t>97,97%</t>
  </si>
  <si>
    <t>98,10%</t>
  </si>
  <si>
    <t>98,19%</t>
  </si>
  <si>
    <t>DEMOLICOES</t>
  </si>
  <si>
    <t>DEMOLIÇÃO MECANIZADA DE CONCRETO SIMPLES, INCLUSIVE FRAGMENTAÇÃO E ACOMODAÇÃO DO MATERIAL</t>
  </si>
  <si>
    <t>TAXA DE DESTINAÇÃO DE RESÍDUO SÓLIDO EM ATERRO, TIPO INERTE</t>
  </si>
  <si>
    <t>CUSTOS DE MERCADO - URCA/RJ</t>
  </si>
  <si>
    <t>PREÇO UNITÁRIO</t>
  </si>
  <si>
    <t>REFERÊNCIA SINAPI</t>
  </si>
  <si>
    <t>LITOTECA URCA</t>
  </si>
  <si>
    <t>LITOTECA URCA/RJ</t>
  </si>
  <si>
    <t>CURVA ABC - NÍVEL DE SERVIÇO</t>
  </si>
  <si>
    <t>FJ ARQUITETURA                                           URCA-MG                                                                       CURA ABC</t>
  </si>
  <si>
    <t>OBRA: URCA - RJ</t>
  </si>
  <si>
    <t>FJ ARQUITETURA                             URCA-RJ                                       BDI</t>
  </si>
  <si>
    <t>098 -  Litoteka  Urca - RJ - R-03 - 2026</t>
  </si>
  <si>
    <t>CPOS/CDHU</t>
  </si>
  <si>
    <t>TAPUME COM TELHA METÁLICA. AF_03/2024</t>
  </si>
  <si>
    <t>ALUGUEL DE CACAMBA 5m2 48 HORAS COM RETIRADA</t>
  </si>
  <si>
    <t>Equipe de topografia para trabalhos exclusivos de campo - Diária incluindo transporte - Rev 04_10/2022</t>
  </si>
  <si>
    <t>UNIDADE REF.P/COMPL.ADM LOCAL,CONSID:CONSUMO AGUA,TEL.ENERGI A ELETR.MAT.LIMPEZA ESCRITORIO,COMPUTADORES LICENCA OBRA,MOV EIS UTENSILIOS,AR COND.BEBEDOURO,ART,RRT,FOTOGRAFIAS,UNIFORM ES,DARIAS,EXAMES ADMISSIONAIS,PERIODICOS E DEMISSIONAIS,CURS OS CAPACITACAO/TREINAMENTO ITENS COMPLEMENTEM DESP.NECESS.EX CL.DESP.C/CAFE MANHA,REFEICAO,CESTA BASICA E VALE TRANSPORTE</t>
  </si>
  <si>
    <t>LOCAÇÃO CONVENCIONAL DE OBRA, UTILIZANDO GABARITO DE TÁBUAS CORRIDAS PONTALETADAS A CADA 2,00M - 2 UTILIZAÇÕES. AF_03/2024</t>
  </si>
  <si>
    <t>ESCAVAÇÃO MANUAL PARA BLOCO DE COROAMENTO OU SAPATA (INCLUINDO ESCAVAÇÃO PARA COLOCAÇÃO DE FÔRMAS). AF_01/2024</t>
  </si>
  <si>
    <t>REATERRO MANUAL DE VALAS, COM COMPACTADOR DE SOLOS DE PERCUSSÃO. AF_08/2023</t>
  </si>
  <si>
    <t>CARGA, MANOBRA E DESCARGA DE ENTULHO EM CAMINHÃO BASCULANTE 6 M³ - CARGA COM ESCAVADEIRA HIDRÁULICA (CAÇAMBA DE 0,80 M³ / 111 HP) E DESCARGA LIVRE (UNIDADE: M3). AF_02/2026</t>
  </si>
  <si>
    <t>TRANSPORTE COM CAMINHÃO BASCULANTE DE 10 M³, EM VIA URBANA PAVIMENTADA, DMT ATÉ 30 KM (UNIDADE: M3XKM). AF_02/2026</t>
  </si>
  <si>
    <t>TRANSPORTE COM CAMINHÃO BASCULANTE DE 10 M³, EM VIA URBANA PAVIMENTADA, ADICIONAL PARA DMT EXCEDENTE A 30 KM (UNIDADE: M3XKM). AF_02/2026</t>
  </si>
  <si>
    <t>ARMAÇÃO DE BLOCO UTILIZANDO AÇO CA-50 DE 8 MM - MONTAGEM. AF_01/2024</t>
  </si>
  <si>
    <t>LASTRO DE CONCRETO MAGRO, APLICADO EM BLOCOS DE COROAMENTO OU SAPATAS. AF_01/2024</t>
  </si>
  <si>
    <t>ARMAÇÃO DE BLOCO UTILIZANDO AÇO CA-50 DE 6,3 MM - MONTAGEM. AF_01/2024</t>
  </si>
  <si>
    <t>ARMAÇÃO DE BLOCO UTILIZANDO AÇO CA-50 DE 10 MM - MONTAGEM. AF_01/2024</t>
  </si>
  <si>
    <t>EXECUÇÃO DE PROTEÇÃO DA CABEÇA DO TIRANTE COM USO DE FÔRMAS METÁLICAS, 50 UTILIZAÇÕES, E CONCRETO FCK =15 MPA. AF_11/2023</t>
  </si>
  <si>
    <t>ARMAÇÃO DE PILAR OU VIGA DE ESTRUTURA CONVENCIONAL DE CONCRETO ARMADO UTILIZANDO AÇO CA-60 DE 5,0 MM - MONTAGEM. AF_06/2022</t>
  </si>
  <si>
    <t>ALVENARIA DE VEDAÇÃO DE BLOCOS VAZADOS DE CONCRETO APARENTE DE 19X19X39 CM (ESPESSURA 19 CM) E ARGAMASSA DE ASSENTAMENTO COM PREPARO EM BETONEIRA. AF_12/2021</t>
  </si>
  <si>
    <t>FORNECIMENTO E MONTAGEM DE ESTRUTURA METALICA COM AÇO NAO PATINAVEL (ASTM A36/A570)</t>
  </si>
  <si>
    <t>DIVISÓRIA FIXA EM VIDRO TEMPERADO 10 MM, SEM ABERTURA. AF_10/2025_PS</t>
  </si>
  <si>
    <t>CHAPISCO APLICADO EM ALVENARIAS E ESTRUTURAS DE CONCRETO INTERNAS, COM COLHER DE PEDREIRO. ARGAMASSA TRAÇO 1:3 COM PREPARO MANUAL. AF_10/2022</t>
  </si>
  <si>
    <t>EMBOÇO, EM ARGAMASSA TRAÇO 1:2:8, PREPARO MANUAL, APLICADO MANUALMENTE EM PAREDES INTERNAS DE AMBIENTES COM ÁREA MAIOR QUE 10M², E = 17,5MM, COM TALISCAS. AF_03/2024</t>
  </si>
  <si>
    <t>REGULARIZAÇÃO E COMPACTAÇÃO DE SUBLEITO DE SOLO PREDOMINANTEMENTE ARGILOSO, PARA OBRAS DE CONSTRUÇÃO DE PAVIMENTOS. AF_09/2024</t>
  </si>
  <si>
    <t>CONSTRUÇÃO DE BASE E SUB-BASE PARA PAVIMENTAÇÃO DE BRITA GRADUADA SIMPLES TRATADA COM CIMENTO, COM ESPESSURA DE 15 CM - EXCLUSIVE CARGA E TRANSPORTE. AF_09/2024</t>
  </si>
  <si>
    <t>Junta serrada, dimensões 6x60mm, com preenchimento de mastique de poliuretanoMBT, Basf ou similar, para pavimentos em concreto</t>
  </si>
  <si>
    <t>BARRAS DE TRANSFERÊNCIA, AÇO CA-25 DE 25,0 MM, PARA EXECUÇÃO DE PAVIMENTO DE CONCRETO - FORNECIMENTO E INSTALAÇÃO. AF_04/2022</t>
  </si>
  <si>
    <t>PISO CIMENTADO, TRAÇO 1:5 (CIMENTO E AREIA), ACABAMENTO LISO, ESPESSURA 4,0 CM, PREPARO MECÂNICO DA ARGAMASSA. AF_02/2026</t>
  </si>
  <si>
    <t>REVESTIMENTO CERÂMICO PARA PISO COM PLACAS TIPO PORCELANATO DE DIMENSÕES 60X60 CM APLICADA EM AMBIENTES DE ÁREA ENTRE 5 M² E 10 M². AF_02/2023_PE</t>
  </si>
  <si>
    <t>EXECUÇÃO DE PASSEIO EM PISO INTERTRAVADO, COM BLOCO RETANGULAR COLORIDO DE 20 X 10 CM, ESPESSURA 6 CM. AF_10/2022</t>
  </si>
  <si>
    <t>Forro em fibra mineral NRC 0.65, em placas acústicas removíveis de 625mm x 625mm</t>
  </si>
  <si>
    <t>Forro em painéis de gesso acartonado, espessura de 12,5mm, fixo</t>
  </si>
  <si>
    <t>BACIA SANITÁRIA COM CAIXA ACOPLADA LOUÇA BRANCA - PADRÃO MÉDIO, INCLUSO ENGATE FLEXÍVEL EM METAL CROMADO, 1/2" X 40 CM - FORNECIMENTO E INSTALAÇÃO. AF_02/2026</t>
  </si>
  <si>
    <t>BARRA DE APOIO RETA, EM AÇO INOX POLIDO, COMPRIMENTO 80 CM, FIXADA NA PAREDE - FORNECIMENTO E INSTALAÇÃO. AF_02/2026</t>
  </si>
  <si>
    <t>BARRA DE APOIO LATERAL ARTICULADA, COM TRAVA, EM AÇO INOX POLIDO, FIXADA NA PAREDE - FORNECIMENTO E INSTALAÇÃO. AF_02/2026</t>
  </si>
  <si>
    <t>VÁLVULA EM METAL CROMADO 1.1/2" X 1.1/2" PARA TANQUE OU LAVATÓRIO, COM OU SEM LADRÃO - FORNECIMENTO E INSTALAÇÃO. AF_02/2026</t>
  </si>
  <si>
    <t>Espelho de cristal 4mm, com moldura de alumínio, acabamento em laminado, dim.50 x 70cm</t>
  </si>
  <si>
    <t>TORNEIRA CROMADA DE MESA PARA LAVATÓRIO COM SENSOR DE PRESENÇA. AF_02/2026</t>
  </si>
  <si>
    <t>TORNEIRA CROMADA 1/2" OU 3/4" PARA TANQUE, PADRÃO MÉDIO - FORNECIMENTO E INSTALAÇÃO. AF_02/2026</t>
  </si>
  <si>
    <t>JANELA DE ALUMÍNIO TIPO MAXIM-AR, BATENTE/ REQUADRO 3 A 14 CM, VIDRO INCLUSO, FIXAÇÃO COM PARAFUSO, SEM GUARNIÇÃO/ ALIZAR, DIMENSÕES 60X80 (A X L) CM, SEM ACABAMENTO, VEDAÇÃO COM SILICONE, EXCLUSIVE CONTRAMARCO - FORNECIMENTO E INSTALAÇÃO. AF_11/2024</t>
  </si>
  <si>
    <t>CAIXILHO FIXO DE ALUMÍNIO PARA VIDRO (VIDRO INCLUSO), BATENTE/ REQUADRO DE 4 A 14 CM, SEM GUARNIÇÃO/ ALIZAR, FIXAÇÃO COM PARAFUSOS, VEDAÇÃO COM SILICONE, EXCLUSIVE CONTRAMARCO - FORNECIMENTO E INSTALAÇÃO. AF_11/2024</t>
  </si>
  <si>
    <t>PORTA EM ALUMÍNIO DE ABRIR TIPO VENEZIANA COM GUARNIÇÃO, FIXAÇÃO COM PARAFUSOS - FORNECIMENTO E INSTALAÇÃO. AF_10/2025</t>
  </si>
  <si>
    <t>INSTALAÇÃO DE VIDRO TEMPERADO, E = 8 MM, ENCAIXADO EM PERFIL U. AF_11/2025</t>
  </si>
  <si>
    <t>CAIXA RETANGULAR 4" X 2" BAIXA (0,30 M DO PISO), PVC, INSTALADA EM PAREDE - FORNECIMENTO E INSTALAÇÃO. AF_03/2023</t>
  </si>
  <si>
    <t>CAIXA RETANGULAR 4" X 4" BAIXA (0,30 M DO PISO), PVC, INSTALADA EM PAREDE - FORNECIMENTO E INSTALAÇÃO. AF_03/2023</t>
  </si>
  <si>
    <t>CONDULETE DE ALUMÍNIO, TIPO T, PARA ELETRODUTO DE AÇO GALVANIZADO DN 20 MM (3/4''), APARENTE - FORNECIMENTO E INSTALAÇÃO. AF_01/2026</t>
  </si>
  <si>
    <t>CONDULETE DE ALUMÍNIO, TIPO T, PARA ELETRODUTO DE AÇO GALVANIZADO DN 25 MM (1''), APARENTE - FORNECIMENTO E INSTALAÇÃO. AF_01/2026</t>
  </si>
  <si>
    <t>Interruptor simples com 1 tecla e placa</t>
  </si>
  <si>
    <t>Interruptor paralelo com 1 tecla e placa</t>
  </si>
  <si>
    <t>TOMADA ALTA DE EMBUTIR (1 MÓDULO), 2P+T 10 A, SEM SUPORTE E SEM PLACA - FORNECIMENTO E INSTALAÇÃO. AF_03/2023</t>
  </si>
  <si>
    <t>TOMADA ALTA DE EMBUTIR (1 MÓDULO), 2P+T 20 A, SEM SUPORTE E SEM PLACA - FORNECIMENTO E INSTALAÇÃO. AF_03/2023</t>
  </si>
  <si>
    <t>CURVA 90 GRAUS, EM AÇO, CONEXÃO SOLDADA, DN 20 (3/4"), INSTALADO EM RAMAIS E SUB-RAMAIS DE GÁS - FORNECIMENTO E INSTALAÇÃO. AF_01/2026</t>
  </si>
  <si>
    <t>CURVA 90 GRAUS, EM AÇO, CONEXÃO SOLDADA, DN 25 (1"), INSTALADO EM RAMAIS E SUB-RAMAIS DE GÁS - FORNECIMENTO E INSTALAÇÃO. AF_01/2026</t>
  </si>
  <si>
    <t>ELETRODUTO RÍGIDO SOLDÁVEL, PVC, DN 25 MM (3/4"), APARENTE - FORNECIMENTO E INSTALAÇÃO. AF_01/2026</t>
  </si>
  <si>
    <t>ELETRODUTO RÍGIDO SOLDÁVEL, PVC, DN 32 MM (1"), APARENTE - FORNECIMENTO E INSTALAÇÃO. AF_01/2026</t>
  </si>
  <si>
    <t>ELETRODUTO FLEXÍVEL CORRUGADO REFORÇADO, PVC, DN 32 MM (1"), PARA CIRCUITOS TERMINAIS, INSTALADO EM FORRO - FORNECIMENTO E INSTALAÇÃO. AF_03/2023</t>
  </si>
  <si>
    <t>Eletrocalha perfurada galvanizada a fogo, 150x100 mm, com acessórios</t>
  </si>
  <si>
    <t>ELETRODUTO FLEXÍVEL CORRUGADO REFORÇADO, PVC, DN 25 MM (3/4"), PARA CIRCUITOS TERMINAIS, INSTALADO EM FORRO - FORNECIMENTO E INSTALAÇÃO. AF_03/2023</t>
  </si>
  <si>
    <t>Eletroduto galvanizado conforme NBR13057 -  1´ com acessórios</t>
  </si>
  <si>
    <t>CONDULETE DE ALUMÍNIO, TIPO C, PARA ELETRODUTO DE AÇO GALVANIZADO DN 25 MM (1''), APARENTE - FORNECIMENTO E INSTALAÇÃO. AF_01/2026</t>
  </si>
  <si>
    <t>CURVA 90 GRAUS, CPVC, SOLDÁVEL, DN 28 MM, INSTALADO EM RESERVAÇÃO PREDIAL DE ÁGUA - FORNECIMENTO E INSTALAÇÃO. AF_04/2024</t>
  </si>
  <si>
    <t>CABO DE COBRE FLEXÍVEL ISOLADO, 2,5 MM², ANTI-CHAMA 0,6/1,0 KV, PARA CIRCUITOS TERMINAIS - FORNECIMENTO E INSTALAÇÃO. AF_03/2023</t>
  </si>
  <si>
    <t>CAPTOR TIPO FRANKLIN PARA SPDA - FORNECIMENTO E INSTALAÇÃO. AF_08/2023</t>
  </si>
  <si>
    <t>HASTE DE ATERRAMENTO, DIÂMETRO 5/8", COM 3 METROS - FORNECIMENTO E INSTALAÇÃO. AF_08/2023</t>
  </si>
  <si>
    <t>DISJUNTOR TERMOMAGNÉTICO TRIPOLAR, CORRENTE NOMINAL DE 250A - FORNECIMENTO E INSTALAÇÃO. AF_07/2025</t>
  </si>
  <si>
    <t>DISJUNTOR TRIPOLAR TIPO DIN, CORRENTE NOMINAL DE 40A - FORNECIMENTO E INSTALAÇÃO. AF_07/2025</t>
  </si>
  <si>
    <t>TRANSFORMADOR DE CORRENTE RELAÇÃO 400</t>
  </si>
  <si>
    <t>DISJUNTOR TRIPOLAR TIPO NEMA, CORRENTE NOMINAL DE 60 ATÉ 100A - FORNECIMENTO E INSTALAÇÃO. AF_07/2025</t>
  </si>
  <si>
    <t>DISJUNTOR TERMOMAGNÉTICO TRIPOLAR, CORRENTE NOMINAL DE 125A - FORNECIMENTO E INSTALAÇÃO. AF_07/2025</t>
  </si>
  <si>
    <t>DISJUNTOR TRIPOLAR TIPO DIN, CORRENTE NOMINAL DE 32A - FORNECIMENTO E INSTALAÇÃO. AF_07/2025</t>
  </si>
  <si>
    <t>DISJUNTOR TRIPOLAR TIPO DIN, CORRENTE NOMINAL DE 50A - FORNECIMENTO E INSTALAÇÃO. AF_07/2025</t>
  </si>
  <si>
    <t>DISJUNTOR MONOPOLAR TIPO DIN, CORRENTE NOMINAL DE 16A - FORNECIMENTO E INSTALAÇÃO. AF_07/2025</t>
  </si>
  <si>
    <t>DISJUNTOR BIPOLAR TIPO DIN, CORRENTE NOMINAL DE 16A - FORNECIMENTO E INSTALAÇÃO. AF_07/2025</t>
  </si>
  <si>
    <t>DISJUNTOR BIPOLAR TIPO DIN, CORRENTE NOMINAL DE 20A - FORNECIMENTO E INSTALAÇÃO. AF_07/2025</t>
  </si>
  <si>
    <t>DISJUNTOR TRIPOLAR TIPO DIN, CORRENTE NOMINAL DE 16A - FORNECIMENTO E INSTALAÇÃO. AF_07/2025</t>
  </si>
  <si>
    <t>DISJUNTOR TRIPOLAR TIPO DIN, CORRENTE NOMINAL DE 20A - FORNECIMENTO E INSTALAÇÃO. AF_07/2025</t>
  </si>
  <si>
    <t>DISJUNTOR TRIPOLAR TIPO DIN, CORRENTE NOMINAL DE 25A - FORNECIMENTO E INSTALAÇÃO. AF_07/2025</t>
  </si>
  <si>
    <t>Chave seccionadora tripolar 63a, manobra c/ carga acionamento por alavanca p/quadro de dist de energia</t>
  </si>
  <si>
    <t>DISJUNTOR MONOPOLAR TIPO DIN, CORRENTE NOMINAL DE 20A - FORNECIMENTO E INSTALAÇÃO. AF_07/2025</t>
  </si>
  <si>
    <t>QUADRO DE DISTRIBUIÇÃO DE ENERGIA EM CHAPA DE AÇO GALVANIZADO, DE EMBUTIR, COM BARRAMENTO TRIFÁSICO, PARA 40 DISJUNTORES DIN 100A - FORNECIMENTO E INSTALAÇÃO. AF_07/2025</t>
  </si>
  <si>
    <t>DISJUNTOR BIPOLAR TIPO DIN, CORRENTE NOMINAL DE 32A - FORNECIMENTO E INSTALAÇÃO. AF_07/2025</t>
  </si>
  <si>
    <t>DISJUNTOR BIPOLAR TIPO DIN, CORRENTE NOMINAL DE 40A - FORNECIMENTO E INSTALAÇÃO. AF_07/2025</t>
  </si>
  <si>
    <t>QUADRO DE DISTRIBUIÇÃO DE ENERGIA EM CHAPA DE AÇO GALVANIZADO, DE EMBUTIR, COM BARRAMENTO TRIFÁSICO, PARA 30 DISJUNTORES DIN 150A - FORNECIMENTO E INSTALAÇÃO. AF_07/2025</t>
  </si>
  <si>
    <t>DISJUNTOR MONOPOLAR TIPO DIN, CORRENTE NOMINAL DE 10A - FORNECIMENTO E INSTALAÇÃO. AF_07/2025</t>
  </si>
  <si>
    <t>Caixa de passagem para telefone, padrão telebras, 40x40x12cm, em chapa aço galv.  - fornecimento</t>
  </si>
  <si>
    <t>QUADRO DE DISTRIBUIÇÃO DE ENERGIA EM CHAPA DE AÇO GALVANIZADO, DE EMBUTIR, COM BARRAMENTO TRIFÁSICO, PARA 24 DISJUNTORES DIN 100A - FORNECIMENTO E INSTALAÇÃO. AF_07/2025</t>
  </si>
  <si>
    <t>Chave seccionadora tripolar 40a, manobra c/ carga acionamento por alavanca p/quadro de dist de energia</t>
  </si>
  <si>
    <t>CABO DE COBRE FLEXÍVEL ISOLADO, 2,5 MM², ANTI-CHAMA 450/750 V, PARA CIRCUITOS TERMINAIS - FORNECIMENTO E INSTALAÇÃO. AF_03/2023</t>
  </si>
  <si>
    <t>CABO DE COBRE FLEXÍVEL ISOLADO, 4 MM², ANTI-CHAMA 450/750 V, PARA CIRCUITOS TERMINAIS - FORNECIMENTO E INSTALAÇÃO. AF_03/2023</t>
  </si>
  <si>
    <t>TUBO PVC, SÉRIE R, ÁGUA PLUVIAL, DN 75 MM, FORNECIDO E INSTALADO EM CONDUTORES VERTICAIS DE ÁGUAS PLUVIAIS. AF_06/2022</t>
  </si>
  <si>
    <t>TUBO PVC, SÉRIE R, ÁGUA PLUVIAL, DN 100 MM, FORNECIDO E INSTALADO EM RAMAL DE ENCAMINHAMENTO. AF_06/2022</t>
  </si>
  <si>
    <t>TUBO PVC, SÉRIE R, ÁGUA PLUVIAL, DN 150 MM, FORNECIDO E INSTALADO EM CONDUTORES VERTICAIS DE ÁGUAS PLUVIAIS. AF_06/2022</t>
  </si>
  <si>
    <t>JOELHO 90 GRAUS,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</si>
  <si>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</si>
  <si>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</si>
  <si>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75 MM, JUNTA ELÁSTICA, FORNECIDO E INSTALADO EM CONDUTORES VERTICAIS DE ÁGUAS PLUVIAIS. AF_06/2022</t>
  </si>
  <si>
    <t>JOELHO 45 GRAUS, PVC, SERIE R, ÁGUA PLUVIAL, DN 100 MM, JUNTA ELÁSTICA, FORNECIDO E INSTALADO EM CONDUTORES VERTICAIS DE ÁGUAS PLUVIAIS. AF_06/2022</t>
  </si>
  <si>
    <t>JOELHO 45 GRAUS, PVC, SERIE R, ÁGUA PLUVIAL, DN 150 MM, JUNTA ELÁSTICA, FORNECIDO E INSTALADO EM CONDUTORES VERTICAIS DE ÁGUAS PLUVIAIS. AF_06/2022</t>
  </si>
  <si>
    <t>JUNÇÃO SIMPLES, PVC, SERIE R, ÁGUA PLUVIAL, DN 75 X 75 MM, JUNTA ELÁSTICA, FORNECIDO E INSTALADO EM CONDUTORES VERTICAIS DE ÁGUAS PLUVIAIS. AF_06/2022</t>
  </si>
  <si>
    <t>JUNÇÃO SIMPLES, PVC, SERIE R, ÁGUA PLUVIAL, DN 100 X 75 MM, JUNTA ELÁSTICA, FORNECIDO E INSTALADO EM CONDUTORES VERTICAIS DE ÁGUAS PLUVIAIS. AF_06/2022</t>
  </si>
  <si>
    <t>JUNÇÃO SIMPLES, PVC, SERIE R, ÁGUA PLUVIAL, DN 100 X 100 MM, JUNTA ELÁSTICA, FORNECIDO E INSTALADO EM CONDUTORES VERTICAIS DE ÁGUAS PLUVIAIS. AF_06/2022</t>
  </si>
  <si>
    <t>JUNÇÃO SIMPLES, PVC, SERIE R, ÁGUA PLUVIAL, DN 150 X 100 MM, JUNTA ELÁSTICA, FORNECIDO E INSTALADO EM CONDUTORES VERTICAIS DE ÁGUAS PLUVIAIS. AF_06/2022</t>
  </si>
  <si>
    <t>JUNÇÃO SIMPLES, PVC, SERIE R, ÁGUA PLUVIAL, DN 150 X 150 MM, JUNTA ELÁSTICA, FORNECIDO E INSTALADO EM CONDUTORES VERTICAIS DE ÁGUAS PLUVIAIS. AF_06/2022</t>
  </si>
  <si>
    <t>TÊ, PVC, SERIE R, ÁGUA PLUVIAL, DN 75 X 75 MM, JUNTA ELÁSTICA, FORNECIDO E INSTALADO EM CONDUTORES VERTICAIS DE ÁGUAS PLUVIAIS. AF_06/2022</t>
  </si>
  <si>
    <t>TÊ, PVC, SERIE R, ÁGUA PLUVIAL, DN 100 X 100 MM, JUNTA ELÁSTICA, FORNECIDO E INSTALADO EM CONDUTORES VERTICAIS DE ÁGUAS PLUVIAIS. AF_06/2022</t>
  </si>
  <si>
    <t>LUVA SIMPLES, PVC, SERIE R, ÁGUA PLUVIAL, DN 75 MM, JUNTA ELÁSTICA, FORNECIDO E INSTALADO EM CONDUTORES VERTICAIS DE ÁGUAS PLUVIAIS. AF_06/2022</t>
  </si>
  <si>
    <t>LUVA SIMPLES, PVC, SERIE R, ÁGUA PLUVIAL, DN 100 MM, JUNTA ELÁSTICA, FORNECIDO E INSTALADO EM CONDUTORES VERTICAIS DE ÁGUAS PLUVIAIS. AF_06/2022</t>
  </si>
  <si>
    <t>LUVA SIMPLES, PVC, SÉRIE NORMAL, ESGOTO PREDIAL, DN 150 MM, JUNTA ELÁSTICA, FORNECIDO E INSTALADO EM SUBCOLETOR AÉREO DE ESGOTO SANITÁRIO. AF_08/2022</t>
  </si>
  <si>
    <t>REDUÇÃO EXCÊNTRICA, PVC, SERIE R, ÁGUA PLUVIAL, DN 100 X 75 MM, JUNTA ELÁSTICA, FORNECIDO E INSTALADO EM CONDUTORES VERTICAIS DE ÁGUAS PLUVIAIS. AF_06/2022</t>
  </si>
  <si>
    <t>REDUÇÃO EXCÊNTRICA, PVC, SERIE R, ÁGUA PLUVIAL, DN 150 X 100 MM, JUNTA ELÁSTICA, FORNECIDO E INSTALADO EM CONDUTORES VERTICAIS DE ÁGUAS PLUVIAIS. AF_06/2022</t>
  </si>
  <si>
    <t>TUBO, PPR, DN 110, CLASSE PN 25, INSTALADO EM PRUMADA DE ÁGUA FORNECIMENTO E INSTALAÇÃO. AF_08/2022</t>
  </si>
  <si>
    <t>JOELHO 90 GRAUS, PPR, DN 110 MM, CLASSE PN 25, INSTALADO EM PRUMADA DE ÁGUA FORNECIMENTO E INSTALAÇÃO . AF_08/2022</t>
  </si>
  <si>
    <t>BOMBA CENTRIFUGA SUBMERSA,PARA AGUAS SERVIDAS,DE 0,5CV,110/2 20V.FORNECIMENTO E COLOCACAO 3%-DESGASTE DE FERRAMENTAS E EPI 8%-CORRENTE</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</si>
  <si>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</si>
  <si>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</si>
  <si>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</si>
  <si>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</si>
  <si>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</si>
  <si>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85MM, INSTALADO EM RESERVAÇÃO PREDIAL DE ÁGUA - FORNECIMENTO E INSTALAÇÃO. AF_04/2024</t>
  </si>
  <si>
    <t>JOELHO 90 GRAUS, PVC, SOLDÁVEL, DN 25MM, INSTALADO EM PRUMADA DE ÁGUA - FORNECIMENTO E INSTALAÇÃO. AF_06/2022</t>
  </si>
  <si>
    <t>JOELHO 90 GRAUS, PVC, SOLDÁVEL, DN 32MM, INSTALADO EM RAMAL DE DISTRIBUIÇÃO DE ÁGUA - FORNECIMENTO E INSTALAÇÃO. AF_06/2022</t>
  </si>
  <si>
    <t>JOELHO 90 GRAUS, PVC, SOLDÁVEL, DN 40MM, INSTALADO EM PRUMADA DE ÁGUA - FORNECIMENTO E INSTALAÇÃO. AF_06/2022</t>
  </si>
  <si>
    <t>JOELHO 90 GRAUS, PVC, SOLDÁVEL, DN 50MM, INSTALADO EM PRUMADA DE ÁGUA - FORNECIMENTO E INSTALAÇÃO. AF_06/2022</t>
  </si>
  <si>
    <t>JOELHO 90 GRAUS, PVC, SOLDÁVEL, DN 60MM, INSTALADO EM PRUMADA DE ÁGUA - FORNECIMENTO E INSTALAÇÃO. AF_06/2022</t>
  </si>
  <si>
    <t>JOELHO 90 GRAUS, PVC, SOLDÁVEL, DN 85MM, INSTALADO EM PRUMADA DE ÁGUA - FORNECIMENTO E INSTALAÇÃO. AF_06/2022</t>
  </si>
  <si>
    <t>JOELHO 90 GRAUS COM BUCHA DE LATÃO, PVC, SOLDÁVEL, DN 25MM, X 3/4 INSTALADO EM RAMAL OU SUB-RAMAL DE ÁGUA - FORNECIMENTO E INSTALAÇÃO. AF_06/2022</t>
  </si>
  <si>
    <t>TE, PVC, SOLDÁVEL, DN 25MM, INSTALADO EM RAMAL DE DISTRIBUIÇÃO DE ÁGUA - FORNECIMENTO E INSTALAÇÃO. AF_06/2022</t>
  </si>
  <si>
    <t>TE, PVC, SOLDÁVEL, DN 32MM, INSTALADO EM RAMAL DE DISTRIBUIÇÃO DE ÁGUA - FORNECIMENTO E INSTALAÇÃO. AF_06/2022</t>
  </si>
  <si>
    <t>TE, PVC, SOLDÁVEL, DN 50MM,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</si>
  <si>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</si>
  <si>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</si>
  <si>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TÊ DE REDUÇÃO, PVC, SOLDÁVEL, DN 40 MM X 32 MM, INSTALADO EM RESERVAÇÃO PREDIAL DE ÁGUA - FORNECIMENTO E INSTALAÇÃO. AF_04/2024</t>
  </si>
  <si>
    <t>TÊ DE REDUÇÃO, PVC, SOLDÁVEL, DN 40MM X 32MM, INSTALADO EM PRUMADA DE ÁGUA - FORNECIMENTO E INSTALAÇÃO. AF_06/2022</t>
  </si>
  <si>
    <t>TÊ DE REDUÇÃO, PVC, SOLDÁVEL, DN 50MM X 25MM, INSTALADO EM PRUMADA DE ÁGUA - FORNECIMENTO E INSTALAÇÃO. AF_06/2022</t>
  </si>
  <si>
    <t>TÊ DE REDUÇÃO, PVC, SOLDÁVEL, DN 50MM X 40MM, INSTALADO EM PRUMADA DE ÁGUA - FORNECIMENTO E INSTALAÇÃO. AF_06/2022</t>
  </si>
  <si>
    <t>ADAPTADOR CURTO COM BOLSA E ROSCA PARA REGISTRO, PVC, SOLDÁVEL, DN 25MM X 3/4, INSTALADO EM RAMAL DE DISTRIBUIÇÃO DE ÁGUA - FORNECIMENTO E INSTALAÇÃO. AF_06/2022</t>
  </si>
  <si>
    <t>ADAPTADOR CURTO COM BOLSA E ROSCA PARA REGISTRO, PVC, SOLDÁVEL, DN 32MM X 1, INSTALADO EM RAMAL OU SUB-RAMAL DE ÁGUA - FORNECIMENTO E INSTALAÇÃO. AF_06/2022</t>
  </si>
  <si>
    <t>ADAPTADOR CURTO COM BOLSA E ROSCA PARA REGISTRO, PVC, SOLDÁVEL, DN 40MM X 1.1/2, INSTALADO EM PRUMADA DE ÁGUA - FORNECIMENTO E INSTALAÇÃO. AF_06/2022</t>
  </si>
  <si>
    <t>ADAPTADOR CURTO COM BOLSA E ROSCA PARA REGISTRO, PVC, SOLDÁVEL, DN 50MM X 1.1/2, INSTALADO EM PRUMADA DE ÁGUA - FORNECIMENTO E INSTALAÇÃO. AF_06/2022</t>
  </si>
  <si>
    <t>ADAPTADOR CURTO COM BOLSA E ROSCA PARA REGISTRO, PVC, SOLDÁVEL, DN 60 MM X 2", INSTALADO EM RESERVAÇÃO PREDIAL DE ÁGUA - FORNECIMENTO E INSTALAÇÃO. AF_04/2024</t>
  </si>
  <si>
    <t>LUVA SOLDÁVEL E COM ROSCA, PVC, SOLDÁVEL, DN 25MM X 3/4, INSTALADO EM RAMAL OU SUB-RAMAL DE ÁGUA - FORNECIMENTO E INSTALAÇÃO. AF_06/2022</t>
  </si>
  <si>
    <t>BUCHA DE REDUÇÃO, PPR, 32 X 25, CLASSE PN 25, INSTALADO EM PRUMADA DE ÁGUA FORNECIMENTO E INSTALAÇÃO . AF_08/2022</t>
  </si>
  <si>
    <t>Bucha de redução longa de pvc rígido soldável, marrom, diâm = 60 x 40mm  Rev.01 - 10/2022</t>
  </si>
  <si>
    <t>UNIÃO, PVC, SOLDÁVEL, DN 40MM, INSTALADO EM PRUMADA DE ÁGUA - FORNECIMENTO E INSTALAÇÃO. AF_06/2022</t>
  </si>
  <si>
    <t>UNIÃO, PVC, SOLDÁVEL, DN 50MM, INSTALADO EM PRUMADA DE ÁGUA - FORNECIMENTO E INSTALAÇÃO. AF_06/2022</t>
  </si>
  <si>
    <t>CURVA EM COBRE, DN 35 MM, 45 GRAUS, SEM ANEL DE SOLDA, BOLSA X BOLSA, INSTALADO EM PRUMADA DE HIDRÁULICA PREDIAL - FORNECIMENTO E INSTALAÇÃO. AF_04/2022</t>
  </si>
  <si>
    <t>TE DUPLA CURVA EM BRONZE/LATÃO, DN 3/4" X 22 MM X 3/4", SEM ANEL DE SOLDA, ROSCA F X BOLSA X ROSCA F, INSTALADO EM RAMAL E SUB-RAMAL DE HIDRÁULICA PREDIAL - FORNECIMENTO E INSTALAÇÃO. AF_04/2022</t>
  </si>
  <si>
    <t>Fornecimento e assentamento de união de ferro galvanizado assento bronze de 11/4"</t>
  </si>
  <si>
    <t>Fornecimento e assentamento de união de ferro galvanizado assento bronze de 11/2"</t>
  </si>
  <si>
    <t>KIT CAVALETE PARA MEDIÇÃO DE ÁGUA - ENTRADA PRINCIPAL, EM AÇO GALVANIZADO DN 25 MM (1") - FORNECIMENTO E INSTALAÇÃO (EXCLUSIVE HIDRÔMETRO). AF_03/2024</t>
  </si>
  <si>
    <t>VÁLVULA DE RETENÇÃO HORIZONTAL, DE BRONZE, ROSCÁVEL, 1 1/2" - FORNECIMENTO E INSTALAÇÃO. AF_08/2021</t>
  </si>
  <si>
    <t>NIPLE, EM FERRO GALVANIZADO, CONEXÃO ROSQUEADA, DN 15 (1/2"), INSTALADO EM RAMAIS E SUB-RAMAIS DE GÁS - FORNECIMENTO E INSTALAÇÃO. AF_01/2026</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</si>
  <si>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</si>
  <si>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</si>
  <si>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</si>
  <si>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</si>
  <si>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JOELHO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</si>
  <si>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</si>
  <si>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</si>
  <si>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40 MM, JUNTA SOLDÁVEL, FORNECIDO E INSTALADO EM RAMAL DE DESCARGA OU RAMAL DE ESGOTO SANITÁRIO. AF_08/2022</t>
  </si>
  <si>
    <t>JOELHO 45 GRAUS, PVC, SERIE NORMAL, ESGOTO PREDIAL, DN 50 MM, JUNTA ELÁSTICA, FORNECIDO E INSTALADO EM RAMAL DE DESCARGA OU RAMAL DE ESGOTO SANITÁRIO. AF_08/2022</t>
  </si>
  <si>
    <t>JOELHO 45 GRAUS, PVC, SERIE NORMAL, ESGOTO PREDIAL, DN 75 MM, JUNTA ELÁSTICA, FORNECIDO E INSTALADO EM RAMAL DE DESCARGA OU RAMAL DE ESGOTO SANITÁRIO. AF_08/2022</t>
  </si>
  <si>
    <t>JOELHO 45 GRAUS, PVC, SERIE NORMAL, ESGOTO PREDIAL, DN 100 MM, JUNTA ELÁSTICA, FORNECIDO E INSTALADO EM PRUMADA DE ESGOTO SANITÁRIO OU VENTILAÇÃO. AF_08/2022</t>
  </si>
  <si>
    <t>JUNÇÃO SIMPLES, PVC, SERIE R, ÁGUA PLUVIAL, DN 40 MM, JUNTA SOLDÁVEL, FORNECIDO E INSTALADO EM RAMAL DE ENCAMINHAMENTO. AF_06/2022</t>
  </si>
  <si>
    <t>JUNÇÃO SIMPLES, PVC, SERIE NORMAL, ESGOTO PREDIAL, DN 50 X 50 MM, JUNTA ELÁSTICA, FORNECIDO E INSTALADO EM RAMAL DE DESCARGA OU RAMAL DE ESGOTO SANITÁRIO. AF_08/2022</t>
  </si>
  <si>
    <t>Junção simples em pvc rígido soldável, para esgoto primário, diâm = 75 x 50mmRev.01 -  10/2022</t>
  </si>
  <si>
    <t>TE, PVC, SERIE NORMAL, ESGOTO PREDIAL, DN 40 X 40 MM, JUNTA SOLDÁVEL, FORNECIDO E INSTALADO EM RAMAL DE DESCARGA OU RAMAL DE ESGOTO SANITÁRIO. AF_08/2022</t>
  </si>
  <si>
    <t>TE, PVC, SERIE NORMAL, ESGOTO PREDIAL, DN 50 X 50 MM, JUNTA ELÁSTICA, FORNECIDO E INSTALADO EM RAMAL DE DESCARGA OU RAMAL DE ESGOTO SANITÁRIO. AF_08/2022</t>
  </si>
  <si>
    <t>TÊ DE REDUÇÃO, PVC, SOLDÁVEL, DN 75 MM X 50 MM, INSTALADO EM RESERVAÇÃO PREDIAL DE ÁGUA - FORNECIMENTO E INSTALAÇÃO. AF_04/2024</t>
  </si>
  <si>
    <t>TÊ DE REDUÇÃO, PVC, SOLDÁVEL, DN 110 MM X 60 MM, INSTALADO EM RESERVAÇÃO PREDIAL DE ÁGUA - FORNECIMENTO E INSTALAÇÃO. AF_04/2024</t>
  </si>
  <si>
    <t>LUVA SIMPLES, PVC, SERIE NORMAL, ESGOTO PREDIAL, DN 50 MM, JUNTA ELÁSTICA, FORNECIDO E INSTALADO EM RAMAL DE DESCARGA OU RAMAL DE ESGOTO SANITÁRIO. AF_08/2022</t>
  </si>
  <si>
    <t>LUVA SIMPLES, PVC, SERIE NORMAL, ESGOTO PREDIAL, DN 75 MM, JUNTA ELÁSTICA, FORNECIDO E INSTALADO EM RAMAL DE DESCARGA OU RAMAL DE ESGOTO SANITÁRIO. AF_08/2022</t>
  </si>
  <si>
    <t>LUVA SIMPLES, PVC, SERIE NORMAL, ESGOTO PREDIAL, DN 100 MM, JUNTA ELÁSTICA, FORNECIDO E INSTALADO EM SUBCOLETOR AÉREO DE ESGOTO SANITÁRIO. AF_08/2022</t>
  </si>
  <si>
    <t>Redução excentrica em pvc rígido soldável, para esgoto primário, diâm = 100 x50mm</t>
  </si>
  <si>
    <t>Redução excentrica em pvc rígido soldável, para esgoto primário, diâm = 100 x75mm</t>
  </si>
  <si>
    <t>TUBO, PVC, SOLDÁVEL, DE 25MM, INSTALADO EM RAMAL DE DISTRIBUIÇÃO DE ÁGUA - FORNECIMENTO E INSTALAÇÃO. AF_06/2022</t>
  </si>
  <si>
    <t>BUCHA DE REDUÇÃO, PPR, 40 X 25, CLASSE PN 25, INSTALADO EM RAMAL DE DISTRIBUIÇÃO DE ÁGUA FORNECIMENTO E INSTALAÇÃO. AF_08/2022</t>
  </si>
  <si>
    <t>SIFÃO DO TIPO GARRAFA EM METAL CROMADO 1" X 1.1/2" - FORNECIMENTO E INSTALAÇÃO. AF_02/2026</t>
  </si>
  <si>
    <t>CAIXA SIFONADA PVC 100 X 150 X 50MM (DIÂMETRO X H X DIÂMETRO SAÍDA)</t>
  </si>
  <si>
    <t>CAIXA SIFONADA, PVC, DN 150 X 185 X 75 MM, JUNTA ELÁSTICA, FORNECIDA E INSTALADA EM RAMAL DE DESCARGA OU EM RAMAL DE ESGOTO SANITÁRIO. AF_08/2022</t>
  </si>
  <si>
    <t>TUBO DE AÇO GALVANIZADO COM COSTURA, CLASSE MÉDIA, CONEXÃO RANHURADA, DN 65 (2 1/2"), INSTALADO EM PRUMADAS - FORNECIMENTO E INSTALAÇÃO. AF_01/2026</t>
  </si>
  <si>
    <t>TUBO DE AÇO GALVANIZADO COM COSTURA, CLASSE MÉDIA, CONEXÃO RANHURADA, DN 80 (3"), INSTALADO EM PRUMADAS - FORNECIMENTO E INSTALAÇÃO. AF_01/2026</t>
  </si>
  <si>
    <t>COTOVELO 90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</si>
  <si>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</si>
  <si>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Fornecimento e assentamento de união de ferro galvanizado assento bronze de 21/2"</t>
  </si>
  <si>
    <t>COTOVELO EM COBRE, DN 15 MM, 90 GRAUS, SEM ANEL DE SOLDA, INSTALADO EM RAMAL DE DISTRIBUIÇÃO FORNECIMENTO E INSTALAÇÃO. AF_04/2022</t>
  </si>
  <si>
    <t>BUCHA DE REDUÇÃO EM COBRE, DN 22 MM X 15 MM, SEM ANEL DE SOLDA, PONTA X BOLSA, INSTALADO EM RAMAL E SUB-RAMAL DE HIDRÁULICA PREDIAL - FORNECIMENTO E INSTALAÇÃO. AF_04/2022</t>
  </si>
  <si>
    <t>BUCHA DE REDUÇÃO EM COBRE, DN 28 MM X 22 MM, SEM ANEL DE SOLDA, INSTALADO EM RAMAL DE DISTRIBUIÇÃO DE HIDRÁULICA PREDIAL - FORNECIMENTO E INSTALAÇÃO. AF_04/2022</t>
  </si>
  <si>
    <t>BUCHA DE REDUÇÃO EM COBRE, DN 35 MM X 28 MM, SEM ANEL DE SOLDA, PONTA X BOLSA, INSTALADO EM PRUMADA DE HIDRÁULICA PREDIAL - FORNECIMENTO E INSTALAÇÃO. AF_04/2022</t>
  </si>
  <si>
    <t>CURVA 90 MACHO-FEMEA GALVANIZADA 4""</t>
  </si>
  <si>
    <t>CURVA 90 ELETRODUTO GALVANIZADO ELETROLITICO 2""</t>
  </si>
  <si>
    <t>TE 90 GALVANIZADO 3""</t>
  </si>
  <si>
    <t>DETECTOR DE FUMACA FOTOELETRICO COM SUPERVISAO CL-180</t>
  </si>
  <si>
    <t>TE 90 GALVANIZADO 2.1/2""</t>
  </si>
  <si>
    <t>EMENDA METALC. P/ ESTACA PRE-MOLDADA 30CM CARGA DE 31T A 40T</t>
  </si>
  <si>
    <t>PLANTIO DE GRAMA EM PAVIMENTO CONCREGRAMA. AF_07/2024</t>
  </si>
  <si>
    <t>CONDULETE ALUMINIO ""E"" 3/4""</t>
  </si>
  <si>
    <t>CABO PP 3 CONDUTORES 450/750V 1,50mm2</t>
  </si>
  <si>
    <t>BUCHA DE ALUMINIO PARA ELETRODUTO 3/8""</t>
  </si>
  <si>
    <t>IDENTIFICACAO DE CONDUTORES (TRES ANILHAS)</t>
  </si>
  <si>
    <t>ELETRODUTO GALVANIZADO NBR 5598 3/4"" COM CONEXOES</t>
  </si>
  <si>
    <t>ELETRODUTO GALVANIZADO NBR 5597 1.1/2"" COM CONEXOES</t>
  </si>
  <si>
    <t>ELETRODUTO GALVANIZADO NBR 5597 2"" COM CONEXOES</t>
  </si>
  <si>
    <t>ELETRODUTO FLEXIVEL PVC TIGREFLEX REFORCADO LARANJA 20mm</t>
  </si>
  <si>
    <t>TE VERT SUBIDA ELETROCALHA LISA/PERF 200x50mm</t>
  </si>
  <si>
    <t>Taxa de destinação de resíduo sólido em aterro - telhas cimento amianto</t>
  </si>
  <si>
    <t>DEMOLIÇÃO DE PILARES E VIGAS EM CONCRETO ARMADO, DE FORMA MECANIZADA COM MARTELETE, SEM REAPROVEITAMENTO. AF_09/2023</t>
  </si>
  <si>
    <t>DEMOLIÇÃO DE ALVENARIA PARA QUALQUER TIPO DE BLOCO, DE FORMA MECANIZADA, SEM REAPROVEITAMENTO. AF_09/2023</t>
  </si>
  <si>
    <t>REMOÇÃO DE JANELAS, DE FORMA MANUAL, SEM REAPROVEITAMENTO. AF_09/2023</t>
  </si>
  <si>
    <t>REMOÇÃO DE PORTAS, DE FORMA MANUAL, SEM REAPROVEITAMENTO. AF_09/2023</t>
  </si>
  <si>
    <t>REMOÇÃO DE LOUÇAS, DE FORMA MANUAL, SEM REAPROVEITAMENTO. AF_09/2023</t>
  </si>
  <si>
    <t>REMOÇÃO DE TELHAS DE FIBROCIMENTO, METÁLICA E CERÂMICA, DE FORMA MECANIZADA, COM USO DE GUINDASTE, SEM REAPROVEITAMENTO. AF_09/2023</t>
  </si>
  <si>
    <t>REMOÇÃO DE TRAMA METÁLICA PARA COBERTURA, DE FORMA MANUAL, SEM REAPROVEITAMENTO. AF_09/2023</t>
  </si>
  <si>
    <t>BRS01 - PAINEL DE SISTEMA LINEAR RB FIXADO SOBRE PORTA PAINEL RB AUTOTRAVE TODO EM ALUMÍNIO, COR RAL 7021</t>
  </si>
  <si>
    <t>Valor Unitário</t>
  </si>
  <si>
    <t>43.853,17</t>
  </si>
  <si>
    <t>212,67</t>
  </si>
  <si>
    <t>37.429,92</t>
  </si>
  <si>
    <t>31.250,00</t>
  </si>
  <si>
    <t>27.549,86</t>
  </si>
  <si>
    <t>12.031,26</t>
  </si>
  <si>
    <t>562,94</t>
  </si>
  <si>
    <t>8.756,49</t>
  </si>
  <si>
    <t xml:space="preserve"> 00040862 </t>
  </si>
  <si>
    <t>ALIMENTACAO - MENSALISTA (COLETADO CAIXA - ENCARGOS COMPLEMENTARES)</t>
  </si>
  <si>
    <t>Encargos Complementares</t>
  </si>
  <si>
    <t>806,06</t>
  </si>
  <si>
    <t>8.060,60</t>
  </si>
  <si>
    <t>3.984,31</t>
  </si>
  <si>
    <t>7.968,62</t>
  </si>
  <si>
    <t>7.045,58</t>
  </si>
  <si>
    <t>1,13%</t>
  </si>
  <si>
    <t>6.169,85</t>
  </si>
  <si>
    <t>33,16</t>
  </si>
  <si>
    <t>5.836,16</t>
  </si>
  <si>
    <t>5.550,00</t>
  </si>
  <si>
    <t>1,00%</t>
  </si>
  <si>
    <t>2.599,44</t>
  </si>
  <si>
    <t>5.198,88</t>
  </si>
  <si>
    <t>5.042,63</t>
  </si>
  <si>
    <t>4.589,40</t>
  </si>
  <si>
    <t xml:space="preserve"> 00002747 </t>
  </si>
  <si>
    <t>MOURAO ROLICO DE MADEIRA TRATADA, D = 16 A 20 CM, H = 2,20 M, EM EUCALIPTO OU EQUIVALENTE DA REGIAO (PARA CERCA)</t>
  </si>
  <si>
    <t>105,6000000</t>
  </si>
  <si>
    <t>39,78</t>
  </si>
  <si>
    <t>4.200,77</t>
  </si>
  <si>
    <t>136,9955468</t>
  </si>
  <si>
    <t>30,36</t>
  </si>
  <si>
    <t>4.159,18</t>
  </si>
  <si>
    <t>34,31</t>
  </si>
  <si>
    <t>763,25</t>
  </si>
  <si>
    <t>3.816,25</t>
  </si>
  <si>
    <t>22,14</t>
  </si>
  <si>
    <t>23,31</t>
  </si>
  <si>
    <t>0,66%</t>
  </si>
  <si>
    <t>2.921,85</t>
  </si>
  <si>
    <t>1.455,44</t>
  </si>
  <si>
    <t>2.910,88</t>
  </si>
  <si>
    <t>123,2756986</t>
  </si>
  <si>
    <t>2.873,56</t>
  </si>
  <si>
    <t>2.855,71</t>
  </si>
  <si>
    <t>754,71</t>
  </si>
  <si>
    <t>2.769,79</t>
  </si>
  <si>
    <t>2.731,77</t>
  </si>
  <si>
    <t>0,49%</t>
  </si>
  <si>
    <t>2.728,75</t>
  </si>
  <si>
    <t xml:space="preserve"> 099900 </t>
  </si>
  <si>
    <t>20,48</t>
  </si>
  <si>
    <t xml:space="preserve"> 00040861 </t>
  </si>
  <si>
    <t>TRANSPORTE - MENSALISTA (COLETADO CAIXA - ENCARGOS COMPLEMENTARES)</t>
  </si>
  <si>
    <t>289,50</t>
  </si>
  <si>
    <t>2.605,50</t>
  </si>
  <si>
    <t>64,34</t>
  </si>
  <si>
    <t>2.567,81</t>
  </si>
  <si>
    <t>84,6212743</t>
  </si>
  <si>
    <t>30,04</t>
  </si>
  <si>
    <t>2.542,02</t>
  </si>
  <si>
    <t>422,67</t>
  </si>
  <si>
    <t>0,45%</t>
  </si>
  <si>
    <t>31,19</t>
  </si>
  <si>
    <t>580,99</t>
  </si>
  <si>
    <t>2.393,68</t>
  </si>
  <si>
    <t>210,14</t>
  </si>
  <si>
    <t>2.269,33</t>
  </si>
  <si>
    <t>279,50</t>
  </si>
  <si>
    <t>2.236,00</t>
  </si>
  <si>
    <t>1.085,49</t>
  </si>
  <si>
    <t>2.225,25</t>
  </si>
  <si>
    <t>69,1688335</t>
  </si>
  <si>
    <t>31,89</t>
  </si>
  <si>
    <t>2.205,79</t>
  </si>
  <si>
    <t>2.076,05</t>
  </si>
  <si>
    <t>1.969,68</t>
  </si>
  <si>
    <t>22,71</t>
  </si>
  <si>
    <t>605,69</t>
  </si>
  <si>
    <t xml:space="preserve"> 099806 </t>
  </si>
  <si>
    <t>83,6810000</t>
  </si>
  <si>
    <t>1.806,67</t>
  </si>
  <si>
    <t xml:space="preserve"> 00002436/SINAPI </t>
  </si>
  <si>
    <t>Eletricista (horista)</t>
  </si>
  <si>
    <t>85,8240000</t>
  </si>
  <si>
    <t>20,45</t>
  </si>
  <si>
    <t>1.755,10</t>
  </si>
  <si>
    <t>75,1383896</t>
  </si>
  <si>
    <t>1.751,48</t>
  </si>
  <si>
    <t>73,12%</t>
  </si>
  <si>
    <t xml:space="preserve"> 099250 </t>
  </si>
  <si>
    <t>53,5560000</t>
  </si>
  <si>
    <t>30,51</t>
  </si>
  <si>
    <t>1.633,99</t>
  </si>
  <si>
    <t xml:space="preserve"> 00006212 </t>
  </si>
  <si>
    <t>TABUA *2,5 X 30 CM EM PINUS, MISTA OU EQUIVALENTE DA REGIAO - BRUTA</t>
  </si>
  <si>
    <t>123,7280000</t>
  </si>
  <si>
    <t>13,14</t>
  </si>
  <si>
    <t>1.625,79</t>
  </si>
  <si>
    <t>788,60</t>
  </si>
  <si>
    <t>1.577,20</t>
  </si>
  <si>
    <t>1.520,59</t>
  </si>
  <si>
    <t>399,11</t>
  </si>
  <si>
    <t>1.516,62</t>
  </si>
  <si>
    <t>1.491,86</t>
  </si>
  <si>
    <t>849,16</t>
  </si>
  <si>
    <t>1.469,05</t>
  </si>
  <si>
    <t>33,12</t>
  </si>
  <si>
    <t>1.460,36</t>
  </si>
  <si>
    <t>1.433,14</t>
  </si>
  <si>
    <t>1.394,19</t>
  </si>
  <si>
    <t>76,11%</t>
  </si>
  <si>
    <t>1.376,53</t>
  </si>
  <si>
    <t>457,28</t>
  </si>
  <si>
    <t>1.371,84</t>
  </si>
  <si>
    <t>831,05</t>
  </si>
  <si>
    <t>454,81</t>
  </si>
  <si>
    <t>1.364,43</t>
  </si>
  <si>
    <t xml:space="preserve"> 099200 </t>
  </si>
  <si>
    <t>BOMBEIRO OU ENCANADOR</t>
  </si>
  <si>
    <t>44,9630000</t>
  </si>
  <si>
    <t>28,35</t>
  </si>
  <si>
    <t>1.274,70</t>
  </si>
  <si>
    <t>54,22</t>
  </si>
  <si>
    <t>1.247,06</t>
  </si>
  <si>
    <t>1.217,00</t>
  </si>
  <si>
    <t>56,05</t>
  </si>
  <si>
    <t>1.149,42</t>
  </si>
  <si>
    <t>1.125,96</t>
  </si>
  <si>
    <t>1.125,00</t>
  </si>
  <si>
    <t>1.093,13</t>
  </si>
  <si>
    <t>545,00</t>
  </si>
  <si>
    <t>1.090,00</t>
  </si>
  <si>
    <t>27,64</t>
  </si>
  <si>
    <t xml:space="preserve"> 00006111/SINAPI </t>
  </si>
  <si>
    <t>Servente de obras (horista)</t>
  </si>
  <si>
    <t>68,4047934</t>
  </si>
  <si>
    <t>15,59</t>
  </si>
  <si>
    <t>1.066,43</t>
  </si>
  <si>
    <t>1.053,26</t>
  </si>
  <si>
    <t>999,90</t>
  </si>
  <si>
    <t>986,51</t>
  </si>
  <si>
    <t>81,34%</t>
  </si>
  <si>
    <t>947,92</t>
  </si>
  <si>
    <t xml:space="preserve"> MATED-11192 </t>
  </si>
  <si>
    <t>934,47</t>
  </si>
  <si>
    <t xml:space="preserve"> A.05.000.020307 </t>
  </si>
  <si>
    <t>Taxa para descarte em aterro legalizado - tipo telhas cimento amianto</t>
  </si>
  <si>
    <t>922,99</t>
  </si>
  <si>
    <t>906,77</t>
  </si>
  <si>
    <t>46,65</t>
  </si>
  <si>
    <t>879,35</t>
  </si>
  <si>
    <t>287,50</t>
  </si>
  <si>
    <t>862,50</t>
  </si>
  <si>
    <t>858,82</t>
  </si>
  <si>
    <t>1,6195000</t>
  </si>
  <si>
    <t>530,00</t>
  </si>
  <si>
    <t>858,34</t>
  </si>
  <si>
    <t>839,86</t>
  </si>
  <si>
    <t>791,43</t>
  </si>
  <si>
    <t>105,00</t>
  </si>
  <si>
    <t>765,35</t>
  </si>
  <si>
    <t>755,53</t>
  </si>
  <si>
    <t>10,00</t>
  </si>
  <si>
    <t xml:space="preserve"> 053431 </t>
  </si>
  <si>
    <t>CURVA 90 MACHO-FEMEA GALVANIZADO 4""</t>
  </si>
  <si>
    <t>750,15</t>
  </si>
  <si>
    <t>727,05</t>
  </si>
  <si>
    <t xml:space="preserve"> 099449 </t>
  </si>
  <si>
    <t>239,90</t>
  </si>
  <si>
    <t>44,26</t>
  </si>
  <si>
    <t>708,16</t>
  </si>
  <si>
    <t>675,89</t>
  </si>
  <si>
    <t xml:space="preserve"> 099360 </t>
  </si>
  <si>
    <t>CARPINTEIRO DE ESQUADRIA</t>
  </si>
  <si>
    <t>336,25</t>
  </si>
  <si>
    <t>672,50</t>
  </si>
  <si>
    <t>664,90</t>
  </si>
  <si>
    <t xml:space="preserve"> 00004750/SINAPI </t>
  </si>
  <si>
    <t>Pedreiro (horista)</t>
  </si>
  <si>
    <t>32,3000000</t>
  </si>
  <si>
    <t>660,54</t>
  </si>
  <si>
    <t>654,00</t>
  </si>
  <si>
    <t>85,52%</t>
  </si>
  <si>
    <t xml:space="preserve"> 099034 </t>
  </si>
  <si>
    <t>AJUDANTE DE BOMBEIRO OU ENCANADOR</t>
  </si>
  <si>
    <t>30,0320000</t>
  </si>
  <si>
    <t>648,39</t>
  </si>
  <si>
    <t>0,67</t>
  </si>
  <si>
    <t>645,46</t>
  </si>
  <si>
    <t>608,51</t>
  </si>
  <si>
    <t>645,02</t>
  </si>
  <si>
    <t>627,65</t>
  </si>
  <si>
    <t>619,38</t>
  </si>
  <si>
    <t>618,19</t>
  </si>
  <si>
    <t>86,43%</t>
  </si>
  <si>
    <t>149,50</t>
  </si>
  <si>
    <t>598,00</t>
  </si>
  <si>
    <t>4,3092323</t>
  </si>
  <si>
    <t>137,72</t>
  </si>
  <si>
    <t>593,47</t>
  </si>
  <si>
    <t>295,00</t>
  </si>
  <si>
    <t>590,00</t>
  </si>
  <si>
    <t>146,95</t>
  </si>
  <si>
    <t>587,80</t>
  </si>
  <si>
    <t>575,00</t>
  </si>
  <si>
    <t>142,00</t>
  </si>
  <si>
    <t>283,19</t>
  </si>
  <si>
    <t>566,38</t>
  </si>
  <si>
    <t>1,68</t>
  </si>
  <si>
    <t xml:space="preserve"> 099550 </t>
  </si>
  <si>
    <t>PINTOR</t>
  </si>
  <si>
    <t>87,47%</t>
  </si>
  <si>
    <t>548,72</t>
  </si>
  <si>
    <t>180,52</t>
  </si>
  <si>
    <t>40,97</t>
  </si>
  <si>
    <t>532,61</t>
  </si>
  <si>
    <t xml:space="preserve"> 00001347 </t>
  </si>
  <si>
    <t>CHAPA/PAINEL DE MADEIRA COMPENSADA PLASTIFICADA (MADEIRITE PLASTIFICADO) PARA FORMA DE CONCRETO, DE 2200 X 1100 MM, E = 12 MM</t>
  </si>
  <si>
    <t>9,4500000</t>
  </si>
  <si>
    <t>56,02</t>
  </si>
  <si>
    <t>529,39</t>
  </si>
  <si>
    <t>87,86%</t>
  </si>
  <si>
    <t>525,35</t>
  </si>
  <si>
    <t>521,59</t>
  </si>
  <si>
    <t>256,01</t>
  </si>
  <si>
    <t>512,02</t>
  </si>
  <si>
    <t>250,76</t>
  </si>
  <si>
    <t>501,52</t>
  </si>
  <si>
    <t>474,52</t>
  </si>
  <si>
    <t>462,98</t>
  </si>
  <si>
    <t>159,00</t>
  </si>
  <si>
    <t>461,10</t>
  </si>
  <si>
    <t>457,59</t>
  </si>
  <si>
    <t>142,54</t>
  </si>
  <si>
    <t>449,00</t>
  </si>
  <si>
    <t>88,80%</t>
  </si>
  <si>
    <t xml:space="preserve"> 099770 </t>
  </si>
  <si>
    <t>PINTOR LETRISTA</t>
  </si>
  <si>
    <t>15,5200000</t>
  </si>
  <si>
    <t>439,99</t>
  </si>
  <si>
    <t xml:space="preserve"> 00012429/SINAPI </t>
  </si>
  <si>
    <t>Uniao com assento conico de bronze, diametro 3"</t>
  </si>
  <si>
    <t>436,53</t>
  </si>
  <si>
    <t>0,0909000</t>
  </si>
  <si>
    <t>4.769,55</t>
  </si>
  <si>
    <t>433,55</t>
  </si>
  <si>
    <t>0,0001739</t>
  </si>
  <si>
    <t>2.491.030,28</t>
  </si>
  <si>
    <t>433,19</t>
  </si>
  <si>
    <t>429,54</t>
  </si>
  <si>
    <t>89,27%</t>
  </si>
  <si>
    <t>429,45</t>
  </si>
  <si>
    <t>51,4748957</t>
  </si>
  <si>
    <t>7,92</t>
  </si>
  <si>
    <t>407,68</t>
  </si>
  <si>
    <t>395,03</t>
  </si>
  <si>
    <t>195,44</t>
  </si>
  <si>
    <t>390,88</t>
  </si>
  <si>
    <t>239,4542342</t>
  </si>
  <si>
    <t>1,60</t>
  </si>
  <si>
    <t>383,13</t>
  </si>
  <si>
    <t>89,85%</t>
  </si>
  <si>
    <t>94,58</t>
  </si>
  <si>
    <t>378,32</t>
  </si>
  <si>
    <t>89,91%</t>
  </si>
  <si>
    <t>170,72</t>
  </si>
  <si>
    <t>89,98%</t>
  </si>
  <si>
    <t>377,00</t>
  </si>
  <si>
    <t>371,69</t>
  </si>
  <si>
    <t xml:space="preserve"> 099537 </t>
  </si>
  <si>
    <t>VIDRACEIRO</t>
  </si>
  <si>
    <t>13,0720000</t>
  </si>
  <si>
    <t>370,59</t>
  </si>
  <si>
    <t>370,00</t>
  </si>
  <si>
    <t>0,0455000</t>
  </si>
  <si>
    <t>8.091,95</t>
  </si>
  <si>
    <t>368,18</t>
  </si>
  <si>
    <t>537,50</t>
  </si>
  <si>
    <t>90,45%</t>
  </si>
  <si>
    <t>343,61</t>
  </si>
  <si>
    <t>360,79</t>
  </si>
  <si>
    <t>359,80</t>
  </si>
  <si>
    <t>2,2064062</t>
  </si>
  <si>
    <t>350,82</t>
  </si>
  <si>
    <t>349,75</t>
  </si>
  <si>
    <t>340,05</t>
  </si>
  <si>
    <t>24,96</t>
  </si>
  <si>
    <t xml:space="preserve"> 099014 </t>
  </si>
  <si>
    <t>MARCENEIRO 1a. CLASSE</t>
  </si>
  <si>
    <t>6,1860000</t>
  </si>
  <si>
    <t>53,12</t>
  </si>
  <si>
    <t>328,60</t>
  </si>
  <si>
    <t>328,57</t>
  </si>
  <si>
    <t>90,94%</t>
  </si>
  <si>
    <t>325,80</t>
  </si>
  <si>
    <t>21,42</t>
  </si>
  <si>
    <t>322,84</t>
  </si>
  <si>
    <t>157,20</t>
  </si>
  <si>
    <t>321,47</t>
  </si>
  <si>
    <t>91,29%</t>
  </si>
  <si>
    <t>1,0667000</t>
  </si>
  <si>
    <t>292,15</t>
  </si>
  <si>
    <t>311,64</t>
  </si>
  <si>
    <t>301,56</t>
  </si>
  <si>
    <t>295,90</t>
  </si>
  <si>
    <t>295,77</t>
  </si>
  <si>
    <t>293,90</t>
  </si>
  <si>
    <t>290,57</t>
  </si>
  <si>
    <t>289,00</t>
  </si>
  <si>
    <t>288,16</t>
  </si>
  <si>
    <t>278,17</t>
  </si>
  <si>
    <t>92,03%</t>
  </si>
  <si>
    <t xml:space="preserve"> 00012427/SINAPI </t>
  </si>
  <si>
    <t>Uniao com assento conico de bronze, diametro 2 1/2"</t>
  </si>
  <si>
    <t>269,96</t>
  </si>
  <si>
    <t>49,58</t>
  </si>
  <si>
    <t xml:space="preserve"> 099350 </t>
  </si>
  <si>
    <t>CARPINTEIRO DE FORMAS</t>
  </si>
  <si>
    <t>9,1420000</t>
  </si>
  <si>
    <t>259,18</t>
  </si>
  <si>
    <t>32,25</t>
  </si>
  <si>
    <t>258,00</t>
  </si>
  <si>
    <t>205,00</t>
  </si>
  <si>
    <t>252,11</t>
  </si>
  <si>
    <t>10,9000000</t>
  </si>
  <si>
    <t>247,54</t>
  </si>
  <si>
    <t>246,80</t>
  </si>
  <si>
    <t xml:space="preserve"> 00006136/SINAPI </t>
  </si>
  <si>
    <t>Sifao em metal cromado para pia ou lavatorio, 1 x 1.1/2"</t>
  </si>
  <si>
    <t>245,28</t>
  </si>
  <si>
    <t>344,24</t>
  </si>
  <si>
    <t>240,97</t>
  </si>
  <si>
    <t>72,26</t>
  </si>
  <si>
    <t>240,84</t>
  </si>
  <si>
    <t>26,96</t>
  </si>
  <si>
    <t>223,24</t>
  </si>
  <si>
    <t>234,40</t>
  </si>
  <si>
    <t>92,71%</t>
  </si>
  <si>
    <t>233,99</t>
  </si>
  <si>
    <t>92,75%</t>
  </si>
  <si>
    <t>232,98</t>
  </si>
  <si>
    <t>92,79%</t>
  </si>
  <si>
    <t>230,52</t>
  </si>
  <si>
    <t>92,83%</t>
  </si>
  <si>
    <t>229,90</t>
  </si>
  <si>
    <t>227,45</t>
  </si>
  <si>
    <t>226,08</t>
  </si>
  <si>
    <t>2,1065939</t>
  </si>
  <si>
    <t>106,37</t>
  </si>
  <si>
    <t>224,08</t>
  </si>
  <si>
    <t>223,96</t>
  </si>
  <si>
    <t>155,2286516</t>
  </si>
  <si>
    <t>221,98</t>
  </si>
  <si>
    <t>20,02</t>
  </si>
  <si>
    <t>220,22</t>
  </si>
  <si>
    <t>93,20%</t>
  </si>
  <si>
    <t>218,40</t>
  </si>
  <si>
    <t>93,24%</t>
  </si>
  <si>
    <t>217,70</t>
  </si>
  <si>
    <t>93,31%</t>
  </si>
  <si>
    <t>104,08</t>
  </si>
  <si>
    <t>212,70</t>
  </si>
  <si>
    <t xml:space="preserve"> 00002696/SINAPI </t>
  </si>
  <si>
    <t>Encanador ou bombeiro hidraulico (horista)</t>
  </si>
  <si>
    <t>10,3100000</t>
  </si>
  <si>
    <t>210,84</t>
  </si>
  <si>
    <t xml:space="preserve"> TWBH57 </t>
  </si>
  <si>
    <t>190,45</t>
  </si>
  <si>
    <t>209,50</t>
  </si>
  <si>
    <t>205,93</t>
  </si>
  <si>
    <t>78,84</t>
  </si>
  <si>
    <t>204,98</t>
  </si>
  <si>
    <t>93,62%</t>
  </si>
  <si>
    <t>204,34</t>
  </si>
  <si>
    <t xml:space="preserve"> 00006314/SINAPI </t>
  </si>
  <si>
    <t>Te de reducao de ferro galvanizado, com rosca bsp, de 3" x 2 1/2"</t>
  </si>
  <si>
    <t>204,14</t>
  </si>
  <si>
    <t>93,69%</t>
  </si>
  <si>
    <t>204,02</t>
  </si>
  <si>
    <t>93,73%</t>
  </si>
  <si>
    <t xml:space="preserve"> MATED-12565 </t>
  </si>
  <si>
    <t>40,67</t>
  </si>
  <si>
    <t>203,35</t>
  </si>
  <si>
    <t>93,76%</t>
  </si>
  <si>
    <t>202,60</t>
  </si>
  <si>
    <t>18,28</t>
  </si>
  <si>
    <t>93,83%</t>
  </si>
  <si>
    <t>8,6021362</t>
  </si>
  <si>
    <t>200,52</t>
  </si>
  <si>
    <t>49,22</t>
  </si>
  <si>
    <t>196,88</t>
  </si>
  <si>
    <t>192,04</t>
  </si>
  <si>
    <t>195,88</t>
  </si>
  <si>
    <t>194,86</t>
  </si>
  <si>
    <t>19,33</t>
  </si>
  <si>
    <t>193,30</t>
  </si>
  <si>
    <t>27,55</t>
  </si>
  <si>
    <t>192,85</t>
  </si>
  <si>
    <t>6,3842156</t>
  </si>
  <si>
    <t>30,08</t>
  </si>
  <si>
    <t>190,79</t>
  </si>
  <si>
    <t>5,3591677</t>
  </si>
  <si>
    <t>35,57</t>
  </si>
  <si>
    <t>190,63</t>
  </si>
  <si>
    <t>94,22%</t>
  </si>
  <si>
    <t>188,26</t>
  </si>
  <si>
    <t>186,38</t>
  </si>
  <si>
    <t>94,32%</t>
  </si>
  <si>
    <t>10,74</t>
  </si>
  <si>
    <t>185,91</t>
  </si>
  <si>
    <t>94,35%</t>
  </si>
  <si>
    <t>185,15</t>
  </si>
  <si>
    <t>94,38%</t>
  </si>
  <si>
    <t>181,31</t>
  </si>
  <si>
    <t>176,97</t>
  </si>
  <si>
    <t>172,45</t>
  </si>
  <si>
    <t>172,31</t>
  </si>
  <si>
    <t>170,00</t>
  </si>
  <si>
    <t xml:space="preserve"> 099050 </t>
  </si>
  <si>
    <t xml:space="preserve"> 00006194 </t>
  </si>
  <si>
    <t>TABUA *2,5 X 15 CM EM PINUS, MISTA OU EQUIVALENTE DA REGIAO - BRUTA</t>
  </si>
  <si>
    <t>29,7425048</t>
  </si>
  <si>
    <t>5,65</t>
  </si>
  <si>
    <t>168,05</t>
  </si>
  <si>
    <t>167,18</t>
  </si>
  <si>
    <t>94,82%</t>
  </si>
  <si>
    <t xml:space="preserve"> MATED-12539 </t>
  </si>
  <si>
    <t>159,90</t>
  </si>
  <si>
    <t>79,93</t>
  </si>
  <si>
    <t>159,86</t>
  </si>
  <si>
    <t>158,38</t>
  </si>
  <si>
    <t>157,32</t>
  </si>
  <si>
    <t>29,02</t>
  </si>
  <si>
    <t>156,71</t>
  </si>
  <si>
    <t>24,18</t>
  </si>
  <si>
    <t>21,79</t>
  </si>
  <si>
    <t>152,53</t>
  </si>
  <si>
    <t>95,10%</t>
  </si>
  <si>
    <t>74,74</t>
  </si>
  <si>
    <t>149,48</t>
  </si>
  <si>
    <t>149,14</t>
  </si>
  <si>
    <t>95,15%</t>
  </si>
  <si>
    <t>95,18%</t>
  </si>
  <si>
    <t>145,81</t>
  </si>
  <si>
    <t>12,13</t>
  </si>
  <si>
    <t>145,56</t>
  </si>
  <si>
    <t>95,23%</t>
  </si>
  <si>
    <t>5,38</t>
  </si>
  <si>
    <t>145,26</t>
  </si>
  <si>
    <t>142,55</t>
  </si>
  <si>
    <t>3,6557036</t>
  </si>
  <si>
    <t>38,31</t>
  </si>
  <si>
    <t>140,05</t>
  </si>
  <si>
    <t>139,90</t>
  </si>
  <si>
    <t>138,24</t>
  </si>
  <si>
    <t>138,22</t>
  </si>
  <si>
    <t>8,12</t>
  </si>
  <si>
    <t>137,81</t>
  </si>
  <si>
    <t>136,97</t>
  </si>
  <si>
    <t>31,47</t>
  </si>
  <si>
    <t>135,47</t>
  </si>
  <si>
    <t>129,83</t>
  </si>
  <si>
    <t>128,23</t>
  </si>
  <si>
    <t>95,60%</t>
  </si>
  <si>
    <t>1,0357750</t>
  </si>
  <si>
    <t>123,62</t>
  </si>
  <si>
    <t>128,04</t>
  </si>
  <si>
    <t xml:space="preserve"> 00010567/SINAPI </t>
  </si>
  <si>
    <t>Tabua *2,5 x 23* cm em pinus, mista ou equivalente da regiao - bruta</t>
  </si>
  <si>
    <t>9,3750000</t>
  </si>
  <si>
    <t>4,68</t>
  </si>
  <si>
    <t>127,30</t>
  </si>
  <si>
    <t>95,67%</t>
  </si>
  <si>
    <t>126,00</t>
  </si>
  <si>
    <t>95,69%</t>
  </si>
  <si>
    <t>124,90</t>
  </si>
  <si>
    <t>124,46</t>
  </si>
  <si>
    <t xml:space="preserve"> 00011891/SINAPI </t>
  </si>
  <si>
    <t>Cordao de cobre, flexivel, torcido, classe 4 ou 5, isolacao em pvc/d, 300 v, 2 condutores de 2,5 mm2</t>
  </si>
  <si>
    <t>123,09</t>
  </si>
  <si>
    <t>47,32</t>
  </si>
  <si>
    <t>123,03</t>
  </si>
  <si>
    <t>541,88</t>
  </si>
  <si>
    <t>122,75</t>
  </si>
  <si>
    <t>95,82%</t>
  </si>
  <si>
    <t>122,50</t>
  </si>
  <si>
    <t>95,84%</t>
  </si>
  <si>
    <t>122,00</t>
  </si>
  <si>
    <t>1,3491000</t>
  </si>
  <si>
    <t>89,70</t>
  </si>
  <si>
    <t>121,01</t>
  </si>
  <si>
    <t>119,89</t>
  </si>
  <si>
    <t>59,42</t>
  </si>
  <si>
    <t>118,84</t>
  </si>
  <si>
    <t>118,50</t>
  </si>
  <si>
    <t>118,07</t>
  </si>
  <si>
    <t>58,91</t>
  </si>
  <si>
    <t>117,82</t>
  </si>
  <si>
    <t>39,10</t>
  </si>
  <si>
    <t>117,30</t>
  </si>
  <si>
    <t>50,74</t>
  </si>
  <si>
    <t>116,70</t>
  </si>
  <si>
    <t>57,76</t>
  </si>
  <si>
    <t>115,52</t>
  </si>
  <si>
    <t>3,2987840</t>
  </si>
  <si>
    <t>34,91</t>
  </si>
  <si>
    <t>115,16</t>
  </si>
  <si>
    <t xml:space="preserve"> MOED-20142 </t>
  </si>
  <si>
    <t>4,4529425</t>
  </si>
  <si>
    <t>25,86</t>
  </si>
  <si>
    <t>115,15</t>
  </si>
  <si>
    <t xml:space="preserve"> 00011251/SINAPI </t>
  </si>
  <si>
    <t>Caixa de passagem/ luz / telefonia, de embutir, em chapa de aco galvanizado, dimensoes 40 x 40 x *12* cm (padrao concessionaria local)</t>
  </si>
  <si>
    <t>6,32</t>
  </si>
  <si>
    <t>113,76</t>
  </si>
  <si>
    <t>56,25</t>
  </si>
  <si>
    <t>112,50</t>
  </si>
  <si>
    <t>3,4334000</t>
  </si>
  <si>
    <t>32,67</t>
  </si>
  <si>
    <t>112,17</t>
  </si>
  <si>
    <t>22,25</t>
  </si>
  <si>
    <t>111,25</t>
  </si>
  <si>
    <t>3,5130784</t>
  </si>
  <si>
    <t>109,57</t>
  </si>
  <si>
    <t>109,40</t>
  </si>
  <si>
    <t>108,37</t>
  </si>
  <si>
    <t>106,91</t>
  </si>
  <si>
    <t>110,72</t>
  </si>
  <si>
    <t>53,00</t>
  </si>
  <si>
    <t>106,00</t>
  </si>
  <si>
    <t>105,80</t>
  </si>
  <si>
    <t xml:space="preserve"> 4415 </t>
  </si>
  <si>
    <t>Veículo leve - Volkswagen:GOL ou similar</t>
  </si>
  <si>
    <t>13,18</t>
  </si>
  <si>
    <t>105,44</t>
  </si>
  <si>
    <t>34,96</t>
  </si>
  <si>
    <t>104,88</t>
  </si>
  <si>
    <t>104,00</t>
  </si>
  <si>
    <t>23,90</t>
  </si>
  <si>
    <t>103,49</t>
  </si>
  <si>
    <t>102,71</t>
  </si>
  <si>
    <t>100,35</t>
  </si>
  <si>
    <t>102,36</t>
  </si>
  <si>
    <t>30,30</t>
  </si>
  <si>
    <t>16,86</t>
  </si>
  <si>
    <t>101,16</t>
  </si>
  <si>
    <t>96,62%</t>
  </si>
  <si>
    <t>23,0846000</t>
  </si>
  <si>
    <t>100,42</t>
  </si>
  <si>
    <t>96,64%</t>
  </si>
  <si>
    <t xml:space="preserve"> 00012424/SINAPI </t>
  </si>
  <si>
    <t>Uniao de ferro galvanizado, com assento conico de bronze, de 1 1/2"</t>
  </si>
  <si>
    <t>100,14</t>
  </si>
  <si>
    <t>100,08</t>
  </si>
  <si>
    <t>97,78</t>
  </si>
  <si>
    <t>96,71%</t>
  </si>
  <si>
    <t>97,50</t>
  </si>
  <si>
    <t>96,73%</t>
  </si>
  <si>
    <t>97,11</t>
  </si>
  <si>
    <t>97,04</t>
  </si>
  <si>
    <t>96,78%</t>
  </si>
  <si>
    <t>96,86</t>
  </si>
  <si>
    <t>16,12</t>
  </si>
  <si>
    <t>96,72</t>
  </si>
  <si>
    <t>48,06</t>
  </si>
  <si>
    <t>96,12</t>
  </si>
  <si>
    <t>91,86</t>
  </si>
  <si>
    <t>95,15</t>
  </si>
  <si>
    <t>2,6712236</t>
  </si>
  <si>
    <t>35,44</t>
  </si>
  <si>
    <t>94,67</t>
  </si>
  <si>
    <t>22,45</t>
  </si>
  <si>
    <t>94,29</t>
  </si>
  <si>
    <t>94,26</t>
  </si>
  <si>
    <t xml:space="preserve"> 000432 </t>
  </si>
  <si>
    <t>SOLDA-ELETRODO OK 4804 AWS 6013 3,25mm 1/8""(lata 15kg)</t>
  </si>
  <si>
    <t>1,5700000</t>
  </si>
  <si>
    <t>59,94</t>
  </si>
  <si>
    <t>94,11</t>
  </si>
  <si>
    <t>4,50</t>
  </si>
  <si>
    <t>92,86</t>
  </si>
  <si>
    <t>30,79</t>
  </si>
  <si>
    <t>92,37</t>
  </si>
  <si>
    <t xml:space="preserve"> MOED-20130 </t>
  </si>
  <si>
    <t>4,5945175</t>
  </si>
  <si>
    <t>91,89</t>
  </si>
  <si>
    <t>1,0300000</t>
  </si>
  <si>
    <t>88,39</t>
  </si>
  <si>
    <t>91,04</t>
  </si>
  <si>
    <t>231,31</t>
  </si>
  <si>
    <t>29,36</t>
  </si>
  <si>
    <t>88,08</t>
  </si>
  <si>
    <t>36,06</t>
  </si>
  <si>
    <t>87,92</t>
  </si>
  <si>
    <t>97,12%</t>
  </si>
  <si>
    <t>41,57</t>
  </si>
  <si>
    <t>87,16</t>
  </si>
  <si>
    <t>97,15%</t>
  </si>
  <si>
    <t>82,87</t>
  </si>
  <si>
    <t>87,01</t>
  </si>
  <si>
    <t>2,1421584</t>
  </si>
  <si>
    <t>40,56</t>
  </si>
  <si>
    <t>86,89</t>
  </si>
  <si>
    <t>97,18%</t>
  </si>
  <si>
    <t>32,42</t>
  </si>
  <si>
    <t>97,21%</t>
  </si>
  <si>
    <t>85,24</t>
  </si>
  <si>
    <t>260,84</t>
  </si>
  <si>
    <t>84,96</t>
  </si>
  <si>
    <t>97,24%</t>
  </si>
  <si>
    <t>84,92</t>
  </si>
  <si>
    <t>28,24</t>
  </si>
  <si>
    <t>84,72</t>
  </si>
  <si>
    <t>97,27%</t>
  </si>
  <si>
    <t>3,7200000</t>
  </si>
  <si>
    <t>84,48</t>
  </si>
  <si>
    <t>97,30%</t>
  </si>
  <si>
    <t xml:space="preserve"> MOED-20143 </t>
  </si>
  <si>
    <t>83,83</t>
  </si>
  <si>
    <t xml:space="preserve"> 00045190 </t>
  </si>
  <si>
    <t>PISO EM PORCELANATO, RETIFICADO, LISO, MONOCOLOR, ACETINADO OU POLIDO, FORMATO MAIOR QUE 2500 ATE 6400 CM2</t>
  </si>
  <si>
    <t>1,0864000</t>
  </si>
  <si>
    <t>76,99</t>
  </si>
  <si>
    <t>83,64</t>
  </si>
  <si>
    <t>97,33%</t>
  </si>
  <si>
    <t>41,80</t>
  </si>
  <si>
    <t>83,60</t>
  </si>
  <si>
    <t>81,82</t>
  </si>
  <si>
    <t>83,55</t>
  </si>
  <si>
    <t>97,36%</t>
  </si>
  <si>
    <t>82,17</t>
  </si>
  <si>
    <t xml:space="preserve"> 00001213/SINAPI </t>
  </si>
  <si>
    <t>Carpinteiro de formas para concreto (horista)</t>
  </si>
  <si>
    <t>3,9660000</t>
  </si>
  <si>
    <t>81,10</t>
  </si>
  <si>
    <t>97,42%</t>
  </si>
  <si>
    <t>80,90</t>
  </si>
  <si>
    <t>193,04</t>
  </si>
  <si>
    <t>79,13</t>
  </si>
  <si>
    <t>97,46%</t>
  </si>
  <si>
    <t>78,94</t>
  </si>
  <si>
    <t>78,83</t>
  </si>
  <si>
    <t>97,49%</t>
  </si>
  <si>
    <t>39,38</t>
  </si>
  <si>
    <t>78,76</t>
  </si>
  <si>
    <t xml:space="preserve"> 099046 </t>
  </si>
  <si>
    <t>SOLDADOR</t>
  </si>
  <si>
    <t>2,5760000</t>
  </si>
  <si>
    <t>78,59</t>
  </si>
  <si>
    <t>78,20</t>
  </si>
  <si>
    <t>97,53%</t>
  </si>
  <si>
    <t>77,64</t>
  </si>
  <si>
    <t>97,56%</t>
  </si>
  <si>
    <t>9,68</t>
  </si>
  <si>
    <t>77,44</t>
  </si>
  <si>
    <t>77,12</t>
  </si>
  <si>
    <t>9,16</t>
  </si>
  <si>
    <t>76,94</t>
  </si>
  <si>
    <t>97,60%</t>
  </si>
  <si>
    <t>38,18</t>
  </si>
  <si>
    <t>76,36</t>
  </si>
  <si>
    <t>74,89</t>
  </si>
  <si>
    <t>73,90</t>
  </si>
  <si>
    <t>66,30</t>
  </si>
  <si>
    <t>72,93</t>
  </si>
  <si>
    <t>11,98</t>
  </si>
  <si>
    <t>71,88</t>
  </si>
  <si>
    <t>97,68%</t>
  </si>
  <si>
    <t>71,66</t>
  </si>
  <si>
    <t>61,64</t>
  </si>
  <si>
    <t>70,89</t>
  </si>
  <si>
    <t>20,23</t>
  </si>
  <si>
    <t>70,81</t>
  </si>
  <si>
    <t>97,72%</t>
  </si>
  <si>
    <t>70,55</t>
  </si>
  <si>
    <t>70,46</t>
  </si>
  <si>
    <t xml:space="preserve"> 00000299 </t>
  </si>
  <si>
    <t>ANEL BORRACHA, DN 100 MM, PARA TUBO SERIE REFORCADA ESGOTO PREDIAL</t>
  </si>
  <si>
    <t>3,51</t>
  </si>
  <si>
    <t>70,20</t>
  </si>
  <si>
    <t>97,76%</t>
  </si>
  <si>
    <t xml:space="preserve"> 025721 </t>
  </si>
  <si>
    <t>ELETROCALHA - TE VERTICAL SUBIDA LISA/PERF 200x50mm CHAPA 18</t>
  </si>
  <si>
    <t>69,95</t>
  </si>
  <si>
    <t>68,48</t>
  </si>
  <si>
    <t>97,80%</t>
  </si>
  <si>
    <t>2,0106570</t>
  </si>
  <si>
    <t>33,52</t>
  </si>
  <si>
    <t>67,40</t>
  </si>
  <si>
    <t>16,69</t>
  </si>
  <si>
    <t>66,76</t>
  </si>
  <si>
    <t>66,75</t>
  </si>
  <si>
    <t>59,04</t>
  </si>
  <si>
    <t>66,70</t>
  </si>
  <si>
    <t>66,64</t>
  </si>
  <si>
    <t>22,17</t>
  </si>
  <si>
    <t>66,51</t>
  </si>
  <si>
    <t>1,0353000</t>
  </si>
  <si>
    <t>63,21</t>
  </si>
  <si>
    <t>65,44</t>
  </si>
  <si>
    <t>4,75</t>
  </si>
  <si>
    <t>16,32</t>
  </si>
  <si>
    <t>65,28</t>
  </si>
  <si>
    <t>97,90%</t>
  </si>
  <si>
    <t>0,5011300</t>
  </si>
  <si>
    <t>130,09</t>
  </si>
  <si>
    <t>65,19</t>
  </si>
  <si>
    <t>1,73</t>
  </si>
  <si>
    <t>64,65</t>
  </si>
  <si>
    <t>1,0493000</t>
  </si>
  <si>
    <t>61,32</t>
  </si>
  <si>
    <t>0,8103000</t>
  </si>
  <si>
    <t>79,17</t>
  </si>
  <si>
    <t>64,15</t>
  </si>
  <si>
    <t>97,96%</t>
  </si>
  <si>
    <t xml:space="preserve"> MATED-12204 </t>
  </si>
  <si>
    <t>56,70</t>
  </si>
  <si>
    <t>62,37</t>
  </si>
  <si>
    <t>1,3500000</t>
  </si>
  <si>
    <t>45,65</t>
  </si>
  <si>
    <t>61,63</t>
  </si>
  <si>
    <t>61,58</t>
  </si>
  <si>
    <t>98,02%</t>
  </si>
  <si>
    <t xml:space="preserve"> 00002673/SINAPI </t>
  </si>
  <si>
    <t>Eletroduto de pvc rigido roscavel de 1/2", sem luva</t>
  </si>
  <si>
    <t>4,07</t>
  </si>
  <si>
    <t>60,66</t>
  </si>
  <si>
    <t>17,29</t>
  </si>
  <si>
    <t>60,52</t>
  </si>
  <si>
    <t>60,15</t>
  </si>
  <si>
    <t>98,08%</t>
  </si>
  <si>
    <t>29,95</t>
  </si>
  <si>
    <t xml:space="preserve"> 00020089/SINAPI </t>
  </si>
  <si>
    <t>Cap pvc, serie r, dn 150 mm, para esgoto predial</t>
  </si>
  <si>
    <t>59,88</t>
  </si>
  <si>
    <t>59,80</t>
  </si>
  <si>
    <t>29,85</t>
  </si>
  <si>
    <t>59,70</t>
  </si>
  <si>
    <t xml:space="preserve"> 00011762/SINAPI </t>
  </si>
  <si>
    <t>Torneira metalica cromada para jardim / tanque, com bico plastico, cano longo, de parede, padrao popular / uso geral, 1/2" ou 3/4"</t>
  </si>
  <si>
    <t>98,16%</t>
  </si>
  <si>
    <t>53,27</t>
  </si>
  <si>
    <t>58,60</t>
  </si>
  <si>
    <t xml:space="preserve"> 00004721/SINAPI </t>
  </si>
  <si>
    <t>Pedra britada n. 1 (9,5 a 19 mm) posto pedreira/fornecedor, sem frete</t>
  </si>
  <si>
    <t>0,4248000</t>
  </si>
  <si>
    <t xml:space="preserve"> 00039140 </t>
  </si>
  <si>
    <t>ABRACADEIRA EM ACO PARA AMARRACAO DE ELETRODUTOS, TIPO U SIMPLES, COM 1 1/4"</t>
  </si>
  <si>
    <t>36,2739634</t>
  </si>
  <si>
    <t>58,04</t>
  </si>
  <si>
    <t>1,9000806</t>
  </si>
  <si>
    <t>30,49</t>
  </si>
  <si>
    <t>57,93</t>
  </si>
  <si>
    <t xml:space="preserve"> 00004720/SINAPI </t>
  </si>
  <si>
    <t>Pedra britada n. 0, ou pedrisco (4,8 a 9,5 mm) posto pedreira/fornecedor, semfrete</t>
  </si>
  <si>
    <t>0,3600000</t>
  </si>
  <si>
    <t>57,19</t>
  </si>
  <si>
    <t xml:space="preserve"> 00011683/SINAPI </t>
  </si>
  <si>
    <t>Engate / rabicho flexivel inox 1/2" x 30 cm</t>
  </si>
  <si>
    <t>104,44</t>
  </si>
  <si>
    <t>55,98</t>
  </si>
  <si>
    <t>98,26%</t>
  </si>
  <si>
    <t>55,11</t>
  </si>
  <si>
    <t>53,94</t>
  </si>
  <si>
    <t>55,02</t>
  </si>
  <si>
    <t>54,64</t>
  </si>
  <si>
    <t>7,6808996</t>
  </si>
  <si>
    <t>7,08</t>
  </si>
  <si>
    <t>54,38</t>
  </si>
  <si>
    <t>54,00</t>
  </si>
  <si>
    <t>53,89</t>
  </si>
  <si>
    <t>69,74</t>
  </si>
  <si>
    <t>53,70</t>
  </si>
  <si>
    <t>53,56</t>
  </si>
  <si>
    <t>26,08</t>
  </si>
  <si>
    <t>52,16</t>
  </si>
  <si>
    <t>51,78</t>
  </si>
  <si>
    <t>50,56</t>
  </si>
  <si>
    <t>2,76</t>
  </si>
  <si>
    <t>51,28</t>
  </si>
  <si>
    <t>51,05</t>
  </si>
  <si>
    <t>47,90</t>
  </si>
  <si>
    <t>50,30</t>
  </si>
  <si>
    <t xml:space="preserve"> 00004718/SINAPI </t>
  </si>
  <si>
    <t>Pedra britada n. 2 (19 a 38 mm) posto pedreira/fornecedor, sem frete</t>
  </si>
  <si>
    <t>49,85</t>
  </si>
  <si>
    <t>8,79</t>
  </si>
  <si>
    <t>48,78</t>
  </si>
  <si>
    <t>48,68</t>
  </si>
  <si>
    <t>1,0179800</t>
  </si>
  <si>
    <t>47,78</t>
  </si>
  <si>
    <t>48,64</t>
  </si>
  <si>
    <t>48,10</t>
  </si>
  <si>
    <t>47,87</t>
  </si>
  <si>
    <t>7,18</t>
  </si>
  <si>
    <t>47,82</t>
  </si>
  <si>
    <t>45,52</t>
  </si>
  <si>
    <t>47,80</t>
  </si>
  <si>
    <t xml:space="preserve"> 006490 </t>
  </si>
  <si>
    <t>CONJUNTO DE BUCHA/ARRUELA DE ALUMINIO PARA ELETRODUTO 2""</t>
  </si>
  <si>
    <t>15,75</t>
  </si>
  <si>
    <t>47,25</t>
  </si>
  <si>
    <t>46,98</t>
  </si>
  <si>
    <t>46,77</t>
  </si>
  <si>
    <t>46,67</t>
  </si>
  <si>
    <t>46,53</t>
  </si>
  <si>
    <t xml:space="preserve"> 00004049/SINAPI </t>
  </si>
  <si>
    <t>Massa epoxi bicomponente (massa + catalisador)</t>
  </si>
  <si>
    <t>57,80</t>
  </si>
  <si>
    <t>46,24</t>
  </si>
  <si>
    <t xml:space="preserve"> 036408 </t>
  </si>
  <si>
    <t>ELETRODUTO GALVANIZADO (SEMI PESADO) NBR 5598 50mm 2""</t>
  </si>
  <si>
    <t>41,20</t>
  </si>
  <si>
    <t>45,32</t>
  </si>
  <si>
    <t>22,63</t>
  </si>
  <si>
    <t>45,26</t>
  </si>
  <si>
    <t>44,61</t>
  </si>
  <si>
    <t>44,34</t>
  </si>
  <si>
    <t>38,43</t>
  </si>
  <si>
    <t>44,32</t>
  </si>
  <si>
    <t>44,29</t>
  </si>
  <si>
    <t>43,89</t>
  </si>
  <si>
    <t>0,0000505</t>
  </si>
  <si>
    <t>860.000,00</t>
  </si>
  <si>
    <t>43,43</t>
  </si>
  <si>
    <t>2,69</t>
  </si>
  <si>
    <t>43,04</t>
  </si>
  <si>
    <t>40,50</t>
  </si>
  <si>
    <t>42,53</t>
  </si>
  <si>
    <t>42,36</t>
  </si>
  <si>
    <t>42,35</t>
  </si>
  <si>
    <t>40,22</t>
  </si>
  <si>
    <t>42,23</t>
  </si>
  <si>
    <t xml:space="preserve"> 00007588/SINAPI </t>
  </si>
  <si>
    <t>Automatico de boia superior / inferior, *15* a / 250 v</t>
  </si>
  <si>
    <t>1,34</t>
  </si>
  <si>
    <t>41,54</t>
  </si>
  <si>
    <t>20,76</t>
  </si>
  <si>
    <t>41,52</t>
  </si>
  <si>
    <t xml:space="preserve"> E.04.000.037504 </t>
  </si>
  <si>
    <t>Tubo metálico metalon, referência 60 x 60 x 3,75mm</t>
  </si>
  <si>
    <t>0,6568000</t>
  </si>
  <si>
    <t>63,01</t>
  </si>
  <si>
    <t>41,38</t>
  </si>
  <si>
    <t>13,76</t>
  </si>
  <si>
    <t>41,28</t>
  </si>
  <si>
    <t>40,76</t>
  </si>
  <si>
    <t>20,16</t>
  </si>
  <si>
    <t>40,32</t>
  </si>
  <si>
    <t>35,04</t>
  </si>
  <si>
    <t>40,05</t>
  </si>
  <si>
    <t>32,55</t>
  </si>
  <si>
    <t>39,00</t>
  </si>
  <si>
    <t>19,29</t>
  </si>
  <si>
    <t>38,58</t>
  </si>
  <si>
    <t>37,82</t>
  </si>
  <si>
    <t>6,56</t>
  </si>
  <si>
    <t xml:space="preserve"> 14094 </t>
  </si>
  <si>
    <t>Estação total eletrônica com alcance máximo de 3.000 m - SICRO</t>
  </si>
  <si>
    <t>chp</t>
  </si>
  <si>
    <t>4,77</t>
  </si>
  <si>
    <t>38,16</t>
  </si>
  <si>
    <t>9,52</t>
  </si>
  <si>
    <t>38,08</t>
  </si>
  <si>
    <t>37,42</t>
  </si>
  <si>
    <t>2,0030453</t>
  </si>
  <si>
    <t>36,05</t>
  </si>
  <si>
    <t>35,66</t>
  </si>
  <si>
    <t>177,41</t>
  </si>
  <si>
    <t>35,48</t>
  </si>
  <si>
    <t>35,28</t>
  </si>
  <si>
    <t>35,26</t>
  </si>
  <si>
    <t xml:space="preserve"> 036406 </t>
  </si>
  <si>
    <t>ELETRODUTO GALVANIZADO (SEMI PESADO) NBR 5598 40mm 1.1/2""</t>
  </si>
  <si>
    <t>31,80</t>
  </si>
  <si>
    <t>34,98</t>
  </si>
  <si>
    <t>34,97</t>
  </si>
  <si>
    <t xml:space="preserve"> 099614 </t>
  </si>
  <si>
    <t>AJUDANTE ESPECIALIZADO - SOLDADOR</t>
  </si>
  <si>
    <t>1,6160000</t>
  </si>
  <si>
    <t>34,89</t>
  </si>
  <si>
    <t>6,3000000</t>
  </si>
  <si>
    <t>5,43</t>
  </si>
  <si>
    <t>34,21</t>
  </si>
  <si>
    <t>2,84</t>
  </si>
  <si>
    <t>34,08</t>
  </si>
  <si>
    <t xml:space="preserve"> MATED-13096 </t>
  </si>
  <si>
    <t>14,1034120</t>
  </si>
  <si>
    <t>33,99</t>
  </si>
  <si>
    <t>33,15</t>
  </si>
  <si>
    <t>33,00</t>
  </si>
  <si>
    <t>1,03</t>
  </si>
  <si>
    <t>32,96</t>
  </si>
  <si>
    <t xml:space="preserve"> 00004783/SINAPI </t>
  </si>
  <si>
    <t>Pintor (horista)</t>
  </si>
  <si>
    <t>1,6000000</t>
  </si>
  <si>
    <t>32,72</t>
  </si>
  <si>
    <t>308,79</t>
  </si>
  <si>
    <t>32,36</t>
  </si>
  <si>
    <t>31,90</t>
  </si>
  <si>
    <t>31,61</t>
  </si>
  <si>
    <t>29,48</t>
  </si>
  <si>
    <t>31,05</t>
  </si>
  <si>
    <t>29,92</t>
  </si>
  <si>
    <t>30,98</t>
  </si>
  <si>
    <t>30,61</t>
  </si>
  <si>
    <t>30,74</t>
  </si>
  <si>
    <t>8,82</t>
  </si>
  <si>
    <t>30,57</t>
  </si>
  <si>
    <t>30,48</t>
  </si>
  <si>
    <t>30,32</t>
  </si>
  <si>
    <t>29,90</t>
  </si>
  <si>
    <t>29,67</t>
  </si>
  <si>
    <t>72,41</t>
  </si>
  <si>
    <t>29,40</t>
  </si>
  <si>
    <t>122,06</t>
  </si>
  <si>
    <t>29,16</t>
  </si>
  <si>
    <t>1,0078264</t>
  </si>
  <si>
    <t>28,92</t>
  </si>
  <si>
    <t>28,94</t>
  </si>
  <si>
    <t xml:space="preserve"> MATED-11225 </t>
  </si>
  <si>
    <t>27,73</t>
  </si>
  <si>
    <t>28,28</t>
  </si>
  <si>
    <t>249,37</t>
  </si>
  <si>
    <t>28,23</t>
  </si>
  <si>
    <t>26,60</t>
  </si>
  <si>
    <t>27,91</t>
  </si>
  <si>
    <t>27,70</t>
  </si>
  <si>
    <t xml:space="preserve"> 00001200/SINAPI </t>
  </si>
  <si>
    <t>Cap pvc, soldavel, dn 100 mm, serie normal, para esgoto predial</t>
  </si>
  <si>
    <t>27,54</t>
  </si>
  <si>
    <t>47,02</t>
  </si>
  <si>
    <t>0,8156641</t>
  </si>
  <si>
    <t>33,70</t>
  </si>
  <si>
    <t>27,49</t>
  </si>
  <si>
    <t>31,27</t>
  </si>
  <si>
    <t>241,15</t>
  </si>
  <si>
    <t>27,30</t>
  </si>
  <si>
    <t>27,11</t>
  </si>
  <si>
    <t>492,34</t>
  </si>
  <si>
    <t>27,08</t>
  </si>
  <si>
    <t>0,0011292</t>
  </si>
  <si>
    <t>23.525,69</t>
  </si>
  <si>
    <t>26,57</t>
  </si>
  <si>
    <t>2,94</t>
  </si>
  <si>
    <t>26,46</t>
  </si>
  <si>
    <t xml:space="preserve"> 00001379/SINAPI </t>
  </si>
  <si>
    <t>Cimento portland composto cp ii-32</t>
  </si>
  <si>
    <t>29,0000000</t>
  </si>
  <si>
    <t>11,4528000</t>
  </si>
  <si>
    <t>2,27</t>
  </si>
  <si>
    <t>26,00</t>
  </si>
  <si>
    <t>25,99</t>
  </si>
  <si>
    <t>25,97</t>
  </si>
  <si>
    <t>25,82</t>
  </si>
  <si>
    <t>24,78</t>
  </si>
  <si>
    <t>25,65</t>
  </si>
  <si>
    <t>21,28</t>
  </si>
  <si>
    <t>25,54</t>
  </si>
  <si>
    <t>24,90</t>
  </si>
  <si>
    <t>1,0050900</t>
  </si>
  <si>
    <t>24,77</t>
  </si>
  <si>
    <t>12,36</t>
  </si>
  <si>
    <t>24,72</t>
  </si>
  <si>
    <t>12,19</t>
  </si>
  <si>
    <t>24,38</t>
  </si>
  <si>
    <t>123,37</t>
  </si>
  <si>
    <t>23,19</t>
  </si>
  <si>
    <t>6,97</t>
  </si>
  <si>
    <t xml:space="preserve"> 00003660/SINAPI </t>
  </si>
  <si>
    <t>Juncao simples de reducao, pvc, dn 100 x 75 mm, serie normal para esgoto predial</t>
  </si>
  <si>
    <t>2,7000000</t>
  </si>
  <si>
    <t>8,37</t>
  </si>
  <si>
    <t>22,60</t>
  </si>
  <si>
    <t xml:space="preserve"> MATED-13099 </t>
  </si>
  <si>
    <t>21,78</t>
  </si>
  <si>
    <t>21,64</t>
  </si>
  <si>
    <t>0,6881992</t>
  </si>
  <si>
    <t>30,99</t>
  </si>
  <si>
    <t>21,33</t>
  </si>
  <si>
    <t xml:space="preserve"> MATED-11880 </t>
  </si>
  <si>
    <t>17,73</t>
  </si>
  <si>
    <t>20,80</t>
  </si>
  <si>
    <t>0,6566455</t>
  </si>
  <si>
    <t>31,51</t>
  </si>
  <si>
    <t>20,69</t>
  </si>
  <si>
    <t xml:space="preserve"> 099663 </t>
  </si>
  <si>
    <t>AZULEJISTA/LADRILHISTA</t>
  </si>
  <si>
    <t>0,7200000</t>
  </si>
  <si>
    <t>20,41</t>
  </si>
  <si>
    <t>0,7307286</t>
  </si>
  <si>
    <t>20,24</t>
  </si>
  <si>
    <t>10,01</t>
  </si>
  <si>
    <t>20,32</t>
  </si>
  <si>
    <t>19,91</t>
  </si>
  <si>
    <t>7,94</t>
  </si>
  <si>
    <t>19,85</t>
  </si>
  <si>
    <t>19,84</t>
  </si>
  <si>
    <t>19,68</t>
  </si>
  <si>
    <t>19,64</t>
  </si>
  <si>
    <t>4,1000000</t>
  </si>
  <si>
    <t>4,74</t>
  </si>
  <si>
    <t>19,43</t>
  </si>
  <si>
    <t>19,39</t>
  </si>
  <si>
    <t>9,58</t>
  </si>
  <si>
    <t>19,16</t>
  </si>
  <si>
    <t xml:space="preserve"> MOED-20131 </t>
  </si>
  <si>
    <t>18,99</t>
  </si>
  <si>
    <t>18,95</t>
  </si>
  <si>
    <t>8,28</t>
  </si>
  <si>
    <t>18,88</t>
  </si>
  <si>
    <t>18,76</t>
  </si>
  <si>
    <t>8,74</t>
  </si>
  <si>
    <t>18,70</t>
  </si>
  <si>
    <t xml:space="preserve"> 099230 </t>
  </si>
  <si>
    <t>SERRALHEIRO</t>
  </si>
  <si>
    <t>0,6100000</t>
  </si>
  <si>
    <t>18,61</t>
  </si>
  <si>
    <t>9,30</t>
  </si>
  <si>
    <t>32,38</t>
  </si>
  <si>
    <t>18,52</t>
  </si>
  <si>
    <t>18,43</t>
  </si>
  <si>
    <t>8,29</t>
  </si>
  <si>
    <t>17,93</t>
  </si>
  <si>
    <t>18,29</t>
  </si>
  <si>
    <t>17,39</t>
  </si>
  <si>
    <t>18,26</t>
  </si>
  <si>
    <t>9,08</t>
  </si>
  <si>
    <t>18,16</t>
  </si>
  <si>
    <t xml:space="preserve"> E.01.000.037531 </t>
  </si>
  <si>
    <t>Pintura de acabamento em tinta epóxi sobre estrutura metálica</t>
  </si>
  <si>
    <t>35,91</t>
  </si>
  <si>
    <t>17,95</t>
  </si>
  <si>
    <t>17,79</t>
  </si>
  <si>
    <t>16,67</t>
  </si>
  <si>
    <t>0,6740000</t>
  </si>
  <si>
    <t>25,84</t>
  </si>
  <si>
    <t>17,42</t>
  </si>
  <si>
    <t xml:space="preserve"> 099842 </t>
  </si>
  <si>
    <t>OPERADOR DE BATE ESTACAS</t>
  </si>
  <si>
    <t>8,55</t>
  </si>
  <si>
    <t>39,44</t>
  </si>
  <si>
    <t>16,97</t>
  </si>
  <si>
    <t xml:space="preserve"> D.03.000.021033 </t>
  </si>
  <si>
    <t>Chapa compensada cola fenólica plastificada de 12mm (2,20 x 1,10)m</t>
  </si>
  <si>
    <t>39,27</t>
  </si>
  <si>
    <t>16,89</t>
  </si>
  <si>
    <t>1,0549000</t>
  </si>
  <si>
    <t>5,55</t>
  </si>
  <si>
    <t>0,3329360</t>
  </si>
  <si>
    <t>49,82</t>
  </si>
  <si>
    <t>45,80</t>
  </si>
  <si>
    <t>16,58</t>
  </si>
  <si>
    <t>15,70</t>
  </si>
  <si>
    <t>16,49</t>
  </si>
  <si>
    <t xml:space="preserve"> 025603 </t>
  </si>
  <si>
    <t>CONJUNTO DE TOMADA PARA CABO COAXIAL ANTENA DE TV COM PLACA 4x2</t>
  </si>
  <si>
    <t>16,21</t>
  </si>
  <si>
    <t>16,03</t>
  </si>
  <si>
    <t>14,49</t>
  </si>
  <si>
    <t>15,94</t>
  </si>
  <si>
    <t>15,04</t>
  </si>
  <si>
    <t>15,87</t>
  </si>
  <si>
    <t>15,72</t>
  </si>
  <si>
    <t>43,73</t>
  </si>
  <si>
    <t>47,21</t>
  </si>
  <si>
    <t>14,74</t>
  </si>
  <si>
    <t>15,47</t>
  </si>
  <si>
    <t>1,53</t>
  </si>
  <si>
    <t xml:space="preserve"> 00012893/SINAPI </t>
  </si>
  <si>
    <t>Bota de seguranca com biqueira de aco e colarinho acolchoado</t>
  </si>
  <si>
    <t>par</t>
  </si>
  <si>
    <t>73,93</t>
  </si>
  <si>
    <t>15,23</t>
  </si>
  <si>
    <t xml:space="preserve"> 099661 </t>
  </si>
  <si>
    <t>AJUDANTE ESPECIALIZADO - VIDRACEIRO</t>
  </si>
  <si>
    <t>15,11</t>
  </si>
  <si>
    <t>29,39</t>
  </si>
  <si>
    <t>14,50</t>
  </si>
  <si>
    <t>14,47</t>
  </si>
  <si>
    <t>14,45</t>
  </si>
  <si>
    <t>12,98</t>
  </si>
  <si>
    <t>0,2480000</t>
  </si>
  <si>
    <t>56,98</t>
  </si>
  <si>
    <t>14,13</t>
  </si>
  <si>
    <t>29,41</t>
  </si>
  <si>
    <t>Bucha reducao longa pvc rigido soldavel, marrom, d= 60 x 40mm</t>
  </si>
  <si>
    <t>14,07</t>
  </si>
  <si>
    <t>0,3790752</t>
  </si>
  <si>
    <t>36,77</t>
  </si>
  <si>
    <t>13,94</t>
  </si>
  <si>
    <t>13,74</t>
  </si>
  <si>
    <t xml:space="preserve"> MOED-20150 </t>
  </si>
  <si>
    <t>13,46</t>
  </si>
  <si>
    <t>0,0000179</t>
  </si>
  <si>
    <t>745.573,13</t>
  </si>
  <si>
    <t xml:space="preserve"> 099662 </t>
  </si>
  <si>
    <t>AJUDANTE DE SERRALHEIRO</t>
  </si>
  <si>
    <t>13,17</t>
  </si>
  <si>
    <t>13,16</t>
  </si>
  <si>
    <t>51,62</t>
  </si>
  <si>
    <t>26,23</t>
  </si>
  <si>
    <t>13,12</t>
  </si>
  <si>
    <t>0,4497605</t>
  </si>
  <si>
    <t>13,05</t>
  </si>
  <si>
    <t>4,33</t>
  </si>
  <si>
    <t>3,23</t>
  </si>
  <si>
    <t>12,92</t>
  </si>
  <si>
    <t>28,71</t>
  </si>
  <si>
    <t>12,90</t>
  </si>
  <si>
    <t>0,5299250</t>
  </si>
  <si>
    <t>24,10</t>
  </si>
  <si>
    <t>12,77</t>
  </si>
  <si>
    <t>6,36</t>
  </si>
  <si>
    <t>12,72</t>
  </si>
  <si>
    <t xml:space="preserve"> MATED-13097 </t>
  </si>
  <si>
    <t>12,69</t>
  </si>
  <si>
    <t>5,0161243</t>
  </si>
  <si>
    <t>12,65</t>
  </si>
  <si>
    <t>12,60</t>
  </si>
  <si>
    <t>4,18</t>
  </si>
  <si>
    <t>12,50</t>
  </si>
  <si>
    <t>12,38</t>
  </si>
  <si>
    <t>11,46</t>
  </si>
  <si>
    <t>11,96</t>
  </si>
  <si>
    <t>11,72</t>
  </si>
  <si>
    <t>3,62</t>
  </si>
  <si>
    <t>11,89</t>
  </si>
  <si>
    <t xml:space="preserve"> 1268 </t>
  </si>
  <si>
    <t>Juncao simples pvc rigido p/ esgoto primario, diam = 75 x 50mm</t>
  </si>
  <si>
    <t>11,70</t>
  </si>
  <si>
    <t>2,34</t>
  </si>
  <si>
    <t xml:space="preserve"> 025611 </t>
  </si>
  <si>
    <t>ELETROCALHA - TALA EMENDA RETA 50mm</t>
  </si>
  <si>
    <t>1,30</t>
  </si>
  <si>
    <t>5,75</t>
  </si>
  <si>
    <t>11,36</t>
  </si>
  <si>
    <t xml:space="preserve"> 005447 </t>
  </si>
  <si>
    <t>CURVA 90 PVC ROSCAVEL 3/4""</t>
  </si>
  <si>
    <t>11,32</t>
  </si>
  <si>
    <t>0,3767987</t>
  </si>
  <si>
    <t>30,02</t>
  </si>
  <si>
    <t>11,31</t>
  </si>
  <si>
    <t xml:space="preserve"> 00002483/SINAPI </t>
  </si>
  <si>
    <t>Conector reto de aluminio para eletroduto de 1", para adaptar entrada de eletroduto metalico flexivel em quadros</t>
  </si>
  <si>
    <t xml:space="preserve"> 00043132/SINAPI </t>
  </si>
  <si>
    <t>Arame recozido 16 bwg, d = 1,65 mm (0,016 kg/m) ou 18 bwg, d = 1,25 mm (0,01 kg/m)</t>
  </si>
  <si>
    <t xml:space="preserve"> MATED-11831 </t>
  </si>
  <si>
    <t>5,60</t>
  </si>
  <si>
    <t>11,20</t>
  </si>
  <si>
    <t xml:space="preserve"> 00043082 </t>
  </si>
  <si>
    <t>PERFIL "I" OU "W" EM ACO LAMINADO, QUAISQUER DIMENSOES</t>
  </si>
  <si>
    <t>11,14</t>
  </si>
  <si>
    <t>11,06</t>
  </si>
  <si>
    <t>23,22</t>
  </si>
  <si>
    <t>10,99</t>
  </si>
  <si>
    <t>16,45</t>
  </si>
  <si>
    <t>10,96</t>
  </si>
  <si>
    <t>10,86</t>
  </si>
  <si>
    <t xml:space="preserve"> 021835 </t>
  </si>
  <si>
    <t>TUBO PVC PARA VALVULA DE DESCARGA 38mmx80cm TIGRE</t>
  </si>
  <si>
    <t>10,79</t>
  </si>
  <si>
    <t>10,66</t>
  </si>
  <si>
    <t>5,78</t>
  </si>
  <si>
    <t>10,51</t>
  </si>
  <si>
    <t xml:space="preserve"> 000232 </t>
  </si>
  <si>
    <t>ENERGIA ELETRICA ATE 2000 KWH</t>
  </si>
  <si>
    <t>10,4000000</t>
  </si>
  <si>
    <t>10,40</t>
  </si>
  <si>
    <t>0,0733300</t>
  </si>
  <si>
    <t>138,45</t>
  </si>
  <si>
    <t>10,15</t>
  </si>
  <si>
    <t>0,6154000</t>
  </si>
  <si>
    <t>10,12</t>
  </si>
  <si>
    <t>10,10</t>
  </si>
  <si>
    <t>0,4299045</t>
  </si>
  <si>
    <t>10,02</t>
  </si>
  <si>
    <t xml:space="preserve"> B.01.000.010145 </t>
  </si>
  <si>
    <t>Ajudante serralheiro</t>
  </si>
  <si>
    <t>0,0000168</t>
  </si>
  <si>
    <t>591.575,65</t>
  </si>
  <si>
    <t>9,94</t>
  </si>
  <si>
    <t>9,89</t>
  </si>
  <si>
    <t>9,39</t>
  </si>
  <si>
    <t>9,85</t>
  </si>
  <si>
    <t>9,75</t>
  </si>
  <si>
    <t>9,70</t>
  </si>
  <si>
    <t>9,67</t>
  </si>
  <si>
    <t xml:space="preserve"> 025610 </t>
  </si>
  <si>
    <t>ARRUELA LISA ACO ZINCADO 1/4""</t>
  </si>
  <si>
    <t>74,0000000</t>
  </si>
  <si>
    <t>9,62</t>
  </si>
  <si>
    <t>3,6139980</t>
  </si>
  <si>
    <t>2,61</t>
  </si>
  <si>
    <t>9,43</t>
  </si>
  <si>
    <t>9,02</t>
  </si>
  <si>
    <t>9,36</t>
  </si>
  <si>
    <t>0,0848862</t>
  </si>
  <si>
    <t>8,39</t>
  </si>
  <si>
    <t>9,23</t>
  </si>
  <si>
    <t>9,20</t>
  </si>
  <si>
    <t>81,19</t>
  </si>
  <si>
    <t>9,14</t>
  </si>
  <si>
    <t>0,0007796</t>
  </si>
  <si>
    <t>11.699,00</t>
  </si>
  <si>
    <t xml:space="preserve"> 00006138/SINAPI </t>
  </si>
  <si>
    <t>Anel de vedacao, pvc flexivel, 100 mm, para saida de bacia / vaso sanitario</t>
  </si>
  <si>
    <t>9,00</t>
  </si>
  <si>
    <t>7,84</t>
  </si>
  <si>
    <t>8,92</t>
  </si>
  <si>
    <t>8,86</t>
  </si>
  <si>
    <t>8,85</t>
  </si>
  <si>
    <t>8,84</t>
  </si>
  <si>
    <t>8,68</t>
  </si>
  <si>
    <t>8,63</t>
  </si>
  <si>
    <t>37,3370000</t>
  </si>
  <si>
    <t>8,59</t>
  </si>
  <si>
    <t>8,27</t>
  </si>
  <si>
    <t>8,54</t>
  </si>
  <si>
    <t xml:space="preserve"> 00000392/SINAPI </t>
  </si>
  <si>
    <t>Abracadeira em aco para amarracao de eletrodutos, tipo d, com 1/2" e parafusode fixacao</t>
  </si>
  <si>
    <t>8,51</t>
  </si>
  <si>
    <t>8,46</t>
  </si>
  <si>
    <t>8,42</t>
  </si>
  <si>
    <t xml:space="preserve"> 00004890 </t>
  </si>
  <si>
    <t>PLUG OU BUJAO DE FERRO GALVANIZADO, DE 1"</t>
  </si>
  <si>
    <t>28,48</t>
  </si>
  <si>
    <t>8,26</t>
  </si>
  <si>
    <t xml:space="preserve"> 099215 </t>
  </si>
  <si>
    <t>AJUDANTE ESPECIALIZADO - AZULEJISTA</t>
  </si>
  <si>
    <t>8,20</t>
  </si>
  <si>
    <t>8,18</t>
  </si>
  <si>
    <t xml:space="preserve"> 030470 </t>
  </si>
  <si>
    <t>ALUGUEL DE MAQUINA DE SOLDA ELETR./GERADOR BAMBOZZI 51CV</t>
  </si>
  <si>
    <t>3,5080000</t>
  </si>
  <si>
    <t>31,38</t>
  </si>
  <si>
    <t>7,85</t>
  </si>
  <si>
    <t>0,2449144</t>
  </si>
  <si>
    <t>31,86</t>
  </si>
  <si>
    <t>171,42</t>
  </si>
  <si>
    <t>7,65</t>
  </si>
  <si>
    <t>7,63</t>
  </si>
  <si>
    <t xml:space="preserve"> 00001870/SINAPI </t>
  </si>
  <si>
    <t>Curva 90 graus, longa, de pvc rigido roscavel, de 1/2", para eletroduto</t>
  </si>
  <si>
    <t>2,52</t>
  </si>
  <si>
    <t>7,37</t>
  </si>
  <si>
    <t>7,32</t>
  </si>
  <si>
    <t>7,31</t>
  </si>
  <si>
    <t>7,30</t>
  </si>
  <si>
    <t>219,90</t>
  </si>
  <si>
    <t>7,19</t>
  </si>
  <si>
    <t>7,15</t>
  </si>
  <si>
    <t>0,0000088</t>
  </si>
  <si>
    <t>800.000,00</t>
  </si>
  <si>
    <t>7,00</t>
  </si>
  <si>
    <t>6,99</t>
  </si>
  <si>
    <t>6,88</t>
  </si>
  <si>
    <t xml:space="preserve"> 00012892/SINAPI </t>
  </si>
  <si>
    <t>Luva raspa de couro, cano curto (punho *7* cm)</t>
  </si>
  <si>
    <t>10,87</t>
  </si>
  <si>
    <t xml:space="preserve"> 00002504/SINAPI </t>
  </si>
  <si>
    <t>Eletroduto flexivel, em fita de aco galvanizado, revestido com pvc preto, diametro externo de 25 mm, dn = 3/4", tipo sealtubo</t>
  </si>
  <si>
    <t>6,39</t>
  </si>
  <si>
    <t>6,71</t>
  </si>
  <si>
    <t>6,61</t>
  </si>
  <si>
    <t>6,52</t>
  </si>
  <si>
    <t>6,51</t>
  </si>
  <si>
    <t>26,03</t>
  </si>
  <si>
    <t>8,62</t>
  </si>
  <si>
    <t>6,42</t>
  </si>
  <si>
    <t xml:space="preserve"> 00002488/SINAPI </t>
  </si>
  <si>
    <t>Conector reto de aluminio para eletroduto de 3/4", para adaptar entrada de eletroduto metalico flexivel em quadros</t>
  </si>
  <si>
    <t>3,17</t>
  </si>
  <si>
    <t>6,34</t>
  </si>
  <si>
    <t>6,31</t>
  </si>
  <si>
    <t>0,1849217</t>
  </si>
  <si>
    <t>33,93</t>
  </si>
  <si>
    <t>6,27</t>
  </si>
  <si>
    <t>16,77</t>
  </si>
  <si>
    <t>6,25</t>
  </si>
  <si>
    <t>0,0682350</t>
  </si>
  <si>
    <t>91,51</t>
  </si>
  <si>
    <t>6,24</t>
  </si>
  <si>
    <t>6,18</t>
  </si>
  <si>
    <t>2,05</t>
  </si>
  <si>
    <t>6,15</t>
  </si>
  <si>
    <t>13,56</t>
  </si>
  <si>
    <t>6,14</t>
  </si>
  <si>
    <t>6,04</t>
  </si>
  <si>
    <t>4,4339250</t>
  </si>
  <si>
    <t>2,8794000</t>
  </si>
  <si>
    <t xml:space="preserve"> MATED-19585 </t>
  </si>
  <si>
    <t>5,92</t>
  </si>
  <si>
    <t xml:space="preserve"> 00000370/SINAPI </t>
  </si>
  <si>
    <t>Areia media - posto jazida/fornecedor (retirado na jazida, sem transporte)</t>
  </si>
  <si>
    <t>0,0592000</t>
  </si>
  <si>
    <t xml:space="preserve"> 00005061/SINAPI </t>
  </si>
  <si>
    <t>Prego de aco polido com cabeca 18 x 27 (2 1/2 x 10)</t>
  </si>
  <si>
    <t>0,3750000</t>
  </si>
  <si>
    <t>15,77</t>
  </si>
  <si>
    <t>5,91</t>
  </si>
  <si>
    <t>0,8860924</t>
  </si>
  <si>
    <t>6,63</t>
  </si>
  <si>
    <t>5,86</t>
  </si>
  <si>
    <t xml:space="preserve"> 00000820/SINAPI </t>
  </si>
  <si>
    <t>Bucha de reducao de pvc, soldavel, longa, com 50 x 32 mm, para agua fria predial</t>
  </si>
  <si>
    <t>5,72</t>
  </si>
  <si>
    <t>13,82</t>
  </si>
  <si>
    <t>259,57</t>
  </si>
  <si>
    <t>9,90</t>
  </si>
  <si>
    <t>5,64</t>
  </si>
  <si>
    <t>5,56</t>
  </si>
  <si>
    <t>0,1395600</t>
  </si>
  <si>
    <t>5,50</t>
  </si>
  <si>
    <t>21,94</t>
  </si>
  <si>
    <t>5,49</t>
  </si>
  <si>
    <t>5,48</t>
  </si>
  <si>
    <t>5,99</t>
  </si>
  <si>
    <t>5,40</t>
  </si>
  <si>
    <t xml:space="preserve"> 022183 </t>
  </si>
  <si>
    <t>CURVA 90 ELETRODUTO GALVANIZADO ELETROLITICO 1.1/2""</t>
  </si>
  <si>
    <t>0,3500000</t>
  </si>
  <si>
    <t>15,43</t>
  </si>
  <si>
    <t>1,4751585</t>
  </si>
  <si>
    <t>3,63</t>
  </si>
  <si>
    <t>5,35</t>
  </si>
  <si>
    <t xml:space="preserve"> 099140 </t>
  </si>
  <si>
    <t>0,1860000</t>
  </si>
  <si>
    <t>5,27</t>
  </si>
  <si>
    <t>0,26</t>
  </si>
  <si>
    <t>1,2434000</t>
  </si>
  <si>
    <t>4,19</t>
  </si>
  <si>
    <t>5,21</t>
  </si>
  <si>
    <t>4,63</t>
  </si>
  <si>
    <t>2,48</t>
  </si>
  <si>
    <t>4,96</t>
  </si>
  <si>
    <t>8,25</t>
  </si>
  <si>
    <t>4,95</t>
  </si>
  <si>
    <t>8,95</t>
  </si>
  <si>
    <t xml:space="preserve"> 099807 </t>
  </si>
  <si>
    <t>AJUDANTE DE ARMADOR</t>
  </si>
  <si>
    <t>82,42</t>
  </si>
  <si>
    <t>4,73</t>
  </si>
  <si>
    <t xml:space="preserve"> 007824 </t>
  </si>
  <si>
    <t>BUCHA/ARRUELA DE ALUMINIO PARA ELETRODUTO 3/4""</t>
  </si>
  <si>
    <t>1,56</t>
  </si>
  <si>
    <t xml:space="preserve"> 025609 </t>
  </si>
  <si>
    <t>PARAFUSO LENTILHA 1/4x1/2""</t>
  </si>
  <si>
    <t>36,0000000</t>
  </si>
  <si>
    <t>4,67</t>
  </si>
  <si>
    <t>1,96</t>
  </si>
  <si>
    <t xml:space="preserve"> MOED-20154 </t>
  </si>
  <si>
    <t>17,36</t>
  </si>
  <si>
    <t>0,0000042</t>
  </si>
  <si>
    <t>1.079.918,00</t>
  </si>
  <si>
    <t>4,54</t>
  </si>
  <si>
    <t>4,53</t>
  </si>
  <si>
    <t>4,08</t>
  </si>
  <si>
    <t>5,34</t>
  </si>
  <si>
    <t>4,48</t>
  </si>
  <si>
    <t>59,53</t>
  </si>
  <si>
    <t>4,40</t>
  </si>
  <si>
    <t>0,99</t>
  </si>
  <si>
    <t>4,39</t>
  </si>
  <si>
    <t xml:space="preserve"> 00021114 </t>
  </si>
  <si>
    <t>ADESIVO PARA TUBOS CPVC, *75* G</t>
  </si>
  <si>
    <t>0,1067000</t>
  </si>
  <si>
    <t>40,60</t>
  </si>
  <si>
    <t>1,0556000</t>
  </si>
  <si>
    <t>4,30</t>
  </si>
  <si>
    <t>45,49</t>
  </si>
  <si>
    <t>32,69</t>
  </si>
  <si>
    <t>4,09</t>
  </si>
  <si>
    <t>13,60</t>
  </si>
  <si>
    <t>1,8724434</t>
  </si>
  <si>
    <t>4,06</t>
  </si>
  <si>
    <t>4,04</t>
  </si>
  <si>
    <t>4,02</t>
  </si>
  <si>
    <t>2,5060727</t>
  </si>
  <si>
    <t>3,98</t>
  </si>
  <si>
    <t>3,95</t>
  </si>
  <si>
    <t>3,92</t>
  </si>
  <si>
    <t>3,82</t>
  </si>
  <si>
    <t>0,0000027</t>
  </si>
  <si>
    <t>1.415.000,00</t>
  </si>
  <si>
    <t>3,46</t>
  </si>
  <si>
    <t>3,78</t>
  </si>
  <si>
    <t xml:space="preserve"> 003157 </t>
  </si>
  <si>
    <t>PORCA ACO SEXTAVADA A325 1/4""</t>
  </si>
  <si>
    <t>37,0000000</t>
  </si>
  <si>
    <t>3,70</t>
  </si>
  <si>
    <t xml:space="preserve"> 014201 </t>
  </si>
  <si>
    <t>BUCHA DE NYLON PARA FIXACAO TIPO S6 COM PARAFUSO</t>
  </si>
  <si>
    <t>0,92</t>
  </si>
  <si>
    <t xml:space="preserve"> 00000834/SINAPI </t>
  </si>
  <si>
    <t>Bucha de reducao de pvc, soldavel, longa, com 40 x 25 mm, para agua fria predial</t>
  </si>
  <si>
    <t>12,00</t>
  </si>
  <si>
    <t xml:space="preserve"> 099300 </t>
  </si>
  <si>
    <t>ARMADOR ou FERREIRO</t>
  </si>
  <si>
    <t>3,44</t>
  </si>
  <si>
    <t>28,44</t>
  </si>
  <si>
    <t>3,41</t>
  </si>
  <si>
    <t xml:space="preserve"> 00002711/SINAPI </t>
  </si>
  <si>
    <t>Carrinho de mao, em aco, com capacidade de *45 a 65* l / *100* kg, pneu com camara</t>
  </si>
  <si>
    <t>175,45</t>
  </si>
  <si>
    <t>0,0695169</t>
  </si>
  <si>
    <t>47,95</t>
  </si>
  <si>
    <t>3,33</t>
  </si>
  <si>
    <t>3,26</t>
  </si>
  <si>
    <t xml:space="preserve"> 003737 </t>
  </si>
  <si>
    <t>FIXADOR ESTRUTURAL LINHA ASTM A307 - PARAFUSO SEXTAVADO A307 UNC 3/8x1.1/4 ROSCA INTEIRA ZINCADO</t>
  </si>
  <si>
    <t>0,0932468</t>
  </si>
  <si>
    <t>3,10</t>
  </si>
  <si>
    <t>3,06</t>
  </si>
  <si>
    <t>17,33</t>
  </si>
  <si>
    <t>3,03</t>
  </si>
  <si>
    <t>5.783,40</t>
  </si>
  <si>
    <t>2,79</t>
  </si>
  <si>
    <t>2,64</t>
  </si>
  <si>
    <t xml:space="preserve"> MATED-11258 </t>
  </si>
  <si>
    <t>2,77</t>
  </si>
  <si>
    <t xml:space="preserve"> 00003533/SINAPI </t>
  </si>
  <si>
    <t>Joelho de reducao, pvc soldavel, 90 graus, 25 mm x 20 mm, cor marrom, para agua fria predial</t>
  </si>
  <si>
    <t>2,73</t>
  </si>
  <si>
    <t>944.749,59</t>
  </si>
  <si>
    <t>2,65</t>
  </si>
  <si>
    <t>2,63</t>
  </si>
  <si>
    <t>2,54</t>
  </si>
  <si>
    <t>0,0823929</t>
  </si>
  <si>
    <t xml:space="preserve"> 025605 </t>
  </si>
  <si>
    <t>ELETROCALHA - TIRANTE BARRA ROSCADA 3/8"" 3,00m</t>
  </si>
  <si>
    <t>2,51</t>
  </si>
  <si>
    <t>0,0464080</t>
  </si>
  <si>
    <t>53,91</t>
  </si>
  <si>
    <t xml:space="preserve"> MATED-11248 </t>
  </si>
  <si>
    <t>20,12</t>
  </si>
  <si>
    <t>2,40</t>
  </si>
  <si>
    <t xml:space="preserve"> 00012895/SINAPI </t>
  </si>
  <si>
    <t>Capacete de seguranca aba frontal com suspensao de polietileno, sem jugular (classe b)</t>
  </si>
  <si>
    <t>2,21</t>
  </si>
  <si>
    <t xml:space="preserve"> MATED-11354 </t>
  </si>
  <si>
    <t>TÁBUA (ACABAMENTO: BRUTO|SEÇÃO TRANSVERSAL: 1X12"|ESPESSURA: 25MM|LARGURA*: 300MM|TIPO DE MADEIRA: CEDRINHO, PINUS OU MADEIRA EQUIVALENTE DA REGIÃO)*VALORES REFERENCIAIS APROXIMADOS</t>
  </si>
  <si>
    <t>0,0525000</t>
  </si>
  <si>
    <t>41,11</t>
  </si>
  <si>
    <t>53,59</t>
  </si>
  <si>
    <t>0,0854423</t>
  </si>
  <si>
    <t>24,45</t>
  </si>
  <si>
    <t>9,3353223</t>
  </si>
  <si>
    <t>0,1110000</t>
  </si>
  <si>
    <t>18,31</t>
  </si>
  <si>
    <t>2,00</t>
  </si>
  <si>
    <t>66,39</t>
  </si>
  <si>
    <t>1,95</t>
  </si>
  <si>
    <t>0,0000011</t>
  </si>
  <si>
    <t>1.753.880,82</t>
  </si>
  <si>
    <t>0,0000033</t>
  </si>
  <si>
    <t>569.472,64</t>
  </si>
  <si>
    <t>5,22</t>
  </si>
  <si>
    <t>1,83</t>
  </si>
  <si>
    <t xml:space="preserve"> 014203 </t>
  </si>
  <si>
    <t>BUCHA DE NYLON PARA FIXACAO TIPO S8 C/PARAFUSO</t>
  </si>
  <si>
    <t>0,91</t>
  </si>
  <si>
    <t>1,82</t>
  </si>
  <si>
    <t>18,45</t>
  </si>
  <si>
    <t>0,0342780</t>
  </si>
  <si>
    <t>56,61</t>
  </si>
  <si>
    <t>1,66</t>
  </si>
  <si>
    <t>0,0001056</t>
  </si>
  <si>
    <t>15.701,54</t>
  </si>
  <si>
    <t>5,31</t>
  </si>
  <si>
    <t>1,65</t>
  </si>
  <si>
    <t>0,3810000</t>
  </si>
  <si>
    <t xml:space="preserve"> 00001330 </t>
  </si>
  <si>
    <t>CHAPA DE ACO GROSSA, ASTM A36, E = 1/4" (6,35 MM) 49,79 KG/M2</t>
  </si>
  <si>
    <t>0,2041000</t>
  </si>
  <si>
    <t>8,03</t>
  </si>
  <si>
    <t>0,0000194</t>
  </si>
  <si>
    <t>81.335,04</t>
  </si>
  <si>
    <t xml:space="preserve"> 004979 </t>
  </si>
  <si>
    <t>CAIXA DE PASSAGEM PARA ENERGIA 4""x2"" PVC</t>
  </si>
  <si>
    <t xml:space="preserve"> MATED-13098 </t>
  </si>
  <si>
    <t>1,55</t>
  </si>
  <si>
    <t>0,0455399</t>
  </si>
  <si>
    <t xml:space="preserve"> 098755 </t>
  </si>
  <si>
    <t>CABO AFUMEX GREEN 450/750V 1,5mm2</t>
  </si>
  <si>
    <t>0,5250000</t>
  </si>
  <si>
    <t>2,87</t>
  </si>
  <si>
    <t>0,0000240</t>
  </si>
  <si>
    <t>60.984,70</t>
  </si>
  <si>
    <t>4,87</t>
  </si>
  <si>
    <t>63,50</t>
  </si>
  <si>
    <t xml:space="preserve"> MATED-18323 </t>
  </si>
  <si>
    <t>1,45</t>
  </si>
  <si>
    <t>70,87</t>
  </si>
  <si>
    <t>1,39</t>
  </si>
  <si>
    <t xml:space="preserve"> MATED-11886 </t>
  </si>
  <si>
    <t>SUPORTE OU GANCHO PARA LUMINÁRIA EM PERFILADO (TIPO: CURTO|MATERIAL: CHAPA DE AÇO|TRATAMENTO: PRÉ-ZINCADO|COMPRIMENTO: 100MM)</t>
  </si>
  <si>
    <t>0,88</t>
  </si>
  <si>
    <t>0,5600000</t>
  </si>
  <si>
    <t>2,35</t>
  </si>
  <si>
    <t>1,32</t>
  </si>
  <si>
    <t>158,16</t>
  </si>
  <si>
    <t xml:space="preserve"> MOED-8499 </t>
  </si>
  <si>
    <t>0,0521296</t>
  </si>
  <si>
    <t>319,90</t>
  </si>
  <si>
    <t>0,36</t>
  </si>
  <si>
    <t>47,69</t>
  </si>
  <si>
    <t>26,37</t>
  </si>
  <si>
    <t xml:space="preserve"> 00005330/SINAPI </t>
  </si>
  <si>
    <t>Diluente epoxi</t>
  </si>
  <si>
    <t>56,28</t>
  </si>
  <si>
    <t xml:space="preserve"> 00012894/SINAPI </t>
  </si>
  <si>
    <t>Capa para chuva em pvc com forro de poliester, com capuz (amarela ou azul)</t>
  </si>
  <si>
    <t>20,11</t>
  </si>
  <si>
    <t>18,04</t>
  </si>
  <si>
    <t>0,54</t>
  </si>
  <si>
    <t xml:space="preserve"> 030945 </t>
  </si>
  <si>
    <t>ANILHA DE IDENTIFICACAO PARA CABOS DE 0 A 9 (KIT 100 PECAS)</t>
  </si>
  <si>
    <t>118,11</t>
  </si>
  <si>
    <t>0,98</t>
  </si>
  <si>
    <t xml:space="preserve"> 00003767/SINAPI </t>
  </si>
  <si>
    <t>Lixa em folha para parede ou madeira, numero 120, cor vermelha</t>
  </si>
  <si>
    <t>1,38</t>
  </si>
  <si>
    <t>127,33</t>
  </si>
  <si>
    <t>0,0369000</t>
  </si>
  <si>
    <t>23,73</t>
  </si>
  <si>
    <t xml:space="preserve"> MATED-11888 </t>
  </si>
  <si>
    <t xml:space="preserve"> MATED-19587 </t>
  </si>
  <si>
    <t>5,68</t>
  </si>
  <si>
    <t>0,73</t>
  </si>
  <si>
    <t>0,68</t>
  </si>
  <si>
    <t xml:space="preserve"> 025606 </t>
  </si>
  <si>
    <t>ELETROCALHA - JAQUETA E CONE 1/4""</t>
  </si>
  <si>
    <t>0,63</t>
  </si>
  <si>
    <t>0,0000068</t>
  </si>
  <si>
    <t>91.750,00</t>
  </si>
  <si>
    <t>0,62</t>
  </si>
  <si>
    <t xml:space="preserve"> E.05.000.026662 </t>
  </si>
  <si>
    <t>Chapa de aço ASTM A-36 de 1/4´</t>
  </si>
  <si>
    <t>9,24</t>
  </si>
  <si>
    <t>0,2127751</t>
  </si>
  <si>
    <t xml:space="preserve"> 062228 </t>
  </si>
  <si>
    <t>ARAME GALVANIZADO #20 BWG 0,89mm</t>
  </si>
  <si>
    <t>3,6000000</t>
  </si>
  <si>
    <t xml:space="preserve"> MATED-18324 </t>
  </si>
  <si>
    <t>3,3333333</t>
  </si>
  <si>
    <t>8,02</t>
  </si>
  <si>
    <t xml:space="preserve"> MATED-19506 </t>
  </si>
  <si>
    <t>0,0821542</t>
  </si>
  <si>
    <t>44,00</t>
  </si>
  <si>
    <t xml:space="preserve"> 00010998 </t>
  </si>
  <si>
    <t>ELETRODO REVESTIDO AWS - E-6010, DIAMETRO IGUAL A 4,00 MM</t>
  </si>
  <si>
    <t>0,0120950</t>
  </si>
  <si>
    <t>42,99</t>
  </si>
  <si>
    <t>19,98</t>
  </si>
  <si>
    <t>0,49</t>
  </si>
  <si>
    <t xml:space="preserve"> 00002692/SINAPI </t>
  </si>
  <si>
    <t>Desmoldante protetor para formas de madeira, de base oleosa emulsionada em agua</t>
  </si>
  <si>
    <t>6,76</t>
  </si>
  <si>
    <t>0,47</t>
  </si>
  <si>
    <t>250,84</t>
  </si>
  <si>
    <t xml:space="preserve"> MOED-20141 </t>
  </si>
  <si>
    <t>CARPINTEIRO DE FORMA (MODALIDADE: HORISTA|ENCARGOS SOCIAIS: INCLUSO)</t>
  </si>
  <si>
    <t>0,0168590</t>
  </si>
  <si>
    <t>92,70</t>
  </si>
  <si>
    <t>592.078,81</t>
  </si>
  <si>
    <t>0,41</t>
  </si>
  <si>
    <t xml:space="preserve"> MATED-14455 </t>
  </si>
  <si>
    <t>PARAFUSO (ROSCA: AUTOATARRAXANTE|APLICAÇÃO: MADEIRA|CABEÇA: FENDA|MATERIAL: AÇO|ACABAMENTO: ZINCADO|COMPRIMENTO: 75MM|DIÂMETRO: 6,1MM)</t>
  </si>
  <si>
    <t>0,5333336</t>
  </si>
  <si>
    <t>0,39</t>
  </si>
  <si>
    <t>979,65</t>
  </si>
  <si>
    <t>0,38</t>
  </si>
  <si>
    <t xml:space="preserve"> MATED-11624 </t>
  </si>
  <si>
    <t xml:space="preserve"> MOED-20129 </t>
  </si>
  <si>
    <t>AJUDANTE DE CARPINTEIRO (MODALIDADE: HORISTA|ENCARGOS SOCIAIS: INCLUSO)</t>
  </si>
  <si>
    <t>0,0169127</t>
  </si>
  <si>
    <t xml:space="preserve"> MATED-18325 </t>
  </si>
  <si>
    <t xml:space="preserve"> MATED-34311 </t>
  </si>
  <si>
    <t>BUCHA DE NYLON (DIÂMETRO NOMINAL: 10MM|COMPRIMENTO DA BUCHA: 50MM|DIÂMETRO DO PARAFUSO: 6-8MM)</t>
  </si>
  <si>
    <t>0,0000659</t>
  </si>
  <si>
    <t>4.980,16</t>
  </si>
  <si>
    <t xml:space="preserve"> MATED-4374 </t>
  </si>
  <si>
    <t>PARAFUSO (ROSCA: SOBERBA|CABEÇA SEXTAVADA|MATERAL: AÇO|COMPRIMENTO: 50MM|DIÂMETRO: 4,8MM [3/16"])</t>
  </si>
  <si>
    <t>11,60</t>
  </si>
  <si>
    <t>18,75</t>
  </si>
  <si>
    <t xml:space="preserve"> MATED-14632 </t>
  </si>
  <si>
    <t>EPI PARA FAMÍLIA ELETRICISTA - HORISTA (ENCARGOS COMPLEMENTARES)</t>
  </si>
  <si>
    <t>0,1731481</t>
  </si>
  <si>
    <t>45,90</t>
  </si>
  <si>
    <t>0,0062515</t>
  </si>
  <si>
    <t>32,06</t>
  </si>
  <si>
    <t>1.402,34</t>
  </si>
  <si>
    <t>26,99</t>
  </si>
  <si>
    <t>12,61</t>
  </si>
  <si>
    <t>0,0420000</t>
  </si>
  <si>
    <t xml:space="preserve"> MATED-14620 </t>
  </si>
  <si>
    <t>FERRAMENTAS PARA FAMÍLIA ELETRICISTA - HORISTA (ENCARGOS COMPLEMENTARES)</t>
  </si>
  <si>
    <t>0,0000009</t>
  </si>
  <si>
    <t>176.513,59</t>
  </si>
  <si>
    <t>32,30</t>
  </si>
  <si>
    <t>0,0000129</t>
  </si>
  <si>
    <t>10.637,56</t>
  </si>
  <si>
    <t>0,14</t>
  </si>
  <si>
    <t xml:space="preserve"> MATED-9873 </t>
  </si>
  <si>
    <t>0,0000185</t>
  </si>
  <si>
    <t>6.743,59</t>
  </si>
  <si>
    <t xml:space="preserve"> 00038414 </t>
  </si>
  <si>
    <t>TERMOFUSORA PARA TUBOS E CONEXOES EM PPR COM DIAMETROS DE 75 A 110 MM, POTENCIA DE *1100* W, TENSAO 220 V</t>
  </si>
  <si>
    <t>0,0001490</t>
  </si>
  <si>
    <t>775,63</t>
  </si>
  <si>
    <t xml:space="preserve"> 00039397 </t>
  </si>
  <si>
    <t>DESMOLDANTE PARA FORMAS METALICAS A BASE DE OLEO VEGETAL</t>
  </si>
  <si>
    <t>0,0068000</t>
  </si>
  <si>
    <t>0,0000317</t>
  </si>
  <si>
    <t>3.390,99</t>
  </si>
  <si>
    <t>25,95</t>
  </si>
  <si>
    <t>0,09</t>
  </si>
  <si>
    <t>651.367,18</t>
  </si>
  <si>
    <t>0,0335664</t>
  </si>
  <si>
    <t>41,01</t>
  </si>
  <si>
    <t xml:space="preserve"> MATED-14631 </t>
  </si>
  <si>
    <t>EPI PARA FAMÍLIA CARPINTEIRO DE FORMAS - HORISTA (ENCARGOS COMPLEMENTARES)</t>
  </si>
  <si>
    <t>0,0333334</t>
  </si>
  <si>
    <t>1,41</t>
  </si>
  <si>
    <t xml:space="preserve"> MATED-14636 </t>
  </si>
  <si>
    <t>EPI PARA FAMÍLIA OPERADOR ESCAVADEIRA - HORISTA (ENCARGOS COMPLEMENTARES)</t>
  </si>
  <si>
    <t>37,93</t>
  </si>
  <si>
    <t>0,0000085</t>
  </si>
  <si>
    <t>4.919,97</t>
  </si>
  <si>
    <t>0,0002030</t>
  </si>
  <si>
    <t>156,83</t>
  </si>
  <si>
    <t xml:space="preserve"> EQED-8483 </t>
  </si>
  <si>
    <t>20,27</t>
  </si>
  <si>
    <t>36,00</t>
  </si>
  <si>
    <t xml:space="preserve"> 00038415 </t>
  </si>
  <si>
    <t>TERMOFUSORA PARA TUBOS E CONEXOES EM PPR COM DIAMETROS DE 20 A 63 MM, POTENCIA DE 800 W, TENSAO 220 V</t>
  </si>
  <si>
    <t>0,0000234</t>
  </si>
  <si>
    <t>608,07</t>
  </si>
  <si>
    <t xml:space="preserve"> MATED-14619 </t>
  </si>
  <si>
    <t>FERRAMENTAS PARA FAMÍLIA CARPINTEIRO DE FORMAS - HORISTA (ENCARGOS COMPLEMENTARES)</t>
  </si>
  <si>
    <t>16,82</t>
  </si>
  <si>
    <t>0,0000158</t>
  </si>
  <si>
    <t>304,38</t>
  </si>
  <si>
    <t xml:space="preserve"> MATED-14624 </t>
  </si>
  <si>
    <t>FERRAMENTAS PARA FAMÍLIA OPERADOR ESCAVADEIRA - HORISTA (ENCARGOS COMPLEMENTARES)</t>
  </si>
  <si>
    <t>0,0001891</t>
  </si>
  <si>
    <t>6,49</t>
  </si>
  <si>
    <t>Composições Analíticas com Preço Unitário</t>
  </si>
  <si>
    <t>Composições Principais</t>
  </si>
  <si>
    <t>Livro SINAPI: Cálculos e Parâmetros</t>
  </si>
  <si>
    <t>BANCO DE MADEIRA EM TÁBUA, MEDINDO (105X30X35)CM, PARA VESTIÁRIO/REFEITÓRIO DE OBRA (FORNECIMENTO/FABRICAÇÃO)</t>
  </si>
  <si>
    <t>ED-</t>
  </si>
  <si>
    <t>Instalações para Canteiros de Obras</t>
  </si>
  <si>
    <t>Custos Horários Produtivo e Improdutivo dos Equipamentos</t>
  </si>
  <si>
    <t>Produção de Concreto</t>
  </si>
  <si>
    <t>PAREDE DE MADEIRA COMPENSADA PARA CONSTRUÇÃO TEMPORÁRIA EM CHAPA SIMPLES, EXTERNA, COM ÁREA LÍQUIDA MAIOR OU IGUAL A 6 M², COM VÃO. AF_03/2024</t>
  </si>
  <si>
    <t>PAREDE DE MADEIRA COMPENSADA PARA CONSTRUÇÃO TEMPORÁRIA EM CHAPA SIMPLES, EXTERNA, SEM VÃO. AF_03/2024</t>
  </si>
  <si>
    <t>PAREDE DE MADEIRA COMPENSADA PARA CONSTRUÇÃO TEMPORÁRIA EM CHAPA SIMPLES, EXTERNA, COM ÁREA LÍQUIDA MENOR QUE 6 M², COM VÃO. AF_03/2024</t>
  </si>
  <si>
    <t>TRAMA DE MADEIRA COMPOSTA POR TERÇAS PARA TELHADOS DE ATÉ 2 ÁGUAS PARA TELHA ONDULADA DE FIBROCIMENTO, METÁLICA, PLÁSTICA OU TERMOACÚSTICA, INCLUSO TRANSPORTE VERTICAL. AF_10/2025</t>
  </si>
  <si>
    <t>Estrutura e Trama para Cobertura</t>
  </si>
  <si>
    <t>Telhamento para Cobertura</t>
  </si>
  <si>
    <t>LASTRO DE CONCRETO MAGRO, APLICADO EM PISOS, LAJES SOBRE SOLO OU RADIERS, ESPESSURA DE 5 CM. AF_01/2024</t>
  </si>
  <si>
    <t>Lastro</t>
  </si>
  <si>
    <t>ELETRODUTO RÍGIDO ROSCÁVEL, PVC, DN 20 MM (1/2"), PARA CIRCUITOS TERMINAIS, INSTALADO EM FORRO - FORNECIMENTO E INSTALAÇÃO. AF_03/2023</t>
  </si>
  <si>
    <t>Instalações Elétricas - Eletrodutos Embutidos, Cabos, Caixas, Tomadas e Interruptores</t>
  </si>
  <si>
    <t>ELETRODUTO RÍGIDO ROSCÁVEL, PVC, DN 20 MM (1/2"), PARA CIRCUITOS TERMINAIS, INSTALADO EM PAREDE - FORNECIMENTO E INSTALAÇÃO. AF_03/2023</t>
  </si>
  <si>
    <t>CONDULETE DE PVC, TIPO B, PARA ELETRODUTO DE PVC SOLDÁVEL DN 25 MM (3/4''), APARENTE - FORNECIMENTO E INSTALAÇÃO. AF_01/2026</t>
  </si>
  <si>
    <t>Instalações Elétricas - Eletrodutos, Conexões e Conduletes Aparentes</t>
  </si>
  <si>
    <t>CABO DE COBRE FLEXÍVEL ISOLADO, 1,5 MM², ANTI-CHAMA 450/750 V, PARA CIRCUITOS TERMINAIS - FORNECIMENTO E INSTALAÇÃO. AF_03/2023</t>
  </si>
  <si>
    <t>Caixas Enterradas</t>
  </si>
  <si>
    <t>INTERRUPTOR SIMPLES (2 MÓDULOS), 10A/250V, INCLUINDO SUPORTE E PLACA - FORNECIMENTO E INSTALAÇÃO. AF_03/2023</t>
  </si>
  <si>
    <t>DISJUNTOR MONOPOLAR TIPO NEMA, CORRENTE NOMINAL DE 35 ATÉ 50A - FORNECIMENTO E INSTALAÇÃO. AF_07/2025</t>
  </si>
  <si>
    <t>Instalações Elétricas - Quadros, Cabos, Disjuntores, Contatores e Barramentos Blindados</t>
  </si>
  <si>
    <t>QUADRO DE DISTRIBUIÇÃO DE ENERGIA EM PVC, DE EMBUTIR, SEM BARRAMENTO, PARA 6 DISJUNTORES - FORNECIMENTO E INSTALAÇÃO. AF_07/2025</t>
  </si>
  <si>
    <t>TOMADA BAIXA DE EMBUTIR (1 MÓDULO), 2P+T 10 A, INCLUINDO SUPORTE E PLACA - FORNECIMENTO E INSTALAÇÃO. AF_03/2023</t>
  </si>
  <si>
    <t>TOMADA BAIXA DE EMBUTIR (1 MÓDULO), 2P+T 20 A, INCLUINDO SUPORTE E PLACA - FORNECIMENTO E INSTALAÇÃO. AF_03/2023</t>
  </si>
  <si>
    <t>Sistema de Proteção contra Descargas Atmosféricas - SPDA</t>
  </si>
  <si>
    <t>FIXAÇÃO DE TUBOS HORIZONTAIS DE PVC ÁGUA, PVC ESGOTO, PVC ÁGUA PLUVIAL, CPVC, PPR, COBRE OU AÇO, DIÂMETROS MENORES OU IGUAIS A 40 MM, COM ABRAÇADEIRA METÁLICA RÍGIDA TIPO U PERFIL 1 1/4", FIXADA EM PERFILADO EM LAJE. AF_09/2023_PS</t>
  </si>
  <si>
    <t>Rasgos e Fixações</t>
  </si>
  <si>
    <t>ESCAVAÇÃO MANUAL DE VALA. AF_09/2024</t>
  </si>
  <si>
    <t>Escavação de Valas</t>
  </si>
  <si>
    <t>PINTURA LÁTEX ACRÍLICA PREMIUM, APLICAÇÃO MANUAL EM PAREDES, DUAS DEMÃOS. AF_04/2023</t>
  </si>
  <si>
    <t>Pintura Interna</t>
  </si>
  <si>
    <t>INTERRUPTOR SIMPLES (1 MÓDULO) COM 1 TOMADA DE EMBUTIR 2P+T 10 A, INCLUINDO SUPORTE E PLACA - FORNECIMENTO E INSTALAÇÃO. AF_03/2023</t>
  </si>
  <si>
    <t>TOMADA BAIXA DE EMBUTIR (2 MÓDULOS), 2P+T 10 A, INCLUINDO SUPORTE E PLACA - FORNECIMENTO E INSTALAÇÃO. AF_03/2023</t>
  </si>
  <si>
    <t>FIXAÇÃO DE TUBOS VERTICAIS DE PVC ÁGUA, PVC ESGOTO, PVC ÁGUA PLUVIAL, CPVC, PPR, COBRE OU AÇO, DIÂMETROS MENORES OU IGUAIS A 40 MM, COM ABRAÇADEIRA METÁLICA RÍGIDA TIPO U PERFIL 1 1/4", FIXADA EM PERFILADO EM PAREDE. AF_09/2023_PS</t>
  </si>
  <si>
    <t>ESTRUTURA DE MADEIRA PROVISÓRIA PARA SUPORTE DE CAIXA DÁGUA ELEVADA DE 3000 LITROS. AF_03/2024</t>
  </si>
  <si>
    <t>Instalações Hidráulicas - Reservação e Bombas de Recalque</t>
  </si>
  <si>
    <t>JOELHO 90 GRAUS, PVC, SOLDÁVEL, DN 25MM, INSTALADO EM RAMAL DE DISTRIBUIÇÃO DE ÁGUA - FORNECIMENTO E INSTALAÇÃO. AF_06/2022</t>
  </si>
  <si>
    <t>Instalações Prediais de Água Fria em PVC</t>
  </si>
  <si>
    <t>TÊ, PVC, SOLDÁVEL, DN 25 MM INSTALADO EM RESERVAÇÃO PREDIAL DE ÁGUA - FORNECIMENTO E INSTALAÇÃO. AF_04/2024</t>
  </si>
  <si>
    <t>ADAPTADOR COM FLANGE E ANEL DE VEDAÇÃO, PVC, SOLDÁVEL, DN 25 MM X 3/4", INSTALADO EM RESERVAÇÃO PREDIAL DE ÁGUA - FORNECIMENTO E INSTALAÇÃO. AF_04/2024</t>
  </si>
  <si>
    <t>Válvulas e Registros para Sistemas Prediais</t>
  </si>
  <si>
    <t>Locação de Obras</t>
  </si>
  <si>
    <t>Escavação Horizontal</t>
  </si>
  <si>
    <t>CARGA, MANOBRA E DESCARGA DE SOLOS E MATERIAIS GRANULARES EM CAMINHÃO BASCULANTE 10 M³ - CARGA COM PÁ CARREGADEIRA (CAÇAMBA DE 1,7 A 2,8 M³ / 128 HP) E DESCARGA LIVRE (UNIDADE: M3). AF_02/2026</t>
  </si>
  <si>
    <t>Transporte, Carga e Descarga de Materiais</t>
  </si>
  <si>
    <t>Fundações Rasas (Blocos, Sapatas, Vigas Baldrame)</t>
  </si>
  <si>
    <t>Aterro e Reaterro de Valas</t>
  </si>
  <si>
    <t xml:space="preserve"> 92802 </t>
  </si>
  <si>
    <t>CORTE E DOBRA DE AÇO CA-50, DIÂMETRO DE 8,0 MM. AF_06/2022</t>
  </si>
  <si>
    <t>Armação para Estruturas de Concreto Armado</t>
  </si>
  <si>
    <t>Arrasamento de Estacas</t>
  </si>
  <si>
    <t>MARTELO DEMOLIDOR ELÉTRICO, COM POTÊNCIA DE 2.000 W, 1.000 IMPACTOS POR MINUTO, PESO DE 30 KG - CHI DIURNO. AF_01/2021</t>
  </si>
  <si>
    <t xml:space="preserve"> 92801 </t>
  </si>
  <si>
    <t>CORTE E DOBRA DE AÇO CA-50, DIÂMETRO DE 6,3 MM. AF_06/2022</t>
  </si>
  <si>
    <t xml:space="preserve"> 92803 </t>
  </si>
  <si>
    <t>CORTE E DOBRA DE AÇO CA-50, DIÂMETRO DE 10,0 MM. AF_06/2022</t>
  </si>
  <si>
    <t>Graute e Armação</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</si>
  <si>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</si>
  <si>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</si>
  <si>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Estacas Metálicas</t>
  </si>
  <si>
    <t>Concreto</t>
  </si>
  <si>
    <t>Execução de Tirantes</t>
  </si>
  <si>
    <t>APARELHO PARA CORTE E SOLDA OXI-ACETILENO SOBRE RODAS, INCLUSIVE CILINDROS E MAÇARICOS - CHP DIURNO. AF_05/2023</t>
  </si>
  <si>
    <t xml:space="preserve"> 98746 </t>
  </si>
  <si>
    <t>SOLDA DE TOPO EM CHAPA/PERFIL/TUBO DE AÇO CHANFRADO, ESPESSURA=1/4''. AF_06/2018</t>
  </si>
  <si>
    <t>Solda de Topo em Elementos de Aço</t>
  </si>
  <si>
    <t xml:space="preserve"> 92800 </t>
  </si>
  <si>
    <t>CORTE E DOBRA DE AÇO CA-60, DIÂMETRO DE 5,0 MM. AF_06/2022</t>
  </si>
  <si>
    <t>Alvenaria de Vedação</t>
  </si>
  <si>
    <t>Argamassas</t>
  </si>
  <si>
    <t>Estrutura metalica</t>
  </si>
  <si>
    <t>Paredes em Drywall</t>
  </si>
  <si>
    <t>MONTADOR DE ESTRUTURAS METÁLICAS COM ENCARGOS COMPLEMENTARES</t>
  </si>
  <si>
    <t>Instalações de Divisórias Diversas</t>
  </si>
  <si>
    <t>Chapisco</t>
  </si>
  <si>
    <t>Massa Única Interna</t>
  </si>
  <si>
    <t>Pintura para Pisos</t>
  </si>
  <si>
    <t>Pintura em Superfícies Metálicas</t>
  </si>
  <si>
    <t>Aterros, Bases, Sub bases e Imprimações</t>
  </si>
  <si>
    <t>USINAGEM DE BRITA GRADUADA TRATADA COM CIMENTO. AF_09/2025</t>
  </si>
  <si>
    <t>Usinagens</t>
  </si>
  <si>
    <t>ROLO COMPACTADOR DE PNEUS, ESTÁTICO, PRESSÃO VARIÁVEL, POTÊNCIA 110 HP, PESO SEM/COM LASTRO 10,8/27 T, LARGURA DE ROLAGEM 2,30 M - CHP DIURNO. AF_06/2017</t>
  </si>
  <si>
    <t>ROLO COMPACTADOR DE PNEUS, ESTÁTICO, PRESSÃO VARIÁVEL, POTÊNCIA 110 HP, PESO SEM/COM LASTRO 10,8/27 T, LARGURA DE ROLAGEM 2,30 M - CHI DIURNO. AF_06/2017</t>
  </si>
  <si>
    <t>Radier, Piso de Concreto e Laje sobre Solo</t>
  </si>
  <si>
    <t>Pavimento Rígido de Concreto</t>
  </si>
  <si>
    <t>Pisos</t>
  </si>
  <si>
    <t xml:space="preserve"> 87304 </t>
  </si>
  <si>
    <t>ARGAMASSA TRAÇO 1:5 (EM VOLUME DE CIMENTO E AREIA MÉDIA ÚMIDA) PARA CONTRAPISO, PREPARO MECÂNICO COM BETONEIRA 400 L. AF_08/2019</t>
  </si>
  <si>
    <t>Revestimentos Cerâmicos Internos</t>
  </si>
  <si>
    <t>AZULEJISTA OU LADRILHEIRO COM ENCARGOS COMPLEMENTARES</t>
  </si>
  <si>
    <t>Pavimento Intertravado</t>
  </si>
  <si>
    <t>Louças e Metais</t>
  </si>
  <si>
    <t>ENGATE FLEXÍVEL EM INOX, 1/2" X 40 CM - FORNECIMENTO E INSTALAÇÃO. AF_02/2026</t>
  </si>
  <si>
    <t>BACIA SANITÁRIA COM CAIXA ACOPLADA LOUÇA BRANCA - FORNECIMENTO E INSTALAÇÃO. AF_02/2026</t>
  </si>
  <si>
    <t>CARPINTEIRO DE ESQUADRIAS COM ENCARGOS COMPLEMENTARES</t>
  </si>
  <si>
    <t>Esquadrias - Janelas</t>
  </si>
  <si>
    <t>Esquadrias - Portas</t>
  </si>
  <si>
    <t>Vidros e Espelhos</t>
  </si>
  <si>
    <t>Rede de baixa tensao: caixas de passagem</t>
  </si>
  <si>
    <t>Instalações de Gás e Incêndio em Aço e Ferro Galvanizado</t>
  </si>
  <si>
    <t>Redes Enterradas de Distribuição Elétrica</t>
  </si>
  <si>
    <t>Instalações Prediais de Águas Pluviais - Tubos, Conexões, Caixas e Ralos</t>
  </si>
  <si>
    <t>Instalações Prediais de Esgoto - Tubos e Conexões</t>
  </si>
  <si>
    <t>Instalações Hidráulicas em PPR</t>
  </si>
  <si>
    <t xml:space="preserve"> 104097 </t>
  </si>
  <si>
    <t>TERMOFUSORA PARA TUBOS E CONEXÕES EM PPR COM DIÂMETROS DE 75 A 110 MM, POTÊNCIA DE *1100* W, TENSÃO 220 V - CHP DIURNO. AF_05/2022</t>
  </si>
  <si>
    <t xml:space="preserve"> 104098 </t>
  </si>
  <si>
    <t>TERMOFUSORA PARA TUBOS E CONEXÕES EM PPR COM DIÂMETROS DE 75 A 110 MM, POTÊNCIA DE *1100* W, TENSÃO 220 V - CHI DIURNO. AF_05/2022</t>
  </si>
  <si>
    <t xml:space="preserve"> 104091 </t>
  </si>
  <si>
    <t>TERMOFUSORA PARA TUBOS E CONEXÕES EM PPR COM DIÂMETROS DE 20 A 63 MM, POTÊNCIA DE 800 W, TENSAO 220 V - CHP DIURNO. AF_05/2022</t>
  </si>
  <si>
    <t>Assentamento de Tubos de Esgoto em PVC e PEAD</t>
  </si>
  <si>
    <t>Instalações em Cobre</t>
  </si>
  <si>
    <t>Sistemas de Medição</t>
  </si>
  <si>
    <t>Caixas de Água para Edificações</t>
  </si>
  <si>
    <t>Instalações Prediais de Esgoto - Caixas e Ralos</t>
  </si>
  <si>
    <t>Paisagismo - Plantio</t>
  </si>
  <si>
    <t>Demolições e Remoções</t>
  </si>
  <si>
    <t>APARELHO PARA CORTE E SOLDA OXI-ACETILENO SOBRE RODAS, INCLUSIVE CILINDROS E MAÇARICOS - CHI DIURNO. AF_05/2023</t>
  </si>
  <si>
    <t xml:space="preserve"> 15.03.150 </t>
  </si>
  <si>
    <t>Fornecimento e montagem de estrutura metálica em perfil metalon, sem pintura</t>
  </si>
  <si>
    <t xml:space="preserve"> 33.07.130 </t>
  </si>
  <si>
    <t>Pintura epóxi bicomponente em estruturas metálicas</t>
  </si>
  <si>
    <t>Composições Auxiliares</t>
  </si>
  <si>
    <t xml:space="preserve"> 89383 </t>
  </si>
  <si>
    <t>ADAPTADOR CURTO COM BOLSA E ROSCA PARA REGISTRO, PVC, SOLDÁVEL, DN 25MM X 3/4, INSTALADO EM RAMAL OU SUB-RAMAL DE ÁGUA - FORNECIMENTO E INSTALAÇÃO. AF_06/2022</t>
  </si>
  <si>
    <t xml:space="preserve"> 95308 </t>
  </si>
  <si>
    <t>CURSO DE CAPACITAÇÃO PARA AJUDANTE DE ARMADOR (ENCARGOS COMPLEMENTARES) - HORISTA</t>
  </si>
  <si>
    <t xml:space="preserve"> 95309 </t>
  </si>
  <si>
    <t>CURSO DE CAPACITAÇÃO PARA AJUDANTE DE CARPINTEIRO (ENCARGOS COMPLEMENTARES) - HORISTA</t>
  </si>
  <si>
    <t xml:space="preserve"> ED-50361 </t>
  </si>
  <si>
    <t>Equipamentos</t>
  </si>
  <si>
    <t>Utilização</t>
  </si>
  <si>
    <t>Custo Operacional</t>
  </si>
  <si>
    <t>Consumo</t>
  </si>
  <si>
    <t>Custo Horário</t>
  </si>
  <si>
    <t>(A) Total:</t>
  </si>
  <si>
    <t>Unidade</t>
  </si>
  <si>
    <t>Custo Unitário</t>
  </si>
  <si>
    <t>MOED-20129</t>
  </si>
  <si>
    <t>(B) Total:</t>
  </si>
  <si>
    <t>Custo Horário de Execução (A) + (B):</t>
  </si>
  <si>
    <t>(D) Produção da Equipe:</t>
  </si>
  <si>
    <t>Custo Unitário de Execução [(A) + (B)] / (D):</t>
  </si>
  <si>
    <t>F</t>
  </si>
  <si>
    <t>MATED-13096</t>
  </si>
  <si>
    <t xml:space="preserve"> X1:0.0
 X2: 0.0 
 X3: 0.0</t>
  </si>
  <si>
    <t>MATED-13097</t>
  </si>
  <si>
    <t>MATED-13098</t>
  </si>
  <si>
    <t>MATED-13099</t>
  </si>
  <si>
    <t>(F)Total:</t>
  </si>
  <si>
    <t>G</t>
  </si>
  <si>
    <t>Atividade Auxiliar</t>
  </si>
  <si>
    <t>ED-14666</t>
  </si>
  <si>
    <t>EPI PARA AJUDANTE DE CARPINTEIRO   HORISTA (ENCARGOS COMPLEMENTARES)</t>
  </si>
  <si>
    <t>ED-14702</t>
  </si>
  <si>
    <t>FERRAMENTAS PARA AJUDANTE DE CARPINTEIRO   HORISTA (ENCARGOS COMPLEMENTARES)</t>
  </si>
  <si>
    <t>ED-5232</t>
  </si>
  <si>
    <t>CURSO DE CAPACITAÇÃO PARA AJUDANTE DE CARPINTEIRO (ENCARGOS COMPLEMENTARES)   HORISTA</t>
  </si>
  <si>
    <t>(G) Total:</t>
  </si>
  <si>
    <t>Momento Transporte</t>
  </si>
  <si>
    <t>Formula</t>
  </si>
  <si>
    <t>X1, X2, X3</t>
  </si>
  <si>
    <t>(H) Total:</t>
  </si>
  <si>
    <t xml:space="preserve"> ED-50362 </t>
  </si>
  <si>
    <t>MOED-20130</t>
  </si>
  <si>
    <t>ED-14646</t>
  </si>
  <si>
    <t>EPI PARA AJUDANTE DE ELETRICISTA   HORISTA (ENCARGOS COMPLEMENTARES)</t>
  </si>
  <si>
    <t>ED-14682</t>
  </si>
  <si>
    <t>FERRAMENTAS PARA AJUDANTE DE ELETRICISTA   HORISTA (ENCARGOS COMPLEMENTARES)</t>
  </si>
  <si>
    <t>ED-5225</t>
  </si>
  <si>
    <t>CURSO DE CAPACITAÇÃO PARA AUXILIAR DE ELETRICISTA (ENCARGOS COMPLEMENTARES)   HORISTA</t>
  </si>
  <si>
    <t xml:space="preserve"> 95313 </t>
  </si>
  <si>
    <t>CURSO DE CAPACITAÇÃO PARA AJUDANTE ESPECIALIZADO (ENCARGOS COMPLEMENTARES) - HORISTA</t>
  </si>
  <si>
    <t xml:space="preserve"> 92712 </t>
  </si>
  <si>
    <t>APARELHO PARA CORTE E SOLDA OXI-ACETILENO SOBRE RODAS, INCLUSIVE CILINDROS E MAÇARICOS - DEPRECIAÇÃO. AF_05/2023</t>
  </si>
  <si>
    <t>Depreciação, Juros, Impostos e Seguros, Manutenção e Materiais na Operação dos Equipamentos</t>
  </si>
  <si>
    <t xml:space="preserve"> 92713 </t>
  </si>
  <si>
    <t>APARELHO PARA CORTE E SOLDA OXI-ACETILENO SOBRE RODAS, INCLUSIVE CILINDROS E MAÇARICOS - JUROS. AF_05/2023</t>
  </si>
  <si>
    <t xml:space="preserve"> 92714 </t>
  </si>
  <si>
    <t>APARELHO PARA CORTE E SOLDA OXI-ACETILENO SOBRE RODAS, INCLUSIVE CILINDROS E MAÇARICOS - MANUTENÇÃO. AF_05/2023</t>
  </si>
  <si>
    <t xml:space="preserve"> 92715 </t>
  </si>
  <si>
    <t>APARELHO PARA CORTE E SOLDA OXI-ACETILENO SOBRE RODAS, INCLUSIVE CILINDROS E MAÇARICOS - MATERIAIS NA OPERAÇÃO. AF_05/2023</t>
  </si>
  <si>
    <t xml:space="preserve"> 100475 </t>
  </si>
  <si>
    <t>ARGAMASSA TRAÇO 1:3 (EM VOLUME DE CIMENTO E AREIA MÉDIA ÚMIDA) COM ADIÇÃO DE IMPERMEABILIZANTE, PREPARO MECÂNICO COM BETONEIRA 400 L. AF_08/2019</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</si>
  <si>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</si>
  <si>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</si>
  <si>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</si>
  <si>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</si>
  <si>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87316 </t>
  </si>
  <si>
    <t>ARGAMASSA TRAÇO 1:4 (EM VOLUME DE CIMENTO E AREIA GROSSA ÚMIDA) PARA CHAPISCO CONVENCIONAL, PREPARO MECÂNICO COM BETONEIRA 400 L. AF_08/2019</t>
  </si>
  <si>
    <t>Custo Horário de Execução =&gt;</t>
  </si>
  <si>
    <t>Fator de Influencia da Chuva - FIC =&gt;</t>
  </si>
  <si>
    <t>Custo do FIC =&gt;</t>
  </si>
  <si>
    <t>Produção de Equipe =&gt;</t>
  </si>
  <si>
    <t>Custo Unitário de Execução =&gt;</t>
  </si>
  <si>
    <t>C</t>
  </si>
  <si>
    <t>Preço Unitário</t>
  </si>
  <si>
    <t>Custo Total do Material =&gt;</t>
  </si>
  <si>
    <t>D</t>
  </si>
  <si>
    <t>Atividades Auxiliares</t>
  </si>
  <si>
    <t>Custo Total das Atividades =&gt;</t>
  </si>
  <si>
    <t xml:space="preserve"> ED-8501 </t>
  </si>
  <si>
    <t>OPERADOR DE BETONEIRA ESTACIONÁRIA COM ENCARGOS COMPLEMENTARES</t>
  </si>
  <si>
    <t xml:space="preserve"> 95314 </t>
  </si>
  <si>
    <t>CURSO DE CAPACITAÇÃO PARA ARMADOR (ENCARGOS COMPLEMENTARES) - HORISTA</t>
  </si>
  <si>
    <t xml:space="preserve"> 92767 </t>
  </si>
  <si>
    <t>ARMAÇÃO DE LAJE DE ESTRUTURA CONVENCIONAL DE CONCRETO ARMADO UTILIZANDO AÇO CA-60 DE 4,2 MM - MONTAGEM. AF_06/2022</t>
  </si>
  <si>
    <t>CORTE E DOBRA DE AÇO CA-60, DIÂMETRO DE 4,2 MM. AF_06/2022</t>
  </si>
  <si>
    <t xml:space="preserve"> 95315 </t>
  </si>
  <si>
    <t>CURSO DE CAPACITAÇÃO PARA ASSENTADOR DE TUBOS (ENCARGOS COMPLEMENTARES) - HORISTA</t>
  </si>
  <si>
    <t xml:space="preserve"> 95316 </t>
  </si>
  <si>
    <t xml:space="preserve"> 95317 </t>
  </si>
  <si>
    <t>CURSO DE CAPACITAÇÃO PARA AUXILIAR DE ENCANADOR OU BOMBEIRO HIDRÁULICO (ENCARGOS COMPLEMENTARES) - HORISTA</t>
  </si>
  <si>
    <t xml:space="preserve"> 95319 </t>
  </si>
  <si>
    <t>CURSO DE CAPACITAÇÃO PARA AUXILIAR DE MECÂNICO (ENCARGOS COMPLEMENTARES) - HORISTA</t>
  </si>
  <si>
    <t xml:space="preserve"> 95320 </t>
  </si>
  <si>
    <t>CURSO DE CAPACITAÇÃO PARA AUXILIAR DE SERRALHEIRO (ENCARGOS COMPLEMENTARES) - HORISTA</t>
  </si>
  <si>
    <t xml:space="preserve"> 95324 </t>
  </si>
  <si>
    <t>CURSO DE CAPACITAÇÃO PARA AZULEJISTA OU LADRILHEIRO (ENCARGOS COMPLEMENTARES) - HORISTA</t>
  </si>
  <si>
    <t>MATED-11354</t>
  </si>
  <si>
    <t>MATED-14455</t>
  </si>
  <si>
    <t>ED-50361</t>
  </si>
  <si>
    <t>ED-50372</t>
  </si>
  <si>
    <t>CARPINTEIRO DE FORMA COM ENCARGOS COMPLEMENTARES</t>
  </si>
  <si>
    <t xml:space="preserve"> 89212 </t>
  </si>
  <si>
    <t>BATE-ESTACAS POR GRAVIDADE, POTÊNCIA DE 160 HP, PESO DO MARTELO ATÉ 3 TONELADAS - DEPRECIAÇÃO. AF_11/2014</t>
  </si>
  <si>
    <t xml:space="preserve"> 89213 </t>
  </si>
  <si>
    <t>BATE-ESTACAS POR GRAVIDADE, POTÊNCIA DE 160 HP, PESO DO MARTELO ATÉ 3 TONELADAS - JUROS. AF_11/2014</t>
  </si>
  <si>
    <t xml:space="preserve"> 89214 </t>
  </si>
  <si>
    <t>BATE-ESTACAS POR GRAVIDADE, POTÊNCIA DE 160 HP, PESO DO MARTELO ATÉ 3 TONELADAS - MANUTENÇÃO. AF_11/2014</t>
  </si>
  <si>
    <t xml:space="preserve"> 89215 </t>
  </si>
  <si>
    <t>BATE-ESTACAS POR GRAVIDADE, POTÊNCIA DE 160 HP, PESO DO MARTELO ATÉ 3 TONELADAS - MATERIAIS NA OPERAÇÃO. AF_11/2014</t>
  </si>
  <si>
    <t xml:space="preserve"> 88826 </t>
  </si>
  <si>
    <t>BETONEIRA CAPACIDADE NOMINAL DE 400 L, CAPACIDADE DE MISTURA 280 L, MOTOR ELÉTRICO TRIFÁSICO POTÊNCIA DE 2 CV, SEM CARREGADOR - DEPRECIAÇÃO. AF_05/2023</t>
  </si>
  <si>
    <t xml:space="preserve"> 88827 </t>
  </si>
  <si>
    <t>BETONEIRA CAPACIDADE NOMINAL DE 400 L, CAPACIDADE DE MISTURA 280 L, MOTOR ELÉTRICO TRIFÁSICO POTÊNCIA DE 2 CV, SEM CARREGADOR - JUROS. AF_05/2023</t>
  </si>
  <si>
    <t xml:space="preserve"> 88828 </t>
  </si>
  <si>
    <t>BETONEIRA CAPACIDADE NOMINAL DE 400 L, CAPACIDADE DE MISTURA 280 L, MOTOR ELÉTRICO TRIFÁSICO POTÊNCIA DE 2 CV, SEM CARREGADOR - MANUTENÇÃO. AF_05/2023</t>
  </si>
  <si>
    <t xml:space="preserve"> 88829 </t>
  </si>
  <si>
    <t>BETONEIRA CAPACIDADE NOMINAL DE 400 L, CAPACIDADE DE MISTURA 280 L, MOTOR ELÉTRICO TRIFÁSICO POTÊNCIA DE 2 CV, SEM CARREGADOR - MATERIAIS NA OPERAÇÃO. AF_05/2023</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</si>
  <si>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</si>
  <si>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</si>
  <si>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</si>
  <si>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</si>
  <si>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</si>
  <si>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</si>
  <si>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</si>
  <si>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</si>
  <si>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101619 </t>
  </si>
  <si>
    <t>PREPARO DE FUNDO DE VALA COM LARGURA MENOR QUE 1,5 M, COM CAMADA DE BRITA, LANÇAMENTO MANUAL. AF_01/2026</t>
  </si>
  <si>
    <t>Escoramento e Preparo de Fundo de Valas</t>
  </si>
  <si>
    <t xml:space="preserve"> 97734 </t>
  </si>
  <si>
    <t>PEÇA RETANGULAR PRÉ-MOLDADA, VOLUME DE CONCRETO DE 10 A 30 LITROS, TAXA DE AÇO APROXIMADA DE 30KG/M³. AF_03/2024</t>
  </si>
  <si>
    <t>Estruturas Pré-Fabricadas e Pré-Moldadas</t>
  </si>
  <si>
    <t xml:space="preserve"> 95328 </t>
  </si>
  <si>
    <t>CURSO DE CAPACITAÇÃO PARA CALCETEIRO (ENCARGOS COMPLEMENTARES) - HORISTA</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</si>
  <si>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</si>
  <si>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</si>
  <si>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</si>
  <si>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</si>
  <si>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</si>
  <si>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</si>
  <si>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</si>
  <si>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</si>
  <si>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</si>
  <si>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</si>
  <si>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</si>
  <si>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</si>
  <si>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7058 </t>
  </si>
  <si>
    <t>CAMINHÃO BASCULANTE 6 M3 TOCO, PESO BRUTO TOTAL 16.000 KG, CARGA ÚTIL MÁXIMA 11.130 KG, DISTÂNCIA ENTRE EIXOS 5,36 M, POTÊNCIA 185 CV, INCLUSIVE CAÇAMBA METÁLICA - DEPRECIAÇÃO. AF_06/2014</t>
  </si>
  <si>
    <t xml:space="preserve"> 7059 </t>
  </si>
  <si>
    <t>CAMINHÃO BASCULANTE 6 M3 TOCO, PESO BRUTO TOTAL 16.000 KG, CARGA ÚTIL MÁXIMA 11.130 KG, DISTÂNCIA ENTRE EIXOS 5,36 M, POTÊNCIA 185 CV, INCLUSIVE CAÇAMBA METÁLICA - JUROS. AF_06/2014</t>
  </si>
  <si>
    <t xml:space="preserve"> 91402 </t>
  </si>
  <si>
    <t>CAMINHÃO BASCULANTE 6 M3 TOCO, PESO BRUTO TOTAL 16.000 KG, CARGA ÚTIL MÁXIMA 11.130 KG, DISTÂNCIA ENTRE EIXOS 5,36 M, POTÊNCIA 185 CV, INCLUSIVE CAÇAMBA METÁLICA - IMPOSTOS E SEGUROS.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</si>
  <si>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</si>
  <si>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</si>
  <si>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</si>
  <si>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</si>
  <si>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88282 </t>
  </si>
  <si>
    <t>MOTORISTA DE CAMINHÃO COM ENCARGOS COMPLEMENTARES</t>
  </si>
  <si>
    <t xml:space="preserve"> 91396 </t>
  </si>
  <si>
    <t>CAMINHÃO PIPA 10.000 L TRUCADO, PESO BRUTO TOTAL 23.000 KG, CARGA ÚTIL MÁXIMA 15.935 KG, DISTÂNCIA ENTRE EIXOS 4,8 M, POTÊNCIA 230 CV, INCLUSIVE TANQUE DE AÇO PARA TRANSPORTE DE ÁGUA - DEPRECIAÇÃO. AF_06/2014</t>
  </si>
  <si>
    <t xml:space="preserve"> 91397 </t>
  </si>
  <si>
    <t>CAMINHÃO PIPA 10.000 L TRUCADO, PESO BRUTO TOTAL 23.000 KG, CARGA ÚTIL MÁXIMA 15.935 KG, DISTÂNCIA ENTRE EIXOS 4,8 M, POTÊNCIA 230 CV, INCLUSIVE TANQUE DE AÇO PARA TRANSPORTE DE ÁGUA - JUROS. AF_06/2014</t>
  </si>
  <si>
    <t xml:space="preserve"> 91398 </t>
  </si>
  <si>
    <t>CAMINHÃO PIPA 10.000 L TRUCADO, PESO BRUTO TOTAL 23.000 KG, CARGA ÚTIL MÁXIMA 15.935 KG, DISTÂNCIA ENTRE EIXOS 4,8 M, POTÊNCIA 230 CV, INCLUSIVE TANQUE DE AÇO PARA TRANSPORTE DE ÁGUA - IMPOSTOS E SEGUROS.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</si>
  <si>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</si>
  <si>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</si>
  <si>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</si>
  <si>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</si>
  <si>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95329 </t>
  </si>
  <si>
    <t>CURSO DE CAPACITAÇÃO PARA CARPINTEIRO DE ESQUADRIA (ENCARGOS COMPLEMENTARES) - HORISTA</t>
  </si>
  <si>
    <t xml:space="preserve"> ED-50372 </t>
  </si>
  <si>
    <t>MOED-20141</t>
  </si>
  <si>
    <t>ED-14648</t>
  </si>
  <si>
    <t>EPI PARA CARPINTEIRO DE FORMA   HORISTA (ENCARGOS COMPLEMENTARES)</t>
  </si>
  <si>
    <t>ED-14684</t>
  </si>
  <si>
    <t>FERRAMENTAS PARA CARPINTEIRO DE FORMA   HORISTA (ENCARGOS COMPLEMENTARES)</t>
  </si>
  <si>
    <t>ED-5231</t>
  </si>
  <si>
    <t>CURSO DE CAPACITAÇÃO PARA CARPINTEIRO DE FÔRMAS (ENCARGOS COMPLEMENTARES)   HORISTA</t>
  </si>
  <si>
    <t xml:space="preserve"> 95330 </t>
  </si>
  <si>
    <t>CURSO DE CAPACITAÇÃO PARA CARPINTEIRO DE FÔRMAS (ENCARGOS COMPLEMENTARES) -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</si>
  <si>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</si>
  <si>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</si>
  <si>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</si>
  <si>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</si>
  <si>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</si>
  <si>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</si>
  <si>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</si>
  <si>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</si>
  <si>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94971 </t>
  </si>
  <si>
    <t>CONCRETO FCK = 25MPA, TRAÇO 1:2,3:2,7 (EM MASSA SECA DE CIMENTO/ AREIA MÉDIA/ BRITA 1) - PREPARO MECÂNICO COM BETONEIRA 600 L. AF_05/2021</t>
  </si>
  <si>
    <t xml:space="preserve"> 91279 </t>
  </si>
  <si>
    <t>CORTADORA DE PISO COM MOTOR 4 TEMPOS A GASOLINA, POTÊNCIA DE 13 HP, COM DISCO DE CORTE DIAMANTADO SEGMENTADO PARA CONCRETO, DIÂMETRO DE 350 MM, FURO DE 1" (14 X 1") - DEPRECIAÇÃO. AF_08/2015</t>
  </si>
  <si>
    <t xml:space="preserve"> 91280 </t>
  </si>
  <si>
    <t>CORTADORA DE PISO COM MOTOR 4 TEMPOS A GASOLINA, POTÊNCIA DE 13 HP, COM DISCO DE CORTE DIAMANTADO SEGMENTADO PARA CONCRETO, DIÂMETRO DE 350 MM, FURO DE 1" (14 X 1") - JUROS. AF_08/2015</t>
  </si>
  <si>
    <t xml:space="preserve"> 91281 </t>
  </si>
  <si>
    <t>CORTADORA DE PISO COM MOTOR 4 TEMPOS A GASOLINA, POTÊNCIA DE 13 HP, COM DISCO DE CORTE DIAMANTADO SEGMENTADO PARA CONCRETO, DIÂMETRO DE 350 MM, FURO DE 1" (14 X 1") - MANUTENÇÃO. AF_08/2015</t>
  </si>
  <si>
    <t xml:space="preserve"> 91282 </t>
  </si>
  <si>
    <t>CORTADORA DE PISO COM MOTOR 4 TEMPOS A GASOLINA, POTÊNCIA DE 13 HP, COM DISCO DE CORTE DIAMANTADO SEGMENTADO PARA CONCRETO, DIÂMETRO DE 350 MM, FURO DE 1" (14 X 1") - MATERIAIS NA OPERAÇÃO. AF_08/2015</t>
  </si>
  <si>
    <t xml:space="preserve"> 92799 </t>
  </si>
  <si>
    <t xml:space="preserve"> ED-5232 </t>
  </si>
  <si>
    <t xml:space="preserve"> ED-5231 </t>
  </si>
  <si>
    <t>CURSO DE CAPACITAÇÃO PARA ELETRICISTA (ENCARGOS COMPLEMENTARES)   HORISTA</t>
  </si>
  <si>
    <t>MOED-20142</t>
  </si>
  <si>
    <t xml:space="preserve"> 95332 </t>
  </si>
  <si>
    <t>CURSO DE CAPACITAÇÃO PARA ELETRICISTA (ENCARGOS COMPLEMENTARES) - HORISTA</t>
  </si>
  <si>
    <t xml:space="preserve"> 95334 </t>
  </si>
  <si>
    <t>CURSO DE CAPACITAÇÃO PARA ELETROTÉCNICO (ENCARGOS COMPLEMENTARES) - HORISTA</t>
  </si>
  <si>
    <t xml:space="preserve"> 95335 </t>
  </si>
  <si>
    <t>CURSO DE CAPACITAÇÃO PARA ENCANADOR OU BOMBEIRO HIDRÁULICO (ENCARGOS COMPLEMENTARES) - HORISTA</t>
  </si>
  <si>
    <t xml:space="preserve"> 95401 </t>
  </si>
  <si>
    <t>CURSO DE CAPACITAÇÃO PARA ENCARREGADO GERAL (ENCARGOS COMPLEMENTARES) - HORISTA</t>
  </si>
  <si>
    <t xml:space="preserve"> 95403 </t>
  </si>
  <si>
    <t>CURSO DE CAPACITAÇÃO PARA ENGENHEIRO CIVIL DE OBRA PLENO (ENCARGOS COMPLEMENTARES) - HORISTA</t>
  </si>
  <si>
    <t xml:space="preserve"> 95390 </t>
  </si>
  <si>
    <t>CURSO DE CAPACITAÇÃO PARA JARDINEIRO (ENCARGOS COMPLEMENTARES) - HORISTA</t>
  </si>
  <si>
    <t xml:space="preserve"> 95341 </t>
  </si>
  <si>
    <t>CURSO DE CAPACITAÇÃO PARA MARMORISTA/GRANITEIRO (ENCARGOS COMPLEMENTARES) - HORISTA</t>
  </si>
  <si>
    <t xml:space="preserve"> 95342 </t>
  </si>
  <si>
    <t>CURSO DE CAPACITAÇÃO PARA MECÂNICO DE EQUIPAMENTOS PESADOS (ENCARGOS COMPLEMENTARES) - HORISTA</t>
  </si>
  <si>
    <t xml:space="preserve"> 95344 </t>
  </si>
  <si>
    <t>CURSO DE CAPACITAÇÃO PARA MONTADOR DE ESTRUTURA METÁLICA (ENCARGOS COMPLEMENTARES) - HORISTA</t>
  </si>
  <si>
    <t xml:space="preserve"> 95343 </t>
  </si>
  <si>
    <t>CURSO DE CAPACITAÇÃO PARA MONTADOR DE TUBO AÇO/EQUIPAMENTOS (ENCARGOS COMPLEMENTARES) - HORISTA</t>
  </si>
  <si>
    <t xml:space="preserve"> 95346 </t>
  </si>
  <si>
    <t>CURSO DE CAPACITAÇÃO PARA MOTORISTA DE BASCULANTE (ENCARGOS COMPLEMENTARES) - HORISTA</t>
  </si>
  <si>
    <t xml:space="preserve"> 95347 </t>
  </si>
  <si>
    <t>CURSO DE CAPACITAÇÃO PARA MOTORISTA DE CAMINHÃO (ENCARGOS COMPLEMENTARES) - HORISTA</t>
  </si>
  <si>
    <t>CURSO DE CAPACITAÇÃO PARA OPERADOR DE BETONEIRA ESTACIONÁRIA (ENCARGOS COMPLEMENTARES)  HORISTA</t>
  </si>
  <si>
    <t>MOED-8499</t>
  </si>
  <si>
    <t xml:space="preserve"> 95389 </t>
  </si>
  <si>
    <t>CURSO DE CAPACITAÇÃO PARA OPERADOR DE BETONEIRA ESTACIONÁRIA/MISTURADOR (ENCARGOS COMPLEMENTARES) - HORISTA</t>
  </si>
  <si>
    <t xml:space="preserve"> 95357 </t>
  </si>
  <si>
    <t>CURSO DE CAPACITAÇÃO PARA OPERADOR DE ESCAVADEIRA (ENCARGOS COMPLEMENTARES) - HORISTA</t>
  </si>
  <si>
    <t xml:space="preserve"> 95358 </t>
  </si>
  <si>
    <t>CURSO DE CAPACITAÇÃO PARA OPERADOR DE GUINCHO (ENCARGOS COMPLEMENTARES) - HORISTA</t>
  </si>
  <si>
    <t xml:space="preserve"> 95359 </t>
  </si>
  <si>
    <t>CURSO DE CAPACITAÇÃO PARA OPERADOR DE GUINDASTE (ENCARGOS COMPLEMENTARES) - HORISTA</t>
  </si>
  <si>
    <t xml:space="preserve"> 95361 </t>
  </si>
  <si>
    <t>CURSO DE CAPACITAÇÃO PARA OPERADOR DE MARTELETE OU MARTELETEIRO (ENCARGOS COMPLEMENTARES) - HORISTA</t>
  </si>
  <si>
    <t xml:space="preserve"> 95363 </t>
  </si>
  <si>
    <t>CURSO DE CAPACITAÇÃO PARA OPERADOR DE MOTONIVELADORA (ENCARGOS COMPLEMENTARES) - HORISTA</t>
  </si>
  <si>
    <t xml:space="preserve"> 95360 </t>
  </si>
  <si>
    <t>CURSO DE CAPACITAÇÃO PARA OPERADOR DE MÁQUINAS E EQUIPAMENTOS (ENCARGOS COMPLEMENTARES) - HORISTA</t>
  </si>
  <si>
    <t xml:space="preserve"> 95364 </t>
  </si>
  <si>
    <t>CURSO DE CAPACITAÇÃO PARA OPERADOR DE PÁ CARREGADEIRA (ENCARGOS COMPLEMENTARES) - HORISTA</t>
  </si>
  <si>
    <t xml:space="preserve"> 95366 </t>
  </si>
  <si>
    <t>CURSO DE CAPACITAÇÃO PARA OPERADOR DE ROLO COMPACTADOR (ENCARGOS COMPLEMENTARES) - HORISTA</t>
  </si>
  <si>
    <t xml:space="preserve"> 95367 </t>
  </si>
  <si>
    <t>CURSO DE CAPACITAÇÃO PARA OPERADOR DE USINA DE ASFALTO, DE SOLOS OU DE CONCRETO (ENCARGOS COMPLEMENTARES) - HORISTA</t>
  </si>
  <si>
    <t xml:space="preserve"> 95369 </t>
  </si>
  <si>
    <t>CURSO DE CAPACITAÇÃO PARA OPERADOR PARA BATE ESTACAS (ENCARGOS COMPLEMENTARES) - HORISTA</t>
  </si>
  <si>
    <t xml:space="preserve"> 95371 </t>
  </si>
  <si>
    <t>CURSO DE CAPACITAÇÃO PARA PEDREIRO (ENCARGOS COMPLEMENTARES) - HORISTA</t>
  </si>
  <si>
    <t xml:space="preserve"> 95372 </t>
  </si>
  <si>
    <t>CURSO DE CAPACITAÇÃO PARA PINTOR (ENCARGOS COMPLEMENTARES) - HORISTA</t>
  </si>
  <si>
    <t xml:space="preserve"> 95377 </t>
  </si>
  <si>
    <t>CURSO DE CAPACITAÇÃO PARA SERRALHEIRO (ENCARGOS COMPLEMENTARES) - HORISTA</t>
  </si>
  <si>
    <t xml:space="preserve"> 95378 </t>
  </si>
  <si>
    <t>CURSO DE CAPACITAÇÃO PARA SERVENTE (ENCARGOS COMPLEMENTARES) - HORISTA</t>
  </si>
  <si>
    <t xml:space="preserve"> 95379 </t>
  </si>
  <si>
    <t>CURSO DE CAPACITAÇÃO PARA SOLDADOR (ENCARGOS COMPLEMENTARES) - HORISTA</t>
  </si>
  <si>
    <t xml:space="preserve"> 95385 </t>
  </si>
  <si>
    <t>CURSO DE CAPACITAÇÃO PARA TELHADISTA (ENCARGOS COMPLEMENTARES) - HORISTA</t>
  </si>
  <si>
    <t xml:space="preserve"> 95386 </t>
  </si>
  <si>
    <t>CURSO DE CAPACITAÇÃO PARA TRATORISTA (ENCARGOS COMPLEMENTARES) - HORISTA</t>
  </si>
  <si>
    <t xml:space="preserve"> 95387 </t>
  </si>
  <si>
    <t>CURSO DE CAPACITAÇÃO PARA VIDRACEIRO (ENCARGOS COMPLEMENTARES) - HORISTA</t>
  </si>
  <si>
    <t xml:space="preserve"> ED-50373 </t>
  </si>
  <si>
    <t>ED-14650</t>
  </si>
  <si>
    <t>EPI PARA ELETRICISTA   HORISTA (ENCARGOS COMPLEMENTARES)</t>
  </si>
  <si>
    <t>ED-14686</t>
  </si>
  <si>
    <t>FERRAMENTAS PARA ELETRICISTA   HORISTA (ENCARGOS COMPLEMENTARES)</t>
  </si>
  <si>
    <t>ED-5224</t>
  </si>
  <si>
    <t xml:space="preserve"> ED-14666 </t>
  </si>
  <si>
    <t>MATED-14631</t>
  </si>
  <si>
    <t>MATED-14632</t>
  </si>
  <si>
    <t xml:space="preserve"> ED-14648 </t>
  </si>
  <si>
    <t>EPI PARA OPERADOR DE BETONEIRA ESTACIONÁRIA   HORISTA (ENCARGOS COMPLEMENTARES)</t>
  </si>
  <si>
    <t>MATED-14636</t>
  </si>
  <si>
    <t xml:space="preserve"> 5627 </t>
  </si>
  <si>
    <t>ESCAVADEIRA HIDRÁULICA SOBRE ESTEIRAS, CAÇAMBA 0,80 M3, PESO OPERACIONAL 17 T, POTENCIA BRUTA 111 HP - DEPRECIAÇÃO. AF_06/2014</t>
  </si>
  <si>
    <t xml:space="preserve"> 5628 </t>
  </si>
  <si>
    <t>ESCAVADEIRA HIDRÁULICA SOBRE ESTEIRAS, CAÇAMBA 0,80 M3, PESO OPERACIONAL 17 T, POTENCIA BRUTA 111 HP - JUROS. AF_06/2014</t>
  </si>
  <si>
    <t xml:space="preserve"> 88294 </t>
  </si>
  <si>
    <t>OPERADOR DE ESCAVADEIRA COM ENCARGOS COMPLEMENTARES</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</si>
  <si>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</si>
  <si>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</si>
  <si>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</si>
  <si>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</si>
  <si>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ED-14702 </t>
  </si>
  <si>
    <t>MATED-14619</t>
  </si>
  <si>
    <t>MATED-14620</t>
  </si>
  <si>
    <t xml:space="preserve"> ED-14684 </t>
  </si>
  <si>
    <t>FERRAMENTAS PARA OPERADOR DE BETONEIRA ESTACIONÁRIA   HORISTA (ENCARGOS COMPLEMENTARES)</t>
  </si>
  <si>
    <t>MATED-14624</t>
  </si>
  <si>
    <t>SUPORTE OU GANCHO PARA PERFILADO, TIPO CURTO, EM CHAPA DE AÇO COM TRATAMENTO PRÉ ZINCADO, COMPRIMENTO 100MM, INCLUSIVE ACESSÓRIOS E FIXAÇÃO</t>
  </si>
  <si>
    <t xml:space="preserve"> 93428 </t>
  </si>
  <si>
    <t>GRUPO GERADOR ESTACIONÁRIO, POTÊNCIA 150 KVA, MOTOR A DIESEL- CHI DIURNO. AF_03/2016</t>
  </si>
  <si>
    <t>GRUPO GERADOR ESTACIONÁRIO, POTÊNCIA 150 KVA, MOTOR A DIESEL- DEPRECIAÇÃO. AF_03/2016</t>
  </si>
  <si>
    <t>GRUPO GERADOR ESTACIONÁRIO, POTÊNCIA 150 KVA, MOTOR A DIESEL- JUROS. AF_03/2016</t>
  </si>
  <si>
    <t xml:space="preserve"> 93427 </t>
  </si>
  <si>
    <t>GRUPO GERADOR ESTACIONÁRIO, POTÊNCIA 150 KVA, MOTOR A DIESEL- CHP DIURNO. AF_03/2016</t>
  </si>
  <si>
    <t xml:space="preserve"> 93423 </t>
  </si>
  <si>
    <t xml:space="preserve"> 93424 </t>
  </si>
  <si>
    <t xml:space="preserve"> 93425 </t>
  </si>
  <si>
    <t>GRUPO GERADOR ESTACIONÁRIO, POTÊNCIA 150 KVA, MOTOR A DIESEL- MANUTENÇÃO. AF_03/2016</t>
  </si>
  <si>
    <t xml:space="preserve"> 93426 </t>
  </si>
  <si>
    <t>GRUPO GERADOR ESTACIONÁRIO, POTÊNCIA 150 KVA, MOTOR A DIESEL- MATERIAIS NA OPERAÇÃO. AF_03/2016</t>
  </si>
  <si>
    <t xml:space="preserve"> 93282 </t>
  </si>
  <si>
    <t>GUINCHO ELÉTRICO DE COLUNA, CAPACIDADE 400 KG, COM MOTO FREIO, MOTOR TRIFÁSICO DE 1,25 CV - CHI DIURNO. AF_03/2016</t>
  </si>
  <si>
    <t xml:space="preserve"> 88295 </t>
  </si>
  <si>
    <t>OPERADOR DE GUINCHO COM ENCARGOS COMPLEMENTARES</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</si>
  <si>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</si>
  <si>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</si>
  <si>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</si>
  <si>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</si>
  <si>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93281 </t>
  </si>
  <si>
    <t>GUINCHO ELÉTRICO DE COLUNA, CAPACIDADE 400 KG, COM MOTO FREIO, MOTOR TRIFÁSICO DE 1,25 CV - CHP DIURNO. AF_03/2016</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</si>
  <si>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</si>
  <si>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</si>
  <si>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</si>
  <si>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</si>
  <si>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88296 </t>
  </si>
  <si>
    <t>OPERADOR DE GUINDASTE COM ENCARGOS COMPLEMENTARES</t>
  </si>
  <si>
    <t xml:space="preserve"> 93283 </t>
  </si>
  <si>
    <t>GUINDASTE HIDRÁULICO AUTOPROPELIDO, COM LANÇA TELESCÓPICA 40 M, CAPACIDADE MÁXIMA 60 T, POTÊNCIA 260 KW - DEPRECIAÇÃO. AF_03/2016</t>
  </si>
  <si>
    <t xml:space="preserve"> 93284 </t>
  </si>
  <si>
    <t>GUINDASTE HIDRÁULICO AUTOPROPELIDO, COM LANÇA TELESCÓPICA 40 M, CAPACIDADE MÁXIMA 60 T, POTÊNCIA 260 KW - JUROS. AF_03/2016</t>
  </si>
  <si>
    <t xml:space="preserve"> 93296 </t>
  </si>
  <si>
    <t>GUINDASTE HIDRÁULICO AUTOPROPELIDO, COM LANÇA TELESCÓPICA 40 M, CAPACIDADE MÁXIMA 60 T, POTÊNCIA 260 KW - IMPOSTOS E SEGUROS. AF_03/2016</t>
  </si>
  <si>
    <t xml:space="preserve"> 93285 </t>
  </si>
  <si>
    <t>GUINDASTE HIDRÁULICO AUTOPROPELIDO, COM LANÇA TELESCÓPICA 40 M, CAPACIDADE MÁXIMA 60 T, POTÊNCIA 260 KW - MANUTENÇÃO. AF_03/2016</t>
  </si>
  <si>
    <t xml:space="preserve"> 93286 </t>
  </si>
  <si>
    <t>GUINDASTE HIDRÁULICO AUTOPROPELIDO, COM LANÇA TELESCÓPICA 40 M, CAPACIDADE MÁXIMA 60 T, POTÊNCIA 260 KW - MATERIAIS NA OPERAÇÃO. AF_03/2016</t>
  </si>
  <si>
    <t xml:space="preserve"> 91946 </t>
  </si>
  <si>
    <t>SUPORTE PARAFUSADO COM PLACA DE ENCAIXE 4" X 2" MÉDIO (1,30 M DO PISO) PARA PONTO ELÉTRICO - FORNECIMENTO E INSTALAÇÃO. AF_03/2023</t>
  </si>
  <si>
    <t xml:space="preserve"> 92022 </t>
  </si>
  <si>
    <t>INTERRUPTOR SIMPLES (1 MÓDULO) COM 1 TOMADA DE EMBUTIR 2P+T 10 A, SEM SUPORTE E SEM PLACA - FORNECIMENTO E INSTALAÇÃO. AF_03/2023</t>
  </si>
  <si>
    <t xml:space="preserve"> 91958 </t>
  </si>
  <si>
    <t>INTERRUPTOR SIMPLES (2 MÓDULOS), 10A/250V, SEM SUPORTE E SEM PLACA - FORNECIMENTO E INSTALAÇÃO. AF_03/2023</t>
  </si>
  <si>
    <t xml:space="preserve"> 89353 </t>
  </si>
  <si>
    <t>REGISTRO DE GAVETA BRUTO, LATÃO, ROSCÁVEL, 3/4" - FORNECIMENTO E INSTALAÇÃO. AF_08/2021</t>
  </si>
  <si>
    <t xml:space="preserve"> 102270 </t>
  </si>
  <si>
    <t>MARTELO DEMOLIDOR ELÉTRICO, COM POTÊNCIA DE 2.000 W, 1.000 IMPACTOS POR MINUTO, PESO DE 30 KG - DEPRECIAÇÃO. AF_01/2021</t>
  </si>
  <si>
    <t xml:space="preserve"> 102271 </t>
  </si>
  <si>
    <t>MARTELO DEMOLIDOR ELÉTRICO, COM POTÊNCIA DE 2.000 W, 1.000 IMPACTOS POR MINUTO, PESO DE 30 KG - JUROS. AF_01/2021</t>
  </si>
  <si>
    <t xml:space="preserve"> 88298 </t>
  </si>
  <si>
    <t>OPERADOR DE MARTELETE OU MARTELETEIRO COM ENCARGOS COMPLEMENTARES</t>
  </si>
  <si>
    <t xml:space="preserve"> 102272 </t>
  </si>
  <si>
    <t>MARTELO DEMOLIDOR ELÉTRICO, COM POTÊNCIA DE 2.000 W, 1.000 IMPACTOS POR MINUTO, PESO DE 30 KG - MANUTENÇÃO. AF_01/2021</t>
  </si>
  <si>
    <t xml:space="preserve"> 102273 </t>
  </si>
  <si>
    <t>MARTELO DEMOLIDOR ELÉTRICO, COM POTÊNCIA DE 2.000 W, 1.000 IMPACTOS POR MINUTO, PESO DE 30 KG - MATERIAIS NA OPERAÇÃO. AF_01/2021</t>
  </si>
  <si>
    <t xml:space="preserve"> 88300 </t>
  </si>
  <si>
    <t>OPERADOR DE MOTONIVELADORA COM ENCARGOS COMPLEMENTARES</t>
  </si>
  <si>
    <t xml:space="preserve"> 89228 </t>
  </si>
  <si>
    <t>MOTONIVELADORA POTÊNCIA BÁSICA LÍQUIDA (PRIMEIRA MARCHA) 125 HP, PESO BRUTO 13032 KG, LARGURA DA LÂMINA DE 3,7 M - DEPRECIAÇÃO. AF_06/2014</t>
  </si>
  <si>
    <t xml:space="preserve"> 89229 </t>
  </si>
  <si>
    <t>MOTONIVELADORA POTÊNCIA BÁSICA LÍQUIDA (PRIMEIRA MARCHA) 125 HP, PESO BRUTO 13032 KG, LARGURA DA LÂMINA DE 3,7 M - JUROS. AF_06/2014</t>
  </si>
  <si>
    <t xml:space="preserve"> 53849 </t>
  </si>
  <si>
    <t>MOTONIVELADORA POTÊNCIA BÁSICA LÍQUIDA (PRIMEIRA MARCHA) 125 HP, PESO BRUTO 13032 KG, LARGURA DA LÂMINA DE 3,7 M - MATERIAIS NA OPERAÇÃO. AF_06/2014</t>
  </si>
  <si>
    <t xml:space="preserve"> 5779 </t>
  </si>
  <si>
    <t>MOTONIVELADORA POTÊNCIA BÁSICA LÍQUIDA (PRIMEIRA MARCHA) 125 HP, PESO BRUTO 13032 KG, LARGURA DA LÂMINA DE 3,7 M - MANUTENÇÃO. AF_06/2014</t>
  </si>
  <si>
    <t xml:space="preserve"> 88301 </t>
  </si>
  <si>
    <t>OPERADOR DE PÁ CARREGADEIRA COM ENCARGOS COMPLEMENTARES</t>
  </si>
  <si>
    <t xml:space="preserve"> 88303 </t>
  </si>
  <si>
    <t>OPERADOR DE ROLO COMPACTADOR COM ENCARGOS COMPLEMENTARES</t>
  </si>
  <si>
    <t xml:space="preserve"> 91273 </t>
  </si>
  <si>
    <t>PLACA VIBRATÓRIA REVERSÍVEL COM MOTOR 4 TEMPOS A GASOLINA, FORÇA CENTRÍFUGA DE 25 KN (2500 KGF), POTÊNCIA 5,5 CV - DEPRECIAÇÃO. AF_08/2015</t>
  </si>
  <si>
    <t xml:space="preserve"> 91274 </t>
  </si>
  <si>
    <t>PLACA VIBRATÓRIA REVERSÍVEL COM MOTOR 4 TEMPOS A GASOLINA, FORÇA CENTRÍFUGA DE 25 KN (2500 KGF), POTÊNCIA 5,5 CV - JUROS. AF_08/2015</t>
  </si>
  <si>
    <t xml:space="preserve"> 91275 </t>
  </si>
  <si>
    <t>PLACA VIBRATÓRIA REVERSÍVEL COM MOTOR 4 TEMPOS A GASOLINA, FORÇA CENTRÍFUGA DE 25 KN (2500 KGF), POTÊNCIA 5,5 CV - MANUTENÇÃO. AF_08/2015</t>
  </si>
  <si>
    <t xml:space="preserve"> 91276 </t>
  </si>
  <si>
    <t>PLACA VIBRATÓRIA REVERSÍVEL COM MOTOR 4 TEMPOS A GASOLINA, FORÇA CENTRÍFUGA DE 25 KN (2500 KGF), POTÊNCIA 5,5 CV - MATERIAIS NA OPERAÇÃO. AF_08/2015</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</si>
  <si>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</si>
  <si>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</si>
  <si>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</si>
  <si>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</si>
  <si>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</si>
  <si>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</si>
  <si>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</si>
  <si>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</si>
  <si>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96459 </t>
  </si>
  <si>
    <t>ROLO COMPACTADOR DE PNEUS, ESTÁTICO, PRESSÃO VARIÁVEL, POTÊNCIA 110 HP, PESO SEM/COM LASTRO 10,8/27 T, LARGURA DE ROLAGEM 2,30 M - JUROS. AF_06/2017</t>
  </si>
  <si>
    <t xml:space="preserve"> 96460 </t>
  </si>
  <si>
    <t>ROLO COMPACTADOR DE PNEUS, ESTÁTICO, PRESSÃO VARIÁVEL, POTÊNCIA 110 HP, PESO SEM/COM LASTRO 10,8/27 T, LARGURA DE ROLAGEM 2,30 M - DEPRECIAÇÃO. AF_06/2017</t>
  </si>
  <si>
    <t xml:space="preserve"> 96457 </t>
  </si>
  <si>
    <t>ROLO COMPACTADOR DE PNEUS, ESTÁTICO, PRESSÃO VARIÁVEL, POTÊNCIA 110 HP, PESO SEM/COM LASTRO 10,8/27 T, LARGURA DE ROLAGEM 2,30 M - MATERIAIS NA OPERAÇÃO. AF_06/2017</t>
  </si>
  <si>
    <t xml:space="preserve"> 96458 </t>
  </si>
  <si>
    <t>ROLO COMPACTADOR DE PNEUS, ESTÁTICO, PRESSÃO VARIÁVEL, POTÊNCIA 110 HP, PESO SEM/COM LASTRO 10,8/27 T, LARGURA DE ROLAGEM 2,30 M - MANUTENÇÃO. AF_06/2017</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</si>
  <si>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</si>
  <si>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</si>
  <si>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</si>
  <si>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</si>
  <si>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53788 </t>
  </si>
  <si>
    <t>ROLO COMPACTADOR VIBRATÓRIO DE UM CILINDRO AÇO LISO, POTÊNCIA 80 HP, PESO OPERACIONAL MÁXIMO 8,1 T, IMPACTO DINÂMICO 16,15 / 9,5 T, LARGURA DE TRABALHO 1,68 M - MATERIAIS NA OPERAÇÃO. AF_06/2014</t>
  </si>
  <si>
    <t xml:space="preserve"> 5674 </t>
  </si>
  <si>
    <t>ROLO COMPACTADOR VIBRATÓRIO DE UM CILINDRO AÇO LISO, POTÊNCIA 80 HP, PESO OPERACIONAL MÁXIMO 8,1 T, IMPACTO DINÂMICO 16,15 / 9,5 T, LARGURA DE TRABALHO 1,68 M - MANUTENÇÃO. AF_06/2014</t>
  </si>
  <si>
    <t xml:space="preserve"> 73309 </t>
  </si>
  <si>
    <t>ROLO COMPACTADOR VIBRATÓRIO PÉ DE CARNEIRO PARA SOLOS, POTÊNCIA 80 HP, PESO OPERACIONAL SEM/COM LASTRO 7,4 / 8,8 T, LARGURA DE TRABALHO 1,68 M - DEPRECIAÇÃO. AF_02/2016</t>
  </si>
  <si>
    <t xml:space="preserve"> 73313 </t>
  </si>
  <si>
    <t>ROLO COMPACTADOR VIBRATÓRIO PÉ DE CARNEIRO PARA SOLOS, POTÊNCIA 80 HP, PESO OPERACIONAL SEM/COM LASTRO 7,4 / 8,8 T, LARGURA DE TRABALHO 1,68 M - JUROS.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</si>
  <si>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</si>
  <si>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</si>
  <si>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</si>
  <si>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</si>
  <si>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</si>
  <si>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</si>
  <si>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</si>
  <si>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</si>
  <si>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</si>
  <si>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</si>
  <si>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</si>
  <si>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</si>
  <si>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MATED-11886</t>
  </si>
  <si>
    <t>MATED-18324</t>
  </si>
  <si>
    <t>MATED-18325</t>
  </si>
  <si>
    <t>MATED-19506</t>
  </si>
  <si>
    <t>ED-50362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</si>
  <si>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</si>
  <si>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</si>
  <si>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</si>
  <si>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</si>
  <si>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 xml:space="preserve"> 104087 </t>
  </si>
  <si>
    <t>Outros Tipos</t>
  </si>
  <si>
    <t>Custo unitário total dos outros insumos =&gt;</t>
  </si>
  <si>
    <t xml:space="preserve"> 104088 </t>
  </si>
  <si>
    <t xml:space="preserve"> 104089 </t>
  </si>
  <si>
    <t xml:space="preserve"> 104090 </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</si>
  <si>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</si>
  <si>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</si>
  <si>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</si>
  <si>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</si>
  <si>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 xml:space="preserve"> 104093 </t>
  </si>
  <si>
    <t xml:space="preserve"> 104094 </t>
  </si>
  <si>
    <t xml:space="preserve"> 104095 </t>
  </si>
  <si>
    <t xml:space="preserve"> 104096 </t>
  </si>
  <si>
    <t xml:space="preserve"> 91998 </t>
  </si>
  <si>
    <t>TOMADA BAIXA DE EMBUTIR (1 MÓDULO), 2P+T 10 A, SEM SUPORTE E SEM PLACA - FORNECIMENTO E INSTALAÇÃO. AF_03/2023</t>
  </si>
  <si>
    <t xml:space="preserve"> 91999 </t>
  </si>
  <si>
    <t>TOMADA BAIXA DE EMBUTIR (1 MÓDULO), 2P+T 20 A, SEM SUPORTE E SEM PLACA - FORNECIMENTO E INSTALAÇÃO. AF_03/2023</t>
  </si>
  <si>
    <t xml:space="preserve"> 92006 </t>
  </si>
  <si>
    <t>TOMADA BAIXA DE EMBUTIR (2 MÓDULOS), 2P+T 10 A, SEM SUPORTE E SEM PLACA - FORNECIMENTO E INSTALAÇÃO. AF_03/2023</t>
  </si>
  <si>
    <t xml:space="preserve"> 88324 </t>
  </si>
  <si>
    <t>TRATORISTA COM ENCARGOS COMPLEMENTARES</t>
  </si>
  <si>
    <t xml:space="preserve"> 89029 </t>
  </si>
  <si>
    <t>TRATOR DE ESTEIRAS, POTÊNCIA 100 HP, PESO OPERACIONAL 9,4 T, COM LÂMINA 2,19 M3 - DEPRECIAÇÃO. AF_06/2014</t>
  </si>
  <si>
    <t xml:space="preserve"> 89030 </t>
  </si>
  <si>
    <t>TRATOR DE ESTEIRAS, POTÊNCIA 100 HP, PESO OPERACIONAL 9,4 T, COM LÂMINA 2,19 M3 - JUROS. AF_06/2014</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</si>
  <si>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</si>
  <si>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</si>
  <si>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</si>
  <si>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</si>
  <si>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95122 </t>
  </si>
  <si>
    <t>USINA MISTURADORA DE SOLOS, CAPACIDADE DE 200 A 500 TON/H, POTENCIA 75KW - CHI DIURNO. AF_07/2016</t>
  </si>
  <si>
    <t xml:space="preserve"> 95118 </t>
  </si>
  <si>
    <t>USINA MISTURADORA DE SOLOS, CAPACIDADE DE 200 A 500 TON/H, POTENCIA 75KW - DEPRECIAÇÃO. AF_07/2016</t>
  </si>
  <si>
    <t xml:space="preserve"> 95119 </t>
  </si>
  <si>
    <t>USINA MISTURADORA DE SOLOS, CAPACIDADE DE 200 A 500 TON/H, POTENCIA 75KW - JUROS. AF_07/2016</t>
  </si>
  <si>
    <t xml:space="preserve"> 95121 </t>
  </si>
  <si>
    <t>USINA MISTURADORA DE SOLOS, CAPACIDADE DE 200 A 500 TON/H, POTENCIA 75KW - CHP DIURNO. AF_07/2016</t>
  </si>
  <si>
    <t xml:space="preserve"> 5707 </t>
  </si>
  <si>
    <t>USINA MISTURADORA DE SOLOS, CAPACIDADE DE 200 A 500 TON/H, POTENCIA 75KW - MANUTENÇÃO. AF_07/2016</t>
  </si>
  <si>
    <t xml:space="preserve"> 95120 </t>
  </si>
  <si>
    <t>USINA MISTURADORA DE SOLOS, CAPACIDADE DE 200 A 500 TON/H, POTENCIA 75KW - MATERIAIS NA OPERAÇÃO. AF_07/2016</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</si>
  <si>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</si>
  <si>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</si>
  <si>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</si>
  <si>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</si>
  <si>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</si>
  <si>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</si>
  <si>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</si>
  <si>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</si>
  <si>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ED-21772</t>
  </si>
  <si>
    <t>LEDVANCE</t>
  </si>
  <si>
    <t>INSTALAÇÃO DOS SPLITS (MÃO DE OBRA E MATERIAIS)</t>
  </si>
  <si>
    <t>MÃO DE OBRA E MATERIAIS PARA SISTEMA DE  AR EXTERIOR</t>
  </si>
  <si>
    <t>MÃO DE OBRA E MATERIAIS COMPLEMENTARES PARA EXAUSTÃO MECÂNICA (BANHEIROS E COIFA)</t>
  </si>
  <si>
    <t>ENGENHEIRO ELETRICISTA/MECÂNICO COM ENCARGOS COMPLEMENTARES</t>
  </si>
  <si>
    <t>EXECUÇÃO DE ESTACAS  (GALPÃO)</t>
  </si>
  <si>
    <t>ESTACA METÁLICA PARA FUNDAÇÃO, UTILIZANDO PERFIL LAMINADO W310X38,7 + W200X46,10 (EXCLUSIVE MOBILIZAÇÃO E DESMOBILIZAÇÃO). AF_01/2020</t>
  </si>
  <si>
    <t xml:space="preserve">ESTACA RAIZ DIÂMETRO 410MM </t>
  </si>
  <si>
    <t>02.02.118</t>
  </si>
  <si>
    <t xml:space="preserve">ENGASTE TRILHOS TR37 A TIRANTES </t>
  </si>
  <si>
    <t>ESTACA RAIZ DN 400MM PERFURAÇAO EM SOLO</t>
  </si>
  <si>
    <t>ENGASTE TRILHOS TR 37 A TIRANTES ACO 1""-CONCR.1:2:3(0,16m3/un)</t>
  </si>
  <si>
    <t>ANCORAGEM ATIVA PARA CABO COM 4 CORDOALHAS DE DIÂMETRO NOMINAL DE 12,7 MM. AF_08/2022</t>
  </si>
  <si>
    <t>CIMENTO PORTLAND CP-II-32,INCLUSIVE TRANSPORTE.FORNECIMENTO</t>
  </si>
  <si>
    <t>20.093.0001-A</t>
  </si>
  <si>
    <t>11.043.0022-0</t>
  </si>
  <si>
    <t>TIRANTE PROTENDIDO PARA ANCORAGEM EM SOLO,CONSTITUIDO POR 8 FIOS DE ACO DURO DE 8MM.O CUSTO INCLUI APENAS O FORNECIMENTO E A CONFECCAO DO CABO PARA TRECHO DE ANCORAGEM 60%-PERDAS,MAT.DIVERSOS(28%),USINAGEM,TRAT.,ASSIST.TEC.(25%) 28,75%-DF.E EPI (3%),USINAGEM,TRAT.,ASSISTENCIA TECNICA(25%) 53%-MAT.DIVERSOS(2%),PERF.DO TUBO,FABRICACAO MANCHETES (50%)</t>
  </si>
  <si>
    <t>TELA SOLDADA NERVURADA Q138 (10X10 4.2MM 2,2KG.M2) EM LAJE</t>
  </si>
  <si>
    <t>SALA SCANNER - ARMARIO MEDINDO 900X520X2000MM PROVIDA DE DUAS PORTAS E SEIS NIVEIS DE APOIO.</t>
  </si>
  <si>
    <t>SALA FRANTZ - ARMARIO SUPERIOR MEDINDO 900X300X900MM PROVIDO DE DUAS PORTAS E TRES NIVEIS DE APOIO.</t>
  </si>
  <si>
    <t>Lablinea</t>
  </si>
  <si>
    <t>SALA DE LAMINAÇÃO - ARMARIO MEDINDO 900X520X2000MM PROVIDA DE DUAS PORTAS E SEIS NIVEIS DE APOIO.</t>
  </si>
  <si>
    <t>SALA FOTOGRAFIA - ARMARIO MEDINDO 900X300X900MM PROVIDO DE DUAS PORTAS E TRES NIVEIS DE APOIO.</t>
  </si>
  <si>
    <t>SALA FOTOGRAFIA - ARMARIO MEDINDO 900X520X2000MM PROVIDA DE DUAS PORTAS E SEIS NIVEIS DE APOIO.</t>
  </si>
  <si>
    <t>SALA FRANTZ - ARMARIO SUPERIOR MEDINDO 450X300X900MM PROVIDO DE UMA PORTA A ESQUERDA E TRES NIVEIS DE
APOIO.</t>
  </si>
  <si>
    <t xml:space="preserve">SINAPI - 05/2026 - Rio de Janeiro
SBC - 06/2026 - Rio de Janeiro
ORSE - 04/2026 - Sergipe
SEDOP - 03/2026 - Pará
SETOP - 04/2026 - Minas Gerais
IOPES - 04/2026 - Espírito Santo
SIURB - 01/2026 - São Paulo
SUDECAP - 04/2026 - Minas Gerais
CPOS/CDHU - 04/2026 - São Paulo
FDE - 04/2026 - São Paulo
AGETOP CIVIL - 04/2026 - Goiás
EMBASA - 06/2025 - Bahia
EMOP - 05/2026 - Rio de Janeiro
SCO - 06/2026 - Rio de Janeiro
</t>
  </si>
  <si>
    <t>SCO</t>
  </si>
  <si>
    <t>Pintura interna ou externa sobre ferro, com tinta de base alquidica esmaltada brilhante, equivalente a Lagoline ou similar, inclusive lixamento, limpeza, desengorduramento, aplicacao de zarcao de secagem rapida, cor laranja e 2 demaos de acabamento.(desonerado)</t>
  </si>
  <si>
    <t>PT04.40.0103</t>
  </si>
  <si>
    <t>PINTURA, COM TINTA DE BASE ALQUIDICA ESMALTADA BRILHANTE, EQUIVALENTE A LAGOLINE OU SIMILAR, INCLUSIVE LIXAMENTO, LIMPEZA, DESENGORDURAMENTO, APLICACAO DE ZARCAO DE SECAGEM RAPIDA, COR LARANJA E 2 DEMAOS DE ACABAMENTO.(DESONERADO)</t>
  </si>
  <si>
    <t>Loft</t>
  </si>
  <si>
    <t>FORNECIMENTO DE ESTRUTURA AUXILIAR E MÃO DE OBRA PARA INSTALAÇÃO DA ESTRUTURA E BRISES REFAX RB</t>
  </si>
  <si>
    <t>BRISE AL RB60 LISO PASSO 100MM ENTRE EIXOS</t>
  </si>
  <si>
    <t>BRISE AL RB100 LISO PASSO 120MM ENTRE EIXOS</t>
  </si>
  <si>
    <t>BRISE AL RB200 LISO PASSO 220MM ENTRE EIXOS</t>
  </si>
  <si>
    <t xml:space="preserve">Refax </t>
  </si>
  <si>
    <t>SEDOP - 03/2026 - Pará</t>
  </si>
  <si>
    <t>SETOP - 04/2026 - Minas Gerais</t>
  </si>
  <si>
    <t>IOPES - 04/2026 - Espírito Santo</t>
  </si>
  <si>
    <t>SIURB - 01/2026 - São Paulo</t>
  </si>
  <si>
    <t>SUDECAP - 04/2026 - Minas Gerais</t>
  </si>
  <si>
    <t>CPOS/CDHU - 04/2026 - São Paulo</t>
  </si>
  <si>
    <t>FDE - 04/2026 - São Paulo</t>
  </si>
  <si>
    <t>AGETOP CIVIL - 04/2026 - Goiás</t>
  </si>
  <si>
    <t>EMBASA - 06/2025 - Bahia</t>
  </si>
  <si>
    <t>EMOP - 05/2026 - Rio de Janeiro</t>
  </si>
  <si>
    <t>SCO - 06/2026 - Rio de Janeiro</t>
  </si>
  <si>
    <t>SINAPI - 05/2026 - Rio de Janeiro</t>
  </si>
  <si>
    <t>SBC - 06/2026 - Rio de Janeiro</t>
  </si>
  <si>
    <t>ORSE - 04/2026 - Sergipe</t>
  </si>
  <si>
    <t>IO:
jun/26</t>
  </si>
  <si>
    <t xml:space="preserve"> LITOTECA </t>
  </si>
  <si>
    <t>RED</t>
  </si>
  <si>
    <t>GREEN</t>
  </si>
  <si>
    <t>BLUE</t>
  </si>
  <si>
    <t>CÓD.</t>
  </si>
  <si>
    <t>#096D20</t>
  </si>
  <si>
    <t>#F3E7C5</t>
  </si>
  <si>
    <t>3228C42</t>
  </si>
  <si>
    <t>#505050</t>
  </si>
  <si>
    <t>#A8D5BA</t>
  </si>
  <si>
    <t>#E67E22</t>
  </si>
  <si>
    <t>#F5F5F5</t>
  </si>
  <si>
    <t>#F8C818</t>
  </si>
  <si>
    <r>
      <rPr>
        <b/>
        <sz val="12"/>
        <color theme="1"/>
        <rFont val="Segoe UI Semilight"/>
        <family val="2"/>
      </rPr>
      <t xml:space="preserve">SALA DE LAMINAÇÃO - </t>
    </r>
    <r>
      <rPr>
        <sz val="12"/>
        <color theme="1"/>
        <rFont val="Segoe UI Semilight"/>
        <family val="2"/>
      </rPr>
      <t>ARMARIO MEDINDO 900X520X2000MM PROVIDA DE DUAS PORTAS E SEIS NIVEIS DE APOIO.</t>
    </r>
  </si>
  <si>
    <r>
      <rPr>
        <b/>
        <sz val="12"/>
        <color theme="1"/>
        <rFont val="Segoe UI Semilight"/>
        <family val="2"/>
      </rPr>
      <t xml:space="preserve">SALA FOTOGRAFIA </t>
    </r>
    <r>
      <rPr>
        <sz val="12"/>
        <color theme="1"/>
        <rFont val="Segoe UI Semilight"/>
        <family val="2"/>
      </rPr>
      <t>- ARMARIO MEDINDO 900X520X2000MM PROVIDA DE DUAS PORTAS E SEIS NIVEIS DE APOIO.</t>
    </r>
  </si>
  <si>
    <r>
      <rPr>
        <b/>
        <sz val="12"/>
        <color theme="1"/>
        <rFont val="Segoe UI Semilight"/>
        <family val="2"/>
      </rPr>
      <t>SALA SCANNER -</t>
    </r>
    <r>
      <rPr>
        <sz val="12"/>
        <color theme="1"/>
        <rFont val="Segoe UI Semilight"/>
        <family val="2"/>
      </rPr>
      <t xml:space="preserve"> ARMARIO MEDINDO 900X520X2000MM PROVIDA DE DUAS PORTAS E SEIS NIVEIS DE APOIO.</t>
    </r>
  </si>
  <si>
    <r>
      <rPr>
        <b/>
        <sz val="12"/>
        <color theme="1"/>
        <rFont val="Segoe UI Semilight"/>
        <family val="2"/>
      </rPr>
      <t>SALA FRANTZ -</t>
    </r>
    <r>
      <rPr>
        <sz val="12"/>
        <color theme="1"/>
        <rFont val="Segoe UI Semilight"/>
        <family val="2"/>
      </rPr>
      <t xml:space="preserve"> ARMARIO SUPERIOR MEDINDO 900X300X900MM PROVIDO DE DUAS PORTAS E TRES NIVEIS DE APOIO.</t>
    </r>
  </si>
  <si>
    <t>Valores unitários</t>
  </si>
  <si>
    <t>Un.</t>
  </si>
  <si>
    <t>Descritivos</t>
  </si>
  <si>
    <t>Fonte</t>
  </si>
  <si>
    <t>Mat.</t>
  </si>
  <si>
    <t>Equip.</t>
  </si>
  <si>
    <t>Totais</t>
  </si>
  <si>
    <t>FJ ARQUITETURA / URCA-RJ / PLANILHA ORÇAMENTÁRIA</t>
  </si>
  <si>
    <t>REFERÊNCIA: BANCOS DE DADOS INFORMADOS NO RESUMO</t>
  </si>
  <si>
    <t>DV02.B - FORNECIMENTO E INSTALAÇÃO DE DIVISORIA EM VIDRO TEMPERADO 10 mm INCOLOR COM MONTANTES EM ALUMINIO, PERFIL 55mm COR PRETA RAL 7021.( 2,58 X 2,60)M</t>
  </si>
  <si>
    <t>CONTRATAÇÃO POR EMPREITADA POR PREÇO GLOBAL</t>
  </si>
  <si>
    <t>JA03 - 4 MÓDULOS DE 0,74x0,53 DE JANELAS DE ALUMÍNIO LINHA 25 TIPO MAXIM-AR, COM VIDRO DE 6mm, COM CONTRAMARCO, ALIZAR, BATENTE E FERRAGENS, ACAB. PINTURA ELETROSTÁTICA COR RAL 7021 - 2,38X 0,80M</t>
  </si>
  <si>
    <t>JA04 - 6 MÓDULOS DE 0,74x0,53 DE JANELAS DE ALUMÍNIO LINHA 25 TIPO MAXIM-AR, COM VIDRO DE 6mm, COM CONTRAMARCO, ALIZAR, BATENTE E FERRAGENS, ACAB. PINTURA ELETROSTÁTICA COR RAL 7021 - 3,57X 0,80M</t>
  </si>
  <si>
    <t>PCF 01 - PORTA DE ABRIR SIMPLES CORTA FOGO, COM FECHADURA INSTALADA E PINTURA ESMALTE SINTÉTICO FOSCA, COR CINZA (RAL 9010) LIVRE DE COV. - 0,90X2,10M</t>
  </si>
  <si>
    <t>PCF02 - PORTA DE ABRIR DUPLA CORTA FOGO, COM FECHADURA INSTALADA E PINTURA ESMALTE SINTÉTICO FOSCA, COR CINZA (RAL 9010) LIVRE DE COV - 1,20X2,10M</t>
  </si>
  <si>
    <t>24.02.050</t>
  </si>
  <si>
    <t>24.02.056</t>
  </si>
  <si>
    <t>Porta corta-fogo classe P.120 de 80 x 210 cm, com uma folha de abrir, completa</t>
  </si>
  <si>
    <t>Porta corta-fogo classe P.90 de 90 x 210 cm, completa, com maçaneta tipo alavanca</t>
  </si>
  <si>
    <t>Porta corta fogo, 1,20 x 2,10, de abrir, 02 folha, em chapa de aço galvanizado nº24, batente em chapa nº18, classe 90, isolante em manta cerâmica incombustível e=5cm, dobradiças tipo helicoidal em aço 1010/1020, e fechadura reversível sem chave</t>
  </si>
  <si>
    <t>PM06 - PORTA DUPLA DESIGUAL (0,90+0,30m) DE ABRIR EM MADEIRA MACIÇA COM REVESTIMENTO MELAMÍNICO NA COR BRANCA, COM VISOR (VIDRO 6mm 0,30x1,34m) E CHAPA DE PROTEÇÃO EM AÇO INOX LARGURA DA PORTA E h=0,40m - 1,20X 2,10M</t>
  </si>
  <si>
    <t>PM05 - PORTA SIMPLES DE ABRIR EM MADEIRA COM REVESTIMENTO MELAMÍNICO NA COR BRANCA COM VISOR 0,30x1,34m - 0,90X 2,10M</t>
  </si>
  <si>
    <t>PM07 - PORTA SIMPLES ABRIR EM MADEIRA COM REVESTIMENTO EM LAMINADO MELAMÍNICO - 0,80X 2,51M</t>
  </si>
  <si>
    <t>Porta(s) de enrolar para acionamento elétrico através de acionador proprio para este tipo de porta, tendo: Freio elétromagnético a disco, Acionamento manual de emergencia feito com corrente de elos,para o caso de falta de energia,Comando magnético com contatores elétricos,Motor blindado para 220/380 Volts Monofásico, Eixo enrolador feito com tubo com custura de diametro determindado pela largura da porta e Guias corrediças feitas com perfil "U" de chapa dobrada com profundidade determinada pela largura da porta 2,40x2,88m</t>
  </si>
  <si>
    <t>PV01 - FORNECIMENTO E INSTALAÇÃO DE PAINEL DE VIDRO TEMPERADO 8MM, COM JUNTA SECA, PERFIL DE ALUMINIO, PINTURA ELETROSTATICA: 2,250 X 2,441M</t>
  </si>
  <si>
    <t>PV02 -FORNECIMENTO E INSTALAÇÃO DE PAINEL DE VIDRO TEMPERADO 8MM, COM JUNTA SECA, PERFIL DE ALUMINIO, PINTURA ELETROSTATICA: 2,250 X 2,441M</t>
  </si>
  <si>
    <t>PV03 - FORNECIMENTO E INSTALAÇÃO DE PAINEL DE VIDRO TEMPERADO 8MM, COM JUNTA SECA, PERFIL DE ALUMINIO, PINTURA ELETROSTATICA: 2,426 X 2,400M</t>
  </si>
  <si>
    <t>PV04 - FORNECIMENTO E INSTALAÇÃO DE PAINEL DE VIDRO TEMPERADO 8MM, COM JUNTA SECA, PERFIL DE ALUMINIO, PINTURA ELETROSTATICA: 2,835 X 2,400M</t>
  </si>
  <si>
    <t xml:space="preserve">PV05 - FORNECIMENTO E INSTALAÇÃO DE PAINEL DE VIDRO TEMPERADO 8MM, COM JUNTA SECA, PERFIL DE ALUMINIO, PINTURA ELETROSTATICA: 4,335 X 2,480M </t>
  </si>
  <si>
    <t>PV06 - FORNECIMENTO E INSTALAÇÃO DE PAINEL DE VIDRO TEMPERADO 8MM, COM JUNTA SECA, PERFIL DE ALUMINIO, PINTURA ELETROSTATICA: 4,800 X 2,441M</t>
  </si>
  <si>
    <t>PV07 - FORNECIMENTO E INSTALAÇÃO DE PAINEL DE VIDRO TEMPERADO 8MM, COM JUNTA SECA, PERFIL DE ALUMINIO, PINTURA ELETROSTATICA: 4,700 X 2,500M</t>
  </si>
  <si>
    <t>SALA DE LAMINAÇÃO - SISTEMA ACOPLADO DE SEGURANCA COM CHUVEIRO E LAVA OLHOS COM KIT EM ABS. 250MM DE DIÂMETRO, ACIONAMENTO ATRAVÉS DE HASTE EM AÇO INOXIDÁVEL. LAVA OLHOS TAMBÉM COM PIA EM ABS, DOIS CRIVOS COM ACIONAMENTO MANUAL ATRAVÉS DE ALAVANCA "EMPURRE". FIXAÇÃO DIRETA NO PISO. TUBULAÇÕES E CONEXÕES EM TUBO DE GALVANIZADO, PINTADO NA COR VERDE.</t>
  </si>
  <si>
    <r>
      <rPr>
        <b/>
        <sz val="12"/>
        <color theme="1"/>
        <rFont val="Segoe UI Semilight"/>
        <family val="2"/>
      </rPr>
      <t xml:space="preserve">SALA FRANTZ </t>
    </r>
    <r>
      <rPr>
        <sz val="12"/>
        <color theme="1"/>
        <rFont val="Segoe UI Semilight"/>
        <family val="2"/>
      </rPr>
      <t>- ARMARIO SUPERIOR MEDINDO 450X300X900MM PROVIDO DE UMA PORTA A ESQUERDA E TRES NIVEIS DE APOIO.</t>
    </r>
  </si>
  <si>
    <t>SALA LIQUIDOS DENSOS - ,00 LL6037 KIT ABS SISTEMA ACOPLADO DE SEGURANÇA. CHUVEIRO DE EMERGÊNCIA COM CRIVO EM ABS DE 250MM DE DIÂMETRO, ACIONAMENTO ATRAVÉS DE HASTE EM AÇO INOXIDÁVEL. LAVA OLHOS TAMBÉM COM PIA EM ABS, DOIS CRIVOS COM ACIONAMENTO MANUAL ATRAVÉS DE ALAVANCA "EMPURRE". FIXAÇÃO DIRETA NO PISO. TUBULAÇÕES E CONEXÕES EM TUBO DE GALVANIZADO, PINTADO NA COR VERDE.</t>
  </si>
  <si>
    <r>
      <rPr>
        <b/>
        <sz val="12"/>
        <color theme="1"/>
        <rFont val="Segoe UI Semilight"/>
        <family val="2"/>
      </rPr>
      <t xml:space="preserve">SALA LIQUIDOS DENSOS - </t>
    </r>
    <r>
      <rPr>
        <sz val="12"/>
        <color theme="1"/>
        <rFont val="Segoe UI Semilight"/>
        <family val="2"/>
      </rPr>
      <t>,00 LL6037 KIT ABS SISTEMA ACOPLADO DE SEGURANÇA. CHUVEIRO DE EMERGÊNCIA COM CRIVO EM ABS DE 250MM DE DIÂMETRO, ACIONAMENTO ATRAVÉS DE HASTE EM AÇO INOXIDÁVEL. LAVA OLHOS TAMBÉM COM PIA EM ABS, DOIS CRIVOS COM ACIONAMENTO MANUAL ATRAVÉS DE ALAVANCA "EMPURRE". FIXAÇÃO DIRETA NO PISO. TUBULAÇÕES E CONEXÕES EM TUBO DE GALVANIZADO, PINTADO NA COR VERDE.</t>
    </r>
  </si>
  <si>
    <t>ARMAÇÃO PARA EXECUÇÃO DE RADIER, PISO DE CONCRETO OU LAJE SOBRE SOLO, COM USO DE TELA Q-113. AF_09/2021</t>
  </si>
  <si>
    <t>JA01 - 1 MÓDULO DE 1,18x0,7 DE JANELAS DE ALUMÍNIO LINHA 25 TIPO MAXIM-AR, COM VIDRO DE 6mm, COM CONTRAMARCO, ALIZAR, BATENTE E FERRAGENS, ACAB. PINTURA ELETROSTÁTICA COR RAL 7021 - 1,24X 0,80m X2</t>
  </si>
  <si>
    <t>JA06 - 10 MÓDULOS DE 0,74x0,53 DE JANELAS DE ALUMÍNIO LINHA 25 TIPO MAXIM-AR, COM VIDRO DE 6mm, COM CONTRAMARCO, ALIZAR, BATENTE E FERRAGENS, ACAB. PINTURA ELETROSTÁTICA COR RAL 7021 - 3,66X 1,24M X3</t>
  </si>
  <si>
    <t>PF02 - PORTA(S) DE ENROLAR PARA ACIONAMENTO ELÉTRICO ATRAVÉS DE ACIONADOR PROPRIO PARA ESTE TIPO DE PORTA, TENDO: FREIO ELÉTROMAGNÉTICO A DISCO, ACIONAMENTO MANUAL DE EMERGENCIA FEITO COM CORRENTE DE ELOS,PARA O CASO DE FALTA DE ENERGIA,COMANDO MAGNÉTICO COM CONTATORES ELÉTRICOS,MOTOR BLINDADO PARA 220/380 VOLTS MONOFÁSICO, EIXO ENROLADOR FEITO COM TUBO COM CUSTURA DE DIAMETRO DETERMINDADO PELA LARGURA DA PORTA E GUIAS CORREDIÇAS FEITAS COM PERFIL "U" DE CHAPA DOBRADA COM PROFUNDIDADE DETERMINADA PELA LARGURA DA PORTA 2,40X2,86M</t>
  </si>
  <si>
    <t>JA02 -  2 MÓDULOS DE 0,74x0,53 DE JANELAS DE ALUMÍNIO LINHA 25 TIPO MAXIM-AR, COM VIDRO DE 6mm, COM CONTRAMARCO, ALIZAR, BATENTE E FERRAGENS, ACAB. PINTURA ELETROSTÁTICA COR RAL 7021 - 0,80X 1,24M x4</t>
  </si>
  <si>
    <t>JA05 - 7 MÓDULOS DE 0,74x0,53 DE JANELAS DE ALUMÍNIO LINHA 25 TIPO MAXIM-AR, COM VIDRO DE 6mm, COM CONTRAMARCO, ALIZAR, BATENTE E FERRAGENS, ACAB. PINTURA ELETROSTÁTICA COR RAL 7021 - 4,17 X,80M X2</t>
  </si>
  <si>
    <t>FECHAMENTO EM PAINEL COM CHAPA PERFURAD0 REDONDO EM INOX 304- R8,00 EC 11,00 PINTADO -  COM DISPOSIÇÃO ALTERNADA LONGITUDINAL COM ESTRUTURA AUXILIAR JUNTO AOS PILARES PARA DESCIDA TUBULAÇÕES</t>
  </si>
  <si>
    <t>PORTA COMPLETA MADEIRA 1 FL.0,80x2,10m</t>
  </si>
  <si>
    <t>DV02A.  - FORNECIMENTO E INSTALAÇÃO DE DIVISORIA EM VIDRO TEMPERADO 10 mm INCOLOR COM MONTANTES EM ALUMINIO, PERFIL 55mm COR PRETA RAL 7021, EXCLUIDA A  PORTA CEGA PISO-TETO COM ACABAMENTO MADEIRA BP NOGUEIRA CADIZ, FECHADURA IMAB VERT 2 CA.( 4,58 X 2,60)MA</t>
  </si>
  <si>
    <t>DV01 - FORNECIMENTO E INSTALAÇÃO DE DIVISORIA EM VIDRO TEMPERADO 10 mm INCOLOR COM MONTANTES EM ALUMINIO, PERFIL 55mm COR PRETA RAL 7021, EXCLUIDA A PORTA CEGA PISO-TETO COM ACABAMENTO MADEIRA BP NOGUEIRA CADIZ, FECHADURA IMAB VERT 2 CA.(4,92 X 2,60)M</t>
  </si>
  <si>
    <t xml:space="preserve">FORMA PLANA PARA SAPATAS, EM MADEIRA MACIÇA, 02 USOS, INCLUSIVE ESCORAMENTO </t>
  </si>
  <si>
    <t>15.05.520</t>
  </si>
  <si>
    <t>Placas, vigas e pilares em concreto armado pré-moldado - fck= 35 MPa</t>
  </si>
  <si>
    <t xml:space="preserve"> 844 </t>
  </si>
  <si>
    <t xml:space="preserve">TIRANTE PROTENDIDO PARA ANCORAGEM EM SOLO,CONSTITUIDO POR 8 FIOS DE ACO DURO DE 8MM.O CUSTO INCLUI APENAS O FORNECIMENTO E A CONFECCAO DO CABO PARA TRECHO DE ANCORAGEM 60% - PERDAS,MAT.DIVERSOS(28%),USINAGEM,TRAT.,ASSIST.TEC.(25%) 28,75%-DF.E EPI (3%),USINAGEM,TRAT.,ASSISTENCIA TECNICA(25%) 53%-MAT.DIVERSOS(2%),PERF.DO TUBO,FABRICACAO MANCHETES (50%) </t>
  </si>
  <si>
    <t>PILARES PRÉ-MOLDADOS</t>
  </si>
  <si>
    <t>BLC.01 - ALVENARIA DE VEDAÇÃO DE BLOCOS VAZADOS DE CONCRETO APARENTE DE 19X9X39 CM (ESPESSURA 9 CM) E ARGAMASSA DE ASSENTAMENTO COM PREPARO EM BETONEIRA.</t>
  </si>
  <si>
    <t>BLC.02 - ALVENARIA DE VEDAÇÃO DE BLOCOS VAZADOS DE CONCRETO APARENTE DE 19X14X39 CM (ESPESSURA 14 CM) E ARGAMASSA DE ASSENTAMENTO COM PREPARO EM BETONEIRA.</t>
  </si>
  <si>
    <r>
      <rPr>
        <sz val="12"/>
        <color rgb="FF660066"/>
        <rFont val="Segoe UI Semilight"/>
        <family val="2"/>
      </rPr>
      <t>BLC03 -</t>
    </r>
    <r>
      <rPr>
        <sz val="12"/>
        <color rgb="FF7030A0"/>
        <rFont val="Segoe UI Semilight"/>
        <family val="2"/>
      </rPr>
      <t xml:space="preserve"> </t>
    </r>
    <r>
      <rPr>
        <sz val="12"/>
        <rFont val="Segoe UI Semilight"/>
        <family val="2"/>
      </rPr>
      <t xml:space="preserve"> ALVENARIA DE VEDAÇÃO DE BLOCOS  VAZADOS DE CONCRETO APARENTE DE 19X19X39 CM (ESPESSURA 19 CM) E ARGAMASSA DE ASSENTAMENTO COM PREPARO EM BETONEIRA. AF_12/2021</t>
    </r>
  </si>
  <si>
    <t>DW.01 - PAREDE COM PLACAS DE GESSO ACARTONADO (DRYWALL), PARA USO INTERNO, ESPESSURA TOTAL 95MM COM DUAS FACES SIMPLES E ESTRUTURA METÁLICA COM GUIA SIMPLES 70MM.</t>
  </si>
  <si>
    <t>DW.02 - PAREDE COM PLACAS DE GESSO ACARTONADO (DRYWALL), PARA USO INTERNO, ESPESSURA TOTAL 120MM COM DUAS FACES DUPLAS E ESTRUTURA METÁLICA COM GUIA SIMPLES 48MM, TRATAMENTO ACÚSTICO E ENCHIMENTO EM LÃ DE VIDRO OU EQUIVALENTE TÉCNICO.</t>
  </si>
  <si>
    <t>DW.03 - PAREDE COM PLACAS DE GESSO ACARTONADO (DRYWALL), PARA USO INTERNO, ESPESSURA TOTAL 140MM COM DUAS FACES DUPLAS E ESTRUTURA METÁLICA COM GUIA SIMPLES 90MM, TRATAMENTO ACÚSTICO E ENCHIMENTO EM LÃ DE VIDRO OU EQUIVALENTE TÉCNICO.</t>
  </si>
  <si>
    <t>ALVENARIA DE VEDAÇÃO DE BLOCOS VAZADOS DE CONCRETO APARENTE DE 14X19X39 CM (ESPESSURA 14 CM) E ARGAMASSA DE ASSENTAMENTO COM PREPARO EM BETONEIRA. AF_12/2021</t>
  </si>
  <si>
    <t>ALVENARIA DE VEDAÇÃO DE BLOCOS VAZADOS DE CONCRETO APARENTE DE 9X19X39 CM (ESPESSURA 9 CM) E ARGAMASSA DE ASSENTAMENTO COM PREPARO EM BETONEIRA. AF_12/2021</t>
  </si>
  <si>
    <t xml:space="preserve"> 845 </t>
  </si>
  <si>
    <t>PAREDE COM SISTEMA EM CHAPAS DE GESSO PARA DRYWALL, USO INTERNO, COM DUAS FACES SIMPLES E ESTRUTURA METÁLICA COM GUIAS SIMPLES PARA PAREDES COM ÁREA LÍQUIDA MAIOR OU IGUAL A 6 M2, COM VÃOS. AF_07/2023_PS</t>
  </si>
  <si>
    <t xml:space="preserve"> 848 </t>
  </si>
  <si>
    <t xml:space="preserve"> 849 </t>
  </si>
  <si>
    <t>PAREDE COM SISTEMA EM CHAPAS DE GESSO PARA DRYWALL, USO INTERNO, COM DUAS FACES DUPLAS E ESTRUTURA METÁLICA COM GUIAS DUPLAS PARA PAREDES COM ÁREA LÍQUIDA MENOR QUE 6 M2, COM VÃOS. AF_07/2023_PS</t>
  </si>
  <si>
    <t xml:space="preserve"> 850 </t>
  </si>
  <si>
    <t xml:space="preserve"> 851 </t>
  </si>
  <si>
    <t>PAREDE COM SISTEMA EM CHAPAS DE GESSO PARA DRYWALL, USO INTERNO, COM UMA FACE SIMPLES E OUTRA FACE DUPLA E ESTRUTURA METÁLICA COM GUIAS SIMPLES PARA PAREDES COM ÁREA LÍQUIDA MAIOR OU IGUAL A 6 M2, COM VÃOS. AF_07/2023_PS</t>
  </si>
  <si>
    <t xml:space="preserve"> 852 </t>
  </si>
  <si>
    <t>PAREDE COM SISTEMA EM CHAPAS DE GESSO PARA DRYWALL, USO INTERNO, COM UMA FACE SIMPLES E OUTRA FACE DUPLA E ESTRUTURA METÁLICA COM GUIAS DUPLAS PARA PAREDES COM ÁREA LÍQUIDA MENOR QUE 6 M2, COM VÃOS. AF_07/2023_PS</t>
  </si>
  <si>
    <t xml:space="preserve"> 853 </t>
  </si>
  <si>
    <t>INSTALAÇÃO DE ISOLAMENTO COM LÃ DE VIDRO EM PAREDE DRYWALL. AF_07/2023</t>
  </si>
  <si>
    <t xml:space="preserve"> 854 </t>
  </si>
  <si>
    <t xml:space="preserve"> 855 </t>
  </si>
  <si>
    <t>Totais -&gt;</t>
  </si>
  <si>
    <t>Total sem BDI</t>
  </si>
  <si>
    <t>Total do BDI</t>
  </si>
  <si>
    <t>Total Geral</t>
  </si>
  <si>
    <t>ELE.01 - ELEMENTO VAZADO EM CONCRETO, TIPO QUADRICULADO DE 39 X 39 X 10 CM</t>
  </si>
  <si>
    <t>CER.03 - AZULEJO 20X20CM BRILHANTE BORDA ARRED. BRANCO EXTRA PIERINI</t>
  </si>
  <si>
    <t>CER.02 - CERÂMICA REF LIVERPOOL MATT BLACK 7X24CM, PORTOBELLO OU SIMILAR</t>
  </si>
  <si>
    <t>CER.01 - CERÂMICA REF LIVERPOOL MATT WHITE 7X24CM, PORTOBELLO OU SIMILAR</t>
  </si>
  <si>
    <t>PRM.04 - REVESTIMENTO EM PLACA CIMENTÍCIA AUTOCLAVADA COM ESPESSURA DE 12 MM, BORDA QUADRADA RETA E JUNTAS SECAS COM TRATAMENTO EM SILICONE ESTRUTURAL PRÓPRIO PARA FACHADAS EXTERNAS. SUBESTRUTURA EM PERFIS METÁLICOS CONFORME FABRICANTE</t>
  </si>
  <si>
    <t xml:space="preserve">CPM.02 - FECHAMENTO EM PAINEL COM CHAPA PERFURADA EM INOX 304 - PERFURAÇÃO R8,00 EC11,00 E ACABAMENTO EM PINTURA ELETROSTÁTICA COR RAL 7042 BRILHANTE. COM ESTRUTURA AUXILIAR JUNTO AOS PILARES PARA DESCIDA TUBULAÇÕES EM PERFIS DE AÇO INOX 304 E ACESSÓRIOS PARA FIXAÇÃO PINTADOS NA MESMA COR, PARAFUSOS SEM PINTURA. </t>
  </si>
  <si>
    <t>CPM.03 - PAINEL DE ALUMINIO COMPOSTO COM NUCLEO EM POLIETILENO DE BAIXA DENSIDADE, COR CINZA CLARO (RAL 7042), DOBRAS TIPO FRESAGEM EM V COM ABA, COM ESTRUTURA AUXILIAR JUNTO AOS PILARES PARA DESCIDA TUBULAÇÕES EM PERFIL METALICO CINZA CLARO (RAL 7042), CONFORME MODULAÇÃO DO PROJETO, COM SISTEMA DE FIXAÇÃO CIMPLETO COMPOSTO MINIMAMENTE POR TARUCELL/ESPUMA, REBITE (QUANDO PERTINETNE) E SILICONE.</t>
  </si>
  <si>
    <t>ACR.05 - PINTURA ACRÍLICA COR CINZA ESCURO, ACABAMENTO FOSCO COM LIMITE COV (COMPOSTO ORGÂNICO VOLÁTEIS) DE ATÉ 50g/L, MÍNIMO 2 DEMÃOS COM EMASSAMENTO</t>
  </si>
  <si>
    <t>ACR.02 - MASSA TEXTURIZADA A BASE DE RESINA ACRÍLICA ESTINERADA, COM PIGMENTOS INERTES, COR CINZA CLARO, HIDROCARBONETOS ALIFÁTICOS, SURFACTANTES, COALESCENTES , ESPESSANTES. MICROBICIDAS NÃO METÁLICOS E ÁGUA, APLICADO COM ROLO.</t>
  </si>
  <si>
    <r>
      <rPr>
        <sz val="12"/>
        <color rgb="FF660066"/>
        <rFont val="Segoe UI Semilight"/>
        <family val="2"/>
      </rPr>
      <t xml:space="preserve">BGS.01 </t>
    </r>
    <r>
      <rPr>
        <sz val="12"/>
        <rFont val="Segoe UI Semilight"/>
        <family val="2"/>
      </rPr>
      <t>- EXECUÇÃO E COMPACTAÇÃO DE BASE E OU SUB BASE PARA PAVIMENTAÇÃO DE BRITA GRADUADA SIMPLES TRATADA COM CIMENTO - EXCLUSIVE CARGA E TRANSPORTE. AF_11/2019</t>
    </r>
  </si>
  <si>
    <t>PIS.01 - PISO MONOLITICO DE ALTA RESISTÊNCIA TIPO GRANILITE COR BEGE, ACABAMENTO POLIDO ESPESSURA 8CM - KORODUR TP.02 OU EQUIVALENTE TÉCNICO</t>
  </si>
  <si>
    <r>
      <rPr>
        <sz val="12"/>
        <color rgb="FF660066"/>
        <rFont val="Segoe UI Semilight"/>
        <family val="2"/>
      </rPr>
      <t xml:space="preserve">PIS.02 - </t>
    </r>
    <r>
      <rPr>
        <sz val="12"/>
        <rFont val="Segoe UI Semilight"/>
        <family val="2"/>
      </rPr>
      <t>PISO MONOLÍTICO DE ALTA RESISTÊNCIA, REF:. FERCODUR-COR ACABAMENTO TIPO FULGET LAVADO, FERCOBAN OU SIMILAR</t>
    </r>
  </si>
  <si>
    <t>TINTA TEXTURIZADA EFEITO SUAVE EM PAREDES COM MASSA</t>
  </si>
  <si>
    <t>PISO ALTA RESISTENCIA TIPO GRANITINA OU SIMILAR</t>
  </si>
  <si>
    <t xml:space="preserve"> 856 </t>
  </si>
  <si>
    <t>PISO ALTA RESISTENCIA TRANSITO MEDIO CIMENTO BRANCO</t>
  </si>
  <si>
    <r>
      <rPr>
        <sz val="12"/>
        <color rgb="FF660066"/>
        <rFont val="Segoe UI Semilight"/>
        <family val="2"/>
      </rPr>
      <t xml:space="preserve">CIM.01 - </t>
    </r>
    <r>
      <rPr>
        <sz val="12"/>
        <rFont val="Segoe UI Semilight"/>
        <family val="2"/>
      </rPr>
      <t>PISO CIMENTADO, TRAÇO 1:3 (CIMENTO E AREIA), ACABAMENTO LISO, ESPESSURA 4,0 CM, PREPARO MECÂNICO DA ARGAMASSA. AF_09/2020</t>
    </r>
  </si>
  <si>
    <r>
      <rPr>
        <sz val="12"/>
        <color rgb="FF660066"/>
        <rFont val="Segoe UI Semilight"/>
        <family val="2"/>
      </rPr>
      <t xml:space="preserve">CER.04 - </t>
    </r>
    <r>
      <rPr>
        <sz val="12"/>
        <rFont val="Segoe UI Semilight"/>
        <family val="2"/>
      </rPr>
      <t>REVESTIMENTO CERÂMICO PARA PISO COM PLACAS TIPO PORCELANATO DE DIMENSÕES 60X60 CM APLICADA EM AMBIENTES DE ÁREA ENTRE 5 M² E 10 M². AF_06/2014</t>
    </r>
  </si>
  <si>
    <r>
      <rPr>
        <sz val="12"/>
        <color rgb="FF660066"/>
        <rFont val="Segoe UI Semilight"/>
        <family val="2"/>
      </rPr>
      <t xml:space="preserve">RDP.05 - </t>
    </r>
    <r>
      <rPr>
        <sz val="12"/>
        <rFont val="Segoe UI Semilight"/>
        <family val="2"/>
      </rPr>
      <t>RODAPÉ QUALQUER EM ALTA RESISTÊNCIA MOLDADO NO LOCAL ATÉ 10 CM</t>
    </r>
  </si>
  <si>
    <r>
      <rPr>
        <sz val="12"/>
        <color rgb="FF660066"/>
        <rFont val="Segoe UI Semilight"/>
        <family val="2"/>
      </rPr>
      <t xml:space="preserve">RDP.01 - </t>
    </r>
    <r>
      <rPr>
        <sz val="12"/>
        <rFont val="Segoe UI Semilight"/>
        <family val="2"/>
      </rPr>
      <t>RODAPÉ DE POLIESTIRENO, ESPESSURA DE 8 CM</t>
    </r>
  </si>
  <si>
    <r>
      <rPr>
        <sz val="12"/>
        <color rgb="FF660066"/>
        <rFont val="Segoe UI Semilight"/>
        <family val="2"/>
      </rPr>
      <t>RDP.02 -</t>
    </r>
    <r>
      <rPr>
        <sz val="12"/>
        <rFont val="Segoe UI Semilight"/>
        <family val="2"/>
      </rPr>
      <t xml:space="preserve"> RODAPÉ EM PRÉ-MOLDADO  H=10CM</t>
    </r>
  </si>
  <si>
    <r>
      <rPr>
        <sz val="12"/>
        <color rgb="FF660066"/>
        <rFont val="Segoe UI Semilight"/>
        <family val="2"/>
      </rPr>
      <t xml:space="preserve">RDP.03 </t>
    </r>
    <r>
      <rPr>
        <sz val="12"/>
        <rFont val="Segoe UI Semilight"/>
        <family val="2"/>
      </rPr>
      <t>- RODAPÉ EM PRÉ-MOLDADO  H=30CM</t>
    </r>
  </si>
  <si>
    <r>
      <rPr>
        <sz val="12"/>
        <color rgb="FF660066"/>
        <rFont val="Segoe UI Semilight"/>
        <family val="2"/>
      </rPr>
      <t xml:space="preserve">RDP.04 - </t>
    </r>
    <r>
      <rPr>
        <sz val="12"/>
        <rFont val="Segoe UI Semilight"/>
        <family val="2"/>
      </rPr>
      <t>RODAPÉ EM PORCELANATO ESMALTADO POLIDO PARA ÁREA INTERNA E AMBIENTE COM TRÁFEGO MÉDIO, GRUPO DE ABSORÇÃO BIA, ASSENTADO COM ARGAMASSA COLANTE INDUSTRIALIZADA, REJUNTADO</t>
    </r>
  </si>
  <si>
    <t>GRM.01 - PLANTIO DE GRAMA SÃO CARLOS EM PLACAS</t>
  </si>
  <si>
    <t>CHP.01 - CHAPIM EM CONCRETO PRÉ-MOLDADO, LARGURA 25CM E ESPESSURA 2CM</t>
  </si>
  <si>
    <t>CHP.02 - CHAPIM EM CONCRETO PRÉ-MOLDADO, LARGURA 13CM E ESPESSURA 2CM</t>
  </si>
  <si>
    <t xml:space="preserve"> 857 </t>
  </si>
  <si>
    <t>PLANTIO DE GRAMA ESMERALDA OU SÃO CARLOS OU CURITIBANA, EM PLACAS. AF_07/2024</t>
  </si>
  <si>
    <t>CHAPIM SOBRE MUROS NÃO LINEARES, EM CONCRETO PRÉ-MOLDADO, COMPRIMENTO MAIOR QUE 6 M, ASSENTADO COM ARGAMASSA 1:6 COM ADITIVO. AF_11/2020</t>
  </si>
  <si>
    <t>CHAPIM SOBRE MUROS LINEARES, EM CONCRETO PRÉ-MOLDADO, COMPRIMENTO DE ATÉ 6 M, ASSENTADO COM ARGAMASSA 1:6 COM ADITIVO. AF_11/2020</t>
  </si>
  <si>
    <t>_______________________________________________________________
Felippe Giaretton
Sócio/CEO/Proprietário</t>
  </si>
  <si>
    <t>BANCADA DE GRANITO CINZA ANDORINHA ESP. 3cm 0,90x0,55m, SAIA ESP. 2cm H=5cm, FRONTISPÍCIO ESP 2cm H =10cm COM FURAÇÃO PARA CUBA E TORNEIRA</t>
  </si>
  <si>
    <t>BANCADA DE GRANITO CINZA ANDORINHA ESP. 3cm 1,10x0,55m, SAIA ESP. 2cm H=5cm, FRONTISPÍCIO ESP 2cm H =10cm COM FURAÇÃO PARA CUBA E TORNEIRA</t>
  </si>
  <si>
    <t>BANCADA DE GRANITO CINZA ANDORINHA ESP. 3cm  2,25X0,70M. COM ÁREA MOLHADA E SECA 2,70x0,60m, SAIA ESP. 2cm H=5cm, FRONTISPÍCIO ESP 2cm H =10cm COM FURAÇÃO PARA CUBA E TORNEIRA</t>
  </si>
  <si>
    <t>PM07 - PM07 - PORTA SIMPLES ABRIR EM MADEIRA COM REVESTIMENTO EM LAMINADO MELAMÍNICO - 0,80X 2,51M</t>
  </si>
  <si>
    <t>PORTÃO DE ABRIR (1 FOLHA) COM FERROLHO HORIZONTAL E TRINCO FERROLHO DE CHÃO, ESTRUTURADO POR PERFIS METÁLICOS E VEDAÇÃO EM ALAMBRADO - 0,95X2,10M</t>
  </si>
  <si>
    <t xml:space="preserve">GUARDA-CORPO DE AÇO GALVANIZADO DE 1,10M DE ALTURA,DUPLO CORRIMÃO, MONTANTES TUBULARES DE 1.1/2" ESPAÇADOS 1,20M, TRAVESSA SUPERIOR DE 2" </t>
  </si>
  <si>
    <t>21.03.151</t>
  </si>
  <si>
    <t>Revestimento em placa de alumínio composto "ACM", espessura de 4 mm e acabamento em PVDF</t>
  </si>
  <si>
    <t>APP PREMOLDADOS</t>
  </si>
  <si>
    <t>PILARES PRÉ-MOLDADOS - FORNECIMETNOE COLOCAÇÃO</t>
  </si>
  <si>
    <t>CPM.01.A - PAINEL EM CHAPA METÁLICA PERFURADA REDONDA EM AÇO INOX 304 - PERFURAÇÃO R8,00 EC11,00. ACABAMENTO EM PINTURA ELETROSTÁTICA COR RAL 7042 BRILHANTE. SUBESTRUTURA EM PERFIS DE AÇO INOX 304 E ACESSÓRIOS PARA FIXAÇÃO PINTADOS NA MESMA COR, PARAFUSOS SEM PINTURA.1,738x5,286m2</t>
  </si>
  <si>
    <t>M01.04.033</t>
  </si>
  <si>
    <t>M01.04.034</t>
  </si>
  <si>
    <t>M01.04.035</t>
  </si>
  <si>
    <t>M01.04.036</t>
  </si>
  <si>
    <t>M01.04.037</t>
  </si>
  <si>
    <t>M01.04.038</t>
  </si>
  <si>
    <t>M01.04.039</t>
  </si>
  <si>
    <t>M01.04.040</t>
  </si>
  <si>
    <t>M01.04.041</t>
  </si>
  <si>
    <t>M01.04.042</t>
  </si>
  <si>
    <t>M01.04.043</t>
  </si>
  <si>
    <t>M01.04.044</t>
  </si>
  <si>
    <t>M01.04.045</t>
  </si>
  <si>
    <t>M01.04.046</t>
  </si>
  <si>
    <t>M01.04.047</t>
  </si>
  <si>
    <t>CPM.01.B - PAINEL EM CHAPA METÁLICA PERFURADA REDONDA EM AÇO INOX 304 - PERFURAÇÃO R8,00 EC11,00. ACABAMENTO EM PINTURA ELETROSTÁTICA COR RAL 7042 BRILHANTE. SUBESTRUTURA EM PERFIS DE AÇO INOX 304 E ACESSÓRIOS PARA FIXAÇÃO PINTADOS NA MESMA COR, PARAFUSOS SEM PINTURA.24,08 - 5,286m2</t>
  </si>
  <si>
    <t>CPM.01.B' - PAINEL EM CHAPA METÁLICA PERFURADA REDONDA EM AÇO INOX 304 - PERFURAÇÃO R8,00 EC11,00. ACABAMENTO EM PINTURA ELETROSTÁTICA COR RAL 7042 BRILHANTE. SUBESTRUTURA EM PERFIS DE AÇO INOX 304 E ACESSÓRIOS PARA FIXAÇÃO PINTADOS NA MESMA COR, PARAFUSOS SEM PINTURA.0,249 - 5,286m2</t>
  </si>
  <si>
    <t>CPM.02.A - PAINEL EM CHAPA METÁLICA PERFURADA REDONDA EM AÇO INOX 304 - PERFURAÇÃO R8,00 EC11,00. ACABAMENTO EM PINTURA ELETROSTÁTICA COR RAL 7042 BRILHANTE. SUBESTRUTURA EM PERFIS DE AÇO INOX 304 E ACESSÓRIOS PARA FIXAÇÃO PINTADOS NA MESMA COR, PARAFUSOS SEM PINTURA.24,999 - 5,286m2</t>
  </si>
  <si>
    <t>CPM.02.A" - PAINEL EM CHAPA METÁLICA PERFURADA REDONDA EM AÇO INOX 304 - PERFURAÇÃO R8,00 EC11,00. ACABAMENTO EM PINTURA ELETROSTÁTICA COR RAL 7042 BRILHANTE. SUBESTRUTURA EM PERFIS DE AÇO INOX 304 E ACESSÓRIOS PARA FIXAÇÃO PINTADOS NA MESMA COR, PARAFUSOS SEM PINTURA.0,17 - 5,286m2</t>
  </si>
  <si>
    <t>CPM.02.A' - PAINEL EM CHAPA METÁLICA PERFURADA REDONDA EM AÇO INOX 304 - PERFURAÇÃO R8,00 EC11,00. ACABAMENTO EM PINTURA ELETROSTÁTICA COR RAL 7042 BRILHANTE. SUBESTRUTURA EM PERFIS DE AÇO INOX 304 E ACESSÓRIOS PARA FIXAÇÃO PINTADOS NA MESMA COR, PARAFUSOS SEM PINTURA.0,248 - 5,286m2</t>
  </si>
  <si>
    <t>CPM.02.B - PAINEL EM CHAPA METÁLICA PERFURADA REDONDA EM AÇO INOX 304 - PERFURAÇÃO R8,00 EC11,00. ACABAMENTO EM PINTURA ELETROSTÁTICA COR RAL 7042 BRILHANTE. SUBESTRUTURA EM PERFIS DE AÇO INOX 304 E ACESSÓRIOS PARA FIXAÇÃO PINTADOS NA MESMA COR, PARAFUSOS SEM PINTURA.5,186 - 5,286m2</t>
  </si>
  <si>
    <t>CPM.02.B' - PAINEL EM CHAPA METÁLICA PERFURADA REDONDA EM AÇO INOX 304 - PERFURAÇÃO R8,00 EC11,00. ACABAMENTO EM PINTURA ELETROSTÁTICA COR RAL 7042 BRILHANTE. SUBESTRUTURA EM PERFIS DE AÇO INOX 304 E ACESSÓRIOS PARA FIXAÇÃO PINTADOS NA MESMA COR, PARAFUSOS SEM PINTURA.0,149 - 5,286m2</t>
  </si>
  <si>
    <t>CPM.03.A - PAINEL EM CHAPA METÁLICA PERFURADA REDONDA EM AÇO INOX 304 - PERFURAÇÃO R8,00 EC11,00. ACABAMENTO EM PINTURA ELETROSTÁTICA COR RAL 7042 BRILHANTE. SUBESTRUTURA EM PERFIS DE AÇO INOX 304 E ACESSÓRIOS PARA FIXAÇÃO PINTADOS NA MESMA COR, PARAFUSOS SEM PINTURA.4,805 - 5,286m2</t>
  </si>
  <si>
    <t>CPM.03.B - PAINEL EM CHAPA METÁLICA PERFURADA REDONDA EM AÇO INOX 304 - PERFURAÇÃO R8,00 EC11,00. ACABAMENTO EM PINTURA ELETROSTÁTICA COR RAL 7042 BRILHANTE. SUBESTRUTURA EM PERFIS DE AÇO INOX 304 E ACESSÓRIOS PARA FIXAÇÃO PINTADOS NA MESMA COR, PARAFUSOS SEM PINTURA.0,928 - 5,286m2</t>
  </si>
  <si>
    <t>CPM.04 - PAINEL EM CHAPA METÁLICA PERFURADA REDONDA EM AÇO INOX 304 - PERFURAÇÃO R8,00 EC11,00. ACABAMENTO EM PINTURA ELETROSTÁTICA COR RAL 7042 BRILHANTE. SUBESTRUTURA EM PERFIS DE AÇO INOX 304 E ACESSÓRIOS PARA FIXAÇÃO PINTADOS NA MESMA COR, PARAFUSOS SEM PINTURA.8,129 - 5,286m2</t>
  </si>
  <si>
    <t>CPM.05.A - PAINEL EM CHAPA METÁLICA PERFURADA REDONDA EM AÇO INOX 304 - PERFURAÇÃO R8,00 EC11,00. ACABAMENTO EM PINTURA ELETROSTÁTICA COR RAL 7042 BRILHANTE. SUBESTRUTURA EM PERFIS DE AÇO INOX 304 E ACESSÓRIOS PARA FIXAÇÃO PINTADOS NA MESMA COR, PARAFUSOS SEM PINTURA.22,926 - 5,286m2</t>
  </si>
  <si>
    <t>CPM.05.B - PAINEL EM CHAPA METÁLICA PERFURADA REDONDA EM AÇO INOX 304 - PERFURAÇÃO R8,00 EC11,00. ACABAMENTO EM PINTURA ELETROSTÁTICA COR RAL 7042 BRILHANTE. SUBESTRUTURA EM PERFIS DE AÇO INOX 304 E ACESSÓRIOS PARA FIXAÇÃO PINTADOS NA MESMA COR, PARAFUSOS SEM PINTURA.0,421 - 5,286m2</t>
  </si>
  <si>
    <t>CPM.06.A - PAINEL EM CHAPA METÁLICA PERFURADA REDONDA EM AÇO INOX 304 - PERFURAÇÃO R8,00 EC11,00. ACABAMENTO EM PINTURA ELETROSTÁTICA COR RAL 7042 BRILHANTE. SUBESTRUTURA EM PERFIS DE AÇO INOX 304 E ACESSÓRIOS PARA FIXAÇÃO PINTADOS NA MESMA COR, PARAFUSOS SEM PINTURA.0,598 - 5,286m2</t>
  </si>
  <si>
    <t>CPM.06.B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</si>
  <si>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CPM.06.C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</si>
  <si>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CPM.06.D - PAINEL EM CHAPA METÁLICA PERFURADA REDONDA EM AÇO INOX 304 - PERFURAÇÃO R8,00 EC11,00. ACABAMENTO EM PINTURA ELETROSTÁTICA COR RAL 7042 BRILHANTE. SUBESTRUTURA EM PERFIS DE AÇO INOX 304 E ACESSÓRIOS PARA FIXAÇÃO PINTADOS NA MESMA COR, PARAFUSOS SEM PINTURA.0,598 - 5,286m2</t>
  </si>
  <si>
    <t>CPM.06.E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</si>
  <si>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CPM.06.F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</si>
  <si>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CPM.06.G - PAINEL EM CHAPA METÁLICA PERFURADA REDONDA EM AÇO INOX 304 - PERFURAÇÃO R8,00 EC11,00. ACABAMENTO EM PINTURA ELETROSTÁTICA COR RAL 7042 BRILHANTE. SUBESTRUTURA EM PERFIS DE AÇO INOX 304 E ACESSÓRIOS PARA FIXAÇÃO PINTADOS NA MESMA COR, PARAFUSOS SEM PINTURA.0,582 - 5,286m2</t>
  </si>
  <si>
    <t>CPM.06.H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</si>
  <si>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CPM.06.I - PAINEL EM CHAPA METÁLICA PERFURADA REDONDA EM AÇO INOX 304 - PERFURAÇÃO R8,00 EC11,00. ACABAMENTO EM PINTURA ELETROSTÁTICA COR RAL 7042 BRILHANTE. SUBESTRUTURA EM PERFIS DE AÇO INOX 304 E ACESSÓRIOS PARA FIXAÇÃO PINTADOS NA MESMA COR, PARAFUSOS SEM PINTURA.0,293 - 5,286m2</t>
  </si>
  <si>
    <t>CPM.06.J - PAINEL EM CHAPA METÁLICA PERFURADA REDONDA EM AÇO INOX 304 - PERFURAÇÃO R8,00 EC11,00. ACABAMENTO EM PINTURA ELETROSTÁTICA COR RAL 7042 BRILHANTE. SUBESTRUTURA EM PERFIS DE AÇO INOX 304 E ACESSÓRIOS PARA FIXAÇÃO PINTADOS NA MESMA COR, PARAFUSOS SEM PINTURA.0,599 - 5,286m2</t>
  </si>
  <si>
    <t>CPM.06.K - PAINEL EM CHAPA METÁLICA PERFURADA REDONDA EM AÇO INOX 304 - PERFURAÇÃO R8,00 EC11,00. ACABAMENTO EM PINTURA ELETROSTÁTICA COR RAL 7042 BRILHANTE. SUBESTRUTURA EM PERFIS DE AÇO INOX 304 E ACESSÓRIOS PARA FIXAÇÃO PINTADOS NA MESMA COR, PARAFUSOS SEM PINTURA.0,598 - 5,286m2</t>
  </si>
  <si>
    <t>CPM.06.L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</si>
  <si>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CPM.06.M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</si>
  <si>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CPM.06.N - PAINEL EM CHAPA METÁLICA PERFURADA REDONDA EM AÇO INOX 304 - PERFURAÇÃO R8,00 EC11,00. ACABAMENTO EM PINTURA ELETROSTÁTICA COR RAL 7042 BRILHANTE. SUBESTRUTURA EM PERFIS DE AÇO INOX 304 E ACESSÓRIOS PARA FIXAÇÃO PINTADOS NA MESMA COR, PARAFUSOS SEM PINTURA.0,292 - 5,286m2</t>
  </si>
  <si>
    <t>CPM.06.O - PAINEL EM CHAPA METÁLICA PERFURADA REDONDA EM AÇO INOX 304 - PERFURAÇÃO R8,00 EC11,00. ACABAMENTO EM PINTURA ELETROSTÁTICA COR RAL 7042 BRILHANTE. SUBESTRUTURA EM PERFIS DE AÇO INOX 304 E ACESSÓRIOS PARA FIXAÇÃO PINTADOS NA MESMA COR, PARAFUSOS SEM PINTURA.0,122 - 5,286m2</t>
  </si>
  <si>
    <t>CPM.06.P - PAINEL EM CHAPA METÁLICA PERFURADA REDONDA EM AÇO INOX 304 - PERFURAÇÃO R8,00 EC11,00. ACABAMENTO EM PINTURA ELETROSTÁTICA COR RAL 7042 BRILHANTE. SUBESTRUTURA EM PERFIS DE AÇO INOX 304 E ACESSÓRIOS PARA FIXAÇÃO PINTADOS NA MESMA COR, PARAFUSOS SEM PINTURA.0,578 - 5,286m2</t>
  </si>
  <si>
    <t>CPM.06.Q - PAINEL EM CHAPA METÁLICA PERFURADA REDONDA EM AÇO INOX 304 - PERFURAÇÃO R8,00 EC11,00. ACABAMENTO EM PINTURA ELETROSTÁTICA COR RAL 7042 BRILHANTE. SUBESTRUTURA EM PERFIS DE AÇO INOX 304 E ACESSÓRIOS PARA FIXAÇÃO PINTADOS NA MESMA COR, PARAFUSOS SEM PINTURA.0,122 - 5,286m2</t>
  </si>
  <si>
    <t>CPM.06.R - PAINEL EM CHAPA METÁLICA PERFURADA REDONDA EM AÇO INOX 304 - PERFURAÇÃO R8,00 EC11,00. ACABAMENTO EM PINTURA ELETROSTÁTICA COR RAL 7042 BRILHANTE. SUBESTRUTURA EM PERFIS DE AÇO INOX 304 E ACESSÓRIOS PARA FIXAÇÃO PINTADOS NA MESMA COR, PARAFUSOS SEM PINTURA.0,293 - 5,286m2</t>
  </si>
  <si>
    <t>CPM.06.S - PAINEL EM CHAPA METÁLICA PERFURADA REDONDA EM AÇO INOX 304 - PERFURAÇÃO R8,00 EC11,00. ACABAMENTO EM PINTURA ELETROSTÁTICA COR RAL 7042 BRILHANTE. SUBESTRUTURA EM PERFIS DE AÇO INOX 304 E ACESSÓRIOS PARA FIXAÇÃO PINTADOS NA MESMA COR, PARAFUSOS SEM PINTURA.0,599 - 5,286m2</t>
  </si>
  <si>
    <t>CPM.06.T - PAINEL EM CHAPA METÁLICA PERFURADA REDONDA EM AÇO INOX 304 - PERFURAÇÃO R8,00 EC11,00. ACABAMENTO EM PINTURA ELETROSTÁTICA COR RAL 7042 BRILHANTE. SUBESTRUTURA EM PERFIS DE AÇO INOX 304 E ACESSÓRIOS PARA FIXAÇÃO PINTADOS NA MESMA COR, PARAFUSOS SEM PINTURA.0,292 - 5,286m2</t>
  </si>
  <si>
    <t>CPM.06.U - PAINEL EM CHAPA METÁLICA PERFURADA REDONDA EM AÇO INOX 304 - PERFURAÇÃO R8,00 EC11,00. ACABAMENTO EM PINTURA ELETROSTÁTICA COR RAL 7042 BRILHANTE. SUBESTRUTURA EM PERFIS DE AÇO INOX 304 E ACESSÓRIOS PARA FIXAÇÃO PINTADOS NA MESMA COR, PARAFUSOS SEM PINTURA.0,132 - 5,286m2</t>
  </si>
  <si>
    <t xml:space="preserve">       </t>
  </si>
  <si>
    <t>MOBILIZAÇÃO, CANTEIRO DE OBRAS E ISOLAMENTOS DAS ÁREAS, INLCUSIVE INSTALAÇÕES PROVISÓRIAS DE POONTGALETES DE MADEIRA, TELA LARANJA DE OBRA, PLACAS PROVISÓRIAS DE IDENTGIFICAÇÃO, ETC.</t>
  </si>
  <si>
    <t>LOCAÇÃO DE C0NTAINER ALMOXARIFADO, INLCUSIVE TRANSPORTE DE IDA E VOLTA, INCLUSIVE INSTALAÇÕES</t>
  </si>
  <si>
    <t>CREA- ART DE EXECUÇÃO</t>
  </si>
  <si>
    <t>PLANO DE EMERGENDIA E SEGURANÇA</t>
  </si>
  <si>
    <t>MONTAGEM DE COBERTUA ROLLON, CORORME PROJETO CONSIDERANDO PRÉ-MONTGAGEM IN LOCO, SEM FORNECIMENTO DE MATERIAL</t>
  </si>
  <si>
    <t>MONTAGEM DE ESTRUTURA AUXILIAR  PARA FIXAÇÃO DOS PAINÉIS TERMOACÚSTICOS, INCLUINDO MUNK, CONFORME PROJETO, SEM FORNECIMETNO DE MATERIAL</t>
  </si>
  <si>
    <t>MONTAGEM DE FECHAMENTO LATERAL COM TELHAS TERMOACÚSTICAS E ACESSÓRIOS DE FIXAÇÃO, INLCUIDO MUNK, SEM FORNECIMETNO DE MATERIAL</t>
  </si>
  <si>
    <t>M01.02.007A</t>
  </si>
  <si>
    <t>M01.02.007B</t>
  </si>
  <si>
    <t>M01.02.007C</t>
  </si>
  <si>
    <t>M01.02.007D</t>
  </si>
  <si>
    <t>M01.02.007E</t>
  </si>
  <si>
    <t>M01.02.007F</t>
  </si>
  <si>
    <t>M01.02.007G</t>
  </si>
  <si>
    <t xml:space="preserve"> 858 </t>
  </si>
  <si>
    <t xml:space="preserve"> 859 </t>
  </si>
  <si>
    <t>CABO UTP - CATEGORIA 4 E 5 PARES</t>
  </si>
  <si>
    <t>365.716,87</t>
  </si>
  <si>
    <t>581.464,42</t>
  </si>
  <si>
    <t>CABOS UTP 4 PARES CAT A</t>
  </si>
  <si>
    <t xml:space="preserve"> - </t>
  </si>
  <si>
    <t>7,54%</t>
  </si>
  <si>
    <t>6,44%</t>
  </si>
  <si>
    <t>13,98%</t>
  </si>
  <si>
    <t>5,37%</t>
  </si>
  <si>
    <t>19,35%</t>
  </si>
  <si>
    <t>4,74%</t>
  </si>
  <si>
    <t>24,09%</t>
  </si>
  <si>
    <t xml:space="preserve"> MOED-21737 </t>
  </si>
  <si>
    <t>ENGENHEIRO ELETRICISTA/MECÂNICO (MODALIDADE: MENSALISTA|ENCARGOS SOCIAIS: INCLUSO)</t>
  </si>
  <si>
    <t>23.951,34</t>
  </si>
  <si>
    <t>4,12%</t>
  </si>
  <si>
    <t>28,21%</t>
  </si>
  <si>
    <t>3,71%</t>
  </si>
  <si>
    <t>31,92%</t>
  </si>
  <si>
    <t>1.403,99</t>
  </si>
  <si>
    <t>12.635,91</t>
  </si>
  <si>
    <t>2,17%</t>
  </si>
  <si>
    <t>34,09%</t>
  </si>
  <si>
    <t>2,07%</t>
  </si>
  <si>
    <t>36,16%</t>
  </si>
  <si>
    <t>9.040,70</t>
  </si>
  <si>
    <t>1,55%</t>
  </si>
  <si>
    <t>37,72%</t>
  </si>
  <si>
    <t>1,51%</t>
  </si>
  <si>
    <t>39,22%</t>
  </si>
  <si>
    <t>1,39%</t>
  </si>
  <si>
    <t>40,61%</t>
  </si>
  <si>
    <t>1,37%</t>
  </si>
  <si>
    <t>41,98%</t>
  </si>
  <si>
    <t>1,31%</t>
  </si>
  <si>
    <t>43,29%</t>
  </si>
  <si>
    <t>1,21%</t>
  </si>
  <si>
    <t>44,50%</t>
  </si>
  <si>
    <t>6.542,99</t>
  </si>
  <si>
    <t>45,62%</t>
  </si>
  <si>
    <t>1,06%</t>
  </si>
  <si>
    <t>46,69%</t>
  </si>
  <si>
    <t>47,69%</t>
  </si>
  <si>
    <t>0,98%</t>
  </si>
  <si>
    <t>48,67%</t>
  </si>
  <si>
    <t>0,95%</t>
  </si>
  <si>
    <t>49,62%</t>
  </si>
  <si>
    <t>0,89%</t>
  </si>
  <si>
    <t>50,52%</t>
  </si>
  <si>
    <t>0,87%</t>
  </si>
  <si>
    <t>51,39%</t>
  </si>
  <si>
    <t>1.046,1013871</t>
  </si>
  <si>
    <t>5.000,36</t>
  </si>
  <si>
    <t>0,86%</t>
  </si>
  <si>
    <t>52,25%</t>
  </si>
  <si>
    <t>2.453,76</t>
  </si>
  <si>
    <t>4.907,52</t>
  </si>
  <si>
    <t>0,84%</t>
  </si>
  <si>
    <t>53,09%</t>
  </si>
  <si>
    <t>138,0119549</t>
  </si>
  <si>
    <t>4.735,19</t>
  </si>
  <si>
    <t>0,81%</t>
  </si>
  <si>
    <t>53,90%</t>
  </si>
  <si>
    <t>0,79%</t>
  </si>
  <si>
    <t>54,69%</t>
  </si>
  <si>
    <t>0,72%</t>
  </si>
  <si>
    <t>55,42%</t>
  </si>
  <si>
    <t>56,13%</t>
  </si>
  <si>
    <t>56,79%</t>
  </si>
  <si>
    <t>163,4024495</t>
  </si>
  <si>
    <t>3.808,91</t>
  </si>
  <si>
    <t>57,44%</t>
  </si>
  <si>
    <t>3.663,49</t>
  </si>
  <si>
    <t>0,63%</t>
  </si>
  <si>
    <t>58,07%</t>
  </si>
  <si>
    <t>SERVENTE DE OBRAS (HORISTA)</t>
  </si>
  <si>
    <t>162,4765861</t>
  </si>
  <si>
    <t>3.597,23</t>
  </si>
  <si>
    <t>0,62%</t>
  </si>
  <si>
    <t>58,69%</t>
  </si>
  <si>
    <t>5,1500000</t>
  </si>
  <si>
    <t>3.119,30</t>
  </si>
  <si>
    <t>0,54%</t>
  </si>
  <si>
    <t>59,23%</t>
  </si>
  <si>
    <t>59,73%</t>
  </si>
  <si>
    <t>60,23%</t>
  </si>
  <si>
    <t>60,72%</t>
  </si>
  <si>
    <t>61,22%</t>
  </si>
  <si>
    <t>136,5570000</t>
  </si>
  <si>
    <t>2.796,69</t>
  </si>
  <si>
    <t>61,70%</t>
  </si>
  <si>
    <t>1.396,55</t>
  </si>
  <si>
    <t>2.793,10</t>
  </si>
  <si>
    <t>62,18%</t>
  </si>
  <si>
    <t>62,65%</t>
  </si>
  <si>
    <t>63,12%</t>
  </si>
  <si>
    <t>63,59%</t>
  </si>
  <si>
    <t>64,04%</t>
  </si>
  <si>
    <t>2.580,68</t>
  </si>
  <si>
    <t>64,48%</t>
  </si>
  <si>
    <t xml:space="preserve"> H.01.000.021229 </t>
  </si>
  <si>
    <t>Porta corta-fogo classe P.120 de 80 x 210 cm, chapa de aço, com uma folha de abrir, completa, sem barra antipânico</t>
  </si>
  <si>
    <t>2.574,59</t>
  </si>
  <si>
    <t>64,93%</t>
  </si>
  <si>
    <t>65,37%</t>
  </si>
  <si>
    <t>65,81%</t>
  </si>
  <si>
    <t>110,1595000</t>
  </si>
  <si>
    <t>2.501,72</t>
  </si>
  <si>
    <t>66,24%</t>
  </si>
  <si>
    <t>3.353,0666493</t>
  </si>
  <si>
    <t>2.414,21</t>
  </si>
  <si>
    <t>0,42%</t>
  </si>
  <si>
    <t>66,65%</t>
  </si>
  <si>
    <t>67,06%</t>
  </si>
  <si>
    <t>67,45%</t>
  </si>
  <si>
    <t>0,38%</t>
  </si>
  <si>
    <t>67,84%</t>
  </si>
  <si>
    <t>71,4100578</t>
  </si>
  <si>
    <t>2.227,28</t>
  </si>
  <si>
    <t>68,22%</t>
  </si>
  <si>
    <t>68,60%</t>
  </si>
  <si>
    <t>68,98%</t>
  </si>
  <si>
    <t>2.200,00</t>
  </si>
  <si>
    <t>69,36%</t>
  </si>
  <si>
    <t>69,73%</t>
  </si>
  <si>
    <t>2.101,40</t>
  </si>
  <si>
    <t>0,36%</t>
  </si>
  <si>
    <t>70,09%</t>
  </si>
  <si>
    <t>70,45%</t>
  </si>
  <si>
    <t>70,79%</t>
  </si>
  <si>
    <t>71,10%</t>
  </si>
  <si>
    <t>1.046,1011871</t>
  </si>
  <si>
    <t>1.799,29</t>
  </si>
  <si>
    <t>71,41%</t>
  </si>
  <si>
    <t>71,71%</t>
  </si>
  <si>
    <t>72,01%</t>
  </si>
  <si>
    <t>72,29%</t>
  </si>
  <si>
    <t>72,57%</t>
  </si>
  <si>
    <t>203,02</t>
  </si>
  <si>
    <t>1.624,16</t>
  </si>
  <si>
    <t>72,85%</t>
  </si>
  <si>
    <t>56,4380000</t>
  </si>
  <si>
    <t>1.559,95</t>
  </si>
  <si>
    <t>73,39%</t>
  </si>
  <si>
    <t>73,65%</t>
  </si>
  <si>
    <t>73,91%</t>
  </si>
  <si>
    <t>74,17%</t>
  </si>
  <si>
    <t>74,42%</t>
  </si>
  <si>
    <t>74,67%</t>
  </si>
  <si>
    <t>74,92%</t>
  </si>
  <si>
    <t xml:space="preserve"> H.01.000.031213 </t>
  </si>
  <si>
    <t>Porta corta-fogo classe P.90 de 90 x 210 cm, completa, com maçaneta tipo alavanca e batentes (NBR 11742)</t>
  </si>
  <si>
    <t>1.422,40</t>
  </si>
  <si>
    <t>75,16%</t>
  </si>
  <si>
    <t>75,40%</t>
  </si>
  <si>
    <t>75,64%</t>
  </si>
  <si>
    <t>75,88%</t>
  </si>
  <si>
    <t>1.307,63</t>
  </si>
  <si>
    <t>76,34%</t>
  </si>
  <si>
    <t>76,56%</t>
  </si>
  <si>
    <t>76,77%</t>
  </si>
  <si>
    <t>40,1270000</t>
  </si>
  <si>
    <t>1.224,27</t>
  </si>
  <si>
    <t>76,98%</t>
  </si>
  <si>
    <t>77,19%</t>
  </si>
  <si>
    <t>2,0833000</t>
  </si>
  <si>
    <t>1.172,77</t>
  </si>
  <si>
    <t>77,39%</t>
  </si>
  <si>
    <t>85,5090000</t>
  </si>
  <si>
    <t>1.169,76</t>
  </si>
  <si>
    <t>77,59%</t>
  </si>
  <si>
    <t>77,79%</t>
  </si>
  <si>
    <t>77,99%</t>
  </si>
  <si>
    <t>78,18%</t>
  </si>
  <si>
    <t>78,38%</t>
  </si>
  <si>
    <t>78,57%</t>
  </si>
  <si>
    <t>78,75%</t>
  </si>
  <si>
    <t>78,94%</t>
  </si>
  <si>
    <t>1,9740000</t>
  </si>
  <si>
    <t>1.083,17</t>
  </si>
  <si>
    <t>79,13%</t>
  </si>
  <si>
    <t>79,31%</t>
  </si>
  <si>
    <t>79,49%</t>
  </si>
  <si>
    <t>79,67%</t>
  </si>
  <si>
    <t>1.029,00</t>
  </si>
  <si>
    <t>79,85%</t>
  </si>
  <si>
    <t>80,02%</t>
  </si>
  <si>
    <t>46,2690000</t>
  </si>
  <si>
    <t>998,95</t>
  </si>
  <si>
    <t>80,19%</t>
  </si>
  <si>
    <t>80,36%</t>
  </si>
  <si>
    <t>980,00</t>
  </si>
  <si>
    <t>80,53%</t>
  </si>
  <si>
    <t>959,60</t>
  </si>
  <si>
    <t>80,70%</t>
  </si>
  <si>
    <t>80,86%</t>
  </si>
  <si>
    <t>81,02%</t>
  </si>
  <si>
    <t xml:space="preserve"> B.06.000.021560 </t>
  </si>
  <si>
    <t>Tela soldada, diversas bitolas</t>
  </si>
  <si>
    <t>122,8000000</t>
  </si>
  <si>
    <t>7,54</t>
  </si>
  <si>
    <t>925,91</t>
  </si>
  <si>
    <t>81,18%</t>
  </si>
  <si>
    <t>227,81</t>
  </si>
  <si>
    <t>911,24</t>
  </si>
  <si>
    <t>81,49%</t>
  </si>
  <si>
    <t>81,65%</t>
  </si>
  <si>
    <t>895,00</t>
  </si>
  <si>
    <t>81,80%</t>
  </si>
  <si>
    <t>81,95%</t>
  </si>
  <si>
    <t>82,10%</t>
  </si>
  <si>
    <t>82,25%</t>
  </si>
  <si>
    <t>82,40%</t>
  </si>
  <si>
    <t>82,54%</t>
  </si>
  <si>
    <t>795,60</t>
  </si>
  <si>
    <t>82,68%</t>
  </si>
  <si>
    <t>82,82%</t>
  </si>
  <si>
    <t>7,4025997</t>
  </si>
  <si>
    <t>777,27</t>
  </si>
  <si>
    <t>82,95%</t>
  </si>
  <si>
    <t>83,08%</t>
  </si>
  <si>
    <t>83,21%</t>
  </si>
  <si>
    <t>83,34%</t>
  </si>
  <si>
    <t>83,47%</t>
  </si>
  <si>
    <t>83,59%</t>
  </si>
  <si>
    <t>13,2500000</t>
  </si>
  <si>
    <t>710,07</t>
  </si>
  <si>
    <t>83,72%</t>
  </si>
  <si>
    <t>83,84%</t>
  </si>
  <si>
    <t>685,83</t>
  </si>
  <si>
    <t>83,96%</t>
  </si>
  <si>
    <t>84,07%</t>
  </si>
  <si>
    <t>84,19%</t>
  </si>
  <si>
    <t>995,3983000</t>
  </si>
  <si>
    <t>666,92</t>
  </si>
  <si>
    <t>84,30%</t>
  </si>
  <si>
    <t>84,42%</t>
  </si>
  <si>
    <t>84,53%</t>
  </si>
  <si>
    <t>84,64%</t>
  </si>
  <si>
    <t>84,76%</t>
  </si>
  <si>
    <t xml:space="preserve"> B.06.000.021525 </t>
  </si>
  <si>
    <t>Aço CA-50-A $MD bitolas</t>
  </si>
  <si>
    <t>104,0000000</t>
  </si>
  <si>
    <t>6,22</t>
  </si>
  <si>
    <t>646,88</t>
  </si>
  <si>
    <t>84,87%</t>
  </si>
  <si>
    <t>84,98%</t>
  </si>
  <si>
    <t>85,09%</t>
  </si>
  <si>
    <t>85,20%</t>
  </si>
  <si>
    <t>85,30%</t>
  </si>
  <si>
    <t>85,41%</t>
  </si>
  <si>
    <t>366,0591240</t>
  </si>
  <si>
    <t>614,98</t>
  </si>
  <si>
    <t>605,04</t>
  </si>
  <si>
    <t>85,62%</t>
  </si>
  <si>
    <t>85,72%</t>
  </si>
  <si>
    <t>597,99</t>
  </si>
  <si>
    <t>85,82%</t>
  </si>
  <si>
    <t>596,40</t>
  </si>
  <si>
    <t>85,93%</t>
  </si>
  <si>
    <t>86,03%</t>
  </si>
  <si>
    <t>86,13%</t>
  </si>
  <si>
    <t>86,23%</t>
  </si>
  <si>
    <t>86,33%</t>
  </si>
  <si>
    <t>20,1750000</t>
  </si>
  <si>
    <t>571,96</t>
  </si>
  <si>
    <t>86,53%</t>
  </si>
  <si>
    <t>86,62%</t>
  </si>
  <si>
    <t>86,71%</t>
  </si>
  <si>
    <t>86,80%</t>
  </si>
  <si>
    <t>86,89%</t>
  </si>
  <si>
    <t>86,98%</t>
  </si>
  <si>
    <t>87,06%</t>
  </si>
  <si>
    <t>499,99</t>
  </si>
  <si>
    <t>87,15%</t>
  </si>
  <si>
    <t>87,23%</t>
  </si>
  <si>
    <t>87,31%</t>
  </si>
  <si>
    <t>87,39%</t>
  </si>
  <si>
    <t xml:space="preserve"> 2.02.76 </t>
  </si>
  <si>
    <t>EXECUÇÃO DE ESTACA RAIZ DN=400MM PERFURAÇÃO EM SOLO</t>
  </si>
  <si>
    <t>456,24</t>
  </si>
  <si>
    <t>87,55%</t>
  </si>
  <si>
    <t>0,5473000</t>
  </si>
  <si>
    <t>454,83</t>
  </si>
  <si>
    <t>87,63%</t>
  </si>
  <si>
    <t>451,22</t>
  </si>
  <si>
    <t>87,70%</t>
  </si>
  <si>
    <t>87,78%</t>
  </si>
  <si>
    <t xml:space="preserve"> B.01.000.010121 </t>
  </si>
  <si>
    <t>Ferreiro/armador</t>
  </si>
  <si>
    <t>15,8880000</t>
  </si>
  <si>
    <t>439,14</t>
  </si>
  <si>
    <t>87,93%</t>
  </si>
  <si>
    <t>88,01%</t>
  </si>
  <si>
    <t>88,08%</t>
  </si>
  <si>
    <t>88,16%</t>
  </si>
  <si>
    <t>431,37</t>
  </si>
  <si>
    <t>88,30%</t>
  </si>
  <si>
    <t>88,38%</t>
  </si>
  <si>
    <t>88,45%</t>
  </si>
  <si>
    <t>0,7600000</t>
  </si>
  <si>
    <t>408,50</t>
  </si>
  <si>
    <t>88,52%</t>
  </si>
  <si>
    <t>88,59%</t>
  </si>
  <si>
    <t>1,8000000</t>
  </si>
  <si>
    <t>406,94</t>
  </si>
  <si>
    <t>88,66%</t>
  </si>
  <si>
    <t xml:space="preserve"> S.01.000.080351 </t>
  </si>
  <si>
    <t>Guindauto MUNCK M-640/18 com lança telescópica capacidade 3750 kg</t>
  </si>
  <si>
    <t>254,28</t>
  </si>
  <si>
    <t>406,85</t>
  </si>
  <si>
    <t>88,73%</t>
  </si>
  <si>
    <t xml:space="preserve"> MATED-29745 </t>
  </si>
  <si>
    <t>CESTA BÁSICA/ALIMENTAÇÃO - MENSALISTA (ENCARGOS COMPLEMENTARES)</t>
  </si>
  <si>
    <t>402,54</t>
  </si>
  <si>
    <t>88,87%</t>
  </si>
  <si>
    <t>88,94%</t>
  </si>
  <si>
    <t>89,01%</t>
  </si>
  <si>
    <t>2,2992000</t>
  </si>
  <si>
    <t>392,52</t>
  </si>
  <si>
    <t>89,07%</t>
  </si>
  <si>
    <t>89,14%</t>
  </si>
  <si>
    <t>89,21%</t>
  </si>
  <si>
    <t>6,8504000</t>
  </si>
  <si>
    <t>383,96</t>
  </si>
  <si>
    <t>89,34%</t>
  </si>
  <si>
    <t>89,40%</t>
  </si>
  <si>
    <t>188,59</t>
  </si>
  <si>
    <t>377,18</t>
  </si>
  <si>
    <t>89,47%</t>
  </si>
  <si>
    <t>89,53%</t>
  </si>
  <si>
    <t>89,60%</t>
  </si>
  <si>
    <t>89,66%</t>
  </si>
  <si>
    <t>89,73%</t>
  </si>
  <si>
    <t>89,79%</t>
  </si>
  <si>
    <t>361,04</t>
  </si>
  <si>
    <t>90,04%</t>
  </si>
  <si>
    <t>90,10%</t>
  </si>
  <si>
    <t>350,78</t>
  </si>
  <si>
    <t>90,16%</t>
  </si>
  <si>
    <t>90,22%</t>
  </si>
  <si>
    <t>90,28%</t>
  </si>
  <si>
    <t>13,5930272</t>
  </si>
  <si>
    <t>339,28</t>
  </si>
  <si>
    <t>90,34%</t>
  </si>
  <si>
    <t>90,39%</t>
  </si>
  <si>
    <t>90,50%</t>
  </si>
  <si>
    <t>65,00</t>
  </si>
  <si>
    <t>325,00</t>
  </si>
  <si>
    <t>90,56%</t>
  </si>
  <si>
    <t>90,62%</t>
  </si>
  <si>
    <t>90,67%</t>
  </si>
  <si>
    <t>90,73%</t>
  </si>
  <si>
    <t>319,36</t>
  </si>
  <si>
    <t>90,78%</t>
  </si>
  <si>
    <t xml:space="preserve"> E.08.000.026210 </t>
  </si>
  <si>
    <t>Placa de alumínio composto "ACM", espessura de 4 mm, acabamento em PVDF, uso externo/interno</t>
  </si>
  <si>
    <t>1,3000000</t>
  </si>
  <si>
    <t>242,13</t>
  </si>
  <si>
    <t>314,77</t>
  </si>
  <si>
    <t>90,84%</t>
  </si>
  <si>
    <t>90,89%</t>
  </si>
  <si>
    <t>148,36</t>
  </si>
  <si>
    <t>296,72</t>
  </si>
  <si>
    <t>90,99%</t>
  </si>
  <si>
    <t>91,04%</t>
  </si>
  <si>
    <t>91,09%</t>
  </si>
  <si>
    <t>91,14%</t>
  </si>
  <si>
    <t>91,19%</t>
  </si>
  <si>
    <t>91,24%</t>
  </si>
  <si>
    <t xml:space="preserve"> B.01.000.010122 </t>
  </si>
  <si>
    <t>Ajudante de ferreiro</t>
  </si>
  <si>
    <t>12,7160000</t>
  </si>
  <si>
    <t>288,78</t>
  </si>
  <si>
    <t>91,34%</t>
  </si>
  <si>
    <t>91,39%</t>
  </si>
  <si>
    <t>286,19</t>
  </si>
  <si>
    <t>91,44%</t>
  </si>
  <si>
    <t>280,00</t>
  </si>
  <si>
    <t>91,49%</t>
  </si>
  <si>
    <t>91,54%</t>
  </si>
  <si>
    <t xml:space="preserve"> 008270 </t>
  </si>
  <si>
    <t>PORTA INTERNA SEMI OCA PARA PINTURA (60/70cm)</t>
  </si>
  <si>
    <t>139,00</t>
  </si>
  <si>
    <t>278,00</t>
  </si>
  <si>
    <t>91,59%</t>
  </si>
  <si>
    <t>138,73</t>
  </si>
  <si>
    <t>277,46</t>
  </si>
  <si>
    <t>91,63%</t>
  </si>
  <si>
    <t>91,68%</t>
  </si>
  <si>
    <t xml:space="preserve"> MATED-14623 </t>
  </si>
  <si>
    <t>EXAMES - MENSALISTA (ENCARGOS COMPLEMENTARES)</t>
  </si>
  <si>
    <t>262,29</t>
  </si>
  <si>
    <t>91,72%</t>
  </si>
  <si>
    <t>91,77%</t>
  </si>
  <si>
    <t>91,81%</t>
  </si>
  <si>
    <t>141,5341688</t>
  </si>
  <si>
    <t>253,35</t>
  </si>
  <si>
    <t>91,86%</t>
  </si>
  <si>
    <t>12,6360000</t>
  </si>
  <si>
    <t>252,34</t>
  </si>
  <si>
    <t>91,90%</t>
  </si>
  <si>
    <t>91,94%</t>
  </si>
  <si>
    <t>91,99%</t>
  </si>
  <si>
    <t>92,07%</t>
  </si>
  <si>
    <t>8,5050000</t>
  </si>
  <si>
    <t>241,12</t>
  </si>
  <si>
    <t>92,11%</t>
  </si>
  <si>
    <t>92,15%</t>
  </si>
  <si>
    <t>92,20%</t>
  </si>
  <si>
    <t>10,5099000</t>
  </si>
  <si>
    <t>238,68</t>
  </si>
  <si>
    <t>92,24%</t>
  </si>
  <si>
    <t>235,86</t>
  </si>
  <si>
    <t>92,28%</t>
  </si>
  <si>
    <t>92,40%</t>
  </si>
  <si>
    <t>202,01</t>
  </si>
  <si>
    <t>232,31</t>
  </si>
  <si>
    <t>92,44%</t>
  </si>
  <si>
    <t>92,48%</t>
  </si>
  <si>
    <t>92,52%</t>
  </si>
  <si>
    <t>8,3265000</t>
  </si>
  <si>
    <t>230,14</t>
  </si>
  <si>
    <t>92,56%</t>
  </si>
  <si>
    <t>92,60%</t>
  </si>
  <si>
    <t>92,64%</t>
  </si>
  <si>
    <t>225,22</t>
  </si>
  <si>
    <t>224,45</t>
  </si>
  <si>
    <t>92,87%</t>
  </si>
  <si>
    <t>221,95</t>
  </si>
  <si>
    <t>92,90%</t>
  </si>
  <si>
    <t>221,44</t>
  </si>
  <si>
    <t>92,94%</t>
  </si>
  <si>
    <t>92,98%</t>
  </si>
  <si>
    <t>93,02%</t>
  </si>
  <si>
    <t>93,06%</t>
  </si>
  <si>
    <t xml:space="preserve"> S.01.000.080258 </t>
  </si>
  <si>
    <t>Caminhão carroceria em madeira, capacidade até 8 toneladas</t>
  </si>
  <si>
    <t>221,82</t>
  </si>
  <si>
    <t>217,38</t>
  </si>
  <si>
    <t>93,09%</t>
  </si>
  <si>
    <t>93,13%</t>
  </si>
  <si>
    <t>93,17%</t>
  </si>
  <si>
    <t xml:space="preserve"> 014241 </t>
  </si>
  <si>
    <t>FERRAGEM - DOBRADICA VAI-E-VEM 3"" METAL CROMADO UNIAO MUNDIAL</t>
  </si>
  <si>
    <t>104,90</t>
  </si>
  <si>
    <t>209,80</t>
  </si>
  <si>
    <t>93,27%</t>
  </si>
  <si>
    <t>93,34%</t>
  </si>
  <si>
    <t>93,38%</t>
  </si>
  <si>
    <t>93,42%</t>
  </si>
  <si>
    <t>93,45%</t>
  </si>
  <si>
    <t>93,49%</t>
  </si>
  <si>
    <t>93,52%</t>
  </si>
  <si>
    <t>8,3402109</t>
  </si>
  <si>
    <t>201,67</t>
  </si>
  <si>
    <t>93,55%</t>
  </si>
  <si>
    <t>93,59%</t>
  </si>
  <si>
    <t>93,66%</t>
  </si>
  <si>
    <t>198,87</t>
  </si>
  <si>
    <t>93,79%</t>
  </si>
  <si>
    <t>195,57</t>
  </si>
  <si>
    <t xml:space="preserve"> 040393 </t>
  </si>
  <si>
    <t>ACESSIBILIDADE - BARRA DE APOIO PARA BANHEIRO ALUMINIO POLIDO 40cm + PARAFUSOS</t>
  </si>
  <si>
    <t>97,68</t>
  </si>
  <si>
    <t>195,36</t>
  </si>
  <si>
    <t>93,86%</t>
  </si>
  <si>
    <t>93,89%</t>
  </si>
  <si>
    <t>93,93%</t>
  </si>
  <si>
    <t>93,96%</t>
  </si>
  <si>
    <t>93,99%</t>
  </si>
  <si>
    <t>94,03%</t>
  </si>
  <si>
    <t>94,06%</t>
  </si>
  <si>
    <t>94,09%</t>
  </si>
  <si>
    <t>190,00</t>
  </si>
  <si>
    <t>94,13%</t>
  </si>
  <si>
    <t>189,52</t>
  </si>
  <si>
    <t>94,16%</t>
  </si>
  <si>
    <t>94,19%</t>
  </si>
  <si>
    <t>94,29%</t>
  </si>
  <si>
    <t>7,8111118</t>
  </si>
  <si>
    <t>185,05</t>
  </si>
  <si>
    <t>182,80</t>
  </si>
  <si>
    <t>94,41%</t>
  </si>
  <si>
    <t>94,44%</t>
  </si>
  <si>
    <t>4,9575000</t>
  </si>
  <si>
    <t>178,77</t>
  </si>
  <si>
    <t>94,47%</t>
  </si>
  <si>
    <t>94,50%</t>
  </si>
  <si>
    <t xml:space="preserve"> 005074 </t>
  </si>
  <si>
    <t>PISO ALTA RESISTENCIA GRANIDUR GT-DHUR 40x40cm</t>
  </si>
  <si>
    <t>165,00</t>
  </si>
  <si>
    <t>173,25</t>
  </si>
  <si>
    <t>94,53%</t>
  </si>
  <si>
    <t>94,56%</t>
  </si>
  <si>
    <t>94,59%</t>
  </si>
  <si>
    <t>94,62%</t>
  </si>
  <si>
    <t>94,65%</t>
  </si>
  <si>
    <t>94,68%</t>
  </si>
  <si>
    <t>94,71%</t>
  </si>
  <si>
    <t>94,74%</t>
  </si>
  <si>
    <t>24,0436000</t>
  </si>
  <si>
    <t>157,73</t>
  </si>
  <si>
    <t>6,9100000</t>
  </si>
  <si>
    <t>157,27</t>
  </si>
  <si>
    <t>94,84%</t>
  </si>
  <si>
    <t>16,8672000</t>
  </si>
  <si>
    <t>155,85</t>
  </si>
  <si>
    <t>4,6210181</t>
  </si>
  <si>
    <t>152,68</t>
  </si>
  <si>
    <t>94,92%</t>
  </si>
  <si>
    <t>94,95%</t>
  </si>
  <si>
    <t>88,5736077</t>
  </si>
  <si>
    <t>151,46</t>
  </si>
  <si>
    <t>94,98%</t>
  </si>
  <si>
    <t>150,53</t>
  </si>
  <si>
    <t>95,00%</t>
  </si>
  <si>
    <t>95,03%</t>
  </si>
  <si>
    <t xml:space="preserve"> MATED-21746 </t>
  </si>
  <si>
    <t>EPI PARA FAMÍLIA ENGENHEIRO CIVIL - MENSALISTA (ENCARGOS COMPLEMENTARES)</t>
  </si>
  <si>
    <t>149,43</t>
  </si>
  <si>
    <t>95,05%</t>
  </si>
  <si>
    <t>95,08%</t>
  </si>
  <si>
    <t>146,00</t>
  </si>
  <si>
    <t>95,13%</t>
  </si>
  <si>
    <t>4,8048861</t>
  </si>
  <si>
    <t>145,59</t>
  </si>
  <si>
    <t>145,13</t>
  </si>
  <si>
    <t>95,25%</t>
  </si>
  <si>
    <t>95,30%</t>
  </si>
  <si>
    <t>95,35%</t>
  </si>
  <si>
    <t>95,40%</t>
  </si>
  <si>
    <t>95,42%</t>
  </si>
  <si>
    <t>95,45%</t>
  </si>
  <si>
    <t>95,47%</t>
  </si>
  <si>
    <t>14,31</t>
  </si>
  <si>
    <t>134,16</t>
  </si>
  <si>
    <t>95,49%</t>
  </si>
  <si>
    <t xml:space="preserve"> 001150 </t>
  </si>
  <si>
    <t>GRANILITE/GRANITINA/MARMORITE BRANCO</t>
  </si>
  <si>
    <t>130,35</t>
  </si>
  <si>
    <t>95,52%</t>
  </si>
  <si>
    <t>95,54%</t>
  </si>
  <si>
    <t>95,56%</t>
  </si>
  <si>
    <t>95,58%</t>
  </si>
  <si>
    <t>127,80</t>
  </si>
  <si>
    <t>95,63%</t>
  </si>
  <si>
    <t>127,13</t>
  </si>
  <si>
    <t>95,65%</t>
  </si>
  <si>
    <t>26,7380000</t>
  </si>
  <si>
    <t>127,01</t>
  </si>
  <si>
    <t>95,75%</t>
  </si>
  <si>
    <t>3,7760788</t>
  </si>
  <si>
    <t>122,34</t>
  </si>
  <si>
    <t>95,86%</t>
  </si>
  <si>
    <t>95,88%</t>
  </si>
  <si>
    <t>120,92</t>
  </si>
  <si>
    <t>95,90%</t>
  </si>
  <si>
    <t>120,54</t>
  </si>
  <si>
    <t>95,92%</t>
  </si>
  <si>
    <t>120,45</t>
  </si>
  <si>
    <t>95,94%</t>
  </si>
  <si>
    <t>95,96%</t>
  </si>
  <si>
    <t>95,98%</t>
  </si>
  <si>
    <t>96,03%</t>
  </si>
  <si>
    <t>96,05%</t>
  </si>
  <si>
    <t>96,07%</t>
  </si>
  <si>
    <t>96,09%</t>
  </si>
  <si>
    <t>96,11%</t>
  </si>
  <si>
    <t>96,13%</t>
  </si>
  <si>
    <t>96,15%</t>
  </si>
  <si>
    <t>96,17%</t>
  </si>
  <si>
    <t>115,07</t>
  </si>
  <si>
    <t>96,19%</t>
  </si>
  <si>
    <t xml:space="preserve"> 2.05.08 </t>
  </si>
  <si>
    <t>CIMENTO</t>
  </si>
  <si>
    <t>168,0000000</t>
  </si>
  <si>
    <t>112,56</t>
  </si>
  <si>
    <t>2,4834500</t>
  </si>
  <si>
    <t>108,60</t>
  </si>
  <si>
    <t>3,9481434</t>
  </si>
  <si>
    <t>106,44</t>
  </si>
  <si>
    <t>96,39%</t>
  </si>
  <si>
    <t>96,41%</t>
  </si>
  <si>
    <t>96,43%</t>
  </si>
  <si>
    <t>96,45%</t>
  </si>
  <si>
    <t>96,47%</t>
  </si>
  <si>
    <t>96,52%</t>
  </si>
  <si>
    <t>102,50</t>
  </si>
  <si>
    <t>96,54%</t>
  </si>
  <si>
    <t>26,76</t>
  </si>
  <si>
    <t>101,69</t>
  </si>
  <si>
    <t xml:space="preserve"> 01998 </t>
  </si>
  <si>
    <t>MAO-DE-OBRA DE ARMADOR DE CONCRETO ARMAD O, INCLUSIVE ENCARGOS SOCIAIS</t>
  </si>
  <si>
    <t>3,2000000</t>
  </si>
  <si>
    <t>98,53</t>
  </si>
  <si>
    <t xml:space="preserve"> B.01.000.020121 </t>
  </si>
  <si>
    <t>Projetista pleno - nível técnico</t>
  </si>
  <si>
    <t>123,08</t>
  </si>
  <si>
    <t>98,46</t>
  </si>
  <si>
    <t>96,69%</t>
  </si>
  <si>
    <t>96,74%</t>
  </si>
  <si>
    <t>96,76%</t>
  </si>
  <si>
    <t>96,79%</t>
  </si>
  <si>
    <t>96,81%</t>
  </si>
  <si>
    <t>96,83%</t>
  </si>
  <si>
    <t>96,86%</t>
  </si>
  <si>
    <t>96,91%</t>
  </si>
  <si>
    <t>132,2160000</t>
  </si>
  <si>
    <t>93,87</t>
  </si>
  <si>
    <t>96,96%</t>
  </si>
  <si>
    <t>97,03%</t>
  </si>
  <si>
    <t>6,3900000</t>
  </si>
  <si>
    <t>88,31</t>
  </si>
  <si>
    <t>97,06%</t>
  </si>
  <si>
    <t xml:space="preserve"> S.03.000.026616 </t>
  </si>
  <si>
    <t>Cantoneira em alumínio</t>
  </si>
  <si>
    <t>2,4835000</t>
  </si>
  <si>
    <t>35,23</t>
  </si>
  <si>
    <t>87,49</t>
  </si>
  <si>
    <t>97,09%</t>
  </si>
  <si>
    <t>97,11%</t>
  </si>
  <si>
    <t>97,14%</t>
  </si>
  <si>
    <t>17,11</t>
  </si>
  <si>
    <t>85,55</t>
  </si>
  <si>
    <t>97,17%</t>
  </si>
  <si>
    <t>97,20%</t>
  </si>
  <si>
    <t>97,23%</t>
  </si>
  <si>
    <t>97,26%</t>
  </si>
  <si>
    <t>97,31%</t>
  </si>
  <si>
    <t>82,01</t>
  </si>
  <si>
    <t>97,34%</t>
  </si>
  <si>
    <t>97,37%</t>
  </si>
  <si>
    <t xml:space="preserve"> B.01.000.020122 </t>
  </si>
  <si>
    <t>Desenhista pleno/cadista</t>
  </si>
  <si>
    <t>1,4000000</t>
  </si>
  <si>
    <t>56,99</t>
  </si>
  <si>
    <t>79,79</t>
  </si>
  <si>
    <t>79,26</t>
  </si>
  <si>
    <t>97,41%</t>
  </si>
  <si>
    <t>97,44%</t>
  </si>
  <si>
    <t>97,51%</t>
  </si>
  <si>
    <t>97,54%</t>
  </si>
  <si>
    <t>76,35</t>
  </si>
  <si>
    <t xml:space="preserve"> B.06.000.021538 </t>
  </si>
  <si>
    <t>Aço CA-60-B $MD bitolas</t>
  </si>
  <si>
    <t>6,81</t>
  </si>
  <si>
    <t>74,91</t>
  </si>
  <si>
    <t>97,58%</t>
  </si>
  <si>
    <t xml:space="preserve"> C.04.000.020530 </t>
  </si>
  <si>
    <t>Concreto usinado fck= 15 MPa, slump 5 ± 1cm</t>
  </si>
  <si>
    <t>0,1666000</t>
  </si>
  <si>
    <t>448,27</t>
  </si>
  <si>
    <t>74,68</t>
  </si>
  <si>
    <t>97,61%</t>
  </si>
  <si>
    <t>97,65%</t>
  </si>
  <si>
    <t>97,70%</t>
  </si>
  <si>
    <t>1,4064000</t>
  </si>
  <si>
    <t>69,73</t>
  </si>
  <si>
    <t>97,74%</t>
  </si>
  <si>
    <t>3,1447500</t>
  </si>
  <si>
    <t>67,36</t>
  </si>
  <si>
    <t>97,79%</t>
  </si>
  <si>
    <t>33,32</t>
  </si>
  <si>
    <t>97,85%</t>
  </si>
  <si>
    <t xml:space="preserve"> E.03.000.026771 </t>
  </si>
  <si>
    <t>Rebites de ferro zincado n° 8, comprimento de 6,10 mm, diâmetro nominal de 3 mm</t>
  </si>
  <si>
    <t>1,5054000</t>
  </si>
  <si>
    <t>43,66</t>
  </si>
  <si>
    <t>65,73</t>
  </si>
  <si>
    <t>65,23</t>
  </si>
  <si>
    <t>97,92%</t>
  </si>
  <si>
    <t>64,94</t>
  </si>
  <si>
    <t>46,7505492</t>
  </si>
  <si>
    <t>63,58</t>
  </si>
  <si>
    <t>98,01%</t>
  </si>
  <si>
    <t>20,47</t>
  </si>
  <si>
    <t>61,41</t>
  </si>
  <si>
    <t>60,88</t>
  </si>
  <si>
    <t>30,22</t>
  </si>
  <si>
    <t>60,44</t>
  </si>
  <si>
    <t>60,37</t>
  </si>
  <si>
    <t>98,14%</t>
  </si>
  <si>
    <t>139,30</t>
  </si>
  <si>
    <t>59,17</t>
  </si>
  <si>
    <t>58,80</t>
  </si>
  <si>
    <t>7,4700000</t>
  </si>
  <si>
    <t>58,42</t>
  </si>
  <si>
    <t>160,83</t>
  </si>
  <si>
    <t>57,90</t>
  </si>
  <si>
    <t>56,72</t>
  </si>
  <si>
    <t>56,69</t>
  </si>
  <si>
    <t>55,08</t>
  </si>
  <si>
    <t xml:space="preserve"> E.05.000.026702 </t>
  </si>
  <si>
    <t>Insert maciço com furo inferior para ancoragem, carga de trabalho 3.000 kg; ref. TS24 da Trejor ou equivalente</t>
  </si>
  <si>
    <t>27,27</t>
  </si>
  <si>
    <t>54,54</t>
  </si>
  <si>
    <t>54,18</t>
  </si>
  <si>
    <t>48,7313930</t>
  </si>
  <si>
    <t>52,14</t>
  </si>
  <si>
    <t>51,47</t>
  </si>
  <si>
    <t>140,04</t>
  </si>
  <si>
    <t>50,41</t>
  </si>
  <si>
    <t xml:space="preserve"> 00037103 </t>
  </si>
  <si>
    <t>BLOCO DE VEDACAO DE CONCRETO APARENTE 14 X 19 X 39 CM (CLASSE C - NBR 6136)</t>
  </si>
  <si>
    <t>13,6000000</t>
  </si>
  <si>
    <t>3,69</t>
  </si>
  <si>
    <t>50,18</t>
  </si>
  <si>
    <t>0,4000000</t>
  </si>
  <si>
    <t>48,82</t>
  </si>
  <si>
    <t xml:space="preserve"> 2.05.03 </t>
  </si>
  <si>
    <t>AREIA</t>
  </si>
  <si>
    <t>0,2734000</t>
  </si>
  <si>
    <t>176,64</t>
  </si>
  <si>
    <t>48,29</t>
  </si>
  <si>
    <t>47,72</t>
  </si>
  <si>
    <t>1,8708958</t>
  </si>
  <si>
    <t>43,61</t>
  </si>
  <si>
    <t>40,35</t>
  </si>
  <si>
    <t>39,90</t>
  </si>
  <si>
    <t xml:space="preserve"> 00034599 </t>
  </si>
  <si>
    <t>BLOCO DE VEDACAO CONCRETO APARENTE 9 X 19 X 39 CM (CLASSE C - NBR 6136)</t>
  </si>
  <si>
    <t>2,89</t>
  </si>
  <si>
    <t>39,30</t>
  </si>
  <si>
    <t>38,0000000</t>
  </si>
  <si>
    <t>38,00</t>
  </si>
  <si>
    <t>1,6300000</t>
  </si>
  <si>
    <t>22,89</t>
  </si>
  <si>
    <t>37,31</t>
  </si>
  <si>
    <t>499,18</t>
  </si>
  <si>
    <t>37,04</t>
  </si>
  <si>
    <t>27,8153575</t>
  </si>
  <si>
    <t>35,60</t>
  </si>
  <si>
    <t>6,0980000</t>
  </si>
  <si>
    <t>35,25</t>
  </si>
  <si>
    <t>1,1186000</t>
  </si>
  <si>
    <t xml:space="preserve"> E.02.000.027010 </t>
  </si>
  <si>
    <t>Arame recozido nº 18 BWG</t>
  </si>
  <si>
    <t>2,7100000</t>
  </si>
  <si>
    <t>12,66</t>
  </si>
  <si>
    <t>2,98</t>
  </si>
  <si>
    <t>32,78</t>
  </si>
  <si>
    <t xml:space="preserve"> 01382 </t>
  </si>
  <si>
    <t>CORDOALHA DE 8,0MM, CP-190 RB, CONFORME ABNT NBR 7483</t>
  </si>
  <si>
    <t>9,78</t>
  </si>
  <si>
    <t>31,30</t>
  </si>
  <si>
    <t>3,5774000</t>
  </si>
  <si>
    <t>29,66</t>
  </si>
  <si>
    <t>437,11</t>
  </si>
  <si>
    <t>10,5172000</t>
  </si>
  <si>
    <t>29,03</t>
  </si>
  <si>
    <t xml:space="preserve"> 00003412 </t>
  </si>
  <si>
    <t>PAINEL DE LA DE VIDRO SEM REVESTIMENTO PSI 20, E = 25 MM, DE 1200 X 600 MM</t>
  </si>
  <si>
    <t>26,31</t>
  </si>
  <si>
    <t>0,8829000</t>
  </si>
  <si>
    <t>28,62</t>
  </si>
  <si>
    <t>28,18</t>
  </si>
  <si>
    <t>1,6372000</t>
  </si>
  <si>
    <t>27,83</t>
  </si>
  <si>
    <t xml:space="preserve"> 099100 </t>
  </si>
  <si>
    <t>LADRILHEIRO</t>
  </si>
  <si>
    <t>0,9030000</t>
  </si>
  <si>
    <t>0,94</t>
  </si>
  <si>
    <t>27,26</t>
  </si>
  <si>
    <t>643,50</t>
  </si>
  <si>
    <t>26,81</t>
  </si>
  <si>
    <t xml:space="preserve"> B.01.000.020118 </t>
  </si>
  <si>
    <t>Engenheiro senior de civil</t>
  </si>
  <si>
    <t>223,07</t>
  </si>
  <si>
    <t>26,77</t>
  </si>
  <si>
    <t xml:space="preserve"> B.01.000.020115 </t>
  </si>
  <si>
    <t>Engenheiro junior de civil</t>
  </si>
  <si>
    <t>133,06</t>
  </si>
  <si>
    <t>26,61</t>
  </si>
  <si>
    <t xml:space="preserve"> D.03.000.021032 </t>
  </si>
  <si>
    <t>Chapa compensada cola PVA resinada de 12mm (2,20 x 1,10)m</t>
  </si>
  <si>
    <t>0,9200000</t>
  </si>
  <si>
    <t>26,20</t>
  </si>
  <si>
    <t>25,77</t>
  </si>
  <si>
    <t>0,1128000</t>
  </si>
  <si>
    <t>24,80</t>
  </si>
  <si>
    <t>22,40</t>
  </si>
  <si>
    <t>23,59</t>
  </si>
  <si>
    <t>11,57</t>
  </si>
  <si>
    <t>23,14</t>
  </si>
  <si>
    <t>0,2160000</t>
  </si>
  <si>
    <t>22,98</t>
  </si>
  <si>
    <t xml:space="preserve"> B.01.000.020112 </t>
  </si>
  <si>
    <t>Coordenador de projetos</t>
  </si>
  <si>
    <t>378,43</t>
  </si>
  <si>
    <t>2,1900000</t>
  </si>
  <si>
    <t>21,68</t>
  </si>
  <si>
    <t>21,10</t>
  </si>
  <si>
    <t>2,7200000</t>
  </si>
  <si>
    <t>19,83</t>
  </si>
  <si>
    <t xml:space="preserve"> 099780 </t>
  </si>
  <si>
    <t>AJUDANTE ESPECIALIZADO - LADRILHEIRO</t>
  </si>
  <si>
    <t>19,50</t>
  </si>
  <si>
    <t>18,51</t>
  </si>
  <si>
    <t>18,39</t>
  </si>
  <si>
    <t xml:space="preserve"> MATED-21748 </t>
  </si>
  <si>
    <t>SEGURO - MENSALISTA (ENCARGOS COMPLEMENTARES)</t>
  </si>
  <si>
    <t>0,4600000</t>
  </si>
  <si>
    <t>18,14</t>
  </si>
  <si>
    <t>161,47</t>
  </si>
  <si>
    <t>17,76</t>
  </si>
  <si>
    <t xml:space="preserve"> MOD902200 </t>
  </si>
  <si>
    <t>Pintor - servico completo de pintura, desde o emassamento ate as demaos de acabamento (inclusive encargos sociais e encargos complementares). (desonerado)</t>
  </si>
  <si>
    <t>17,52</t>
  </si>
  <si>
    <t xml:space="preserve"> 000760 </t>
  </si>
  <si>
    <t>VIDRO LISO INCOLOR 4mm</t>
  </si>
  <si>
    <t>139,50</t>
  </si>
  <si>
    <t>16,74</t>
  </si>
  <si>
    <t>0,1980000</t>
  </si>
  <si>
    <t xml:space="preserve"> B.05.000.020518 </t>
  </si>
  <si>
    <t>Pedra britada nº médios 1.2.3 e 4 (a granel)</t>
  </si>
  <si>
    <t>0,1040000</t>
  </si>
  <si>
    <t>156,23</t>
  </si>
  <si>
    <t>16,25</t>
  </si>
  <si>
    <t>28,06</t>
  </si>
  <si>
    <t>15,99</t>
  </si>
  <si>
    <t xml:space="preserve"> 008233 </t>
  </si>
  <si>
    <t>ARGAMASSA PRONTA ACIII INTERNO/EXTERNO CINZA VOTOMASSA</t>
  </si>
  <si>
    <t>17,0000000</t>
  </si>
  <si>
    <t>15,98</t>
  </si>
  <si>
    <t xml:space="preserve"> 008766 </t>
  </si>
  <si>
    <t>PEDRA BRITADA #1</t>
  </si>
  <si>
    <t>15,92</t>
  </si>
  <si>
    <t>0,0598000</t>
  </si>
  <si>
    <t>15,52</t>
  </si>
  <si>
    <t>4,3912000</t>
  </si>
  <si>
    <t>15,19</t>
  </si>
  <si>
    <t>22,8166000</t>
  </si>
  <si>
    <t>13,92</t>
  </si>
  <si>
    <t>0,5680000</t>
  </si>
  <si>
    <t>13,19</t>
  </si>
  <si>
    <t xml:space="preserve"> 062035 </t>
  </si>
  <si>
    <t>ESPACADOR BELGO TIPO TRELICA - 6 cm x 6,00 m ARCELOR MITAL</t>
  </si>
  <si>
    <t>0,1400000</t>
  </si>
  <si>
    <t>92,90</t>
  </si>
  <si>
    <t>13,01</t>
  </si>
  <si>
    <t>12,20</t>
  </si>
  <si>
    <t>12,81</t>
  </si>
  <si>
    <t xml:space="preserve"> MAT137000 </t>
  </si>
  <si>
    <t>Tinta Lagoline 039/3028, International ou similar</t>
  </si>
  <si>
    <t>gl</t>
  </si>
  <si>
    <t>169,00</t>
  </si>
  <si>
    <t>11,83</t>
  </si>
  <si>
    <t>11,28</t>
  </si>
  <si>
    <t xml:space="preserve"> 099804 </t>
  </si>
  <si>
    <t>AJUDANTE DE PINTOR</t>
  </si>
  <si>
    <t>0,5200000</t>
  </si>
  <si>
    <t>11,23</t>
  </si>
  <si>
    <t>55,09</t>
  </si>
  <si>
    <t>11,07</t>
  </si>
  <si>
    <t xml:space="preserve"> 027926 </t>
  </si>
  <si>
    <t>TELA ELETROSOLDADA NERVURADA Q-138 10x10cm 4,2mm(2,20kg/m2)</t>
  </si>
  <si>
    <t>21,54</t>
  </si>
  <si>
    <t>10,77</t>
  </si>
  <si>
    <t>40,3736000</t>
  </si>
  <si>
    <t>10,50</t>
  </si>
  <si>
    <t>0,4685831</t>
  </si>
  <si>
    <t>9,92</t>
  </si>
  <si>
    <t>10,42</t>
  </si>
  <si>
    <t>80,7472000</t>
  </si>
  <si>
    <t>9,69</t>
  </si>
  <si>
    <t>41,8130000</t>
  </si>
  <si>
    <t>8,78</t>
  </si>
  <si>
    <t>8,66</t>
  </si>
  <si>
    <t xml:space="preserve"> MAT138450 </t>
  </si>
  <si>
    <t>Tinta - Zarcao secagem rapida, 078/0033, International ou similar</t>
  </si>
  <si>
    <t>0,0500000</t>
  </si>
  <si>
    <t>172,00</t>
  </si>
  <si>
    <t>8,60</t>
  </si>
  <si>
    <t xml:space="preserve"> 00039507 </t>
  </si>
  <si>
    <t>TELA DE ACO SOLDADA NERVURADA, CA-60, Q-113, (1,8 KG/M2), DIAMETRO DO FIO = 3,8 MM, LARGURA = 2,45 M, ESPACAMENTO DA MALHA = 10 X 10 CM</t>
  </si>
  <si>
    <t>0,6780000</t>
  </si>
  <si>
    <t>12,63</t>
  </si>
  <si>
    <t>8,56</t>
  </si>
  <si>
    <t>8,15</t>
  </si>
  <si>
    <t>7,70</t>
  </si>
  <si>
    <t>115,00</t>
  </si>
  <si>
    <t>0,2840000</t>
  </si>
  <si>
    <t>6,13</t>
  </si>
  <si>
    <t xml:space="preserve"> 02614 </t>
  </si>
  <si>
    <t>TUBO DE PVC RIGIDO SOLDAVEL, PONTA/BOLSA , PARA ESGOTO, EM BARRAS DE 6,00M, DE 04 0MM</t>
  </si>
  <si>
    <t>0,1700000</t>
  </si>
  <si>
    <t>35,43</t>
  </si>
  <si>
    <t>29,5560000</t>
  </si>
  <si>
    <t>0,1830000</t>
  </si>
  <si>
    <t>5,19</t>
  </si>
  <si>
    <t xml:space="preserve"> E.05.000.026703 </t>
  </si>
  <si>
    <t>Içador, carga de trabalho 3.000 kg; ref. TI-24 fabricação Trejor ou equivalente</t>
  </si>
  <si>
    <t>0,0050000</t>
  </si>
  <si>
    <t>1.034,74</t>
  </si>
  <si>
    <t>5,17</t>
  </si>
  <si>
    <t xml:space="preserve"> MATED-21747 </t>
  </si>
  <si>
    <t>FERRAMENTAS PARA FAMÍLIA ENGENHEIRO CIVIL - MENSALISTA (ENCARGOS COMPLEMENTARES)</t>
  </si>
  <si>
    <t>5,11</t>
  </si>
  <si>
    <t xml:space="preserve"> 65038 </t>
  </si>
  <si>
    <t>CABO UTP CATEGORIA - CAT. 5E - 4 PARES</t>
  </si>
  <si>
    <t>4,94</t>
  </si>
  <si>
    <t>0,8674500</t>
  </si>
  <si>
    <t>4,61</t>
  </si>
  <si>
    <t xml:space="preserve"> MOD902450 </t>
  </si>
  <si>
    <t>Servente (inclusive encargos sociais e encargos complementares). (desonerado)</t>
  </si>
  <si>
    <t>24,99</t>
  </si>
  <si>
    <t>4,20</t>
  </si>
  <si>
    <t>4,28</t>
  </si>
  <si>
    <t>4,13</t>
  </si>
  <si>
    <t>156,60</t>
  </si>
  <si>
    <t xml:space="preserve"> B.05.000.020522 </t>
  </si>
  <si>
    <t>Pedrisco</t>
  </si>
  <si>
    <t>178,90</t>
  </si>
  <si>
    <t>3,58</t>
  </si>
  <si>
    <t>3,36</t>
  </si>
  <si>
    <t>3,22</t>
  </si>
  <si>
    <t>0,0005372</t>
  </si>
  <si>
    <t>3,11</t>
  </si>
  <si>
    <t>10,0108000</t>
  </si>
  <si>
    <t>0,0940000</t>
  </si>
  <si>
    <t>2,72</t>
  </si>
  <si>
    <t>0,0350000</t>
  </si>
  <si>
    <t>2,47</t>
  </si>
  <si>
    <t>1,5600000</t>
  </si>
  <si>
    <t>3,74</t>
  </si>
  <si>
    <t xml:space="preserve"> E.03.000.026653 </t>
  </si>
  <si>
    <t>Parafuso auto-atarraxante/auto-brocante em aço médio carbono, com acabamento zincado brando, de 12 x 38 mm - com arruela de vedação</t>
  </si>
  <si>
    <t>6,2725000</t>
  </si>
  <si>
    <t>0,0621146</t>
  </si>
  <si>
    <t>1,47</t>
  </si>
  <si>
    <t xml:space="preserve"> 00034547 </t>
  </si>
  <si>
    <t>TELA DE ACO SOLDADA GALVANIZADA/ZINCADA PARA ALVENARIA, FIO D = *1,20 A 1,70* MM, MALHA 15 X 15 MM, (C X L) *50 X 12* CM</t>
  </si>
  <si>
    <t>0,4200000</t>
  </si>
  <si>
    <t>3,25</t>
  </si>
  <si>
    <t>1,37</t>
  </si>
  <si>
    <t>3,6392000</t>
  </si>
  <si>
    <t>1,02</t>
  </si>
  <si>
    <t xml:space="preserve"> 00034557 </t>
  </si>
  <si>
    <t>TELA DE ACO SOLDADA GALVANIZADA/ZINCADA PARA ALVENARIA, FIO D = *1,20 A 1,70* MM, MALHA 15 X 15 MM, (C X L) *50 X 7,5* CM</t>
  </si>
  <si>
    <t>2,06</t>
  </si>
  <si>
    <t>3,96</t>
  </si>
  <si>
    <t xml:space="preserve"> MAT080300 </t>
  </si>
  <si>
    <t>Lixa d'agua no 100</t>
  </si>
  <si>
    <t xml:space="preserve"> F.08.000.062020 </t>
  </si>
  <si>
    <t>Tarugo de polietileno D=10mm delimitador da junta de dilatação</t>
  </si>
  <si>
    <t>1,2750000</t>
  </si>
  <si>
    <t>0,55</t>
  </si>
  <si>
    <t>0,70</t>
  </si>
  <si>
    <t>26,90</t>
  </si>
  <si>
    <t xml:space="preserve"> 00149 </t>
  </si>
  <si>
    <t>CIMENTO PORTLAND COMPOSTO CP II-32, EM S ACO DE 50KG, CONFORME ABNT NBR 16697</t>
  </si>
  <si>
    <t>0,65</t>
  </si>
  <si>
    <t>0,60</t>
  </si>
  <si>
    <t>8,98</t>
  </si>
  <si>
    <t>0,0003134</t>
  </si>
  <si>
    <t xml:space="preserve"> S.01.000.080266 </t>
  </si>
  <si>
    <t>Pá-carregadeira retroescavadeira / carregadeira, capacidade de 0,77m³ - COND. D</t>
  </si>
  <si>
    <t>0,0024000</t>
  </si>
  <si>
    <t>158,01</t>
  </si>
  <si>
    <t>29,00</t>
  </si>
  <si>
    <t>0,37</t>
  </si>
  <si>
    <t>17,99</t>
  </si>
  <si>
    <t xml:space="preserve"> 004003 </t>
  </si>
  <si>
    <t>TEXTURA EFEITO SUAVE SUVINIL (24 KG)</t>
  </si>
  <si>
    <t xml:space="preserve"> MAT125700 </t>
  </si>
  <si>
    <t>Solupan tecnico (limpeza industrial) em saco de 25Kg</t>
  </si>
  <si>
    <t>0,0250000</t>
  </si>
  <si>
    <t>12,56</t>
  </si>
  <si>
    <t>10,44</t>
  </si>
  <si>
    <t xml:space="preserve"> E.05.000.026707 </t>
  </si>
  <si>
    <t>Posicionador, carga de trabalho 3.000 kg, ref. TP24 fabricação Trejor ou equivalente</t>
  </si>
  <si>
    <t>0,06</t>
  </si>
  <si>
    <t xml:space="preserve"> EVE000050 </t>
  </si>
  <si>
    <t>3% incidente sobre mao de obra direta com Encargos Sociais para cobrir despesas relativa a equipamentos de protecao individual, uniformes e ferramentas</t>
  </si>
  <si>
    <t>2,57</t>
  </si>
  <si>
    <t xml:space="preserve"> 00010742 </t>
  </si>
  <si>
    <t>TALHA MANUAL DE CORRENTE, CAPACIDADE DE 2 T COM ELEVACAO DE 3 M</t>
  </si>
  <si>
    <t>0,0000154</t>
  </si>
  <si>
    <t>1.157,69</t>
  </si>
  <si>
    <t xml:space="preserve"> 00043617 </t>
  </si>
  <si>
    <t>ADITIVO PLASTIFICANTE E ESTABILIZADOR PARA ARGAMASSAS DE ASSENTAMENTO E REBOCO, LIQUIDO E ISENTO DE CLORETOS</t>
  </si>
  <si>
    <t>0,0007560</t>
  </si>
  <si>
    <t>7,49</t>
  </si>
  <si>
    <t xml:space="preserve"> 00041702 </t>
  </si>
  <si>
    <t>BOMBA HIDRAULICA MANUAL PARA MACACO HIDRAULICO DE PROTENSAO DE CORDOALHAS, DUPLA ACAO, PRESSAO MAXIMA 700 KG/CM2, CAPACIDADE DO RESERVATORIO DE 8000 CM3(INCLUI MANOMETRO E MANGUEIRA)</t>
  </si>
  <si>
    <t>0,0000463</t>
  </si>
  <si>
    <t xml:space="preserve"> 00044332 </t>
  </si>
  <si>
    <t>MACACO PARA PROTENSAO DE CORDOALHAS, MP 5-7-B, ESFORCO MAXIMO DE 115 TONELADAS</t>
  </si>
  <si>
    <t xml:space="preserve"> 00044842 </t>
  </si>
  <si>
    <t>CUNHA DE ACO BIPARTIDA PARA FIXACAO DE CORDOALHA ENGRAXADA E PLASTIFICADA DE DIAMETRO NOMINAL 12,7 MM</t>
  </si>
  <si>
    <t xml:space="preserve"> 00044854 </t>
  </si>
  <si>
    <t>PLACA DE ANCORAGEM ATIVA PARA CABOS COM ATE 4 CORDOALHAS DE DIAMETRO NOMINAL 12,7 MM</t>
  </si>
  <si>
    <t xml:space="preserve"> 00044864 </t>
  </si>
  <si>
    <t>BLOCO DE ANCORAGEM ATIVA PARA CABOS COM ATE 4 CORDOALHAS DE DIAMETRO NOMINAL 12,7 MM</t>
  </si>
  <si>
    <t xml:space="preserve"> 00044874 </t>
  </si>
  <si>
    <t>TROMBETA OU FUNIL, DE ANCORAGEM ATIVA PARA CABOS COM ATE 4 CORDOALHAS DE DIAMETRO NOMINAL 12,7 MM</t>
  </si>
  <si>
    <t xml:space="preserve"> 00042490 </t>
  </si>
  <si>
    <t>FELTRO EM LA DE ROCHA, 1 FACE REVESTIDA COM PAPEL ALUMINIZADO, EM ROLO, DENSIDADE = 32 KG/M3, E=*50* MM</t>
  </si>
  <si>
    <t xml:space="preserve"> 00043875 </t>
  </si>
  <si>
    <t>CHAPIM OU CAPA DE MURO PRE-MOLDADO EM CONCRETO TIPO "CAPELINHA", COM PINGADEIRA L= 19 CM, E= 4 CM</t>
  </si>
  <si>
    <t>2,1600000</t>
  </si>
  <si>
    <t xml:space="preserve"> ED-21772 </t>
  </si>
  <si>
    <t>MOED-21737</t>
  </si>
  <si>
    <t>MATED-14623</t>
  </si>
  <si>
    <t>MATED-21748</t>
  </si>
  <si>
    <t>MATED-29745</t>
  </si>
  <si>
    <t>ED-21782</t>
  </si>
  <si>
    <t>EPI PARA ENGENHEIRO CIVIL   MENSALISTA (ENCARGOS COMPLEMENTARES)</t>
  </si>
  <si>
    <t>ED-21783</t>
  </si>
  <si>
    <t>FERRAMENTAS PARA ENGENHEIRO CIVIL   MENSALISTA (ENCARGOS COMPLEMENTARES)</t>
  </si>
  <si>
    <t xml:space="preserve"> 02.02.118 </t>
  </si>
  <si>
    <t>Fundacao profunda</t>
  </si>
  <si>
    <t xml:space="preserve"> 104283 </t>
  </si>
  <si>
    <t>Concreto Protendido</t>
  </si>
  <si>
    <t xml:space="preserve"> 102827 </t>
  </si>
  <si>
    <t>CONJUNTO MACACO E BOMBA HIDRÁULICA PARA PROTENSAO DE CORDOALHAS, ESFORÇO MAXIMO DE 115 TONELADAS - CHP DIURNO. AF_05/2023</t>
  </si>
  <si>
    <t xml:space="preserve"> 102828 </t>
  </si>
  <si>
    <t>CONJUNTO MACACO E BOMBA HIDRÁULICA PARA PROTENSAO DE CORDOALHAS, ESFORÇO MAXIMO DE 115 TONELADAS - CHI DIURNO. AF_05/2023</t>
  </si>
  <si>
    <t xml:space="preserve"> 95139 </t>
  </si>
  <si>
    <t>TALHA MANUAL DE CORRENTE, CAPACIDADE DE 2 TON. COM ELEVAÇÃO DE 3 M - CHP DIURNO. AF_07/2016</t>
  </si>
  <si>
    <t xml:space="preserve"> 20.093.0001-A </t>
  </si>
  <si>
    <t xml:space="preserve"> 15.05.520 </t>
  </si>
  <si>
    <t xml:space="preserve"> 11.043.0022-0 </t>
  </si>
  <si>
    <t xml:space="preserve"> 021006 </t>
  </si>
  <si>
    <t xml:space="preserve"> 040827 </t>
  </si>
  <si>
    <t xml:space="preserve"> 97089 </t>
  </si>
  <si>
    <t xml:space="preserve"> 103338 </t>
  </si>
  <si>
    <t xml:space="preserve"> 103336 </t>
  </si>
  <si>
    <t xml:space="preserve"> 96359 </t>
  </si>
  <si>
    <t xml:space="preserve"> 96363 </t>
  </si>
  <si>
    <t xml:space="preserve"> 104721 </t>
  </si>
  <si>
    <t xml:space="preserve"> 104723 </t>
  </si>
  <si>
    <t xml:space="preserve"> 104725 </t>
  </si>
  <si>
    <t xml:space="preserve"> 21.03.151 </t>
  </si>
  <si>
    <t xml:space="preserve"> 170182 </t>
  </si>
  <si>
    <t>PAVIMENTACOES INTERNAS</t>
  </si>
  <si>
    <t xml:space="preserve"> 170047 </t>
  </si>
  <si>
    <t xml:space="preserve"> 103946 </t>
  </si>
  <si>
    <t xml:space="preserve"> 101978 </t>
  </si>
  <si>
    <t>Peitoris e Chapins</t>
  </si>
  <si>
    <t xml:space="preserve"> 87283 </t>
  </si>
  <si>
    <t>ARGAMASSA TRAÇO 1:6 (EM VOLUME DE CIMENTO E AREIA MÉDIA ÚMIDA) COM ADIÇÃO DE PLASTIFICANTE PARA EMBOÇO/MASSA ÚNICA/ASSENTAMENTO DE ALVENARIA DE VEDAÇÃO, PREPARO MECÂNICO COM BETONEIRA 400 L. AF_08/2019</t>
  </si>
  <si>
    <t xml:space="preserve"> 101970 </t>
  </si>
  <si>
    <t xml:space="preserve"> 24.02.056 </t>
  </si>
  <si>
    <t xml:space="preserve"> 24.02.050 </t>
  </si>
  <si>
    <t xml:space="preserve"> PT 04.40.0103 </t>
  </si>
  <si>
    <t xml:space="preserve"> 110099 </t>
  </si>
  <si>
    <t xml:space="preserve"> 180049 </t>
  </si>
  <si>
    <t xml:space="preserve"> 9090038 </t>
  </si>
  <si>
    <t>Edificação</t>
  </si>
  <si>
    <t xml:space="preserve"> 102823 </t>
  </si>
  <si>
    <t>CONJUNTO MACACO E BOMBA HIDRÁULICA PARA PROTENSAO DE CORDOALHAS, ESFORÇO MAXIMO DE 115 TONELADAS - DEPRECIAÇÃO. AF_05/2023</t>
  </si>
  <si>
    <t xml:space="preserve"> 102824 </t>
  </si>
  <si>
    <t>CONJUNTO MACACO E BOMBA HIDRÁULICA PARA PROTENSAO DE CORDOALHAS, ESFORÇO MAXIMO DE 115 TONELADAS - JUROS. AF_05/2023</t>
  </si>
  <si>
    <t xml:space="preserve"> 102825 </t>
  </si>
  <si>
    <t>CONJUNTO MACACO E BOMBA HIDRÁULICA PARA PROTENSAO DE CORDOALHAS, ESFORÇO MAXIMO DE 115 TONELADAS - MANUTENÇÃO. AF_05/2023</t>
  </si>
  <si>
    <t xml:space="preserve"> 102826 </t>
  </si>
  <si>
    <t>CONJUNTO MACACO E BOMBA HIDRÁULICA PARA PROTENSAO DE CORDOALHAS, ESFORÇO MAXIMO DE 115 TONELADAS - MATERIAIS NA OPERAÇÃO. AF_05/2023</t>
  </si>
  <si>
    <t xml:space="preserve"> ED-21782 </t>
  </si>
  <si>
    <t>MATED-21746</t>
  </si>
  <si>
    <t xml:space="preserve"> ED-21783 </t>
  </si>
  <si>
    <t>MATED-21747</t>
  </si>
  <si>
    <t xml:space="preserve"> 95136 </t>
  </si>
  <si>
    <t>TALHA MANUAL DE CORRENTE, CAPACIDADE DE 2 TON. COM ELEVAÇÃO DE 3 M - DEPRECIAÇÃO. AF_07/2016</t>
  </si>
  <si>
    <t xml:space="preserve"> 95137 </t>
  </si>
  <si>
    <t>TALHA MANUAL DE CORRENTE, CAPACIDADE DE 2 TON. COM ELEVAÇÃO DE 3 M - JUROS. AF_07/2016</t>
  </si>
  <si>
    <t xml:space="preserve"> 95138 </t>
  </si>
  <si>
    <t>TALHA MANUAL DE CORRENTE, CAPACIDADE DE 2 TON. COM ELEVAÇÃO DE 3 M - MANUTENÇÃO. AF_07/2016</t>
  </si>
  <si>
    <t>FORNECIMENTO DO FECHAMENTO LATERAL EM PAINÉIS TERMILOR WALL,CONFORME PROJETO b-027, + 10% ACESSÓRIOS E ACABAMENTO</t>
  </si>
  <si>
    <t>FRETE TRANSPORTE PAINEIS</t>
  </si>
  <si>
    <t>PERFILOR</t>
  </si>
  <si>
    <t xml:space="preserve"> - COMPOSTO DE: </t>
  </si>
  <si>
    <t xml:space="preserve"> SALA DE LAMINAÇÃO - BANCADA LATERAL MEDINDO 2400X900X900MM - COMPOSTO DE: 2,40 LL4298BI3 METRO(S) LINEAR(ES) DE TAMPO EM GRANITO NATURAL POLIDO COM 30MM DE ESPESSURA, MEDINDO 900MM DE PROFUNDIDADE, COM RESPALDO DE 60MM JUNTO A PAREDE E ACABAMENTO BIZOTADO.1,00 LL2038-E MODULO INFERIOR DE CUBA MEDINDO 900X700X870MM PROVIDA DE DUAS PORTAS.1,00 LL2222-E MODULO INFERIOR MEDINDO 900X700X870MM PROVIDO DE DUAS PORTAS E UMA PRATELEIRA.1,00 LL2212_ESQ-E MODULO INFERIOR MEDINDO 550X700X870MM PROVIDO DE UMA PORTA A ESQUERDA E UMA PRATELEIRA.0,05 LL2049 S ABS METRO(S) LINEAR(ES) DE PAINEL DE ACABAMENTO PARA FECHAMENTO FRONTAL.UTILIDADES:1,00 LL9033 CUBA EM AÇO INOXIDÁVEL AISI 304 POLIDO MEDINDO 500X400X400MM.1,00 LN7158G ÁGUA FRIA CONJUNTO FORMADO POR NUCA GIRATÓRIA COM BICO ESCALONADO RETO E REGISTRO DE BLOQUEIO 3/8" EM LATÃO COM ACABAMENTO EM EPÓXI COM BATOQUE VERDE PARA ÁGUA FRIA.1,00 LL9012 VÁLVULA AMERICANA SIFONADA EM POLIPROPILENO MEDINDO 3 1/2" DE DIÂMETRO COM CONEXÕES TAMBÉM EM POLIPROPILENO PARA BANCADA.1,00 LL9012 VÁLVULA AMERICANA SIFONADA EM POLIPROPILENO MEDINDO 3 1/2" DE DIÂMETRO COM CONEXÕES TAMBÉM EM POLIPROPILENO PARA BANCADA.</t>
  </si>
  <si>
    <t>SALA DE LAMINAÇÃO - BANCADA LATERAL MEDINDO 6300X1000X900MM - COMPOSTO DE: 6,30 LL4292-E METRO(S) LINEAR(ES) DE TAMPO EM LAMINADO MELAMÍNICO ESPESSURA DE 25MM "MACIÇO", MEDINDO 900MM DE PROFUNDIDADE E COM RESPALDO DE 60MM JUNTO A PAREDE. - 2,00 LL2222-E MODULO INFERIOR MEDINDO 900X700X870MM PROVIDO DE DUAS PORTAS E UMA PRATELEIRA. - 1,00 LL2222-E MODULO INFERIOR MEDINDO 785X700X870MM PROVIDO DE DUAS PORTAS E UMA PRATELEIRA. - 2,00 LL2214-E MODULO INFERIOR MEDINDO 450X700X870MM PROVIDO DE QUATRO GAVETAS. - 1,00 LL2051-E PAINEL DE SUSTENTAÇÃO PARA BANCADA MEDINDO 25X650X870MM. - 0,90 LL2050 METRO(S) LINEAR(ES) DE MODULO VAZADO COMPOSTO POR PAINEL DE FUNDO. - 0,90 LL2050 METRO(S) LINEAR(ES) DE MODULO VAZADO COMPOSTO POR PAINEL DE FUNDO. - 0,90 LL2050 METRO(S) LINEAR(ES) DE MODULO VAZADO COMPOSTO POR PAINEL DE FUNDO. - 0,05 LL2049 S ABS METRO(S) LINEAR(ES) DE PAINEL DE ACABAMENTO PARA FECHAMENTO FRONTAL. - 0,26 LL2049 ABS METRO(S) LINEAR(ES) DE PAINEL PARA ACABAMENTO LATERAL APARENTE.</t>
  </si>
  <si>
    <t>SALA DE CORTES - BANCADA LATERAL MEDINDO 4500X1000X900MM - COMPOSTO DE: 4,50 LL4298BI3-E METRO(S) LINEAR(ES) DE TAMPO EM GRANITO NATURAL POLIDO COM 30MM DE ESPESSURA, MEDINDO 1100MM DE PROFUNDIDADE, COM RESPALDO DE 60MM JUNTO A PAREDE E ACABAMENTO BICOTADO. - 1,00 LL2038-E MODULO INFERIOR DE CUBA MEDINDO 900X800X870MM PROVIDA DE DUAS PORTAS. - 3,00 LL2222-E MODULO INFERIOR MEDINDO 900X800X870MM PROVIDO DE DUAS PORTAS E UMA PRATELEIRA. - 1,00 LL2222-E MODULO INFERIOR MEDINDO 810X800X870MM PROVIDO DE DUAS PORTAS E UMA PRATELEIRA. - LAB. LINEA INDUSTRIA E COMERCIO DE MOVEIS PARA LABORATÓRIOS LTDA. - 0,26 LL2049 ABS METRO(S) LINEAR(ES) DE PAINEL PARA ACABAMENTO LATERAL APARENTE. - 0,05 LL2049 S ABS METRO(S) LINEAR(ES) DE PAINEL DE ACABAMENTO PARA FECHAMENTO FRONTAL. - UTILIDADES: - 1,00 LL9033 CUBA EM AÇO INOXIDÁVEL AISI 304 POLIDO MEDINDO 500X400X400MM. - 1,00 LN7158G AGUA FRIA CONJUNTO FORMADO POR NUCA GIRATÓRIA COM BICO ESCALONADO RETO E REGISTRO DE BLOQUEIO 3/8" EM LATÃO COM ACABAMENTO EM EPÓXI COM BATOQUE VERDE PARA AGUA FRIA. - 1,00 LL9012 VÁLVULA AMERICANA SIFONADA EM POLIPROPILENO MEDINDO 3 1/2" DE DIÂMETRO COM CONEXÕES TAMBÉM EM POLIPROPILENO PARA BANCADA.</t>
  </si>
  <si>
    <t>SALA DE CORTES -   BANCADA LATERAL MEDINDO 4500X1000X900MM - COMPOSTO DE: 4,95 LL4298BI3-E METRO(S) LINEAR(ES) DE TAMPO EM GRANITO NATURAL POLIDO COM 30MM DE ESPESSURA, MEDINDO 1100MM DE PROFUNDIDADE, COM RESPALDO DE 60MM JUNTO A PAREDE E ACABAMENTO BICOTADO. - 4,00 LL2222-E MODULO INFERIOR MEDINDO 900X800X870MM PROVIDO DE DUAS PORTAS E UMA PRATELEIRA. - 1,00 LL2222-E MODULO INFERIOR MEDINDO 1260X800X870MM PROVIDO DE TRÊS PORTAS E UMA PRATELEIRA. - 0,26 LL2049 ABS METRO(S) LINEAR(ES) DE PAINEL PARA ACABAMENTO LATERAL APARENTE. - 0,05 LL2049 S ABS METRO(S) LINEAR(ES) DE PAINEL DE ACABAMENTO PARA FECHAMENTO FRONTAL.</t>
  </si>
  <si>
    <t>SALA DE CORTES -  BANCADA LATERAL MEDINDO 2000X800X900MM - COMPOSTO DE: 2,00 LL4192-E METRO(S) LINEAR(ES) DE TAMPO EM LAMINADO MELAMÍNICO ESPESSURA DE 25MM "MACIÇO", MEDINDO 800MM DE PROFUNDIDADE E COM RESPALDO DE 60MM JUNTO A PAREDE. - 1,00 LL2214-E MODULO INFERIOR MEDINDO 450X520X870MM PROVIDO DE QUATRO GAVETAS. - 0,86 LL2250U METRO(S) LINEAR(ES) DE MODULO VAZADO COMPOSTO POR PAINEL DE FUNDO. - 1,00 LL2211-E MODULO INFERIOR ABERTO MEDINDO 600X350X870MM PROVIDO DE DUAS PRATELEIRAS. - 0,08 LL2049 ABS METRO(S) LINEAR(ES) DE PAINEL PARA ACABAMENTO LATERAL APARENTE. - 0,08 LL2049 ABS METRO(S) LINEAR(ES) DE PAINEL PARA ACABAMENTO LATERAL APARENTE. - 0,26 LL2049 ABS METRO(S) LINEAR(ES) DE PAINEL PARA ACABAMENTO LATERAL APARENTE.</t>
  </si>
  <si>
    <t>PRATELEIRAS - METRO(S) LINEAR(ES) DE PRATELEIRA REVESTIDA EM LAMINADO MELAMINICO COM 300MM DE
PROFUNDIDADE. - COMPOSTO DE: 2,00 MÃO FRANCESA BRANCA MED. 200X250MM - LAB. LINEA INDUSTRIA E COMERCIO DE MOVEIS PARA LABORATÓRIOS LTDA. - RUA ANGELO PERISSINOTTO ,166/186 BELA VISTA - CEP: 13.145-006 - PAULINIA - SP - BRASIL - FONE/FAX: (19) 3874-9898SITE: WWW.LABLINEA.COM.BR E-MAIL: LABLINEA@LABLINEA.COM.BR</t>
  </si>
  <si>
    <t xml:space="preserve">PRATELEIRAS - METRO(S) LINEAR(ES) DE PRATELEIRA REVESTIDA EM LAMINADO MELAMINICO COM 300MM DE
PROFUNDIDADE. - COMPOSTO DE: 2,00 MÃO FRANCESA BRANCA MED. 200X250MM - </t>
  </si>
  <si>
    <t>SALA DE FOTOGRAFIA - BANCADA LATERAL MEDINDO 2790X700X900MM - COMPOSTO DE: 2,79 LL4098BI3 METRO(S) LINEAR(ES) DE TAMPO EM GRANITO NATURAL POLIDO COM 30MM DE ESPESSURA, MEDINDO 700MM DE PROFUNDIDADE, COM RESPALDO DE 60MM JUNTO A PAREDE E ACABAMENTO BIZOTADO. - 3,00 LL2222-E MODULO INFERIOR MEDINDO 900X520X870MM PROVIDO DE DUAS PORTAS E UMA PRATELEIRA. - 0,05 LL2049 S ABS METRO(S) LINEAR(ES) DE PAINEL DE ACABAMENTO PARA FECHAMENTO FRONTAL. - 0,16 LL2049 ABS METRO(S) LINEAR(ES) DE PAINEL PARA ACABAMENTO LATERAL APARENTE.</t>
  </si>
  <si>
    <t>SALA FOTOGRAFIA - BANCADA LATERAL MEDINDO 5500X1000X900MM - COMPOSTO DE: 5,50 LL4292-E METRO(S) LINEAR(ES) DE TAMPO EM LAMINADO MELAMÍNICO ESPESSURA DE 25MM "MACIÇO", MEDINDO 900MM DE PROFUNDIDADE E COM RESPALDO DE 60MM JUNTO A PAREDE.4,00 LL2222-E MODULO INFERIOR MEDINDO 900X800X870MM PROVIDO DE DUAS PORTAS E UMA PRATELEIRA.1,00 LL2051-E PAINEL DE SUSTENTAÇÃO PARA BANCADA MEDINDO 25X750X870MM.1,00 LL2051-E PAINEL DE SUSTENTAÇÃO PARA BANCADA MEDINDO 25X750X870MM.0,85 LL2050 METRO(S) LINEAR(ES) DE MODULO VAZADO COMPOSTO POR PAINEL DE FUNDO.0,85 LL2050 METRO(S) LINEAR(ES) DE MODULO VAZADO COMPOSTO POR PAINEL DE FUNDO.0,08 LL2049 S ABS METRO(S) LINEAR(ES) DE PAINEL DE ACABAMENTO PARA FECHAMENTO FRONTAL.0,08 LL2049 S ABS METRO(S) LINEAR(ES) DE PAINEL DE ACABAMENTO PARA FECHAMENTO FRONTAL.</t>
  </si>
  <si>
    <t>SALA SCANNER - BANCADA LATERAL MEDINDO 4150X700X700MM - COMPOSTO DE: 4,15 LL4092 METRO(S) LINEAR(ES) DE TAMPO EM LAMINADO MELAMÍNICO ESPESSURA DE 25MM "MACIÇO", MEDINDO 700MM DE PROFUNDIDADE E COM RESPALDO DE 60MM JUNTO A PAREDE. - 3,00 LL2322-E MODULO INFERIOR MEDINDO 1000X520X680MM PROVIDO DE DUAS PORTAS E UMA PRATELEIRA. - 1,00 LL2151-E PAINEL DE SUSTENTAÇÃO PARA BANCADA MEDINDO 25X450X680MM. - 1,03 LL2150-E METRO(S)LINEAR(ES)DE MODULO VAZADO COMPOSTO POR PAINEL DE FUNDO. - 0,05 LL2149 S ABS-E METRO(S) LINEAR(ES) DE PAINEL DE ACABAMENTO PARA FECHAMENTO FRONTAL. - 0,05 LL2149 S ABS-E METRO(S) LINEAR(ES) DE PAINEL DE ACABAMENTO PARA FECHAMENTO FRONTAL.</t>
  </si>
  <si>
    <t>SALA FRANTZ - BANCADA LATERAL MEDINDO 1540X800X900MM - COMPOSTO DE: 1,54 LL4198BI3 85-E METRO(S) LINEAR(ES) DE TAMPO EM GRANITO NATURAL POLIDO COM 30MM DE ESPESSURA, MEDINDO 800MM DE PROFUNDIDADE, COM RESPALDO DE 60MM JUNTO A PAREDE E ACABAMENTO BIZOTADO. - 1,00 LL2222-E MODULO INFERIOR MEDINDO 900X520X870MM PROVIDO DE DUAS PORTAS E UMA PRATELEIRA. - 1,00 LL2212_ESQ-E MODULO INFERIOR MEDINDO 450X520X870MM PROVIDO DE UMA PORTA A ESQUERDA E UMA PRATELEIRA. - 0,10 LL2049 S ABS METRO(S) LINEAR(ES) DE PAINEL DE ACABAMENTO PARA FECHAMENTO FRONTAL. - 0,10 LL2049 S ABS METRO(S) LINEAR(ES) DE PAINEL DE ACABAMENTO PARA FECHAMENTO FRONTAL.</t>
  </si>
  <si>
    <t>SALA LIQUIDOS DENSOS - BANCADA LATERAL EM "L" MEDINDO (2400X650)+(1250X700)X900MM - COMPOSTO DE: 2,40 LL4098BI3 65 METRO(S) LINEAR(ES) DE TAMPO EM GRANITO NATURAL POLIDO COM 30MM DE ESPESSURA, MEDINDO 650MM DE PROFUNDIDADE COM RESPALDO DE 60MM JUNTO A PAREDE E ACABAMENTO BIZOTADO. - 1,25 LL4098BI3 METRO(S) LINEAR(ES) DE TAMPO EM GRANITO NATURAL POLIDO COM 30MM DE ESPESSURA, MEDINDO 700MM DE PROFUNDIDADE, COM RESPALDO DE 60MM JUNTO A PAREDE E ACABAMENTO BIZOTADO. - 1,00 LL2038-E MODULO INFERIOR DE CUBA MEDINDO 1125X520X870MM PROVIDA DE DUAS PORTAS. - 1,00 LL2212_ESQ-E MODULO INFERIOR MEDINDO 450X520X870MM PROVIDO DE UMA PORTA A ESQUERDA E UMA PRATELEIRA. - 1,00 LL2222-E MODULO INFERIOR MEDINDO 900X520X870MM PROVIDO DE DUAS PORTAS E UMA PRATELEIRA. - 1,00 LL2222-E MODULO INFERIOR DE CANTO MEDINDO 900X520X870MM PROVIDO DE UMA PORTA E UMA PRATELEIRA. - 0,12 LL2049 L METRO(S) LINEAR(ES) DE PAINEL DE ACABAMENTO PARA FECHAMENTO FRONTAL EM "L". - 0,10 LL2049 S ABS METRO(S) LINEAR(ES) DE PAINEL DE ACABAMENTO PARA FECHAMENTO FRONTAL. - UTILIDADES: - 1,00 LL9033 CUBA EM AÇO INOXIDÁVEL AISI 304 POLIDO MEDINDO 500X400X400MM. - 1,00 LN7158G AGUAFRIA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t>
  </si>
  <si>
    <t>SALA DE PREPARO 2 - BANCADA LATERAL MEDINDO 2900X800X900MM2,90 LL4198BI3 85-E METRO(S) LINEAR(ES) DE TAMPO EM GRANITO NATURAL POLIDO COM 30MM DE ESPESSURA, MEDINDO 800MM DE PROFUNDIDADE, COM RESPALDO DE 60MM JUNTO A PAREDE E ACABAMENTO BIZOTADO. 1,00 LL2038-E MODULO INFERIOR DE CUBA MEDINDO 900X520X870MM PROVIDA DE DUAS PORTAS. - 2,00 LL2222-E MODULO INFERIOR MEDINDO 900X520X870MM PROVIDO DE DUAS PORTAS E UMA PRATELEIRA. - 0,10 LL2049 S ABS METRO(S) LINEAR(ES) DE PAINEL DE ACABAMENTO PARA FECHAMENTO FRONTAL. - 0,10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t>
  </si>
  <si>
    <t>SALA PREPARO 1 - BANCADA LATERAL MEDINDO 2360X800X900MM - COMPOSTO DE: 2,36 LL4198BI3 85-E METRO(S) LINEAR(ES) DE TAMPO EM GRANITO NATURAL POLIDO COM 30MM DE ESPESSURA, MEDINDO 800MM DE PROFUNDIDADE, COM RESPALDO DE 60MM JUNTO A PAREDE E ACABAMENTO BIZOTADO. 1,00 LL2038-E MODULO INFERIOR DE CUBA MEDINDO 900X520X870MM PROVIDA DE DUAS PORTAS. - 1,00 LL2222-E MODULO INFERIOR MEDINDO 900X520X870MM PROVIDO DE DUAS PORTAS E UMA PRATELEIRA. - 1,00 LL2212_ESQ-E MODULO INFERIOR MEDINDO 450X520X870MM PROVIDO DE UMA PORTA A ESQUERDA E UMA PRATELEIRA. - 0,26 LL2049 ABS METRO(S) LINEAR(ES) DE PAINEL PARA ACABAMENTO LATERAL APARENTE. - 0,07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AGUA FRIA. - 1,00 LL9012 VÁLVULA AMERICANA SIFONADA EM POLIPROPILENO MEDINDO 3 1/2" DE DIÂMETRO COM CONEXÕES TAMBÉM EM POLIPROPILENO PARA BANCADA.</t>
  </si>
  <si>
    <t>SALA PREPARO 1 -BANCADA LATERAL MEDINDO 2000X800X900MM - COMPOSTO DE: 2,00 LL4198BI3 85-E METRO(S) LINEAR(ES) DE TAMPO EM GRANITO NATURAL POLIDO COM 30MM DE ESPESSURA, MEDINDO 800MM DE PROFUNDIDADE, COM RESPALDO DE 60MM JUNTO A PAREDE E ACABAMENTO BIZOTADO. - 2,00 LL2222-E MODULO INFERIOR MEDINDO 900X520X870MM PROVIDO DE DUAS PORTAS E UMA PRATELEIRA. - 0,05 LL2049 S ABS METRO(S) LINEAR(ES) DE PAINEL DE ACABAMENTO PARA FECHAMENTO FRONTAL. - 0,26 LL2049 ABS METRO(S) LINEAR(ES) DE PAINEL PARA ACABAMENTO LATERAL APARENTE.</t>
  </si>
  <si>
    <t>VG</t>
  </si>
  <si>
    <r>
      <rPr>
        <sz val="12"/>
        <color theme="1"/>
        <rFont val="Quattrocento Sans"/>
        <family val="2"/>
      </rPr>
      <t>DW.04 - PAREDE COM PLACAS DE GESSO ACARTONADO (DRYWALL), PARA USO INTERNO, ESPESSURA TOTAL 220MM COM DUAS FACES DUPLAS E ESTRUTURA METÁLICA COM GUIAS DUPLAS 70MM, COM VÃOS. TRATAMENTO ACÚSTICO E ENCHIMENTO EM LÃ DE VIDRO OU EQUIVALENTE TÉCNICO.</t>
    </r>
  </si>
  <si>
    <t>ACR.01 - PINTURA ACRILICA BRANCA, ACABAMENTO FOSCO COM LIMITE COV (COMPOSTO ORGÂNICO VOLÁTEIS) DE ATÉ 50g/L, MÍNIMO 2 DEMÃOS COM EMASSAMENTO</t>
  </si>
  <si>
    <t>BLI.01 - EXECUÇÃO DE PASSEIO EM PISO INTERTRAVADO, COM BLOCO RETANGULAR COLORIDO DE 20 X 10 CM, ESPESSURA 6 CM. AF_12/2015</t>
  </si>
  <si>
    <t>FOR.03 - FORRO EM FIBRA MINERAL COM PLACAS ACÚSTICAS REMOVÍVEIS DE 625MM X 625MM</t>
  </si>
  <si>
    <t>FORF.01 - FORRO EM PAINÉIS DE GESSO ACARTONADO, ESPESSURA DE 12,5 MM, FIXO</t>
  </si>
  <si>
    <t>PA01 - PORTA SIMPLES DE ABRIR DE VENEZIANA EM ALUMÍNIO COM PINTURA ELETROSTÁTICA COR RAL 7021 - 0,90X 2,10M x2</t>
  </si>
  <si>
    <t>MONTAGEM DE COBERTURA ROLLON, CONFORME PROJETO CONSIDERANDO PRÉ-MONTGAGEM IN LOCO, SEM FORNECIMENTO DE MATERIAL</t>
  </si>
  <si>
    <t>MONTAGEM DE FECHAMENTO LATERAL COM TELHAS TERMOACÚSTICAS E ACESSÓRIOS DE FIXAÇÃO, INCLUIDO MUNK, SEM FORNECIMETNO DE MATERIAL</t>
  </si>
  <si>
    <t>PC02 - PORTA DE ABRIR EM CHAPA  PERFURADA EM INOX 304 - FURAÇÃO REDONDA Ø22,2mm COM DISPOSIÇÃO ALTERNADA LONGITUDINAL - 0,86X 2,44M</t>
  </si>
  <si>
    <t>SALA DE MAMINAÇÃO - CAPELA MODELO LS-408 MEDINDO
1500X890X2600MM - COMPOSTO DE: RECOMENDADA PARA APLICAÇÕES GERAIS E TRABALHOS COM SOLUÇÕES DILUÍDAS EM TEMPERATURA MÉDIA. - 1,00 CORPO SUP EXT CAP150 CORPO SUPERIOR EXTERNO REVESTIDO EXTERNAMENTE E INTERNAMENTE EM LAMINADO MELAMÍNICO. ACESSO A LUMINÁRIA, ELÉTRICA E SAÍDA DA EXAUSTÃO, POR UMA PORTA NA PARTE FRONTAL SUPERIOR. PAINÉIS LATERAIS EM ALUMÍNIO PINTADO EM EPÓXI A PÓ POR PROCESSO DE ELETRODEPOSIÇÃO PARA FIXAÇÃO DE TOMADAS, VÁLVULAS DE COMANDO DAS UTILIDADES, INTERRUPTOR DA LUMINÁRIA E BOTOEIRA CASO NECESSÁRIOS. ALTURA EXTERNA FINAL 1780MM. - 1,00 LUMINARIA CAP RETANG KIT COMPLETO DE LUMINÁRIA COM DUAS LÂMPADAS TUBULARES 9W EQUIVALÊNCIA 20W FLUORESCENTE. - 1,00 EST.BASE.VAZ.CAP1500 ESTRUTURA DE BASE VAZADA PARA CAPELA E PAINEL DE FUNDO REMOVÍVEL. - 2,50 MANGUEIRA CZ 50MM MANGUEIRA CINZA CORRUGADA MED. 50MM. LAB. LINEA INDUSTRIA E COMERCIO DE MOVEIS PARA LABORATÓRIOS LTDA. - 1,00 GAB.BASE.500_ESQ GABINETE DE BASE MEDINDO 500X450X805MM PARA CAPELA, PROVIDO DE UMA PORTA A ESQUERDA E UMA PRATELEIRA. - 1,00 GAB.BASE.900 GABINETE DE BASE MEDINDO 900X450X805MM PARA CAPELA, PROVIDO DE DUAS PORTAS E UMA PRATELEIRA. - 1,00 BOXTS/LS1500 CORPO INTERNO (BOX), CONSTRUÍDO EM COMPENSADO NAVAL DE 15 MM DE ESPESSURA REVESTIDO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COMPRIMENTO DE 1500MM. - 1,00 TAMP.CAP.AA.1500 TAMPO CONSTRUÍDO EM MADEIRA DE LEI COMPENSADA DO TIPO NAVAL REVESTIDO EM CERÂMICAS ANTIÁCIDAS (DUAS CURAS) MARCA GAIL, ESTUCADA COM MASSA EPÓXI ESPECIAL E REJUNTADA COM RESINA FN, COM BORDA DE RETENÇÃO EM RESINA POLIÉSTER. - 1,00 TAMP.CAP.AA.1500 TAMPO CONSTRUÍDO EM MADEIRA DE LEI COMPENSADA DO TIPO NAVAL REVESTIDO EM CERÂMICAS ANTIÁCIDAS (DUAS CURAS) MARCA GAIL, ESTUCADA COM MASSA EPÓXI ESPECIAL E REJUNTADA COM RESINA FN, COM BORDA DE RETENÇÃO EM RESINA POLIÉSTER.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CJCHICTS/LS1500 CHICANA DEFLETORA PARA ORIENTAÇÃO DE FLUXO DE TIRAGEM, PLANA, CONSTRUÍDA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1500MM DE COMPRIMENTO. - 1,00 E25 EXAUSTOR CENTRIFUGO TIPO "LIMIT LOAD" COM AS SEGUINTES CARACTERÍSTICAS: VAZÃO: 2140 M3/H , PRESSÃO: 45MM CA, ROTAÇÃO: 1720 RPM, MOTOR: 1,0 CV, TRANSMISSÃO: DIRETA, MAT. DE CONSTRUÇÃO: PRFV(PLÁSTICO REFORÇADO COM FIBRA DE VIDRO) E ROTOR EM PRFV. - 1,00 KITELETCAN1 KIT ELÉTRICA PARA EXAUSTÃO DE CAPELA, COM INVERSOR DE FREQUÊNCIA 1,0CV. - 1,00 SUPORTE  PARA EXAUSTOR INSTALADO EM PAREDE EM AÇO CARBONO, PROTEGIDO POR PINTURA EPÓXI. - 8,00 DUTO250 METRO(S) LINEAR(ES) DE DUTO EM PVC RÍGIDO COM 250MM DE DIÂMETRO. - 2,00 CURVA90250 CURVA 90 GRAUS EM PVC COM DIÂMETRO DE 250MM. - 1,00 CURVA135250 CURVA 135 GRAUS EM PVC COM DIÂMETRO DE 250MM. - 2,00 FIX250 SISTEMA DE FIXAÇÃO PARA DUTO DE 250MM DE DIÂMETRO. - 0,16 LL2049 H2600 ABS METRO(S) LINEAR(ES) DE PAINEL PARA ACABAMENTO LATERAL APARENTE DE CAPELAS. - 0,16 LL2049 H2600 ABS METRO(S) LINEAR(ES) DE PAINEL PARA ACABAMENTO LATERAL APARENTE DE CAPELAS. - UTILIDADES: - 1,00 LL9052CAP KIT DE ELÉTRICA COMPOSTO DE UMA TOMADA 110 V, UMA TOMADA 220V, UM INTERRUPTOR PARA LUMINÁRIA E UM INTERRUPTOR PARA EXAUSTOR, MONTADAS EM ESPELHO DE ALUMÍNIO PINTADO EM EPÓXI BRANCO PARA CAPELAS. - 1,00 LB7162 NITROGENIO CONJUNTO COM COMANDO A DISTÂNCIA FORMADO POR BICO ANGULAR ESCALONADO E REGISTRO DE BLOQUEIO 3/8" NPT EM LATÃO COM ACABAMENTO EM EPÓXI COM BATOQUE ROSA PARA NITROGÊNIO. LAB. LINEA INDUSTRIA E COMERCIO DE MOVEIS PARA LABORATÓRIOS LTDA. - 1,00 LB7162 VACUO CONJUNTO COM COMANDO A DISTANCIA FORMADO POR BICO ANGULAR ESCALONADO E REGISTRO DE BLOQUEIO 3/8" NPT EM LATÃO COM ACABAMENTO EM EPÓXI COM BATOQUE CINZA PARA VÁCUO.</t>
  </si>
  <si>
    <t xml:space="preserve">SALA DE CORTES - Armário medindo 900x520x2000mm provida de duas portas e seis níveis de apoio. - COMPOSTO DE: 2,00 MÃOS FRANCESA BRANCA MED. 200X250MM - </t>
  </si>
  <si>
    <t>SALA LIQUIDOS DENSOS - CAPELA MODELO LS-408 MEDINDO 1500X890X2600MM - COMPOSTO DE: 1,00 CORPO SUP EXT CAP150 CORPO SUPERIOR EXTERNO REVESTIDO EXTERNAMENTE E INTERNAMENTE EM LAMINADO MELAMÍNICO. ACESSO A LUMINÁRIA, ELÉTRICA E SAÍDA DA EXAUSTÃO, POR UMA PORTA NA PARTE FRONTAL SUPERIOR. PAINÉIS LATERAIS EM ALUMÍNIO PINTADO EM EPÓXI A PÓ POR PROCESSO DE ELETRODEPOSIÇÃO PARA FIXAÇÃO DE TOMADAS, VÁLVULAS DE COMANDO DAS UTILIDADES, INTERRUPTOR DA LUMINÁRIA E BOTOEIRA CASO NECESSÁRIOS. ALTURA EXTERNA FINAL 1780MM. - 1,00 LUMINARIA CAP RETANG KIT COMPLETO DE LUMINÁRIA COM DUAS LÂMPADAS TUBULARES 9W EQUIVALÊNCIA 20W FLUORESCENTE. - 1,00 EST.BASE.VAZ.CAP1500 ESTRUTURA DE BASE VAZADA PARA CAPELA E PAINEL DE FUNDO REMOVÍVEL.LAB. LINEA INDUSTRIA E COMERCIO DE MOVEIS PARA LABORATÓRIOS LTDA. - 2,50 MANGUEIRA CZ 50MM MANGUEIRA CINZA CORRUGADA MED. 50MM. - 1,00 GAB.BASE.500_ESQ GABINETE DE BASE MEDINDO 500X450X805MM PARA CAPELA, PROVIDO DE UMA PORTA A ESQUERDA E UMA PRATELEIRA. - 1,00 GAB.BASE.900 GABINETE DE BASE MEDINDO 900X450X805MM PARA CAPELA, PROVIDO DE DUAS PORTAS E UMA PRATELEIRA. - 1,00 BOXTS/LS1500 CORPO INTERNO (BOX), CONSTRUÍDO EM COMPENSADO NAVAL DE 15 MM DE ESPESSURA REVESTIDO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COMPRIMENTO DE 1500MM. - 1,00 TAMP.CAP. AA.1500 TAMPO CONSTRUÍDO EM MADEIRA DE LEI COMPENSADA DO TIPO NAVAL REVESTIDO EM CERÂMICA ANTIÁCIDA (DUAS CURAS) MARCA GAIL, ESTUCADA COM MASSA EPÓXI ESPECIAL E REJUNTADA COM RESINA FN, COM BORDA DE RETENÇÃO EM RESINA POLIÉSTER.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CJCHICTS/LS1500 CHICANA DEFLETORA PARA ORIENTAÇÃO DE FLUXO DE TIRAGEM, PLANA, CONSTRUÍDA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1500MM DE COMPRIMENTO. - 1,00 E25 EXAUSTOR CENTRIFUGO TIPO "LIMIT LOAD" COM AS SEGUINTES CARACTERÍSTICAS: VAZÃO: 2140 M3/H, PRESSÃO: 45MM CA, ROTAÇÃO: 1720 RPM, MOTOR: 1,0 CV, TRANSMISSÃO: DIRETA, MAT. DE CONSTRUÇÃO: PRFV(PLÁSTICO REFORÇADO COM FIBRA DE VIDRO) E ROTOR EM PRFV. 1,00 KITELETCAN1 KIT ELÉTRICA PARA EXAUSTÃO DE CAPELA, COM INVERSOR DE FREQUÊNCIA 1,0CV. - 1,00 SUPORTE  PARA EXAUSTOR INSTALADO EM PAREDE EM AÇO CARBONO, PROTEGIDO POR PINTURA EPÓXI. - 8,00 DUTO250 METRO(S) LINEAR(ES) DE DUTO EM PVC RÍGIDO COM 250MM DE DIÂMETRO. - 2,00 CURVA90250 CURVA 90 GRAUS EM PVC COM DIÂMETRO DE 250MM. - 1,00 CURVA135250 CURVA 135 GRAUS EM PVC COM DIÂMETRO DE 250MM. - 2,00 FIX250 SISTEMA DE FIXAÇÃO PARA DUTO DE 250MM DE DIÂMETRO. - 0,16 LL2049 H2600 ABS METRO(S) LINEAR(ES) DE PAINEL PARA ACABAMENTO LATERAL APARENTE DE CAPELAS. - 0,16 LL2049 H2600 ABS METRO(S) LINEAR(ES) DE PAINEL PARA ACABAMENTO LATERAL APARENTE DE CAPELAS. - UTILIDADES: - 1,00 LL9052CAP KIT DE ELETRICA COMPOSTO DE UMA TOMADA 110 V, UMA TOMADA 220V, UM INTERRUPTOR PARA LUMINÁRIA E UM INTERRUPTOR PARA EXAUSTOR, MONTADAS EM ESPELHO DE ALUMÍNIO PINTADO EM EPÓXI BRANCO PARA CAPELAS. - 1,00 LB7162 NITROGENIO CONJUNTO COM COMANDO A DISTÂNCIA FORMADO POR BICO ANGULAR ESCALONADO E REGISTRO DE BLOQUEIO 3/8" NPT EM LATÃO COM ACABAMENTO EM EPÓXI COM BATOQUE ROSA PARA NITROGÊNIO. - 1,00 LB7162 VACUO CONJUNTO COM COMANDO A DISTANCIA FORMADO POR BICO ANGULAR ESCALONADO E REGISTRO DE BLOQUEIO 3/8" NPT EM LATÃO COM ACABAMENTO EM EPÓXI COM BATOQUE CINZA PARA VÁCUO.</t>
  </si>
  <si>
    <t>SALA DE PREPARO 2 - SISTEMA DE EXAUSTAO  - COMPOSTO DE: 1,00 COIFAINOX04-E COIFA 04 AGUAS CONFECCIONADA EM AÇO INOX AISI 304, MEDINDO 3300X1150X500MM. - 1,00 E35 EXAUSTOR CENTRIFUGO TIPO "LIMIT LOAD" COM AS SEGUINTES CARACTERÍSTICAS: VAZÃO: 4815 M3/H , PRESSÃO: 65MM CA, ROTAÇÃO: 1750 RPM, MOTOR: 2,0 CV, TRANSMISSÃO: DIRETA, MAT. DE CONSTRUÇÃO: PRFV(PLÁSTICO REFORÇADO COM FIBRA DE VIDRO) E ROTOR EM PRFV. 1,00 SUPORTE  PARA EXAUSTOR INSTALADO EM PAREDE EM AÇO CARBONO, PROTEGIDO POR PINTURA EPÓXI. - 1,00 KITELETEX2 KIT ELÉTRICA EXTERNO PARA EXAUSTÃO COM INVERSOR DE FREQUÊNCIA 2CV BIFÁSICO. - 8,00 DUTO350 METRO(S) LINEAR(ES) DE DUTO EM PVC RÍGIDO COM 350MM DE DIÂMETRO. - 2,00 CURVA90350 CURVA 90 GRAUS EM PVC COM DIÂMETRO DE 350MM. - 2,00 CURVA45350 CURVA 45 GRAUS EM PVC COM DIÂMETRO DE 350MM. - 1,00 CURVA135350 CURVA 135 GRAUS EM PVC COM DIÂMETRO DE 350MM. - 3,00 FIX350 SISTEMA DE FIXAÇÃO PARA DUTO DE 350MM DE DIÂMETRO</t>
  </si>
  <si>
    <t xml:space="preserve"> SALA DE LAMINAÇÃO - BANCADA LATERAL MEDINDO 2400X900X900MM - Composto de:  2,40 LL4298BI3 Metro(s) linear(es) de tampo em granito natural polido com 30mm de espessura, medindo 900mm de profundidade, com respaldo de 60mm junto a parede e acabamento bizotado. - 1,00 LL2038-E Modulo inferior de cuba medindo 900x700x870mm provida de duas portas. - 1,00 LL2222-E Modulo inferior medindo 900x700x870mm provido de duas portas e uma prateleira. - 1,00 LL2212_ESQ-E Modulo inferior medindo 550x700x870mm provido de uma porta a esquerda e uma prateleira. - 0,05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 - 1,00 LL9012 Válvula americana sifonada em polipropileno medindo 3 1/2" de diâmetro com conexões também em polipropileno para bancada.</t>
  </si>
  <si>
    <t xml:space="preserve">SALA DE FOTOGRAFIA - BANCADA LATERAL MEDINDO 2790X700X900MM - COMPOSTO DE: 2,79 LL4098BI3 METRO(S) LINEAR(ES) DE TAMPO EM GRANITO NATURAL POLIDO COM 30MM DE ESPESSURA, MEDINDO 700MM DE PROFUNDIDADE, COM RESPALDO DE 60MM JUNTO A PAREDE E ACABAMENTO BIZOTADO. - 3,00 LL2222-E MODULO INFERIOR MEDINDO 900X520X870MM PROVIDO DE DUAS PORTAS E UMA PRATELEIRA. - 0,05 LL2049 S ABS METRO(S) LINEAR(ES) DE PAINEL DE ACABAMENTO PARA FECHAMENTO FRONTAL. - 0,16 LL2049 ABS METRO(S) LINEAR(ES) DE PAINEL PARA ACABAMENTO LATERAL APARENTE. </t>
  </si>
  <si>
    <r>
      <rPr>
        <b/>
        <sz val="12"/>
        <color theme="1"/>
        <rFont val="Segoe UI Semilight"/>
        <family val="2"/>
      </rPr>
      <t>SALA FOTOGRAFIA -</t>
    </r>
    <r>
      <rPr>
        <sz val="12"/>
        <color theme="1"/>
        <rFont val="Segoe UI Semilight"/>
        <family val="2"/>
      </rPr>
      <t xml:space="preserve"> ARMARIO SUPERIOR MEDINDO 900X300X900MM PROVIDO DE DUAS PORTAS E TRES NIVEIS DE APOIO.</t>
    </r>
  </si>
  <si>
    <t>SALA DE MAMINAÇÃO - CAPELA MODELO LS-408 MEDINDO 1500X890X2600MM - COMPOSTO DE: RECOMENDADA PARA APLICAÇÕES GERAIS E TRABALHOS COM SOLUÇÕES DILUÍDAS EM TEMPERATURA MÉDIA. - 1,00 CORPO SUP EXT CAP150 CORPO SUPERIOR EXTERNO REVESTIDO EXTERNAMENTE E INTERNAMENTE EM LAMINADO MELAMÍNICO. ACESSO A LUMINÁRIA, ELÉTRICA E SAÍDA DA EXAUSTÃO, POR UMA PORTA NA PARTE FRONTAL SUPERIOR. PAINÉIS LATERAIS EM ALUMÍNIO PINTADO EM EPÓXI A PÓ POR PROCESSO DE ELETRODEPOSIÇÃO PARA FIXAÇÃO DE TOMADAS, VÁLVULAS DE COMANDO DAS UTILIDADES, INTERRUPTOR DA LUMINÁRIA E BOTOEIRA CASO NECESSÁRIOS. ALTURA EXTERNA FINAL 1780MM. - 1,00 LUMINARIA CAP RETANG KIT COMPLETO DE LUMINÁRIA COM DUAS LÂMPADAS TUBULARES 9W EQUIVALÊNCIA 20W FLUORESCENTE. - 1,00 EST.BASE.VAZ.CAP1500 ESTRUTURA DE BASE VAZADA PARA CAPELA E PAINEL DE FUNDO REMOVÍVEL. - 2,50 MANGUEIRA CZ 50MM MANGUEIRA CINZA CORRUGADA MED. 50MM. LAB. LINEA INDUSTRIA E COMERCIO DE MOVEIS PARA LABORATÓRIOS LTDA. - 1,00 GAB.BASE.500_ESQ GABINETE DE BASE MEDINDO 500X450X805MM PARA CAPELA, PROVIDO DE UMA PORTA A ESQUERDA E UMA PRATELEIRA. - 1,00 GAB.BASE.900 GABINETE DE BASE MEDINDO 900X450X805MM PARA CAPELA, PROVIDO DE DUAS PORTAS E UMA PRATELEIRA. - 1,00 BOXTS/LS1500 CORPO INTERNO (BOX), CONSTRUÍDO EM COMPENSADO NAVAL DE 15 MM DE ESPESSURA REVESTIDO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COMPRIMENTO DE 1500MM. - 1,00 TAMP.CAP.AA.1500 TAMPO CONSTRUÍDO EM MADEIRA DE LEI COMPENSADA DO TIPO NAVAL REVESTIDO EM CERÂMICAS ANTIÁCIDAS (DUAS CURAS) MARCA GAIL, ESTUCADA COM MASSA EPÓXI ESPECIAL E REJUNTADA COM RESINA FN, COM BORDA DE RETENÇÃO EM RESINA POLIÉSTER. - 1,00 TAMP.CAP.AA.1500 TAMPO CONSTRUÍDO EM MADEIRA DE LEI COMPENSADA DO TIPO NAVAL REVESTIDO EM CERÂMICAS ANTIÁCIDAS (DUAS CURAS) MARCA GAIL, ESTUCADA COM MASSA EPÓXI ESPECIAL E REJUNTADA COM RESINA FN, COM BORDA DE RETENÇÃO EM RESINA POLIÉSTER.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CJCHICTS/LS1500 CHICANA DEFLETORA PARA ORIENTAÇÃO DE FLUXO DE TIRAGEM, PLANA, CONSTRUÍDA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1500MM DE COMPRIMENTO. - 1,00 E25 EXAUSTOR CENTRIFUGO TIPO "LIMIT LOAD" COM AS SEGUINTES CARACTERÍSTICAS: VAZÃO: 2140 M3/H , PRESSÃO: 45MM CA, ROTAÇÃO: 1720 RPM, MOTOR: 1,0 CV, TRANSMISSÃO: DIRETA, MAT. DE CONSTRUÇÃO: PRFV(PLÁSTICO REFORÇADO COM FIBRA DE VIDRO) E ROTOR EM PRFV. - 1,00 KITELETCAN1 KIT ELÉTRICA PARA EXAUSTÃO DE CAPELA, COM INVERSOR DE FREQUÊNCIA 1,0CV. - 1,00 SUPORTE  PARA EXAUSTOR INSTALADO EM PAREDE EM AÇO CARBONO, PROTEGIDO POR PINTURA EPÓXI. - 8,00 DUTO250 METRO(S) LINEAR(ES) DE DUTO EM PVC RÍGIDO COM 250MM DE DIÂMETRO. - 2,00 CURVA90250 CURVA 90 GRAUS EM PVC COM DIÂMETRO DE 250MM. - 1,00 CURVA135250 CURVA 135 GRAUS EM PVC COM DIÂMETRO DE 250MM. - 2,00 FIX250 SISTEMA DE FIXAÇÃO PARA DUTO DE 250MM DE DIÂMETRO. - 0,16 LL2049 H2600 ABS METRO(S) LINEAR(ES) DE PAINEL PARA ACABAMENTO LATERAL APARENTE DE CAPELAS. - 0,16 LL2049 H2600 ABS METRO(S) LINEAR(ES) DE PAINEL PARA ACABAMENTO LATERAL APARENTE DE CAPELAS. - UTILIDADES: - 1,00 LL9052CAP KIT DE ELÉTRICA COMPOSTO DE UMA TOMADA 110 V, UMA TOMADA 220V, UM INTERRUPTOR PARA LUMINÁRIA E UM INTERRUPTOR PARA EXAUSTOR, MONTADAS EM ESPELHO DE ALUMÍNIO PINTADO EM EPÓXI BRANCO PARA CAPELAS. - 1,00 LB7162 NITROGENIO CONJUNTO COM COMANDO A DISTÂNCIA FORMADO POR BICO ANGULAR ESCALONADO E REGISTRO DE BLOQUEIO 3/8" NPT EM LATÃO COM ACABAMENTO EM EPÓXI COM BATOQUE ROSA PARA NITROGÊNIO. LAB. LINEA INDUSTRIA E COMERCIO DE MOVEIS PARA LABORATÓRIOS LTDA. - 1,00 LB7162 VACUO CONJUNTO COM COMANDO A DISTANCIA FORMADO POR BICO ANGULAR ESCALONADO E REGISTRO DE BLOQUEIO 3/8" NPT EM LATÃO COM ACABAMENTO EM EPÓXI COM BATOQUE CINZA PARA VÁCUO.</t>
  </si>
  <si>
    <t>BAN.15 - BANCADA DE GRANITO CINZA ANDORINHA ESP. 3CM 0,90X0,55M, SAIA ESP. 2CM H=5CM, FRONTISPÍCIO ESP 2CM H =10CM COM FURAÇÃO PARA CUBA E TORNEIRA</t>
  </si>
  <si>
    <t>BAN.14 - BANCADA DE GRANITO CINZA ANDORINHA ESP. 3CM 1,10X0,50M, SAIA ESP. 2CM H=5CM, FRONTISPÍCIO ESP 2CM H =10CM COM FURAÇÃO PARA CUBA E TORNEIRA</t>
  </si>
  <si>
    <t>BAN.13 - BANCADA DE GRANITO CINZA ANDORINHA ESP. 3CM COM ÁREA MOLHADA E SECA 2,25X0,70M, SAIA ESP. 2CM H=5CM, FRONTISPÍCIO ESP 2CM H =40CM COM FURAÇÃO PARA CUBA E TORNEIRA</t>
  </si>
  <si>
    <t>01.01.01</t>
  </si>
  <si>
    <t>01.01.02</t>
  </si>
  <si>
    <t>01.01.03</t>
  </si>
  <si>
    <t>01.01.04</t>
  </si>
  <si>
    <t>01.01.05</t>
  </si>
  <si>
    <t>01.01.06</t>
  </si>
  <si>
    <t>01.01.07</t>
  </si>
  <si>
    <t>01.01.08</t>
  </si>
  <si>
    <t>01.01.09</t>
  </si>
  <si>
    <t>01.02.01</t>
  </si>
  <si>
    <t>01.02.02</t>
  </si>
  <si>
    <t>01.02.03</t>
  </si>
  <si>
    <t>01.02.04</t>
  </si>
  <si>
    <t>01.02.05</t>
  </si>
  <si>
    <t>01.02.06</t>
  </si>
  <si>
    <t>01.02.07</t>
  </si>
  <si>
    <t>01.02.08</t>
  </si>
  <si>
    <t>01.02.09</t>
  </si>
  <si>
    <t>01.02.10</t>
  </si>
  <si>
    <t>01.02.11</t>
  </si>
  <si>
    <t>01.02.12</t>
  </si>
  <si>
    <t>01.03.01</t>
  </si>
  <si>
    <t>01.03.02</t>
  </si>
  <si>
    <t>01.03.03</t>
  </si>
  <si>
    <t>01.04.01</t>
  </si>
  <si>
    <t>01.04.02</t>
  </si>
  <si>
    <t>01.05.01</t>
  </si>
  <si>
    <t>01.05.02</t>
  </si>
  <si>
    <t>01.05.03</t>
  </si>
  <si>
    <t>01.05.04</t>
  </si>
  <si>
    <t>01.05.05</t>
  </si>
  <si>
    <t>01.05.06</t>
  </si>
  <si>
    <t>01.05.07</t>
  </si>
  <si>
    <t>01.05.08</t>
  </si>
  <si>
    <t>01.05.09</t>
  </si>
  <si>
    <t>01.05.10</t>
  </si>
  <si>
    <t>01.05.11</t>
  </si>
  <si>
    <t>02.01.01</t>
  </si>
  <si>
    <t>02.01.01.01</t>
  </si>
  <si>
    <t>02.01.02</t>
  </si>
  <si>
    <t>02.01.02.01</t>
  </si>
  <si>
    <t>02.01.02.02</t>
  </si>
  <si>
    <t>02.01.02.03</t>
  </si>
  <si>
    <t>02.01.02.04</t>
  </si>
  <si>
    <t>02.01.02.05</t>
  </si>
  <si>
    <t>02.01.02.06</t>
  </si>
  <si>
    <t>02.01.03</t>
  </si>
  <si>
    <t>02.01.03.01</t>
  </si>
  <si>
    <t>02.01.03.02</t>
  </si>
  <si>
    <t>02.01.03.03</t>
  </si>
  <si>
    <t>02.01.03.04</t>
  </si>
  <si>
    <t>02.01.03.05</t>
  </si>
  <si>
    <t>02.01.03.06</t>
  </si>
  <si>
    <t>02.01.03.07</t>
  </si>
  <si>
    <t>02.01.04</t>
  </si>
  <si>
    <t>02.01.04.01</t>
  </si>
  <si>
    <t>02.01.04.02</t>
  </si>
  <si>
    <t>02.01.04.03</t>
  </si>
  <si>
    <t>02.01.04.04</t>
  </si>
  <si>
    <t>02.01.04.05</t>
  </si>
  <si>
    <t>02.01.04.06</t>
  </si>
  <si>
    <t>02.01.04.07</t>
  </si>
  <si>
    <t>02.01.04.08</t>
  </si>
  <si>
    <t>02.01.04.09</t>
  </si>
  <si>
    <t>02.01.04.10</t>
  </si>
  <si>
    <t>02.01.04.11</t>
  </si>
  <si>
    <t>02.01.04.12</t>
  </si>
  <si>
    <t>02.01.05</t>
  </si>
  <si>
    <t>02.01.05.01</t>
  </si>
  <si>
    <t>02.01.05.02</t>
  </si>
  <si>
    <t>02.01.05.03</t>
  </si>
  <si>
    <t>02.01.05.04</t>
  </si>
  <si>
    <t>02.01.05.05</t>
  </si>
  <si>
    <t>02.01.05.06</t>
  </si>
  <si>
    <t>02.01.05.07</t>
  </si>
  <si>
    <t>02.01.05.08</t>
  </si>
  <si>
    <t>02.01.05.09</t>
  </si>
  <si>
    <t>02.01.05.10</t>
  </si>
  <si>
    <t>02.01.05.11</t>
  </si>
  <si>
    <t>02.01.06</t>
  </si>
  <si>
    <t>02.01.06.01</t>
  </si>
  <si>
    <t>02.01.06.02</t>
  </si>
  <si>
    <t>02.01.06.03</t>
  </si>
  <si>
    <t>02.01.06.04</t>
  </si>
  <si>
    <t>02.01.06.05</t>
  </si>
  <si>
    <t>02.01.06.06</t>
  </si>
  <si>
    <t>02.01.06.07</t>
  </si>
  <si>
    <t>02.01.07</t>
  </si>
  <si>
    <t>02.01.07.01</t>
  </si>
  <si>
    <t>02.01.07.01.01</t>
  </si>
  <si>
    <t>02.01.07.02</t>
  </si>
  <si>
    <t>02.01.07.02.02</t>
  </si>
  <si>
    <t>02.01.07.03</t>
  </si>
  <si>
    <t>02.01.07.03.03</t>
  </si>
  <si>
    <t>02.01.07.03.04</t>
  </si>
  <si>
    <t>02.01.07.03.05</t>
  </si>
  <si>
    <t>02.01.07.03.06</t>
  </si>
  <si>
    <t>02.01.07.03.07</t>
  </si>
  <si>
    <t>02.01.07.03.08</t>
  </si>
  <si>
    <t>02.01.07.03.09</t>
  </si>
  <si>
    <t>02.01.07.03.10</t>
  </si>
  <si>
    <t>02.01.07.03.11</t>
  </si>
  <si>
    <t>02.01.07.03.12</t>
  </si>
  <si>
    <t>02.01.07.03.13</t>
  </si>
  <si>
    <t>02.01.07.03.14</t>
  </si>
  <si>
    <t>02.01.07.03.15</t>
  </si>
  <si>
    <t>02.01.07.04</t>
  </si>
  <si>
    <t>02.01.07.04.01</t>
  </si>
  <si>
    <t>02.01.07.04.02</t>
  </si>
  <si>
    <t>02.01.07.04.03</t>
  </si>
  <si>
    <t>02.01.07.04.04</t>
  </si>
  <si>
    <t>02.01.07.04.05</t>
  </si>
  <si>
    <t>02.01.07.04.06</t>
  </si>
  <si>
    <t>02.01.07.04.07</t>
  </si>
  <si>
    <t>02.01.07.04.08</t>
  </si>
  <si>
    <t>02.01.07.04.09</t>
  </si>
  <si>
    <t>02.01.07.04.10</t>
  </si>
  <si>
    <t>02.01.07.04.11</t>
  </si>
  <si>
    <t>02.01.07.04.12</t>
  </si>
  <si>
    <t>02.01.07.04.13</t>
  </si>
  <si>
    <t>02.01.07.04.14</t>
  </si>
  <si>
    <t>02.01.07.04.15</t>
  </si>
  <si>
    <t>02.01.07.05</t>
  </si>
  <si>
    <t>02.01.07.05.01</t>
  </si>
  <si>
    <t>02.01.07.05.02</t>
  </si>
  <si>
    <t>02.01.07.05.03</t>
  </si>
  <si>
    <t>02.01.07.05.04</t>
  </si>
  <si>
    <t>02.01.07.05.05</t>
  </si>
  <si>
    <t>02.01.07.05.06</t>
  </si>
  <si>
    <t>02.01.07.05.07</t>
  </si>
  <si>
    <t>02.01.07.05.08</t>
  </si>
  <si>
    <t>02.01.07.05.09</t>
  </si>
  <si>
    <t>02.01.07.05.10</t>
  </si>
  <si>
    <t>02.01.07.05.11</t>
  </si>
  <si>
    <t>02.01.07.05.12</t>
  </si>
  <si>
    <t>02.01.07.05.13</t>
  </si>
  <si>
    <t>02.01.08</t>
  </si>
  <si>
    <t>02.01.08.01</t>
  </si>
  <si>
    <t>02.01.08.02</t>
  </si>
  <si>
    <t>02.01.08.03</t>
  </si>
  <si>
    <t>02.02.01</t>
  </si>
  <si>
    <t>02.02.01.01</t>
  </si>
  <si>
    <t>02.02.01.02</t>
  </si>
  <si>
    <t>02.02.01.03</t>
  </si>
  <si>
    <t>02.02.01.04</t>
  </si>
  <si>
    <t>02.02.01.05</t>
  </si>
  <si>
    <t>02.02.01.06</t>
  </si>
  <si>
    <t>02.02.01.07</t>
  </si>
  <si>
    <t>02.02.01.08</t>
  </si>
  <si>
    <t>02.02.01.09</t>
  </si>
  <si>
    <t>02.02.02</t>
  </si>
  <si>
    <t>02.02.02.01</t>
  </si>
  <si>
    <t>02.02.02.02</t>
  </si>
  <si>
    <t>02.02.02.03</t>
  </si>
  <si>
    <t>02.02.02.04</t>
  </si>
  <si>
    <t>02.02.02.05</t>
  </si>
  <si>
    <t>02.02.03</t>
  </si>
  <si>
    <t>02.02.03.01</t>
  </si>
  <si>
    <t>02.02.03.02</t>
  </si>
  <si>
    <t>02.02.03.03</t>
  </si>
  <si>
    <t>02.02.03.04</t>
  </si>
  <si>
    <t>02.02.03.05</t>
  </si>
  <si>
    <t>02.02.03.06</t>
  </si>
  <si>
    <t>02.02.03.07</t>
  </si>
  <si>
    <t>02.02.03.08</t>
  </si>
  <si>
    <t>02.02.03.09</t>
  </si>
  <si>
    <t>02.02.04</t>
  </si>
  <si>
    <t>02.02.04.01</t>
  </si>
  <si>
    <t>02.02.04.02</t>
  </si>
  <si>
    <t>02.02.04.03</t>
  </si>
  <si>
    <t>02.02.04.04</t>
  </si>
  <si>
    <t>02.02.04.05</t>
  </si>
  <si>
    <t>02.02.04.06</t>
  </si>
  <si>
    <t>02.02.05</t>
  </si>
  <si>
    <t>02.02.05.01</t>
  </si>
  <si>
    <t>02.02.05.01.01</t>
  </si>
  <si>
    <t>02.02.05.01.02</t>
  </si>
  <si>
    <t>02.02.05.01.03</t>
  </si>
  <si>
    <t>02.02.05.01.04</t>
  </si>
  <si>
    <t>02.02.06</t>
  </si>
  <si>
    <t>02.02.06.01</t>
  </si>
  <si>
    <t>02.02.06.02</t>
  </si>
  <si>
    <t>02.02.06.03</t>
  </si>
  <si>
    <t>02.02.06.04</t>
  </si>
  <si>
    <t>02.02.06.05</t>
  </si>
  <si>
    <t>02.02.06.06</t>
  </si>
  <si>
    <t>02.02.06.07</t>
  </si>
  <si>
    <t>02.02.06.08</t>
  </si>
  <si>
    <t>02.02.06.09</t>
  </si>
  <si>
    <t>02.02.06.10</t>
  </si>
  <si>
    <t>02.02.07</t>
  </si>
  <si>
    <t>02.02.07.01</t>
  </si>
  <si>
    <t>02.02.07.02</t>
  </si>
  <si>
    <t>02.02.07.03</t>
  </si>
  <si>
    <t>02.02.07.04</t>
  </si>
  <si>
    <t>02.02.07.05</t>
  </si>
  <si>
    <t>02.02.07.06</t>
  </si>
  <si>
    <t>02.02.07.07</t>
  </si>
  <si>
    <t>02.02.07.08</t>
  </si>
  <si>
    <t>02.02.07.09</t>
  </si>
  <si>
    <t>02.02.07.10</t>
  </si>
  <si>
    <t>02.02.07.11</t>
  </si>
  <si>
    <t>02.02.08</t>
  </si>
  <si>
    <t>02.02.08.01</t>
  </si>
  <si>
    <t>02.02.08.02</t>
  </si>
  <si>
    <t>02.02.08.03</t>
  </si>
  <si>
    <t>02.02.08.04</t>
  </si>
  <si>
    <t>02.02.09</t>
  </si>
  <si>
    <t>02.02.09.01</t>
  </si>
  <si>
    <t>02.02.09.02</t>
  </si>
  <si>
    <t>02.02.09.03</t>
  </si>
  <si>
    <t>02.02.10</t>
  </si>
  <si>
    <t>02.02.10.01</t>
  </si>
  <si>
    <t>02.02.10.02</t>
  </si>
  <si>
    <t>02.02.10.03</t>
  </si>
  <si>
    <t>02.02.11</t>
  </si>
  <si>
    <t>02.02.11.01</t>
  </si>
  <si>
    <t>02.02.11.01.01</t>
  </si>
  <si>
    <t>02.02.11.01.02</t>
  </si>
  <si>
    <t>02.02.11.01.03</t>
  </si>
  <si>
    <t>02.02.11.01.04</t>
  </si>
  <si>
    <t>02.02.11.01.05</t>
  </si>
  <si>
    <t>02.02.11.01.06</t>
  </si>
  <si>
    <t>02.02.11.01.07</t>
  </si>
  <si>
    <t>02.02.11.01.08</t>
  </si>
  <si>
    <t>02.02.11.01.09</t>
  </si>
  <si>
    <t>02.02.11.02</t>
  </si>
  <si>
    <t>02.02.11.02.10</t>
  </si>
  <si>
    <t>02.02.11.02.11</t>
  </si>
  <si>
    <t>02.02.11.02.12</t>
  </si>
  <si>
    <t>02.02.11.02.13</t>
  </si>
  <si>
    <t>02.02.11.02.14</t>
  </si>
  <si>
    <t>02.02.11.02.15</t>
  </si>
  <si>
    <t>02.02.11.02.16</t>
  </si>
  <si>
    <t>02.02.11.02.17</t>
  </si>
  <si>
    <t>02.02.11.02.18</t>
  </si>
  <si>
    <t>02.02.11.02.19</t>
  </si>
  <si>
    <t>02.02.11.02.20</t>
  </si>
  <si>
    <t>02.02.11.02.21</t>
  </si>
  <si>
    <t>02.02.11.02.22</t>
  </si>
  <si>
    <t>02.02.11.02.23</t>
  </si>
  <si>
    <t>02.02.12</t>
  </si>
  <si>
    <t>02.02.12.01</t>
  </si>
  <si>
    <t>02.02.12.02</t>
  </si>
  <si>
    <t>02.02.12.03</t>
  </si>
  <si>
    <t>02.02.12.04</t>
  </si>
  <si>
    <t>02.02.12.05</t>
  </si>
  <si>
    <t>02.02.13</t>
  </si>
  <si>
    <t>02.02.13.01</t>
  </si>
  <si>
    <t>02.02.13.02</t>
  </si>
  <si>
    <t>02.02.13.03</t>
  </si>
  <si>
    <t>02.02.14</t>
  </si>
  <si>
    <t>02.02.14.01</t>
  </si>
  <si>
    <t>02.02.14.02</t>
  </si>
  <si>
    <t>02.02.14.03</t>
  </si>
  <si>
    <t>02.02.14.04</t>
  </si>
  <si>
    <t>02.02.14.05</t>
  </si>
  <si>
    <t>02.02.14.06</t>
  </si>
  <si>
    <t>02.02.14.07</t>
  </si>
  <si>
    <t>02.02.14.08</t>
  </si>
  <si>
    <t>02.02.14.09</t>
  </si>
  <si>
    <t>02.02.14.10</t>
  </si>
  <si>
    <t>02.02.14.11</t>
  </si>
  <si>
    <t>02.02.14.12</t>
  </si>
  <si>
    <t>02.02.14.13</t>
  </si>
  <si>
    <t>02.02.14.14</t>
  </si>
  <si>
    <t>02.02.14.15</t>
  </si>
  <si>
    <t>02.02.14.16</t>
  </si>
  <si>
    <t>02.02.14.17</t>
  </si>
  <si>
    <t>02.02.14.18</t>
  </si>
  <si>
    <t>02.02.14.19</t>
  </si>
  <si>
    <t>02.02.14.20</t>
  </si>
  <si>
    <t>02.02.14.21</t>
  </si>
  <si>
    <t>02.02.14.22</t>
  </si>
  <si>
    <t>02.02.15</t>
  </si>
  <si>
    <t>02.02.15.01</t>
  </si>
  <si>
    <t>02.02.15.01.01</t>
  </si>
  <si>
    <t>02.02.15.01.02</t>
  </si>
  <si>
    <t>02.02.15.01.03</t>
  </si>
  <si>
    <t>02.02.15.01.04</t>
  </si>
  <si>
    <t>02.02.15.01.05</t>
  </si>
  <si>
    <t>02.02.15.01.06</t>
  </si>
  <si>
    <t>02.02.15.01.07</t>
  </si>
  <si>
    <t>02.02.15.01.08</t>
  </si>
  <si>
    <t>02.02.15.01.09</t>
  </si>
  <si>
    <t>02.02.15.01.10</t>
  </si>
  <si>
    <t>02.02.15.01.11</t>
  </si>
  <si>
    <t>02.02.15.01.12</t>
  </si>
  <si>
    <t>02.02.15.02</t>
  </si>
  <si>
    <t>02.02.15.02.01</t>
  </si>
  <si>
    <t>02.02.15.02.02</t>
  </si>
  <si>
    <t>02.02.15.02.03</t>
  </si>
  <si>
    <t>02.02.15.02.04</t>
  </si>
  <si>
    <t>02.02.15.02.05</t>
  </si>
  <si>
    <t>02.02.15.02.06</t>
  </si>
  <si>
    <t>02.02.15.03</t>
  </si>
  <si>
    <t>02.02.15.03.01</t>
  </si>
  <si>
    <t>02.02.15.03.02</t>
  </si>
  <si>
    <t>02.02.15.04</t>
  </si>
  <si>
    <t>02.02.15.04.01</t>
  </si>
  <si>
    <t>02.02.15.04.02</t>
  </si>
  <si>
    <t>02.02.15.04.03</t>
  </si>
  <si>
    <t>02.02.15.04.04</t>
  </si>
  <si>
    <t>02.02.15.04.05</t>
  </si>
  <si>
    <t>02.02.15.04.06</t>
  </si>
  <si>
    <t>02.02.15.04.07</t>
  </si>
  <si>
    <t>02.02.15.05</t>
  </si>
  <si>
    <t>02.02.15.05.01</t>
  </si>
  <si>
    <t>02.02.15.05.02</t>
  </si>
  <si>
    <t>02.02.15.05.03</t>
  </si>
  <si>
    <t>02.02.15.05.04</t>
  </si>
  <si>
    <t>02.02.15.05.05</t>
  </si>
  <si>
    <t>02.02.15.05.06</t>
  </si>
  <si>
    <t>02.02.15.05.07</t>
  </si>
  <si>
    <t>02.02.15.05.08</t>
  </si>
  <si>
    <t>02.02.15.05.09</t>
  </si>
  <si>
    <t>02.02.15.05.10</t>
  </si>
  <si>
    <t>02.02.15.05.11</t>
  </si>
  <si>
    <t>02.02.15.05.12</t>
  </si>
  <si>
    <t>02.02.15.05.13</t>
  </si>
  <si>
    <t>02.02.15.05.14</t>
  </si>
  <si>
    <t>02.02.15.05.15</t>
  </si>
  <si>
    <t>02.02.15.05.16</t>
  </si>
  <si>
    <t>02.02.15.05.17</t>
  </si>
  <si>
    <t>02.02.15.05.18</t>
  </si>
  <si>
    <t>02.02.15.05.19</t>
  </si>
  <si>
    <t>02.02.15.05.20</t>
  </si>
  <si>
    <t>02.02.15.05.21</t>
  </si>
  <si>
    <t>02.02.15.05.22</t>
  </si>
  <si>
    <t>02.02.15.05.23</t>
  </si>
  <si>
    <t>02.02.15.05.24</t>
  </si>
  <si>
    <t>02.02.15.05.25</t>
  </si>
  <si>
    <t>02.02.15.05.26</t>
  </si>
  <si>
    <t>02.02.15.05.27</t>
  </si>
  <si>
    <t>02.02.15.05.28</t>
  </si>
  <si>
    <t>02.02.15.05.29</t>
  </si>
  <si>
    <t>02.02.15.05.30</t>
  </si>
  <si>
    <t>02.02.15.05.31</t>
  </si>
  <si>
    <t>02.02.15.05.32</t>
  </si>
  <si>
    <t>02.02.15.05.33</t>
  </si>
  <si>
    <t>02.02.15.05.34</t>
  </si>
  <si>
    <t>02.02.15.06</t>
  </si>
  <si>
    <t>02.02.15.06.01</t>
  </si>
  <si>
    <t>02.02.15.06.02</t>
  </si>
  <si>
    <t>02.02.15.06.03</t>
  </si>
  <si>
    <t>02.02.15.06.04</t>
  </si>
  <si>
    <t>02.02.15.06.05</t>
  </si>
  <si>
    <t>02.02.15.06.06</t>
  </si>
  <si>
    <t>02.02.16</t>
  </si>
  <si>
    <t>02.02.16.01</t>
  </si>
  <si>
    <t>02.02.16.02</t>
  </si>
  <si>
    <t>02.02.16.03</t>
  </si>
  <si>
    <t>02.02.16.04</t>
  </si>
  <si>
    <t>02.02.16.05</t>
  </si>
  <si>
    <t>02.02.17</t>
  </si>
  <si>
    <t>02.02.17.01</t>
  </si>
  <si>
    <t>02.02.17.02</t>
  </si>
  <si>
    <t>02.02.17.03</t>
  </si>
  <si>
    <t>02.02.17.04</t>
  </si>
  <si>
    <t>02.02.17.05</t>
  </si>
  <si>
    <t>02.02.17.06</t>
  </si>
  <si>
    <t>02.02.17.07</t>
  </si>
  <si>
    <t>02.02.17.08</t>
  </si>
  <si>
    <t>02.02.17.09</t>
  </si>
  <si>
    <t>02.02.17.10</t>
  </si>
  <si>
    <t>02.02.17.11</t>
  </si>
  <si>
    <t>02.02.17.12</t>
  </si>
  <si>
    <t>02.02.17.13</t>
  </si>
  <si>
    <t>02.02.17.14</t>
  </si>
  <si>
    <t>02.02.17.15</t>
  </si>
  <si>
    <t>02.02.17.16</t>
  </si>
  <si>
    <t>02.02.17.17</t>
  </si>
  <si>
    <t>02.02.17.18</t>
  </si>
  <si>
    <t>02.02.17.19</t>
  </si>
  <si>
    <t>02.02.17.20</t>
  </si>
  <si>
    <t>02.02.17.21</t>
  </si>
  <si>
    <t>02.02.17.22</t>
  </si>
  <si>
    <t>02.02.17.23</t>
  </si>
  <si>
    <t>02.02.17.24</t>
  </si>
  <si>
    <t>02.02.17.25</t>
  </si>
  <si>
    <t>02.02.17.26</t>
  </si>
  <si>
    <t>02.02.17.27</t>
  </si>
  <si>
    <t>02.03.01</t>
  </si>
  <si>
    <t>02.03.01.01</t>
  </si>
  <si>
    <t>02.03.01.02</t>
  </si>
  <si>
    <t>02.03.01.03</t>
  </si>
  <si>
    <t>02.03.01.04</t>
  </si>
  <si>
    <t>02.03.01.05</t>
  </si>
  <si>
    <t>02.03.01.06</t>
  </si>
  <si>
    <t>02.03.01.07</t>
  </si>
  <si>
    <t>02.03.02</t>
  </si>
  <si>
    <t>02.03.02.01</t>
  </si>
  <si>
    <t>02.03.02.01.01</t>
  </si>
  <si>
    <t>02.03.02.01.02</t>
  </si>
  <si>
    <t>02.03.02.01.03</t>
  </si>
  <si>
    <t>02.03.02.01.04</t>
  </si>
  <si>
    <t>02.03.02.01.05</t>
  </si>
  <si>
    <t>02.03.02.01.06</t>
  </si>
  <si>
    <t>02.03.02.01.07</t>
  </si>
  <si>
    <t>02.03.02.01.08</t>
  </si>
  <si>
    <t>02.03.02.01.09</t>
  </si>
  <si>
    <t>02.03.02.01.10</t>
  </si>
  <si>
    <t>02.03.02.01.11</t>
  </si>
  <si>
    <t>02.03.02.01.12</t>
  </si>
  <si>
    <t>02.03.02.01.13</t>
  </si>
  <si>
    <t>02.03.02.01.14</t>
  </si>
  <si>
    <t>02.03.02.01.15</t>
  </si>
  <si>
    <t>02.03.02.01.16</t>
  </si>
  <si>
    <t>02.03.02.01.17</t>
  </si>
  <si>
    <t>02.03.02.01.18</t>
  </si>
  <si>
    <t>02.03.02.01.19</t>
  </si>
  <si>
    <t>02.03.02.01.20</t>
  </si>
  <si>
    <t>02.03.02.01.21</t>
  </si>
  <si>
    <t>02.03.02.01.22</t>
  </si>
  <si>
    <t>02.03.02.01.23</t>
  </si>
  <si>
    <t>02.03.02.01.24</t>
  </si>
  <si>
    <t>02.03.02.01.25</t>
  </si>
  <si>
    <t>02.03.02.01.26</t>
  </si>
  <si>
    <t>02.03.02.01.27</t>
  </si>
  <si>
    <t>02.03.02.01.28</t>
  </si>
  <si>
    <t>02.03.02.01.29</t>
  </si>
  <si>
    <t>02.03.02.01.30</t>
  </si>
  <si>
    <t>02.03.02.01.31</t>
  </si>
  <si>
    <t>02.03.02.02</t>
  </si>
  <si>
    <t>02.03.02.02.32</t>
  </si>
  <si>
    <t>02.03.02.02.33</t>
  </si>
  <si>
    <t>02.03.02.03</t>
  </si>
  <si>
    <t>02.03.02.03.34</t>
  </si>
  <si>
    <t>02.03.02.03.35</t>
  </si>
  <si>
    <t>02.03.02.03.36</t>
  </si>
  <si>
    <t>02.03.02.03.37</t>
  </si>
  <si>
    <t>02.03.03</t>
  </si>
  <si>
    <t>02.03.03.01</t>
  </si>
  <si>
    <t>02.03.03.01.01</t>
  </si>
  <si>
    <t>02.03.03.01.02</t>
  </si>
  <si>
    <t>02.03.03.01.03</t>
  </si>
  <si>
    <t>02.03.03.01.04</t>
  </si>
  <si>
    <t>02.03.03.01.05</t>
  </si>
  <si>
    <t>02.03.03.01.06</t>
  </si>
  <si>
    <t>02.03.03.01.07</t>
  </si>
  <si>
    <t>02.03.03.01.08</t>
  </si>
  <si>
    <t>02.03.03.01.09</t>
  </si>
  <si>
    <t>02.03.03.01.10</t>
  </si>
  <si>
    <t>02.03.03.01.11</t>
  </si>
  <si>
    <t>02.03.03.01.12</t>
  </si>
  <si>
    <t>02.03.03.01.13</t>
  </si>
  <si>
    <t>02.03.03.02</t>
  </si>
  <si>
    <t>02.03.03.02.14</t>
  </si>
  <si>
    <t>02.03.03.02.15</t>
  </si>
  <si>
    <t>02.03.03.02.16</t>
  </si>
  <si>
    <t>02.03.03.02.17</t>
  </si>
  <si>
    <t>02.03.03.02.18</t>
  </si>
  <si>
    <t>02.03.03.02.19</t>
  </si>
  <si>
    <t>02.03.03.02.20</t>
  </si>
  <si>
    <t>02.03.03.02.21</t>
  </si>
  <si>
    <t>02.03.03.02.22</t>
  </si>
  <si>
    <t>02.03.03.02.23</t>
  </si>
  <si>
    <t>02.03.03.03</t>
  </si>
  <si>
    <t>02.03.03.03.24</t>
  </si>
  <si>
    <t>02.03.03.03.25</t>
  </si>
  <si>
    <t>02.03.03.03.26</t>
  </si>
  <si>
    <t>02.03.03.03.27</t>
  </si>
  <si>
    <t>02.03.03.03.28</t>
  </si>
  <si>
    <t>02.03.03.03.29</t>
  </si>
  <si>
    <t>02.03.03.03.30</t>
  </si>
  <si>
    <t>02.03.03.03.31</t>
  </si>
  <si>
    <t>02.03.03.03.32</t>
  </si>
  <si>
    <t>02.03.03.03.33</t>
  </si>
  <si>
    <t>02.03.03.03.34</t>
  </si>
  <si>
    <t>02.03.03.03.35</t>
  </si>
  <si>
    <t>02.03.03.03.36</t>
  </si>
  <si>
    <t>02.03.03.03.37</t>
  </si>
  <si>
    <t>02.03.03.03.38</t>
  </si>
  <si>
    <t>02.03.03.03.39</t>
  </si>
  <si>
    <t>02.03.03.03.40</t>
  </si>
  <si>
    <t>02.03.03.04</t>
  </si>
  <si>
    <t>02.03.03.04.41</t>
  </si>
  <si>
    <t>02.03.03.04.42</t>
  </si>
  <si>
    <t>02.03.04</t>
  </si>
  <si>
    <t>02.03.04.01</t>
  </si>
  <si>
    <t>02.03.04.02</t>
  </si>
  <si>
    <t>02.03.04.03</t>
  </si>
  <si>
    <t>02.03.04.04</t>
  </si>
  <si>
    <t>02.03.05</t>
  </si>
  <si>
    <t>02.03.05.01</t>
  </si>
  <si>
    <t>02.03.05.02</t>
  </si>
  <si>
    <t>02.03.05.03</t>
  </si>
  <si>
    <t>02.03.05.04</t>
  </si>
  <si>
    <t>02.03.05.05</t>
  </si>
  <si>
    <t>02.03.05.06</t>
  </si>
  <si>
    <t>02.03.05.07</t>
  </si>
  <si>
    <t>02.03.06</t>
  </si>
  <si>
    <t>02.03.06.01</t>
  </si>
  <si>
    <t>02.03.06.02</t>
  </si>
  <si>
    <t>02.03.06.03</t>
  </si>
  <si>
    <t>02.03.06.04</t>
  </si>
  <si>
    <t>02.03.06.05</t>
  </si>
  <si>
    <t>02.03.06.06</t>
  </si>
  <si>
    <t>02.03.06.07</t>
  </si>
  <si>
    <t>02.03.06.08</t>
  </si>
  <si>
    <t>02.03.06.09</t>
  </si>
  <si>
    <t>02.03.06.10</t>
  </si>
  <si>
    <t>02.03.06.11</t>
  </si>
  <si>
    <t>02.03.06.12</t>
  </si>
  <si>
    <t>02.03.06.13</t>
  </si>
  <si>
    <t>02.03.06.14</t>
  </si>
  <si>
    <t>02.03.06.15</t>
  </si>
  <si>
    <t>02.03.06.16</t>
  </si>
  <si>
    <t>02.03.07</t>
  </si>
  <si>
    <t>02.03.07.01</t>
  </si>
  <si>
    <t>02.03.07.02</t>
  </si>
  <si>
    <t>02.03.07.03</t>
  </si>
  <si>
    <t>02.03.07.04</t>
  </si>
  <si>
    <t>02.03.07.05</t>
  </si>
  <si>
    <t>02.03.07.06</t>
  </si>
  <si>
    <t>02.03.07.07</t>
  </si>
  <si>
    <t>02.03.07.08</t>
  </si>
  <si>
    <t>02.03.07.09</t>
  </si>
  <si>
    <t>02.03.07.10</t>
  </si>
  <si>
    <t>02.03.08</t>
  </si>
  <si>
    <t>02.03.08.01</t>
  </si>
  <si>
    <t>02.03.08.02</t>
  </si>
  <si>
    <t>02.03.08.03</t>
  </si>
  <si>
    <t>02.03.08.04</t>
  </si>
  <si>
    <t>02.03.08.05</t>
  </si>
  <si>
    <t>02.03.08.06</t>
  </si>
  <si>
    <t>02.03.08.07</t>
  </si>
  <si>
    <t>02.03.08.08</t>
  </si>
  <si>
    <t>02.03.08.09</t>
  </si>
  <si>
    <t>02.03.08.10</t>
  </si>
  <si>
    <t>02.03.08.11</t>
  </si>
  <si>
    <t>02.03.08.12</t>
  </si>
  <si>
    <t>02.03.08.13</t>
  </si>
  <si>
    <t>02.03.08.14</t>
  </si>
  <si>
    <t>02.03.08.15</t>
  </si>
  <si>
    <t>02.03.08.16</t>
  </si>
  <si>
    <t>02.03.08.17</t>
  </si>
  <si>
    <t>02.03.08.18</t>
  </si>
  <si>
    <t>02.03.09</t>
  </si>
  <si>
    <t>02.03.09.01</t>
  </si>
  <si>
    <t>02.03.09.02</t>
  </si>
  <si>
    <t>02.03.09.03</t>
  </si>
  <si>
    <t>02.03.09.04</t>
  </si>
  <si>
    <t>02.03.09.05</t>
  </si>
  <si>
    <t>02.03.09.06</t>
  </si>
  <si>
    <t>02.03.09.07</t>
  </si>
  <si>
    <t>02.03.09.08</t>
  </si>
  <si>
    <t>02.03.09.09</t>
  </si>
  <si>
    <t>02.03.09.10</t>
  </si>
  <si>
    <t>02.03.09.11</t>
  </si>
  <si>
    <t>02.03.09.12</t>
  </si>
  <si>
    <t>02.03.09.13</t>
  </si>
  <si>
    <t>02.03.09.14</t>
  </si>
  <si>
    <t>02.03.09.15</t>
  </si>
  <si>
    <t>02.03.09.16</t>
  </si>
  <si>
    <t>02.03.09.17</t>
  </si>
  <si>
    <t>02.03.09.18</t>
  </si>
  <si>
    <t>02.03.09.19</t>
  </si>
  <si>
    <t>02.03.09.20</t>
  </si>
  <si>
    <t>02.03.09.21</t>
  </si>
  <si>
    <t>02.03.09.22</t>
  </si>
  <si>
    <t>02.03.09.23</t>
  </si>
  <si>
    <t>02.03.09.24</t>
  </si>
  <si>
    <t>02.03.09.25</t>
  </si>
  <si>
    <t>02.03.09.26</t>
  </si>
  <si>
    <t>02.03.09.27</t>
  </si>
  <si>
    <t>02.03.09.28</t>
  </si>
  <si>
    <t>02.03.09.29</t>
  </si>
  <si>
    <t>02.03.09.30</t>
  </si>
  <si>
    <t>02.03.09.31</t>
  </si>
  <si>
    <t>02.03.09.32</t>
  </si>
  <si>
    <t>02.03.09.33</t>
  </si>
  <si>
    <t>02.03.09.34</t>
  </si>
  <si>
    <t>02.03.09.35</t>
  </si>
  <si>
    <t>02.03.09.36</t>
  </si>
  <si>
    <t>02.03.09.37</t>
  </si>
  <si>
    <t>02.03.09.38</t>
  </si>
  <si>
    <t>02.03.10</t>
  </si>
  <si>
    <t>02.03.10.01</t>
  </si>
  <si>
    <t>02.03.10.01.01</t>
  </si>
  <si>
    <t>02.03.10.01.02</t>
  </si>
  <si>
    <t>02.03.10.01.03</t>
  </si>
  <si>
    <t>02.03.10.01.04</t>
  </si>
  <si>
    <t>02.03.10.01.05</t>
  </si>
  <si>
    <t>02.03.10.02</t>
  </si>
  <si>
    <t>02.03.10.02.06</t>
  </si>
  <si>
    <t>02.03.10.02.07</t>
  </si>
  <si>
    <t>02.03.10.02.08</t>
  </si>
  <si>
    <t>02.03.10.02.09</t>
  </si>
  <si>
    <t>02.03.10.03</t>
  </si>
  <si>
    <t>02.03.10.03.10</t>
  </si>
  <si>
    <t>02.03.10.04</t>
  </si>
  <si>
    <t>02.03.10.04.11</t>
  </si>
  <si>
    <t>02.03.10.04.12</t>
  </si>
  <si>
    <t>02.03.10.04.13</t>
  </si>
  <si>
    <t>02.03.10.04.14</t>
  </si>
  <si>
    <t>02.03.10.04.15</t>
  </si>
  <si>
    <t>02.03.11</t>
  </si>
  <si>
    <t>02.03.11.01</t>
  </si>
  <si>
    <t>02.03.11.01.01</t>
  </si>
  <si>
    <t>02.03.11.01.02</t>
  </si>
  <si>
    <t>02.03.11.02</t>
  </si>
  <si>
    <t>02.03.11.02.01</t>
  </si>
  <si>
    <t>02.03.11.02.02</t>
  </si>
  <si>
    <t>02.03.11.03</t>
  </si>
  <si>
    <t>02.03.11.03.01</t>
  </si>
  <si>
    <t>02.03.11.03.02</t>
  </si>
  <si>
    <t>02.03.11.03.03</t>
  </si>
  <si>
    <t>02.03.11.03.04</t>
  </si>
  <si>
    <t>02.03.11.03.05</t>
  </si>
  <si>
    <t>02.03.11.03.06</t>
  </si>
  <si>
    <t>02.03.11.03.07</t>
  </si>
  <si>
    <t>02.03.11.03.08</t>
  </si>
  <si>
    <t>02.03.11.03.09</t>
  </si>
  <si>
    <t>02.03.11.03.10</t>
  </si>
  <si>
    <t>02.03.11.03.11</t>
  </si>
  <si>
    <t>02.03.11.03.12</t>
  </si>
  <si>
    <t>02.03.11.03.13</t>
  </si>
  <si>
    <t>02.03.11.03.14</t>
  </si>
  <si>
    <t>02.03.11.04</t>
  </si>
  <si>
    <t>02.03.11.04.01</t>
  </si>
  <si>
    <t>02.03.11.04.02</t>
  </si>
  <si>
    <t>02.03.11.04.03</t>
  </si>
  <si>
    <t>02.03.11.04.04</t>
  </si>
  <si>
    <t>02.03.11.04.05</t>
  </si>
  <si>
    <t>02.03.11.04.06</t>
  </si>
  <si>
    <t>02.03.11.04.07</t>
  </si>
  <si>
    <t>02.03.11.04.08</t>
  </si>
  <si>
    <t>02.03.11.04.09</t>
  </si>
  <si>
    <t>02.03.11.05</t>
  </si>
  <si>
    <t>02.03.11.05.01</t>
  </si>
  <si>
    <t>02.03.11.05.02</t>
  </si>
  <si>
    <t>02.03.11.05.03</t>
  </si>
  <si>
    <t>02.03.11.05.04</t>
  </si>
  <si>
    <t>02.03.11.05.05</t>
  </si>
  <si>
    <t>02.03.11.05.06</t>
  </si>
  <si>
    <t>02.03.11.05.07</t>
  </si>
  <si>
    <t>02.03.11.05.08</t>
  </si>
  <si>
    <t>02.03.11.05.09</t>
  </si>
  <si>
    <t>02.03.11.05.10</t>
  </si>
  <si>
    <t>02.03.11.05.11</t>
  </si>
  <si>
    <t>02.03.11.05.12</t>
  </si>
  <si>
    <t>02.03.11.05.13</t>
  </si>
  <si>
    <t>02.03.11.06</t>
  </si>
  <si>
    <t>02.03.11.06.01</t>
  </si>
  <si>
    <t>02.03.11.06.02</t>
  </si>
  <si>
    <t>02.03.11.06.03</t>
  </si>
  <si>
    <t>02.03.11.06.04</t>
  </si>
  <si>
    <t>02.03.11.06.05</t>
  </si>
  <si>
    <t>02.03.11.06.06</t>
  </si>
  <si>
    <t>02.03.11.06.07</t>
  </si>
  <si>
    <t>02.03.11.06.08</t>
  </si>
  <si>
    <t>02.03.11.06.09</t>
  </si>
  <si>
    <t>02.03.11.07</t>
  </si>
  <si>
    <t>02.03.11.07.01</t>
  </si>
  <si>
    <t>02.03.11.07.02</t>
  </si>
  <si>
    <t>02.03.11.07.03</t>
  </si>
  <si>
    <t>02.03.11.07.04</t>
  </si>
  <si>
    <t>02.03.11.07.05</t>
  </si>
  <si>
    <t>02.03.11.07.06</t>
  </si>
  <si>
    <t>02.03.11.07.07</t>
  </si>
  <si>
    <t>02.03.11.07.08</t>
  </si>
  <si>
    <t>02.03.11.07.09</t>
  </si>
  <si>
    <t>02.03.11.07.10</t>
  </si>
  <si>
    <t>02.03.11.08</t>
  </si>
  <si>
    <t>02.03.11.08.01</t>
  </si>
  <si>
    <t>02.03.11.08.02</t>
  </si>
  <si>
    <t>02.03.11.08.03</t>
  </si>
  <si>
    <t>02.03.11.08.04</t>
  </si>
  <si>
    <t>02.03.11.08.05</t>
  </si>
  <si>
    <t>02.03.11.08.06</t>
  </si>
  <si>
    <t>02.03.11.08.07</t>
  </si>
  <si>
    <t>02.03.11.08.08</t>
  </si>
  <si>
    <t>02.03.11.08.09</t>
  </si>
  <si>
    <t>02.03.11.09</t>
  </si>
  <si>
    <t>02.03.11.09.01</t>
  </si>
  <si>
    <t>02.03.11.09.02</t>
  </si>
  <si>
    <t>02.03.11.09.03</t>
  </si>
  <si>
    <t>02.03.11.09.04</t>
  </si>
  <si>
    <t>02.03.11.09.05</t>
  </si>
  <si>
    <t>02.03.11.09.06</t>
  </si>
  <si>
    <t>02.03.11.09.07</t>
  </si>
  <si>
    <t>02.03.11.09.08</t>
  </si>
  <si>
    <t>02.03.11.09.09</t>
  </si>
  <si>
    <t>02.03.11.09.10</t>
  </si>
  <si>
    <t>02.03.11.09.11</t>
  </si>
  <si>
    <t>02.03.11.10</t>
  </si>
  <si>
    <t>02.03.11.10.01</t>
  </si>
  <si>
    <t>02.03.11.10.02</t>
  </si>
  <si>
    <t>02.03.11.10.03</t>
  </si>
  <si>
    <t>02.03.11.10.04</t>
  </si>
  <si>
    <t>02.03.11.10.05</t>
  </si>
  <si>
    <t>02.03.11.10.06</t>
  </si>
  <si>
    <t>02.03.11.10.07</t>
  </si>
  <si>
    <t>02.03.11.10.08</t>
  </si>
  <si>
    <t>02.03.11.11</t>
  </si>
  <si>
    <t>02.03.11.11.01</t>
  </si>
  <si>
    <t>02.03.11.11.02</t>
  </si>
  <si>
    <t>02.03.11.11.03</t>
  </si>
  <si>
    <t>02.03.11.11.04</t>
  </si>
  <si>
    <t>02.03.11.11.05</t>
  </si>
  <si>
    <t>02.03.11.11.06</t>
  </si>
  <si>
    <t>02.03.11.11.07</t>
  </si>
  <si>
    <t>02.03.11.11.08</t>
  </si>
  <si>
    <t>02.03.11.11.09</t>
  </si>
  <si>
    <t>02.03.11.11.10</t>
  </si>
  <si>
    <t>02.03.11.11.11</t>
  </si>
  <si>
    <t>02.03.11.11.12</t>
  </si>
  <si>
    <t>02.03.11.12</t>
  </si>
  <si>
    <t>02.03.11.12.01</t>
  </si>
  <si>
    <t>02.03.11.12.02</t>
  </si>
  <si>
    <t>02.03.11.12.03</t>
  </si>
  <si>
    <t>02.03.11.12.04</t>
  </si>
  <si>
    <t>02.03.11.12.05</t>
  </si>
  <si>
    <t>02.03.11.12.06</t>
  </si>
  <si>
    <t>02.03.11.12.07</t>
  </si>
  <si>
    <t>02.03.11.12.08</t>
  </si>
  <si>
    <t>02.03.11.12.09</t>
  </si>
  <si>
    <t>02.03.11.12.10</t>
  </si>
  <si>
    <t>02.03.11.12.11</t>
  </si>
  <si>
    <t>02.03.11.12.12</t>
  </si>
  <si>
    <t>02.03.11.12.13</t>
  </si>
  <si>
    <t>02.03.11.12.14</t>
  </si>
  <si>
    <t>02.03.11.12.15</t>
  </si>
  <si>
    <t>02.03.11.13</t>
  </si>
  <si>
    <t>02.03.11.13.01</t>
  </si>
  <si>
    <t>02.03.11.13.02</t>
  </si>
  <si>
    <t>02.03.11.13.03</t>
  </si>
  <si>
    <t>02.03.11.13.04</t>
  </si>
  <si>
    <t>02.03.11.13.05</t>
  </si>
  <si>
    <t>02.03.11.13.06</t>
  </si>
  <si>
    <t>02.03.11.13.07</t>
  </si>
  <si>
    <t>02.03.11.13.08</t>
  </si>
  <si>
    <t>02.03.11.13.09</t>
  </si>
  <si>
    <t>02.03.11.13.10</t>
  </si>
  <si>
    <t>02.03.11.13.11</t>
  </si>
  <si>
    <t>02.03.11.13.12</t>
  </si>
  <si>
    <t>02.03.11.13.13</t>
  </si>
  <si>
    <t>02.03.11.13.14</t>
  </si>
  <si>
    <t>02.03.11.13.15</t>
  </si>
  <si>
    <t>02.03.11.13.16</t>
  </si>
  <si>
    <t>02.03.11.13.17</t>
  </si>
  <si>
    <t>02.03.11.14</t>
  </si>
  <si>
    <t>02.03.11.14.01</t>
  </si>
  <si>
    <t>02.03.11.14.02</t>
  </si>
  <si>
    <t>02.03.11.14.03</t>
  </si>
  <si>
    <t>02.03.11.14.04</t>
  </si>
  <si>
    <t>02.03.11.14.05</t>
  </si>
  <si>
    <t>02.03.11.14.06</t>
  </si>
  <si>
    <t>02.03.11.14.07</t>
  </si>
  <si>
    <t>02.03.11.14.08</t>
  </si>
  <si>
    <t>02.03.11.14.09</t>
  </si>
  <si>
    <t>02.03.11.14.10</t>
  </si>
  <si>
    <t>02.03.11.14.11</t>
  </si>
  <si>
    <t>02.03.11.14.12</t>
  </si>
  <si>
    <t>02.03.11.14.13</t>
  </si>
  <si>
    <t>02.03.11.14.14</t>
  </si>
  <si>
    <t>02.03.11.14.15</t>
  </si>
  <si>
    <t>02.03.11.14.16</t>
  </si>
  <si>
    <t>02.03.11.14.17</t>
  </si>
  <si>
    <t>02.03.11.14.18</t>
  </si>
  <si>
    <t>02.03.11.14.19</t>
  </si>
  <si>
    <t>02.03.11.14.20</t>
  </si>
  <si>
    <t>02.03.11.14.21</t>
  </si>
  <si>
    <t>02.03.11.14.22</t>
  </si>
  <si>
    <t>02.03.11.15</t>
  </si>
  <si>
    <t>02.03.11.15.01</t>
  </si>
  <si>
    <t>02.03.11.15.02</t>
  </si>
  <si>
    <t>02.03.11.15.03</t>
  </si>
  <si>
    <t>02.03.11.15.04</t>
  </si>
  <si>
    <t>02.03.11.15.05</t>
  </si>
  <si>
    <t>02.03.11.15.06</t>
  </si>
  <si>
    <t>02.03.11.15.07</t>
  </si>
  <si>
    <t>02.03.11.15.08</t>
  </si>
  <si>
    <t>02.03.11.15.09</t>
  </si>
  <si>
    <t>02.03.11.15.10</t>
  </si>
  <si>
    <t>02.03.11.15.11</t>
  </si>
  <si>
    <t>02.03.11.15.12</t>
  </si>
  <si>
    <t>02.03.11.15.13</t>
  </si>
  <si>
    <t>02.03.11.15.14</t>
  </si>
  <si>
    <t>02.03.11.15.15</t>
  </si>
  <si>
    <t>02.03.11.15.16</t>
  </si>
  <si>
    <t>02.03.11.15.17</t>
  </si>
  <si>
    <t>02.04.01</t>
  </si>
  <si>
    <t>02.04.01.01</t>
  </si>
  <si>
    <t>02.04.01.01.01</t>
  </si>
  <si>
    <t>02.04.01.01.02</t>
  </si>
  <si>
    <t>02.04.01.01.03</t>
  </si>
  <si>
    <t>02.04.01.01.04</t>
  </si>
  <si>
    <t>02.04.01.01.05</t>
  </si>
  <si>
    <t>02.04.01.01.06</t>
  </si>
  <si>
    <t>02.04.01.01.07</t>
  </si>
  <si>
    <t>02.04.01.01.08</t>
  </si>
  <si>
    <t>02.04.01.01.09</t>
  </si>
  <si>
    <t>02.04.01.01.10</t>
  </si>
  <si>
    <t>02.04.01.01.11</t>
  </si>
  <si>
    <t>02.04.01.01.12</t>
  </si>
  <si>
    <t>02.04.01.01.13</t>
  </si>
  <si>
    <t>02.04.01.01.14</t>
  </si>
  <si>
    <t>02.04.01.01.15</t>
  </si>
  <si>
    <t>02.04.01.01.16</t>
  </si>
  <si>
    <t>02.04.01.01.17</t>
  </si>
  <si>
    <t>02.04.01.01.18</t>
  </si>
  <si>
    <t>02.04.01.01.19</t>
  </si>
  <si>
    <t>02.04.01.01.20</t>
  </si>
  <si>
    <t>02.04.01.01.21</t>
  </si>
  <si>
    <t>02.04.01.01.22</t>
  </si>
  <si>
    <t>02.04.01.01.23</t>
  </si>
  <si>
    <t>02.04.01.01.24</t>
  </si>
  <si>
    <t>02.04.01.01.25</t>
  </si>
  <si>
    <t>02.04.01.01.26</t>
  </si>
  <si>
    <t>02.04.01.02</t>
  </si>
  <si>
    <t>02.04.01.02.01</t>
  </si>
  <si>
    <t>02.04.01.02.02</t>
  </si>
  <si>
    <t>02.04.01.02.03</t>
  </si>
  <si>
    <t>02.04.01.02.04</t>
  </si>
  <si>
    <t>02.04.01.02.05</t>
  </si>
  <si>
    <t>02.04.01.02.06</t>
  </si>
  <si>
    <t>02.04.01.02.07</t>
  </si>
  <si>
    <t>02.04.01.03</t>
  </si>
  <si>
    <t>02.04.01.03.01</t>
  </si>
  <si>
    <t>02.04.01.03.02</t>
  </si>
  <si>
    <t>02.04.01.04</t>
  </si>
  <si>
    <t>02.04.01.04.01</t>
  </si>
  <si>
    <t>02.04.01.04.02</t>
  </si>
  <si>
    <t>02.04.01.04.03</t>
  </si>
  <si>
    <t>02.04.01.04.04</t>
  </si>
  <si>
    <t>02.04.01.04.05</t>
  </si>
  <si>
    <t>02.04.01.04.06</t>
  </si>
  <si>
    <t>02.04.01.04.07</t>
  </si>
  <si>
    <t>02.04.01.04.08</t>
  </si>
  <si>
    <t>02.04.01.05</t>
  </si>
  <si>
    <t>02.04.01.05.01</t>
  </si>
  <si>
    <t>02.04.01.05.02</t>
  </si>
  <si>
    <t>02.04.01.05.03</t>
  </si>
  <si>
    <t>02.04.01.05.04</t>
  </si>
  <si>
    <t>02.04.01.05.05</t>
  </si>
  <si>
    <t>02.04.01.05.06</t>
  </si>
  <si>
    <t>02.04.01.05.07</t>
  </si>
  <si>
    <t>02.04.01.05.08</t>
  </si>
  <si>
    <t>02.04.02</t>
  </si>
  <si>
    <t>02.04.02.01</t>
  </si>
  <si>
    <t>02.04.02.01.01</t>
  </si>
  <si>
    <t>02.04.02.01.02</t>
  </si>
  <si>
    <t>02.04.02.01.03</t>
  </si>
  <si>
    <t>02.04.02.01.04</t>
  </si>
  <si>
    <t>02.04.02.01.05</t>
  </si>
  <si>
    <t>02.04.02.01.06</t>
  </si>
  <si>
    <t>02.04.02.01.07</t>
  </si>
  <si>
    <t>02.04.02.01.08</t>
  </si>
  <si>
    <t>02.04.02.01.09</t>
  </si>
  <si>
    <t>02.04.02.01.10</t>
  </si>
  <si>
    <t>02.04.02.01.11</t>
  </si>
  <si>
    <t>02.04.02.01.12</t>
  </si>
  <si>
    <t>02.04.02.01.13</t>
  </si>
  <si>
    <t>02.04.02.01.14</t>
  </si>
  <si>
    <t>02.04.02.01.15</t>
  </si>
  <si>
    <t>02.04.02.01.16</t>
  </si>
  <si>
    <t>02.04.02.01.17</t>
  </si>
  <si>
    <t>02.04.02.01.18</t>
  </si>
  <si>
    <t>02.04.02.01.19</t>
  </si>
  <si>
    <t>02.04.02.01.20</t>
  </si>
  <si>
    <t>02.04.02.01.21</t>
  </si>
  <si>
    <t>02.04.02.01.22</t>
  </si>
  <si>
    <t>02.04.02.01.23</t>
  </si>
  <si>
    <t>02.04.02.01.24</t>
  </si>
  <si>
    <t>02.04.02.01.25</t>
  </si>
  <si>
    <t>02.04.02.01.26</t>
  </si>
  <si>
    <t>02.04.02.01.27</t>
  </si>
  <si>
    <t>02.04.02.01.28</t>
  </si>
  <si>
    <t>02.04.02.01.29</t>
  </si>
  <si>
    <t>02.04.02.01.30</t>
  </si>
  <si>
    <t>02.04.02.01.31</t>
  </si>
  <si>
    <t>02.04.02.01.32</t>
  </si>
  <si>
    <t>02.04.02.01.33</t>
  </si>
  <si>
    <t>02.04.02.01.34</t>
  </si>
  <si>
    <t>02.04.02.01.35</t>
  </si>
  <si>
    <t>02.04.02.01.36</t>
  </si>
  <si>
    <t>02.04.02.01.37</t>
  </si>
  <si>
    <t>02.04.02.01.38</t>
  </si>
  <si>
    <t>02.04.02.01.39</t>
  </si>
  <si>
    <t>02.04.02.01.40</t>
  </si>
  <si>
    <t>02.04.02.01.41</t>
  </si>
  <si>
    <t>02.04.02.01.42</t>
  </si>
  <si>
    <t>02.04.02.01.43</t>
  </si>
  <si>
    <t>02.04.02.01.44</t>
  </si>
  <si>
    <t>02.04.02.02</t>
  </si>
  <si>
    <t>02.04.02.02.01</t>
  </si>
  <si>
    <t>02.04.02.02.02</t>
  </si>
  <si>
    <t>02.04.02.02.03</t>
  </si>
  <si>
    <t>02.04.02.02.04</t>
  </si>
  <si>
    <t>02.04.02.02.05</t>
  </si>
  <si>
    <t>02.04.02.02.06</t>
  </si>
  <si>
    <t>02.04.02.02.07</t>
  </si>
  <si>
    <t>02.04.02.02.08</t>
  </si>
  <si>
    <t>02.04.02.02.09</t>
  </si>
  <si>
    <t>02.04.02.02.10</t>
  </si>
  <si>
    <t>02.04.02.03</t>
  </si>
  <si>
    <t>02.04.02.03.01</t>
  </si>
  <si>
    <t>02.04.02.03.02</t>
  </si>
  <si>
    <t>02.04.02.03.03</t>
  </si>
  <si>
    <t>02.04.02.03.04</t>
  </si>
  <si>
    <t>02.04.02.03.05</t>
  </si>
  <si>
    <t>02.04.02.03.06</t>
  </si>
  <si>
    <t>02.04.02.03.07</t>
  </si>
  <si>
    <t>02.04.02.03.08</t>
  </si>
  <si>
    <t>02.04.02.03.09</t>
  </si>
  <si>
    <t>02.04.02.03.10</t>
  </si>
  <si>
    <t>02.04.02.03.11</t>
  </si>
  <si>
    <t>02.04.02.03.12</t>
  </si>
  <si>
    <t>02.04.02.03.13</t>
  </si>
  <si>
    <t>02.04.02.04</t>
  </si>
  <si>
    <t>02.04.02.04.01</t>
  </si>
  <si>
    <t>02.04.02.04.02</t>
  </si>
  <si>
    <t>02.04.02.04.03</t>
  </si>
  <si>
    <t>02.04.02.04.04</t>
  </si>
  <si>
    <t>02.04.02.04.05</t>
  </si>
  <si>
    <t>02.04.02.04.06</t>
  </si>
  <si>
    <t>02.04.02.04.07</t>
  </si>
  <si>
    <t>02.04.02.04.08</t>
  </si>
  <si>
    <t>02.04.02.05</t>
  </si>
  <si>
    <t>02.04.02.05.01</t>
  </si>
  <si>
    <t>02.04.02.05.02</t>
  </si>
  <si>
    <t>02.04.02.05.03</t>
  </si>
  <si>
    <t>02.04.02.05.04</t>
  </si>
  <si>
    <t>02.04.02.06</t>
  </si>
  <si>
    <t>02.04.02.06.01</t>
  </si>
  <si>
    <t>02.04.02.06.02</t>
  </si>
  <si>
    <t>02.04.03</t>
  </si>
  <si>
    <t>02.04.03.01</t>
  </si>
  <si>
    <t>02.04.03.01.01</t>
  </si>
  <si>
    <t>02.04.03.01.02</t>
  </si>
  <si>
    <t>02.04.03.01.03</t>
  </si>
  <si>
    <t>02.04.03.01.04</t>
  </si>
  <si>
    <t>02.04.03.01.05</t>
  </si>
  <si>
    <t>02.04.03.01.06</t>
  </si>
  <si>
    <t>02.04.03.01.07</t>
  </si>
  <si>
    <t>02.04.03.01.08</t>
  </si>
  <si>
    <t>02.04.03.01.09</t>
  </si>
  <si>
    <t>02.04.03.01.10</t>
  </si>
  <si>
    <t>02.04.03.01.11</t>
  </si>
  <si>
    <t>02.04.03.01.12</t>
  </si>
  <si>
    <t>02.04.03.01.13</t>
  </si>
  <si>
    <t>02.04.03.01.14</t>
  </si>
  <si>
    <t>02.04.03.01.15</t>
  </si>
  <si>
    <t>02.04.03.01.16</t>
  </si>
  <si>
    <t>02.04.03.01.17</t>
  </si>
  <si>
    <t>02.04.03.01.18</t>
  </si>
  <si>
    <t>02.04.03.01.19</t>
  </si>
  <si>
    <t>02.04.03.01.20</t>
  </si>
  <si>
    <t>02.04.03.01.21</t>
  </si>
  <si>
    <t>02.04.03.01.22</t>
  </si>
  <si>
    <t>02.04.03.01.23</t>
  </si>
  <si>
    <t>02.04.03.01.24</t>
  </si>
  <si>
    <t>02.04.03.01.25</t>
  </si>
  <si>
    <t>02.04.03.01.26</t>
  </si>
  <si>
    <t>02.04.03.01.27</t>
  </si>
  <si>
    <t>02.04.03.01.28</t>
  </si>
  <si>
    <t>02.04.03.01.29</t>
  </si>
  <si>
    <t>02.04.03.01.30</t>
  </si>
  <si>
    <t>02.04.03.01.31</t>
  </si>
  <si>
    <t>02.04.03.01.32</t>
  </si>
  <si>
    <t>02.04.03.01.33</t>
  </si>
  <si>
    <t>02.04.03.01.34</t>
  </si>
  <si>
    <t>02.04.03.02</t>
  </si>
  <si>
    <t>02.04.03.02.01</t>
  </si>
  <si>
    <t>02.04.03.02.02</t>
  </si>
  <si>
    <t>02.04.03.02.03</t>
  </si>
  <si>
    <t>02.04.03.03</t>
  </si>
  <si>
    <t>02.04.03.03.01</t>
  </si>
  <si>
    <t>02.04.03.04</t>
  </si>
  <si>
    <t>02.04.03.04.01</t>
  </si>
  <si>
    <t>02.04.03.04.02</t>
  </si>
  <si>
    <t>02.04.03.05</t>
  </si>
  <si>
    <t>02.04.03.05.01</t>
  </si>
  <si>
    <t>02.04.03.05.02</t>
  </si>
  <si>
    <t>02.04.03.05.03</t>
  </si>
  <si>
    <t>02.04.03.05.04</t>
  </si>
  <si>
    <t>02.04.03.05.05</t>
  </si>
  <si>
    <t>02.04.03.06</t>
  </si>
  <si>
    <t>02.04.03.06.01</t>
  </si>
  <si>
    <t>02.04.03.06.02</t>
  </si>
  <si>
    <t>02.04.03.06.03</t>
  </si>
  <si>
    <t>02.04.03.07</t>
  </si>
  <si>
    <t>02.04.03.07.01</t>
  </si>
  <si>
    <t>02.04.03.07.02</t>
  </si>
  <si>
    <t>02.04.03.07.03</t>
  </si>
  <si>
    <t>02.04.03.07.04</t>
  </si>
  <si>
    <t>02.04.03.07.05</t>
  </si>
  <si>
    <t>02.04.03.07.06</t>
  </si>
  <si>
    <t>02.04.03.07.07</t>
  </si>
  <si>
    <t>02.04.03.07.08</t>
  </si>
  <si>
    <t>02.04.03.07.09</t>
  </si>
  <si>
    <t>02.04.03.07.10</t>
  </si>
  <si>
    <t>02.04.03.07.11</t>
  </si>
  <si>
    <t>02.04.03.07.12</t>
  </si>
  <si>
    <t>02.04.04</t>
  </si>
  <si>
    <t>02.04.04.01</t>
  </si>
  <si>
    <t>02.04.04.01.01</t>
  </si>
  <si>
    <t>02.04.04.01.02</t>
  </si>
  <si>
    <t>02.04.04.01.03</t>
  </si>
  <si>
    <t>02.04.04.01.04</t>
  </si>
  <si>
    <t>02.04.04.01.05</t>
  </si>
  <si>
    <t>02.04.04.01.06</t>
  </si>
  <si>
    <t>02.04.04.01.07</t>
  </si>
  <si>
    <t>02.04.04.01.08</t>
  </si>
  <si>
    <t>02.04.04.01.09</t>
  </si>
  <si>
    <t>02.04.04.01.10</t>
  </si>
  <si>
    <t>02.04.04.01.11</t>
  </si>
  <si>
    <t>02.04.04.02</t>
  </si>
  <si>
    <t>02.04.04.02.01</t>
  </si>
  <si>
    <t>02.04.04.02.02</t>
  </si>
  <si>
    <t>02.04.04.02.03</t>
  </si>
  <si>
    <t>02.04.04.02.04</t>
  </si>
  <si>
    <t>02.04.04.02.05</t>
  </si>
  <si>
    <t>02.04.04.03</t>
  </si>
  <si>
    <t>02.04.04.03.01</t>
  </si>
  <si>
    <t>02.04.04.03.02</t>
  </si>
  <si>
    <t>02.04.04.04</t>
  </si>
  <si>
    <t>02.04.04.04.01</t>
  </si>
  <si>
    <t>02.04.04.04.02</t>
  </si>
  <si>
    <t>02.04.04.05</t>
  </si>
  <si>
    <t>02.04.04.05.01</t>
  </si>
  <si>
    <t>02.04.04.05.02</t>
  </si>
  <si>
    <t>02.04.04.05.03</t>
  </si>
  <si>
    <t>02.04.04.06</t>
  </si>
  <si>
    <t>02.04.04.06.01</t>
  </si>
  <si>
    <t>02.04.04.06.02</t>
  </si>
  <si>
    <t>02.04.04.06.03</t>
  </si>
  <si>
    <t>02.05.01</t>
  </si>
  <si>
    <t>02.05.01.01</t>
  </si>
  <si>
    <t>02.05.01.02</t>
  </si>
  <si>
    <t>02.05.01.03</t>
  </si>
  <si>
    <t>02.05.01.04</t>
  </si>
  <si>
    <t>02.05.01.05</t>
  </si>
  <si>
    <t>02.05.01.06</t>
  </si>
  <si>
    <t>02.05.01.07</t>
  </si>
  <si>
    <t>02.05.01.08</t>
  </si>
  <si>
    <t>02.05.01.09</t>
  </si>
  <si>
    <t>02.05.01.10</t>
  </si>
  <si>
    <t>02.05.01.11</t>
  </si>
  <si>
    <t>02.05.01.12</t>
  </si>
  <si>
    <t>02.05.01.13</t>
  </si>
  <si>
    <t>02.05.01.14</t>
  </si>
  <si>
    <t>02.05.01.15</t>
  </si>
  <si>
    <t>02.05.01.16</t>
  </si>
  <si>
    <t>02.05.01.17</t>
  </si>
  <si>
    <t>02.05.01.18</t>
  </si>
  <si>
    <t>02.05.01.19</t>
  </si>
  <si>
    <t>02.05.01.20</t>
  </si>
  <si>
    <t>02.05.01.21</t>
  </si>
  <si>
    <t>02.05.01.22</t>
  </si>
  <si>
    <t>02.05.01.23</t>
  </si>
  <si>
    <t>02.05.01.24</t>
  </si>
  <si>
    <t>02.05.02</t>
  </si>
  <si>
    <t>02.05.02.01</t>
  </si>
  <si>
    <t>02.05.03</t>
  </si>
  <si>
    <t>02.05.03.01</t>
  </si>
  <si>
    <t>02.05.04</t>
  </si>
  <si>
    <t>02.05.04.01</t>
  </si>
  <si>
    <t>02.05.05</t>
  </si>
  <si>
    <t>02.05.05.01</t>
  </si>
  <si>
    <t>02.06.01</t>
  </si>
  <si>
    <t>02.06.01.01</t>
  </si>
  <si>
    <t>02.06.01.01.01</t>
  </si>
  <si>
    <t>02.06.01.01.02</t>
  </si>
  <si>
    <t>02.06.01.01.03</t>
  </si>
  <si>
    <t>02.06.01.01.04</t>
  </si>
  <si>
    <t>02.06.01.01.05</t>
  </si>
  <si>
    <t>02.07.01</t>
  </si>
  <si>
    <t>02.07.01.01</t>
  </si>
  <si>
    <t>02.07.01.02</t>
  </si>
  <si>
    <t>MÃO DE OBRA</t>
  </si>
  <si>
    <t>CRONOGRAMA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</si>
</sst>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000000"/>
    <numFmt numFmtId="166" formatCode="#,##0.00\ %"/>
    <numFmt numFmtId="167" formatCode="0.000000%"/>
    <numFmt numFmtId="168" formatCode="#,##0.0000"/>
  </numFmts>
  <fonts count="86" x14ac:knownFonts="1">
    <font>
      <sz val="11"/>
      <color theme="1"/>
      <name val="Calibri"/>
      <family val="2"/>
      <scheme val="minor"/>
    </font>
    <font>
      <sz val="10"/>
      <color theme="1"/>
      <name val="Calibri Light"/>
      <family val="2"/>
    </font>
    <font>
      <sz val="10"/>
      <color theme="1"/>
      <name val="Calibri Light"/>
      <family val="2"/>
    </font>
    <font>
      <sz val="11"/>
      <color theme="1"/>
      <name val="Calibri"/>
      <family val="2"/>
      <scheme val="minor"/>
    </font>
    <font>
      <sz val="10"/>
      <name val="Arial"/>
      <family val="2"/>
    </font>
    <font>
      <sz val="10"/>
      <color theme="1"/>
      <name val="Arial Narrow"/>
      <family val="2"/>
    </font>
    <font>
      <sz val="11"/>
      <color theme="1"/>
      <name val="Arial Narrow"/>
      <family val="2"/>
    </font>
    <font>
      <sz val="11"/>
      <color theme="1"/>
      <name val="calibri"/>
      <family val="2"/>
    </font>
    <font>
      <sz val="8"/>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indexed="8"/>
      <name val="calibri"/>
      <family val="2"/>
    </font>
    <font>
      <b/>
      <sz val="18"/>
      <color theme="3"/>
      <name val="Cambria"/>
      <family val="2"/>
      <scheme val="major"/>
    </font>
    <font>
      <sz val="10"/>
      <name val="Arial"/>
      <family val="2"/>
    </font>
    <font>
      <sz val="10"/>
      <name val="Arial"/>
      <family val="2"/>
    </font>
    <font>
      <sz val="10"/>
      <name val="Arial"/>
      <family val="2"/>
    </font>
    <font>
      <sz val="10"/>
      <name val="Arial"/>
      <family val="2"/>
    </font>
    <font>
      <sz val="11"/>
      <name val="Calibri"/>
      <family val="2"/>
    </font>
    <font>
      <sz val="10"/>
      <name val="Arial"/>
      <family val="2"/>
    </font>
    <font>
      <sz val="8"/>
      <name val="Times New Roman"/>
      <family val="1"/>
    </font>
    <font>
      <sz val="10"/>
      <name val="MS Sans Serif"/>
    </font>
    <font>
      <sz val="10"/>
      <name val="MS Sans Serif"/>
      <family val="2"/>
    </font>
    <font>
      <sz val="8"/>
      <name val="Times New Roman"/>
      <family val="1"/>
    </font>
    <font>
      <sz val="10"/>
      <name val="Arial"/>
      <family val="2"/>
    </font>
    <font>
      <sz val="8"/>
      <name val="Times New Roman"/>
      <family val="1"/>
    </font>
    <font>
      <sz val="10"/>
      <color rgb="FF000000"/>
      <name val="Times New Roman"/>
      <family val="1"/>
    </font>
    <font>
      <sz val="10"/>
      <name val="Arial"/>
      <family val="2"/>
    </font>
    <font>
      <sz val="10"/>
      <name val="Arial"/>
      <family val="2"/>
    </font>
    <font>
      <sz val="10"/>
      <name val="Arial"/>
      <family val="2"/>
    </font>
    <font>
      <sz val="11"/>
      <name val="Arial"/>
      <family val="1"/>
    </font>
    <font>
      <sz val="8"/>
      <name val="Trebuchet MS"/>
      <family val="2"/>
    </font>
    <font>
      <b/>
      <sz val="11"/>
      <color theme="1"/>
      <name val="Segoe UI Semilight"/>
      <family val="2"/>
    </font>
    <font>
      <b/>
      <sz val="16"/>
      <color theme="0"/>
      <name val="Segoe UI Semilight"/>
      <family val="2"/>
    </font>
    <font>
      <b/>
      <sz val="16"/>
      <color rgb="FF0A6C21"/>
      <name val="Segoe UI Semilight"/>
      <family val="2"/>
    </font>
    <font>
      <b/>
      <sz val="16"/>
      <color theme="7" tint="-0.499984740745262"/>
      <name val="Segoe UI Semilight"/>
      <family val="2"/>
    </font>
    <font>
      <b/>
      <sz val="14"/>
      <color rgb="FFFF0000"/>
      <name val="Segoe UI Semilight"/>
      <family val="2"/>
    </font>
    <font>
      <b/>
      <sz val="14"/>
      <color theme="1"/>
      <name val="Segoe UI Semilight"/>
      <family val="2"/>
    </font>
    <font>
      <b/>
      <sz val="14"/>
      <color theme="9" tint="-0.499984740745262"/>
      <name val="Segoe UI Semilight"/>
      <family val="2"/>
    </font>
    <font>
      <b/>
      <sz val="14"/>
      <color theme="8" tint="-0.249977111117893"/>
      <name val="Segoe UI Semilight"/>
      <family val="2"/>
    </font>
    <font>
      <b/>
      <sz val="9"/>
      <color theme="1"/>
      <name val="Segoe UI Semilight"/>
      <family val="2"/>
    </font>
    <font>
      <b/>
      <sz val="12"/>
      <color theme="0"/>
      <name val="Segoe UI Semilight"/>
      <family val="2"/>
    </font>
    <font>
      <sz val="12"/>
      <color theme="0"/>
      <name val="Segoe UI Semilight"/>
      <family val="2"/>
    </font>
    <font>
      <sz val="12"/>
      <name val="Segoe UI Semilight"/>
      <family val="2"/>
    </font>
    <font>
      <b/>
      <sz val="12"/>
      <name val="Segoe UI Semilight"/>
      <family val="2"/>
    </font>
    <font>
      <b/>
      <sz val="12"/>
      <color theme="1"/>
      <name val="Segoe UI Semilight"/>
      <family val="2"/>
    </font>
    <font>
      <b/>
      <sz val="11"/>
      <name val="Segoe UI Semilight"/>
      <family val="2"/>
    </font>
    <font>
      <b/>
      <sz val="10"/>
      <name val="Segoe UI Semilight"/>
      <family val="2"/>
    </font>
    <font>
      <sz val="11"/>
      <color theme="1"/>
      <name val="Segoe UI Semilight"/>
      <family val="2"/>
    </font>
    <font>
      <b/>
      <sz val="14"/>
      <name val="Segoe UI Semilight"/>
      <family val="2"/>
    </font>
    <font>
      <sz val="10"/>
      <color theme="1"/>
      <name val="Segoe UI Semilight"/>
      <family val="2"/>
    </font>
    <font>
      <b/>
      <sz val="10"/>
      <color theme="1"/>
      <name val="Segoe UI Semilight"/>
      <family val="2"/>
    </font>
    <font>
      <sz val="14"/>
      <color theme="1"/>
      <name val="Segoe UI Semilight"/>
      <family val="2"/>
    </font>
    <font>
      <b/>
      <sz val="16"/>
      <name val="Segoe UI Semilight"/>
      <family val="2"/>
    </font>
    <font>
      <b/>
      <sz val="8"/>
      <color theme="0"/>
      <name val="Segoe UI Semilight"/>
      <family val="2"/>
    </font>
    <font>
      <b/>
      <sz val="10"/>
      <color theme="0"/>
      <name val="Segoe UI Semilight"/>
      <family val="2"/>
    </font>
    <font>
      <b/>
      <sz val="8"/>
      <name val="Segoe UI Semilight"/>
      <family val="2"/>
    </font>
    <font>
      <sz val="8"/>
      <name val="Segoe UI Semilight"/>
      <family val="2"/>
    </font>
    <font>
      <sz val="11"/>
      <color theme="0"/>
      <name val="Segoe UI Semilight"/>
      <family val="2"/>
    </font>
    <font>
      <sz val="10"/>
      <name val="Segoe UI Semilight"/>
      <family val="2"/>
    </font>
    <font>
      <sz val="11"/>
      <color theme="0" tint="-0.14999847407452621"/>
      <name val="Segoe UI Semilight"/>
      <family val="2"/>
    </font>
    <font>
      <sz val="11"/>
      <name val="Segoe UI Semilight"/>
      <family val="2"/>
    </font>
    <font>
      <sz val="10"/>
      <color rgb="FFFF0000"/>
      <name val="Segoe UI Semilight"/>
      <family val="2"/>
    </font>
    <font>
      <sz val="10"/>
      <color rgb="FF000000"/>
      <name val="Segoe UI Semilight"/>
      <family val="2"/>
    </font>
    <font>
      <sz val="12"/>
      <color theme="1"/>
      <name val="Segoe UI Semilight"/>
      <family val="2"/>
    </font>
    <font>
      <sz val="12"/>
      <color rgb="FFFF0000"/>
      <name val="Segoe UI Semilight"/>
      <family val="2"/>
    </font>
    <font>
      <b/>
      <sz val="12"/>
      <color rgb="FFFF0000"/>
      <name val="Segoe UI Semilight"/>
      <family val="2"/>
    </font>
    <font>
      <sz val="12"/>
      <color rgb="FF000000"/>
      <name val="Segoe UI Semilight"/>
      <family val="2"/>
    </font>
    <font>
      <b/>
      <sz val="12"/>
      <color rgb="FF000000"/>
      <name val="Segoe UI Semilight"/>
      <family val="2"/>
    </font>
    <font>
      <b/>
      <sz val="12"/>
      <color theme="8" tint="0.79998168889431442"/>
      <name val="Segoe UI Semilight"/>
      <family val="2"/>
    </font>
    <font>
      <b/>
      <sz val="11"/>
      <name val="Arial"/>
      <family val="1"/>
    </font>
    <font>
      <b/>
      <sz val="10"/>
      <name val="Arial"/>
      <family val="1"/>
    </font>
    <font>
      <sz val="10"/>
      <color rgb="FF000000"/>
      <name val="Arial"/>
      <family val="1"/>
    </font>
    <font>
      <sz val="12"/>
      <color rgb="FF7030A0"/>
      <name val="Segoe UI Semilight"/>
      <family val="2"/>
    </font>
    <font>
      <sz val="12"/>
      <color rgb="FF660066"/>
      <name val="Segoe UI Semilight"/>
      <family val="2"/>
    </font>
    <font>
      <sz val="12"/>
      <color theme="1"/>
      <name val="Quattrocento Sans"/>
      <family val="2"/>
    </font>
    <font>
      <sz val="10"/>
      <name val="Arial"/>
      <family val="1"/>
    </font>
    <font>
      <sz val="10"/>
      <color theme="1"/>
      <name val="Calibri"/>
      <family val="2"/>
      <scheme val="minor"/>
    </font>
    <font>
      <b/>
      <sz val="12"/>
      <name val="Segoe UI Semilight"/>
      <family val="2"/>
    </font>
    <font>
      <sz val="12"/>
      <name val="Segoe UI Semilight"/>
    </font>
    <font>
      <b/>
      <sz val="12"/>
      <name val="Segoe UI Semilight"/>
    </font>
    <font>
      <b/>
      <sz val="12"/>
      <color theme="0"/>
      <name val="Segoe UI Semilight"/>
    </font>
  </fonts>
  <fills count="49">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indexed="22"/>
        <bgColor indexed="31"/>
      </patternFill>
    </fill>
    <fill>
      <patternFill patternType="solid">
        <fgColor theme="1" tint="0.499984740745262"/>
        <bgColor indexed="64"/>
      </patternFill>
    </fill>
    <fill>
      <patternFill patternType="solid">
        <fgColor rgb="FFFFFFFF"/>
        <bgColor rgb="FFFFFFFF"/>
      </patternFill>
    </fill>
    <fill>
      <patternFill patternType="solid">
        <fgColor rgb="FFDFF0D8"/>
        <bgColor rgb="FFDFF0D8"/>
      </patternFill>
    </fill>
    <fill>
      <patternFill patternType="solid">
        <fgColor rgb="FFF7F3DF"/>
        <bgColor rgb="FFF7F3DF"/>
      </patternFill>
    </fill>
    <fill>
      <patternFill patternType="solid">
        <fgColor rgb="FFD6D6D6"/>
        <bgColor rgb="FFD6D6D6"/>
      </patternFill>
    </fill>
    <fill>
      <patternFill patternType="solid">
        <fgColor rgb="FFEFEFEF"/>
        <bgColor rgb="FFEFEFEF"/>
      </patternFill>
    </fill>
    <fill>
      <patternFill patternType="solid">
        <fgColor theme="0"/>
        <bgColor rgb="FFDFF0D8"/>
      </patternFill>
    </fill>
    <fill>
      <patternFill patternType="solid">
        <fgColor rgb="FF096D20"/>
        <bgColor indexed="64"/>
      </patternFill>
    </fill>
    <fill>
      <patternFill patternType="solid">
        <fgColor rgb="FFFFF9D5"/>
        <bgColor indexed="64"/>
      </patternFill>
    </fill>
    <fill>
      <patternFill patternType="solid">
        <fgColor rgb="FF228C42"/>
        <bgColor indexed="64"/>
      </patternFill>
    </fill>
    <fill>
      <patternFill patternType="solid">
        <fgColor rgb="FF505050"/>
        <bgColor indexed="64"/>
      </patternFill>
    </fill>
    <fill>
      <patternFill patternType="solid">
        <fgColor rgb="FFA8D5BA"/>
        <bgColor indexed="64"/>
      </patternFill>
    </fill>
    <fill>
      <patternFill patternType="solid">
        <fgColor rgb="FFE67E22"/>
        <bgColor indexed="64"/>
      </patternFill>
    </fill>
    <fill>
      <patternFill patternType="solid">
        <fgColor rgb="FFF5F5F5"/>
        <bgColor indexed="64"/>
      </patternFill>
    </fill>
    <fill>
      <patternFill patternType="solid">
        <fgColor rgb="FFF8C818"/>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bgColor rgb="FFFFFFFF"/>
      </patternFill>
    </fill>
  </fills>
  <borders count="10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auto="1"/>
      </left>
      <right style="hair">
        <color auto="1"/>
      </right>
      <top style="hair">
        <color auto="1"/>
      </top>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auto="1"/>
      </right>
      <top style="hair">
        <color auto="1"/>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hair">
        <color auto="1"/>
      </right>
      <top style="medium">
        <color auto="1"/>
      </top>
      <bottom style="hair">
        <color auto="1"/>
      </bottom>
      <diagonal/>
    </border>
    <border>
      <left style="hair">
        <color auto="1"/>
      </left>
      <right/>
      <top style="hair">
        <color auto="1"/>
      </top>
      <bottom style="hair">
        <color auto="1"/>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64"/>
      </right>
      <top/>
      <bottom style="medium">
        <color indexed="8"/>
      </bottom>
      <diagonal/>
    </border>
    <border>
      <left style="medium">
        <color indexed="64"/>
      </left>
      <right style="thin">
        <color indexed="8"/>
      </right>
      <top/>
      <bottom/>
      <diagonal/>
    </border>
    <border>
      <left style="thin">
        <color indexed="8"/>
      </left>
      <right style="medium">
        <color indexed="64"/>
      </right>
      <top/>
      <bottom/>
      <diagonal/>
    </border>
    <border>
      <left style="medium">
        <color indexed="64"/>
      </left>
      <right style="thin">
        <color indexed="8"/>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64"/>
      </right>
      <top style="medium">
        <color indexed="8"/>
      </top>
      <bottom style="medium">
        <color indexed="6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auto="1"/>
      </left>
      <right/>
      <top style="medium">
        <color auto="1"/>
      </top>
      <bottom style="hair">
        <color auto="1"/>
      </bottom>
      <diagonal/>
    </border>
    <border>
      <left style="hair">
        <color auto="1"/>
      </left>
      <right/>
      <top style="hair">
        <color auto="1"/>
      </top>
      <bottom style="medium">
        <color auto="1"/>
      </bottom>
      <diagonal/>
    </border>
    <border>
      <left/>
      <right/>
      <top style="thick">
        <color auto="1"/>
      </top>
      <bottom style="medium">
        <color auto="1"/>
      </bottom>
      <diagonal/>
    </border>
    <border>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top style="double">
        <color auto="1"/>
      </top>
      <bottom style="hair">
        <color auto="1"/>
      </bottom>
      <diagonal/>
    </border>
    <border>
      <left style="hair">
        <color auto="1"/>
      </left>
      <right style="hair">
        <color auto="1"/>
      </right>
      <top style="hair">
        <color auto="1"/>
      </top>
      <bottom style="thick">
        <color auto="1"/>
      </bottom>
      <diagonal/>
    </border>
    <border>
      <left/>
      <right/>
      <top/>
      <bottom style="double">
        <color auto="1"/>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style="hair">
        <color auto="1"/>
      </right>
      <top style="hair">
        <color auto="1"/>
      </top>
      <bottom/>
      <diagonal/>
    </border>
    <border>
      <left style="hair">
        <color auto="1"/>
      </left>
      <right style="hair">
        <color auto="1"/>
      </right>
      <top/>
      <bottom/>
      <diagonal/>
    </border>
    <border>
      <left style="hair">
        <color auto="1"/>
      </left>
      <right/>
      <top style="hair">
        <color auto="1"/>
      </top>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thick">
        <color auto="1"/>
      </top>
      <bottom style="medium">
        <color auto="1"/>
      </bottom>
      <diagonal/>
    </border>
    <border>
      <left/>
      <right style="thin">
        <color indexed="64"/>
      </right>
      <top style="thick">
        <color auto="1"/>
      </top>
      <bottom style="medium">
        <color auto="1"/>
      </bottom>
      <diagonal/>
    </border>
    <border>
      <left style="thin">
        <color indexed="64"/>
      </left>
      <right style="hair">
        <color auto="1"/>
      </right>
      <top style="medium">
        <color auto="1"/>
      </top>
      <bottom style="hair">
        <color auto="1"/>
      </bottom>
      <diagonal/>
    </border>
    <border>
      <left style="hair">
        <color auto="1"/>
      </left>
      <right style="thin">
        <color indexed="64"/>
      </right>
      <top style="medium">
        <color auto="1"/>
      </top>
      <bottom style="hair">
        <color auto="1"/>
      </bottom>
      <diagonal/>
    </border>
    <border>
      <left style="thin">
        <color indexed="64"/>
      </left>
      <right style="hair">
        <color auto="1"/>
      </right>
      <top style="hair">
        <color auto="1"/>
      </top>
      <bottom style="medium">
        <color auto="1"/>
      </bottom>
      <diagonal/>
    </border>
    <border>
      <left style="hair">
        <color auto="1"/>
      </left>
      <right style="thin">
        <color indexed="64"/>
      </right>
      <top style="hair">
        <color auto="1"/>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style="hair">
        <color auto="1"/>
      </right>
      <top/>
      <bottom style="medium">
        <color auto="1"/>
      </bottom>
      <diagonal/>
    </border>
    <border>
      <left style="medium">
        <color auto="1"/>
      </left>
      <right/>
      <top/>
      <bottom style="hair">
        <color auto="1"/>
      </bottom>
      <diagonal/>
    </border>
    <border>
      <left/>
      <right style="hair">
        <color indexed="64"/>
      </right>
      <top style="hair">
        <color indexed="64"/>
      </top>
      <bottom style="thick">
        <color auto="1"/>
      </bottom>
      <diagonal/>
    </border>
    <border>
      <left style="hair">
        <color indexed="64"/>
      </left>
      <right/>
      <top style="hair">
        <color indexed="64"/>
      </top>
      <bottom style="thick">
        <color auto="1"/>
      </bottom>
      <diagonal/>
    </border>
    <border>
      <left/>
      <right style="hair">
        <color indexed="64"/>
      </right>
      <top style="medium">
        <color auto="1"/>
      </top>
      <bottom style="hair">
        <color indexed="64"/>
      </bottom>
      <diagonal/>
    </border>
  </borders>
  <cellStyleXfs count="233">
    <xf numFmtId="0" fontId="0" fillId="0" borderId="0"/>
    <xf numFmtId="0" fontId="4" fillId="0" borderId="0"/>
    <xf numFmtId="0" fontId="5" fillId="0" borderId="0"/>
    <xf numFmtId="0" fontId="6" fillId="0" borderId="0"/>
    <xf numFmtId="0" fontId="4" fillId="0" borderId="0"/>
    <xf numFmtId="0" fontId="6" fillId="0" borderId="0"/>
    <xf numFmtId="0" fontId="3" fillId="0" borderId="0"/>
    <xf numFmtId="0" fontId="3" fillId="0" borderId="0"/>
    <xf numFmtId="0" fontId="7" fillId="0" borderId="0"/>
    <xf numFmtId="43" fontId="7" fillId="0" borderId="0" applyFont="0" applyFill="0" applyBorder="0" applyAlignment="0" applyProtection="0"/>
    <xf numFmtId="0" fontId="3" fillId="0" borderId="0"/>
    <xf numFmtId="0" fontId="3" fillId="0" borderId="0"/>
    <xf numFmtId="0" fontId="4" fillId="0" borderId="0"/>
    <xf numFmtId="0" fontId="3" fillId="0" borderId="0"/>
    <xf numFmtId="0" fontId="3" fillId="0" borderId="0"/>
    <xf numFmtId="43" fontId="5" fillId="0" borderId="0" applyFont="0" applyFill="0" applyBorder="0" applyAlignment="0" applyProtection="0"/>
    <xf numFmtId="164" fontId="4" fillId="0" borderId="0" applyFont="0" applyFill="0" applyBorder="0" applyAlignment="0" applyProtection="0"/>
    <xf numFmtId="0" fontId="4" fillId="0" borderId="0"/>
    <xf numFmtId="0" fontId="3" fillId="0" borderId="0"/>
    <xf numFmtId="0" fontId="3" fillId="0" borderId="0"/>
    <xf numFmtId="0" fontId="9" fillId="0" borderId="0"/>
    <xf numFmtId="0" fontId="10" fillId="6" borderId="1" applyNumberFormat="0" applyAlignment="0" applyProtection="0"/>
    <xf numFmtId="0" fontId="11" fillId="7" borderId="2" applyNumberFormat="0" applyAlignment="0" applyProtection="0"/>
    <xf numFmtId="0" fontId="12" fillId="7" borderId="1"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4" applyNumberFormat="0" applyFill="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0" borderId="0"/>
    <xf numFmtId="0" fontId="3" fillId="0" borderId="0"/>
    <xf numFmtId="0" fontId="3" fillId="0" borderId="0"/>
    <xf numFmtId="0" fontId="4" fillId="0" borderId="0" applyFont="0" applyFill="0" applyBorder="0" applyAlignment="0" applyProtection="0"/>
    <xf numFmtId="0" fontId="4" fillId="0" borderId="0"/>
    <xf numFmtId="0" fontId="4" fillId="0" borderId="0"/>
    <xf numFmtId="0" fontId="4" fillId="0" borderId="0" applyFont="0" applyFill="0" applyBorder="0" applyAlignment="0" applyProtection="0"/>
    <xf numFmtId="0" fontId="4" fillId="0" borderId="0"/>
    <xf numFmtId="0"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0" fontId="3" fillId="8" borderId="3"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8"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5" fillId="0" borderId="0" applyFont="0" applyFill="0" applyBorder="0" applyAlignment="0" applyProtection="0"/>
    <xf numFmtId="164" fontId="5" fillId="0" borderId="0" applyFont="0" applyFill="0" applyBorder="0" applyAlignment="0" applyProtection="0"/>
    <xf numFmtId="0" fontId="19" fillId="0" borderId="0"/>
    <xf numFmtId="0" fontId="20" fillId="0" borderId="0"/>
    <xf numFmtId="164" fontId="20" fillId="0" borderId="0" applyFont="0" applyFill="0" applyBorder="0" applyAlignment="0" applyProtection="0"/>
    <xf numFmtId="0" fontId="2" fillId="0" borderId="0"/>
    <xf numFmtId="164" fontId="3" fillId="0" borderId="0" applyFont="0" applyFill="0" applyBorder="0" applyAlignment="0" applyProtection="0"/>
    <xf numFmtId="0" fontId="1" fillId="0" borderId="0"/>
    <xf numFmtId="0" fontId="21" fillId="0" borderId="0"/>
    <xf numFmtId="0" fontId="7" fillId="0" borderId="0"/>
    <xf numFmtId="43" fontId="3" fillId="0" borderId="0" applyFont="0" applyFill="0" applyBorder="0" applyAlignment="0" applyProtection="0"/>
    <xf numFmtId="0" fontId="3" fillId="0" borderId="0"/>
    <xf numFmtId="0" fontId="4" fillId="0" borderId="0"/>
    <xf numFmtId="0" fontId="3" fillId="0" borderId="0"/>
    <xf numFmtId="0" fontId="3" fillId="0" borderId="0"/>
    <xf numFmtId="0" fontId="3" fillId="0" borderId="0"/>
    <xf numFmtId="43" fontId="3" fillId="0" borderId="0" applyFont="0" applyFill="0" applyBorder="0" applyAlignment="0" applyProtection="0"/>
    <xf numFmtId="0" fontId="22" fillId="0" borderId="0"/>
    <xf numFmtId="0" fontId="3" fillId="0" borderId="0"/>
    <xf numFmtId="0" fontId="3" fillId="0" borderId="0"/>
    <xf numFmtId="0" fontId="3" fillId="0" borderId="0"/>
    <xf numFmtId="0" fontId="3" fillId="0" borderId="0"/>
    <xf numFmtId="0" fontId="23" fillId="0" borderId="0"/>
    <xf numFmtId="164" fontId="23" fillId="0" borderId="0" applyFont="0" applyFill="0" applyBorder="0" applyAlignment="0" applyProtection="0"/>
    <xf numFmtId="0" fontId="24" fillId="0" borderId="0"/>
    <xf numFmtId="40" fontId="25" fillId="0" borderId="0" applyFont="0" applyFill="0" applyBorder="0" applyAlignment="0" applyProtection="0"/>
    <xf numFmtId="40" fontId="26" fillId="0" borderId="0" applyFont="0" applyFill="0" applyBorder="0" applyAlignment="0" applyProtection="0"/>
    <xf numFmtId="0" fontId="27" fillId="0" borderId="0"/>
    <xf numFmtId="0" fontId="16" fillId="0" borderId="0"/>
    <xf numFmtId="0" fontId="28" fillId="0" borderId="0"/>
    <xf numFmtId="164" fontId="28" fillId="0" borderId="0" applyFont="0" applyFill="0" applyBorder="0" applyAlignment="0" applyProtection="0"/>
    <xf numFmtId="0" fontId="29" fillId="0" borderId="0"/>
    <xf numFmtId="0" fontId="30" fillId="0" borderId="0"/>
    <xf numFmtId="0" fontId="4" fillId="0" borderId="0"/>
    <xf numFmtId="164" fontId="4" fillId="0" borderId="0" applyFont="0" applyFill="0" applyBorder="0" applyAlignment="0" applyProtection="0"/>
    <xf numFmtId="0" fontId="31" fillId="0" borderId="0"/>
    <xf numFmtId="164" fontId="31" fillId="0" borderId="0" applyFont="0" applyFill="0" applyBorder="0" applyAlignment="0" applyProtection="0"/>
    <xf numFmtId="0" fontId="32" fillId="0" borderId="0"/>
    <xf numFmtId="164" fontId="32" fillId="0" borderId="0" applyFont="0" applyFill="0" applyBorder="0" applyAlignment="0" applyProtection="0"/>
    <xf numFmtId="0"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0" fillId="0" borderId="0"/>
    <xf numFmtId="0" fontId="4" fillId="0" borderId="0"/>
    <xf numFmtId="9" fontId="35" fillId="0" borderId="0" applyFont="0" applyFill="0" applyBorder="0" applyAlignment="0" applyProtection="0"/>
  </cellStyleXfs>
  <cellXfs count="696">
    <xf numFmtId="0" fontId="0" fillId="0" borderId="0" xfId="0"/>
    <xf numFmtId="0" fontId="36" fillId="0" borderId="62" xfId="0" applyFont="1" applyBorder="1" applyAlignment="1">
      <alignment horizontal="center" vertical="center"/>
    </xf>
    <xf numFmtId="0" fontId="37" fillId="37" borderId="63" xfId="0" applyFont="1" applyFill="1" applyBorder="1" applyAlignment="1">
      <alignment horizontal="center" vertical="center"/>
    </xf>
    <xf numFmtId="0" fontId="38" fillId="38" borderId="63" xfId="0" applyFont="1" applyFill="1" applyBorder="1" applyAlignment="1">
      <alignment horizontal="center" vertical="center"/>
    </xf>
    <xf numFmtId="0" fontId="38" fillId="39" borderId="74" xfId="0" applyFont="1" applyFill="1" applyBorder="1" applyAlignment="1">
      <alignment horizontal="center" vertical="center"/>
    </xf>
    <xf numFmtId="0" fontId="38" fillId="40" borderId="74" xfId="0" applyFont="1" applyFill="1" applyBorder="1" applyAlignment="1">
      <alignment horizontal="center" vertical="center"/>
    </xf>
    <xf numFmtId="0" fontId="38" fillId="41" borderId="74" xfId="0" applyFont="1" applyFill="1" applyBorder="1" applyAlignment="1">
      <alignment horizontal="center" vertical="center"/>
    </xf>
    <xf numFmtId="0" fontId="38" fillId="42" borderId="74" xfId="0" applyFont="1" applyFill="1" applyBorder="1" applyAlignment="1">
      <alignment horizontal="center" vertical="center"/>
    </xf>
    <xf numFmtId="0" fontId="38" fillId="43" borderId="74" xfId="0" applyFont="1" applyFill="1" applyBorder="1" applyAlignment="1">
      <alignment horizontal="center" vertical="center"/>
    </xf>
    <xf numFmtId="0" fontId="39" fillId="44" borderId="64" xfId="0" applyFont="1" applyFill="1" applyBorder="1" applyAlignment="1">
      <alignment horizontal="center" vertical="center"/>
    </xf>
    <xf numFmtId="0" fontId="40" fillId="45" borderId="8" xfId="0" applyFont="1" applyFill="1" applyBorder="1" applyAlignment="1">
      <alignment horizontal="center" vertical="center"/>
    </xf>
    <xf numFmtId="0" fontId="41" fillId="0" borderId="9" xfId="0" applyFont="1" applyBorder="1" applyAlignment="1">
      <alignment horizontal="center" vertical="center"/>
    </xf>
    <xf numFmtId="0" fontId="41" fillId="0" borderId="42" xfId="0" applyFont="1" applyBorder="1" applyAlignment="1">
      <alignment horizontal="center" vertical="center"/>
    </xf>
    <xf numFmtId="0" fontId="41" fillId="0" borderId="10" xfId="0" applyFont="1" applyBorder="1" applyAlignment="1">
      <alignment horizontal="center" vertical="center"/>
    </xf>
    <xf numFmtId="0" fontId="42" fillId="26" borderId="8" xfId="0" applyFont="1" applyFill="1" applyBorder="1" applyAlignment="1">
      <alignment horizontal="center" vertical="center"/>
    </xf>
    <xf numFmtId="0" fontId="43" fillId="23" borderId="8" xfId="0" applyFont="1" applyFill="1" applyBorder="1" applyAlignment="1">
      <alignment horizontal="center" vertical="center"/>
    </xf>
    <xf numFmtId="0" fontId="41" fillId="0" borderId="11" xfId="0" applyFont="1" applyBorder="1" applyAlignment="1">
      <alignment horizontal="center" vertical="center"/>
    </xf>
    <xf numFmtId="0" fontId="44" fillId="0" borderId="12" xfId="0" applyFont="1" applyBorder="1" applyAlignment="1">
      <alignment horizontal="center" vertical="center"/>
    </xf>
    <xf numFmtId="0" fontId="44" fillId="0" borderId="75" xfId="0" applyFont="1" applyBorder="1" applyAlignment="1">
      <alignment horizontal="center" vertical="center"/>
    </xf>
    <xf numFmtId="0" fontId="44" fillId="0" borderId="13" xfId="0" applyFont="1" applyBorder="1" applyAlignment="1">
      <alignment horizontal="center" vertical="center"/>
    </xf>
    <xf numFmtId="0" fontId="46" fillId="0" borderId="0" xfId="0" applyFont="1"/>
    <xf numFmtId="0" fontId="46" fillId="0" borderId="0" xfId="0" applyFont="1" applyAlignment="1">
      <alignment vertical="center"/>
    </xf>
    <xf numFmtId="43" fontId="46" fillId="0" borderId="9" xfId="175" applyFont="1" applyBorder="1" applyAlignment="1">
      <alignment vertical="center"/>
    </xf>
    <xf numFmtId="0" fontId="47" fillId="0" borderId="0" xfId="13" applyFont="1" applyAlignment="1" applyProtection="1">
      <alignment horizontal="justify" vertical="center"/>
      <protection locked="0"/>
    </xf>
    <xf numFmtId="43" fontId="47" fillId="0" borderId="0" xfId="175" applyFont="1" applyAlignment="1" applyProtection="1">
      <alignment horizontal="justify" vertical="center"/>
      <protection locked="0"/>
    </xf>
    <xf numFmtId="0" fontId="48" fillId="0" borderId="14" xfId="13" applyFont="1" applyBorder="1" applyAlignment="1" applyProtection="1">
      <alignment vertical="center" wrapText="1"/>
      <protection locked="0"/>
    </xf>
    <xf numFmtId="0" fontId="48" fillId="0" borderId="15" xfId="13" applyFont="1" applyBorder="1" applyAlignment="1" applyProtection="1">
      <alignment vertical="center" wrapText="1"/>
      <protection locked="0"/>
    </xf>
    <xf numFmtId="0" fontId="48" fillId="0" borderId="17" xfId="13" applyFont="1" applyBorder="1" applyAlignment="1" applyProtection="1">
      <alignment vertical="center" wrapText="1"/>
      <protection locked="0"/>
    </xf>
    <xf numFmtId="0" fontId="48" fillId="0" borderId="0" xfId="13" applyFont="1" applyAlignment="1" applyProtection="1">
      <alignment vertical="center" wrapText="1"/>
      <protection locked="0"/>
    </xf>
    <xf numFmtId="0" fontId="48" fillId="0" borderId="17" xfId="13" applyFont="1" applyBorder="1" applyAlignment="1" applyProtection="1">
      <alignment horizontal="left" vertical="center" wrapText="1"/>
      <protection locked="0"/>
    </xf>
    <xf numFmtId="0" fontId="49" fillId="0" borderId="18" xfId="13" applyFont="1" applyBorder="1" applyAlignment="1" applyProtection="1">
      <alignment horizontal="left" vertical="center"/>
      <protection locked="0"/>
    </xf>
    <xf numFmtId="0" fontId="48" fillId="0" borderId="19" xfId="13" applyFont="1" applyBorder="1" applyAlignment="1" applyProtection="1">
      <alignment vertical="center" wrapText="1"/>
      <protection locked="0"/>
    </xf>
    <xf numFmtId="0" fontId="48" fillId="0" borderId="20" xfId="13" applyFont="1" applyBorder="1" applyAlignment="1" applyProtection="1">
      <alignment vertical="center" wrapText="1"/>
      <protection locked="0"/>
    </xf>
    <xf numFmtId="10" fontId="48" fillId="0" borderId="16" xfId="199" applyNumberFormat="1" applyFont="1" applyFill="1" applyBorder="1" applyAlignment="1" applyProtection="1">
      <alignment horizontal="right" vertical="center" wrapText="1"/>
      <protection locked="0"/>
    </xf>
    <xf numFmtId="10" fontId="48" fillId="0" borderId="21" xfId="199" applyNumberFormat="1" applyFont="1" applyFill="1" applyBorder="1" applyAlignment="1" applyProtection="1">
      <alignment horizontal="right" vertical="center" wrapText="1"/>
      <protection locked="0"/>
    </xf>
    <xf numFmtId="0" fontId="48" fillId="0" borderId="0" xfId="14" applyFont="1" applyAlignment="1" applyProtection="1">
      <alignment horizontal="justify" vertical="center"/>
      <protection locked="0"/>
    </xf>
    <xf numFmtId="0" fontId="47" fillId="0" borderId="0" xfId="14" applyFont="1" applyAlignment="1" applyProtection="1">
      <alignment horizontal="justify" vertical="center"/>
      <protection locked="0"/>
    </xf>
    <xf numFmtId="0" fontId="48" fillId="0" borderId="8" xfId="8" applyFont="1" applyBorder="1" applyAlignment="1" applyProtection="1">
      <alignment horizontal="justify" vertical="center" wrapText="1"/>
      <protection locked="0"/>
    </xf>
    <xf numFmtId="0" fontId="48" fillId="0" borderId="9" xfId="8" applyFont="1" applyBorder="1" applyAlignment="1" applyProtection="1">
      <alignment horizontal="justify" vertical="center" wrapText="1"/>
      <protection locked="0"/>
    </xf>
    <xf numFmtId="43" fontId="48" fillId="0" borderId="10" xfId="175" applyFont="1" applyFill="1" applyBorder="1" applyAlignment="1" applyProtection="1">
      <alignment horizontal="justify" vertical="center" wrapText="1"/>
      <protection locked="0"/>
    </xf>
    <xf numFmtId="0" fontId="50" fillId="21" borderId="0" xfId="229" applyFont="1" applyFill="1" applyAlignment="1">
      <alignment vertical="top" wrapText="1"/>
    </xf>
    <xf numFmtId="0" fontId="52" fillId="0" borderId="0" xfId="0" applyFont="1"/>
    <xf numFmtId="0" fontId="53" fillId="0" borderId="0" xfId="13" applyFont="1" applyAlignment="1" applyProtection="1">
      <alignment horizontal="center" vertical="center"/>
      <protection locked="0"/>
    </xf>
    <xf numFmtId="0" fontId="54" fillId="0" borderId="0" xfId="8" applyFont="1"/>
    <xf numFmtId="0" fontId="52" fillId="29" borderId="52" xfId="0" applyFont="1" applyFill="1" applyBorder="1" applyAlignment="1">
      <alignment horizontal="center" vertical="center"/>
    </xf>
    <xf numFmtId="0" fontId="52" fillId="29" borderId="53" xfId="0" applyFont="1" applyFill="1" applyBorder="1" applyAlignment="1">
      <alignment horizontal="center" vertical="center"/>
    </xf>
    <xf numFmtId="0" fontId="51" fillId="29" borderId="55" xfId="0" applyFont="1" applyFill="1" applyBorder="1" applyAlignment="1">
      <alignment horizontal="center" vertical="center"/>
    </xf>
    <xf numFmtId="0" fontId="51" fillId="29" borderId="56" xfId="0" applyFont="1" applyFill="1" applyBorder="1" applyAlignment="1">
      <alignment horizontal="center" vertical="center"/>
    </xf>
    <xf numFmtId="0" fontId="51" fillId="0" borderId="57" xfId="0" applyFont="1" applyBorder="1" applyAlignment="1">
      <alignment horizontal="center" vertical="center"/>
    </xf>
    <xf numFmtId="0" fontId="52" fillId="0" borderId="38" xfId="0" applyFont="1" applyBorder="1" applyAlignment="1">
      <alignment horizontal="center" vertical="center"/>
    </xf>
    <xf numFmtId="0" fontId="51" fillId="0" borderId="38" xfId="0" applyFont="1" applyBorder="1" applyAlignment="1">
      <alignment horizontal="center" vertical="center"/>
    </xf>
    <xf numFmtId="0" fontId="51" fillId="0" borderId="58" xfId="0" applyFont="1" applyBorder="1" applyAlignment="1">
      <alignment horizontal="center" vertical="center"/>
    </xf>
    <xf numFmtId="0" fontId="51" fillId="28" borderId="57" xfId="0" applyFont="1" applyFill="1" applyBorder="1" applyAlignment="1">
      <alignment horizontal="center" vertical="center"/>
    </xf>
    <xf numFmtId="0" fontId="51" fillId="28" borderId="38" xfId="0" applyFont="1" applyFill="1" applyBorder="1" applyAlignment="1">
      <alignment vertical="center"/>
    </xf>
    <xf numFmtId="43" fontId="51" fillId="28" borderId="38" xfId="0" applyNumberFormat="1" applyFont="1" applyFill="1" applyBorder="1" applyAlignment="1">
      <alignment horizontal="right" vertical="center"/>
    </xf>
    <xf numFmtId="43" fontId="51" fillId="28" borderId="58" xfId="0" applyNumberFormat="1" applyFont="1" applyFill="1" applyBorder="1" applyAlignment="1">
      <alignment horizontal="right" vertical="center"/>
    </xf>
    <xf numFmtId="0" fontId="52" fillId="0" borderId="57" xfId="0" applyFont="1" applyBorder="1" applyAlignment="1">
      <alignment horizontal="center" vertical="center"/>
    </xf>
    <xf numFmtId="0" fontId="52" fillId="0" borderId="38" xfId="0" applyFont="1" applyBorder="1" applyAlignment="1">
      <alignment vertical="center"/>
    </xf>
    <xf numFmtId="43" fontId="52" fillId="0" borderId="38" xfId="0" applyNumberFormat="1" applyFont="1" applyBorder="1" applyAlignment="1">
      <alignment vertical="center"/>
    </xf>
    <xf numFmtId="43" fontId="52" fillId="0" borderId="58" xfId="0" applyNumberFormat="1" applyFont="1" applyBorder="1" applyAlignment="1">
      <alignment vertical="center"/>
    </xf>
    <xf numFmtId="0" fontId="52" fillId="0" borderId="57" xfId="0" applyFont="1" applyBorder="1" applyAlignment="1">
      <alignment horizontal="right" vertical="center"/>
    </xf>
    <xf numFmtId="43" fontId="51" fillId="28" borderId="38" xfId="0" applyNumberFormat="1" applyFont="1" applyFill="1" applyBorder="1" applyAlignment="1">
      <alignment vertical="center"/>
    </xf>
    <xf numFmtId="43" fontId="51" fillId="28" borderId="58" xfId="0" applyNumberFormat="1" applyFont="1" applyFill="1" applyBorder="1" applyAlignment="1">
      <alignment vertical="center"/>
    </xf>
    <xf numFmtId="0" fontId="52" fillId="0" borderId="38" xfId="0" applyFont="1" applyBorder="1" applyAlignment="1">
      <alignment horizontal="left" vertical="center"/>
    </xf>
    <xf numFmtId="43" fontId="52" fillId="0" borderId="38" xfId="0" applyNumberFormat="1" applyFont="1" applyBorder="1" applyAlignment="1">
      <alignment horizontal="right" vertical="center"/>
    </xf>
    <xf numFmtId="43" fontId="52" fillId="28" borderId="38" xfId="0" applyNumberFormat="1" applyFont="1" applyFill="1" applyBorder="1" applyAlignment="1">
      <alignment vertical="center"/>
    </xf>
    <xf numFmtId="43" fontId="51" fillId="28" borderId="0" xfId="0" applyNumberFormat="1" applyFont="1" applyFill="1" applyAlignment="1">
      <alignment vertical="center"/>
    </xf>
    <xf numFmtId="2" fontId="52" fillId="0" borderId="38" xfId="0" applyNumberFormat="1" applyFont="1" applyBorder="1" applyAlignment="1">
      <alignment vertical="center"/>
    </xf>
    <xf numFmtId="2" fontId="52" fillId="0" borderId="58" xfId="0" applyNumberFormat="1" applyFont="1" applyBorder="1" applyAlignment="1">
      <alignment vertical="center"/>
    </xf>
    <xf numFmtId="0" fontId="52" fillId="5" borderId="59" xfId="0" applyFont="1" applyFill="1" applyBorder="1" applyAlignment="1">
      <alignment horizontal="right" vertical="center"/>
    </xf>
    <xf numFmtId="0" fontId="51" fillId="5" borderId="60" xfId="0" applyFont="1" applyFill="1" applyBorder="1" applyAlignment="1">
      <alignment vertical="center"/>
    </xf>
    <xf numFmtId="2" fontId="51" fillId="5" borderId="60" xfId="0" applyNumberFormat="1" applyFont="1" applyFill="1" applyBorder="1" applyAlignment="1">
      <alignment vertical="center"/>
    </xf>
    <xf numFmtId="2" fontId="51" fillId="5" borderId="61" xfId="0" applyNumberFormat="1" applyFont="1" applyFill="1" applyBorder="1" applyAlignment="1">
      <alignment vertical="center"/>
    </xf>
    <xf numFmtId="0" fontId="52" fillId="0" borderId="0" xfId="0" applyFont="1" applyAlignment="1">
      <alignment vertical="center"/>
    </xf>
    <xf numFmtId="0" fontId="53" fillId="0" borderId="0" xfId="0" applyFont="1" applyAlignment="1">
      <alignment vertical="center"/>
    </xf>
    <xf numFmtId="10" fontId="53" fillId="0" borderId="0" xfId="0" applyNumberFormat="1" applyFont="1" applyAlignment="1">
      <alignment horizontal="center" vertical="center"/>
    </xf>
    <xf numFmtId="0" fontId="53" fillId="0" borderId="0" xfId="13" applyFont="1" applyAlignment="1" applyProtection="1">
      <alignment vertical="center"/>
      <protection locked="0"/>
    </xf>
    <xf numFmtId="0" fontId="52" fillId="0" borderId="0" xfId="0" applyFont="1" applyAlignment="1">
      <alignment horizontal="center" vertical="center"/>
    </xf>
    <xf numFmtId="0" fontId="52" fillId="0" borderId="0" xfId="0" applyFont="1" applyAlignment="1">
      <alignment vertical="center" wrapText="1"/>
    </xf>
    <xf numFmtId="0" fontId="52" fillId="0" borderId="72" xfId="0" applyFont="1" applyBorder="1" applyAlignment="1">
      <alignment horizontal="center" vertical="center"/>
    </xf>
    <xf numFmtId="0" fontId="52" fillId="4" borderId="68" xfId="0" applyFont="1" applyFill="1" applyBorder="1" applyAlignment="1">
      <alignment vertical="center"/>
    </xf>
    <xf numFmtId="0" fontId="52" fillId="4" borderId="69" xfId="0" applyFont="1" applyFill="1" applyBorder="1" applyAlignment="1">
      <alignment vertical="center"/>
    </xf>
    <xf numFmtId="0" fontId="52" fillId="0" borderId="17" xfId="0" applyFont="1" applyBorder="1" applyAlignment="1">
      <alignment horizontal="center" vertical="center"/>
    </xf>
    <xf numFmtId="0" fontId="52" fillId="4" borderId="0" xfId="0" applyFont="1" applyFill="1" applyAlignment="1">
      <alignment vertical="center"/>
    </xf>
    <xf numFmtId="0" fontId="52" fillId="4" borderId="18" xfId="0" applyFont="1" applyFill="1" applyBorder="1" applyAlignment="1">
      <alignment vertical="center"/>
    </xf>
    <xf numFmtId="0" fontId="52" fillId="0" borderId="73" xfId="0" applyFont="1" applyBorder="1" applyAlignment="1">
      <alignment horizontal="center" vertical="center"/>
    </xf>
    <xf numFmtId="0" fontId="52" fillId="4" borderId="70" xfId="0" applyFont="1" applyFill="1" applyBorder="1" applyAlignment="1">
      <alignment vertical="center"/>
    </xf>
    <xf numFmtId="0" fontId="52" fillId="4" borderId="71" xfId="0" applyFont="1" applyFill="1" applyBorder="1" applyAlignment="1">
      <alignment vertical="center"/>
    </xf>
    <xf numFmtId="0" fontId="52" fillId="0" borderId="8" xfId="0" applyFont="1" applyBorder="1" applyAlignment="1">
      <alignment horizontal="center" vertical="center"/>
    </xf>
    <xf numFmtId="0" fontId="52" fillId="0" borderId="9" xfId="0" applyFont="1" applyBorder="1" applyAlignment="1">
      <alignment vertical="center"/>
    </xf>
    <xf numFmtId="0" fontId="52" fillId="0" borderId="9" xfId="0" applyFont="1" applyBorder="1" applyAlignment="1">
      <alignment vertical="center" wrapText="1"/>
    </xf>
    <xf numFmtId="43" fontId="52" fillId="0" borderId="9" xfId="175" applyFont="1" applyBorder="1" applyAlignment="1">
      <alignment vertical="center"/>
    </xf>
    <xf numFmtId="10" fontId="52" fillId="0" borderId="9" xfId="199" applyNumberFormat="1" applyFont="1" applyBorder="1" applyAlignment="1">
      <alignment vertical="center"/>
    </xf>
    <xf numFmtId="167" fontId="52" fillId="0" borderId="10" xfId="0" applyNumberFormat="1" applyFont="1" applyBorder="1" applyAlignment="1">
      <alignment vertical="center"/>
    </xf>
    <xf numFmtId="0" fontId="52" fillId="0" borderId="10" xfId="0" applyFont="1" applyBorder="1" applyAlignment="1">
      <alignment vertical="center"/>
    </xf>
    <xf numFmtId="43" fontId="41" fillId="0" borderId="12" xfId="0" applyNumberFormat="1" applyFont="1" applyBorder="1" applyAlignment="1">
      <alignment vertical="center"/>
    </xf>
    <xf numFmtId="10" fontId="56" fillId="0" borderId="12" xfId="199" applyNumberFormat="1" applyFont="1" applyBorder="1" applyAlignment="1">
      <alignment vertical="center"/>
    </xf>
    <xf numFmtId="0" fontId="56" fillId="0" borderId="13" xfId="0" applyFont="1" applyBorder="1" applyAlignment="1">
      <alignment vertical="center"/>
    </xf>
    <xf numFmtId="0" fontId="56" fillId="0" borderId="0" xfId="0" applyFont="1" applyAlignment="1">
      <alignment vertical="center"/>
    </xf>
    <xf numFmtId="0" fontId="53" fillId="4" borderId="72" xfId="231" applyFont="1" applyFill="1" applyBorder="1" applyAlignment="1" applyProtection="1">
      <alignment vertical="center"/>
      <protection locked="0"/>
    </xf>
    <xf numFmtId="0" fontId="53" fillId="4" borderId="68" xfId="231" applyFont="1" applyFill="1" applyBorder="1" applyAlignment="1" applyProtection="1">
      <alignment vertical="center"/>
      <protection locked="0"/>
    </xf>
    <xf numFmtId="0" fontId="53" fillId="4" borderId="69" xfId="231" applyFont="1" applyFill="1" applyBorder="1" applyAlignment="1" applyProtection="1">
      <alignment vertical="center"/>
      <protection locked="0"/>
    </xf>
    <xf numFmtId="0" fontId="53" fillId="4" borderId="17" xfId="231" applyFont="1" applyFill="1" applyBorder="1" applyAlignment="1" applyProtection="1">
      <alignment vertical="center"/>
      <protection locked="0"/>
    </xf>
    <xf numFmtId="0" fontId="53" fillId="4" borderId="0" xfId="231" applyFont="1" applyFill="1" applyAlignment="1" applyProtection="1">
      <alignment vertical="center"/>
      <protection locked="0"/>
    </xf>
    <xf numFmtId="0" fontId="53" fillId="4" borderId="18" xfId="231" applyFont="1" applyFill="1" applyBorder="1" applyAlignment="1" applyProtection="1">
      <alignment vertical="center"/>
      <protection locked="0"/>
    </xf>
    <xf numFmtId="0" fontId="53" fillId="4" borderId="73" xfId="231" applyFont="1" applyFill="1" applyBorder="1" applyAlignment="1" applyProtection="1">
      <alignment vertical="center"/>
      <protection locked="0"/>
    </xf>
    <xf numFmtId="0" fontId="53" fillId="4" borderId="70" xfId="231" applyFont="1" applyFill="1" applyBorder="1" applyAlignment="1" applyProtection="1">
      <alignment vertical="center"/>
      <protection locked="0"/>
    </xf>
    <xf numFmtId="0" fontId="53" fillId="4" borderId="71" xfId="231" applyFont="1" applyFill="1" applyBorder="1" applyAlignment="1" applyProtection="1">
      <alignment vertical="center"/>
      <protection locked="0"/>
    </xf>
    <xf numFmtId="0" fontId="58" fillId="30" borderId="6" xfId="85" applyFont="1" applyFill="1" applyBorder="1" applyAlignment="1">
      <alignment horizontal="center" vertical="center"/>
    </xf>
    <xf numFmtId="0" fontId="58" fillId="30" borderId="9" xfId="85" applyFont="1" applyFill="1" applyBorder="1" applyAlignment="1">
      <alignment horizontal="center" vertical="center"/>
    </xf>
    <xf numFmtId="0" fontId="58" fillId="30" borderId="9" xfId="85" applyFont="1" applyFill="1" applyBorder="1" applyAlignment="1">
      <alignment horizontal="center" vertical="center" wrapText="1"/>
    </xf>
    <xf numFmtId="0" fontId="60" fillId="0" borderId="30" xfId="85" applyFont="1" applyBorder="1" applyAlignment="1">
      <alignment horizontal="center" vertical="center"/>
    </xf>
    <xf numFmtId="0" fontId="60" fillId="0" borderId="28" xfId="85" applyFont="1" applyBorder="1" applyAlignment="1">
      <alignment horizontal="center" vertical="center"/>
    </xf>
    <xf numFmtId="49" fontId="51" fillId="0" borderId="28" xfId="85" quotePrefix="1" applyNumberFormat="1" applyFont="1" applyBorder="1" applyAlignment="1">
      <alignment horizontal="center" vertical="center"/>
    </xf>
    <xf numFmtId="0" fontId="51" fillId="0" borderId="37" xfId="85" applyFont="1" applyBorder="1" applyAlignment="1">
      <alignment horizontal="center" vertical="center"/>
    </xf>
    <xf numFmtId="0" fontId="61" fillId="5" borderId="44" xfId="85" applyFont="1" applyFill="1" applyBorder="1" applyAlignment="1">
      <alignment horizontal="center" vertical="center"/>
    </xf>
    <xf numFmtId="10" fontId="52" fillId="5" borderId="44" xfId="85" applyNumberFormat="1" applyFont="1" applyFill="1" applyBorder="1" applyAlignment="1">
      <alignment vertical="center"/>
    </xf>
    <xf numFmtId="9" fontId="51" fillId="5" borderId="45" xfId="85" applyNumberFormat="1" applyFont="1" applyFill="1" applyBorder="1" applyAlignment="1">
      <alignment horizontal="center" vertical="center"/>
    </xf>
    <xf numFmtId="43" fontId="52" fillId="0" borderId="0" xfId="175" applyFont="1" applyFill="1"/>
    <xf numFmtId="0" fontId="61" fillId="5" borderId="9" xfId="85" applyFont="1" applyFill="1" applyBorder="1" applyAlignment="1">
      <alignment horizontal="center" vertical="center"/>
    </xf>
    <xf numFmtId="10" fontId="62" fillId="5" borderId="9" xfId="85" applyNumberFormat="1" applyFont="1" applyFill="1" applyBorder="1" applyAlignment="1">
      <alignment vertical="center"/>
    </xf>
    <xf numFmtId="164" fontId="60" fillId="5" borderId="10" xfId="85" applyNumberFormat="1" applyFont="1" applyFill="1" applyBorder="1" applyAlignment="1">
      <alignment vertical="center"/>
    </xf>
    <xf numFmtId="0" fontId="61" fillId="5" borderId="47" xfId="85" applyFont="1" applyFill="1" applyBorder="1" applyAlignment="1">
      <alignment horizontal="center" vertical="center"/>
    </xf>
    <xf numFmtId="4" fontId="54" fillId="5" borderId="47" xfId="154" applyNumberFormat="1" applyFont="1" applyFill="1" applyBorder="1" applyAlignment="1">
      <alignment vertical="center"/>
    </xf>
    <xf numFmtId="4" fontId="51" fillId="5" borderId="48" xfId="85" applyNumberFormat="1" applyFont="1" applyFill="1" applyBorder="1" applyAlignment="1">
      <alignment horizontal="center" vertical="center"/>
    </xf>
    <xf numFmtId="0" fontId="61" fillId="0" borderId="44" xfId="85" applyFont="1" applyBorder="1" applyAlignment="1">
      <alignment horizontal="center" vertical="center"/>
    </xf>
    <xf numFmtId="10" fontId="52" fillId="0" borderId="44" xfId="85" applyNumberFormat="1" applyFont="1" applyBorder="1" applyAlignment="1">
      <alignment vertical="center"/>
    </xf>
    <xf numFmtId="9" fontId="51" fillId="0" borderId="45" xfId="85" applyNumberFormat="1" applyFont="1" applyBorder="1" applyAlignment="1">
      <alignment horizontal="center" vertical="center"/>
    </xf>
    <xf numFmtId="0" fontId="61" fillId="0" borderId="9" xfId="85" applyFont="1" applyBorder="1" applyAlignment="1">
      <alignment horizontal="center" vertical="center"/>
    </xf>
    <xf numFmtId="10" fontId="62" fillId="0" borderId="9" xfId="85" applyNumberFormat="1" applyFont="1" applyBorder="1" applyAlignment="1">
      <alignment vertical="center"/>
    </xf>
    <xf numFmtId="164" fontId="60" fillId="0" borderId="10" xfId="85" applyNumberFormat="1" applyFont="1" applyBorder="1" applyAlignment="1">
      <alignment vertical="center"/>
    </xf>
    <xf numFmtId="0" fontId="61" fillId="0" borderId="47" xfId="85" applyFont="1" applyBorder="1" applyAlignment="1">
      <alignment horizontal="center" vertical="center"/>
    </xf>
    <xf numFmtId="4" fontId="54" fillId="0" borderId="47" xfId="154" applyNumberFormat="1" applyFont="1" applyFill="1" applyBorder="1" applyAlignment="1">
      <alignment vertical="center"/>
    </xf>
    <xf numFmtId="4" fontId="63" fillId="0" borderId="48" xfId="85" applyNumberFormat="1" applyFont="1" applyBorder="1" applyAlignment="1">
      <alignment horizontal="center" vertical="center"/>
    </xf>
    <xf numFmtId="10" fontId="52" fillId="0" borderId="44" xfId="199" applyNumberFormat="1" applyFont="1" applyFill="1" applyBorder="1" applyAlignment="1">
      <alignment vertical="center"/>
    </xf>
    <xf numFmtId="0" fontId="61" fillId="28" borderId="44" xfId="85" applyFont="1" applyFill="1" applyBorder="1" applyAlignment="1">
      <alignment horizontal="center" vertical="center"/>
    </xf>
    <xf numFmtId="10" fontId="52" fillId="28" borderId="44" xfId="85" applyNumberFormat="1" applyFont="1" applyFill="1" applyBorder="1" applyAlignment="1">
      <alignment vertical="center"/>
    </xf>
    <xf numFmtId="9" fontId="51" fillId="28" borderId="45" xfId="85" applyNumberFormat="1" applyFont="1" applyFill="1" applyBorder="1" applyAlignment="1">
      <alignment horizontal="center" vertical="center"/>
    </xf>
    <xf numFmtId="0" fontId="61" fillId="28" borderId="9" xfId="85" applyFont="1" applyFill="1" applyBorder="1" applyAlignment="1">
      <alignment horizontal="center" vertical="center"/>
    </xf>
    <xf numFmtId="10" fontId="64" fillId="28" borderId="9" xfId="85" applyNumberFormat="1" applyFont="1" applyFill="1" applyBorder="1" applyAlignment="1">
      <alignment vertical="center"/>
    </xf>
    <xf numFmtId="164" fontId="60" fillId="28" borderId="10" xfId="85" applyNumberFormat="1" applyFont="1" applyFill="1" applyBorder="1" applyAlignment="1">
      <alignment vertical="center"/>
    </xf>
    <xf numFmtId="0" fontId="61" fillId="28" borderId="47" xfId="85" applyFont="1" applyFill="1" applyBorder="1" applyAlignment="1">
      <alignment horizontal="center" vertical="center"/>
    </xf>
    <xf numFmtId="4" fontId="54" fillId="28" borderId="47" xfId="154" applyNumberFormat="1" applyFont="1" applyFill="1" applyBorder="1" applyAlignment="1">
      <alignment vertical="center"/>
    </xf>
    <xf numFmtId="4" fontId="51" fillId="28" borderId="48" xfId="85" applyNumberFormat="1" applyFont="1" applyFill="1" applyBorder="1" applyAlignment="1">
      <alignment horizontal="center" vertical="center"/>
    </xf>
    <xf numFmtId="4" fontId="54" fillId="0" borderId="47" xfId="154" applyNumberFormat="1" applyFont="1" applyBorder="1" applyAlignment="1">
      <alignment vertical="center"/>
    </xf>
    <xf numFmtId="10" fontId="52" fillId="0" borderId="29" xfId="85" applyNumberFormat="1" applyFont="1" applyBorder="1" applyAlignment="1">
      <alignment vertical="center"/>
    </xf>
    <xf numFmtId="4" fontId="54" fillId="0" borderId="12" xfId="154" applyNumberFormat="1" applyFont="1" applyBorder="1" applyAlignment="1">
      <alignment vertical="center"/>
    </xf>
    <xf numFmtId="0" fontId="51" fillId="0" borderId="6" xfId="85" applyFont="1" applyBorder="1" applyAlignment="1">
      <alignment vertical="center"/>
    </xf>
    <xf numFmtId="4" fontId="51" fillId="0" borderId="6" xfId="126" applyNumberFormat="1" applyFont="1" applyFill="1" applyBorder="1" applyAlignment="1">
      <alignment vertical="center"/>
    </xf>
    <xf numFmtId="4" fontId="51" fillId="0" borderId="7" xfId="85" applyNumberFormat="1" applyFont="1" applyBorder="1" applyAlignment="1">
      <alignment horizontal="center" vertical="center"/>
    </xf>
    <xf numFmtId="10" fontId="51" fillId="0" borderId="9" xfId="85" applyNumberFormat="1" applyFont="1" applyBorder="1" applyAlignment="1">
      <alignment vertical="center"/>
    </xf>
    <xf numFmtId="4" fontId="51" fillId="0" borderId="9" xfId="126" applyNumberFormat="1" applyFont="1" applyFill="1" applyBorder="1" applyAlignment="1">
      <alignment vertical="center"/>
    </xf>
    <xf numFmtId="4" fontId="51" fillId="0" borderId="10" xfId="85" applyNumberFormat="1" applyFont="1" applyBorder="1" applyAlignment="1">
      <alignment horizontal="center" vertical="center"/>
    </xf>
    <xf numFmtId="0" fontId="51" fillId="0" borderId="9" xfId="85" applyFont="1" applyBorder="1" applyAlignment="1">
      <alignment vertical="center"/>
    </xf>
    <xf numFmtId="0" fontId="51" fillId="0" borderId="12" xfId="85" applyFont="1" applyBorder="1" applyAlignment="1">
      <alignment vertical="center"/>
    </xf>
    <xf numFmtId="4" fontId="51" fillId="0" borderId="12" xfId="126" applyNumberFormat="1" applyFont="1" applyFill="1" applyBorder="1" applyAlignment="1">
      <alignment vertical="center"/>
    </xf>
    <xf numFmtId="4" fontId="51" fillId="0" borderId="13" xfId="85" applyNumberFormat="1" applyFont="1" applyBorder="1" applyAlignment="1">
      <alignment horizontal="center" vertical="center"/>
    </xf>
    <xf numFmtId="43" fontId="52" fillId="0" borderId="0" xfId="175" applyFont="1"/>
    <xf numFmtId="4" fontId="52" fillId="0" borderId="0" xfId="0" applyNumberFormat="1" applyFont="1"/>
    <xf numFmtId="43" fontId="52" fillId="0" borderId="0" xfId="0" applyNumberFormat="1" applyFont="1"/>
    <xf numFmtId="0" fontId="65" fillId="0" borderId="0" xfId="229" applyFont="1"/>
    <xf numFmtId="0" fontId="66" fillId="0" borderId="0" xfId="10" applyFont="1" applyAlignment="1">
      <alignment vertical="center"/>
    </xf>
    <xf numFmtId="0" fontId="67" fillId="0" borderId="0" xfId="10" applyFont="1" applyAlignment="1">
      <alignment vertical="center"/>
    </xf>
    <xf numFmtId="4" fontId="66" fillId="0" borderId="0" xfId="10" applyNumberFormat="1" applyFont="1" applyAlignment="1">
      <alignment vertical="center"/>
    </xf>
    <xf numFmtId="0" fontId="66" fillId="0" borderId="0" xfId="10" applyFont="1" applyAlignment="1">
      <alignment horizontal="center" vertical="center"/>
    </xf>
    <xf numFmtId="0" fontId="67" fillId="0" borderId="0" xfId="10" applyFont="1" applyAlignment="1">
      <alignment horizontal="center" vertical="center"/>
    </xf>
    <xf numFmtId="0" fontId="66" fillId="0" borderId="0" xfId="2" applyFont="1" applyAlignment="1">
      <alignment vertical="center"/>
    </xf>
    <xf numFmtId="4" fontId="66" fillId="0" borderId="0" xfId="2" applyNumberFormat="1" applyFont="1" applyAlignment="1">
      <alignment horizontal="center" vertical="center"/>
    </xf>
    <xf numFmtId="4" fontId="66" fillId="0" borderId="0" xfId="2" applyNumberFormat="1" applyFont="1" applyAlignment="1">
      <alignment vertical="center"/>
    </xf>
    <xf numFmtId="4" fontId="66" fillId="23" borderId="0" xfId="2" applyNumberFormat="1" applyFont="1" applyFill="1" applyAlignment="1">
      <alignment vertical="center"/>
    </xf>
    <xf numFmtId="4" fontId="66" fillId="0" borderId="0" xfId="2" applyNumberFormat="1" applyFont="1" applyAlignment="1">
      <alignment horizontal="left" vertical="center"/>
    </xf>
    <xf numFmtId="4" fontId="66" fillId="0" borderId="0" xfId="2" applyNumberFormat="1" applyFont="1" applyAlignment="1">
      <alignment horizontal="right" vertical="center"/>
    </xf>
    <xf numFmtId="4" fontId="66" fillId="0" borderId="0" xfId="2" applyNumberFormat="1" applyFont="1" applyAlignment="1">
      <alignment vertical="center" wrapText="1"/>
    </xf>
    <xf numFmtId="0" fontId="65" fillId="4" borderId="0" xfId="229" applyFont="1" applyFill="1"/>
    <xf numFmtId="0" fontId="52" fillId="4" borderId="0" xfId="0" applyFont="1" applyFill="1"/>
    <xf numFmtId="0" fontId="50" fillId="4" borderId="22" xfId="229" applyFont="1" applyFill="1" applyBorder="1" applyAlignment="1">
      <alignment horizontal="right" vertical="top" wrapText="1"/>
    </xf>
    <xf numFmtId="0" fontId="68" fillId="0" borderId="0" xfId="2" applyFont="1" applyAlignment="1">
      <alignment horizontal="center" vertical="center" wrapText="1"/>
    </xf>
    <xf numFmtId="4" fontId="48" fillId="0" borderId="0" xfId="1" applyNumberFormat="1" applyFont="1" applyAlignment="1">
      <alignment horizontal="right" vertical="center" wrapText="1"/>
    </xf>
    <xf numFmtId="4" fontId="69" fillId="0" borderId="0" xfId="2" applyNumberFormat="1" applyFont="1" applyAlignment="1">
      <alignment horizontal="right" vertical="center" wrapText="1"/>
    </xf>
    <xf numFmtId="4" fontId="69" fillId="0" borderId="0" xfId="2" applyNumberFormat="1" applyFont="1" applyAlignment="1">
      <alignment vertical="center" wrapText="1"/>
    </xf>
    <xf numFmtId="0" fontId="69" fillId="0" borderId="0" xfId="2" applyFont="1" applyAlignment="1">
      <alignment vertical="center" wrapText="1"/>
    </xf>
    <xf numFmtId="0" fontId="68" fillId="0" borderId="0" xfId="2" applyFont="1" applyAlignment="1">
      <alignment vertical="center" wrapText="1"/>
    </xf>
    <xf numFmtId="43" fontId="68" fillId="0" borderId="0" xfId="175" applyFont="1" applyAlignment="1">
      <alignment vertical="center" wrapText="1"/>
    </xf>
    <xf numFmtId="43" fontId="68" fillId="0" borderId="0" xfId="175" applyFont="1" applyAlignment="1">
      <alignment horizontal="right" vertical="center" wrapText="1"/>
    </xf>
    <xf numFmtId="0" fontId="69" fillId="0" borderId="24" xfId="2" applyFont="1" applyBorder="1" applyAlignment="1">
      <alignment horizontal="center" vertical="center" wrapText="1"/>
    </xf>
    <xf numFmtId="2" fontId="49" fillId="2" borderId="25" xfId="2" applyNumberFormat="1" applyFont="1" applyFill="1" applyBorder="1" applyAlignment="1">
      <alignment horizontal="center" vertical="center" wrapText="1"/>
    </xf>
    <xf numFmtId="0" fontId="49" fillId="2" borderId="25" xfId="2" applyFont="1" applyFill="1" applyBorder="1" applyAlignment="1">
      <alignment horizontal="center" vertical="center" wrapText="1"/>
    </xf>
    <xf numFmtId="43" fontId="49" fillId="2" borderId="25" xfId="175" applyFont="1" applyFill="1" applyBorder="1" applyAlignment="1">
      <alignment horizontal="justify" vertical="top" wrapText="1"/>
    </xf>
    <xf numFmtId="0" fontId="68" fillId="2" borderId="26" xfId="2" applyFont="1" applyFill="1" applyBorder="1" applyAlignment="1">
      <alignment vertical="center" wrapText="1"/>
    </xf>
    <xf numFmtId="0" fontId="70" fillId="0" borderId="0" xfId="2" applyFont="1" applyAlignment="1">
      <alignment horizontal="center" vertical="center" wrapText="1"/>
    </xf>
    <xf numFmtId="0" fontId="69" fillId="0" borderId="0" xfId="2" applyFont="1" applyAlignment="1">
      <alignment horizontal="center" vertical="center" wrapText="1"/>
    </xf>
    <xf numFmtId="43" fontId="68" fillId="0" borderId="0" xfId="175" applyFont="1" applyFill="1" applyAlignment="1">
      <alignment horizontal="justify" vertical="top" wrapText="1"/>
    </xf>
    <xf numFmtId="3" fontId="70" fillId="0" borderId="0" xfId="2" applyNumberFormat="1" applyFont="1" applyAlignment="1">
      <alignment horizontal="center" vertical="center" wrapText="1"/>
    </xf>
    <xf numFmtId="43" fontId="68" fillId="0" borderId="0" xfId="175" applyFont="1" applyFill="1" applyAlignment="1">
      <alignment horizontal="right" vertical="center" wrapText="1"/>
    </xf>
    <xf numFmtId="0" fontId="69" fillId="0" borderId="5" xfId="2" applyFont="1" applyBorder="1" applyAlignment="1">
      <alignment horizontal="center" vertical="center" wrapText="1"/>
    </xf>
    <xf numFmtId="2" fontId="68" fillId="2" borderId="6" xfId="2" applyNumberFormat="1" applyFont="1" applyFill="1" applyBorder="1" applyAlignment="1">
      <alignment horizontal="center" vertical="center" wrapText="1"/>
    </xf>
    <xf numFmtId="0" fontId="68" fillId="2" borderId="6" xfId="2" applyFont="1" applyFill="1" applyBorder="1" applyAlignment="1">
      <alignment horizontal="center" vertical="center" wrapText="1"/>
    </xf>
    <xf numFmtId="43" fontId="68" fillId="2" borderId="6" xfId="175" applyFont="1" applyFill="1" applyBorder="1" applyAlignment="1">
      <alignment horizontal="justify" vertical="top" wrapText="1"/>
    </xf>
    <xf numFmtId="43" fontId="47" fillId="2" borderId="6" xfId="175" applyFont="1" applyFill="1" applyBorder="1" applyAlignment="1">
      <alignment horizontal="justify" vertical="top" wrapText="1"/>
    </xf>
    <xf numFmtId="0" fontId="68" fillId="2" borderId="6" xfId="2" applyFont="1" applyFill="1" applyBorder="1" applyAlignment="1">
      <alignment vertical="center" wrapText="1"/>
    </xf>
    <xf numFmtId="4" fontId="69" fillId="0" borderId="6" xfId="2" applyNumberFormat="1" applyFont="1" applyBorder="1" applyAlignment="1">
      <alignment vertical="center" wrapText="1"/>
    </xf>
    <xf numFmtId="4" fontId="69" fillId="0" borderId="6" xfId="2" applyNumberFormat="1" applyFont="1" applyBorder="1" applyAlignment="1">
      <alignment horizontal="right" vertical="center" wrapText="1"/>
    </xf>
    <xf numFmtId="3" fontId="69" fillId="0" borderId="6" xfId="2" applyNumberFormat="1" applyFont="1" applyBorder="1" applyAlignment="1">
      <alignment horizontal="center" vertical="center" wrapText="1"/>
    </xf>
    <xf numFmtId="0" fontId="69" fillId="0" borderId="6" xfId="2" applyFont="1" applyBorder="1" applyAlignment="1">
      <alignment vertical="center" wrapText="1"/>
    </xf>
    <xf numFmtId="0" fontId="69" fillId="0" borderId="7" xfId="2" applyFont="1" applyBorder="1" applyAlignment="1">
      <alignment vertical="center" wrapText="1"/>
    </xf>
    <xf numFmtId="0" fontId="69" fillId="0" borderId="8" xfId="2" applyFont="1" applyBorder="1" applyAlignment="1">
      <alignment horizontal="center" vertical="center" wrapText="1"/>
    </xf>
    <xf numFmtId="0" fontId="68" fillId="0" borderId="9" xfId="2" quotePrefix="1" applyFont="1" applyBorder="1" applyAlignment="1">
      <alignment horizontal="center" vertical="center" wrapText="1"/>
    </xf>
    <xf numFmtId="0" fontId="69" fillId="0" borderId="9" xfId="2" applyFont="1" applyBorder="1" applyAlignment="1">
      <alignment horizontal="center" vertical="center" wrapText="1"/>
    </xf>
    <xf numFmtId="0" fontId="68" fillId="0" borderId="9" xfId="2" applyFont="1" applyBorder="1" applyAlignment="1">
      <alignment vertical="center" wrapText="1"/>
    </xf>
    <xf numFmtId="0" fontId="68" fillId="0" borderId="9" xfId="2" applyFont="1" applyBorder="1" applyAlignment="1">
      <alignment horizontal="center" vertical="center" wrapText="1"/>
    </xf>
    <xf numFmtId="43" fontId="68" fillId="3" borderId="9" xfId="175" applyFont="1" applyFill="1" applyBorder="1" applyAlignment="1">
      <alignment horizontal="justify" vertical="top" wrapText="1"/>
    </xf>
    <xf numFmtId="43" fontId="47" fillId="0" borderId="9" xfId="175" applyFont="1" applyBorder="1" applyAlignment="1">
      <alignment horizontal="justify" vertical="top" wrapText="1"/>
    </xf>
    <xf numFmtId="4" fontId="69" fillId="0" borderId="9" xfId="2" applyNumberFormat="1" applyFont="1" applyBorder="1" applyAlignment="1">
      <alignment horizontal="right" vertical="center" wrapText="1"/>
    </xf>
    <xf numFmtId="4" fontId="69" fillId="0" borderId="9" xfId="2" applyNumberFormat="1" applyFont="1" applyBorder="1" applyAlignment="1">
      <alignment vertical="center" wrapText="1"/>
    </xf>
    <xf numFmtId="3" fontId="69" fillId="0" borderId="9" xfId="2" applyNumberFormat="1" applyFont="1" applyBorder="1" applyAlignment="1">
      <alignment horizontal="center" vertical="center" wrapText="1"/>
    </xf>
    <xf numFmtId="0" fontId="69" fillId="0" borderId="9" xfId="2" applyFont="1" applyBorder="1" applyAlignment="1">
      <alignment vertical="center" wrapText="1"/>
    </xf>
    <xf numFmtId="0" fontId="69" fillId="0" borderId="10" xfId="2" applyFont="1" applyBorder="1" applyAlignment="1">
      <alignment vertical="center" wrapText="1"/>
    </xf>
    <xf numFmtId="43" fontId="68" fillId="0" borderId="9" xfId="175" applyFont="1" applyFill="1" applyBorder="1" applyAlignment="1">
      <alignment horizontal="justify" vertical="top" wrapText="1"/>
    </xf>
    <xf numFmtId="43" fontId="68" fillId="0" borderId="9" xfId="175" applyFont="1" applyBorder="1" applyAlignment="1">
      <alignment horizontal="justify" vertical="top" wrapText="1"/>
    </xf>
    <xf numFmtId="4" fontId="47" fillId="0" borderId="0" xfId="2" applyNumberFormat="1" applyFont="1" applyAlignment="1">
      <alignment horizontal="left" vertical="center" wrapText="1"/>
    </xf>
    <xf numFmtId="43" fontId="47" fillId="0" borderId="0" xfId="175" applyFont="1" applyAlignment="1">
      <alignment horizontal="right" vertical="center" wrapText="1"/>
    </xf>
    <xf numFmtId="0" fontId="68" fillId="2" borderId="9" xfId="2" quotePrefix="1" applyFont="1" applyFill="1" applyBorder="1" applyAlignment="1">
      <alignment horizontal="center" vertical="center" wrapText="1"/>
    </xf>
    <xf numFmtId="0" fontId="68" fillId="2" borderId="9" xfId="2" applyFont="1" applyFill="1" applyBorder="1" applyAlignment="1">
      <alignment horizontal="center" vertical="center" wrapText="1"/>
    </xf>
    <xf numFmtId="43" fontId="68" fillId="2" borderId="9" xfId="175" applyFont="1" applyFill="1" applyBorder="1" applyAlignment="1">
      <alignment horizontal="justify" vertical="top" wrapText="1"/>
    </xf>
    <xf numFmtId="43" fontId="47" fillId="2" borderId="9" xfId="175" applyFont="1" applyFill="1" applyBorder="1" applyAlignment="1">
      <alignment horizontal="justify" vertical="top" wrapText="1"/>
    </xf>
    <xf numFmtId="2" fontId="68" fillId="0" borderId="9" xfId="2" applyNumberFormat="1" applyFont="1" applyBorder="1" applyAlignment="1">
      <alignment horizontal="center" vertical="center" wrapText="1"/>
    </xf>
    <xf numFmtId="43" fontId="68" fillId="0" borderId="0" xfId="175" applyFont="1" applyAlignment="1">
      <alignment horizontal="justify" vertical="top" wrapText="1"/>
    </xf>
    <xf numFmtId="43" fontId="69" fillId="0" borderId="9" xfId="175" applyFont="1" applyBorder="1" applyAlignment="1">
      <alignment horizontal="justify" vertical="top" wrapText="1"/>
    </xf>
    <xf numFmtId="0" fontId="69" fillId="2" borderId="9" xfId="2" applyFont="1" applyFill="1" applyBorder="1" applyAlignment="1">
      <alignment horizontal="center" vertical="center" wrapText="1"/>
    </xf>
    <xf numFmtId="4" fontId="70" fillId="0" borderId="9" xfId="2" applyNumberFormat="1" applyFont="1" applyBorder="1" applyAlignment="1">
      <alignment horizontal="center" vertical="center" wrapText="1"/>
    </xf>
    <xf numFmtId="0" fontId="70" fillId="0" borderId="9" xfId="2" applyFont="1" applyBorder="1" applyAlignment="1">
      <alignment horizontal="center" vertical="center" wrapText="1"/>
    </xf>
    <xf numFmtId="0" fontId="70" fillId="0" borderId="10" xfId="2" applyFont="1" applyBorder="1" applyAlignment="1">
      <alignment horizontal="center" vertical="center" wrapText="1"/>
    </xf>
    <xf numFmtId="0" fontId="49" fillId="0" borderId="9" xfId="2" applyFont="1" applyBorder="1" applyAlignment="1">
      <alignment horizontal="center" vertical="center" wrapText="1"/>
    </xf>
    <xf numFmtId="0" fontId="47" fillId="0" borderId="9" xfId="2" quotePrefix="1" applyFont="1" applyBorder="1" applyAlignment="1">
      <alignment horizontal="justify" vertical="top" wrapText="1"/>
    </xf>
    <xf numFmtId="43" fontId="47" fillId="0" borderId="9" xfId="175" applyFont="1" applyFill="1" applyBorder="1" applyAlignment="1" applyProtection="1">
      <alignment horizontal="right" vertical="top"/>
      <protection locked="0"/>
    </xf>
    <xf numFmtId="0" fontId="71" fillId="0" borderId="9" xfId="8" applyFont="1" applyBorder="1" applyAlignment="1" applyProtection="1">
      <alignment horizontal="justify" vertical="top"/>
      <protection locked="0"/>
    </xf>
    <xf numFmtId="0" fontId="69" fillId="2" borderId="9" xfId="2" quotePrefix="1" applyFont="1" applyFill="1" applyBorder="1" applyAlignment="1">
      <alignment horizontal="center" vertical="center" wrapText="1"/>
    </xf>
    <xf numFmtId="0" fontId="52" fillId="4" borderId="0" xfId="0" applyFont="1" applyFill="1" applyAlignment="1">
      <alignment horizontal="center"/>
    </xf>
    <xf numFmtId="0" fontId="47" fillId="0" borderId="0" xfId="13" applyFont="1" applyAlignment="1" applyProtection="1">
      <alignment horizontal="center" vertical="center"/>
      <protection locked="0"/>
    </xf>
    <xf numFmtId="1" fontId="47" fillId="0" borderId="0" xfId="13" applyNumberFormat="1" applyFont="1" applyAlignment="1" applyProtection="1">
      <alignment horizontal="justify" vertical="center"/>
      <protection locked="0"/>
    </xf>
    <xf numFmtId="0" fontId="47" fillId="0" borderId="0" xfId="13" applyFont="1" applyAlignment="1" applyProtection="1">
      <alignment horizontal="left" vertical="center"/>
      <protection locked="0"/>
    </xf>
    <xf numFmtId="43" fontId="47" fillId="0" borderId="0" xfId="175" applyFont="1" applyAlignment="1" applyProtection="1">
      <alignment horizontal="right" vertical="center"/>
      <protection locked="0"/>
    </xf>
    <xf numFmtId="4" fontId="47" fillId="0" borderId="0" xfId="13" applyNumberFormat="1" applyFont="1" applyAlignment="1" applyProtection="1">
      <alignment horizontal="center" vertical="center"/>
      <protection locked="0"/>
    </xf>
    <xf numFmtId="1" fontId="48" fillId="0" borderId="0" xfId="138" applyNumberFormat="1" applyFont="1" applyAlignment="1">
      <alignment horizontal="justify" vertical="center"/>
    </xf>
    <xf numFmtId="0" fontId="48" fillId="0" borderId="68" xfId="13" applyFont="1" applyBorder="1" applyAlignment="1" applyProtection="1">
      <alignment horizontal="left" vertical="center"/>
      <protection locked="0"/>
    </xf>
    <xf numFmtId="0" fontId="48" fillId="0" borderId="68" xfId="13" applyFont="1" applyBorder="1" applyAlignment="1" applyProtection="1">
      <alignment vertical="center"/>
      <protection locked="0"/>
    </xf>
    <xf numFmtId="43" fontId="48" fillId="0" borderId="68" xfId="175" applyFont="1" applyFill="1" applyBorder="1" applyAlignment="1" applyProtection="1">
      <alignment vertical="center"/>
      <protection locked="0"/>
    </xf>
    <xf numFmtId="1" fontId="48" fillId="0" borderId="0" xfId="13" applyNumberFormat="1" applyFont="1" applyAlignment="1" applyProtection="1">
      <alignment horizontal="justify" vertical="center"/>
      <protection locked="0"/>
    </xf>
    <xf numFmtId="0" fontId="47" fillId="4" borderId="9" xfId="8" applyFont="1" applyFill="1" applyBorder="1" applyAlignment="1" applyProtection="1">
      <alignment horizontal="center" vertical="center"/>
      <protection locked="0"/>
    </xf>
    <xf numFmtId="0" fontId="47" fillId="0" borderId="9" xfId="8" applyFont="1" applyBorder="1" applyAlignment="1" applyProtection="1">
      <alignment horizontal="center" vertical="center"/>
      <protection locked="0"/>
    </xf>
    <xf numFmtId="43" fontId="47" fillId="0" borderId="9" xfId="175" applyFont="1" applyBorder="1" applyAlignment="1" applyProtection="1">
      <alignment horizontal="justify" vertical="center"/>
      <protection locked="0"/>
    </xf>
    <xf numFmtId="0" fontId="47" fillId="0" borderId="9" xfId="0" applyFont="1" applyBorder="1" applyAlignment="1">
      <alignment horizontal="left" vertical="center"/>
    </xf>
    <xf numFmtId="43" fontId="47" fillId="0" borderId="9" xfId="175" applyFont="1" applyFill="1" applyBorder="1" applyAlignment="1" applyProtection="1">
      <alignment horizontal="justify" vertical="center"/>
      <protection locked="0"/>
    </xf>
    <xf numFmtId="0" fontId="48" fillId="46" borderId="9" xfId="8" applyFont="1" applyFill="1" applyBorder="1" applyAlignment="1" applyProtection="1">
      <alignment horizontal="center" vertical="center"/>
      <protection locked="0"/>
    </xf>
    <xf numFmtId="43" fontId="48" fillId="46" borderId="9" xfId="175" applyFont="1" applyFill="1" applyBorder="1" applyAlignment="1" applyProtection="1">
      <alignment horizontal="justify" vertical="center"/>
      <protection locked="0"/>
    </xf>
    <xf numFmtId="4" fontId="47" fillId="0" borderId="0" xfId="13" applyNumberFormat="1" applyFont="1" applyAlignment="1" applyProtection="1">
      <alignment horizontal="justify" vertical="center"/>
      <protection locked="0"/>
    </xf>
    <xf numFmtId="0" fontId="47" fillId="46" borderId="9" xfId="8" applyFont="1" applyFill="1" applyBorder="1" applyAlignment="1" applyProtection="1">
      <alignment horizontal="center" vertical="center"/>
      <protection locked="0"/>
    </xf>
    <xf numFmtId="0" fontId="48" fillId="0" borderId="9" xfId="8" applyFont="1" applyBorder="1" applyAlignment="1" applyProtection="1">
      <alignment horizontal="center" vertical="center"/>
      <protection locked="0"/>
    </xf>
    <xf numFmtId="43" fontId="48" fillId="0" borderId="9" xfId="175" applyFont="1" applyFill="1" applyBorder="1" applyAlignment="1" applyProtection="1">
      <alignment horizontal="right" vertical="center"/>
      <protection locked="0"/>
    </xf>
    <xf numFmtId="43" fontId="48" fillId="0" borderId="9" xfId="175" applyFont="1" applyFill="1" applyBorder="1" applyAlignment="1" applyProtection="1">
      <alignment horizontal="justify" vertical="center"/>
      <protection locked="0"/>
    </xf>
    <xf numFmtId="43" fontId="48" fillId="0" borderId="9" xfId="175" applyFont="1" applyBorder="1" applyAlignment="1" applyProtection="1">
      <alignment horizontal="justify" vertical="center"/>
      <protection locked="0"/>
    </xf>
    <xf numFmtId="0" fontId="48" fillId="0" borderId="0" xfId="13" applyFont="1" applyAlignment="1" applyProtection="1">
      <alignment horizontal="justify" vertical="center"/>
      <protection locked="0"/>
    </xf>
    <xf numFmtId="0" fontId="48" fillId="0" borderId="9" xfId="8" applyFont="1" applyBorder="1" applyAlignment="1" applyProtection="1">
      <alignment horizontal="left" vertical="center"/>
      <protection locked="0"/>
    </xf>
    <xf numFmtId="0" fontId="47" fillId="4" borderId="0" xfId="14" applyFont="1" applyFill="1" applyAlignment="1" applyProtection="1">
      <alignment horizontal="justify" vertical="center"/>
      <protection locked="0"/>
    </xf>
    <xf numFmtId="1" fontId="47" fillId="4" borderId="0" xfId="13" applyNumberFormat="1" applyFont="1" applyFill="1" applyAlignment="1" applyProtection="1">
      <alignment horizontal="justify" vertical="center"/>
      <protection locked="0"/>
    </xf>
    <xf numFmtId="0" fontId="47" fillId="4" borderId="0" xfId="13" applyFont="1" applyFill="1" applyAlignment="1" applyProtection="1">
      <alignment horizontal="justify" vertical="center"/>
      <protection locked="0"/>
    </xf>
    <xf numFmtId="0" fontId="48" fillId="4" borderId="9" xfId="8" applyFont="1" applyFill="1" applyBorder="1" applyAlignment="1" applyProtection="1">
      <alignment horizontal="center" vertical="center"/>
      <protection locked="0"/>
    </xf>
    <xf numFmtId="43" fontId="48" fillId="4" borderId="9" xfId="175" applyFont="1" applyFill="1" applyBorder="1" applyAlignment="1" applyProtection="1">
      <alignment horizontal="justify" vertical="center"/>
      <protection locked="0"/>
    </xf>
    <xf numFmtId="0" fontId="45" fillId="37" borderId="5" xfId="13" applyFont="1" applyFill="1" applyBorder="1" applyAlignment="1" applyProtection="1">
      <alignment horizontal="center" vertical="center" wrapText="1"/>
      <protection locked="0"/>
    </xf>
    <xf numFmtId="0" fontId="45" fillId="37" borderId="6" xfId="13" applyFont="1" applyFill="1" applyBorder="1" applyAlignment="1" applyProtection="1">
      <alignment horizontal="center" vertical="center" wrapText="1"/>
      <protection locked="0"/>
    </xf>
    <xf numFmtId="43" fontId="45" fillId="37" borderId="7" xfId="175" applyFont="1" applyFill="1" applyBorder="1" applyAlignment="1" applyProtection="1">
      <alignment horizontal="center" vertical="center" wrapText="1"/>
      <protection locked="0"/>
    </xf>
    <xf numFmtId="0" fontId="45" fillId="47" borderId="5" xfId="8" applyFont="1" applyFill="1" applyBorder="1" applyAlignment="1" applyProtection="1">
      <alignment horizontal="justify" vertical="center" wrapText="1"/>
      <protection locked="0"/>
    </xf>
    <xf numFmtId="0" fontId="45" fillId="47" borderId="6" xfId="8" applyFont="1" applyFill="1" applyBorder="1" applyAlignment="1" applyProtection="1">
      <alignment horizontal="justify" vertical="center" wrapText="1"/>
      <protection locked="0"/>
    </xf>
    <xf numFmtId="43" fontId="45" fillId="47" borderId="7" xfId="175" applyFont="1" applyFill="1" applyBorder="1" applyAlignment="1" applyProtection="1">
      <alignment horizontal="justify" vertical="center" wrapText="1"/>
      <protection locked="0"/>
    </xf>
    <xf numFmtId="0" fontId="45" fillId="37" borderId="8" xfId="8" applyFont="1" applyFill="1" applyBorder="1" applyAlignment="1" applyProtection="1">
      <alignment horizontal="justify" vertical="center" wrapText="1"/>
      <protection locked="0"/>
    </xf>
    <xf numFmtId="0" fontId="45" fillId="37" borderId="9" xfId="8" applyFont="1" applyFill="1" applyBorder="1" applyAlignment="1" applyProtection="1">
      <alignment horizontal="justify" vertical="center" wrapText="1"/>
      <protection locked="0"/>
    </xf>
    <xf numFmtId="43" fontId="45" fillId="37" borderId="10" xfId="175" applyFont="1" applyFill="1" applyBorder="1" applyAlignment="1" applyProtection="1">
      <alignment horizontal="justify" vertical="center" wrapText="1"/>
      <protection locked="0"/>
    </xf>
    <xf numFmtId="0" fontId="48" fillId="26" borderId="8" xfId="8" applyFont="1" applyFill="1" applyBorder="1" applyAlignment="1" applyProtection="1">
      <alignment horizontal="justify" vertical="center" wrapText="1"/>
      <protection locked="0"/>
    </xf>
    <xf numFmtId="0" fontId="48" fillId="26" borderId="9" xfId="8" applyFont="1" applyFill="1" applyBorder="1" applyAlignment="1" applyProtection="1">
      <alignment horizontal="justify" vertical="center" wrapText="1"/>
      <protection locked="0"/>
    </xf>
    <xf numFmtId="43" fontId="48" fillId="26" borderId="10" xfId="175" applyFont="1" applyFill="1" applyBorder="1" applyAlignment="1" applyProtection="1">
      <alignment horizontal="justify" vertical="center" wrapText="1"/>
      <protection locked="0"/>
    </xf>
    <xf numFmtId="10" fontId="45" fillId="37" borderId="8" xfId="199" applyNumberFormat="1" applyFont="1" applyFill="1" applyBorder="1" applyAlignment="1" applyProtection="1">
      <alignment horizontal="center" vertical="center" wrapText="1"/>
      <protection locked="0"/>
    </xf>
    <xf numFmtId="0" fontId="48" fillId="42" borderId="8" xfId="8" applyFont="1" applyFill="1" applyBorder="1" applyAlignment="1" applyProtection="1">
      <alignment horizontal="justify" vertical="center" wrapText="1"/>
      <protection locked="0"/>
    </xf>
    <xf numFmtId="0" fontId="48" fillId="42" borderId="9" xfId="8" applyFont="1" applyFill="1" applyBorder="1" applyAlignment="1" applyProtection="1">
      <alignment horizontal="justify" vertical="center" wrapText="1"/>
      <protection locked="0"/>
    </xf>
    <xf numFmtId="43" fontId="48" fillId="42" borderId="10" xfId="175" applyFont="1" applyFill="1" applyBorder="1" applyAlignment="1" applyProtection="1">
      <alignment horizontal="justify" vertical="center" wrapText="1"/>
      <protection locked="0"/>
    </xf>
    <xf numFmtId="0" fontId="53" fillId="0" borderId="0" xfId="13" applyFont="1" applyAlignment="1" applyProtection="1">
      <alignment horizontal="centerContinuous" vertical="center"/>
      <protection locked="0"/>
    </xf>
    <xf numFmtId="0" fontId="48" fillId="42" borderId="9" xfId="8" applyFont="1" applyFill="1" applyBorder="1" applyAlignment="1" applyProtection="1">
      <alignment horizontal="left" vertical="center"/>
      <protection locked="0"/>
    </xf>
    <xf numFmtId="0" fontId="48" fillId="42" borderId="9" xfId="8" applyFont="1" applyFill="1" applyBorder="1" applyAlignment="1" applyProtection="1">
      <alignment horizontal="center" vertical="center"/>
      <protection locked="0"/>
    </xf>
    <xf numFmtId="43" fontId="48" fillId="42" borderId="9" xfId="175" applyFont="1" applyFill="1" applyBorder="1" applyAlignment="1" applyProtection="1">
      <alignment horizontal="justify" vertical="center"/>
      <protection locked="0"/>
    </xf>
    <xf numFmtId="43" fontId="48" fillId="42" borderId="9" xfId="175" applyFont="1" applyFill="1" applyBorder="1" applyAlignment="1" applyProtection="1">
      <alignment horizontal="right" vertical="center"/>
      <protection locked="0"/>
    </xf>
    <xf numFmtId="0" fontId="45" fillId="37" borderId="9" xfId="8" applyFont="1" applyFill="1" applyBorder="1" applyAlignment="1" applyProtection="1">
      <alignment horizontal="left" vertical="center"/>
      <protection locked="0"/>
    </xf>
    <xf numFmtId="0" fontId="45" fillId="37" borderId="9" xfId="8" applyFont="1" applyFill="1" applyBorder="1" applyAlignment="1" applyProtection="1">
      <alignment horizontal="center" vertical="center"/>
      <protection locked="0"/>
    </xf>
    <xf numFmtId="10" fontId="45" fillId="37" borderId="9" xfId="8" applyNumberFormat="1" applyFont="1" applyFill="1" applyBorder="1" applyAlignment="1" applyProtection="1">
      <alignment horizontal="center" vertical="center"/>
      <protection locked="0"/>
    </xf>
    <xf numFmtId="43" fontId="45" fillId="37" borderId="9" xfId="175" applyFont="1" applyFill="1" applyBorder="1" applyAlignment="1" applyProtection="1">
      <alignment horizontal="justify" vertical="center"/>
      <protection locked="0"/>
    </xf>
    <xf numFmtId="43" fontId="45" fillId="37" borderId="9" xfId="175" applyFont="1" applyFill="1" applyBorder="1" applyAlignment="1" applyProtection="1">
      <alignment horizontal="right" vertical="center"/>
      <protection locked="0"/>
    </xf>
    <xf numFmtId="0" fontId="47" fillId="0" borderId="76" xfId="8" applyFont="1" applyBorder="1" applyAlignment="1" applyProtection="1">
      <alignment horizontal="center" vertical="center"/>
      <protection locked="0"/>
    </xf>
    <xf numFmtId="0" fontId="47" fillId="0" borderId="76" xfId="8" applyFont="1" applyBorder="1" applyAlignment="1" applyProtection="1">
      <alignment horizontal="left" vertical="center"/>
      <protection locked="0"/>
    </xf>
    <xf numFmtId="43" fontId="47" fillId="0" borderId="76" xfId="175" applyFont="1" applyFill="1" applyBorder="1" applyAlignment="1" applyProtection="1">
      <alignment horizontal="justify" vertical="center"/>
      <protection locked="0"/>
    </xf>
    <xf numFmtId="43" fontId="47" fillId="0" borderId="76" xfId="175" applyFont="1" applyFill="1" applyBorder="1" applyAlignment="1" applyProtection="1">
      <alignment horizontal="right" vertical="center"/>
      <protection locked="0"/>
    </xf>
    <xf numFmtId="43" fontId="47" fillId="0" borderId="76" xfId="175" applyFont="1" applyFill="1" applyBorder="1" applyAlignment="1" applyProtection="1">
      <alignment horizontal="center" vertical="center"/>
      <protection locked="0"/>
    </xf>
    <xf numFmtId="43" fontId="47" fillId="0" borderId="76" xfId="175" applyFont="1" applyBorder="1" applyAlignment="1" applyProtection="1">
      <alignment horizontal="justify" vertical="center"/>
      <protection locked="0"/>
    </xf>
    <xf numFmtId="43" fontId="47" fillId="0" borderId="42" xfId="175" applyFont="1" applyBorder="1" applyAlignment="1" applyProtection="1">
      <alignment horizontal="justify" vertical="center"/>
      <protection locked="0"/>
    </xf>
    <xf numFmtId="0" fontId="47" fillId="0" borderId="80" xfId="8" applyFont="1" applyBorder="1" applyAlignment="1" applyProtection="1">
      <alignment horizontal="center" vertical="center"/>
      <protection locked="0"/>
    </xf>
    <xf numFmtId="43" fontId="47" fillId="0" borderId="80" xfId="175" applyFont="1" applyFill="1" applyBorder="1" applyAlignment="1" applyProtection="1">
      <alignment horizontal="justify" vertical="center"/>
      <protection locked="0"/>
    </xf>
    <xf numFmtId="43" fontId="47" fillId="0" borderId="80" xfId="175" applyFont="1" applyFill="1" applyBorder="1" applyAlignment="1" applyProtection="1">
      <alignment horizontal="right" vertical="center"/>
      <protection locked="0"/>
    </xf>
    <xf numFmtId="43" fontId="47" fillId="0" borderId="80" xfId="175" applyFont="1" applyFill="1" applyBorder="1" applyAlignment="1" applyProtection="1">
      <alignment horizontal="center" vertical="center"/>
      <protection locked="0"/>
    </xf>
    <xf numFmtId="43" fontId="47" fillId="0" borderId="80" xfId="175" applyFont="1" applyBorder="1" applyAlignment="1" applyProtection="1">
      <alignment horizontal="justify" vertical="center"/>
      <protection locked="0"/>
    </xf>
    <xf numFmtId="10" fontId="48" fillId="0" borderId="68" xfId="199" applyNumberFormat="1" applyFont="1" applyFill="1" applyBorder="1" applyAlignment="1" applyProtection="1">
      <alignment horizontal="right" vertical="center"/>
      <protection locked="0"/>
    </xf>
    <xf numFmtId="0" fontId="48" fillId="0" borderId="81" xfId="13" applyFont="1" applyBorder="1" applyAlignment="1" applyProtection="1">
      <alignment vertical="center"/>
      <protection locked="0"/>
    </xf>
    <xf numFmtId="0" fontId="48" fillId="0" borderId="81" xfId="13" applyFont="1" applyBorder="1" applyAlignment="1" applyProtection="1">
      <alignment horizontal="left" vertical="center"/>
      <protection locked="0"/>
    </xf>
    <xf numFmtId="10" fontId="48" fillId="0" borderId="81" xfId="199" applyNumberFormat="1" applyFont="1" applyFill="1" applyBorder="1" applyAlignment="1" applyProtection="1">
      <alignment horizontal="right" vertical="center"/>
      <protection locked="0"/>
    </xf>
    <xf numFmtId="0" fontId="74" fillId="31" borderId="0" xfId="0" applyFont="1" applyFill="1" applyAlignment="1">
      <alignment horizontal="left" vertical="top" wrapText="1"/>
    </xf>
    <xf numFmtId="0" fontId="75" fillId="31" borderId="0" xfId="0" applyFont="1" applyFill="1" applyAlignment="1">
      <alignment horizontal="left" vertical="top" wrapText="1"/>
    </xf>
    <xf numFmtId="0" fontId="74" fillId="31" borderId="22" xfId="0" applyFont="1" applyFill="1" applyBorder="1" applyAlignment="1">
      <alignment horizontal="right" vertical="top" wrapText="1"/>
    </xf>
    <xf numFmtId="0" fontId="76" fillId="32" borderId="22" xfId="0" applyFont="1" applyFill="1" applyBorder="1" applyAlignment="1">
      <alignment horizontal="left" vertical="top" wrapText="1"/>
    </xf>
    <xf numFmtId="0" fontId="76" fillId="32" borderId="22" xfId="0" applyFont="1" applyFill="1" applyBorder="1" applyAlignment="1">
      <alignment horizontal="center" vertical="top" wrapText="1"/>
    </xf>
    <xf numFmtId="0" fontId="76" fillId="32" borderId="22" xfId="0" applyFont="1" applyFill="1" applyBorder="1" applyAlignment="1">
      <alignment horizontal="right" vertical="top" wrapText="1"/>
    </xf>
    <xf numFmtId="4" fontId="76" fillId="32" borderId="22" xfId="0" applyNumberFormat="1" applyFont="1" applyFill="1" applyBorder="1" applyAlignment="1">
      <alignment horizontal="right" vertical="top" wrapText="1"/>
    </xf>
    <xf numFmtId="166" fontId="76" fillId="32" borderId="22" xfId="0" applyNumberFormat="1" applyFont="1" applyFill="1" applyBorder="1" applyAlignment="1">
      <alignment horizontal="right" vertical="top" wrapText="1"/>
    </xf>
    <xf numFmtId="0" fontId="76" fillId="33" borderId="22" xfId="0" applyFont="1" applyFill="1" applyBorder="1" applyAlignment="1">
      <alignment horizontal="left" vertical="top" wrapText="1"/>
    </xf>
    <xf numFmtId="0" fontId="76" fillId="33" borderId="22" xfId="0" applyFont="1" applyFill="1" applyBorder="1" applyAlignment="1">
      <alignment horizontal="center" vertical="top" wrapText="1"/>
    </xf>
    <xf numFmtId="0" fontId="76" fillId="33" borderId="22" xfId="0" applyFont="1" applyFill="1" applyBorder="1" applyAlignment="1">
      <alignment horizontal="right" vertical="top" wrapText="1"/>
    </xf>
    <xf numFmtId="4" fontId="76" fillId="33" borderId="22" xfId="0" applyNumberFormat="1" applyFont="1" applyFill="1" applyBorder="1" applyAlignment="1">
      <alignment horizontal="right" vertical="top" wrapText="1"/>
    </xf>
    <xf numFmtId="166" fontId="76" fillId="33" borderId="22" xfId="0" applyNumberFormat="1" applyFont="1" applyFill="1" applyBorder="1" applyAlignment="1">
      <alignment horizontal="right" vertical="top" wrapText="1"/>
    </xf>
    <xf numFmtId="49" fontId="52" fillId="4" borderId="0" xfId="175" applyNumberFormat="1" applyFont="1" applyFill="1" applyAlignment="1">
      <alignment horizontal="left"/>
    </xf>
    <xf numFmtId="0" fontId="47" fillId="0" borderId="0" xfId="13" applyFont="1" applyAlignment="1" applyProtection="1">
      <alignment horizontal="justify" vertical="justify" wrapText="1"/>
      <protection locked="0"/>
    </xf>
    <xf numFmtId="0" fontId="48" fillId="0" borderId="68" xfId="13" applyFont="1" applyBorder="1" applyAlignment="1" applyProtection="1">
      <alignment horizontal="justify" vertical="justify" wrapText="1"/>
      <protection locked="0"/>
    </xf>
    <xf numFmtId="0" fontId="48" fillId="0" borderId="81" xfId="13" applyFont="1" applyBorder="1" applyAlignment="1" applyProtection="1">
      <alignment horizontal="justify" vertical="justify" wrapText="1"/>
      <protection locked="0"/>
    </xf>
    <xf numFmtId="0" fontId="47" fillId="0" borderId="9" xfId="8" applyFont="1" applyBorder="1" applyAlignment="1" applyProtection="1">
      <alignment horizontal="justify" vertical="justify" wrapText="1"/>
      <protection locked="0"/>
    </xf>
    <xf numFmtId="0" fontId="47" fillId="4" borderId="9" xfId="8" applyFont="1" applyFill="1" applyBorder="1" applyAlignment="1" applyProtection="1">
      <alignment horizontal="justify" vertical="justify" wrapText="1"/>
      <protection locked="0"/>
    </xf>
    <xf numFmtId="0" fontId="48" fillId="46" borderId="9" xfId="8" applyFont="1" applyFill="1" applyBorder="1" applyAlignment="1" applyProtection="1">
      <alignment horizontal="justify" vertical="justify" wrapText="1"/>
      <protection locked="0"/>
    </xf>
    <xf numFmtId="0" fontId="48" fillId="0" borderId="9" xfId="8" applyFont="1" applyBorder="1" applyAlignment="1" applyProtection="1">
      <alignment horizontal="justify" vertical="justify" wrapText="1"/>
      <protection locked="0"/>
    </xf>
    <xf numFmtId="0" fontId="48" fillId="4" borderId="9" xfId="0" applyFont="1" applyFill="1" applyBorder="1" applyAlignment="1">
      <alignment horizontal="justify" vertical="justify" wrapText="1"/>
    </xf>
    <xf numFmtId="0" fontId="48" fillId="4" borderId="9" xfId="8" applyFont="1" applyFill="1" applyBorder="1" applyAlignment="1" applyProtection="1">
      <alignment horizontal="justify" vertical="justify" wrapText="1"/>
      <protection locked="0"/>
    </xf>
    <xf numFmtId="0" fontId="68" fillId="0" borderId="9" xfId="2" applyFont="1" applyBorder="1" applyAlignment="1">
      <alignment horizontal="justify" vertical="justify" wrapText="1"/>
    </xf>
    <xf numFmtId="0" fontId="48" fillId="0" borderId="9" xfId="0" applyFont="1" applyBorder="1" applyAlignment="1">
      <alignment horizontal="justify" vertical="justify" wrapText="1"/>
    </xf>
    <xf numFmtId="0" fontId="47" fillId="4" borderId="9" xfId="0" applyFont="1" applyFill="1" applyBorder="1" applyAlignment="1">
      <alignment horizontal="justify" vertical="justify" wrapText="1"/>
    </xf>
    <xf numFmtId="0" fontId="47" fillId="0" borderId="9" xfId="0" applyFont="1" applyBorder="1" applyAlignment="1">
      <alignment horizontal="justify" vertical="justify" wrapText="1"/>
    </xf>
    <xf numFmtId="0" fontId="47" fillId="4" borderId="9" xfId="0" applyFont="1" applyFill="1" applyBorder="1" applyAlignment="1" applyProtection="1">
      <alignment horizontal="justify" vertical="justify" wrapText="1"/>
      <protection locked="0"/>
    </xf>
    <xf numFmtId="0" fontId="47" fillId="22" borderId="9" xfId="8" applyFont="1" applyFill="1" applyBorder="1" applyAlignment="1" applyProtection="1">
      <alignment horizontal="justify" vertical="justify" wrapText="1"/>
      <protection locked="0"/>
    </xf>
    <xf numFmtId="0" fontId="47" fillId="0" borderId="9" xfId="0" applyFont="1" applyBorder="1" applyAlignment="1" applyProtection="1">
      <alignment horizontal="justify" vertical="justify" wrapText="1"/>
      <protection locked="0"/>
    </xf>
    <xf numFmtId="0" fontId="47" fillId="0" borderId="80" xfId="8" applyFont="1" applyBorder="1" applyAlignment="1" applyProtection="1">
      <alignment horizontal="justify" vertical="justify" wrapText="1"/>
      <protection locked="0"/>
    </xf>
    <xf numFmtId="0" fontId="47" fillId="0" borderId="76" xfId="8" applyFont="1" applyBorder="1" applyAlignment="1" applyProtection="1">
      <alignment horizontal="justify" vertical="justify" wrapText="1"/>
      <protection locked="0"/>
    </xf>
    <xf numFmtId="0" fontId="45" fillId="37" borderId="9" xfId="8" applyFont="1" applyFill="1" applyBorder="1" applyAlignment="1" applyProtection="1">
      <alignment horizontal="justify" vertical="justify" wrapText="1"/>
      <protection locked="0"/>
    </xf>
    <xf numFmtId="0" fontId="48" fillId="42" borderId="9" xfId="8" applyFont="1" applyFill="1" applyBorder="1" applyAlignment="1" applyProtection="1">
      <alignment horizontal="justify" vertical="justify" wrapText="1"/>
      <protection locked="0"/>
    </xf>
    <xf numFmtId="0" fontId="75" fillId="31" borderId="0" xfId="0" applyFont="1" applyFill="1" applyAlignment="1">
      <alignment horizontal="right" vertical="top" wrapText="1"/>
    </xf>
    <xf numFmtId="0" fontId="80" fillId="31" borderId="0" xfId="0" applyFont="1" applyFill="1" applyAlignment="1">
      <alignment horizontal="center" vertical="top" wrapText="1"/>
    </xf>
    <xf numFmtId="0" fontId="80" fillId="31" borderId="0" xfId="0" applyFont="1" applyFill="1" applyAlignment="1">
      <alignment horizontal="left" vertical="top" wrapText="1"/>
    </xf>
    <xf numFmtId="0" fontId="75" fillId="31" borderId="0" xfId="0" applyFont="1" applyFill="1" applyAlignment="1">
      <alignment horizontal="center" vertical="top" wrapText="1"/>
    </xf>
    <xf numFmtId="0" fontId="78" fillId="0" borderId="9" xfId="8" applyFont="1" applyBorder="1" applyAlignment="1" applyProtection="1">
      <alignment horizontal="justify" vertical="justify" wrapText="1"/>
      <protection locked="0"/>
    </xf>
    <xf numFmtId="0" fontId="78" fillId="0" borderId="9" xfId="8" applyFont="1" applyBorder="1" applyAlignment="1" applyProtection="1">
      <alignment horizontal="center" vertical="center"/>
      <protection locked="0"/>
    </xf>
    <xf numFmtId="0" fontId="0" fillId="0" borderId="0" xfId="0" applyAlignment="1">
      <alignment horizontal="left"/>
    </xf>
    <xf numFmtId="0" fontId="49" fillId="2" borderId="25" xfId="2" applyFont="1" applyFill="1" applyBorder="1" applyAlignment="1">
      <alignment horizontal="justify" vertical="justify" wrapText="1"/>
    </xf>
    <xf numFmtId="0" fontId="49" fillId="0" borderId="0" xfId="2" applyFont="1" applyAlignment="1">
      <alignment horizontal="justify" vertical="justify" wrapText="1"/>
    </xf>
    <xf numFmtId="0" fontId="49" fillId="2" borderId="6" xfId="2" applyFont="1" applyFill="1" applyBorder="1" applyAlignment="1">
      <alignment horizontal="justify" vertical="justify" wrapText="1"/>
    </xf>
    <xf numFmtId="0" fontId="49" fillId="2" borderId="9" xfId="2" applyFont="1" applyFill="1" applyBorder="1" applyAlignment="1">
      <alignment horizontal="justify" vertical="justify" wrapText="1"/>
    </xf>
    <xf numFmtId="0" fontId="71" fillId="0" borderId="9" xfId="0" applyFont="1" applyBorder="1" applyAlignment="1">
      <alignment horizontal="justify" vertical="justify" wrapText="1"/>
    </xf>
    <xf numFmtId="0" fontId="72" fillId="0" borderId="9" xfId="0" applyFont="1" applyBorder="1" applyAlignment="1">
      <alignment horizontal="justify" vertical="justify" wrapText="1"/>
    </xf>
    <xf numFmtId="0" fontId="68" fillId="0" borderId="0" xfId="2" applyFont="1" applyAlignment="1">
      <alignment horizontal="justify" vertical="justify" wrapText="1"/>
    </xf>
    <xf numFmtId="0" fontId="72" fillId="2" borderId="9" xfId="8" applyFont="1" applyFill="1" applyBorder="1" applyAlignment="1" applyProtection="1">
      <alignment horizontal="justify" vertical="justify"/>
      <protection locked="0"/>
    </xf>
    <xf numFmtId="0" fontId="68" fillId="2" borderId="9" xfId="2" applyFont="1" applyFill="1" applyBorder="1" applyAlignment="1">
      <alignment horizontal="justify" vertical="justify" wrapText="1"/>
    </xf>
    <xf numFmtId="0" fontId="68" fillId="0" borderId="0" xfId="0" applyFont="1" applyAlignment="1">
      <alignment horizontal="justify" vertical="justify" wrapText="1"/>
    </xf>
    <xf numFmtId="0" fontId="68" fillId="4" borderId="9" xfId="0" applyFont="1" applyFill="1" applyBorder="1" applyAlignment="1">
      <alignment horizontal="justify" vertical="justify"/>
    </xf>
    <xf numFmtId="0" fontId="47" fillId="0" borderId="9" xfId="8" applyFont="1" applyBorder="1" applyAlignment="1" applyProtection="1">
      <alignment horizontal="justify" vertical="justify"/>
      <protection locked="0"/>
    </xf>
    <xf numFmtId="0" fontId="68" fillId="0" borderId="9" xfId="85" applyFont="1" applyBorder="1" applyAlignment="1" applyProtection="1">
      <alignment horizontal="justify" vertical="justify"/>
      <protection locked="0"/>
    </xf>
    <xf numFmtId="0" fontId="47" fillId="4" borderId="9" xfId="0" applyFont="1" applyFill="1" applyBorder="1" applyAlignment="1">
      <alignment horizontal="justify" vertical="justify"/>
    </xf>
    <xf numFmtId="43" fontId="69" fillId="0" borderId="9" xfId="175" applyFont="1" applyBorder="1" applyAlignment="1">
      <alignment horizontal="right" vertical="center" wrapText="1"/>
    </xf>
    <xf numFmtId="43" fontId="69" fillId="0" borderId="9" xfId="175" applyFont="1" applyBorder="1" applyAlignment="1">
      <alignment vertical="center" wrapText="1"/>
    </xf>
    <xf numFmtId="0" fontId="0" fillId="0" borderId="0" xfId="0" applyAlignment="1">
      <alignment horizontal="justify" vertical="justify" wrapText="1"/>
    </xf>
    <xf numFmtId="43" fontId="81" fillId="0" borderId="0" xfId="175" applyFont="1"/>
    <xf numFmtId="43" fontId="49" fillId="2" borderId="82" xfId="175" applyFont="1" applyFill="1" applyBorder="1" applyAlignment="1">
      <alignment horizontal="justify" vertical="top" wrapText="1"/>
    </xf>
    <xf numFmtId="43" fontId="68" fillId="2" borderId="63" xfId="175" applyFont="1" applyFill="1" applyBorder="1" applyAlignment="1">
      <alignment horizontal="justify" vertical="top" wrapText="1"/>
    </xf>
    <xf numFmtId="0" fontId="47" fillId="0" borderId="17" xfId="13" applyFont="1" applyBorder="1" applyAlignment="1" applyProtection="1">
      <alignment horizontal="justify" vertical="center"/>
      <protection locked="0"/>
    </xf>
    <xf numFmtId="0" fontId="50" fillId="21" borderId="18" xfId="229" applyFont="1" applyFill="1" applyBorder="1" applyAlignment="1">
      <alignment vertical="top" wrapText="1"/>
    </xf>
    <xf numFmtId="43" fontId="47" fillId="0" borderId="18" xfId="175" applyFont="1" applyBorder="1" applyAlignment="1" applyProtection="1">
      <alignment horizontal="justify" vertical="center"/>
      <protection locked="0"/>
    </xf>
    <xf numFmtId="0" fontId="47" fillId="0" borderId="73" xfId="13" applyFont="1" applyBorder="1" applyAlignment="1" applyProtection="1">
      <alignment horizontal="justify" vertical="center"/>
      <protection locked="0"/>
    </xf>
    <xf numFmtId="0" fontId="47" fillId="0" borderId="70" xfId="13" applyFont="1" applyBorder="1" applyAlignment="1" applyProtection="1">
      <alignment horizontal="justify" vertical="center"/>
      <protection locked="0"/>
    </xf>
    <xf numFmtId="43" fontId="47" fillId="0" borderId="71" xfId="175" applyFont="1" applyBorder="1" applyAlignment="1" applyProtection="1">
      <alignment horizontal="justify" vertical="center"/>
      <protection locked="0"/>
    </xf>
    <xf numFmtId="0" fontId="47" fillId="0" borderId="72" xfId="13" applyFont="1" applyBorder="1" applyAlignment="1" applyProtection="1">
      <alignment horizontal="justify" vertical="center" wrapText="1"/>
      <protection locked="0"/>
    </xf>
    <xf numFmtId="0" fontId="47" fillId="0" borderId="68" xfId="13" applyFont="1" applyBorder="1" applyAlignment="1" applyProtection="1">
      <alignment horizontal="justify" vertical="center" wrapText="1"/>
      <protection locked="0"/>
    </xf>
    <xf numFmtId="43" fontId="47" fillId="0" borderId="69" xfId="175" applyFont="1" applyBorder="1" applyAlignment="1" applyProtection="1">
      <alignment horizontal="justify" vertical="center" wrapText="1"/>
      <protection locked="0"/>
    </xf>
    <xf numFmtId="0" fontId="47" fillId="0" borderId="17" xfId="13" applyFont="1" applyBorder="1" applyAlignment="1" applyProtection="1">
      <alignment horizontal="justify" vertical="center" wrapText="1"/>
      <protection locked="0"/>
    </xf>
    <xf numFmtId="4" fontId="75" fillId="31" borderId="0" xfId="0" applyNumberFormat="1" applyFont="1" applyFill="1" applyAlignment="1">
      <alignment horizontal="right" vertical="top" wrapText="1"/>
    </xf>
    <xf numFmtId="0" fontId="74" fillId="31" borderId="22" xfId="0" applyFont="1" applyFill="1" applyBorder="1" applyAlignment="1">
      <alignment horizontal="left" vertical="top" wrapText="1"/>
    </xf>
    <xf numFmtId="0" fontId="74" fillId="31" borderId="22" xfId="0" applyFont="1" applyFill="1" applyBorder="1" applyAlignment="1">
      <alignment horizontal="center" vertical="top" wrapText="1"/>
    </xf>
    <xf numFmtId="0" fontId="74" fillId="31" borderId="22" xfId="229" applyFont="1" applyFill="1" applyBorder="1" applyAlignment="1">
      <alignment horizontal="right" vertical="top" wrapText="1"/>
    </xf>
    <xf numFmtId="0" fontId="74" fillId="31" borderId="0" xfId="229" applyFont="1" applyFill="1" applyAlignment="1">
      <alignment horizontal="left" vertical="top" wrapText="1"/>
    </xf>
    <xf numFmtId="0" fontId="80" fillId="34" borderId="22" xfId="229" applyFont="1" applyFill="1" applyBorder="1" applyAlignment="1">
      <alignment horizontal="left" vertical="top" wrapText="1"/>
    </xf>
    <xf numFmtId="0" fontId="80" fillId="34" borderId="22" xfId="229" applyFont="1" applyFill="1" applyBorder="1" applyAlignment="1">
      <alignment horizontal="center" vertical="top" wrapText="1"/>
    </xf>
    <xf numFmtId="0" fontId="80" fillId="34" borderId="22" xfId="229" applyFont="1" applyFill="1" applyBorder="1" applyAlignment="1">
      <alignment horizontal="right" vertical="top" wrapText="1"/>
    </xf>
    <xf numFmtId="4" fontId="80" fillId="34" borderId="22" xfId="229" applyNumberFormat="1" applyFont="1" applyFill="1" applyBorder="1" applyAlignment="1">
      <alignment horizontal="right" vertical="top" wrapText="1"/>
    </xf>
    <xf numFmtId="0" fontId="80" fillId="35" borderId="22" xfId="229" applyFont="1" applyFill="1" applyBorder="1" applyAlignment="1">
      <alignment horizontal="left" vertical="top" wrapText="1"/>
    </xf>
    <xf numFmtId="0" fontId="80" fillId="35" borderId="22" xfId="229" applyFont="1" applyFill="1" applyBorder="1" applyAlignment="1">
      <alignment horizontal="center" vertical="top" wrapText="1"/>
    </xf>
    <xf numFmtId="0" fontId="80" fillId="35" borderId="22" xfId="229" applyFont="1" applyFill="1" applyBorder="1" applyAlignment="1">
      <alignment horizontal="right" vertical="top" wrapText="1"/>
    </xf>
    <xf numFmtId="4" fontId="80" fillId="35" borderId="22" xfId="229" applyNumberFormat="1" applyFont="1" applyFill="1" applyBorder="1" applyAlignment="1">
      <alignment horizontal="right" vertical="top" wrapText="1"/>
    </xf>
    <xf numFmtId="0" fontId="76" fillId="33" borderId="22" xfId="229" applyFont="1" applyFill="1" applyBorder="1" applyAlignment="1">
      <alignment horizontal="left" vertical="top" wrapText="1"/>
    </xf>
    <xf numFmtId="0" fontId="76" fillId="33" borderId="22" xfId="229" applyFont="1" applyFill="1" applyBorder="1" applyAlignment="1">
      <alignment horizontal="center" vertical="top" wrapText="1"/>
    </xf>
    <xf numFmtId="0" fontId="76" fillId="33" borderId="22" xfId="229" applyFont="1" applyFill="1" applyBorder="1" applyAlignment="1">
      <alignment horizontal="right" vertical="top" wrapText="1"/>
    </xf>
    <xf numFmtId="4" fontId="76" fillId="33" borderId="22" xfId="229" applyNumberFormat="1" applyFont="1" applyFill="1" applyBorder="1" applyAlignment="1">
      <alignment horizontal="right" vertical="top" wrapText="1"/>
    </xf>
    <xf numFmtId="0" fontId="75" fillId="31" borderId="0" xfId="229" applyFont="1" applyFill="1" applyAlignment="1">
      <alignment horizontal="left" vertical="top" wrapText="1"/>
    </xf>
    <xf numFmtId="165" fontId="76" fillId="32" borderId="22" xfId="0" applyNumberFormat="1" applyFont="1" applyFill="1" applyBorder="1" applyAlignment="1">
      <alignment horizontal="right" vertical="top" wrapText="1"/>
    </xf>
    <xf numFmtId="0" fontId="80" fillId="35" borderId="22" xfId="0" applyFont="1" applyFill="1" applyBorder="1" applyAlignment="1">
      <alignment horizontal="left" vertical="top" wrapText="1"/>
    </xf>
    <xf numFmtId="0" fontId="80" fillId="35" borderId="22" xfId="0" applyFont="1" applyFill="1" applyBorder="1" applyAlignment="1">
      <alignment horizontal="right" vertical="top" wrapText="1"/>
    </xf>
    <xf numFmtId="0" fontId="80" fillId="35" borderId="22" xfId="0" applyFont="1" applyFill="1" applyBorder="1" applyAlignment="1">
      <alignment horizontal="center" vertical="top" wrapText="1"/>
    </xf>
    <xf numFmtId="165" fontId="80" fillId="35" borderId="22" xfId="0" applyNumberFormat="1" applyFont="1" applyFill="1" applyBorder="1" applyAlignment="1">
      <alignment horizontal="right" vertical="top" wrapText="1"/>
    </xf>
    <xf numFmtId="4" fontId="80" fillId="35" borderId="22" xfId="0" applyNumberFormat="1" applyFont="1" applyFill="1" applyBorder="1" applyAlignment="1">
      <alignment horizontal="right" vertical="top" wrapText="1"/>
    </xf>
    <xf numFmtId="0" fontId="80" fillId="31" borderId="0" xfId="0" applyFont="1" applyFill="1" applyAlignment="1">
      <alignment horizontal="right" vertical="top" wrapText="1"/>
    </xf>
    <xf numFmtId="4" fontId="80" fillId="31" borderId="0" xfId="0" applyNumberFormat="1" applyFont="1" applyFill="1" applyAlignment="1">
      <alignment horizontal="right" vertical="top" wrapText="1"/>
    </xf>
    <xf numFmtId="0" fontId="76" fillId="32" borderId="23" xfId="0" applyFont="1" applyFill="1" applyBorder="1" applyAlignment="1">
      <alignment horizontal="left" vertical="top" wrapText="1"/>
    </xf>
    <xf numFmtId="0" fontId="80" fillId="34" borderId="22" xfId="0" applyFont="1" applyFill="1" applyBorder="1" applyAlignment="1">
      <alignment horizontal="left" vertical="top" wrapText="1"/>
    </xf>
    <xf numFmtId="0" fontId="80" fillId="34" borderId="22" xfId="0" applyFont="1" applyFill="1" applyBorder="1" applyAlignment="1">
      <alignment horizontal="right" vertical="top" wrapText="1"/>
    </xf>
    <xf numFmtId="0" fontId="80" fillId="34" borderId="22" xfId="0" applyFont="1" applyFill="1" applyBorder="1" applyAlignment="1">
      <alignment horizontal="center" vertical="top" wrapText="1"/>
    </xf>
    <xf numFmtId="4" fontId="80" fillId="34" borderId="22" xfId="0" applyNumberFormat="1" applyFont="1" applyFill="1" applyBorder="1" applyAlignment="1">
      <alignment horizontal="right" vertical="top" wrapText="1"/>
    </xf>
    <xf numFmtId="165" fontId="80" fillId="34" borderId="22" xfId="0" applyNumberFormat="1" applyFont="1" applyFill="1" applyBorder="1" applyAlignment="1">
      <alignment horizontal="right" vertical="top" wrapText="1"/>
    </xf>
    <xf numFmtId="168" fontId="75" fillId="31" borderId="0" xfId="0" applyNumberFormat="1" applyFont="1" applyFill="1" applyAlignment="1">
      <alignment horizontal="right" vertical="top" wrapText="1"/>
    </xf>
    <xf numFmtId="168" fontId="80" fillId="35" borderId="22" xfId="0" applyNumberFormat="1" applyFont="1" applyFill="1" applyBorder="1" applyAlignment="1">
      <alignment horizontal="right" vertical="top" wrapText="1"/>
    </xf>
    <xf numFmtId="168" fontId="80" fillId="34" borderId="22" xfId="0" applyNumberFormat="1" applyFont="1" applyFill="1" applyBorder="1" applyAlignment="1">
      <alignment horizontal="right" vertical="top" wrapText="1"/>
    </xf>
    <xf numFmtId="10" fontId="52" fillId="0" borderId="0" xfId="0" applyNumberFormat="1" applyFont="1"/>
    <xf numFmtId="43" fontId="48" fillId="0" borderId="9" xfId="175" applyFont="1" applyBorder="1" applyAlignment="1">
      <alignment horizontal="justify" vertical="top" wrapText="1"/>
    </xf>
    <xf numFmtId="0" fontId="82" fillId="26" borderId="9" xfId="8" applyFont="1" applyFill="1" applyBorder="1" applyAlignment="1" applyProtection="1">
      <alignment horizontal="justify" vertical="center" wrapText="1"/>
      <protection locked="0"/>
    </xf>
    <xf numFmtId="0" fontId="49" fillId="4" borderId="25" xfId="2" applyFont="1" applyFill="1" applyBorder="1" applyAlignment="1">
      <alignment horizontal="center" vertical="center" wrapText="1"/>
    </xf>
    <xf numFmtId="0" fontId="68" fillId="4" borderId="0" xfId="2" applyFont="1" applyFill="1" applyAlignment="1">
      <alignment horizontal="center" vertical="center" wrapText="1"/>
    </xf>
    <xf numFmtId="0" fontId="68" fillId="4" borderId="6" xfId="2" applyFont="1" applyFill="1" applyBorder="1" applyAlignment="1">
      <alignment horizontal="center" vertical="center" wrapText="1"/>
    </xf>
    <xf numFmtId="0" fontId="69" fillId="4" borderId="9" xfId="2" applyFont="1" applyFill="1" applyBorder="1" applyAlignment="1">
      <alignment horizontal="center" vertical="center" wrapText="1"/>
    </xf>
    <xf numFmtId="0" fontId="68" fillId="4" borderId="9" xfId="2" applyFont="1" applyFill="1" applyBorder="1" applyAlignment="1">
      <alignment horizontal="center" vertical="center" wrapText="1"/>
    </xf>
    <xf numFmtId="0" fontId="71" fillId="4" borderId="9" xfId="8" applyFont="1" applyFill="1" applyBorder="1" applyAlignment="1" applyProtection="1">
      <alignment horizontal="justify" vertical="top"/>
      <protection locked="0"/>
    </xf>
    <xf numFmtId="0" fontId="68" fillId="4" borderId="9" xfId="2" quotePrefix="1" applyFont="1" applyFill="1" applyBorder="1" applyAlignment="1">
      <alignment horizontal="center" vertical="center" wrapText="1"/>
    </xf>
    <xf numFmtId="43" fontId="68" fillId="4" borderId="9" xfId="175" applyFont="1" applyFill="1" applyBorder="1" applyAlignment="1">
      <alignment horizontal="justify" vertical="top" wrapText="1"/>
    </xf>
    <xf numFmtId="43" fontId="47" fillId="4" borderId="9" xfId="175" applyFont="1" applyFill="1" applyBorder="1" applyAlignment="1">
      <alignment horizontal="justify" vertical="top" wrapText="1"/>
    </xf>
    <xf numFmtId="0" fontId="68" fillId="4" borderId="9" xfId="2" applyFont="1" applyFill="1" applyBorder="1" applyAlignment="1">
      <alignment vertical="center" wrapText="1"/>
    </xf>
    <xf numFmtId="4" fontId="69" fillId="0" borderId="0" xfId="2" applyNumberFormat="1" applyFont="1" applyAlignment="1">
      <alignment horizontal="justify" vertical="top" wrapText="1"/>
    </xf>
    <xf numFmtId="3" fontId="70" fillId="0" borderId="0" xfId="2" applyNumberFormat="1" applyFont="1" applyAlignment="1">
      <alignment horizontal="justify" vertical="top" wrapText="1"/>
    </xf>
    <xf numFmtId="4" fontId="68" fillId="0" borderId="6" xfId="2" applyNumberFormat="1" applyFont="1" applyBorder="1" applyAlignment="1">
      <alignment horizontal="justify" vertical="top" wrapText="1"/>
    </xf>
    <xf numFmtId="4" fontId="69" fillId="0" borderId="9" xfId="2" applyNumberFormat="1" applyFont="1" applyBorder="1" applyAlignment="1">
      <alignment horizontal="justify" vertical="top" wrapText="1"/>
    </xf>
    <xf numFmtId="4" fontId="68" fillId="0" borderId="9" xfId="2" applyNumberFormat="1" applyFont="1" applyBorder="1" applyAlignment="1">
      <alignment horizontal="justify" vertical="top" wrapText="1"/>
    </xf>
    <xf numFmtId="43" fontId="47" fillId="0" borderId="9" xfId="175" applyFont="1" applyFill="1" applyBorder="1" applyAlignment="1" applyProtection="1">
      <alignment horizontal="justify" vertical="top"/>
      <protection locked="0"/>
    </xf>
    <xf numFmtId="43" fontId="47" fillId="4" borderId="9" xfId="175" applyFont="1" applyFill="1" applyBorder="1" applyAlignment="1" applyProtection="1">
      <alignment horizontal="justify" vertical="top"/>
      <protection locked="0"/>
    </xf>
    <xf numFmtId="0" fontId="68" fillId="0" borderId="9" xfId="8" applyFont="1" applyBorder="1" applyAlignment="1" applyProtection="1">
      <alignment horizontal="justify" vertical="justify" wrapText="1"/>
      <protection locked="0"/>
    </xf>
    <xf numFmtId="0" fontId="68" fillId="4" borderId="9" xfId="8" applyFont="1" applyFill="1" applyBorder="1" applyAlignment="1" applyProtection="1">
      <alignment horizontal="justify" vertical="justify" wrapText="1"/>
      <protection locked="0"/>
    </xf>
    <xf numFmtId="0" fontId="68" fillId="4" borderId="9" xfId="8" applyFont="1" applyFill="1" applyBorder="1" applyAlignment="1" applyProtection="1">
      <alignment horizontal="center" vertical="center"/>
      <protection locked="0"/>
    </xf>
    <xf numFmtId="43" fontId="47" fillId="4" borderId="9" xfId="175" applyFont="1" applyFill="1" applyBorder="1" applyAlignment="1" applyProtection="1">
      <alignment horizontal="justify" vertical="center"/>
      <protection locked="0"/>
    </xf>
    <xf numFmtId="43" fontId="68" fillId="4" borderId="9" xfId="175" applyFont="1" applyFill="1" applyBorder="1" applyAlignment="1" applyProtection="1">
      <alignment horizontal="justify" vertical="center"/>
      <protection locked="0"/>
    </xf>
    <xf numFmtId="0" fontId="68" fillId="4" borderId="9" xfId="2" applyFont="1" applyFill="1" applyBorder="1" applyAlignment="1">
      <alignment horizontal="justify" vertical="justify" wrapText="1"/>
    </xf>
    <xf numFmtId="0" fontId="68" fillId="0" borderId="9" xfId="2" applyFont="1" applyBorder="1" applyAlignment="1">
      <alignment horizontal="justify" vertical="top" wrapText="1"/>
    </xf>
    <xf numFmtId="43" fontId="68" fillId="0" borderId="9" xfId="175" applyFont="1" applyBorder="1" applyAlignment="1">
      <alignment horizontal="justify" vertical="center" wrapText="1"/>
    </xf>
    <xf numFmtId="43" fontId="68" fillId="4" borderId="9" xfId="175" applyFont="1" applyFill="1" applyBorder="1" applyAlignment="1">
      <alignment horizontal="justify" vertical="center" wrapText="1"/>
    </xf>
    <xf numFmtId="43" fontId="77" fillId="0" borderId="9" xfId="175" applyFont="1" applyFill="1" applyBorder="1" applyAlignment="1" applyProtection="1">
      <alignment horizontal="justify" vertical="center"/>
      <protection locked="0"/>
    </xf>
    <xf numFmtId="43" fontId="78" fillId="0" borderId="9" xfId="175" applyFont="1" applyFill="1" applyBorder="1" applyAlignment="1" applyProtection="1">
      <alignment horizontal="justify" vertical="center"/>
      <protection locked="0"/>
    </xf>
    <xf numFmtId="43" fontId="49" fillId="4" borderId="9" xfId="175" applyFont="1" applyFill="1" applyBorder="1" applyAlignment="1" applyProtection="1">
      <alignment horizontal="justify" vertical="center"/>
      <protection locked="0"/>
    </xf>
    <xf numFmtId="0" fontId="48" fillId="0" borderId="68" xfId="13" applyFont="1" applyBorder="1" applyAlignment="1" applyProtection="1">
      <alignment horizontal="center" vertical="center"/>
      <protection locked="0"/>
    </xf>
    <xf numFmtId="0" fontId="48" fillId="0" borderId="81" xfId="13" applyFont="1" applyBorder="1" applyAlignment="1" applyProtection="1">
      <alignment horizontal="center" vertical="center"/>
      <protection locked="0"/>
    </xf>
    <xf numFmtId="0" fontId="47" fillId="0" borderId="9" xfId="8" applyFont="1" applyBorder="1" applyAlignment="1">
      <alignment horizontal="center" vertical="center"/>
    </xf>
    <xf numFmtId="43" fontId="47" fillId="0" borderId="9" xfId="175" applyFont="1" applyFill="1" applyBorder="1" applyAlignment="1" applyProtection="1">
      <alignment horizontal="center" vertical="center"/>
      <protection locked="0"/>
    </xf>
    <xf numFmtId="0" fontId="47" fillId="0" borderId="9" xfId="0" applyFont="1" applyBorder="1" applyAlignment="1" applyProtection="1">
      <alignment horizontal="center" vertical="center"/>
      <protection locked="0"/>
    </xf>
    <xf numFmtId="0" fontId="45" fillId="37" borderId="63" xfId="8" applyFont="1" applyFill="1" applyBorder="1" applyAlignment="1" applyProtection="1">
      <alignment horizontal="left" vertical="center"/>
      <protection locked="0"/>
    </xf>
    <xf numFmtId="0" fontId="45" fillId="37" borderId="63" xfId="8" applyFont="1" applyFill="1" applyBorder="1" applyAlignment="1" applyProtection="1">
      <alignment horizontal="center" vertical="center"/>
      <protection locked="0"/>
    </xf>
    <xf numFmtId="0" fontId="45" fillId="37" borderId="63" xfId="8" applyFont="1" applyFill="1" applyBorder="1" applyAlignment="1" applyProtection="1">
      <alignment horizontal="justify" vertical="justify" wrapText="1"/>
      <protection locked="0"/>
    </xf>
    <xf numFmtId="43" fontId="45" fillId="37" borderId="63" xfId="175" applyFont="1" applyFill="1" applyBorder="1" applyAlignment="1" applyProtection="1">
      <alignment horizontal="justify" vertical="center"/>
      <protection locked="0"/>
    </xf>
    <xf numFmtId="43" fontId="45" fillId="37" borderId="63" xfId="175" applyFont="1" applyFill="1" applyBorder="1" applyAlignment="1" applyProtection="1">
      <alignment horizontal="right" vertical="center"/>
      <protection locked="0"/>
    </xf>
    <xf numFmtId="0" fontId="47" fillId="0" borderId="83" xfId="13" applyFont="1" applyBorder="1" applyAlignment="1" applyProtection="1">
      <alignment horizontal="center" vertical="center"/>
      <protection locked="0"/>
    </xf>
    <xf numFmtId="0" fontId="47" fillId="0" borderId="83" xfId="13" applyFont="1" applyBorder="1" applyAlignment="1" applyProtection="1">
      <alignment horizontal="left" vertical="center"/>
      <protection locked="0"/>
    </xf>
    <xf numFmtId="0" fontId="47" fillId="0" borderId="83" xfId="13" applyFont="1" applyBorder="1" applyAlignment="1" applyProtection="1">
      <alignment horizontal="justify" vertical="justify" wrapText="1"/>
      <protection locked="0"/>
    </xf>
    <xf numFmtId="43" fontId="47" fillId="0" borderId="83" xfId="175" applyFont="1" applyBorder="1" applyAlignment="1" applyProtection="1">
      <alignment horizontal="justify" vertical="center"/>
      <protection locked="0"/>
    </xf>
    <xf numFmtId="43" fontId="47" fillId="0" borderId="83" xfId="175" applyFont="1" applyBorder="1" applyAlignment="1" applyProtection="1">
      <alignment horizontal="right" vertical="center"/>
      <protection locked="0"/>
    </xf>
    <xf numFmtId="4" fontId="47" fillId="0" borderId="83" xfId="13" applyNumberFormat="1" applyFont="1" applyBorder="1" applyAlignment="1" applyProtection="1">
      <alignment horizontal="center" vertical="center"/>
      <protection locked="0"/>
    </xf>
    <xf numFmtId="43" fontId="45" fillId="37" borderId="86" xfId="175" applyFont="1" applyFill="1" applyBorder="1" applyAlignment="1" applyProtection="1">
      <alignment horizontal="center" vertical="center"/>
      <protection locked="0"/>
    </xf>
    <xf numFmtId="0" fontId="48" fillId="0" borderId="87" xfId="8" applyFont="1" applyBorder="1" applyAlignment="1" applyProtection="1">
      <alignment horizontal="center" vertical="center"/>
      <protection locked="0"/>
    </xf>
    <xf numFmtId="0" fontId="47" fillId="0" borderId="89" xfId="8" applyFont="1" applyBorder="1" applyAlignment="1" applyProtection="1">
      <alignment horizontal="center" vertical="center"/>
      <protection locked="0"/>
    </xf>
    <xf numFmtId="43" fontId="47" fillId="0" borderId="90" xfId="175" applyFont="1" applyBorder="1" applyAlignment="1" applyProtection="1">
      <alignment horizontal="justify" vertical="center"/>
      <protection locked="0"/>
    </xf>
    <xf numFmtId="0" fontId="45" fillId="37" borderId="91" xfId="8" applyFont="1" applyFill="1" applyBorder="1" applyAlignment="1" applyProtection="1">
      <alignment horizontal="center" vertical="center"/>
      <protection locked="0"/>
    </xf>
    <xf numFmtId="43" fontId="45" fillId="37" borderId="92" xfId="175" applyFont="1" applyFill="1" applyBorder="1" applyAlignment="1" applyProtection="1">
      <alignment horizontal="justify" vertical="center"/>
      <protection locked="0"/>
    </xf>
    <xf numFmtId="43" fontId="48" fillId="0" borderId="88" xfId="175" applyFont="1" applyFill="1" applyBorder="1" applyAlignment="1" applyProtection="1">
      <alignment horizontal="justify" vertical="center"/>
      <protection locked="0"/>
    </xf>
    <xf numFmtId="0" fontId="45" fillId="37" borderId="87" xfId="8" applyFont="1" applyFill="1" applyBorder="1" applyAlignment="1" applyProtection="1">
      <alignment horizontal="center" vertical="center"/>
      <protection locked="0"/>
    </xf>
    <xf numFmtId="43" fontId="45" fillId="37" borderId="88" xfId="175" applyFont="1" applyFill="1" applyBorder="1" applyAlignment="1" applyProtection="1">
      <alignment horizontal="justify" vertical="center"/>
      <protection locked="0"/>
    </xf>
    <xf numFmtId="0" fontId="48" fillId="42" borderId="87" xfId="8" applyFont="1" applyFill="1" applyBorder="1" applyAlignment="1" applyProtection="1">
      <alignment horizontal="center" vertical="center"/>
      <protection locked="0"/>
    </xf>
    <xf numFmtId="43" fontId="48" fillId="42" borderId="88" xfId="175" applyFont="1" applyFill="1" applyBorder="1" applyAlignment="1" applyProtection="1">
      <alignment horizontal="justify" vertical="center"/>
      <protection locked="0"/>
    </xf>
    <xf numFmtId="0" fontId="47" fillId="0" borderId="95" xfId="13" applyFont="1" applyBorder="1" applyAlignment="1" applyProtection="1">
      <alignment horizontal="center" vertical="center"/>
      <protection locked="0"/>
    </xf>
    <xf numFmtId="43" fontId="47" fillId="0" borderId="96" xfId="175" applyFont="1" applyBorder="1" applyAlignment="1" applyProtection="1">
      <alignment horizontal="justify" vertical="center"/>
      <protection locked="0"/>
    </xf>
    <xf numFmtId="4" fontId="51" fillId="0" borderId="48" xfId="85" applyNumberFormat="1" applyFont="1" applyBorder="1" applyAlignment="1">
      <alignment horizontal="center" vertical="center"/>
    </xf>
    <xf numFmtId="43" fontId="83" fillId="0" borderId="9" xfId="175" applyFont="1" applyBorder="1" applyAlignment="1" applyProtection="1">
      <alignment horizontal="justify" vertical="center"/>
      <protection locked="0"/>
    </xf>
    <xf numFmtId="0" fontId="47" fillId="0" borderId="9" xfId="0" applyFont="1" applyBorder="1" applyAlignment="1">
      <alignment horizontal="center" vertical="center"/>
    </xf>
    <xf numFmtId="0" fontId="47" fillId="0" borderId="9" xfId="8" quotePrefix="1" applyFont="1" applyBorder="1" applyAlignment="1" applyProtection="1">
      <alignment horizontal="center" vertical="center"/>
      <protection locked="0"/>
    </xf>
    <xf numFmtId="0" fontId="47" fillId="0" borderId="9" xfId="2" quotePrefix="1" applyFont="1" applyBorder="1" applyAlignment="1">
      <alignment horizontal="center" vertical="center"/>
    </xf>
    <xf numFmtId="0" fontId="47" fillId="4" borderId="9" xfId="192" applyFont="1" applyFill="1" applyBorder="1" applyAlignment="1">
      <alignment horizontal="center" vertical="center"/>
    </xf>
    <xf numFmtId="0" fontId="47" fillId="0" borderId="9" xfId="2" quotePrefix="1" applyFont="1" applyBorder="1" applyAlignment="1">
      <alignment horizontal="center" vertical="center" wrapText="1"/>
    </xf>
    <xf numFmtId="0" fontId="47" fillId="0" borderId="9" xfId="0" applyFont="1" applyBorder="1" applyAlignment="1">
      <alignment horizontal="center" vertical="center" wrapText="1"/>
    </xf>
    <xf numFmtId="0" fontId="47" fillId="4" borderId="9" xfId="0" applyFont="1" applyFill="1" applyBorder="1" applyAlignment="1">
      <alignment horizontal="center" vertical="center" wrapText="1"/>
    </xf>
    <xf numFmtId="0" fontId="48" fillId="0" borderId="9" xfId="2" quotePrefix="1" applyFont="1" applyBorder="1" applyAlignment="1">
      <alignment horizontal="center" vertical="center" wrapText="1"/>
    </xf>
    <xf numFmtId="0" fontId="47" fillId="4" borderId="9" xfId="0" applyFont="1" applyFill="1" applyBorder="1" applyAlignment="1">
      <alignment horizontal="center" vertical="center"/>
    </xf>
    <xf numFmtId="0" fontId="48" fillId="4" borderId="9" xfId="0" applyFont="1" applyFill="1" applyBorder="1" applyAlignment="1">
      <alignment horizontal="center" vertical="center"/>
    </xf>
    <xf numFmtId="0" fontId="47" fillId="4" borderId="9" xfId="228" applyFont="1" applyFill="1" applyBorder="1" applyAlignment="1">
      <alignment horizontal="center" vertical="center" wrapText="1"/>
    </xf>
    <xf numFmtId="0" fontId="47" fillId="4" borderId="9" xfId="229" applyFont="1" applyFill="1" applyBorder="1" applyAlignment="1">
      <alignment horizontal="center" vertical="center" wrapText="1"/>
    </xf>
    <xf numFmtId="0" fontId="47" fillId="46" borderId="9" xfId="0" applyFont="1" applyFill="1" applyBorder="1" applyAlignment="1">
      <alignment horizontal="center" vertical="center"/>
    </xf>
    <xf numFmtId="0" fontId="48" fillId="0" borderId="9" xfId="0" applyFont="1" applyBorder="1" applyAlignment="1">
      <alignment horizontal="center" vertical="center"/>
    </xf>
    <xf numFmtId="0" fontId="48" fillId="0" borderId="9" xfId="0" applyFont="1" applyBorder="1" applyAlignment="1" applyProtection="1">
      <alignment horizontal="justify" vertical="justify" wrapText="1"/>
      <protection locked="0"/>
    </xf>
    <xf numFmtId="0" fontId="83" fillId="0" borderId="9" xfId="0" applyFont="1" applyBorder="1" applyAlignment="1">
      <alignment horizontal="center" vertical="center"/>
    </xf>
    <xf numFmtId="0" fontId="47" fillId="0" borderId="36" xfId="8" applyFont="1" applyBorder="1" applyAlignment="1" applyProtection="1">
      <alignment horizontal="center" vertical="center"/>
      <protection locked="0"/>
    </xf>
    <xf numFmtId="0" fontId="48" fillId="46" borderId="36" xfId="8" applyFont="1" applyFill="1" applyBorder="1" applyAlignment="1" applyProtection="1">
      <alignment horizontal="center" vertical="center"/>
      <protection locked="0"/>
    </xf>
    <xf numFmtId="43" fontId="48" fillId="46" borderId="42" xfId="175" applyFont="1" applyFill="1" applyBorder="1" applyAlignment="1" applyProtection="1">
      <alignment horizontal="justify" vertical="center"/>
      <protection locked="0"/>
    </xf>
    <xf numFmtId="0" fontId="67" fillId="36" borderId="9" xfId="0" applyFont="1" applyFill="1" applyBorder="1" applyAlignment="1">
      <alignment horizontal="center" vertical="top" wrapText="1"/>
    </xf>
    <xf numFmtId="0" fontId="48" fillId="0" borderId="36" xfId="8" applyFont="1" applyBorder="1" applyAlignment="1" applyProtection="1">
      <alignment horizontal="center" vertical="center"/>
      <protection locked="0"/>
    </xf>
    <xf numFmtId="43" fontId="48" fillId="0" borderId="42" xfId="175" applyFont="1" applyFill="1" applyBorder="1" applyAlignment="1" applyProtection="1">
      <alignment horizontal="justify" vertical="center"/>
      <protection locked="0"/>
    </xf>
    <xf numFmtId="0" fontId="79" fillId="4" borderId="9" xfId="0" applyFont="1" applyFill="1" applyBorder="1" applyAlignment="1">
      <alignment wrapText="1"/>
    </xf>
    <xf numFmtId="0" fontId="79" fillId="0" borderId="9" xfId="0" applyFont="1" applyBorder="1" applyAlignment="1">
      <alignment wrapText="1"/>
    </xf>
    <xf numFmtId="0" fontId="79" fillId="0" borderId="9" xfId="0" applyFont="1" applyBorder="1"/>
    <xf numFmtId="0" fontId="48" fillId="4" borderId="36" xfId="8" applyFont="1" applyFill="1" applyBorder="1" applyAlignment="1" applyProtection="1">
      <alignment horizontal="center" vertical="center"/>
      <protection locked="0"/>
    </xf>
    <xf numFmtId="0" fontId="0" fillId="4" borderId="9" xfId="0" applyFill="1" applyBorder="1" applyAlignment="1">
      <alignment horizontal="justify" vertical="justify" wrapText="1"/>
    </xf>
    <xf numFmtId="43" fontId="81" fillId="0" borderId="9" xfId="175" applyFont="1" applyBorder="1" applyAlignment="1">
      <alignment horizontal="justify" vertical="center"/>
    </xf>
    <xf numFmtId="0" fontId="67" fillId="32" borderId="9" xfId="229" applyFont="1" applyFill="1" applyBorder="1" applyAlignment="1">
      <alignment horizontal="center" vertical="top" wrapText="1"/>
    </xf>
    <xf numFmtId="0" fontId="79" fillId="48" borderId="9" xfId="0" applyFont="1" applyFill="1" applyBorder="1" applyAlignment="1">
      <alignment horizontal="justify" vertical="justify" wrapText="1"/>
    </xf>
    <xf numFmtId="43" fontId="53" fillId="0" borderId="42" xfId="175" applyFont="1" applyFill="1" applyBorder="1" applyAlignment="1" applyProtection="1">
      <alignment horizontal="justify" vertical="center"/>
      <protection locked="0"/>
    </xf>
    <xf numFmtId="43" fontId="53" fillId="46" borderId="42" xfId="175" applyFont="1" applyFill="1" applyBorder="1" applyAlignment="1" applyProtection="1">
      <alignment horizontal="justify" vertical="center"/>
      <protection locked="0"/>
    </xf>
    <xf numFmtId="43" fontId="47" fillId="0" borderId="42" xfId="175" applyFont="1" applyFill="1" applyBorder="1" applyAlignment="1" applyProtection="1">
      <alignment horizontal="justify" vertical="center"/>
      <protection locked="0"/>
    </xf>
    <xf numFmtId="0" fontId="47" fillId="0" borderId="101" xfId="8" applyFont="1" applyBorder="1" applyAlignment="1" applyProtection="1">
      <alignment horizontal="center" vertical="center"/>
      <protection locked="0"/>
    </xf>
    <xf numFmtId="43" fontId="47" fillId="0" borderId="102" xfId="175" applyFont="1" applyBorder="1" applyAlignment="1" applyProtection="1">
      <alignment horizontal="justify" vertical="center"/>
      <protection locked="0"/>
    </xf>
    <xf numFmtId="43" fontId="47" fillId="0" borderId="0" xfId="175" applyFont="1" applyAlignment="1" applyProtection="1">
      <alignment horizontal="center" vertical="top"/>
      <protection locked="0"/>
    </xf>
    <xf numFmtId="43" fontId="48" fillId="0" borderId="0" xfId="175" applyFont="1" applyAlignment="1" applyProtection="1">
      <alignment horizontal="center" vertical="top"/>
      <protection locked="0"/>
    </xf>
    <xf numFmtId="43" fontId="47" fillId="0" borderId="0" xfId="175" applyFont="1" applyAlignment="1">
      <alignment horizontal="center" vertical="top"/>
    </xf>
    <xf numFmtId="43" fontId="47" fillId="25" borderId="8" xfId="175" applyFont="1" applyFill="1" applyBorder="1" applyAlignment="1" applyProtection="1">
      <alignment horizontal="center" vertical="top"/>
      <protection locked="0"/>
    </xf>
    <xf numFmtId="0" fontId="45" fillId="47" borderId="103" xfId="8" applyFont="1" applyFill="1" applyBorder="1" applyAlignment="1" applyProtection="1">
      <alignment horizontal="center" vertical="center"/>
      <protection locked="0"/>
    </xf>
    <xf numFmtId="0" fontId="45" fillId="47" borderId="63" xfId="8" applyFont="1" applyFill="1" applyBorder="1" applyAlignment="1" applyProtection="1">
      <alignment horizontal="center" vertical="center"/>
      <protection locked="0"/>
    </xf>
    <xf numFmtId="0" fontId="45" fillId="47" borderId="63" xfId="8" applyFont="1" applyFill="1" applyBorder="1" applyAlignment="1" applyProtection="1">
      <alignment horizontal="justify" vertical="justify" wrapText="1"/>
      <protection locked="0"/>
    </xf>
    <xf numFmtId="43" fontId="45" fillId="47" borderId="63" xfId="175" applyFont="1" applyFill="1" applyBorder="1" applyAlignment="1" applyProtection="1">
      <alignment horizontal="right" vertical="center"/>
      <protection locked="0"/>
    </xf>
    <xf numFmtId="43" fontId="45" fillId="47" borderId="63" xfId="175" applyFont="1" applyFill="1" applyBorder="1" applyAlignment="1" applyProtection="1">
      <alignment horizontal="center" vertical="center"/>
      <protection locked="0"/>
    </xf>
    <xf numFmtId="43" fontId="45" fillId="47" borderId="63" xfId="175" applyFont="1" applyFill="1" applyBorder="1" applyAlignment="1" applyProtection="1">
      <alignment horizontal="justify" vertical="center"/>
      <protection locked="0"/>
    </xf>
    <xf numFmtId="43" fontId="45" fillId="47" borderId="74" xfId="175" applyFont="1" applyFill="1" applyBorder="1" applyAlignment="1" applyProtection="1">
      <alignment horizontal="justify" vertical="center"/>
      <protection locked="0"/>
    </xf>
    <xf numFmtId="0" fontId="45" fillId="47" borderId="36" xfId="8" applyFont="1" applyFill="1" applyBorder="1" applyAlignment="1" applyProtection="1">
      <alignment horizontal="center" vertical="center"/>
      <protection locked="0"/>
    </xf>
    <xf numFmtId="0" fontId="45" fillId="47" borderId="9" xfId="8" applyFont="1" applyFill="1" applyBorder="1" applyAlignment="1" applyProtection="1">
      <alignment horizontal="center" vertical="center"/>
      <protection locked="0"/>
    </xf>
    <xf numFmtId="0" fontId="45" fillId="47" borderId="9" xfId="8" applyFont="1" applyFill="1" applyBorder="1" applyAlignment="1" applyProtection="1">
      <alignment horizontal="justify" vertical="justify" wrapText="1"/>
      <protection locked="0"/>
    </xf>
    <xf numFmtId="43" fontId="45" fillId="47" borderId="9" xfId="175" applyFont="1" applyFill="1" applyBorder="1" applyAlignment="1" applyProtection="1">
      <alignment horizontal="justify" vertical="center"/>
      <protection locked="0"/>
    </xf>
    <xf numFmtId="43" fontId="45" fillId="47" borderId="42" xfId="175" applyFont="1" applyFill="1" applyBorder="1" applyAlignment="1" applyProtection="1">
      <alignment horizontal="justify" vertical="center"/>
      <protection locked="0"/>
    </xf>
    <xf numFmtId="0" fontId="48" fillId="26" borderId="36" xfId="8" applyFont="1" applyFill="1" applyBorder="1" applyAlignment="1" applyProtection="1">
      <alignment horizontal="center" vertical="center"/>
      <protection locked="0"/>
    </xf>
    <xf numFmtId="0" fontId="48" fillId="26" borderId="9" xfId="8" applyFont="1" applyFill="1" applyBorder="1" applyAlignment="1" applyProtection="1">
      <alignment horizontal="center" vertical="center"/>
      <protection locked="0"/>
    </xf>
    <xf numFmtId="0" fontId="48" fillId="26" borderId="9" xfId="8" applyFont="1" applyFill="1" applyBorder="1" applyAlignment="1" applyProtection="1">
      <alignment horizontal="justify" vertical="justify" wrapText="1"/>
      <protection locked="0"/>
    </xf>
    <xf numFmtId="43" fontId="48" fillId="26" borderId="9" xfId="175" applyFont="1" applyFill="1" applyBorder="1" applyAlignment="1" applyProtection="1">
      <alignment horizontal="right" vertical="center"/>
      <protection locked="0"/>
    </xf>
    <xf numFmtId="43" fontId="48" fillId="26" borderId="9" xfId="175" applyFont="1" applyFill="1" applyBorder="1" applyAlignment="1" applyProtection="1">
      <alignment horizontal="center" vertical="center"/>
      <protection locked="0"/>
    </xf>
    <xf numFmtId="43" fontId="48" fillId="26" borderId="9" xfId="175" applyFont="1" applyFill="1" applyBorder="1" applyAlignment="1" applyProtection="1">
      <alignment horizontal="justify" vertical="center"/>
      <protection locked="0"/>
    </xf>
    <xf numFmtId="43" fontId="48" fillId="26" borderId="42" xfId="175" applyFont="1" applyFill="1" applyBorder="1" applyAlignment="1" applyProtection="1">
      <alignment horizontal="justify" vertical="center"/>
      <protection locked="0"/>
    </xf>
    <xf numFmtId="43" fontId="84" fillId="26" borderId="9" xfId="175" applyFont="1" applyFill="1" applyBorder="1" applyAlignment="1" applyProtection="1">
      <alignment horizontal="justify" vertical="center"/>
      <protection locked="0"/>
    </xf>
    <xf numFmtId="43" fontId="53" fillId="26" borderId="42" xfId="175" applyFont="1" applyFill="1" applyBorder="1" applyAlignment="1" applyProtection="1">
      <alignment horizontal="justify" vertical="center"/>
      <protection locked="0"/>
    </xf>
    <xf numFmtId="43" fontId="48" fillId="26" borderId="9" xfId="175" quotePrefix="1" applyFont="1" applyFill="1" applyBorder="1" applyAlignment="1" applyProtection="1">
      <alignment horizontal="justify" vertical="center"/>
      <protection locked="0"/>
    </xf>
    <xf numFmtId="43" fontId="47" fillId="0" borderId="0" xfId="13" applyNumberFormat="1" applyFont="1" applyAlignment="1" applyProtection="1">
      <alignment horizontal="justify" vertical="center"/>
      <protection locked="0"/>
    </xf>
    <xf numFmtId="43" fontId="73" fillId="27" borderId="72" xfId="175" applyFont="1" applyFill="1" applyBorder="1" applyAlignment="1" applyProtection="1">
      <alignment horizontal="center" vertical="top" wrapText="1"/>
      <protection locked="0"/>
    </xf>
    <xf numFmtId="43" fontId="73" fillId="27" borderId="100" xfId="175" applyFont="1" applyFill="1" applyBorder="1" applyAlignment="1" applyProtection="1">
      <alignment horizontal="center" vertical="top" wrapText="1"/>
      <protection locked="0"/>
    </xf>
    <xf numFmtId="0" fontId="53" fillId="0" borderId="0" xfId="13" applyFont="1" applyAlignment="1" applyProtection="1">
      <alignment horizontal="justify" vertical="center"/>
      <protection locked="0"/>
    </xf>
    <xf numFmtId="0" fontId="48" fillId="4" borderId="68" xfId="13" applyFont="1" applyFill="1" applyBorder="1" applyAlignment="1" applyProtection="1">
      <alignment horizontal="left" vertical="center" wrapText="1"/>
      <protection locked="0"/>
    </xf>
    <xf numFmtId="0" fontId="48" fillId="4" borderId="69" xfId="13" applyFont="1" applyFill="1" applyBorder="1" applyAlignment="1" applyProtection="1">
      <alignment horizontal="left" vertical="center" wrapText="1"/>
      <protection locked="0"/>
    </xf>
    <xf numFmtId="0" fontId="48" fillId="4" borderId="0" xfId="13" applyFont="1" applyFill="1" applyAlignment="1" applyProtection="1">
      <alignment horizontal="left" vertical="center" wrapText="1"/>
      <protection locked="0"/>
    </xf>
    <xf numFmtId="0" fontId="48" fillId="4" borderId="18" xfId="13" applyFont="1" applyFill="1" applyBorder="1" applyAlignment="1" applyProtection="1">
      <alignment horizontal="left" vertical="center" wrapText="1"/>
      <protection locked="0"/>
    </xf>
    <xf numFmtId="0" fontId="48" fillId="4" borderId="68" xfId="13" applyFont="1" applyFill="1" applyBorder="1" applyAlignment="1" applyProtection="1">
      <alignment horizontal="center" vertical="center" wrapText="1"/>
      <protection locked="0"/>
    </xf>
    <xf numFmtId="0" fontId="48" fillId="4" borderId="0" xfId="13" applyFont="1" applyFill="1" applyAlignment="1" applyProtection="1">
      <alignment horizontal="center" vertical="center" wrapText="1"/>
      <protection locked="0"/>
    </xf>
    <xf numFmtId="0" fontId="48" fillId="0" borderId="68" xfId="13" applyFont="1" applyBorder="1" applyAlignment="1" applyProtection="1">
      <alignment horizontal="center" vertical="center" wrapText="1"/>
      <protection locked="0"/>
    </xf>
    <xf numFmtId="0" fontId="48" fillId="0" borderId="0" xfId="13" applyFont="1" applyAlignment="1" applyProtection="1">
      <alignment horizontal="center" vertical="center" wrapText="1"/>
      <protection locked="0"/>
    </xf>
    <xf numFmtId="0" fontId="48" fillId="0" borderId="93" xfId="8" applyFont="1" applyBorder="1" applyAlignment="1" applyProtection="1">
      <alignment horizontal="justify" vertical="center"/>
      <protection locked="0"/>
    </xf>
    <xf numFmtId="0" fontId="48" fillId="0" borderId="12" xfId="8" applyFont="1" applyBorder="1" applyAlignment="1" applyProtection="1">
      <alignment horizontal="center" vertical="center"/>
      <protection locked="0"/>
    </xf>
    <xf numFmtId="0" fontId="48" fillId="0" borderId="12" xfId="8" applyFont="1" applyBorder="1" applyAlignment="1" applyProtection="1">
      <alignment horizontal="justify" vertical="center"/>
      <protection locked="0"/>
    </xf>
    <xf numFmtId="0" fontId="48" fillId="0" borderId="94" xfId="8" applyFont="1" applyBorder="1" applyAlignment="1" applyProtection="1">
      <alignment horizontal="justify" vertical="center"/>
      <protection locked="0"/>
    </xf>
    <xf numFmtId="0" fontId="45" fillId="37" borderId="79" xfId="175" applyNumberFormat="1" applyFont="1" applyFill="1" applyBorder="1" applyAlignment="1" applyProtection="1">
      <alignment horizontal="center" vertical="center"/>
      <protection locked="0"/>
    </xf>
    <xf numFmtId="0" fontId="45" fillId="37" borderId="42" xfId="175" applyNumberFormat="1" applyFont="1" applyFill="1" applyBorder="1" applyAlignment="1" applyProtection="1">
      <alignment horizontal="center" vertical="center"/>
      <protection locked="0"/>
    </xf>
    <xf numFmtId="4" fontId="45" fillId="37" borderId="78" xfId="13" applyNumberFormat="1" applyFont="1" applyFill="1" applyBorder="1" applyAlignment="1" applyProtection="1">
      <alignment horizontal="center" vertical="center"/>
      <protection locked="0"/>
    </xf>
    <xf numFmtId="0" fontId="45" fillId="37" borderId="78" xfId="13" applyFont="1" applyFill="1" applyBorder="1" applyAlignment="1" applyProtection="1">
      <alignment horizontal="center" vertical="center"/>
      <protection locked="0"/>
    </xf>
    <xf numFmtId="0" fontId="45" fillId="37" borderId="9" xfId="13" applyFont="1" applyFill="1" applyBorder="1" applyAlignment="1" applyProtection="1">
      <alignment horizontal="center" vertical="center"/>
      <protection locked="0"/>
    </xf>
    <xf numFmtId="0" fontId="45" fillId="37" borderId="28" xfId="13" applyFont="1" applyFill="1" applyBorder="1" applyAlignment="1" applyProtection="1">
      <alignment horizontal="center" vertical="center"/>
      <protection locked="0"/>
    </xf>
    <xf numFmtId="43" fontId="45" fillId="37" borderId="78" xfId="175" applyFont="1" applyFill="1" applyBorder="1" applyAlignment="1" applyProtection="1">
      <alignment horizontal="center" vertical="center" wrapText="1"/>
      <protection locked="0"/>
    </xf>
    <xf numFmtId="43" fontId="45" fillId="37" borderId="9" xfId="175" applyFont="1" applyFill="1" applyBorder="1" applyAlignment="1" applyProtection="1">
      <alignment horizontal="center" vertical="center" wrapText="1"/>
      <protection locked="0"/>
    </xf>
    <xf numFmtId="43" fontId="45" fillId="37" borderId="28" xfId="175" applyFont="1" applyFill="1" applyBorder="1" applyAlignment="1" applyProtection="1">
      <alignment horizontal="center" vertical="center" wrapText="1"/>
      <protection locked="0"/>
    </xf>
    <xf numFmtId="43" fontId="45" fillId="37" borderId="28" xfId="175" applyFont="1" applyFill="1" applyBorder="1" applyAlignment="1" applyProtection="1">
      <alignment horizontal="center" vertical="center"/>
      <protection locked="0"/>
    </xf>
    <xf numFmtId="43" fontId="45" fillId="37" borderId="85" xfId="175" applyFont="1" applyFill="1" applyBorder="1" applyAlignment="1" applyProtection="1">
      <alignment horizontal="center" vertical="center"/>
      <protection locked="0"/>
    </xf>
    <xf numFmtId="0" fontId="45" fillId="37" borderId="77" xfId="13" applyFont="1" applyFill="1" applyBorder="1" applyAlignment="1" applyProtection="1">
      <alignment horizontal="center" vertical="center"/>
      <protection locked="0"/>
    </xf>
    <xf numFmtId="0" fontId="45" fillId="37" borderId="36" xfId="13" applyFont="1" applyFill="1" applyBorder="1" applyAlignment="1" applyProtection="1">
      <alignment horizontal="center" vertical="center"/>
      <protection locked="0"/>
    </xf>
    <xf numFmtId="0" fontId="45" fillId="37" borderId="84" xfId="13" applyFont="1" applyFill="1" applyBorder="1" applyAlignment="1" applyProtection="1">
      <alignment horizontal="center" vertical="center"/>
      <protection locked="0"/>
    </xf>
    <xf numFmtId="0" fontId="85" fillId="37" borderId="78" xfId="13" applyFont="1" applyFill="1" applyBorder="1" applyAlignment="1" applyProtection="1">
      <alignment horizontal="center" vertical="center"/>
      <protection locked="0"/>
    </xf>
    <xf numFmtId="0" fontId="85" fillId="37" borderId="9" xfId="13" applyFont="1" applyFill="1" applyBorder="1" applyAlignment="1" applyProtection="1">
      <alignment horizontal="center" vertical="center"/>
      <protection locked="0"/>
    </xf>
    <xf numFmtId="0" fontId="85" fillId="37" borderId="28" xfId="13" applyFont="1" applyFill="1" applyBorder="1" applyAlignment="1" applyProtection="1">
      <alignment horizontal="center" vertical="center"/>
      <protection locked="0"/>
    </xf>
    <xf numFmtId="0" fontId="51" fillId="31" borderId="0" xfId="229" applyFont="1" applyFill="1" applyAlignment="1">
      <alignment horizontal="left" vertical="top" wrapText="1"/>
    </xf>
    <xf numFmtId="0" fontId="41" fillId="0" borderId="0" xfId="13" applyFont="1" applyAlignment="1" applyProtection="1">
      <alignment horizontal="center" vertical="center"/>
      <protection locked="0"/>
    </xf>
    <xf numFmtId="0" fontId="48" fillId="0" borderId="11" xfId="8" applyFont="1" applyBorder="1" applyAlignment="1" applyProtection="1">
      <alignment horizontal="justify" vertical="center" wrapText="1"/>
      <protection locked="0"/>
    </xf>
    <xf numFmtId="0" fontId="48" fillId="0" borderId="12" xfId="8" applyFont="1" applyBorder="1" applyAlignment="1" applyProtection="1">
      <alignment horizontal="justify" vertical="center" wrapText="1"/>
      <protection locked="0"/>
    </xf>
    <xf numFmtId="0" fontId="48" fillId="0" borderId="13" xfId="8" applyFont="1" applyBorder="1" applyAlignment="1" applyProtection="1">
      <alignment horizontal="justify" vertical="center" wrapText="1"/>
      <protection locked="0"/>
    </xf>
    <xf numFmtId="0" fontId="48" fillId="0" borderId="27" xfId="13" applyFont="1" applyBorder="1" applyAlignment="1" applyProtection="1">
      <alignment horizontal="center" vertical="center" wrapText="1"/>
      <protection locked="0"/>
    </xf>
    <xf numFmtId="0" fontId="48" fillId="0" borderId="39" xfId="13" applyFont="1" applyBorder="1" applyAlignment="1" applyProtection="1">
      <alignment horizontal="center" vertical="center" wrapText="1"/>
      <protection locked="0"/>
    </xf>
    <xf numFmtId="0" fontId="48" fillId="0" borderId="40" xfId="13" applyFont="1" applyBorder="1" applyAlignment="1" applyProtection="1">
      <alignment horizontal="center" vertical="center" wrapText="1"/>
      <protection locked="0"/>
    </xf>
    <xf numFmtId="0" fontId="75" fillId="31" borderId="0" xfId="0" applyFont="1" applyFill="1" applyAlignment="1">
      <alignment horizontal="right" vertical="top" wrapText="1"/>
    </xf>
    <xf numFmtId="0" fontId="75" fillId="31" borderId="0" xfId="0" applyFont="1" applyFill="1" applyAlignment="1">
      <alignment horizontal="left" vertical="top" wrapText="1"/>
    </xf>
    <xf numFmtId="4" fontId="75" fillId="31" borderId="0" xfId="0" applyNumberFormat="1" applyFont="1" applyFill="1" applyAlignment="1">
      <alignment horizontal="right" vertical="top" wrapText="1"/>
    </xf>
    <xf numFmtId="0" fontId="74" fillId="31" borderId="22" xfId="0" applyFont="1" applyFill="1" applyBorder="1" applyAlignment="1">
      <alignment horizontal="right" vertical="top" wrapText="1"/>
    </xf>
    <xf numFmtId="0" fontId="74" fillId="31" borderId="22" xfId="0" applyFont="1" applyFill="1" applyBorder="1" applyAlignment="1">
      <alignment horizontal="center" vertical="top" wrapText="1"/>
    </xf>
    <xf numFmtId="0" fontId="74" fillId="31" borderId="22" xfId="0" applyFont="1" applyFill="1" applyBorder="1" applyAlignment="1">
      <alignment horizontal="left" vertical="top" wrapText="1"/>
    </xf>
    <xf numFmtId="0" fontId="74" fillId="31" borderId="0" xfId="0" applyFont="1" applyFill="1" applyAlignment="1">
      <alignment horizontal="left" vertical="top" wrapText="1"/>
    </xf>
    <xf numFmtId="0" fontId="74" fillId="31" borderId="0" xfId="0" applyFont="1" applyFill="1" applyAlignment="1">
      <alignment horizontal="center" wrapText="1"/>
    </xf>
    <xf numFmtId="0" fontId="0" fillId="0" borderId="0" xfId="0"/>
    <xf numFmtId="0" fontId="80" fillId="31" borderId="0" xfId="0" applyFont="1" applyFill="1" applyAlignment="1">
      <alignment horizontal="center" vertical="top" wrapText="1"/>
    </xf>
    <xf numFmtId="4" fontId="70" fillId="0" borderId="0" xfId="2" applyNumberFormat="1" applyFont="1" applyAlignment="1">
      <alignment horizontal="center" vertical="center" wrapText="1"/>
    </xf>
    <xf numFmtId="0" fontId="70" fillId="0" borderId="0" xfId="2" applyFont="1" applyAlignment="1">
      <alignment horizontal="center" vertical="center" wrapText="1"/>
    </xf>
    <xf numFmtId="0" fontId="48" fillId="5" borderId="65" xfId="1" applyFont="1" applyFill="1" applyBorder="1" applyAlignment="1">
      <alignment horizontal="center" vertical="center" wrapText="1"/>
    </xf>
    <xf numFmtId="0" fontId="48" fillId="5" borderId="66" xfId="1" applyFont="1" applyFill="1" applyBorder="1" applyAlignment="1">
      <alignment horizontal="center" vertical="center" wrapText="1"/>
    </xf>
    <xf numFmtId="0" fontId="48" fillId="5" borderId="67" xfId="1" applyFont="1" applyFill="1" applyBorder="1" applyAlignment="1">
      <alignment horizontal="center" vertical="center" wrapText="1"/>
    </xf>
    <xf numFmtId="0" fontId="74" fillId="31" borderId="22" xfId="229" applyFont="1" applyFill="1" applyBorder="1" applyAlignment="1">
      <alignment horizontal="left" vertical="top" wrapText="1"/>
    </xf>
    <xf numFmtId="0" fontId="74" fillId="31" borderId="22" xfId="229" applyFont="1" applyFill="1" applyBorder="1" applyAlignment="1">
      <alignment horizontal="center" vertical="top" wrapText="1"/>
    </xf>
    <xf numFmtId="0" fontId="74" fillId="31" borderId="0" xfId="229" applyFont="1" applyFill="1" applyAlignment="1">
      <alignment horizontal="left" vertical="top" wrapText="1"/>
    </xf>
    <xf numFmtId="0" fontId="34" fillId="0" borderId="0" xfId="229"/>
    <xf numFmtId="0" fontId="75" fillId="31" borderId="0" xfId="229" applyFont="1" applyFill="1" applyAlignment="1">
      <alignment horizontal="left" vertical="top" wrapText="1"/>
    </xf>
    <xf numFmtId="0" fontId="74" fillId="31" borderId="0" xfId="229" applyFont="1" applyFill="1" applyAlignment="1">
      <alignment horizontal="center" wrapText="1"/>
    </xf>
    <xf numFmtId="0" fontId="74" fillId="31" borderId="22" xfId="229" applyFont="1" applyFill="1" applyBorder="1" applyAlignment="1">
      <alignment horizontal="right" vertical="top" wrapText="1"/>
    </xf>
    <xf numFmtId="0" fontId="76" fillId="32" borderId="22" xfId="0" applyFont="1" applyFill="1" applyBorder="1" applyAlignment="1">
      <alignment horizontal="left" vertical="top" wrapText="1"/>
    </xf>
    <xf numFmtId="0" fontId="80" fillId="34" borderId="22" xfId="0" applyFont="1" applyFill="1" applyBorder="1" applyAlignment="1">
      <alignment horizontal="left" vertical="top" wrapText="1"/>
    </xf>
    <xf numFmtId="0" fontId="80" fillId="35" borderId="22" xfId="0" applyFont="1" applyFill="1" applyBorder="1" applyAlignment="1">
      <alignment horizontal="left" vertical="top" wrapText="1"/>
    </xf>
    <xf numFmtId="0" fontId="80" fillId="31" borderId="0" xfId="0" applyFont="1" applyFill="1" applyAlignment="1">
      <alignment horizontal="right" vertical="top" wrapText="1"/>
    </xf>
    <xf numFmtId="168" fontId="80" fillId="35" borderId="22" xfId="0" applyNumberFormat="1" applyFont="1" applyFill="1" applyBorder="1" applyAlignment="1">
      <alignment horizontal="right" vertical="top" wrapText="1"/>
    </xf>
    <xf numFmtId="168" fontId="80" fillId="34" borderId="22" xfId="0" applyNumberFormat="1" applyFont="1" applyFill="1" applyBorder="1" applyAlignment="1">
      <alignment horizontal="right" vertical="top" wrapText="1"/>
    </xf>
    <xf numFmtId="0" fontId="53" fillId="0" borderId="0" xfId="13" applyFont="1" applyAlignment="1" applyProtection="1">
      <alignment horizontal="center" vertical="center"/>
      <protection locked="0"/>
    </xf>
    <xf numFmtId="0" fontId="36" fillId="4" borderId="0" xfId="0" applyFont="1" applyFill="1" applyAlignment="1">
      <alignment horizontal="left" vertical="center" wrapText="1"/>
    </xf>
    <xf numFmtId="0" fontId="41" fillId="0" borderId="11" xfId="0" applyFont="1" applyBorder="1" applyAlignment="1">
      <alignment horizontal="center" vertical="center"/>
    </xf>
    <xf numFmtId="0" fontId="41" fillId="0" borderId="12" xfId="0" applyFont="1" applyBorder="1" applyAlignment="1">
      <alignment horizontal="center" vertical="center"/>
    </xf>
    <xf numFmtId="0" fontId="36" fillId="4" borderId="68" xfId="0" applyFont="1" applyFill="1" applyBorder="1" applyAlignment="1">
      <alignment horizontal="left" vertical="center" wrapText="1"/>
    </xf>
    <xf numFmtId="0" fontId="36" fillId="4" borderId="70" xfId="0" applyFont="1" applyFill="1" applyBorder="1" applyAlignment="1">
      <alignment horizontal="left" vertical="center" wrapText="1"/>
    </xf>
    <xf numFmtId="0" fontId="53" fillId="4" borderId="0" xfId="231" applyFont="1" applyFill="1" applyAlignment="1" applyProtection="1">
      <alignment horizontal="center" vertical="center"/>
      <protection locked="0"/>
    </xf>
    <xf numFmtId="0" fontId="51" fillId="0" borderId="49" xfId="85" applyFont="1" applyBorder="1" applyAlignment="1">
      <alignment horizontal="center" vertical="center"/>
    </xf>
    <xf numFmtId="0" fontId="51" fillId="0" borderId="50" xfId="85" applyFont="1" applyBorder="1" applyAlignment="1">
      <alignment horizontal="center" vertical="center"/>
    </xf>
    <xf numFmtId="0" fontId="51" fillId="0" borderId="41" xfId="85" applyFont="1" applyBorder="1" applyAlignment="1">
      <alignment horizontal="center" vertical="center"/>
    </xf>
    <xf numFmtId="0" fontId="51" fillId="0" borderId="34" xfId="85" applyFont="1" applyBorder="1" applyAlignment="1">
      <alignment horizontal="center" vertical="center"/>
    </xf>
    <xf numFmtId="0" fontId="51" fillId="0" borderId="35" xfId="85" applyFont="1" applyBorder="1" applyAlignment="1">
      <alignment horizontal="center" vertical="center"/>
    </xf>
    <xf numFmtId="0" fontId="51" fillId="0" borderId="36" xfId="85" applyFont="1" applyBorder="1" applyAlignment="1">
      <alignment horizontal="center" vertical="center"/>
    </xf>
    <xf numFmtId="0" fontId="51" fillId="0" borderId="31" xfId="85" applyFont="1" applyBorder="1" applyAlignment="1">
      <alignment horizontal="center" vertical="center"/>
    </xf>
    <xf numFmtId="0" fontId="51" fillId="0" borderId="32" xfId="85" applyFont="1" applyBorder="1" applyAlignment="1">
      <alignment horizontal="center" vertical="center"/>
    </xf>
    <xf numFmtId="0" fontId="51" fillId="0" borderId="33" xfId="85" applyFont="1" applyBorder="1" applyAlignment="1">
      <alignment horizontal="center" vertical="center"/>
    </xf>
    <xf numFmtId="43" fontId="53" fillId="0" borderId="7" xfId="175" applyFont="1" applyFill="1" applyBorder="1" applyAlignment="1">
      <alignment horizontal="center" vertical="center"/>
    </xf>
    <xf numFmtId="43" fontId="53" fillId="0" borderId="13" xfId="175" applyFont="1" applyFill="1" applyBorder="1" applyAlignment="1">
      <alignment horizontal="center" vertical="center"/>
    </xf>
    <xf numFmtId="0" fontId="51" fillId="0" borderId="43" xfId="85" applyFont="1" applyBorder="1" applyAlignment="1">
      <alignment horizontal="center" vertical="center"/>
    </xf>
    <xf numFmtId="1" fontId="51" fillId="0" borderId="8" xfId="85" applyNumberFormat="1" applyFont="1" applyBorder="1" applyAlignment="1">
      <alignment horizontal="center" vertical="center"/>
    </xf>
    <xf numFmtId="1" fontId="51" fillId="0" borderId="46" xfId="85" applyNumberFormat="1" applyFont="1" applyBorder="1" applyAlignment="1">
      <alignment horizontal="center" vertical="center"/>
    </xf>
    <xf numFmtId="1" fontId="51" fillId="0" borderId="97" xfId="85" applyNumberFormat="1" applyFont="1" applyBorder="1" applyAlignment="1">
      <alignment horizontal="left" vertical="center" indent="1"/>
    </xf>
    <xf numFmtId="1" fontId="51" fillId="0" borderId="85" xfId="85" applyNumberFormat="1" applyFont="1" applyBorder="1" applyAlignment="1">
      <alignment horizontal="left" vertical="center" indent="1"/>
    </xf>
    <xf numFmtId="1" fontId="51" fillId="0" borderId="98" xfId="85" applyNumberFormat="1" applyFont="1" applyBorder="1" applyAlignment="1">
      <alignment horizontal="left" vertical="center" indent="1"/>
    </xf>
    <xf numFmtId="43" fontId="51" fillId="0" borderId="44" xfId="175" applyFont="1" applyBorder="1" applyAlignment="1">
      <alignment horizontal="center" vertical="center"/>
    </xf>
    <xf numFmtId="43" fontId="51" fillId="0" borderId="9" xfId="175" applyFont="1" applyBorder="1" applyAlignment="1">
      <alignment horizontal="center" vertical="center"/>
    </xf>
    <xf numFmtId="43" fontId="51" fillId="0" borderId="47" xfId="175" applyFont="1" applyBorder="1" applyAlignment="1">
      <alignment horizontal="center" vertical="center"/>
    </xf>
    <xf numFmtId="1" fontId="51" fillId="28" borderId="97" xfId="85" applyNumberFormat="1" applyFont="1" applyFill="1" applyBorder="1" applyAlignment="1">
      <alignment horizontal="left" vertical="center" indent="1"/>
    </xf>
    <xf numFmtId="1" fontId="51" fillId="28" borderId="85" xfId="85" applyNumberFormat="1" applyFont="1" applyFill="1" applyBorder="1" applyAlignment="1">
      <alignment horizontal="left" vertical="center" indent="1"/>
    </xf>
    <xf numFmtId="1" fontId="51" fillId="28" borderId="98" xfId="85" applyNumberFormat="1" applyFont="1" applyFill="1" applyBorder="1" applyAlignment="1">
      <alignment horizontal="left" vertical="center" indent="1"/>
    </xf>
    <xf numFmtId="43" fontId="51" fillId="28" borderId="44" xfId="175" applyFont="1" applyFill="1" applyBorder="1" applyAlignment="1">
      <alignment horizontal="center" vertical="center"/>
    </xf>
    <xf numFmtId="43" fontId="51" fillId="28" borderId="9" xfId="175" applyFont="1" applyFill="1" applyBorder="1" applyAlignment="1">
      <alignment horizontal="center" vertical="center"/>
    </xf>
    <xf numFmtId="43" fontId="51" fillId="28" borderId="47" xfId="175" applyFont="1" applyFill="1" applyBorder="1" applyAlignment="1">
      <alignment horizontal="center" vertical="center"/>
    </xf>
    <xf numFmtId="1" fontId="51" fillId="0" borderId="5" xfId="85" applyNumberFormat="1" applyFont="1" applyBorder="1" applyAlignment="1">
      <alignment horizontal="center" vertical="center"/>
    </xf>
    <xf numFmtId="1" fontId="51" fillId="0" borderId="6" xfId="85" applyNumberFormat="1" applyFont="1" applyBorder="1" applyAlignment="1">
      <alignment horizontal="center" vertical="center"/>
    </xf>
    <xf numFmtId="1" fontId="51" fillId="0" borderId="11" xfId="85" applyNumberFormat="1" applyFont="1" applyBorder="1" applyAlignment="1">
      <alignment horizontal="center" vertical="center"/>
    </xf>
    <xf numFmtId="1" fontId="51" fillId="0" borderId="12" xfId="85" applyNumberFormat="1" applyFont="1" applyBorder="1" applyAlignment="1">
      <alignment horizontal="center" vertical="center"/>
    </xf>
    <xf numFmtId="43" fontId="51" fillId="0" borderId="44" xfId="175" applyFont="1" applyFill="1" applyBorder="1" applyAlignment="1">
      <alignment horizontal="center" vertical="center"/>
    </xf>
    <xf numFmtId="43" fontId="51" fillId="0" borderId="9" xfId="175" applyFont="1" applyFill="1" applyBorder="1" applyAlignment="1">
      <alignment horizontal="center" vertical="center"/>
    </xf>
    <xf numFmtId="43" fontId="51" fillId="0" borderId="47" xfId="175" applyFont="1" applyFill="1" applyBorder="1" applyAlignment="1">
      <alignment horizontal="center" vertical="center"/>
    </xf>
    <xf numFmtId="0" fontId="51" fillId="28" borderId="43" xfId="85" applyFont="1" applyFill="1" applyBorder="1" applyAlignment="1">
      <alignment horizontal="center" vertical="center"/>
    </xf>
    <xf numFmtId="1" fontId="51" fillId="28" borderId="8" xfId="85" applyNumberFormat="1" applyFont="1" applyFill="1" applyBorder="1" applyAlignment="1">
      <alignment horizontal="center" vertical="center"/>
    </xf>
    <xf numFmtId="1" fontId="51" fillId="28" borderId="46" xfId="85" applyNumberFormat="1" applyFont="1" applyFill="1" applyBorder="1" applyAlignment="1">
      <alignment horizontal="center" vertical="center"/>
    </xf>
    <xf numFmtId="1" fontId="51" fillId="0" borderId="99" xfId="85" applyNumberFormat="1" applyFont="1" applyBorder="1" applyAlignment="1">
      <alignment horizontal="left" vertical="center" indent="1"/>
    </xf>
    <xf numFmtId="0" fontId="51" fillId="0" borderId="8" xfId="85" applyFont="1" applyBorder="1" applyAlignment="1">
      <alignment horizontal="center" vertical="center"/>
    </xf>
    <xf numFmtId="0" fontId="51" fillId="0" borderId="46" xfId="85" applyFont="1" applyBorder="1" applyAlignment="1">
      <alignment horizontal="center" vertical="center"/>
    </xf>
    <xf numFmtId="0" fontId="51" fillId="5" borderId="43" xfId="85" applyFont="1" applyFill="1" applyBorder="1" applyAlignment="1">
      <alignment horizontal="center" vertical="center"/>
    </xf>
    <xf numFmtId="1" fontId="51" fillId="5" borderId="8" xfId="85" applyNumberFormat="1" applyFont="1" applyFill="1" applyBorder="1" applyAlignment="1">
      <alignment horizontal="center" vertical="center"/>
    </xf>
    <xf numFmtId="1" fontId="51" fillId="5" borderId="46" xfId="85" applyNumberFormat="1" applyFont="1" applyFill="1" applyBorder="1" applyAlignment="1">
      <alignment horizontal="center" vertical="center"/>
    </xf>
    <xf numFmtId="1" fontId="51" fillId="5" borderId="97" xfId="85" applyNumberFormat="1" applyFont="1" applyFill="1" applyBorder="1" applyAlignment="1">
      <alignment horizontal="left" vertical="center" indent="1"/>
    </xf>
    <xf numFmtId="1" fontId="51" fillId="5" borderId="85" xfId="85" applyNumberFormat="1" applyFont="1" applyFill="1" applyBorder="1" applyAlignment="1">
      <alignment horizontal="left" vertical="center" indent="1"/>
    </xf>
    <xf numFmtId="1" fontId="51" fillId="5" borderId="98" xfId="85" applyNumberFormat="1" applyFont="1" applyFill="1" applyBorder="1" applyAlignment="1">
      <alignment horizontal="left" vertical="center" indent="1"/>
    </xf>
    <xf numFmtId="43" fontId="51" fillId="5" borderId="44" xfId="175" applyFont="1" applyFill="1" applyBorder="1" applyAlignment="1">
      <alignment horizontal="center" vertical="center"/>
    </xf>
    <xf numFmtId="43" fontId="51" fillId="5" borderId="9" xfId="175" applyFont="1" applyFill="1" applyBorder="1" applyAlignment="1">
      <alignment horizontal="center" vertical="center"/>
    </xf>
    <xf numFmtId="43" fontId="51" fillId="5" borderId="47" xfId="175" applyFont="1" applyFill="1" applyBorder="1" applyAlignment="1">
      <alignment horizontal="center" vertical="center"/>
    </xf>
    <xf numFmtId="43" fontId="51" fillId="5" borderId="97" xfId="175" applyFont="1" applyFill="1" applyBorder="1" applyAlignment="1">
      <alignment horizontal="left" vertical="center" indent="1"/>
    </xf>
    <xf numFmtId="43" fontId="51" fillId="5" borderId="85" xfId="175" applyFont="1" applyFill="1" applyBorder="1" applyAlignment="1">
      <alignment horizontal="left" vertical="center" indent="1"/>
    </xf>
    <xf numFmtId="43" fontId="51" fillId="5" borderId="98" xfId="175" applyFont="1" applyFill="1" applyBorder="1" applyAlignment="1">
      <alignment horizontal="left" vertical="center" indent="1"/>
    </xf>
    <xf numFmtId="49" fontId="59" fillId="30" borderId="9" xfId="85" quotePrefix="1" applyNumberFormat="1" applyFont="1" applyFill="1" applyBorder="1" applyAlignment="1">
      <alignment horizontal="center" vertical="center"/>
    </xf>
    <xf numFmtId="0" fontId="58" fillId="30" borderId="5" xfId="85" applyFont="1" applyFill="1" applyBorder="1" applyAlignment="1">
      <alignment horizontal="center" vertical="center"/>
    </xf>
    <xf numFmtId="0" fontId="58" fillId="30" borderId="8" xfId="85" applyFont="1" applyFill="1" applyBorder="1" applyAlignment="1">
      <alignment horizontal="center" vertical="center"/>
    </xf>
    <xf numFmtId="0" fontId="58" fillId="30" borderId="6" xfId="85" applyFont="1" applyFill="1" applyBorder="1" applyAlignment="1">
      <alignment horizontal="center" vertical="center"/>
    </xf>
    <xf numFmtId="0" fontId="58" fillId="30" borderId="9" xfId="85" applyFont="1" applyFill="1" applyBorder="1" applyAlignment="1">
      <alignment horizontal="center" vertical="center"/>
    </xf>
    <xf numFmtId="0" fontId="57" fillId="24" borderId="65" xfId="85" quotePrefix="1" applyFont="1" applyFill="1" applyBorder="1" applyAlignment="1">
      <alignment horizontal="center" vertical="center"/>
    </xf>
    <xf numFmtId="0" fontId="57" fillId="24" borderId="66" xfId="85" quotePrefix="1" applyFont="1" applyFill="1" applyBorder="1" applyAlignment="1">
      <alignment horizontal="center" vertical="center"/>
    </xf>
    <xf numFmtId="0" fontId="57" fillId="24" borderId="67" xfId="85" quotePrefix="1" applyFont="1" applyFill="1" applyBorder="1" applyAlignment="1">
      <alignment horizontal="center" vertical="center"/>
    </xf>
    <xf numFmtId="0" fontId="59" fillId="30" borderId="7" xfId="85" applyFont="1" applyFill="1" applyBorder="1" applyAlignment="1">
      <alignment horizontal="center" vertical="center"/>
    </xf>
    <xf numFmtId="0" fontId="59" fillId="30" borderId="10" xfId="85" applyFont="1" applyFill="1" applyBorder="1" applyAlignment="1">
      <alignment horizontal="center" vertical="center"/>
    </xf>
    <xf numFmtId="43" fontId="58" fillId="30" borderId="6" xfId="175" applyFont="1" applyFill="1" applyBorder="1" applyAlignment="1">
      <alignment horizontal="center" vertical="center"/>
    </xf>
    <xf numFmtId="0" fontId="51" fillId="29" borderId="51" xfId="0" applyFont="1" applyFill="1" applyBorder="1" applyAlignment="1">
      <alignment horizontal="center" vertical="center"/>
    </xf>
    <xf numFmtId="0" fontId="51" fillId="29" borderId="54" xfId="0" applyFont="1" applyFill="1" applyBorder="1" applyAlignment="1">
      <alignment horizontal="center" vertical="center"/>
    </xf>
    <xf numFmtId="0" fontId="51" fillId="29" borderId="52" xfId="0" applyFont="1" applyFill="1" applyBorder="1" applyAlignment="1">
      <alignment horizontal="center" vertical="center"/>
    </xf>
    <xf numFmtId="0" fontId="51" fillId="29" borderId="55" xfId="0" applyFont="1" applyFill="1" applyBorder="1" applyAlignment="1">
      <alignment horizontal="center" vertical="center"/>
    </xf>
    <xf numFmtId="0" fontId="52" fillId="0" borderId="0" xfId="0" applyFont="1" applyAlignment="1">
      <alignment vertical="center"/>
    </xf>
    <xf numFmtId="0" fontId="48" fillId="0" borderId="0" xfId="0" applyFont="1" applyAlignment="1">
      <alignment horizontal="center" vertical="center"/>
    </xf>
    <xf numFmtId="0" fontId="54" fillId="4" borderId="72" xfId="8" applyFont="1" applyFill="1" applyBorder="1" applyAlignment="1">
      <alignment horizontal="center"/>
    </xf>
    <xf numFmtId="0" fontId="54" fillId="4" borderId="17" xfId="8" applyFont="1" applyFill="1" applyBorder="1" applyAlignment="1">
      <alignment horizontal="center"/>
    </xf>
    <xf numFmtId="0" fontId="54" fillId="4" borderId="73" xfId="8" applyFont="1" applyFill="1" applyBorder="1" applyAlignment="1">
      <alignment horizontal="center"/>
    </xf>
    <xf numFmtId="0" fontId="55" fillId="4" borderId="72" xfId="8" applyFont="1" applyFill="1" applyBorder="1" applyAlignment="1">
      <alignment horizontal="left"/>
    </xf>
    <xf numFmtId="0" fontId="55" fillId="4" borderId="68" xfId="8" applyFont="1" applyFill="1" applyBorder="1" applyAlignment="1">
      <alignment horizontal="left"/>
    </xf>
    <xf numFmtId="0" fontId="55" fillId="4" borderId="69" xfId="8" applyFont="1" applyFill="1" applyBorder="1" applyAlignment="1">
      <alignment horizontal="left"/>
    </xf>
    <xf numFmtId="0" fontId="36" fillId="4" borderId="17" xfId="0" applyFont="1" applyFill="1" applyBorder="1" applyAlignment="1">
      <alignment horizontal="left"/>
    </xf>
    <xf numFmtId="0" fontId="36" fillId="4" borderId="0" xfId="0" applyFont="1" applyFill="1" applyAlignment="1">
      <alignment horizontal="left"/>
    </xf>
    <xf numFmtId="0" fontId="36" fillId="4" borderId="18" xfId="0" applyFont="1" applyFill="1" applyBorder="1" applyAlignment="1">
      <alignment horizontal="left"/>
    </xf>
    <xf numFmtId="0" fontId="36" fillId="4" borderId="73" xfId="0" applyFont="1" applyFill="1" applyBorder="1" applyAlignment="1">
      <alignment horizontal="left"/>
    </xf>
    <xf numFmtId="0" fontId="36" fillId="4" borderId="70" xfId="0" applyFont="1" applyFill="1" applyBorder="1" applyAlignment="1">
      <alignment horizontal="left"/>
    </xf>
    <xf numFmtId="0" fontId="36" fillId="4" borderId="71" xfId="0" applyFont="1" applyFill="1" applyBorder="1" applyAlignment="1">
      <alignment horizontal="left"/>
    </xf>
  </cellXfs>
  <cellStyles count="233">
    <cellStyle name="0,0_x000d__x000a_NA_x000d__x000a_ 2" xfId="231" xr:uid="{28E853FB-E673-4B41-B7CA-052044CFC41D}"/>
    <cellStyle name="20% - Ênfase1 2" xfId="27" xr:uid="{3767B47A-7BF2-479E-A037-A96FC2EF6A93}"/>
    <cellStyle name="20% - Ênfase1 3" xfId="28" xr:uid="{37332360-CE22-4113-B42D-4DDE2F30C51F}"/>
    <cellStyle name="20% - Ênfase1 4" xfId="29" xr:uid="{32F07D8C-49E9-4D5A-9CF7-34FF0B2FFFDE}"/>
    <cellStyle name="20% - Ênfase1 5" xfId="30" xr:uid="{C6563F6B-0B60-40E0-97CC-F2EFF32A32EF}"/>
    <cellStyle name="20% - Ênfase2 2" xfId="31" xr:uid="{DF9159BA-0F54-4896-BA01-46E71BD79093}"/>
    <cellStyle name="20% - Ênfase2 3" xfId="32" xr:uid="{86B590AC-B9BA-4D75-9D3E-028493894157}"/>
    <cellStyle name="20% - Ênfase2 4" xfId="33" xr:uid="{2251964C-BC4A-4678-A21F-AA271176E81E}"/>
    <cellStyle name="20% - Ênfase2 5" xfId="34" xr:uid="{395057D3-8D19-4D18-ADD8-B4CD45EE1699}"/>
    <cellStyle name="20% - Ênfase3 2" xfId="35" xr:uid="{4CBC1B4C-D8BA-42C5-9F65-F98E01706858}"/>
    <cellStyle name="20% - Ênfase3 3" xfId="36" xr:uid="{BB5F8602-2D60-4162-BB86-DC24E7EC8DDC}"/>
    <cellStyle name="20% - Ênfase3 4" xfId="37" xr:uid="{8D9E0BEA-75AB-438B-BDC9-03A8F0AF0298}"/>
    <cellStyle name="20% - Ênfase3 5" xfId="38" xr:uid="{34413342-C472-421B-8A3F-BAD7130EEF0D}"/>
    <cellStyle name="20% - Ênfase4 2" xfId="39" xr:uid="{B17E1CE2-D9A5-4165-A179-9EDE87144F7A}"/>
    <cellStyle name="20% - Ênfase4 3" xfId="40" xr:uid="{2E2ECCDA-85E6-4B05-B25F-9A739DB19791}"/>
    <cellStyle name="20% - Ênfase4 4" xfId="41" xr:uid="{B0BD217E-B841-4422-8EC4-5B2EEF880F5C}"/>
    <cellStyle name="20% - Ênfase4 5" xfId="42" xr:uid="{F8DB7975-E101-4932-9BA3-E40A712C6335}"/>
    <cellStyle name="20% - Ênfase5 2" xfId="43" xr:uid="{AA34CA83-0790-4CB6-A114-872790F79591}"/>
    <cellStyle name="20% - Ênfase5 3" xfId="44" xr:uid="{65D6D881-367C-4385-B309-3D548C43C7D4}"/>
    <cellStyle name="20% - Ênfase5 4" xfId="45" xr:uid="{5A07D749-85A6-4F85-98F0-B7C823231350}"/>
    <cellStyle name="20% - Ênfase5 5" xfId="46" xr:uid="{0A3943BC-12A2-4DD4-9DE6-930B056A52E8}"/>
    <cellStyle name="20% - Ênfase6 2" xfId="47" xr:uid="{23384CE3-8763-4C0E-B85B-2643E3BD9606}"/>
    <cellStyle name="20% - Ênfase6 3" xfId="48" xr:uid="{DDC27307-0572-47AD-80B9-E54D2429826F}"/>
    <cellStyle name="20% - Ênfase6 4" xfId="49" xr:uid="{0950F007-B55C-4B40-ABDA-24C4B473A2FB}"/>
    <cellStyle name="20% - Ênfase6 5" xfId="50" xr:uid="{4219A8C6-8C9E-4969-A895-36D268D37590}"/>
    <cellStyle name="40% - Ênfase1 2" xfId="51" xr:uid="{CCCB2231-1469-4B79-A441-F5EE5BF7F86B}"/>
    <cellStyle name="40% - Ênfase1 3" xfId="52" xr:uid="{D807CE28-B11E-4D0D-905D-D948176ED526}"/>
    <cellStyle name="40% - Ênfase1 4" xfId="53" xr:uid="{485DB530-F485-4900-BA00-9AAAD7813603}"/>
    <cellStyle name="40% - Ênfase1 5" xfId="54" xr:uid="{A468D450-5AE2-45BA-B0CE-30A17D6370C2}"/>
    <cellStyle name="40% - Ênfase2 2" xfId="55" xr:uid="{EDB6F384-85AA-4C76-9360-7E9DD28F2632}"/>
    <cellStyle name="40% - Ênfase2 3" xfId="56" xr:uid="{DDC5E554-332E-4DFB-9C1A-403C036351FD}"/>
    <cellStyle name="40% - Ênfase2 4" xfId="57" xr:uid="{35238A86-2417-4559-890C-DBAE00159376}"/>
    <cellStyle name="40% - Ênfase2 5" xfId="58" xr:uid="{5E9648A8-D4A6-4611-81D2-C3A08287F4A2}"/>
    <cellStyle name="40% - Ênfase3 2" xfId="59" xr:uid="{A44F8750-D240-49F8-B3B8-2E63E812778F}"/>
    <cellStyle name="40% - Ênfase3 3" xfId="60" xr:uid="{A682DA8C-9794-41FC-936D-3C54B5263237}"/>
    <cellStyle name="40% - Ênfase3 4" xfId="61" xr:uid="{D52405D3-383E-4699-A730-85484B6C2ABF}"/>
    <cellStyle name="40% - Ênfase3 5" xfId="62" xr:uid="{1990FFD5-71BF-4540-995F-270AF0B622C1}"/>
    <cellStyle name="40% - Ênfase4 2" xfId="63" xr:uid="{21473685-758B-4F5D-8062-AE18F668E2E3}"/>
    <cellStyle name="40% - Ênfase4 3" xfId="64" xr:uid="{6F1F36DA-3974-43A7-BA62-3D8EE9C07415}"/>
    <cellStyle name="40% - Ênfase4 4" xfId="65" xr:uid="{27EDF193-2860-441D-A213-1615075989CF}"/>
    <cellStyle name="40% - Ênfase4 5" xfId="66" xr:uid="{713E5C43-87E9-4824-AB76-385249A8402B}"/>
    <cellStyle name="40% - Ênfase5 2" xfId="67" xr:uid="{E4C30D37-3071-486C-A86D-5D1CF0922032}"/>
    <cellStyle name="40% - Ênfase5 3" xfId="68" xr:uid="{DC40D9A2-BC3F-4ABD-9C61-FDBB50E0C16B}"/>
    <cellStyle name="40% - Ênfase5 4" xfId="69" xr:uid="{F60C12B5-A881-464C-8444-82A55BFAB784}"/>
    <cellStyle name="40% - Ênfase5 5" xfId="70" xr:uid="{F6023F14-0C07-4B02-92A5-04B0A0D7166B}"/>
    <cellStyle name="40% - Ênfase6 2" xfId="71" xr:uid="{5F2D135C-31C3-42F3-B1BC-A56CDC8D2393}"/>
    <cellStyle name="40% - Ênfase6 3" xfId="72" xr:uid="{E8C09888-6937-42F7-A7B9-7CE04050A540}"/>
    <cellStyle name="40% - Ênfase6 4" xfId="73" xr:uid="{56398747-2802-4396-A1D7-154BF0DF30C9}"/>
    <cellStyle name="40% - Ênfase6 5" xfId="74" xr:uid="{C2EA0D5A-5CB9-42EE-ABFE-F1221C2B0928}"/>
    <cellStyle name="Cálculo" xfId="23" builtinId="22" customBuiltin="1"/>
    <cellStyle name="Entrada" xfId="21" builtinId="20" customBuiltin="1"/>
    <cellStyle name="Excel Built-in Normal" xfId="148" xr:uid="{5C35A0E9-2146-4E35-9346-BD94235197C4}"/>
    <cellStyle name="Normal" xfId="0" builtinId="0"/>
    <cellStyle name="Normal 10" xfId="75" xr:uid="{5A337874-2728-4590-A246-A471BDC20749}"/>
    <cellStyle name="Normal 10 2" xfId="153" xr:uid="{F51C2344-610E-4518-A1A8-4D1B0DCB5061}"/>
    <cellStyle name="Normal 100" xfId="229" xr:uid="{4CBBA786-003C-409B-9A86-6CB907C5236C}"/>
    <cellStyle name="Normal 101" xfId="230" xr:uid="{591FADC0-0E03-42D3-BB7D-1E757762F39A}"/>
    <cellStyle name="Normal 11" xfId="1" xr:uid="{0EA79763-CB75-4C3A-821C-CF629A6FE4A6}"/>
    <cellStyle name="Normal 11 2" xfId="18" xr:uid="{5441FD06-4A4F-4E91-99B3-D3B04E346316}"/>
    <cellStyle name="Normal 12" xfId="19" xr:uid="{A34F41A0-0C8D-40E9-90CB-118857E9270B}"/>
    <cellStyle name="Normal 13" xfId="76" xr:uid="{1FDFA32A-DA78-4405-B9C6-B3EB4F00A646}"/>
    <cellStyle name="Normal 14" xfId="77" xr:uid="{1A526D41-E9E0-4701-8853-4CB71FA600BA}"/>
    <cellStyle name="Normal 15" xfId="114" xr:uid="{A6A1882F-6164-4750-91B9-BC2A02A1D16D}"/>
    <cellStyle name="Normal 15 2" xfId="5" xr:uid="{64446F6F-B1BE-4F99-8539-18E12767596C}"/>
    <cellStyle name="Normal 157 2 2 2" xfId="6" xr:uid="{16D579FB-682A-4CC3-A7A3-59265EB55A60}"/>
    <cellStyle name="Normal 157 2 2 2 5 3" xfId="138" xr:uid="{0C1D979B-858E-4E29-A191-36D1F2FBE165}"/>
    <cellStyle name="Normal 157 4" xfId="134" xr:uid="{18B55515-4323-4C46-9ED3-700100678BC7}"/>
    <cellStyle name="Normal 16" xfId="122" xr:uid="{C9ECB90D-58C7-4EE2-AD11-9907909C0A05}"/>
    <cellStyle name="Normal 17" xfId="123" xr:uid="{64111504-D3E8-4FB5-BCAE-5300716D13A0}"/>
    <cellStyle name="Normal 18" xfId="125" xr:uid="{644EA0E7-6BD7-44D9-92F2-1FEC246D0787}"/>
    <cellStyle name="Normal 19" xfId="115" xr:uid="{E723DA6F-4964-4437-A2BB-24DBD2BC763A}"/>
    <cellStyle name="Normal 19 2" xfId="119" xr:uid="{17813F19-DFD1-4758-82F2-66C4743ABEFA}"/>
    <cellStyle name="Normal 2" xfId="2" xr:uid="{D36B3604-EFDA-42FA-87A0-39E562BEC414}"/>
    <cellStyle name="Normal 2 10 17" xfId="4" xr:uid="{F4EC37F5-9B3E-42E0-A491-8CADF5BE47E8}"/>
    <cellStyle name="Normal 2 2" xfId="79" xr:uid="{47863DB8-E6C3-4689-A14B-00205E15E447}"/>
    <cellStyle name="Normal 2 2 2" xfId="17" xr:uid="{A31C399E-7654-4E66-9142-47315BC45DFD}"/>
    <cellStyle name="Normal 2 3" xfId="78" xr:uid="{021092BB-E49D-49B1-85C9-63226F17FCDE}"/>
    <cellStyle name="Normal 2 4" xfId="129" xr:uid="{9286CC55-22F3-4ADA-B812-7EEE69233563}"/>
    <cellStyle name="Normal 2 5" xfId="131" xr:uid="{ABC32693-A91F-49CB-981F-8EE6C16ED818}"/>
    <cellStyle name="Normal 2 6" xfId="137" xr:uid="{44DC017A-DBC7-4304-ABD6-8FA88CF30978}"/>
    <cellStyle name="Normal 2_GRANJA LISBOA-IMPLANTAÇÃO" xfId="80" xr:uid="{583E72F8-F3F6-4152-9EF7-FF2329DCFA6C}"/>
    <cellStyle name="Normal 20" xfId="3" xr:uid="{2AC7ECF2-7CC8-4FE3-89ED-76E722A9F0D8}"/>
    <cellStyle name="Normal 21" xfId="128" xr:uid="{2D06CDB3-1561-41AB-8E14-B6042767FAE1}"/>
    <cellStyle name="Normal 22" xfId="132" xr:uid="{C0B10CD1-F18D-44FA-9EB7-BFA04E746DA2}"/>
    <cellStyle name="Normal 23" xfId="142" xr:uid="{F76D973C-9E7D-46CA-9606-007EC47E86B8}"/>
    <cellStyle name="Normal 24" xfId="144" xr:uid="{E8B5A246-C1B1-4BAE-BFD6-B27F68FEF83C}"/>
    <cellStyle name="Normal 25" xfId="127" xr:uid="{2E8B4587-5091-4C66-B568-D21FB24EAF91}"/>
    <cellStyle name="Normal 26" xfId="147" xr:uid="{1381D76F-9852-42B2-AA35-2D4B0F8997FE}"/>
    <cellStyle name="Normal 27" xfId="149" xr:uid="{4E6EC0B1-31D0-4686-A39A-17AECAEA8640}"/>
    <cellStyle name="Normal 28" xfId="151" xr:uid="{1E59F3CD-BB16-4D3B-9E53-B416DB16ED6C}"/>
    <cellStyle name="Normal 29" xfId="152" xr:uid="{B20A3863-24C0-4E8B-A681-CCABC966FAEA}"/>
    <cellStyle name="Normal 3" xfId="20" xr:uid="{FBB9F3BF-CA85-473A-AF12-60B3B39B54AB}"/>
    <cellStyle name="Normal 3 2" xfId="12" xr:uid="{3FD15817-2BCE-425E-9ED6-BEAFAF47F44D}"/>
    <cellStyle name="Normal 3 2 2" xfId="82" xr:uid="{7B3AD2FB-D7D7-4A03-B4BE-775A322E305E}"/>
    <cellStyle name="Normal 3 3" xfId="83" xr:uid="{AF7925A9-D879-48DB-8022-DF6E6EC0B44A}"/>
    <cellStyle name="Normal 3 32 2 2 2" xfId="133" xr:uid="{54609742-C4B3-48EF-AAA0-6AC32FF6478D}"/>
    <cellStyle name="Normal 3 32 3 3" xfId="135" xr:uid="{055A7E06-CFB7-4859-BEF0-24E67BB1D7BB}"/>
    <cellStyle name="Normal 3 32 5 3" xfId="11" xr:uid="{B310E3ED-A175-4D47-91F6-4CA5BFB5EDB5}"/>
    <cellStyle name="Normal 3 32 7 5" xfId="14" xr:uid="{94135AE5-029D-40DC-82E5-7B8F5EEE50E3}"/>
    <cellStyle name="Normal 3 4" xfId="81" xr:uid="{F9AF4195-E4F0-45ED-96C6-13330B75084B}"/>
    <cellStyle name="Normal 30" xfId="155" xr:uid="{DDD33205-D30F-4D8F-864F-FDAABE4DC3C4}"/>
    <cellStyle name="Normal 31" xfId="157" xr:uid="{F1D35196-1FFE-4BEE-BF25-41FE39C3B5E0}"/>
    <cellStyle name="Normal 32" xfId="159" xr:uid="{A513E153-04DA-4B12-BB71-D487F060C18F}"/>
    <cellStyle name="Normal 33" xfId="160" xr:uid="{66810098-1D93-40EC-96AB-4157FB800110}"/>
    <cellStyle name="Normal 34" xfId="161" xr:uid="{9BA6EC40-3045-4514-8448-92FC172FD824}"/>
    <cellStyle name="Normal 35" xfId="162" xr:uid="{3A1F5346-21CD-4100-8456-73B3EA9D9079}"/>
    <cellStyle name="Normal 36" xfId="163" xr:uid="{1393E6F6-CA1C-47CE-830C-EBB4E83535F4}"/>
    <cellStyle name="Normal 37" xfId="164" xr:uid="{F201EB74-6291-4923-A226-ED5F63138D31}"/>
    <cellStyle name="Normal 38" xfId="165" xr:uid="{26F787C3-1D95-4847-B913-847BADD692D9}"/>
    <cellStyle name="Normal 39" xfId="166" xr:uid="{B4B35189-D8B7-4871-A760-5AD5EB764774}"/>
    <cellStyle name="Normal 4" xfId="84" xr:uid="{58CCF49C-23CD-4351-AA6F-C0EE5BB46D31}"/>
    <cellStyle name="Normal 40" xfId="167" xr:uid="{31EF0936-D51B-4383-92F7-B1D376083D02}"/>
    <cellStyle name="Normal 41" xfId="168" xr:uid="{1DAD3E09-7524-44E2-A994-05848DC55B25}"/>
    <cellStyle name="Normal 42" xfId="169" xr:uid="{F8FC5F56-6761-4B84-A9FC-389CE6FA7FD6}"/>
    <cellStyle name="Normal 43" xfId="170" xr:uid="{C26F5DBB-0817-4306-BC58-64A75624E893}"/>
    <cellStyle name="Normal 44" xfId="171" xr:uid="{77EAE9C0-0436-43BF-952A-1A1DC63A8CB0}"/>
    <cellStyle name="Normal 45" xfId="172" xr:uid="{57DC85D3-9DFA-4AE0-AA1C-06D2B99C15E5}"/>
    <cellStyle name="Normal 46" xfId="173" xr:uid="{0E5963D0-106D-45CC-842E-0FB64E0DF7FC}"/>
    <cellStyle name="Normal 47" xfId="174" xr:uid="{70605664-10E7-4596-9DF4-261357D2A6C3}"/>
    <cellStyle name="Normal 48" xfId="176" xr:uid="{71B85400-BF91-499D-A6A0-222A37FA6292}"/>
    <cellStyle name="Normal 49" xfId="177" xr:uid="{14E36003-1B2B-486F-801A-01273CFCC931}"/>
    <cellStyle name="Normal 5" xfId="85" xr:uid="{DF3BC107-9270-47A4-A366-96CEBB0DDFA7}"/>
    <cellStyle name="Normal 50" xfId="178" xr:uid="{C61C66F4-B2F3-4C17-B8B1-3501D366AE04}"/>
    <cellStyle name="Normal 51" xfId="179" xr:uid="{166FFF77-7CC3-49F7-AD30-6FBD12F99CF0}"/>
    <cellStyle name="Normal 52" xfId="180" xr:uid="{60CF2F98-FE37-4DCB-86A9-EB678D454123}"/>
    <cellStyle name="Normal 53" xfId="181" xr:uid="{2E9F9BCF-80C5-4647-9E20-C280C814C888}"/>
    <cellStyle name="Normal 54" xfId="182" xr:uid="{3978B69C-8F2C-4AB3-B650-273288132DEC}"/>
    <cellStyle name="Normal 55" xfId="183" xr:uid="{BBD9E486-2C15-40A0-BD91-2309DC9BB71A}"/>
    <cellStyle name="Normal 56" xfId="184" xr:uid="{7F87D2A1-D2AB-4168-86C2-894333580FE0}"/>
    <cellStyle name="Normal 57" xfId="185" xr:uid="{8C672C81-21A5-40EC-BFA7-A334AB122F8C}"/>
    <cellStyle name="Normal 58" xfId="186" xr:uid="{CB881900-351C-4A15-A724-BCB11A6FF007}"/>
    <cellStyle name="Normal 59" xfId="187" xr:uid="{EF980136-65D1-4510-981E-1A3886FA48DA}"/>
    <cellStyle name="Normal 6" xfId="86" xr:uid="{88CE9916-DD5B-451C-9638-94842E8C7797}"/>
    <cellStyle name="Normal 6 3 3" xfId="13" xr:uid="{ED0745C1-79F6-4976-81F9-2BE589117E82}"/>
    <cellStyle name="Normal 6 3 4" xfId="7" xr:uid="{C01F08F3-D74E-4DA0-86EA-E93EC8996D56}"/>
    <cellStyle name="Normal 6 3 4 5 2" xfId="139" xr:uid="{AE3D5B40-FB42-4631-9ABB-32F66356DA75}"/>
    <cellStyle name="Normal 6 5" xfId="10" xr:uid="{22F749A2-DA0D-43D8-8ABB-2157E2DA8081}"/>
    <cellStyle name="Normal 6 7 4" xfId="141" xr:uid="{83E436A8-8F8E-4D91-B0D0-96B2BF07AF6A}"/>
    <cellStyle name="Normal 60" xfId="188" xr:uid="{94017581-EF2C-4E3C-90B0-C72BB4446DEC}"/>
    <cellStyle name="Normal 61" xfId="189" xr:uid="{6A2D5A7F-C357-4FCA-A2DE-5AECBE3B4CE3}"/>
    <cellStyle name="Normal 62" xfId="190" xr:uid="{48077753-0F3D-4A59-92EF-DCEB0F42278C}"/>
    <cellStyle name="Normal 63" xfId="191" xr:uid="{056583CE-DAA7-40BD-BD50-AA0016FDC54B}"/>
    <cellStyle name="Normal 64" xfId="192" xr:uid="{2A40615C-A553-4DAA-906B-FDB3C444B9E3}"/>
    <cellStyle name="Normal 65" xfId="193" xr:uid="{66DA6A55-BBD4-40FF-9BE1-CDE365CB1A70}"/>
    <cellStyle name="Normal 66" xfId="194" xr:uid="{B175E2A0-F68B-4545-81D5-7AB927F1435A}"/>
    <cellStyle name="Normal 67" xfId="195" xr:uid="{52082639-0F77-4DC5-AEBD-0287F4FC8194}"/>
    <cellStyle name="Normal 68" xfId="196" xr:uid="{37B796D6-C574-4C9A-B385-8DAB43CC71DF}"/>
    <cellStyle name="Normal 69" xfId="197" xr:uid="{25DFB9E7-647D-4356-A0EC-BEA4D8E39054}"/>
    <cellStyle name="Normal 7" xfId="8" xr:uid="{508A8E4E-13D3-448E-89B7-7E991741D88A}"/>
    <cellStyle name="Normal 7 2" xfId="87" xr:uid="{EE8C9F0F-8A3C-4171-B12F-19D5EB169D42}"/>
    <cellStyle name="Normal 70" xfId="198" xr:uid="{1A99585B-A44F-40FD-AF91-38B12E7D41F8}"/>
    <cellStyle name="Normal 71" xfId="200" xr:uid="{9B925EE3-C2B0-4613-A5CF-948211C2FA9B}"/>
    <cellStyle name="Normal 72" xfId="201" xr:uid="{43353B73-D016-4396-8F84-282EC4AB54DF}"/>
    <cellStyle name="Normal 73" xfId="202" xr:uid="{BA669A70-8037-43D0-9D0B-44E67729C29B}"/>
    <cellStyle name="Normal 74" xfId="203" xr:uid="{2526C74C-84FD-43DF-A516-D61FADCE7F80}"/>
    <cellStyle name="Normal 75" xfId="204" xr:uid="{A84B8CEB-3F4C-4A3C-ADC3-B3CCBB7371E6}"/>
    <cellStyle name="Normal 76" xfId="205" xr:uid="{AA3D6247-2D1B-4544-9416-E98DD30BE70C}"/>
    <cellStyle name="Normal 77" xfId="206" xr:uid="{A37C0EFF-556A-4DC4-8EF5-77BA8BDD3889}"/>
    <cellStyle name="Normal 78" xfId="207" xr:uid="{2CEE6DD3-9610-4819-915A-A7E7AFC8BA08}"/>
    <cellStyle name="Normal 79" xfId="208" xr:uid="{04D4CE89-7DF3-489E-BC23-751CE6A6D9B3}"/>
    <cellStyle name="Normal 8" xfId="88" xr:uid="{40E17CF5-520A-4FA4-BA3F-3E1329F7AF36}"/>
    <cellStyle name="Normal 80" xfId="209" xr:uid="{5FC05BFD-8A5C-4EDE-8D10-1E148748C8F1}"/>
    <cellStyle name="Normal 81" xfId="210" xr:uid="{BCDBFE12-2E28-4B11-9A16-F87581D98BF1}"/>
    <cellStyle name="Normal 82" xfId="211" xr:uid="{DD64ACD8-F0C4-4004-A502-5C5CCCE6AED3}"/>
    <cellStyle name="Normal 83" xfId="212" xr:uid="{ACB282AB-868A-402E-9688-BFDD077F6E23}"/>
    <cellStyle name="Normal 84" xfId="213" xr:uid="{4198C3AD-40DA-443F-9D7A-1D9E6B50F74D}"/>
    <cellStyle name="Normal 85" xfId="214" xr:uid="{F3E26752-F11E-4719-AD6C-01C91D336B3E}"/>
    <cellStyle name="Normal 86" xfId="215" xr:uid="{12B79D01-0FFE-438C-8518-B1A2562074DD}"/>
    <cellStyle name="Normal 87" xfId="216" xr:uid="{E86F2962-CC0E-42FD-B32A-D468D3FE1B8B}"/>
    <cellStyle name="Normal 88" xfId="217" xr:uid="{3D351288-C129-4B99-A0C2-30A0F77AA7D9}"/>
    <cellStyle name="Normal 89" xfId="218" xr:uid="{EAC5588E-8641-42FF-8F62-393EA7FD808A}"/>
    <cellStyle name="Normal 9" xfId="89" xr:uid="{9356AAE4-A688-45E0-AB7F-28F521F1FE7D}"/>
    <cellStyle name="Normal 9 4" xfId="140" xr:uid="{DA716160-B786-43E0-B801-6152A36EE40A}"/>
    <cellStyle name="Normal 90" xfId="219" xr:uid="{7EF5501A-5230-4B8D-B02D-0BE2DD6C1F32}"/>
    <cellStyle name="Normal 91" xfId="220" xr:uid="{ACE67177-924E-440E-BDAE-12B5FFFEBD9A}"/>
    <cellStyle name="Normal 92" xfId="221" xr:uid="{505318B8-9605-4559-B4CD-EB2E797F1E4A}"/>
    <cellStyle name="Normal 93" xfId="222" xr:uid="{0F7D2904-6175-497E-8419-1180EEFEA568}"/>
    <cellStyle name="Normal 94" xfId="223" xr:uid="{B8001748-3DE4-4F3E-8236-DB5D04AE5023}"/>
    <cellStyle name="Normal 95" xfId="224" xr:uid="{37BC01F1-9C09-4EA8-BFEB-CF3817EB97B1}"/>
    <cellStyle name="Normal 96" xfId="225" xr:uid="{31BAEE3D-C477-4E6F-AC00-84AE7A3039A3}"/>
    <cellStyle name="Normal 97" xfId="226" xr:uid="{7E8D056E-E086-4438-BF10-68F5631A9A17}"/>
    <cellStyle name="Normal 98" xfId="227" xr:uid="{98E06A95-61BB-4BE5-911D-3945A55591A2}"/>
    <cellStyle name="Normal 99" xfId="228" xr:uid="{EC1475BA-E254-4FA6-9796-59CA2448E977}"/>
    <cellStyle name="Nota 10" xfId="90" xr:uid="{4D33F307-FD0B-4D03-9EEC-A2CB3D1FD3F3}"/>
    <cellStyle name="Nota 11" xfId="91" xr:uid="{D183C688-6B7A-434B-97C3-1EABBE65FDA0}"/>
    <cellStyle name="Nota 2" xfId="92" xr:uid="{5B4E249C-0E34-4171-92BC-61FF1A86B8A8}"/>
    <cellStyle name="Nota 3" xfId="93" xr:uid="{57458D3F-D487-4D23-8741-18392138B7E0}"/>
    <cellStyle name="Nota 4" xfId="94" xr:uid="{07F7EF46-ADA6-414C-8CC9-5B8F7972CF4C}"/>
    <cellStyle name="Nota 5" xfId="95" xr:uid="{DEDE463B-F2AF-4CE1-81AD-2CE781712EBF}"/>
    <cellStyle name="Nota 6" xfId="96" xr:uid="{388FDC6D-F824-421F-A611-6E4F19B237C5}"/>
    <cellStyle name="Nota 7" xfId="97" xr:uid="{BEF97A0A-B0B2-41C8-AC03-35EFE626E808}"/>
    <cellStyle name="Nota 8" xfId="98" xr:uid="{06C334E8-6757-4DC3-9741-8A9D2016F8E8}"/>
    <cellStyle name="Nota 9" xfId="99" xr:uid="{E93DFD3E-23F0-4F08-ACEB-674090299354}"/>
    <cellStyle name="Porcentagem" xfId="199" builtinId="5"/>
    <cellStyle name="Porcentagem 2" xfId="100" xr:uid="{097FDF2E-D360-45D4-932B-276D7F47AEEC}"/>
    <cellStyle name="Porcentagem 2 2" xfId="101" xr:uid="{63EAE0F7-1BB2-4922-922C-9CBE2992B86A}"/>
    <cellStyle name="Porcentagem 3" xfId="120" xr:uid="{CB806DFD-94D7-4B6B-8A3D-5FA1FEC4F791}"/>
    <cellStyle name="Porcentagem 4" xfId="117" xr:uid="{67B54820-0C75-4697-981F-F88D6A1BC5B0}"/>
    <cellStyle name="Porcentagem 5" xfId="232" xr:uid="{D1F4517D-6BB4-4010-9561-12CD8EEAC652}"/>
    <cellStyle name="Saída" xfId="22" builtinId="21" customBuiltin="1"/>
    <cellStyle name="Separador de milhares 2" xfId="102" xr:uid="{0E3861EC-F2D5-4A8D-88BD-757DB8FB9E01}"/>
    <cellStyle name="Separador de milhares 2 2" xfId="103" xr:uid="{6A67F084-2775-4F02-BDB1-124C7AED7AD0}"/>
    <cellStyle name="Separador de milhares 3" xfId="104" xr:uid="{9221953B-D220-4C9A-8B4F-B28260A8497F}"/>
    <cellStyle name="Separador de milhares 3 2" xfId="105" xr:uid="{64ED095C-CFF8-4221-9571-DE3EB890CCA6}"/>
    <cellStyle name="Separador de milhares 3 2 2" xfId="106" xr:uid="{035DFAAB-2DF4-4C43-9D24-80CF2CBCBED0}"/>
    <cellStyle name="Separador de milhares 3 3" xfId="107" xr:uid="{C538A159-A5E9-488A-9187-ED801E83309B}"/>
    <cellStyle name="Separador de milhares 4" xfId="108" xr:uid="{A3193CA0-41E5-440C-A319-6E1B97CC91EA}"/>
    <cellStyle name="Separador de milhares 4 2" xfId="109" xr:uid="{2F80C325-D7F7-4BFC-968E-E4155F7FEDBC}"/>
    <cellStyle name="Texto de Aviso" xfId="24" builtinId="11" customBuiltin="1"/>
    <cellStyle name="Texto Explicativo" xfId="25" builtinId="53" customBuiltin="1"/>
    <cellStyle name="Título 5" xfId="110" xr:uid="{6D81503E-04BF-4469-AAF5-8EAC59CE82BF}"/>
    <cellStyle name="Total" xfId="26" builtinId="25" customBuiltin="1"/>
    <cellStyle name="Vírgula" xfId="175" builtinId="3"/>
    <cellStyle name="Vírgula 10" xfId="150" xr:uid="{76B9994C-A065-43F5-A258-BC27870D0EAA}"/>
    <cellStyle name="Vírgula 11" xfId="156" xr:uid="{9CE8E8BC-51E2-4B6C-8DF7-2FFF585F3DB7}"/>
    <cellStyle name="Vírgula 12" xfId="158" xr:uid="{B224CE03-0D94-453B-989C-0F2388C67F84}"/>
    <cellStyle name="Vírgula 2" xfId="15" xr:uid="{8E859CCF-340B-4E4E-B974-30DBA45CAB81}"/>
    <cellStyle name="Vírgula 2 2" xfId="113" xr:uid="{532474D7-BBF2-4F15-9A56-B28643CD32AB}"/>
    <cellStyle name="Vírgula 2 2 2" xfId="154" xr:uid="{0D481C9B-2B5F-497E-B7D9-5596A557C1B3}"/>
    <cellStyle name="Vírgula 2 3" xfId="112" xr:uid="{4B5C6939-D6D8-4178-AAFB-441C575BD182}"/>
    <cellStyle name="Vírgula 2 4" xfId="121" xr:uid="{96C49BD5-9BAD-474A-9693-3DC22F103C7D}"/>
    <cellStyle name="Vírgula 2 4 4" xfId="136" xr:uid="{8F580A44-C6C6-47B6-8029-763CB10383D6}"/>
    <cellStyle name="Vírgula 2 5" xfId="130" xr:uid="{26B83D16-12A2-433E-A4FE-25DB421BCFD1}"/>
    <cellStyle name="Vírgula 2 6" xfId="146" xr:uid="{0EEA147F-0297-4833-859F-931BC5630326}"/>
    <cellStyle name="Vírgula 3" xfId="9" xr:uid="{B5BD2DBE-286E-4C1C-A202-0868E66A0F01}"/>
    <cellStyle name="Vírgula 3 2" xfId="118" xr:uid="{F06272AC-70CC-457B-A6C5-26E5CEFDFBB6}"/>
    <cellStyle name="Vírgula 4" xfId="16" xr:uid="{FF1845D6-A8DD-4079-9E70-D6B41977ED8E}"/>
    <cellStyle name="Vírgula 5" xfId="111" xr:uid="{D832A4B3-2451-4AB1-AD80-EDFB1F9A99C1}"/>
    <cellStyle name="Vírgula 5 2" xfId="116" xr:uid="{E41971B1-AAB8-4591-9859-9DABC7F4DA23}"/>
    <cellStyle name="Vírgula 6" xfId="124" xr:uid="{31A60871-4CE9-4D40-AC84-E7295F53C6A0}"/>
    <cellStyle name="Vírgula 7" xfId="126" xr:uid="{14F8AD77-F9F7-4471-9023-825E5B4FB9A0}"/>
    <cellStyle name="Vírgula 8" xfId="143" xr:uid="{BB7C9E41-B185-465C-B225-87AB80CE29E0}"/>
    <cellStyle name="Vírgula 9" xfId="145" xr:uid="{3991C0FE-001E-498B-9678-2B32572A6D8F}"/>
  </cellStyles>
  <dxfs count="80">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color theme="6" tint="0.39994506668294322"/>
      </font>
      <fill>
        <patternFill>
          <bgColor theme="6" tint="0.39994506668294322"/>
        </patternFill>
      </fill>
    </dxf>
    <dxf>
      <font>
        <b/>
        <i val="0"/>
        <color theme="0"/>
      </font>
      <fill>
        <patternFill>
          <bgColor theme="9" tint="-0.24994659260841701"/>
        </patternFill>
      </fill>
    </dxf>
    <dxf>
      <font>
        <b/>
        <i val="0"/>
        <color theme="0"/>
      </font>
      <fill>
        <patternFill>
          <bgColor theme="9" tint="-0.24994659260841701"/>
        </patternFill>
      </fill>
    </dxf>
    <dxf>
      <font>
        <b/>
        <i val="0"/>
      </font>
      <fill>
        <patternFill>
          <bgColor theme="9" tint="0.59996337778862885"/>
        </patternFill>
      </fill>
    </dxf>
    <dxf>
      <font>
        <b/>
        <i val="0"/>
      </font>
    </dxf>
    <dxf>
      <font>
        <b/>
        <i val="0"/>
      </font>
    </dxf>
    <dxf>
      <font>
        <b/>
        <i val="0"/>
      </font>
      <fill>
        <patternFill>
          <bgColor theme="9" tint="0.59996337778862885"/>
        </patternFill>
      </fill>
    </dxf>
    <dxf>
      <font>
        <b/>
        <i val="0"/>
        <color theme="0"/>
      </font>
      <fill>
        <patternFill>
          <bgColor theme="9" tint="-0.24994659260841701"/>
        </patternFill>
      </fill>
    </dxf>
    <dxf>
      <font>
        <b/>
        <i val="0"/>
      </font>
      <fill>
        <patternFill>
          <bgColor theme="9" tint="0.59996337778862885"/>
        </patternFill>
      </fill>
    </dxf>
    <dxf>
      <font>
        <b/>
        <i val="0"/>
        <color theme="0"/>
      </font>
      <fill>
        <patternFill>
          <bgColor theme="9" tint="-0.24994659260841701"/>
        </patternFill>
      </fill>
    </dxf>
    <dxf>
      <font>
        <b/>
        <i val="0"/>
      </font>
    </dxf>
    <dxf>
      <font>
        <b/>
        <i val="0"/>
      </font>
      <fill>
        <patternFill>
          <bgColor theme="9" tint="0.59996337778862885"/>
        </patternFill>
      </fill>
    </dxf>
    <dxf>
      <font>
        <b/>
        <i val="0"/>
        <color theme="0"/>
      </font>
      <fill>
        <patternFill>
          <bgColor theme="9" tint="-0.24994659260841701"/>
        </patternFill>
      </fill>
    </dxf>
    <dxf>
      <font>
        <b/>
        <i val="0"/>
      </font>
    </dxf>
    <dxf>
      <font>
        <b/>
        <i val="0"/>
      </font>
      <fill>
        <patternFill>
          <bgColor theme="9" tint="0.59996337778862885"/>
        </patternFill>
      </fill>
    </dxf>
    <dxf>
      <font>
        <b/>
        <i val="0"/>
      </font>
      <fill>
        <patternFill>
          <bgColor theme="9" tint="0.59996337778862885"/>
        </patternFill>
      </fill>
    </dxf>
    <dxf>
      <font>
        <b/>
        <i val="0"/>
      </font>
      <fill>
        <patternFill>
          <bgColor theme="9" tint="0.59996337778862885"/>
        </patternFill>
      </fill>
    </dxf>
    <dxf>
      <font>
        <b/>
        <i val="0"/>
      </font>
      <fill>
        <patternFill>
          <bgColor theme="9" tint="0.59996337778862885"/>
        </patternFill>
      </fill>
    </dxf>
    <dxf>
      <font>
        <b/>
        <i val="0"/>
        <color theme="0"/>
      </font>
      <fill>
        <patternFill>
          <bgColor theme="9" tint="-0.24994659260841701"/>
        </patternFill>
      </fill>
    </dxf>
    <dxf>
      <font>
        <b/>
        <i val="0"/>
      </font>
    </dxf>
  </dxfs>
  <tableStyles count="0" defaultTableStyle="TableStyleMedium2" defaultPivotStyle="PivotStyleLight16"/>
  <colors>
    <mruColors>
      <color rgb="FF096D20"/>
      <color rgb="FFA8D5BA"/>
      <color rgb="FFE67E22"/>
      <color rgb="FF660066"/>
      <color rgb="FF0D0612"/>
      <color rgb="FFF8C818"/>
      <color rgb="FFF5F5F5"/>
      <color rgb="FF505050"/>
      <color rgb="FF228C42"/>
      <color rgb="FFFFF9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BR"/>
              <a:t>Gráfico</a:t>
            </a:r>
            <a:r>
              <a:rPr lang="pt-BR" baseline="0"/>
              <a:t> Curva ABC - Urca/RJ</a:t>
            </a:r>
            <a:endParaRPr lang="pt-B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0.10664619593605974"/>
          <c:y val="0.11055099491256498"/>
          <c:w val="0.88602358943871917"/>
          <c:h val="0.8100618986144752"/>
        </c:manualLayout>
      </c:layout>
      <c:barChart>
        <c:barDir val="col"/>
        <c:grouping val="clustered"/>
        <c:varyColors val="0"/>
        <c:ser>
          <c:idx val="0"/>
          <c:order val="0"/>
          <c:spPr>
            <a:solidFill>
              <a:schemeClr val="accent1"/>
            </a:solidFill>
            <a:ln>
              <a:noFill/>
            </a:ln>
            <a:effectLst/>
          </c:spPr>
          <c:invertIfNegative val="0"/>
          <c:cat>
            <c:numRef>
              <c:f>ABC!$A$9:$A$28</c:f>
              <c:numCache>
                <c:formatCode>General</c:formatCod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numCache>
            </c:numRef>
          </c:cat>
          <c:val>
            <c:numRef>
              <c:f>ABC!$D$9:$D$28</c:f>
              <c:numCache>
                <c:formatCode>_(* #,##0.00_);_(* \(#,##0.00\);_(* "-"??_);_(@_)</c:formatCode>
                <c:ptCount val="20"/>
                <c:pt idx="0">
                  <c:v>1222720.43</c:v>
                </c:pt>
                <c:pt idx="1">
                  <c:v>1051697.01</c:v>
                </c:pt>
                <c:pt idx="2">
                  <c:v>377312.1</c:v>
                </c:pt>
                <c:pt idx="3">
                  <c:v>375370.63</c:v>
                </c:pt>
                <c:pt idx="4">
                  <c:v>327122.5</c:v>
                </c:pt>
                <c:pt idx="5">
                  <c:v>276468.28000000003</c:v>
                </c:pt>
                <c:pt idx="6">
                  <c:v>232555.54</c:v>
                </c:pt>
                <c:pt idx="7">
                  <c:v>232510.11</c:v>
                </c:pt>
                <c:pt idx="8">
                  <c:v>230153.52</c:v>
                </c:pt>
                <c:pt idx="9">
                  <c:v>227730.24</c:v>
                </c:pt>
                <c:pt idx="10">
                  <c:v>212160</c:v>
                </c:pt>
                <c:pt idx="11">
                  <c:v>210984.41</c:v>
                </c:pt>
                <c:pt idx="12">
                  <c:v>210275.1</c:v>
                </c:pt>
                <c:pt idx="13">
                  <c:v>202403.35</c:v>
                </c:pt>
                <c:pt idx="14">
                  <c:v>193557.46</c:v>
                </c:pt>
                <c:pt idx="15">
                  <c:v>193318.82</c:v>
                </c:pt>
                <c:pt idx="16">
                  <c:v>180846.6</c:v>
                </c:pt>
                <c:pt idx="17">
                  <c:v>176372.28</c:v>
                </c:pt>
                <c:pt idx="18">
                  <c:v>170043.49</c:v>
                </c:pt>
                <c:pt idx="19">
                  <c:v>160320</c:v>
                </c:pt>
              </c:numCache>
            </c:numRef>
          </c:val>
          <c:extLst>
            <c:ext xmlns:c16="http://schemas.microsoft.com/office/drawing/2014/chart" uri="{C3380CC4-5D6E-409C-BE32-E72D297353CC}">
              <c16:uniqueId val="{00000000-6FE4-4CCD-8444-26C9CA6BB50B}"/>
            </c:ext>
          </c:extLst>
        </c:ser>
        <c:dLbls>
          <c:showLegendKey val="0"/>
          <c:showVal val="0"/>
          <c:showCatName val="0"/>
          <c:showSerName val="0"/>
          <c:showPercent val="0"/>
          <c:showBubbleSize val="0"/>
        </c:dLbls>
        <c:gapWidth val="219"/>
        <c:overlap val="-27"/>
        <c:axId val="1475608111"/>
        <c:axId val="1475605615"/>
      </c:barChart>
      <c:catAx>
        <c:axId val="14756081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475605615"/>
        <c:crosses val="autoZero"/>
        <c:auto val="1"/>
        <c:lblAlgn val="ctr"/>
        <c:lblOffset val="100"/>
        <c:noMultiLvlLbl val="0"/>
      </c:catAx>
      <c:valAx>
        <c:axId val="1475605615"/>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47560811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file:///C:\pini\VolareSQL\images\linha.gif"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33130</xdr:colOff>
      <xdr:row>3</xdr:row>
      <xdr:rowOff>26504</xdr:rowOff>
    </xdr:from>
    <xdr:to>
      <xdr:col>1</xdr:col>
      <xdr:colOff>690022</xdr:colOff>
      <xdr:row>6</xdr:row>
      <xdr:rowOff>162341</xdr:rowOff>
    </xdr:to>
    <xdr:pic>
      <xdr:nvPicPr>
        <xdr:cNvPr id="2" name="image2.jpg">
          <a:extLst>
            <a:ext uri="{FF2B5EF4-FFF2-40B4-BE49-F238E27FC236}">
              <a16:creationId xmlns:a16="http://schemas.microsoft.com/office/drawing/2014/main" id="{5834E415-A354-4265-A7D2-7D5C56252153}"/>
            </a:ext>
          </a:extLst>
        </xdr:cNvPr>
        <xdr:cNvPicPr/>
      </xdr:nvPicPr>
      <xdr:blipFill>
        <a:blip xmlns:r="http://schemas.openxmlformats.org/officeDocument/2006/relationships" r:embed="rId1"/>
        <a:srcRect/>
        <a:stretch>
          <a:fillRect/>
        </a:stretch>
      </xdr:blipFill>
      <xdr:spPr>
        <a:xfrm>
          <a:off x="265043" y="662608"/>
          <a:ext cx="656892" cy="74875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253254</xdr:colOff>
      <xdr:row>3</xdr:row>
      <xdr:rowOff>67235</xdr:rowOff>
    </xdr:from>
    <xdr:to>
      <xdr:col>2</xdr:col>
      <xdr:colOff>840442</xdr:colOff>
      <xdr:row>6</xdr:row>
      <xdr:rowOff>112059</xdr:rowOff>
    </xdr:to>
    <xdr:pic>
      <xdr:nvPicPr>
        <xdr:cNvPr id="2" name="image2.jpg">
          <a:extLst>
            <a:ext uri="{FF2B5EF4-FFF2-40B4-BE49-F238E27FC236}">
              <a16:creationId xmlns:a16="http://schemas.microsoft.com/office/drawing/2014/main" id="{EE1460ED-94AC-4746-B4E5-587D8C4D2530}"/>
            </a:ext>
          </a:extLst>
        </xdr:cNvPr>
        <xdr:cNvPicPr/>
      </xdr:nvPicPr>
      <xdr:blipFill>
        <a:blip xmlns:r="http://schemas.openxmlformats.org/officeDocument/2006/relationships" r:embed="rId1"/>
        <a:srcRect/>
        <a:stretch>
          <a:fillRect/>
        </a:stretch>
      </xdr:blipFill>
      <xdr:spPr>
        <a:xfrm>
          <a:off x="1363597" y="818349"/>
          <a:ext cx="587188" cy="676196"/>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788893</xdr:colOff>
      <xdr:row>0</xdr:row>
      <xdr:rowOff>98612</xdr:rowOff>
    </xdr:from>
    <xdr:to>
      <xdr:col>1</xdr:col>
      <xdr:colOff>421340</xdr:colOff>
      <xdr:row>1</xdr:row>
      <xdr:rowOff>376517</xdr:rowOff>
    </xdr:to>
    <xdr:pic>
      <xdr:nvPicPr>
        <xdr:cNvPr id="2" name="image2.jpg">
          <a:extLst>
            <a:ext uri="{FF2B5EF4-FFF2-40B4-BE49-F238E27FC236}">
              <a16:creationId xmlns:a16="http://schemas.microsoft.com/office/drawing/2014/main" id="{708B8EE2-550E-4A43-BAD8-0697012AFA0D}"/>
            </a:ext>
          </a:extLst>
        </xdr:cNvPr>
        <xdr:cNvPicPr/>
      </xdr:nvPicPr>
      <xdr:blipFill>
        <a:blip xmlns:r="http://schemas.openxmlformats.org/officeDocument/2006/relationships" r:embed="rId1"/>
        <a:srcRect/>
        <a:stretch>
          <a:fillRect/>
        </a:stretch>
      </xdr:blipFill>
      <xdr:spPr>
        <a:xfrm>
          <a:off x="788893" y="98612"/>
          <a:ext cx="421341" cy="466164"/>
        </a:xfrm>
        <a:prstGeom prst="rect">
          <a:avLst/>
        </a:prstGeom>
        <a:ln/>
      </xdr:spPr>
    </xdr:pic>
    <xdr:clientData/>
  </xdr:twoCellAnchor>
  <xdr:twoCellAnchor editAs="oneCell">
    <xdr:from>
      <xdr:col>0</xdr:col>
      <xdr:colOff>788893</xdr:colOff>
      <xdr:row>0</xdr:row>
      <xdr:rowOff>98612</xdr:rowOff>
    </xdr:from>
    <xdr:to>
      <xdr:col>1</xdr:col>
      <xdr:colOff>421340</xdr:colOff>
      <xdr:row>1</xdr:row>
      <xdr:rowOff>303454</xdr:rowOff>
    </xdr:to>
    <xdr:pic>
      <xdr:nvPicPr>
        <xdr:cNvPr id="3" name="image2.jpg">
          <a:extLst>
            <a:ext uri="{FF2B5EF4-FFF2-40B4-BE49-F238E27FC236}">
              <a16:creationId xmlns:a16="http://schemas.microsoft.com/office/drawing/2014/main" id="{27038E12-7151-43D6-8B75-A4459EC25B52}"/>
            </a:ext>
          </a:extLst>
        </xdr:cNvPr>
        <xdr:cNvPicPr/>
      </xdr:nvPicPr>
      <xdr:blipFill>
        <a:blip xmlns:r="http://schemas.openxmlformats.org/officeDocument/2006/relationships" r:embed="rId1"/>
        <a:srcRect/>
        <a:stretch>
          <a:fillRect/>
        </a:stretch>
      </xdr:blipFill>
      <xdr:spPr>
        <a:xfrm>
          <a:off x="781273" y="98612"/>
          <a:ext cx="424927" cy="395342"/>
        </a:xfrm>
        <a:prstGeom prst="rect">
          <a:avLst/>
        </a:prstGeom>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519953</xdr:colOff>
      <xdr:row>0</xdr:row>
      <xdr:rowOff>170329</xdr:rowOff>
    </xdr:from>
    <xdr:to>
      <xdr:col>0</xdr:col>
      <xdr:colOff>968188</xdr:colOff>
      <xdr:row>1</xdr:row>
      <xdr:rowOff>470198</xdr:rowOff>
    </xdr:to>
    <xdr:pic>
      <xdr:nvPicPr>
        <xdr:cNvPr id="2" name="image2.jpg">
          <a:extLst>
            <a:ext uri="{FF2B5EF4-FFF2-40B4-BE49-F238E27FC236}">
              <a16:creationId xmlns:a16="http://schemas.microsoft.com/office/drawing/2014/main" id="{73B945DD-A8D0-4A68-8DF6-0C748105164B}"/>
            </a:ext>
          </a:extLst>
        </xdr:cNvPr>
        <xdr:cNvPicPr/>
      </xdr:nvPicPr>
      <xdr:blipFill>
        <a:blip xmlns:r="http://schemas.openxmlformats.org/officeDocument/2006/relationships" r:embed="rId1"/>
        <a:srcRect/>
        <a:stretch>
          <a:fillRect/>
        </a:stretch>
      </xdr:blipFill>
      <xdr:spPr>
        <a:xfrm>
          <a:off x="519953" y="170329"/>
          <a:ext cx="448235" cy="502023"/>
        </a:xfrm>
        <a:prstGeom prst="rect">
          <a:avLst/>
        </a:prstGeom>
        <a:ln/>
      </xdr:spPr>
    </xdr:pic>
    <xdr:clientData/>
  </xdr:twoCellAnchor>
  <xdr:twoCellAnchor editAs="oneCell">
    <xdr:from>
      <xdr:col>0</xdr:col>
      <xdr:colOff>519953</xdr:colOff>
      <xdr:row>0</xdr:row>
      <xdr:rowOff>170329</xdr:rowOff>
    </xdr:from>
    <xdr:to>
      <xdr:col>0</xdr:col>
      <xdr:colOff>968188</xdr:colOff>
      <xdr:row>1</xdr:row>
      <xdr:rowOff>464259</xdr:rowOff>
    </xdr:to>
    <xdr:pic>
      <xdr:nvPicPr>
        <xdr:cNvPr id="611" name="image2.jpg">
          <a:extLst>
            <a:ext uri="{FF2B5EF4-FFF2-40B4-BE49-F238E27FC236}">
              <a16:creationId xmlns:a16="http://schemas.microsoft.com/office/drawing/2014/main" id="{3AB82AF5-A581-4B4A-B40A-AEC70B4B348F}"/>
            </a:ext>
          </a:extLst>
        </xdr:cNvPr>
        <xdr:cNvPicPr/>
      </xdr:nvPicPr>
      <xdr:blipFill>
        <a:blip xmlns:r="http://schemas.openxmlformats.org/officeDocument/2006/relationships" r:embed="rId1"/>
        <a:srcRect/>
        <a:stretch>
          <a:fillRect/>
        </a:stretch>
      </xdr:blipFill>
      <xdr:spPr>
        <a:xfrm>
          <a:off x="519953" y="170329"/>
          <a:ext cx="448235" cy="501575"/>
        </a:xfrm>
        <a:prstGeom prst="rect">
          <a:avLst/>
        </a:prstGeom>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0</xdr:rowOff>
    </xdr:to>
    <xdr:pic>
      <xdr:nvPicPr>
        <xdr:cNvPr id="2" name="Picture 2" descr="C:\pini\VolareSQL\images\linha.gif">
          <a:extLst>
            <a:ext uri="{FF2B5EF4-FFF2-40B4-BE49-F238E27FC236}">
              <a16:creationId xmlns:a16="http://schemas.microsoft.com/office/drawing/2014/main" id="{4798AAFB-7269-4B25-9646-87B93E8A496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 name="Picture 3" descr="C:\pini\VolareSQL\images\linha.gif">
          <a:extLst>
            <a:ext uri="{FF2B5EF4-FFF2-40B4-BE49-F238E27FC236}">
              <a16:creationId xmlns:a16="http://schemas.microsoft.com/office/drawing/2014/main" id="{9CAACEB2-F534-4FF8-9741-2114AEA7222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 name="Picture 4" descr="C:\pini\VolareSQL\images\linha.gif">
          <a:extLst>
            <a:ext uri="{FF2B5EF4-FFF2-40B4-BE49-F238E27FC236}">
              <a16:creationId xmlns:a16="http://schemas.microsoft.com/office/drawing/2014/main" id="{4388983D-1D7A-40F9-8C16-EC3A34C2DEE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 name="Picture 5" descr="C:\pini\VolareSQL\images\linha.gif">
          <a:extLst>
            <a:ext uri="{FF2B5EF4-FFF2-40B4-BE49-F238E27FC236}">
              <a16:creationId xmlns:a16="http://schemas.microsoft.com/office/drawing/2014/main" id="{38DAC2AA-69D4-4060-B865-43F3A98FDC9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 name="Picture 6" descr="C:\pini\VolareSQL\images\linha.gif">
          <a:extLst>
            <a:ext uri="{FF2B5EF4-FFF2-40B4-BE49-F238E27FC236}">
              <a16:creationId xmlns:a16="http://schemas.microsoft.com/office/drawing/2014/main" id="{2E7BFBCB-936E-4808-8B09-431980E1682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 name="Picture 7" descr="C:\pini\VolareSQL\images\linha.gif">
          <a:extLst>
            <a:ext uri="{FF2B5EF4-FFF2-40B4-BE49-F238E27FC236}">
              <a16:creationId xmlns:a16="http://schemas.microsoft.com/office/drawing/2014/main" id="{B7AB2D7B-EAA4-464F-882B-26136C6B36D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 name="Picture 8" descr="C:\pini\VolareSQL\images\linha.gif">
          <a:extLst>
            <a:ext uri="{FF2B5EF4-FFF2-40B4-BE49-F238E27FC236}">
              <a16:creationId xmlns:a16="http://schemas.microsoft.com/office/drawing/2014/main" id="{F2FF90E6-B89B-4837-ADAB-136483949A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 name="Picture 9" descr="C:\pini\VolareSQL\images\linha.gif">
          <a:extLst>
            <a:ext uri="{FF2B5EF4-FFF2-40B4-BE49-F238E27FC236}">
              <a16:creationId xmlns:a16="http://schemas.microsoft.com/office/drawing/2014/main" id="{7843BC56-4D30-4BB4-9132-170DDB7FFA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 name="Picture 10" descr="C:\pini\VolareSQL\images\linha.gif">
          <a:extLst>
            <a:ext uri="{FF2B5EF4-FFF2-40B4-BE49-F238E27FC236}">
              <a16:creationId xmlns:a16="http://schemas.microsoft.com/office/drawing/2014/main" id="{C618F9CF-1325-4FB0-917A-28082525C2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 name="Picture 11" descr="C:\pini\VolareSQL\images\linha.gif">
          <a:extLst>
            <a:ext uri="{FF2B5EF4-FFF2-40B4-BE49-F238E27FC236}">
              <a16:creationId xmlns:a16="http://schemas.microsoft.com/office/drawing/2014/main" id="{FF394942-4A00-4C21-9F1E-BA290711306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 name="Picture 12" descr="C:\pini\VolareSQL\images\linha.gif">
          <a:extLst>
            <a:ext uri="{FF2B5EF4-FFF2-40B4-BE49-F238E27FC236}">
              <a16:creationId xmlns:a16="http://schemas.microsoft.com/office/drawing/2014/main" id="{DA29C154-C608-441A-BD07-2EE3E7473B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 name="Picture 13" descr="C:\pini\VolareSQL\images\linha.gif">
          <a:extLst>
            <a:ext uri="{FF2B5EF4-FFF2-40B4-BE49-F238E27FC236}">
              <a16:creationId xmlns:a16="http://schemas.microsoft.com/office/drawing/2014/main" id="{B4FBE51C-0B24-4E76-B265-5CC8DDD4DC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 name="Picture 14" descr="C:\pini\VolareSQL\images\linha.gif">
          <a:extLst>
            <a:ext uri="{FF2B5EF4-FFF2-40B4-BE49-F238E27FC236}">
              <a16:creationId xmlns:a16="http://schemas.microsoft.com/office/drawing/2014/main" id="{E74F4729-F4AF-4E90-836E-FF267905DEE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 name="Picture 15" descr="C:\pini\VolareSQL\images\linha.gif">
          <a:extLst>
            <a:ext uri="{FF2B5EF4-FFF2-40B4-BE49-F238E27FC236}">
              <a16:creationId xmlns:a16="http://schemas.microsoft.com/office/drawing/2014/main" id="{DB85943B-DD90-47AD-9CC2-5A9214A9F3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 name="Picture 16" descr="C:\pini\VolareSQL\images\linha.gif">
          <a:extLst>
            <a:ext uri="{FF2B5EF4-FFF2-40B4-BE49-F238E27FC236}">
              <a16:creationId xmlns:a16="http://schemas.microsoft.com/office/drawing/2014/main" id="{08E0E92F-6D88-41E9-BE4A-C1CA38C8E3E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 name="Picture 17" descr="C:\pini\VolareSQL\images\linha.gif">
          <a:extLst>
            <a:ext uri="{FF2B5EF4-FFF2-40B4-BE49-F238E27FC236}">
              <a16:creationId xmlns:a16="http://schemas.microsoft.com/office/drawing/2014/main" id="{91FB1524-D731-4659-98BC-91367165C03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 name="Picture 18" descr="C:\pini\VolareSQL\images\linha.gif">
          <a:extLst>
            <a:ext uri="{FF2B5EF4-FFF2-40B4-BE49-F238E27FC236}">
              <a16:creationId xmlns:a16="http://schemas.microsoft.com/office/drawing/2014/main" id="{5172B47B-E707-42C8-B857-0F796CDF23E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 name="Picture 19" descr="C:\pini\VolareSQL\images\linha.gif">
          <a:extLst>
            <a:ext uri="{FF2B5EF4-FFF2-40B4-BE49-F238E27FC236}">
              <a16:creationId xmlns:a16="http://schemas.microsoft.com/office/drawing/2014/main" id="{A8CE83C8-1607-4A62-8417-53C2102D09A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 name="Picture 20" descr="C:\pini\VolareSQL\images\linha.gif">
          <a:extLst>
            <a:ext uri="{FF2B5EF4-FFF2-40B4-BE49-F238E27FC236}">
              <a16:creationId xmlns:a16="http://schemas.microsoft.com/office/drawing/2014/main" id="{F7AEDC95-8D14-4E08-937D-B1B9008BEE1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 name="Picture 21" descr="C:\pini\VolareSQL\images\linha.gif">
          <a:extLst>
            <a:ext uri="{FF2B5EF4-FFF2-40B4-BE49-F238E27FC236}">
              <a16:creationId xmlns:a16="http://schemas.microsoft.com/office/drawing/2014/main" id="{2749EBCA-9D2B-4AD8-A99C-A27478E9A35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 name="Picture 22" descr="C:\pini\VolareSQL\images\linha.gif">
          <a:extLst>
            <a:ext uri="{FF2B5EF4-FFF2-40B4-BE49-F238E27FC236}">
              <a16:creationId xmlns:a16="http://schemas.microsoft.com/office/drawing/2014/main" id="{F7D1E1BF-C929-48D7-A416-CF4E8D9157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 name="Picture 23" descr="C:\pini\VolareSQL\images\linha.gif">
          <a:extLst>
            <a:ext uri="{FF2B5EF4-FFF2-40B4-BE49-F238E27FC236}">
              <a16:creationId xmlns:a16="http://schemas.microsoft.com/office/drawing/2014/main" id="{A755A8B6-C74A-46F3-8A0C-80EDAE0D94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 name="Picture 24" descr="C:\pini\VolareSQL\images\linha.gif">
          <a:extLst>
            <a:ext uri="{FF2B5EF4-FFF2-40B4-BE49-F238E27FC236}">
              <a16:creationId xmlns:a16="http://schemas.microsoft.com/office/drawing/2014/main" id="{DD3EC3E7-D083-4106-AC0B-C76A562AB0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 name="Picture 25" descr="C:\pini\VolareSQL\images\linha.gif">
          <a:extLst>
            <a:ext uri="{FF2B5EF4-FFF2-40B4-BE49-F238E27FC236}">
              <a16:creationId xmlns:a16="http://schemas.microsoft.com/office/drawing/2014/main" id="{D89AFA51-13F1-4358-A7C3-5CC14DDC16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 name="Picture 26" descr="C:\pini\VolareSQL\images\linha.gif">
          <a:extLst>
            <a:ext uri="{FF2B5EF4-FFF2-40B4-BE49-F238E27FC236}">
              <a16:creationId xmlns:a16="http://schemas.microsoft.com/office/drawing/2014/main" id="{2C0DFCA0-5B70-4869-9632-120BD7D7BF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 name="Picture 27" descr="C:\pini\VolareSQL\images\linha.gif">
          <a:extLst>
            <a:ext uri="{FF2B5EF4-FFF2-40B4-BE49-F238E27FC236}">
              <a16:creationId xmlns:a16="http://schemas.microsoft.com/office/drawing/2014/main" id="{A8A8CC1C-2D22-4BDB-AB3F-27F24A8AEF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 name="Picture 28" descr="C:\pini\VolareSQL\images\linha.gif">
          <a:extLst>
            <a:ext uri="{FF2B5EF4-FFF2-40B4-BE49-F238E27FC236}">
              <a16:creationId xmlns:a16="http://schemas.microsoft.com/office/drawing/2014/main" id="{F57198FF-4230-437F-AE7E-D151274AAF0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 name="Picture 29" descr="C:\pini\VolareSQL\images\linha.gif">
          <a:extLst>
            <a:ext uri="{FF2B5EF4-FFF2-40B4-BE49-F238E27FC236}">
              <a16:creationId xmlns:a16="http://schemas.microsoft.com/office/drawing/2014/main" id="{E9E52E9E-C8E2-48F8-8E2E-014204A2C3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 name="Picture 30" descr="C:\pini\VolareSQL\images\linha.gif">
          <a:extLst>
            <a:ext uri="{FF2B5EF4-FFF2-40B4-BE49-F238E27FC236}">
              <a16:creationId xmlns:a16="http://schemas.microsoft.com/office/drawing/2014/main" id="{8488AC4B-6313-481A-BBFE-67F3EAE5275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 name="Picture 31" descr="C:\pini\VolareSQL\images\linha.gif">
          <a:extLst>
            <a:ext uri="{FF2B5EF4-FFF2-40B4-BE49-F238E27FC236}">
              <a16:creationId xmlns:a16="http://schemas.microsoft.com/office/drawing/2014/main" id="{FD4DE630-811B-47B7-9696-8C655C24AC6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 name="Picture 32" descr="C:\pini\VolareSQL\images\linha.gif">
          <a:extLst>
            <a:ext uri="{FF2B5EF4-FFF2-40B4-BE49-F238E27FC236}">
              <a16:creationId xmlns:a16="http://schemas.microsoft.com/office/drawing/2014/main" id="{209069D1-7179-4597-8AB6-5D02C0A3FBB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 name="Picture 33" descr="C:\pini\VolareSQL\images\linha.gif">
          <a:extLst>
            <a:ext uri="{FF2B5EF4-FFF2-40B4-BE49-F238E27FC236}">
              <a16:creationId xmlns:a16="http://schemas.microsoft.com/office/drawing/2014/main" id="{73A7423E-98FE-428B-AE73-53314B68FC2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 name="Picture 34" descr="C:\pini\VolareSQL\images\linha.gif">
          <a:extLst>
            <a:ext uri="{FF2B5EF4-FFF2-40B4-BE49-F238E27FC236}">
              <a16:creationId xmlns:a16="http://schemas.microsoft.com/office/drawing/2014/main" id="{4309E268-C4F9-43D8-9256-6BDD024272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 name="Picture 35" descr="C:\pini\VolareSQL\images\linha.gif">
          <a:extLst>
            <a:ext uri="{FF2B5EF4-FFF2-40B4-BE49-F238E27FC236}">
              <a16:creationId xmlns:a16="http://schemas.microsoft.com/office/drawing/2014/main" id="{D9F2F3CF-658C-4481-8958-790BE64E9D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 name="Picture 36" descr="C:\pini\VolareSQL\images\linha.gif">
          <a:extLst>
            <a:ext uri="{FF2B5EF4-FFF2-40B4-BE49-F238E27FC236}">
              <a16:creationId xmlns:a16="http://schemas.microsoft.com/office/drawing/2014/main" id="{DF0E2F04-1DDA-43F5-973D-DDED6A5715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 name="Picture 37" descr="C:\pini\VolareSQL\images\linha.gif">
          <a:extLst>
            <a:ext uri="{FF2B5EF4-FFF2-40B4-BE49-F238E27FC236}">
              <a16:creationId xmlns:a16="http://schemas.microsoft.com/office/drawing/2014/main" id="{15E4364F-882E-42B2-8AE1-2AA1B067AEA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 name="Picture 38" descr="C:\pini\VolareSQL\images\linha.gif">
          <a:extLst>
            <a:ext uri="{FF2B5EF4-FFF2-40B4-BE49-F238E27FC236}">
              <a16:creationId xmlns:a16="http://schemas.microsoft.com/office/drawing/2014/main" id="{3B9544E1-9E9F-4906-A372-021C5948B0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 name="Picture 39" descr="C:\pini\VolareSQL\images\linha.gif">
          <a:extLst>
            <a:ext uri="{FF2B5EF4-FFF2-40B4-BE49-F238E27FC236}">
              <a16:creationId xmlns:a16="http://schemas.microsoft.com/office/drawing/2014/main" id="{B6F12A74-6549-4B44-958F-12582398650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 name="Picture 40" descr="C:\pini\VolareSQL\images\linha.gif">
          <a:extLst>
            <a:ext uri="{FF2B5EF4-FFF2-40B4-BE49-F238E27FC236}">
              <a16:creationId xmlns:a16="http://schemas.microsoft.com/office/drawing/2014/main" id="{B73C061F-B461-4EFC-926A-714261558DC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 name="Picture 41" descr="C:\pini\VolareSQL\images\linha.gif">
          <a:extLst>
            <a:ext uri="{FF2B5EF4-FFF2-40B4-BE49-F238E27FC236}">
              <a16:creationId xmlns:a16="http://schemas.microsoft.com/office/drawing/2014/main" id="{802CE3AF-962E-400B-A9FD-619C67ADE46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 name="Picture 42" descr="C:\pini\VolareSQL\images\linha.gif">
          <a:extLst>
            <a:ext uri="{FF2B5EF4-FFF2-40B4-BE49-F238E27FC236}">
              <a16:creationId xmlns:a16="http://schemas.microsoft.com/office/drawing/2014/main" id="{AD08C543-2C6C-4A2A-8C13-34DFCEEB90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 name="Picture 43" descr="C:\pini\VolareSQL\images\linha.gif">
          <a:extLst>
            <a:ext uri="{FF2B5EF4-FFF2-40B4-BE49-F238E27FC236}">
              <a16:creationId xmlns:a16="http://schemas.microsoft.com/office/drawing/2014/main" id="{B4C8D07D-9D11-46F6-A116-65E7C5A77A5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 name="Picture 44" descr="C:\pini\VolareSQL\images\linha.gif">
          <a:extLst>
            <a:ext uri="{FF2B5EF4-FFF2-40B4-BE49-F238E27FC236}">
              <a16:creationId xmlns:a16="http://schemas.microsoft.com/office/drawing/2014/main" id="{8392AF5D-37DC-4195-B298-74E107F49EA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 name="Picture 45" descr="C:\pini\VolareSQL\images\linha.gif">
          <a:extLst>
            <a:ext uri="{FF2B5EF4-FFF2-40B4-BE49-F238E27FC236}">
              <a16:creationId xmlns:a16="http://schemas.microsoft.com/office/drawing/2014/main" id="{38884CB7-382F-4B60-BB2E-C486495F050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 name="Picture 46" descr="C:\pini\VolareSQL\images\linha.gif">
          <a:extLst>
            <a:ext uri="{FF2B5EF4-FFF2-40B4-BE49-F238E27FC236}">
              <a16:creationId xmlns:a16="http://schemas.microsoft.com/office/drawing/2014/main" id="{4EBAFF5B-3A79-415B-8412-06E07F573C6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 name="Picture 47" descr="C:\pini\VolareSQL\images\linha.gif">
          <a:extLst>
            <a:ext uri="{FF2B5EF4-FFF2-40B4-BE49-F238E27FC236}">
              <a16:creationId xmlns:a16="http://schemas.microsoft.com/office/drawing/2014/main" id="{6E9FA175-E857-4F74-87C8-0B8E4555D3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 name="Picture 48" descr="C:\pini\VolareSQL\images\linha.gif">
          <a:extLst>
            <a:ext uri="{FF2B5EF4-FFF2-40B4-BE49-F238E27FC236}">
              <a16:creationId xmlns:a16="http://schemas.microsoft.com/office/drawing/2014/main" id="{CA5AA736-CB15-4637-A70F-CBEC4E21935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 name="Picture 49" descr="C:\pini\VolareSQL\images\linha.gif">
          <a:extLst>
            <a:ext uri="{FF2B5EF4-FFF2-40B4-BE49-F238E27FC236}">
              <a16:creationId xmlns:a16="http://schemas.microsoft.com/office/drawing/2014/main" id="{02C45331-B522-4813-9603-D38299D6A5C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 name="Picture 50" descr="C:\pini\VolareSQL\images\linha.gif">
          <a:extLst>
            <a:ext uri="{FF2B5EF4-FFF2-40B4-BE49-F238E27FC236}">
              <a16:creationId xmlns:a16="http://schemas.microsoft.com/office/drawing/2014/main" id="{49E6C22A-19F1-461B-8B9D-4E82BBD6ED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 name="Picture 51" descr="C:\pini\VolareSQL\images\linha.gif">
          <a:extLst>
            <a:ext uri="{FF2B5EF4-FFF2-40B4-BE49-F238E27FC236}">
              <a16:creationId xmlns:a16="http://schemas.microsoft.com/office/drawing/2014/main" id="{B0148881-6040-4B8E-A256-C5650E49E2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 name="Picture 52" descr="C:\pini\VolareSQL\images\linha.gif">
          <a:extLst>
            <a:ext uri="{FF2B5EF4-FFF2-40B4-BE49-F238E27FC236}">
              <a16:creationId xmlns:a16="http://schemas.microsoft.com/office/drawing/2014/main" id="{8D0FF1A8-7ED0-4D2B-A5D4-1F89FC3143F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 name="Picture 53" descr="C:\pini\VolareSQL\images\linha.gif">
          <a:extLst>
            <a:ext uri="{FF2B5EF4-FFF2-40B4-BE49-F238E27FC236}">
              <a16:creationId xmlns:a16="http://schemas.microsoft.com/office/drawing/2014/main" id="{1C5FAC08-436A-41C1-A3C8-E4FADAF9C5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 name="Picture 54" descr="C:\pini\VolareSQL\images\linha.gif">
          <a:extLst>
            <a:ext uri="{FF2B5EF4-FFF2-40B4-BE49-F238E27FC236}">
              <a16:creationId xmlns:a16="http://schemas.microsoft.com/office/drawing/2014/main" id="{0490101B-2A0A-4E0B-8769-EF7FFBE2B2D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 name="Picture 55" descr="C:\pini\VolareSQL\images\linha.gif">
          <a:extLst>
            <a:ext uri="{FF2B5EF4-FFF2-40B4-BE49-F238E27FC236}">
              <a16:creationId xmlns:a16="http://schemas.microsoft.com/office/drawing/2014/main" id="{4373351D-FA13-4EEC-92A3-CBC1F4BB4D9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 name="Picture 56" descr="C:\pini\VolareSQL\images\linha.gif">
          <a:extLst>
            <a:ext uri="{FF2B5EF4-FFF2-40B4-BE49-F238E27FC236}">
              <a16:creationId xmlns:a16="http://schemas.microsoft.com/office/drawing/2014/main" id="{CEBBE858-7FD5-43D9-A1CD-6F4E575994D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 name="Picture 57" descr="C:\pini\VolareSQL\images\linha.gif">
          <a:extLst>
            <a:ext uri="{FF2B5EF4-FFF2-40B4-BE49-F238E27FC236}">
              <a16:creationId xmlns:a16="http://schemas.microsoft.com/office/drawing/2014/main" id="{102617FF-7AD7-43C7-B443-BD6319D42F0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 name="Picture 58" descr="C:\pini\VolareSQL\images\linha.gif">
          <a:extLst>
            <a:ext uri="{FF2B5EF4-FFF2-40B4-BE49-F238E27FC236}">
              <a16:creationId xmlns:a16="http://schemas.microsoft.com/office/drawing/2014/main" id="{3F4A71DC-A467-4FCA-8876-943678B601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 name="Picture 59" descr="C:\pini\VolareSQL\images\linha.gif">
          <a:extLst>
            <a:ext uri="{FF2B5EF4-FFF2-40B4-BE49-F238E27FC236}">
              <a16:creationId xmlns:a16="http://schemas.microsoft.com/office/drawing/2014/main" id="{B2E05F75-8E9C-405E-B00F-AC6A9EF733D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 name="Picture 60" descr="C:\pini\VolareSQL\images\linha.gif">
          <a:extLst>
            <a:ext uri="{FF2B5EF4-FFF2-40B4-BE49-F238E27FC236}">
              <a16:creationId xmlns:a16="http://schemas.microsoft.com/office/drawing/2014/main" id="{51B46977-8632-42D6-BE6D-96820F9CEAC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 name="Picture 61" descr="C:\pini\VolareSQL\images\linha.gif">
          <a:extLst>
            <a:ext uri="{FF2B5EF4-FFF2-40B4-BE49-F238E27FC236}">
              <a16:creationId xmlns:a16="http://schemas.microsoft.com/office/drawing/2014/main" id="{B83B8C0B-30D1-478C-B070-5DA1D6AEBF4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 name="Picture 62" descr="C:\pini\VolareSQL\images\linha.gif">
          <a:extLst>
            <a:ext uri="{FF2B5EF4-FFF2-40B4-BE49-F238E27FC236}">
              <a16:creationId xmlns:a16="http://schemas.microsoft.com/office/drawing/2014/main" id="{49D8FFAF-5B74-41B6-9D8F-53D4A0B8A1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 name="Picture 63" descr="C:\pini\VolareSQL\images\linha.gif">
          <a:extLst>
            <a:ext uri="{FF2B5EF4-FFF2-40B4-BE49-F238E27FC236}">
              <a16:creationId xmlns:a16="http://schemas.microsoft.com/office/drawing/2014/main" id="{44249A6A-8483-4735-ADF3-B9C27D0D92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 name="Picture 64" descr="C:\pini\VolareSQL\images\linha.gif">
          <a:extLst>
            <a:ext uri="{FF2B5EF4-FFF2-40B4-BE49-F238E27FC236}">
              <a16:creationId xmlns:a16="http://schemas.microsoft.com/office/drawing/2014/main" id="{95BECE49-814B-4A32-99B1-5B6DD723CD3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 name="Picture 65" descr="C:\pini\VolareSQL\images\linha.gif">
          <a:extLst>
            <a:ext uri="{FF2B5EF4-FFF2-40B4-BE49-F238E27FC236}">
              <a16:creationId xmlns:a16="http://schemas.microsoft.com/office/drawing/2014/main" id="{D5D6D815-79A6-4CF2-95CA-9CDAA950910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 name="Picture 66" descr="C:\pini\VolareSQL\images\linha.gif">
          <a:extLst>
            <a:ext uri="{FF2B5EF4-FFF2-40B4-BE49-F238E27FC236}">
              <a16:creationId xmlns:a16="http://schemas.microsoft.com/office/drawing/2014/main" id="{77612D3C-AE24-4C5A-9A59-63A39E496DA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 name="Picture 67" descr="C:\pini\VolareSQL\images\linha.gif">
          <a:extLst>
            <a:ext uri="{FF2B5EF4-FFF2-40B4-BE49-F238E27FC236}">
              <a16:creationId xmlns:a16="http://schemas.microsoft.com/office/drawing/2014/main" id="{0212C3CD-F57D-4DDC-9CB1-874CA63903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 name="Picture 68" descr="C:\pini\VolareSQL\images\linha.gif">
          <a:extLst>
            <a:ext uri="{FF2B5EF4-FFF2-40B4-BE49-F238E27FC236}">
              <a16:creationId xmlns:a16="http://schemas.microsoft.com/office/drawing/2014/main" id="{F4428CB8-328D-4D3A-B0EE-4EB2D79E53A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 name="Picture 69" descr="C:\pini\VolareSQL\images\linha.gif">
          <a:extLst>
            <a:ext uri="{FF2B5EF4-FFF2-40B4-BE49-F238E27FC236}">
              <a16:creationId xmlns:a16="http://schemas.microsoft.com/office/drawing/2014/main" id="{789FCD3B-6BD0-44A0-AF59-243B68CA7F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 name="Picture 70" descr="C:\pini\VolareSQL\images\linha.gif">
          <a:extLst>
            <a:ext uri="{FF2B5EF4-FFF2-40B4-BE49-F238E27FC236}">
              <a16:creationId xmlns:a16="http://schemas.microsoft.com/office/drawing/2014/main" id="{0F58B783-0A08-4414-AB63-28D27BC7CB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 name="Picture 71" descr="C:\pini\VolareSQL\images\linha.gif">
          <a:extLst>
            <a:ext uri="{FF2B5EF4-FFF2-40B4-BE49-F238E27FC236}">
              <a16:creationId xmlns:a16="http://schemas.microsoft.com/office/drawing/2014/main" id="{198A52AC-4D5C-4242-92A2-D8F8AF64681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 name="Picture 72" descr="C:\pini\VolareSQL\images\linha.gif">
          <a:extLst>
            <a:ext uri="{FF2B5EF4-FFF2-40B4-BE49-F238E27FC236}">
              <a16:creationId xmlns:a16="http://schemas.microsoft.com/office/drawing/2014/main" id="{056479B6-B9CA-4BD1-B99F-834AA992E85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 name="Picture 73" descr="C:\pini\VolareSQL\images\linha.gif">
          <a:extLst>
            <a:ext uri="{FF2B5EF4-FFF2-40B4-BE49-F238E27FC236}">
              <a16:creationId xmlns:a16="http://schemas.microsoft.com/office/drawing/2014/main" id="{20376421-2AD9-4481-9A6B-7490B04CA5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 name="Picture 74" descr="C:\pini\VolareSQL\images\linha.gif">
          <a:extLst>
            <a:ext uri="{FF2B5EF4-FFF2-40B4-BE49-F238E27FC236}">
              <a16:creationId xmlns:a16="http://schemas.microsoft.com/office/drawing/2014/main" id="{12D566BC-26EC-4A10-95A8-F3AE5C4558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 name="Picture 75" descr="C:\pini\VolareSQL\images\linha.gif">
          <a:extLst>
            <a:ext uri="{FF2B5EF4-FFF2-40B4-BE49-F238E27FC236}">
              <a16:creationId xmlns:a16="http://schemas.microsoft.com/office/drawing/2014/main" id="{27BD7728-132B-4E8C-B278-DE2B6B8562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 name="Picture 76" descr="C:\pini\VolareSQL\images\linha.gif">
          <a:extLst>
            <a:ext uri="{FF2B5EF4-FFF2-40B4-BE49-F238E27FC236}">
              <a16:creationId xmlns:a16="http://schemas.microsoft.com/office/drawing/2014/main" id="{BEA9C2B4-6929-4E8A-ADC8-89A00C81CE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 name="Picture 77" descr="C:\pini\VolareSQL\images\linha.gif">
          <a:extLst>
            <a:ext uri="{FF2B5EF4-FFF2-40B4-BE49-F238E27FC236}">
              <a16:creationId xmlns:a16="http://schemas.microsoft.com/office/drawing/2014/main" id="{1C822291-C65C-4A14-BDC1-503E0399CD0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 name="Picture 78" descr="C:\pini\VolareSQL\images\linha.gif">
          <a:extLst>
            <a:ext uri="{FF2B5EF4-FFF2-40B4-BE49-F238E27FC236}">
              <a16:creationId xmlns:a16="http://schemas.microsoft.com/office/drawing/2014/main" id="{5372D913-8FE9-49A3-9AF9-BEC5A9031C2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 name="Picture 79" descr="C:\pini\VolareSQL\images\linha.gif">
          <a:extLst>
            <a:ext uri="{FF2B5EF4-FFF2-40B4-BE49-F238E27FC236}">
              <a16:creationId xmlns:a16="http://schemas.microsoft.com/office/drawing/2014/main" id="{CB505D32-07AB-4A49-8ACE-B1592350363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 name="Picture 80" descr="C:\pini\VolareSQL\images\linha.gif">
          <a:extLst>
            <a:ext uri="{FF2B5EF4-FFF2-40B4-BE49-F238E27FC236}">
              <a16:creationId xmlns:a16="http://schemas.microsoft.com/office/drawing/2014/main" id="{645EB35E-18D3-43CB-B9F5-ED8F2A8DBC5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 name="Picture 81" descr="C:\pini\VolareSQL\images\linha.gif">
          <a:extLst>
            <a:ext uri="{FF2B5EF4-FFF2-40B4-BE49-F238E27FC236}">
              <a16:creationId xmlns:a16="http://schemas.microsoft.com/office/drawing/2014/main" id="{6184FE12-A238-4EBD-9912-C89FC573F4C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 name="Picture 82" descr="C:\pini\VolareSQL\images\linha.gif">
          <a:extLst>
            <a:ext uri="{FF2B5EF4-FFF2-40B4-BE49-F238E27FC236}">
              <a16:creationId xmlns:a16="http://schemas.microsoft.com/office/drawing/2014/main" id="{B8966557-5FD4-46ED-B5AD-EEF086F0EAA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 name="Picture 83" descr="C:\pini\VolareSQL\images\linha.gif">
          <a:extLst>
            <a:ext uri="{FF2B5EF4-FFF2-40B4-BE49-F238E27FC236}">
              <a16:creationId xmlns:a16="http://schemas.microsoft.com/office/drawing/2014/main" id="{1B8F7FA6-4B4C-4341-91C0-7117E389A41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 name="Picture 84" descr="C:\pini\VolareSQL\images\linha.gif">
          <a:extLst>
            <a:ext uri="{FF2B5EF4-FFF2-40B4-BE49-F238E27FC236}">
              <a16:creationId xmlns:a16="http://schemas.microsoft.com/office/drawing/2014/main" id="{E957A2CF-B382-4C4D-8B25-E42DB3EB4E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 name="Picture 85" descr="C:\pini\VolareSQL\images\linha.gif">
          <a:extLst>
            <a:ext uri="{FF2B5EF4-FFF2-40B4-BE49-F238E27FC236}">
              <a16:creationId xmlns:a16="http://schemas.microsoft.com/office/drawing/2014/main" id="{60C7E62F-244C-41BC-A72F-18953EDA84E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 name="Picture 86" descr="C:\pini\VolareSQL\images\linha.gif">
          <a:extLst>
            <a:ext uri="{FF2B5EF4-FFF2-40B4-BE49-F238E27FC236}">
              <a16:creationId xmlns:a16="http://schemas.microsoft.com/office/drawing/2014/main" id="{E797D7FB-FA65-4A23-87AB-F28C968074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 name="Picture 87" descr="C:\pini\VolareSQL\images\linha.gif">
          <a:extLst>
            <a:ext uri="{FF2B5EF4-FFF2-40B4-BE49-F238E27FC236}">
              <a16:creationId xmlns:a16="http://schemas.microsoft.com/office/drawing/2014/main" id="{82466F27-0D07-441E-8D1A-6E278A9663E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 name="Picture 88" descr="C:\pini\VolareSQL\images\linha.gif">
          <a:extLst>
            <a:ext uri="{FF2B5EF4-FFF2-40B4-BE49-F238E27FC236}">
              <a16:creationId xmlns:a16="http://schemas.microsoft.com/office/drawing/2014/main" id="{C86EF654-86DC-41A0-B4CF-61E3BB4E91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 name="Picture 89" descr="C:\pini\VolareSQL\images\linha.gif">
          <a:extLst>
            <a:ext uri="{FF2B5EF4-FFF2-40B4-BE49-F238E27FC236}">
              <a16:creationId xmlns:a16="http://schemas.microsoft.com/office/drawing/2014/main" id="{98697A7E-9911-488C-8FB6-54952294050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 name="Picture 90" descr="C:\pini\VolareSQL\images\linha.gif">
          <a:extLst>
            <a:ext uri="{FF2B5EF4-FFF2-40B4-BE49-F238E27FC236}">
              <a16:creationId xmlns:a16="http://schemas.microsoft.com/office/drawing/2014/main" id="{B2BB759A-34DA-4818-BE0B-CEBCDE5BA03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 name="Picture 91" descr="C:\pini\VolareSQL\images\linha.gif">
          <a:extLst>
            <a:ext uri="{FF2B5EF4-FFF2-40B4-BE49-F238E27FC236}">
              <a16:creationId xmlns:a16="http://schemas.microsoft.com/office/drawing/2014/main" id="{1E718CF1-CA4A-4FE7-8BF3-B327FD56DD0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 name="Picture 92" descr="C:\pini\VolareSQL\images\linha.gif">
          <a:extLst>
            <a:ext uri="{FF2B5EF4-FFF2-40B4-BE49-F238E27FC236}">
              <a16:creationId xmlns:a16="http://schemas.microsoft.com/office/drawing/2014/main" id="{905B1736-AD08-41AA-8DA0-AAC2670401F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 name="Picture 93" descr="C:\pini\VolareSQL\images\linha.gif">
          <a:extLst>
            <a:ext uri="{FF2B5EF4-FFF2-40B4-BE49-F238E27FC236}">
              <a16:creationId xmlns:a16="http://schemas.microsoft.com/office/drawing/2014/main" id="{2467ADAD-7746-4826-B42E-5A402EFF3BC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 name="Picture 94" descr="C:\pini\VolareSQL\images\linha.gif">
          <a:extLst>
            <a:ext uri="{FF2B5EF4-FFF2-40B4-BE49-F238E27FC236}">
              <a16:creationId xmlns:a16="http://schemas.microsoft.com/office/drawing/2014/main" id="{CAB39BF8-851B-4347-A981-5154D52A44D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 name="Picture 95" descr="C:\pini\VolareSQL\images\linha.gif">
          <a:extLst>
            <a:ext uri="{FF2B5EF4-FFF2-40B4-BE49-F238E27FC236}">
              <a16:creationId xmlns:a16="http://schemas.microsoft.com/office/drawing/2014/main" id="{09B7B5F5-3D10-4A2C-A097-9623EB3649B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 name="Picture 96" descr="C:\pini\VolareSQL\images\linha.gif">
          <a:extLst>
            <a:ext uri="{FF2B5EF4-FFF2-40B4-BE49-F238E27FC236}">
              <a16:creationId xmlns:a16="http://schemas.microsoft.com/office/drawing/2014/main" id="{A90C41A7-E043-4525-963C-D81EA2E890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 name="Picture 97" descr="C:\pini\VolareSQL\images\linha.gif">
          <a:extLst>
            <a:ext uri="{FF2B5EF4-FFF2-40B4-BE49-F238E27FC236}">
              <a16:creationId xmlns:a16="http://schemas.microsoft.com/office/drawing/2014/main" id="{A9EC16DD-5820-411A-B25A-B90B27C4E65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 name="Picture 98" descr="C:\pini\VolareSQL\images\linha.gif">
          <a:extLst>
            <a:ext uri="{FF2B5EF4-FFF2-40B4-BE49-F238E27FC236}">
              <a16:creationId xmlns:a16="http://schemas.microsoft.com/office/drawing/2014/main" id="{88D4675F-E841-454A-AD05-63F23AF765F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 name="Picture 99" descr="C:\pini\VolareSQL\images\linha.gif">
          <a:extLst>
            <a:ext uri="{FF2B5EF4-FFF2-40B4-BE49-F238E27FC236}">
              <a16:creationId xmlns:a16="http://schemas.microsoft.com/office/drawing/2014/main" id="{BDE02240-E163-44BD-93FB-65BDC5FBD4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 name="Picture 100" descr="C:\pini\VolareSQL\images\linha.gif">
          <a:extLst>
            <a:ext uri="{FF2B5EF4-FFF2-40B4-BE49-F238E27FC236}">
              <a16:creationId xmlns:a16="http://schemas.microsoft.com/office/drawing/2014/main" id="{0EDE8652-F9BC-40C2-B528-D38559F4163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 name="Picture 101" descr="C:\pini\VolareSQL\images\linha.gif">
          <a:extLst>
            <a:ext uri="{FF2B5EF4-FFF2-40B4-BE49-F238E27FC236}">
              <a16:creationId xmlns:a16="http://schemas.microsoft.com/office/drawing/2014/main" id="{E7FD54FE-568C-43D2-9F7E-D0C7920CB1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 name="Picture 102" descr="C:\pini\VolareSQL\images\linha.gif">
          <a:extLst>
            <a:ext uri="{FF2B5EF4-FFF2-40B4-BE49-F238E27FC236}">
              <a16:creationId xmlns:a16="http://schemas.microsoft.com/office/drawing/2014/main" id="{7DA70105-9102-4E94-8D38-DA3F612B5AE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 name="Picture 103" descr="C:\pini\VolareSQL\images\linha.gif">
          <a:extLst>
            <a:ext uri="{FF2B5EF4-FFF2-40B4-BE49-F238E27FC236}">
              <a16:creationId xmlns:a16="http://schemas.microsoft.com/office/drawing/2014/main" id="{268AC5A8-064F-49D3-B34E-7680318A8E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 name="Picture 104" descr="C:\pini\VolareSQL\images\linha.gif">
          <a:extLst>
            <a:ext uri="{FF2B5EF4-FFF2-40B4-BE49-F238E27FC236}">
              <a16:creationId xmlns:a16="http://schemas.microsoft.com/office/drawing/2014/main" id="{BE61CC6C-3802-4471-A5A0-78949FDF0B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 name="Picture 105" descr="C:\pini\VolareSQL\images\linha.gif">
          <a:extLst>
            <a:ext uri="{FF2B5EF4-FFF2-40B4-BE49-F238E27FC236}">
              <a16:creationId xmlns:a16="http://schemas.microsoft.com/office/drawing/2014/main" id="{A401CE52-2896-4E68-BB8E-FE0AB775C9A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 name="Picture 106" descr="C:\pini\VolareSQL\images\linha.gif">
          <a:extLst>
            <a:ext uri="{FF2B5EF4-FFF2-40B4-BE49-F238E27FC236}">
              <a16:creationId xmlns:a16="http://schemas.microsoft.com/office/drawing/2014/main" id="{EB96EE41-349E-43E3-8E5A-3D9CCC4513B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 name="Picture 107" descr="C:\pini\VolareSQL\images\linha.gif">
          <a:extLst>
            <a:ext uri="{FF2B5EF4-FFF2-40B4-BE49-F238E27FC236}">
              <a16:creationId xmlns:a16="http://schemas.microsoft.com/office/drawing/2014/main" id="{7BA99EA9-36D1-4627-B444-64F1BEA186D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 name="Picture 108" descr="C:\pini\VolareSQL\images\linha.gif">
          <a:extLst>
            <a:ext uri="{FF2B5EF4-FFF2-40B4-BE49-F238E27FC236}">
              <a16:creationId xmlns:a16="http://schemas.microsoft.com/office/drawing/2014/main" id="{DE92221B-9B82-4CA3-AC27-F10B66DFAE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 name="Picture 109" descr="C:\pini\VolareSQL\images\linha.gif">
          <a:extLst>
            <a:ext uri="{FF2B5EF4-FFF2-40B4-BE49-F238E27FC236}">
              <a16:creationId xmlns:a16="http://schemas.microsoft.com/office/drawing/2014/main" id="{6EAEC6E7-0093-44B5-9A79-25FAD45706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 name="Picture 110" descr="C:\pini\VolareSQL\images\linha.gif">
          <a:extLst>
            <a:ext uri="{FF2B5EF4-FFF2-40B4-BE49-F238E27FC236}">
              <a16:creationId xmlns:a16="http://schemas.microsoft.com/office/drawing/2014/main" id="{69923428-36D1-43FE-8D00-19627563B27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 name="Picture 111" descr="C:\pini\VolareSQL\images\linha.gif">
          <a:extLst>
            <a:ext uri="{FF2B5EF4-FFF2-40B4-BE49-F238E27FC236}">
              <a16:creationId xmlns:a16="http://schemas.microsoft.com/office/drawing/2014/main" id="{8EBBAA45-5E2C-4A1F-84E5-0730CC67352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 name="Picture 112" descr="C:\pini\VolareSQL\images\linha.gif">
          <a:extLst>
            <a:ext uri="{FF2B5EF4-FFF2-40B4-BE49-F238E27FC236}">
              <a16:creationId xmlns:a16="http://schemas.microsoft.com/office/drawing/2014/main" id="{9E12F497-3C56-4AE8-AFAF-1329D606A9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 name="Picture 113" descr="C:\pini\VolareSQL\images\linha.gif">
          <a:extLst>
            <a:ext uri="{FF2B5EF4-FFF2-40B4-BE49-F238E27FC236}">
              <a16:creationId xmlns:a16="http://schemas.microsoft.com/office/drawing/2014/main" id="{E9E6C424-544C-4165-B084-6CD285F3425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 name="Picture 114" descr="C:\pini\VolareSQL\images\linha.gif">
          <a:extLst>
            <a:ext uri="{FF2B5EF4-FFF2-40B4-BE49-F238E27FC236}">
              <a16:creationId xmlns:a16="http://schemas.microsoft.com/office/drawing/2014/main" id="{6F14249A-38A6-4A3C-B30C-23194936DD5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 name="Picture 115" descr="C:\pini\VolareSQL\images\linha.gif">
          <a:extLst>
            <a:ext uri="{FF2B5EF4-FFF2-40B4-BE49-F238E27FC236}">
              <a16:creationId xmlns:a16="http://schemas.microsoft.com/office/drawing/2014/main" id="{94FC8B9B-AB0C-45BC-951B-D9EE8E0CB2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 name="Picture 116" descr="C:\pini\VolareSQL\images\linha.gif">
          <a:extLst>
            <a:ext uri="{FF2B5EF4-FFF2-40B4-BE49-F238E27FC236}">
              <a16:creationId xmlns:a16="http://schemas.microsoft.com/office/drawing/2014/main" id="{AF890D5E-B97A-46A5-8D7B-8BA7B3A4895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 name="Picture 117" descr="C:\pini\VolareSQL\images\linha.gif">
          <a:extLst>
            <a:ext uri="{FF2B5EF4-FFF2-40B4-BE49-F238E27FC236}">
              <a16:creationId xmlns:a16="http://schemas.microsoft.com/office/drawing/2014/main" id="{E64D6D0F-E81B-4431-A7B0-EAC45220563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 name="Picture 118" descr="C:\pini\VolareSQL\images\linha.gif">
          <a:extLst>
            <a:ext uri="{FF2B5EF4-FFF2-40B4-BE49-F238E27FC236}">
              <a16:creationId xmlns:a16="http://schemas.microsoft.com/office/drawing/2014/main" id="{E11E360C-6599-4446-9699-7CAC115B3E1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 name="Picture 119" descr="C:\pini\VolareSQL\images\linha.gif">
          <a:extLst>
            <a:ext uri="{FF2B5EF4-FFF2-40B4-BE49-F238E27FC236}">
              <a16:creationId xmlns:a16="http://schemas.microsoft.com/office/drawing/2014/main" id="{26E750C1-BDAF-41D8-BA2E-27BD13EBD1F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 name="Picture 120" descr="C:\pini\VolareSQL\images\linha.gif">
          <a:extLst>
            <a:ext uri="{FF2B5EF4-FFF2-40B4-BE49-F238E27FC236}">
              <a16:creationId xmlns:a16="http://schemas.microsoft.com/office/drawing/2014/main" id="{EDC9F98E-CD50-4829-B38E-28FFE0A2F5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1" name="Picture 121" descr="C:\pini\VolareSQL\images\linha.gif">
          <a:extLst>
            <a:ext uri="{FF2B5EF4-FFF2-40B4-BE49-F238E27FC236}">
              <a16:creationId xmlns:a16="http://schemas.microsoft.com/office/drawing/2014/main" id="{C86296DA-B527-4E74-868C-D1AF005C9ED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2" name="Picture 122" descr="C:\pini\VolareSQL\images\linha.gif">
          <a:extLst>
            <a:ext uri="{FF2B5EF4-FFF2-40B4-BE49-F238E27FC236}">
              <a16:creationId xmlns:a16="http://schemas.microsoft.com/office/drawing/2014/main" id="{A1ECF59C-F0D0-4804-942E-C1E17D3D3DF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3" name="Picture 123" descr="C:\pini\VolareSQL\images\linha.gif">
          <a:extLst>
            <a:ext uri="{FF2B5EF4-FFF2-40B4-BE49-F238E27FC236}">
              <a16:creationId xmlns:a16="http://schemas.microsoft.com/office/drawing/2014/main" id="{97FC6690-CA8E-4EBB-AAE1-6589798B71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4" name="Picture 124" descr="C:\pini\VolareSQL\images\linha.gif">
          <a:extLst>
            <a:ext uri="{FF2B5EF4-FFF2-40B4-BE49-F238E27FC236}">
              <a16:creationId xmlns:a16="http://schemas.microsoft.com/office/drawing/2014/main" id="{882E894F-1CDA-4558-A721-A65748F468C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5" name="Picture 125" descr="C:\pini\VolareSQL\images\linha.gif">
          <a:extLst>
            <a:ext uri="{FF2B5EF4-FFF2-40B4-BE49-F238E27FC236}">
              <a16:creationId xmlns:a16="http://schemas.microsoft.com/office/drawing/2014/main" id="{FD90429D-D65D-46C6-BDC9-4BFFE03DDBB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6" name="Picture 126" descr="C:\pini\VolareSQL\images\linha.gif">
          <a:extLst>
            <a:ext uri="{FF2B5EF4-FFF2-40B4-BE49-F238E27FC236}">
              <a16:creationId xmlns:a16="http://schemas.microsoft.com/office/drawing/2014/main" id="{D1E0547E-878B-460D-971E-8FC9CE3ACA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7" name="Picture 127" descr="C:\pini\VolareSQL\images\linha.gif">
          <a:extLst>
            <a:ext uri="{FF2B5EF4-FFF2-40B4-BE49-F238E27FC236}">
              <a16:creationId xmlns:a16="http://schemas.microsoft.com/office/drawing/2014/main" id="{E9F2B041-2CD6-47C4-9938-7CF50901C27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8" name="Picture 128" descr="C:\pini\VolareSQL\images\linha.gif">
          <a:extLst>
            <a:ext uri="{FF2B5EF4-FFF2-40B4-BE49-F238E27FC236}">
              <a16:creationId xmlns:a16="http://schemas.microsoft.com/office/drawing/2014/main" id="{91B4D5B1-81E3-4690-8AE2-C1C89CC2B6C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9" name="Picture 129" descr="C:\pini\VolareSQL\images\linha.gif">
          <a:extLst>
            <a:ext uri="{FF2B5EF4-FFF2-40B4-BE49-F238E27FC236}">
              <a16:creationId xmlns:a16="http://schemas.microsoft.com/office/drawing/2014/main" id="{DE5CE06B-819C-491D-8F7A-93BCF67D81C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0" name="Picture 130" descr="C:\pini\VolareSQL\images\linha.gif">
          <a:extLst>
            <a:ext uri="{FF2B5EF4-FFF2-40B4-BE49-F238E27FC236}">
              <a16:creationId xmlns:a16="http://schemas.microsoft.com/office/drawing/2014/main" id="{F7E8ECA4-EB13-4FA5-9EFF-71312C570AB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1" name="Picture 131" descr="C:\pini\VolareSQL\images\linha.gif">
          <a:extLst>
            <a:ext uri="{FF2B5EF4-FFF2-40B4-BE49-F238E27FC236}">
              <a16:creationId xmlns:a16="http://schemas.microsoft.com/office/drawing/2014/main" id="{A1C69D7B-3DDA-4E6B-9F67-811ABD18D9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2" name="Picture 132" descr="C:\pini\VolareSQL\images\linha.gif">
          <a:extLst>
            <a:ext uri="{FF2B5EF4-FFF2-40B4-BE49-F238E27FC236}">
              <a16:creationId xmlns:a16="http://schemas.microsoft.com/office/drawing/2014/main" id="{BB23CA5C-198A-4147-992B-005B7218F42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3" name="Picture 133" descr="C:\pini\VolareSQL\images\linha.gif">
          <a:extLst>
            <a:ext uri="{FF2B5EF4-FFF2-40B4-BE49-F238E27FC236}">
              <a16:creationId xmlns:a16="http://schemas.microsoft.com/office/drawing/2014/main" id="{0F6CB570-EC28-4C55-99A9-DFED74D841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4" name="Picture 134" descr="C:\pini\VolareSQL\images\linha.gif">
          <a:extLst>
            <a:ext uri="{FF2B5EF4-FFF2-40B4-BE49-F238E27FC236}">
              <a16:creationId xmlns:a16="http://schemas.microsoft.com/office/drawing/2014/main" id="{E30A6F08-A2FC-4E6A-83AD-9ECB0A84B83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5" name="Picture 135" descr="C:\pini\VolareSQL\images\linha.gif">
          <a:extLst>
            <a:ext uri="{FF2B5EF4-FFF2-40B4-BE49-F238E27FC236}">
              <a16:creationId xmlns:a16="http://schemas.microsoft.com/office/drawing/2014/main" id="{F032F197-A924-48C4-84F6-B97BEA3EE7D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6" name="Picture 136" descr="C:\pini\VolareSQL\images\linha.gif">
          <a:extLst>
            <a:ext uri="{FF2B5EF4-FFF2-40B4-BE49-F238E27FC236}">
              <a16:creationId xmlns:a16="http://schemas.microsoft.com/office/drawing/2014/main" id="{64C3C4EF-C1D3-4D87-AE78-812A37EA472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7" name="Picture 137" descr="C:\pini\VolareSQL\images\linha.gif">
          <a:extLst>
            <a:ext uri="{FF2B5EF4-FFF2-40B4-BE49-F238E27FC236}">
              <a16:creationId xmlns:a16="http://schemas.microsoft.com/office/drawing/2014/main" id="{56DB4344-6FD9-49F2-A4C4-9F2DFF38C7A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8" name="Picture 138" descr="C:\pini\VolareSQL\images\linha.gif">
          <a:extLst>
            <a:ext uri="{FF2B5EF4-FFF2-40B4-BE49-F238E27FC236}">
              <a16:creationId xmlns:a16="http://schemas.microsoft.com/office/drawing/2014/main" id="{99FAE4C4-520C-41E6-AC06-FE66AB1CEED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39" name="Picture 139" descr="C:\pini\VolareSQL\images\linha.gif">
          <a:extLst>
            <a:ext uri="{FF2B5EF4-FFF2-40B4-BE49-F238E27FC236}">
              <a16:creationId xmlns:a16="http://schemas.microsoft.com/office/drawing/2014/main" id="{C95F1084-0E61-4E43-92F5-197DE39550D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0" name="Picture 140" descr="C:\pini\VolareSQL\images\linha.gif">
          <a:extLst>
            <a:ext uri="{FF2B5EF4-FFF2-40B4-BE49-F238E27FC236}">
              <a16:creationId xmlns:a16="http://schemas.microsoft.com/office/drawing/2014/main" id="{8D2615EE-C56E-4343-9BAD-607A12B62B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1" name="Picture 141" descr="C:\pini\VolareSQL\images\linha.gif">
          <a:extLst>
            <a:ext uri="{FF2B5EF4-FFF2-40B4-BE49-F238E27FC236}">
              <a16:creationId xmlns:a16="http://schemas.microsoft.com/office/drawing/2014/main" id="{FB39EA10-DADA-4BCA-9B15-E69FFC2D87A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2" name="Picture 142" descr="C:\pini\VolareSQL\images\linha.gif">
          <a:extLst>
            <a:ext uri="{FF2B5EF4-FFF2-40B4-BE49-F238E27FC236}">
              <a16:creationId xmlns:a16="http://schemas.microsoft.com/office/drawing/2014/main" id="{0FF05F7E-2596-4B3A-92AE-801AF9E385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3" name="Picture 143" descr="C:\pini\VolareSQL\images\linha.gif">
          <a:extLst>
            <a:ext uri="{FF2B5EF4-FFF2-40B4-BE49-F238E27FC236}">
              <a16:creationId xmlns:a16="http://schemas.microsoft.com/office/drawing/2014/main" id="{8B8D2DC1-DEA4-4095-BD23-9467181683A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4" name="Picture 144" descr="C:\pini\VolareSQL\images\linha.gif">
          <a:extLst>
            <a:ext uri="{FF2B5EF4-FFF2-40B4-BE49-F238E27FC236}">
              <a16:creationId xmlns:a16="http://schemas.microsoft.com/office/drawing/2014/main" id="{1601BE44-E3B6-472C-BEE2-B553DF5818A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5" name="Picture 145" descr="C:\pini\VolareSQL\images\linha.gif">
          <a:extLst>
            <a:ext uri="{FF2B5EF4-FFF2-40B4-BE49-F238E27FC236}">
              <a16:creationId xmlns:a16="http://schemas.microsoft.com/office/drawing/2014/main" id="{DCCE68EE-3DEE-4035-88A0-D031BCF61E4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6" name="Picture 146" descr="C:\pini\VolareSQL\images\linha.gif">
          <a:extLst>
            <a:ext uri="{FF2B5EF4-FFF2-40B4-BE49-F238E27FC236}">
              <a16:creationId xmlns:a16="http://schemas.microsoft.com/office/drawing/2014/main" id="{4560CA7B-8C87-4CC2-818B-3ECAAF1155A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7" name="Picture 147" descr="C:\pini\VolareSQL\images\linha.gif">
          <a:extLst>
            <a:ext uri="{FF2B5EF4-FFF2-40B4-BE49-F238E27FC236}">
              <a16:creationId xmlns:a16="http://schemas.microsoft.com/office/drawing/2014/main" id="{86BF2CBA-7B33-4CC3-91C2-B0ADC2EB76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8" name="Picture 148" descr="C:\pini\VolareSQL\images\linha.gif">
          <a:extLst>
            <a:ext uri="{FF2B5EF4-FFF2-40B4-BE49-F238E27FC236}">
              <a16:creationId xmlns:a16="http://schemas.microsoft.com/office/drawing/2014/main" id="{549DCC75-C211-4C4E-ACDF-1F422E8F03F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49" name="Picture 149" descr="C:\pini\VolareSQL\images\linha.gif">
          <a:extLst>
            <a:ext uri="{FF2B5EF4-FFF2-40B4-BE49-F238E27FC236}">
              <a16:creationId xmlns:a16="http://schemas.microsoft.com/office/drawing/2014/main" id="{CFEF5AB4-2AAC-4306-A308-06B99D0E5C6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0" name="Picture 150" descr="C:\pini\VolareSQL\images\linha.gif">
          <a:extLst>
            <a:ext uri="{FF2B5EF4-FFF2-40B4-BE49-F238E27FC236}">
              <a16:creationId xmlns:a16="http://schemas.microsoft.com/office/drawing/2014/main" id="{590F39CC-C0FC-4193-B6C3-2A51E293336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1" name="Picture 151" descr="C:\pini\VolareSQL\images\linha.gif">
          <a:extLst>
            <a:ext uri="{FF2B5EF4-FFF2-40B4-BE49-F238E27FC236}">
              <a16:creationId xmlns:a16="http://schemas.microsoft.com/office/drawing/2014/main" id="{A3411AEB-4E74-49AA-8FDE-7C003F2204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2" name="Picture 152" descr="C:\pini\VolareSQL\images\linha.gif">
          <a:extLst>
            <a:ext uri="{FF2B5EF4-FFF2-40B4-BE49-F238E27FC236}">
              <a16:creationId xmlns:a16="http://schemas.microsoft.com/office/drawing/2014/main" id="{96253E8F-5F10-4C2C-925D-C7775F48AB7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3" name="Picture 153" descr="C:\pini\VolareSQL\images\linha.gif">
          <a:extLst>
            <a:ext uri="{FF2B5EF4-FFF2-40B4-BE49-F238E27FC236}">
              <a16:creationId xmlns:a16="http://schemas.microsoft.com/office/drawing/2014/main" id="{833D97C3-F585-4B55-A859-DFB6383159B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4" name="Picture 154" descr="C:\pini\VolareSQL\images\linha.gif">
          <a:extLst>
            <a:ext uri="{FF2B5EF4-FFF2-40B4-BE49-F238E27FC236}">
              <a16:creationId xmlns:a16="http://schemas.microsoft.com/office/drawing/2014/main" id="{D3A809CF-1175-4A1B-82EB-FDF10DE2B6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5" name="Picture 155" descr="C:\pini\VolareSQL\images\linha.gif">
          <a:extLst>
            <a:ext uri="{FF2B5EF4-FFF2-40B4-BE49-F238E27FC236}">
              <a16:creationId xmlns:a16="http://schemas.microsoft.com/office/drawing/2014/main" id="{A1C4C728-9C97-4581-8539-D37FB63A16A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6" name="Picture 156" descr="C:\pini\VolareSQL\images\linha.gif">
          <a:extLst>
            <a:ext uri="{FF2B5EF4-FFF2-40B4-BE49-F238E27FC236}">
              <a16:creationId xmlns:a16="http://schemas.microsoft.com/office/drawing/2014/main" id="{1656631E-BFBA-4197-A012-B3C7DAB5B3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7" name="Picture 157" descr="C:\pini\VolareSQL\images\linha.gif">
          <a:extLst>
            <a:ext uri="{FF2B5EF4-FFF2-40B4-BE49-F238E27FC236}">
              <a16:creationId xmlns:a16="http://schemas.microsoft.com/office/drawing/2014/main" id="{288E76F0-3A5F-4B79-95A7-3B6FA05A694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8" name="Picture 158" descr="C:\pini\VolareSQL\images\linha.gif">
          <a:extLst>
            <a:ext uri="{FF2B5EF4-FFF2-40B4-BE49-F238E27FC236}">
              <a16:creationId xmlns:a16="http://schemas.microsoft.com/office/drawing/2014/main" id="{2510EBCB-7CE1-43E6-A3E2-AFC096FFD9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59" name="Picture 159" descr="C:\pini\VolareSQL\images\linha.gif">
          <a:extLst>
            <a:ext uri="{FF2B5EF4-FFF2-40B4-BE49-F238E27FC236}">
              <a16:creationId xmlns:a16="http://schemas.microsoft.com/office/drawing/2014/main" id="{494D9A46-0D4A-4649-AB6C-E781635CBA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0" name="Picture 160" descr="C:\pini\VolareSQL\images\linha.gif">
          <a:extLst>
            <a:ext uri="{FF2B5EF4-FFF2-40B4-BE49-F238E27FC236}">
              <a16:creationId xmlns:a16="http://schemas.microsoft.com/office/drawing/2014/main" id="{DD0FA0B5-427E-465E-87C9-8CB83B5D92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1" name="Picture 161" descr="C:\pini\VolareSQL\images\linha.gif">
          <a:extLst>
            <a:ext uri="{FF2B5EF4-FFF2-40B4-BE49-F238E27FC236}">
              <a16:creationId xmlns:a16="http://schemas.microsoft.com/office/drawing/2014/main" id="{CFD62065-6C4A-4825-BAB9-5DC19CC35D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2" name="Picture 162" descr="C:\pini\VolareSQL\images\linha.gif">
          <a:extLst>
            <a:ext uri="{FF2B5EF4-FFF2-40B4-BE49-F238E27FC236}">
              <a16:creationId xmlns:a16="http://schemas.microsoft.com/office/drawing/2014/main" id="{56B4C830-58E0-4F46-9E76-FCB402A291B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3" name="Picture 163" descr="C:\pini\VolareSQL\images\linha.gif">
          <a:extLst>
            <a:ext uri="{FF2B5EF4-FFF2-40B4-BE49-F238E27FC236}">
              <a16:creationId xmlns:a16="http://schemas.microsoft.com/office/drawing/2014/main" id="{8594ED14-7229-428D-BFCD-87C9D01A7B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4" name="Picture 164" descr="C:\pini\VolareSQL\images\linha.gif">
          <a:extLst>
            <a:ext uri="{FF2B5EF4-FFF2-40B4-BE49-F238E27FC236}">
              <a16:creationId xmlns:a16="http://schemas.microsoft.com/office/drawing/2014/main" id="{F689BA5D-0419-498B-B7F4-BB2B4946ED8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5" name="Picture 165" descr="C:\pini\VolareSQL\images\linha.gif">
          <a:extLst>
            <a:ext uri="{FF2B5EF4-FFF2-40B4-BE49-F238E27FC236}">
              <a16:creationId xmlns:a16="http://schemas.microsoft.com/office/drawing/2014/main" id="{6A01119B-523B-4F1E-BCB2-3C408F9DD2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6" name="Picture 166" descr="C:\pini\VolareSQL\images\linha.gif">
          <a:extLst>
            <a:ext uri="{FF2B5EF4-FFF2-40B4-BE49-F238E27FC236}">
              <a16:creationId xmlns:a16="http://schemas.microsoft.com/office/drawing/2014/main" id="{8D21730C-7596-4859-B7C3-6B9A433E4C6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7" name="Picture 167" descr="C:\pini\VolareSQL\images\linha.gif">
          <a:extLst>
            <a:ext uri="{FF2B5EF4-FFF2-40B4-BE49-F238E27FC236}">
              <a16:creationId xmlns:a16="http://schemas.microsoft.com/office/drawing/2014/main" id="{D8509D87-7993-4074-9592-4FB1DDC3CC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8" name="Picture 168" descr="C:\pini\VolareSQL\images\linha.gif">
          <a:extLst>
            <a:ext uri="{FF2B5EF4-FFF2-40B4-BE49-F238E27FC236}">
              <a16:creationId xmlns:a16="http://schemas.microsoft.com/office/drawing/2014/main" id="{4B453CF9-AAE8-4D44-AACC-E873962692F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69" name="Picture 169" descr="C:\pini\VolareSQL\images\linha.gif">
          <a:extLst>
            <a:ext uri="{FF2B5EF4-FFF2-40B4-BE49-F238E27FC236}">
              <a16:creationId xmlns:a16="http://schemas.microsoft.com/office/drawing/2014/main" id="{FCC5BB68-5BC4-4CB8-867C-B8EAAD1CFB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0" name="Picture 170" descr="C:\pini\VolareSQL\images\linha.gif">
          <a:extLst>
            <a:ext uri="{FF2B5EF4-FFF2-40B4-BE49-F238E27FC236}">
              <a16:creationId xmlns:a16="http://schemas.microsoft.com/office/drawing/2014/main" id="{C5A3664B-5C7C-4DCF-BE9B-D7153878D1D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1" name="Picture 171" descr="C:\pini\VolareSQL\images\linha.gif">
          <a:extLst>
            <a:ext uri="{FF2B5EF4-FFF2-40B4-BE49-F238E27FC236}">
              <a16:creationId xmlns:a16="http://schemas.microsoft.com/office/drawing/2014/main" id="{03736572-3825-4613-AA6D-6A26C215AE2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2" name="Picture 172" descr="C:\pini\VolareSQL\images\linha.gif">
          <a:extLst>
            <a:ext uri="{FF2B5EF4-FFF2-40B4-BE49-F238E27FC236}">
              <a16:creationId xmlns:a16="http://schemas.microsoft.com/office/drawing/2014/main" id="{2406669D-AFB1-403D-ACDE-E831126E1B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3" name="Picture 173" descr="C:\pini\VolareSQL\images\linha.gif">
          <a:extLst>
            <a:ext uri="{FF2B5EF4-FFF2-40B4-BE49-F238E27FC236}">
              <a16:creationId xmlns:a16="http://schemas.microsoft.com/office/drawing/2014/main" id="{22DDFBE5-9D35-484A-AF34-7DB0603BD16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4" name="Picture 174" descr="C:\pini\VolareSQL\images\linha.gif">
          <a:extLst>
            <a:ext uri="{FF2B5EF4-FFF2-40B4-BE49-F238E27FC236}">
              <a16:creationId xmlns:a16="http://schemas.microsoft.com/office/drawing/2014/main" id="{CDEEEAD1-C35C-4104-B7C4-E27AE7F6545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5" name="Picture 175" descr="C:\pini\VolareSQL\images\linha.gif">
          <a:extLst>
            <a:ext uri="{FF2B5EF4-FFF2-40B4-BE49-F238E27FC236}">
              <a16:creationId xmlns:a16="http://schemas.microsoft.com/office/drawing/2014/main" id="{3619DF96-327B-4873-8439-AF2B03A6FB3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6" name="Picture 176" descr="C:\pini\VolareSQL\images\linha.gif">
          <a:extLst>
            <a:ext uri="{FF2B5EF4-FFF2-40B4-BE49-F238E27FC236}">
              <a16:creationId xmlns:a16="http://schemas.microsoft.com/office/drawing/2014/main" id="{BDE6D399-F145-4773-8473-8DFB1DFFA63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7" name="Picture 177" descr="C:\pini\VolareSQL\images\linha.gif">
          <a:extLst>
            <a:ext uri="{FF2B5EF4-FFF2-40B4-BE49-F238E27FC236}">
              <a16:creationId xmlns:a16="http://schemas.microsoft.com/office/drawing/2014/main" id="{EBD75209-0D8B-431C-8C05-31F7BD3F2F3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8" name="Picture 178" descr="C:\pini\VolareSQL\images\linha.gif">
          <a:extLst>
            <a:ext uri="{FF2B5EF4-FFF2-40B4-BE49-F238E27FC236}">
              <a16:creationId xmlns:a16="http://schemas.microsoft.com/office/drawing/2014/main" id="{F6977B45-3104-4F98-8048-1B7F68493C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79" name="Picture 179" descr="C:\pini\VolareSQL\images\linha.gif">
          <a:extLst>
            <a:ext uri="{FF2B5EF4-FFF2-40B4-BE49-F238E27FC236}">
              <a16:creationId xmlns:a16="http://schemas.microsoft.com/office/drawing/2014/main" id="{513EBDAA-7B0C-4D14-874C-65FF04847A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0" name="Picture 180" descr="C:\pini\VolareSQL\images\linha.gif">
          <a:extLst>
            <a:ext uri="{FF2B5EF4-FFF2-40B4-BE49-F238E27FC236}">
              <a16:creationId xmlns:a16="http://schemas.microsoft.com/office/drawing/2014/main" id="{794ABC21-9AA5-4145-AA8B-E9F9359257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1" name="Picture 181" descr="C:\pini\VolareSQL\images\linha.gif">
          <a:extLst>
            <a:ext uri="{FF2B5EF4-FFF2-40B4-BE49-F238E27FC236}">
              <a16:creationId xmlns:a16="http://schemas.microsoft.com/office/drawing/2014/main" id="{469BFBE7-AD5F-4311-9F22-5497A080754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2" name="Picture 182" descr="C:\pini\VolareSQL\images\linha.gif">
          <a:extLst>
            <a:ext uri="{FF2B5EF4-FFF2-40B4-BE49-F238E27FC236}">
              <a16:creationId xmlns:a16="http://schemas.microsoft.com/office/drawing/2014/main" id="{942B61FD-3DFE-4C29-B553-193DF58D9D9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3" name="Picture 183" descr="C:\pini\VolareSQL\images\linha.gif">
          <a:extLst>
            <a:ext uri="{FF2B5EF4-FFF2-40B4-BE49-F238E27FC236}">
              <a16:creationId xmlns:a16="http://schemas.microsoft.com/office/drawing/2014/main" id="{B2BFE0E4-4E99-45F1-B16D-F56147B9D7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4" name="Picture 184" descr="C:\pini\VolareSQL\images\linha.gif">
          <a:extLst>
            <a:ext uri="{FF2B5EF4-FFF2-40B4-BE49-F238E27FC236}">
              <a16:creationId xmlns:a16="http://schemas.microsoft.com/office/drawing/2014/main" id="{43A10ED2-4E3A-421E-8FBC-FD0CC27FBD7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5" name="Picture 185" descr="C:\pini\VolareSQL\images\linha.gif">
          <a:extLst>
            <a:ext uri="{FF2B5EF4-FFF2-40B4-BE49-F238E27FC236}">
              <a16:creationId xmlns:a16="http://schemas.microsoft.com/office/drawing/2014/main" id="{B3725E78-6BE5-4ABA-94C1-AC672BB47B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6" name="Picture 186" descr="C:\pini\VolareSQL\images\linha.gif">
          <a:extLst>
            <a:ext uri="{FF2B5EF4-FFF2-40B4-BE49-F238E27FC236}">
              <a16:creationId xmlns:a16="http://schemas.microsoft.com/office/drawing/2014/main" id="{EEA9A04A-7C9C-40C5-844E-975BEE9DDBE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7" name="Picture 187" descr="C:\pini\VolareSQL\images\linha.gif">
          <a:extLst>
            <a:ext uri="{FF2B5EF4-FFF2-40B4-BE49-F238E27FC236}">
              <a16:creationId xmlns:a16="http://schemas.microsoft.com/office/drawing/2014/main" id="{D1F3F790-8C75-4E51-AE69-4FE50ADA546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8" name="Picture 188" descr="C:\pini\VolareSQL\images\linha.gif">
          <a:extLst>
            <a:ext uri="{FF2B5EF4-FFF2-40B4-BE49-F238E27FC236}">
              <a16:creationId xmlns:a16="http://schemas.microsoft.com/office/drawing/2014/main" id="{0CDFA1C5-E1E2-4F72-AB7C-93EF36FF3F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89" name="Picture 189" descr="C:\pini\VolareSQL\images\linha.gif">
          <a:extLst>
            <a:ext uri="{FF2B5EF4-FFF2-40B4-BE49-F238E27FC236}">
              <a16:creationId xmlns:a16="http://schemas.microsoft.com/office/drawing/2014/main" id="{38E7947A-C11F-46FD-A79A-2508B62CB1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0" name="Picture 190" descr="C:\pini\VolareSQL\images\linha.gif">
          <a:extLst>
            <a:ext uri="{FF2B5EF4-FFF2-40B4-BE49-F238E27FC236}">
              <a16:creationId xmlns:a16="http://schemas.microsoft.com/office/drawing/2014/main" id="{F8144C54-4904-453F-9275-827DE60280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1" name="Picture 191" descr="C:\pini\VolareSQL\images\linha.gif">
          <a:extLst>
            <a:ext uri="{FF2B5EF4-FFF2-40B4-BE49-F238E27FC236}">
              <a16:creationId xmlns:a16="http://schemas.microsoft.com/office/drawing/2014/main" id="{4E266655-25F6-4B1D-ABF7-2B2FBFE28F8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2" name="Picture 192" descr="C:\pini\VolareSQL\images\linha.gif">
          <a:extLst>
            <a:ext uri="{FF2B5EF4-FFF2-40B4-BE49-F238E27FC236}">
              <a16:creationId xmlns:a16="http://schemas.microsoft.com/office/drawing/2014/main" id="{65CA5E5B-8A87-4FCE-B9CA-7BC9319C4E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3" name="Picture 193" descr="C:\pini\VolareSQL\images\linha.gif">
          <a:extLst>
            <a:ext uri="{FF2B5EF4-FFF2-40B4-BE49-F238E27FC236}">
              <a16:creationId xmlns:a16="http://schemas.microsoft.com/office/drawing/2014/main" id="{5F5FEFA1-1913-4D34-92A4-3D774D8146F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4" name="Picture 194" descr="C:\pini\VolareSQL\images\linha.gif">
          <a:extLst>
            <a:ext uri="{FF2B5EF4-FFF2-40B4-BE49-F238E27FC236}">
              <a16:creationId xmlns:a16="http://schemas.microsoft.com/office/drawing/2014/main" id="{588AA881-DEF5-4748-9200-73269F82954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5" name="Picture 195" descr="C:\pini\VolareSQL\images\linha.gif">
          <a:extLst>
            <a:ext uri="{FF2B5EF4-FFF2-40B4-BE49-F238E27FC236}">
              <a16:creationId xmlns:a16="http://schemas.microsoft.com/office/drawing/2014/main" id="{E986054F-479C-4764-8D3E-25BDB17671F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6" name="Picture 196" descr="C:\pini\VolareSQL\images\linha.gif">
          <a:extLst>
            <a:ext uri="{FF2B5EF4-FFF2-40B4-BE49-F238E27FC236}">
              <a16:creationId xmlns:a16="http://schemas.microsoft.com/office/drawing/2014/main" id="{46ADA5C3-62F5-4F9B-A694-44C6542D45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7" name="Picture 197" descr="C:\pini\VolareSQL\images\linha.gif">
          <a:extLst>
            <a:ext uri="{FF2B5EF4-FFF2-40B4-BE49-F238E27FC236}">
              <a16:creationId xmlns:a16="http://schemas.microsoft.com/office/drawing/2014/main" id="{A16861EC-1D48-45F0-A087-6CB4F7F2EAB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8" name="Picture 198" descr="C:\pini\VolareSQL\images\linha.gif">
          <a:extLst>
            <a:ext uri="{FF2B5EF4-FFF2-40B4-BE49-F238E27FC236}">
              <a16:creationId xmlns:a16="http://schemas.microsoft.com/office/drawing/2014/main" id="{8C64C08D-A818-4518-88F4-6D9969229B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99" name="Picture 199" descr="C:\pini\VolareSQL\images\linha.gif">
          <a:extLst>
            <a:ext uri="{FF2B5EF4-FFF2-40B4-BE49-F238E27FC236}">
              <a16:creationId xmlns:a16="http://schemas.microsoft.com/office/drawing/2014/main" id="{3437BB7B-A8A7-4AA9-B790-DB22AC76E1D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0" name="Picture 200" descr="C:\pini\VolareSQL\images\linha.gif">
          <a:extLst>
            <a:ext uri="{FF2B5EF4-FFF2-40B4-BE49-F238E27FC236}">
              <a16:creationId xmlns:a16="http://schemas.microsoft.com/office/drawing/2014/main" id="{6C39D77C-911C-4F50-AAFD-A5257653DC5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1" name="Picture 201" descr="C:\pini\VolareSQL\images\linha.gif">
          <a:extLst>
            <a:ext uri="{FF2B5EF4-FFF2-40B4-BE49-F238E27FC236}">
              <a16:creationId xmlns:a16="http://schemas.microsoft.com/office/drawing/2014/main" id="{A64791AC-499D-471B-963D-D8A2ECD7AED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2" name="Picture 202" descr="C:\pini\VolareSQL\images\linha.gif">
          <a:extLst>
            <a:ext uri="{FF2B5EF4-FFF2-40B4-BE49-F238E27FC236}">
              <a16:creationId xmlns:a16="http://schemas.microsoft.com/office/drawing/2014/main" id="{0599820B-7368-42E7-B436-0303A39DED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3" name="Picture 203" descr="C:\pini\VolareSQL\images\linha.gif">
          <a:extLst>
            <a:ext uri="{FF2B5EF4-FFF2-40B4-BE49-F238E27FC236}">
              <a16:creationId xmlns:a16="http://schemas.microsoft.com/office/drawing/2014/main" id="{A84AB3D9-F89B-4986-B647-800F2031DAC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4" name="Picture 204" descr="C:\pini\VolareSQL\images\linha.gif">
          <a:extLst>
            <a:ext uri="{FF2B5EF4-FFF2-40B4-BE49-F238E27FC236}">
              <a16:creationId xmlns:a16="http://schemas.microsoft.com/office/drawing/2014/main" id="{A57AB177-621E-4290-B13F-4A97217FBEE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5" name="Picture 205" descr="C:\pini\VolareSQL\images\linha.gif">
          <a:extLst>
            <a:ext uri="{FF2B5EF4-FFF2-40B4-BE49-F238E27FC236}">
              <a16:creationId xmlns:a16="http://schemas.microsoft.com/office/drawing/2014/main" id="{CB2BC22B-31D0-4620-B340-17B84FD42F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6" name="Picture 206" descr="C:\pini\VolareSQL\images\linha.gif">
          <a:extLst>
            <a:ext uri="{FF2B5EF4-FFF2-40B4-BE49-F238E27FC236}">
              <a16:creationId xmlns:a16="http://schemas.microsoft.com/office/drawing/2014/main" id="{20EC8D01-1383-4FFE-9761-6E5E3C8A363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7" name="Picture 207" descr="C:\pini\VolareSQL\images\linha.gif">
          <a:extLst>
            <a:ext uri="{FF2B5EF4-FFF2-40B4-BE49-F238E27FC236}">
              <a16:creationId xmlns:a16="http://schemas.microsoft.com/office/drawing/2014/main" id="{F6B0BB2B-CF50-480C-AA9A-21D8DADDBA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8" name="Picture 208" descr="C:\pini\VolareSQL\images\linha.gif">
          <a:extLst>
            <a:ext uri="{FF2B5EF4-FFF2-40B4-BE49-F238E27FC236}">
              <a16:creationId xmlns:a16="http://schemas.microsoft.com/office/drawing/2014/main" id="{63BCDDCA-6F96-42EF-8455-40D9F1BB5D0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09" name="Picture 209" descr="C:\pini\VolareSQL\images\linha.gif">
          <a:extLst>
            <a:ext uri="{FF2B5EF4-FFF2-40B4-BE49-F238E27FC236}">
              <a16:creationId xmlns:a16="http://schemas.microsoft.com/office/drawing/2014/main" id="{DD3F1642-D07F-4E3B-970C-63C95690F6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0" name="Picture 210" descr="C:\pini\VolareSQL\images\linha.gif">
          <a:extLst>
            <a:ext uri="{FF2B5EF4-FFF2-40B4-BE49-F238E27FC236}">
              <a16:creationId xmlns:a16="http://schemas.microsoft.com/office/drawing/2014/main" id="{3FD32BCB-64AF-42A2-984B-9C5A8716338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1" name="Picture 211" descr="C:\pini\VolareSQL\images\linha.gif">
          <a:extLst>
            <a:ext uri="{FF2B5EF4-FFF2-40B4-BE49-F238E27FC236}">
              <a16:creationId xmlns:a16="http://schemas.microsoft.com/office/drawing/2014/main" id="{D7622C86-8A8E-47C1-85D6-1C50148AAC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2" name="Picture 212" descr="C:\pini\VolareSQL\images\linha.gif">
          <a:extLst>
            <a:ext uri="{FF2B5EF4-FFF2-40B4-BE49-F238E27FC236}">
              <a16:creationId xmlns:a16="http://schemas.microsoft.com/office/drawing/2014/main" id="{209F951B-166B-41D0-B8D2-767F55FB9E9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3" name="Picture 213" descr="C:\pini\VolareSQL\images\linha.gif">
          <a:extLst>
            <a:ext uri="{FF2B5EF4-FFF2-40B4-BE49-F238E27FC236}">
              <a16:creationId xmlns:a16="http://schemas.microsoft.com/office/drawing/2014/main" id="{EE7A1DB2-4A3D-4398-9B78-EA5342D343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4" name="Picture 214" descr="C:\pini\VolareSQL\images\linha.gif">
          <a:extLst>
            <a:ext uri="{FF2B5EF4-FFF2-40B4-BE49-F238E27FC236}">
              <a16:creationId xmlns:a16="http://schemas.microsoft.com/office/drawing/2014/main" id="{8CB3CC7E-9ABF-4CDF-AD89-FD78CF202C4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5" name="Picture 215" descr="C:\pini\VolareSQL\images\linha.gif">
          <a:extLst>
            <a:ext uri="{FF2B5EF4-FFF2-40B4-BE49-F238E27FC236}">
              <a16:creationId xmlns:a16="http://schemas.microsoft.com/office/drawing/2014/main" id="{C0074F95-99CE-4104-83D6-B906577CBF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6" name="Picture 216" descr="C:\pini\VolareSQL\images\linha.gif">
          <a:extLst>
            <a:ext uri="{FF2B5EF4-FFF2-40B4-BE49-F238E27FC236}">
              <a16:creationId xmlns:a16="http://schemas.microsoft.com/office/drawing/2014/main" id="{518343FA-A7B3-4E8F-AFD0-3048D9F12A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7" name="Picture 217" descr="C:\pini\VolareSQL\images\linha.gif">
          <a:extLst>
            <a:ext uri="{FF2B5EF4-FFF2-40B4-BE49-F238E27FC236}">
              <a16:creationId xmlns:a16="http://schemas.microsoft.com/office/drawing/2014/main" id="{89C7055E-762F-445B-B3A0-B8F8F607CE7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8" name="Picture 218" descr="C:\pini\VolareSQL\images\linha.gif">
          <a:extLst>
            <a:ext uri="{FF2B5EF4-FFF2-40B4-BE49-F238E27FC236}">
              <a16:creationId xmlns:a16="http://schemas.microsoft.com/office/drawing/2014/main" id="{BB42C512-9827-4307-B87C-DA4DCEBE25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19" name="Picture 219" descr="C:\pini\VolareSQL\images\linha.gif">
          <a:extLst>
            <a:ext uri="{FF2B5EF4-FFF2-40B4-BE49-F238E27FC236}">
              <a16:creationId xmlns:a16="http://schemas.microsoft.com/office/drawing/2014/main" id="{A921F5B6-6ADE-45C3-A9F2-8E6108BBA8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0" name="Picture 220" descr="C:\pini\VolareSQL\images\linha.gif">
          <a:extLst>
            <a:ext uri="{FF2B5EF4-FFF2-40B4-BE49-F238E27FC236}">
              <a16:creationId xmlns:a16="http://schemas.microsoft.com/office/drawing/2014/main" id="{E8997B4C-A4C3-490C-86DA-4DEDD90E8E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1" name="Picture 221" descr="C:\pini\VolareSQL\images\linha.gif">
          <a:extLst>
            <a:ext uri="{FF2B5EF4-FFF2-40B4-BE49-F238E27FC236}">
              <a16:creationId xmlns:a16="http://schemas.microsoft.com/office/drawing/2014/main" id="{9D0206BE-EE45-43E6-B8BB-DF75898F8F5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2" name="Picture 222" descr="C:\pini\VolareSQL\images\linha.gif">
          <a:extLst>
            <a:ext uri="{FF2B5EF4-FFF2-40B4-BE49-F238E27FC236}">
              <a16:creationId xmlns:a16="http://schemas.microsoft.com/office/drawing/2014/main" id="{1AE33407-C607-4D3A-9157-18B67814FEA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3" name="Picture 223" descr="C:\pini\VolareSQL\images\linha.gif">
          <a:extLst>
            <a:ext uri="{FF2B5EF4-FFF2-40B4-BE49-F238E27FC236}">
              <a16:creationId xmlns:a16="http://schemas.microsoft.com/office/drawing/2014/main" id="{C889614D-2B94-4BCD-A4A6-4A54E1A260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4" name="Picture 224" descr="C:\pini\VolareSQL\images\linha.gif">
          <a:extLst>
            <a:ext uri="{FF2B5EF4-FFF2-40B4-BE49-F238E27FC236}">
              <a16:creationId xmlns:a16="http://schemas.microsoft.com/office/drawing/2014/main" id="{0833E594-3254-4ED6-8CB3-D1CA7190DDB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5" name="Picture 225" descr="C:\pini\VolareSQL\images\linha.gif">
          <a:extLst>
            <a:ext uri="{FF2B5EF4-FFF2-40B4-BE49-F238E27FC236}">
              <a16:creationId xmlns:a16="http://schemas.microsoft.com/office/drawing/2014/main" id="{15A60C84-9D0F-446D-8300-69B1E7C1002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6" name="Picture 226" descr="C:\pini\VolareSQL\images\linha.gif">
          <a:extLst>
            <a:ext uri="{FF2B5EF4-FFF2-40B4-BE49-F238E27FC236}">
              <a16:creationId xmlns:a16="http://schemas.microsoft.com/office/drawing/2014/main" id="{539FC740-DA15-4197-9D71-1DEA6483859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7" name="Picture 227" descr="C:\pini\VolareSQL\images\linha.gif">
          <a:extLst>
            <a:ext uri="{FF2B5EF4-FFF2-40B4-BE49-F238E27FC236}">
              <a16:creationId xmlns:a16="http://schemas.microsoft.com/office/drawing/2014/main" id="{05A815E6-30AA-4461-BB77-F6459177819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8" name="Picture 228" descr="C:\pini\VolareSQL\images\linha.gif">
          <a:extLst>
            <a:ext uri="{FF2B5EF4-FFF2-40B4-BE49-F238E27FC236}">
              <a16:creationId xmlns:a16="http://schemas.microsoft.com/office/drawing/2014/main" id="{203E5C9B-88B8-4AF6-9712-C4C443F73AA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29" name="Picture 229" descr="C:\pini\VolareSQL\images\linha.gif">
          <a:extLst>
            <a:ext uri="{FF2B5EF4-FFF2-40B4-BE49-F238E27FC236}">
              <a16:creationId xmlns:a16="http://schemas.microsoft.com/office/drawing/2014/main" id="{304FA63D-F40D-460B-BF3D-0107CE5EC56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0" name="Picture 230" descr="C:\pini\VolareSQL\images\linha.gif">
          <a:extLst>
            <a:ext uri="{FF2B5EF4-FFF2-40B4-BE49-F238E27FC236}">
              <a16:creationId xmlns:a16="http://schemas.microsoft.com/office/drawing/2014/main" id="{8D8EF971-3172-4492-A532-A49878015B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1" name="Picture 231" descr="C:\pini\VolareSQL\images\linha.gif">
          <a:extLst>
            <a:ext uri="{FF2B5EF4-FFF2-40B4-BE49-F238E27FC236}">
              <a16:creationId xmlns:a16="http://schemas.microsoft.com/office/drawing/2014/main" id="{9130FBE0-CD52-44CA-81B0-C37DE3320E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2" name="Picture 232" descr="C:\pini\VolareSQL\images\linha.gif">
          <a:extLst>
            <a:ext uri="{FF2B5EF4-FFF2-40B4-BE49-F238E27FC236}">
              <a16:creationId xmlns:a16="http://schemas.microsoft.com/office/drawing/2014/main" id="{6BF33CD8-1BDF-4675-ACC6-930166C69C5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3" name="Picture 233" descr="C:\pini\VolareSQL\images\linha.gif">
          <a:extLst>
            <a:ext uri="{FF2B5EF4-FFF2-40B4-BE49-F238E27FC236}">
              <a16:creationId xmlns:a16="http://schemas.microsoft.com/office/drawing/2014/main" id="{AD80EBB0-0215-4CAD-8318-681F867CF4E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4" name="Picture 234" descr="C:\pini\VolareSQL\images\linha.gif">
          <a:extLst>
            <a:ext uri="{FF2B5EF4-FFF2-40B4-BE49-F238E27FC236}">
              <a16:creationId xmlns:a16="http://schemas.microsoft.com/office/drawing/2014/main" id="{9EB175CE-C53B-4875-82AE-AA1909556BE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5" name="Picture 235" descr="C:\pini\VolareSQL\images\linha.gif">
          <a:extLst>
            <a:ext uri="{FF2B5EF4-FFF2-40B4-BE49-F238E27FC236}">
              <a16:creationId xmlns:a16="http://schemas.microsoft.com/office/drawing/2014/main" id="{7F51C5B5-DC12-4312-BC69-1A1B80F0A4D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6" name="Picture 236" descr="C:\pini\VolareSQL\images\linha.gif">
          <a:extLst>
            <a:ext uri="{FF2B5EF4-FFF2-40B4-BE49-F238E27FC236}">
              <a16:creationId xmlns:a16="http://schemas.microsoft.com/office/drawing/2014/main" id="{0308EDF9-49AB-4A7E-8552-DD1BA3FBF4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7" name="Picture 237" descr="C:\pini\VolareSQL\images\linha.gif">
          <a:extLst>
            <a:ext uri="{FF2B5EF4-FFF2-40B4-BE49-F238E27FC236}">
              <a16:creationId xmlns:a16="http://schemas.microsoft.com/office/drawing/2014/main" id="{AE8D58CA-6246-4F89-A38A-2A75E876D0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8" name="Picture 238" descr="C:\pini\VolareSQL\images\linha.gif">
          <a:extLst>
            <a:ext uri="{FF2B5EF4-FFF2-40B4-BE49-F238E27FC236}">
              <a16:creationId xmlns:a16="http://schemas.microsoft.com/office/drawing/2014/main" id="{2C0D326A-9785-49DA-B7E5-5C3CA146BC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39" name="Picture 239" descr="C:\pini\VolareSQL\images\linha.gif">
          <a:extLst>
            <a:ext uri="{FF2B5EF4-FFF2-40B4-BE49-F238E27FC236}">
              <a16:creationId xmlns:a16="http://schemas.microsoft.com/office/drawing/2014/main" id="{AED1C27B-B79C-47C5-AFCC-8BC8D7DEBF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0" name="Picture 240" descr="C:\pini\VolareSQL\images\linha.gif">
          <a:extLst>
            <a:ext uri="{FF2B5EF4-FFF2-40B4-BE49-F238E27FC236}">
              <a16:creationId xmlns:a16="http://schemas.microsoft.com/office/drawing/2014/main" id="{C6D2C8F9-0242-4139-A625-DD5B922F10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1" name="Picture 241" descr="C:\pini\VolareSQL\images\linha.gif">
          <a:extLst>
            <a:ext uri="{FF2B5EF4-FFF2-40B4-BE49-F238E27FC236}">
              <a16:creationId xmlns:a16="http://schemas.microsoft.com/office/drawing/2014/main" id="{52582C34-5A3E-48B6-B4A9-728AE94DB4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2" name="Picture 242" descr="C:\pini\VolareSQL\images\linha.gif">
          <a:extLst>
            <a:ext uri="{FF2B5EF4-FFF2-40B4-BE49-F238E27FC236}">
              <a16:creationId xmlns:a16="http://schemas.microsoft.com/office/drawing/2014/main" id="{F270F028-9BAB-4DE9-AB99-02E2625A31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3" name="Picture 243" descr="C:\pini\VolareSQL\images\linha.gif">
          <a:extLst>
            <a:ext uri="{FF2B5EF4-FFF2-40B4-BE49-F238E27FC236}">
              <a16:creationId xmlns:a16="http://schemas.microsoft.com/office/drawing/2014/main" id="{C8B8DBC0-DE96-4EC6-9B0C-3D31A2EE95C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4" name="Picture 244" descr="C:\pini\VolareSQL\images\linha.gif">
          <a:extLst>
            <a:ext uri="{FF2B5EF4-FFF2-40B4-BE49-F238E27FC236}">
              <a16:creationId xmlns:a16="http://schemas.microsoft.com/office/drawing/2014/main" id="{14B7C11F-46BB-4593-8208-CCA57B829EA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5" name="Picture 245" descr="C:\pini\VolareSQL\images\linha.gif">
          <a:extLst>
            <a:ext uri="{FF2B5EF4-FFF2-40B4-BE49-F238E27FC236}">
              <a16:creationId xmlns:a16="http://schemas.microsoft.com/office/drawing/2014/main" id="{89E368AC-F228-45E6-9C25-40043FF14A1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6" name="Picture 246" descr="C:\pini\VolareSQL\images\linha.gif">
          <a:extLst>
            <a:ext uri="{FF2B5EF4-FFF2-40B4-BE49-F238E27FC236}">
              <a16:creationId xmlns:a16="http://schemas.microsoft.com/office/drawing/2014/main" id="{E46F20E1-073F-4E33-90D3-A451F6DCB5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7" name="Picture 247" descr="C:\pini\VolareSQL\images\linha.gif">
          <a:extLst>
            <a:ext uri="{FF2B5EF4-FFF2-40B4-BE49-F238E27FC236}">
              <a16:creationId xmlns:a16="http://schemas.microsoft.com/office/drawing/2014/main" id="{1061C574-1269-4749-ACE5-1D5F8627071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8" name="Picture 248" descr="C:\pini\VolareSQL\images\linha.gif">
          <a:extLst>
            <a:ext uri="{FF2B5EF4-FFF2-40B4-BE49-F238E27FC236}">
              <a16:creationId xmlns:a16="http://schemas.microsoft.com/office/drawing/2014/main" id="{9ADE26AC-DD03-4386-81D4-A344834F2BC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49" name="Picture 249" descr="C:\pini\VolareSQL\images\linha.gif">
          <a:extLst>
            <a:ext uri="{FF2B5EF4-FFF2-40B4-BE49-F238E27FC236}">
              <a16:creationId xmlns:a16="http://schemas.microsoft.com/office/drawing/2014/main" id="{67D8D140-9C67-4315-BB62-1D81E7D1CA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0" name="Picture 250" descr="C:\pini\VolareSQL\images\linha.gif">
          <a:extLst>
            <a:ext uri="{FF2B5EF4-FFF2-40B4-BE49-F238E27FC236}">
              <a16:creationId xmlns:a16="http://schemas.microsoft.com/office/drawing/2014/main" id="{85F200C0-B329-4347-89C6-CA4A2BE779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1" name="Picture 251" descr="C:\pini\VolareSQL\images\linha.gif">
          <a:extLst>
            <a:ext uri="{FF2B5EF4-FFF2-40B4-BE49-F238E27FC236}">
              <a16:creationId xmlns:a16="http://schemas.microsoft.com/office/drawing/2014/main" id="{02DDCCB6-702C-42A8-AA35-569BC7DAA77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2" name="Picture 252" descr="C:\pini\VolareSQL\images\linha.gif">
          <a:extLst>
            <a:ext uri="{FF2B5EF4-FFF2-40B4-BE49-F238E27FC236}">
              <a16:creationId xmlns:a16="http://schemas.microsoft.com/office/drawing/2014/main" id="{C8D564EA-1220-4369-BCC2-4D74C3FD2DC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3" name="Picture 253" descr="C:\pini\VolareSQL\images\linha.gif">
          <a:extLst>
            <a:ext uri="{FF2B5EF4-FFF2-40B4-BE49-F238E27FC236}">
              <a16:creationId xmlns:a16="http://schemas.microsoft.com/office/drawing/2014/main" id="{1E3144B4-B785-4A5A-8124-642A5A2C512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4" name="Picture 254" descr="C:\pini\VolareSQL\images\linha.gif">
          <a:extLst>
            <a:ext uri="{FF2B5EF4-FFF2-40B4-BE49-F238E27FC236}">
              <a16:creationId xmlns:a16="http://schemas.microsoft.com/office/drawing/2014/main" id="{2F9480F0-9FDD-4C51-A222-B23F47C836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5" name="Picture 255" descr="C:\pini\VolareSQL\images\linha.gif">
          <a:extLst>
            <a:ext uri="{FF2B5EF4-FFF2-40B4-BE49-F238E27FC236}">
              <a16:creationId xmlns:a16="http://schemas.microsoft.com/office/drawing/2014/main" id="{02C53975-C890-4E92-85A9-30051854592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6" name="Picture 256" descr="C:\pini\VolareSQL\images\linha.gif">
          <a:extLst>
            <a:ext uri="{FF2B5EF4-FFF2-40B4-BE49-F238E27FC236}">
              <a16:creationId xmlns:a16="http://schemas.microsoft.com/office/drawing/2014/main" id="{80286B9D-981D-4502-BA14-73FED2DCFBA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7" name="Picture 257" descr="C:\pini\VolareSQL\images\linha.gif">
          <a:extLst>
            <a:ext uri="{FF2B5EF4-FFF2-40B4-BE49-F238E27FC236}">
              <a16:creationId xmlns:a16="http://schemas.microsoft.com/office/drawing/2014/main" id="{D96F8191-A98B-4C01-B5C4-41E15E1C41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8" name="Picture 258" descr="C:\pini\VolareSQL\images\linha.gif">
          <a:extLst>
            <a:ext uri="{FF2B5EF4-FFF2-40B4-BE49-F238E27FC236}">
              <a16:creationId xmlns:a16="http://schemas.microsoft.com/office/drawing/2014/main" id="{1459B921-3B54-4F8A-8572-970898611EB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59" name="Picture 259" descr="C:\pini\VolareSQL\images\linha.gif">
          <a:extLst>
            <a:ext uri="{FF2B5EF4-FFF2-40B4-BE49-F238E27FC236}">
              <a16:creationId xmlns:a16="http://schemas.microsoft.com/office/drawing/2014/main" id="{65280F55-0A8A-4EDE-82D0-5592233DC55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0" name="Picture 2" descr="C:\pini\VolareSQL\images\linha.gif">
          <a:extLst>
            <a:ext uri="{FF2B5EF4-FFF2-40B4-BE49-F238E27FC236}">
              <a16:creationId xmlns:a16="http://schemas.microsoft.com/office/drawing/2014/main" id="{D79D513C-2F23-4262-81C6-A9956117B77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1" name="Picture 3" descr="C:\pini\VolareSQL\images\linha.gif">
          <a:extLst>
            <a:ext uri="{FF2B5EF4-FFF2-40B4-BE49-F238E27FC236}">
              <a16:creationId xmlns:a16="http://schemas.microsoft.com/office/drawing/2014/main" id="{F3FC0BFC-9325-471C-A656-911A33EFCC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2" name="Picture 4" descr="C:\pini\VolareSQL\images\linha.gif">
          <a:extLst>
            <a:ext uri="{FF2B5EF4-FFF2-40B4-BE49-F238E27FC236}">
              <a16:creationId xmlns:a16="http://schemas.microsoft.com/office/drawing/2014/main" id="{D8CA7B07-BF3A-4878-B5F4-2DBB99EB69A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3" name="Picture 5" descr="C:\pini\VolareSQL\images\linha.gif">
          <a:extLst>
            <a:ext uri="{FF2B5EF4-FFF2-40B4-BE49-F238E27FC236}">
              <a16:creationId xmlns:a16="http://schemas.microsoft.com/office/drawing/2014/main" id="{A99D6BA4-C55C-4D8D-A4A6-DE1879D593E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4" name="Picture 6" descr="C:\pini\VolareSQL\images\linha.gif">
          <a:extLst>
            <a:ext uri="{FF2B5EF4-FFF2-40B4-BE49-F238E27FC236}">
              <a16:creationId xmlns:a16="http://schemas.microsoft.com/office/drawing/2014/main" id="{63EA5E3B-F6C3-412C-A91F-10604BE9C8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5" name="Picture 7" descr="C:\pini\VolareSQL\images\linha.gif">
          <a:extLst>
            <a:ext uri="{FF2B5EF4-FFF2-40B4-BE49-F238E27FC236}">
              <a16:creationId xmlns:a16="http://schemas.microsoft.com/office/drawing/2014/main" id="{FFD10F71-F471-4C63-97E2-C4C063E7D4E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6" name="Picture 8" descr="C:\pini\VolareSQL\images\linha.gif">
          <a:extLst>
            <a:ext uri="{FF2B5EF4-FFF2-40B4-BE49-F238E27FC236}">
              <a16:creationId xmlns:a16="http://schemas.microsoft.com/office/drawing/2014/main" id="{13171CFA-5585-474F-995D-47D5E6AF64B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7" name="Picture 9" descr="C:\pini\VolareSQL\images\linha.gif">
          <a:extLst>
            <a:ext uri="{FF2B5EF4-FFF2-40B4-BE49-F238E27FC236}">
              <a16:creationId xmlns:a16="http://schemas.microsoft.com/office/drawing/2014/main" id="{A4B8519C-0520-49B4-9E24-947DF6B54E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8" name="Picture 10" descr="C:\pini\VolareSQL\images\linha.gif">
          <a:extLst>
            <a:ext uri="{FF2B5EF4-FFF2-40B4-BE49-F238E27FC236}">
              <a16:creationId xmlns:a16="http://schemas.microsoft.com/office/drawing/2014/main" id="{0C2FE6B4-1538-4F82-B178-C1E9D5AA095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69" name="Picture 11" descr="C:\pini\VolareSQL\images\linha.gif">
          <a:extLst>
            <a:ext uri="{FF2B5EF4-FFF2-40B4-BE49-F238E27FC236}">
              <a16:creationId xmlns:a16="http://schemas.microsoft.com/office/drawing/2014/main" id="{5C724D34-4540-4FF9-B38D-ED230F5B537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0" name="Picture 12" descr="C:\pini\VolareSQL\images\linha.gif">
          <a:extLst>
            <a:ext uri="{FF2B5EF4-FFF2-40B4-BE49-F238E27FC236}">
              <a16:creationId xmlns:a16="http://schemas.microsoft.com/office/drawing/2014/main" id="{8A2DA917-F3D3-422F-849A-1ACAA91AAF9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1" name="Picture 13" descr="C:\pini\VolareSQL\images\linha.gif">
          <a:extLst>
            <a:ext uri="{FF2B5EF4-FFF2-40B4-BE49-F238E27FC236}">
              <a16:creationId xmlns:a16="http://schemas.microsoft.com/office/drawing/2014/main" id="{289F9436-13F8-4FBB-8C70-91418BF388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2" name="Picture 14" descr="C:\pini\VolareSQL\images\linha.gif">
          <a:extLst>
            <a:ext uri="{FF2B5EF4-FFF2-40B4-BE49-F238E27FC236}">
              <a16:creationId xmlns:a16="http://schemas.microsoft.com/office/drawing/2014/main" id="{C82EE797-2F57-4834-AF18-7F2E76944B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3" name="Picture 15" descr="C:\pini\VolareSQL\images\linha.gif">
          <a:extLst>
            <a:ext uri="{FF2B5EF4-FFF2-40B4-BE49-F238E27FC236}">
              <a16:creationId xmlns:a16="http://schemas.microsoft.com/office/drawing/2014/main" id="{41AA1464-6E77-41E0-80DA-2013032E09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4" name="Picture 16" descr="C:\pini\VolareSQL\images\linha.gif">
          <a:extLst>
            <a:ext uri="{FF2B5EF4-FFF2-40B4-BE49-F238E27FC236}">
              <a16:creationId xmlns:a16="http://schemas.microsoft.com/office/drawing/2014/main" id="{013DE582-2215-44DF-B451-4DC8C427DD7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5" name="Picture 17" descr="C:\pini\VolareSQL\images\linha.gif">
          <a:extLst>
            <a:ext uri="{FF2B5EF4-FFF2-40B4-BE49-F238E27FC236}">
              <a16:creationId xmlns:a16="http://schemas.microsoft.com/office/drawing/2014/main" id="{F08EEED2-452C-41F6-95F4-4C467AA13A4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6" name="Picture 18" descr="C:\pini\VolareSQL\images\linha.gif">
          <a:extLst>
            <a:ext uri="{FF2B5EF4-FFF2-40B4-BE49-F238E27FC236}">
              <a16:creationId xmlns:a16="http://schemas.microsoft.com/office/drawing/2014/main" id="{F8D095BC-7A06-4D83-A13C-CB326A537E6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7" name="Picture 19" descr="C:\pini\VolareSQL\images\linha.gif">
          <a:extLst>
            <a:ext uri="{FF2B5EF4-FFF2-40B4-BE49-F238E27FC236}">
              <a16:creationId xmlns:a16="http://schemas.microsoft.com/office/drawing/2014/main" id="{C43A3913-B056-465A-B4E8-5A94A49B882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8" name="Picture 20" descr="C:\pini\VolareSQL\images\linha.gif">
          <a:extLst>
            <a:ext uri="{FF2B5EF4-FFF2-40B4-BE49-F238E27FC236}">
              <a16:creationId xmlns:a16="http://schemas.microsoft.com/office/drawing/2014/main" id="{F8AA69ED-849F-4B09-A168-048E9449498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79" name="Picture 21" descr="C:\pini\VolareSQL\images\linha.gif">
          <a:extLst>
            <a:ext uri="{FF2B5EF4-FFF2-40B4-BE49-F238E27FC236}">
              <a16:creationId xmlns:a16="http://schemas.microsoft.com/office/drawing/2014/main" id="{1E7A3CEE-FE3F-4FB3-9246-1B9F1CD3C4D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0" name="Picture 22" descr="C:\pini\VolareSQL\images\linha.gif">
          <a:extLst>
            <a:ext uri="{FF2B5EF4-FFF2-40B4-BE49-F238E27FC236}">
              <a16:creationId xmlns:a16="http://schemas.microsoft.com/office/drawing/2014/main" id="{ED0142FA-E23C-4117-B0A1-0B85B13305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1" name="Picture 23" descr="C:\pini\VolareSQL\images\linha.gif">
          <a:extLst>
            <a:ext uri="{FF2B5EF4-FFF2-40B4-BE49-F238E27FC236}">
              <a16:creationId xmlns:a16="http://schemas.microsoft.com/office/drawing/2014/main" id="{0D8DD460-02E2-4861-B621-82C95A8E2C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2" name="Picture 24" descr="C:\pini\VolareSQL\images\linha.gif">
          <a:extLst>
            <a:ext uri="{FF2B5EF4-FFF2-40B4-BE49-F238E27FC236}">
              <a16:creationId xmlns:a16="http://schemas.microsoft.com/office/drawing/2014/main" id="{F3E37372-A952-47B8-BEEE-3D8B3DA3E0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3" name="Picture 25" descr="C:\pini\VolareSQL\images\linha.gif">
          <a:extLst>
            <a:ext uri="{FF2B5EF4-FFF2-40B4-BE49-F238E27FC236}">
              <a16:creationId xmlns:a16="http://schemas.microsoft.com/office/drawing/2014/main" id="{DF43B3E3-924D-43B3-9E3D-CDA93CDA5ED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4" name="Picture 26" descr="C:\pini\VolareSQL\images\linha.gif">
          <a:extLst>
            <a:ext uri="{FF2B5EF4-FFF2-40B4-BE49-F238E27FC236}">
              <a16:creationId xmlns:a16="http://schemas.microsoft.com/office/drawing/2014/main" id="{400A6035-EA1B-414C-AA6C-1A470C4FA07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5" name="Picture 27" descr="C:\pini\VolareSQL\images\linha.gif">
          <a:extLst>
            <a:ext uri="{FF2B5EF4-FFF2-40B4-BE49-F238E27FC236}">
              <a16:creationId xmlns:a16="http://schemas.microsoft.com/office/drawing/2014/main" id="{C0B4EB0B-168B-41EA-B9C3-5A65CB8E45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6" name="Picture 28" descr="C:\pini\VolareSQL\images\linha.gif">
          <a:extLst>
            <a:ext uri="{FF2B5EF4-FFF2-40B4-BE49-F238E27FC236}">
              <a16:creationId xmlns:a16="http://schemas.microsoft.com/office/drawing/2014/main" id="{D0008348-18C6-478A-85CB-7D33EEFFC06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7" name="Picture 29" descr="C:\pini\VolareSQL\images\linha.gif">
          <a:extLst>
            <a:ext uri="{FF2B5EF4-FFF2-40B4-BE49-F238E27FC236}">
              <a16:creationId xmlns:a16="http://schemas.microsoft.com/office/drawing/2014/main" id="{5950EE83-6C89-4CBF-8FB1-80536B9E83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8" name="Picture 30" descr="C:\pini\VolareSQL\images\linha.gif">
          <a:extLst>
            <a:ext uri="{FF2B5EF4-FFF2-40B4-BE49-F238E27FC236}">
              <a16:creationId xmlns:a16="http://schemas.microsoft.com/office/drawing/2014/main" id="{244F4225-D93E-490C-9203-0C544DF68AD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89" name="Picture 31" descr="C:\pini\VolareSQL\images\linha.gif">
          <a:extLst>
            <a:ext uri="{FF2B5EF4-FFF2-40B4-BE49-F238E27FC236}">
              <a16:creationId xmlns:a16="http://schemas.microsoft.com/office/drawing/2014/main" id="{7DCD0C54-4BFD-45D3-9329-8853420E14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0" name="Picture 32" descr="C:\pini\VolareSQL\images\linha.gif">
          <a:extLst>
            <a:ext uri="{FF2B5EF4-FFF2-40B4-BE49-F238E27FC236}">
              <a16:creationId xmlns:a16="http://schemas.microsoft.com/office/drawing/2014/main" id="{AAB3777F-D45E-46F3-9830-F6A0ED014C1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1" name="Picture 33" descr="C:\pini\VolareSQL\images\linha.gif">
          <a:extLst>
            <a:ext uri="{FF2B5EF4-FFF2-40B4-BE49-F238E27FC236}">
              <a16:creationId xmlns:a16="http://schemas.microsoft.com/office/drawing/2014/main" id="{497D3DA9-2FD9-4C20-92FC-700D380195F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2" name="Picture 34" descr="C:\pini\VolareSQL\images\linha.gif">
          <a:extLst>
            <a:ext uri="{FF2B5EF4-FFF2-40B4-BE49-F238E27FC236}">
              <a16:creationId xmlns:a16="http://schemas.microsoft.com/office/drawing/2014/main" id="{700CF849-A8D8-4054-BEDD-2A275866E9A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3" name="Picture 35" descr="C:\pini\VolareSQL\images\linha.gif">
          <a:extLst>
            <a:ext uri="{FF2B5EF4-FFF2-40B4-BE49-F238E27FC236}">
              <a16:creationId xmlns:a16="http://schemas.microsoft.com/office/drawing/2014/main" id="{70349F5A-3875-4274-A44A-600EC167E2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4" name="Picture 36" descr="C:\pini\VolareSQL\images\linha.gif">
          <a:extLst>
            <a:ext uri="{FF2B5EF4-FFF2-40B4-BE49-F238E27FC236}">
              <a16:creationId xmlns:a16="http://schemas.microsoft.com/office/drawing/2014/main" id="{2D2BDFDE-FA72-4ABC-AE7A-6E5C3A70F8D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5" name="Picture 37" descr="C:\pini\VolareSQL\images\linha.gif">
          <a:extLst>
            <a:ext uri="{FF2B5EF4-FFF2-40B4-BE49-F238E27FC236}">
              <a16:creationId xmlns:a16="http://schemas.microsoft.com/office/drawing/2014/main" id="{A1555E83-16DD-4EC9-90DD-CF22B780A49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6" name="Picture 38" descr="C:\pini\VolareSQL\images\linha.gif">
          <a:extLst>
            <a:ext uri="{FF2B5EF4-FFF2-40B4-BE49-F238E27FC236}">
              <a16:creationId xmlns:a16="http://schemas.microsoft.com/office/drawing/2014/main" id="{B06C1EF8-412E-415D-B701-A1E914B8529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7" name="Picture 39" descr="C:\pini\VolareSQL\images\linha.gif">
          <a:extLst>
            <a:ext uri="{FF2B5EF4-FFF2-40B4-BE49-F238E27FC236}">
              <a16:creationId xmlns:a16="http://schemas.microsoft.com/office/drawing/2014/main" id="{E33F3662-A841-4B2B-A1B5-24FBE57BDEC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8" name="Picture 40" descr="C:\pini\VolareSQL\images\linha.gif">
          <a:extLst>
            <a:ext uri="{FF2B5EF4-FFF2-40B4-BE49-F238E27FC236}">
              <a16:creationId xmlns:a16="http://schemas.microsoft.com/office/drawing/2014/main" id="{38973906-A6DC-41D9-97E1-69293F3A286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299" name="Picture 41" descr="C:\pini\VolareSQL\images\linha.gif">
          <a:extLst>
            <a:ext uri="{FF2B5EF4-FFF2-40B4-BE49-F238E27FC236}">
              <a16:creationId xmlns:a16="http://schemas.microsoft.com/office/drawing/2014/main" id="{9CB34FEB-537D-4739-9C39-6594EEF9C9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0" name="Picture 42" descr="C:\pini\VolareSQL\images\linha.gif">
          <a:extLst>
            <a:ext uri="{FF2B5EF4-FFF2-40B4-BE49-F238E27FC236}">
              <a16:creationId xmlns:a16="http://schemas.microsoft.com/office/drawing/2014/main" id="{282D5990-1CC3-46D5-A041-1C7DBD78509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1" name="Picture 43" descr="C:\pini\VolareSQL\images\linha.gif">
          <a:extLst>
            <a:ext uri="{FF2B5EF4-FFF2-40B4-BE49-F238E27FC236}">
              <a16:creationId xmlns:a16="http://schemas.microsoft.com/office/drawing/2014/main" id="{9EBA2238-591D-4A78-9C9B-1665F43AB77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2" name="Picture 44" descr="C:\pini\VolareSQL\images\linha.gif">
          <a:extLst>
            <a:ext uri="{FF2B5EF4-FFF2-40B4-BE49-F238E27FC236}">
              <a16:creationId xmlns:a16="http://schemas.microsoft.com/office/drawing/2014/main" id="{32357E59-016C-49EC-96F8-2D11948FDBF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3" name="Picture 45" descr="C:\pini\VolareSQL\images\linha.gif">
          <a:extLst>
            <a:ext uri="{FF2B5EF4-FFF2-40B4-BE49-F238E27FC236}">
              <a16:creationId xmlns:a16="http://schemas.microsoft.com/office/drawing/2014/main" id="{8E350153-2B13-4549-87F6-9650291BC46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4" name="Picture 46" descr="C:\pini\VolareSQL\images\linha.gif">
          <a:extLst>
            <a:ext uri="{FF2B5EF4-FFF2-40B4-BE49-F238E27FC236}">
              <a16:creationId xmlns:a16="http://schemas.microsoft.com/office/drawing/2014/main" id="{2E7498B7-9A86-4C9A-B8CA-CA913EE723A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5" name="Picture 47" descr="C:\pini\VolareSQL\images\linha.gif">
          <a:extLst>
            <a:ext uri="{FF2B5EF4-FFF2-40B4-BE49-F238E27FC236}">
              <a16:creationId xmlns:a16="http://schemas.microsoft.com/office/drawing/2014/main" id="{CF83CA3E-6773-43F3-8128-89573A33999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6" name="Picture 48" descr="C:\pini\VolareSQL\images\linha.gif">
          <a:extLst>
            <a:ext uri="{FF2B5EF4-FFF2-40B4-BE49-F238E27FC236}">
              <a16:creationId xmlns:a16="http://schemas.microsoft.com/office/drawing/2014/main" id="{03D25E67-1C22-4C05-9CAF-16F42EA0A96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7" name="Picture 49" descr="C:\pini\VolareSQL\images\linha.gif">
          <a:extLst>
            <a:ext uri="{FF2B5EF4-FFF2-40B4-BE49-F238E27FC236}">
              <a16:creationId xmlns:a16="http://schemas.microsoft.com/office/drawing/2014/main" id="{213FD954-FDF8-4128-8065-F970863CD5A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8" name="Picture 50" descr="C:\pini\VolareSQL\images\linha.gif">
          <a:extLst>
            <a:ext uri="{FF2B5EF4-FFF2-40B4-BE49-F238E27FC236}">
              <a16:creationId xmlns:a16="http://schemas.microsoft.com/office/drawing/2014/main" id="{F846489F-E0AE-48F2-8DF8-A7B3F7B1830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09" name="Picture 51" descr="C:\pini\VolareSQL\images\linha.gif">
          <a:extLst>
            <a:ext uri="{FF2B5EF4-FFF2-40B4-BE49-F238E27FC236}">
              <a16:creationId xmlns:a16="http://schemas.microsoft.com/office/drawing/2014/main" id="{A5348D89-CE24-4469-8BE3-383A15A1747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0" name="Picture 52" descr="C:\pini\VolareSQL\images\linha.gif">
          <a:extLst>
            <a:ext uri="{FF2B5EF4-FFF2-40B4-BE49-F238E27FC236}">
              <a16:creationId xmlns:a16="http://schemas.microsoft.com/office/drawing/2014/main" id="{EE2B11D2-B7FB-449A-AA2B-EB98B55D87E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1" name="Picture 53" descr="C:\pini\VolareSQL\images\linha.gif">
          <a:extLst>
            <a:ext uri="{FF2B5EF4-FFF2-40B4-BE49-F238E27FC236}">
              <a16:creationId xmlns:a16="http://schemas.microsoft.com/office/drawing/2014/main" id="{BAA3A7B7-9A91-42A9-B6F8-8280723FFD7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2" name="Picture 54" descr="C:\pini\VolareSQL\images\linha.gif">
          <a:extLst>
            <a:ext uri="{FF2B5EF4-FFF2-40B4-BE49-F238E27FC236}">
              <a16:creationId xmlns:a16="http://schemas.microsoft.com/office/drawing/2014/main" id="{5AB774EE-54DD-44A9-8624-C6086B2049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3" name="Picture 55" descr="C:\pini\VolareSQL\images\linha.gif">
          <a:extLst>
            <a:ext uri="{FF2B5EF4-FFF2-40B4-BE49-F238E27FC236}">
              <a16:creationId xmlns:a16="http://schemas.microsoft.com/office/drawing/2014/main" id="{B61775A0-9A2E-411E-A3A9-70F0BFD80C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4" name="Picture 56" descr="C:\pini\VolareSQL\images\linha.gif">
          <a:extLst>
            <a:ext uri="{FF2B5EF4-FFF2-40B4-BE49-F238E27FC236}">
              <a16:creationId xmlns:a16="http://schemas.microsoft.com/office/drawing/2014/main" id="{EDAC3A48-9C65-49FF-A72D-F8C559BA58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5" name="Picture 57" descr="C:\pini\VolareSQL\images\linha.gif">
          <a:extLst>
            <a:ext uri="{FF2B5EF4-FFF2-40B4-BE49-F238E27FC236}">
              <a16:creationId xmlns:a16="http://schemas.microsoft.com/office/drawing/2014/main" id="{43045807-492F-4ACB-ABD5-7152B3837A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6" name="Picture 58" descr="C:\pini\VolareSQL\images\linha.gif">
          <a:extLst>
            <a:ext uri="{FF2B5EF4-FFF2-40B4-BE49-F238E27FC236}">
              <a16:creationId xmlns:a16="http://schemas.microsoft.com/office/drawing/2014/main" id="{C67FBDBE-A814-4E86-AE92-5AE6F81B94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7" name="Picture 59" descr="C:\pini\VolareSQL\images\linha.gif">
          <a:extLst>
            <a:ext uri="{FF2B5EF4-FFF2-40B4-BE49-F238E27FC236}">
              <a16:creationId xmlns:a16="http://schemas.microsoft.com/office/drawing/2014/main" id="{4EBBC5BD-756C-43A3-BFDE-E2F73473A0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8" name="Picture 60" descr="C:\pini\VolareSQL\images\linha.gif">
          <a:extLst>
            <a:ext uri="{FF2B5EF4-FFF2-40B4-BE49-F238E27FC236}">
              <a16:creationId xmlns:a16="http://schemas.microsoft.com/office/drawing/2014/main" id="{A1AD4AD4-A82D-4551-83F9-5DB3DC4DC72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19" name="Picture 61" descr="C:\pini\VolareSQL\images\linha.gif">
          <a:extLst>
            <a:ext uri="{FF2B5EF4-FFF2-40B4-BE49-F238E27FC236}">
              <a16:creationId xmlns:a16="http://schemas.microsoft.com/office/drawing/2014/main" id="{3283F30A-6A98-4DCE-ADC4-B6EAE74DD3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0" name="Picture 62" descr="C:\pini\VolareSQL\images\linha.gif">
          <a:extLst>
            <a:ext uri="{FF2B5EF4-FFF2-40B4-BE49-F238E27FC236}">
              <a16:creationId xmlns:a16="http://schemas.microsoft.com/office/drawing/2014/main" id="{3FC06A41-D689-4B38-B288-57CDEEA88C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1" name="Picture 63" descr="C:\pini\VolareSQL\images\linha.gif">
          <a:extLst>
            <a:ext uri="{FF2B5EF4-FFF2-40B4-BE49-F238E27FC236}">
              <a16:creationId xmlns:a16="http://schemas.microsoft.com/office/drawing/2014/main" id="{A3B35C3C-362A-4EC0-8692-687EA935D7B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2" name="Picture 64" descr="C:\pini\VolareSQL\images\linha.gif">
          <a:extLst>
            <a:ext uri="{FF2B5EF4-FFF2-40B4-BE49-F238E27FC236}">
              <a16:creationId xmlns:a16="http://schemas.microsoft.com/office/drawing/2014/main" id="{76356532-6402-40DA-8443-A1302A03F8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3" name="Picture 65" descr="C:\pini\VolareSQL\images\linha.gif">
          <a:extLst>
            <a:ext uri="{FF2B5EF4-FFF2-40B4-BE49-F238E27FC236}">
              <a16:creationId xmlns:a16="http://schemas.microsoft.com/office/drawing/2014/main" id="{1957269B-3ADF-4A48-AFE0-2D4227F7AE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4" name="Picture 66" descr="C:\pini\VolareSQL\images\linha.gif">
          <a:extLst>
            <a:ext uri="{FF2B5EF4-FFF2-40B4-BE49-F238E27FC236}">
              <a16:creationId xmlns:a16="http://schemas.microsoft.com/office/drawing/2014/main" id="{09CDF7E3-0D46-41F1-BA32-40C6B58DB7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5" name="Picture 67" descr="C:\pini\VolareSQL\images\linha.gif">
          <a:extLst>
            <a:ext uri="{FF2B5EF4-FFF2-40B4-BE49-F238E27FC236}">
              <a16:creationId xmlns:a16="http://schemas.microsoft.com/office/drawing/2014/main" id="{548F8AE7-6DEA-4BBE-95C0-265DA7DF9FA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6" name="Picture 68" descr="C:\pini\VolareSQL\images\linha.gif">
          <a:extLst>
            <a:ext uri="{FF2B5EF4-FFF2-40B4-BE49-F238E27FC236}">
              <a16:creationId xmlns:a16="http://schemas.microsoft.com/office/drawing/2014/main" id="{9BE7BA40-D3AB-499F-B9C6-16B3CAFCA5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7" name="Picture 69" descr="C:\pini\VolareSQL\images\linha.gif">
          <a:extLst>
            <a:ext uri="{FF2B5EF4-FFF2-40B4-BE49-F238E27FC236}">
              <a16:creationId xmlns:a16="http://schemas.microsoft.com/office/drawing/2014/main" id="{001A6569-FADA-40DA-BC85-176A9160FD4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8" name="Picture 70" descr="C:\pini\VolareSQL\images\linha.gif">
          <a:extLst>
            <a:ext uri="{FF2B5EF4-FFF2-40B4-BE49-F238E27FC236}">
              <a16:creationId xmlns:a16="http://schemas.microsoft.com/office/drawing/2014/main" id="{4E8C69EB-07A5-48B9-BF5E-D651EBD762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29" name="Picture 71" descr="C:\pini\VolareSQL\images\linha.gif">
          <a:extLst>
            <a:ext uri="{FF2B5EF4-FFF2-40B4-BE49-F238E27FC236}">
              <a16:creationId xmlns:a16="http://schemas.microsoft.com/office/drawing/2014/main" id="{E9800F07-4D06-4F3D-9202-0090E61B434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0" name="Picture 72" descr="C:\pini\VolareSQL\images\linha.gif">
          <a:extLst>
            <a:ext uri="{FF2B5EF4-FFF2-40B4-BE49-F238E27FC236}">
              <a16:creationId xmlns:a16="http://schemas.microsoft.com/office/drawing/2014/main" id="{1A87252A-2D62-4508-9CB1-C8C1BDAEBCE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1" name="Picture 73" descr="C:\pini\VolareSQL\images\linha.gif">
          <a:extLst>
            <a:ext uri="{FF2B5EF4-FFF2-40B4-BE49-F238E27FC236}">
              <a16:creationId xmlns:a16="http://schemas.microsoft.com/office/drawing/2014/main" id="{DD4CEC93-70F6-48B0-A1B0-D2D1EE12C73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2" name="Picture 74" descr="C:\pini\VolareSQL\images\linha.gif">
          <a:extLst>
            <a:ext uri="{FF2B5EF4-FFF2-40B4-BE49-F238E27FC236}">
              <a16:creationId xmlns:a16="http://schemas.microsoft.com/office/drawing/2014/main" id="{BE030DD0-4C58-45D6-93C9-3ED3723BE7F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3" name="Picture 75" descr="C:\pini\VolareSQL\images\linha.gif">
          <a:extLst>
            <a:ext uri="{FF2B5EF4-FFF2-40B4-BE49-F238E27FC236}">
              <a16:creationId xmlns:a16="http://schemas.microsoft.com/office/drawing/2014/main" id="{01316F31-BD6B-45C3-945F-154EC4D327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4" name="Picture 76" descr="C:\pini\VolareSQL\images\linha.gif">
          <a:extLst>
            <a:ext uri="{FF2B5EF4-FFF2-40B4-BE49-F238E27FC236}">
              <a16:creationId xmlns:a16="http://schemas.microsoft.com/office/drawing/2014/main" id="{8C79F866-2D5D-4C6F-A4BB-258A733C156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5" name="Picture 77" descr="C:\pini\VolareSQL\images\linha.gif">
          <a:extLst>
            <a:ext uri="{FF2B5EF4-FFF2-40B4-BE49-F238E27FC236}">
              <a16:creationId xmlns:a16="http://schemas.microsoft.com/office/drawing/2014/main" id="{E017A60A-D966-4520-A021-766335E88D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6" name="Picture 78" descr="C:\pini\VolareSQL\images\linha.gif">
          <a:extLst>
            <a:ext uri="{FF2B5EF4-FFF2-40B4-BE49-F238E27FC236}">
              <a16:creationId xmlns:a16="http://schemas.microsoft.com/office/drawing/2014/main" id="{3A3FD792-41C1-4216-BE3E-4890503E86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7" name="Picture 79" descr="C:\pini\VolareSQL\images\linha.gif">
          <a:extLst>
            <a:ext uri="{FF2B5EF4-FFF2-40B4-BE49-F238E27FC236}">
              <a16:creationId xmlns:a16="http://schemas.microsoft.com/office/drawing/2014/main" id="{BF423326-19F9-473F-A2BC-117DD1FA8E8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8" name="Picture 80" descr="C:\pini\VolareSQL\images\linha.gif">
          <a:extLst>
            <a:ext uri="{FF2B5EF4-FFF2-40B4-BE49-F238E27FC236}">
              <a16:creationId xmlns:a16="http://schemas.microsoft.com/office/drawing/2014/main" id="{82F3CA64-ABCD-4C6A-A6F1-29097FA4B23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39" name="Picture 81" descr="C:\pini\VolareSQL\images\linha.gif">
          <a:extLst>
            <a:ext uri="{FF2B5EF4-FFF2-40B4-BE49-F238E27FC236}">
              <a16:creationId xmlns:a16="http://schemas.microsoft.com/office/drawing/2014/main" id="{B4106588-93DE-4A6A-B415-A45F8645F4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0" name="Picture 82" descr="C:\pini\VolareSQL\images\linha.gif">
          <a:extLst>
            <a:ext uri="{FF2B5EF4-FFF2-40B4-BE49-F238E27FC236}">
              <a16:creationId xmlns:a16="http://schemas.microsoft.com/office/drawing/2014/main" id="{E2E7D76B-A3DA-4C2F-9731-4980D07555B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1" name="Picture 83" descr="C:\pini\VolareSQL\images\linha.gif">
          <a:extLst>
            <a:ext uri="{FF2B5EF4-FFF2-40B4-BE49-F238E27FC236}">
              <a16:creationId xmlns:a16="http://schemas.microsoft.com/office/drawing/2014/main" id="{F761ACBD-4234-44E0-94C8-B0574FDC512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2" name="Picture 84" descr="C:\pini\VolareSQL\images\linha.gif">
          <a:extLst>
            <a:ext uri="{FF2B5EF4-FFF2-40B4-BE49-F238E27FC236}">
              <a16:creationId xmlns:a16="http://schemas.microsoft.com/office/drawing/2014/main" id="{1D4C075C-AF4A-437C-A9D5-682278A67F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3" name="Picture 85" descr="C:\pini\VolareSQL\images\linha.gif">
          <a:extLst>
            <a:ext uri="{FF2B5EF4-FFF2-40B4-BE49-F238E27FC236}">
              <a16:creationId xmlns:a16="http://schemas.microsoft.com/office/drawing/2014/main" id="{AF050FA5-30F6-4C3C-83C2-26D57E2D401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4" name="Picture 86" descr="C:\pini\VolareSQL\images\linha.gif">
          <a:extLst>
            <a:ext uri="{FF2B5EF4-FFF2-40B4-BE49-F238E27FC236}">
              <a16:creationId xmlns:a16="http://schemas.microsoft.com/office/drawing/2014/main" id="{60DB5BAD-B454-44EB-8298-3884361CB57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5" name="Picture 87" descr="C:\pini\VolareSQL\images\linha.gif">
          <a:extLst>
            <a:ext uri="{FF2B5EF4-FFF2-40B4-BE49-F238E27FC236}">
              <a16:creationId xmlns:a16="http://schemas.microsoft.com/office/drawing/2014/main" id="{22BD1E19-3AEE-46C4-A95C-975CE314BEA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6" name="Picture 88" descr="C:\pini\VolareSQL\images\linha.gif">
          <a:extLst>
            <a:ext uri="{FF2B5EF4-FFF2-40B4-BE49-F238E27FC236}">
              <a16:creationId xmlns:a16="http://schemas.microsoft.com/office/drawing/2014/main" id="{EC82E216-F985-41A9-8BE8-19E86BB745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7" name="Picture 89" descr="C:\pini\VolareSQL\images\linha.gif">
          <a:extLst>
            <a:ext uri="{FF2B5EF4-FFF2-40B4-BE49-F238E27FC236}">
              <a16:creationId xmlns:a16="http://schemas.microsoft.com/office/drawing/2014/main" id="{D030D4D8-C305-4539-84A5-D1D0C405C52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8" name="Picture 90" descr="C:\pini\VolareSQL\images\linha.gif">
          <a:extLst>
            <a:ext uri="{FF2B5EF4-FFF2-40B4-BE49-F238E27FC236}">
              <a16:creationId xmlns:a16="http://schemas.microsoft.com/office/drawing/2014/main" id="{0174E8A7-F7EF-4142-8BDD-12C8A38D7C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49" name="Picture 91" descr="C:\pini\VolareSQL\images\linha.gif">
          <a:extLst>
            <a:ext uri="{FF2B5EF4-FFF2-40B4-BE49-F238E27FC236}">
              <a16:creationId xmlns:a16="http://schemas.microsoft.com/office/drawing/2014/main" id="{4768AC82-5CFB-427F-B24B-FC66E521F08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0" name="Picture 92" descr="C:\pini\VolareSQL\images\linha.gif">
          <a:extLst>
            <a:ext uri="{FF2B5EF4-FFF2-40B4-BE49-F238E27FC236}">
              <a16:creationId xmlns:a16="http://schemas.microsoft.com/office/drawing/2014/main" id="{D92DE34E-BD45-4661-AF71-9553C1DE55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1" name="Picture 93" descr="C:\pini\VolareSQL\images\linha.gif">
          <a:extLst>
            <a:ext uri="{FF2B5EF4-FFF2-40B4-BE49-F238E27FC236}">
              <a16:creationId xmlns:a16="http://schemas.microsoft.com/office/drawing/2014/main" id="{B643B817-07AC-4853-B12D-93B57C8341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2" name="Picture 94" descr="C:\pini\VolareSQL\images\linha.gif">
          <a:extLst>
            <a:ext uri="{FF2B5EF4-FFF2-40B4-BE49-F238E27FC236}">
              <a16:creationId xmlns:a16="http://schemas.microsoft.com/office/drawing/2014/main" id="{B9F49A42-7BD6-49E9-826F-951D7553A8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3" name="Picture 95" descr="C:\pini\VolareSQL\images\linha.gif">
          <a:extLst>
            <a:ext uri="{FF2B5EF4-FFF2-40B4-BE49-F238E27FC236}">
              <a16:creationId xmlns:a16="http://schemas.microsoft.com/office/drawing/2014/main" id="{D5304C55-6BD0-4EC5-BD62-D4863930BD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4" name="Picture 96" descr="C:\pini\VolareSQL\images\linha.gif">
          <a:extLst>
            <a:ext uri="{FF2B5EF4-FFF2-40B4-BE49-F238E27FC236}">
              <a16:creationId xmlns:a16="http://schemas.microsoft.com/office/drawing/2014/main" id="{D14F30B4-9704-4CB2-A01B-A82CBB851F1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5" name="Picture 97" descr="C:\pini\VolareSQL\images\linha.gif">
          <a:extLst>
            <a:ext uri="{FF2B5EF4-FFF2-40B4-BE49-F238E27FC236}">
              <a16:creationId xmlns:a16="http://schemas.microsoft.com/office/drawing/2014/main" id="{C10CC611-1874-47CA-A2DB-1A462154EF2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6" name="Picture 98" descr="C:\pini\VolareSQL\images\linha.gif">
          <a:extLst>
            <a:ext uri="{FF2B5EF4-FFF2-40B4-BE49-F238E27FC236}">
              <a16:creationId xmlns:a16="http://schemas.microsoft.com/office/drawing/2014/main" id="{490CCAA6-C24E-4F75-ABE7-495058C790B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7" name="Picture 99" descr="C:\pini\VolareSQL\images\linha.gif">
          <a:extLst>
            <a:ext uri="{FF2B5EF4-FFF2-40B4-BE49-F238E27FC236}">
              <a16:creationId xmlns:a16="http://schemas.microsoft.com/office/drawing/2014/main" id="{89EE2659-C9CB-4E98-B1F4-71DCF6B79D1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8" name="Picture 100" descr="C:\pini\VolareSQL\images\linha.gif">
          <a:extLst>
            <a:ext uri="{FF2B5EF4-FFF2-40B4-BE49-F238E27FC236}">
              <a16:creationId xmlns:a16="http://schemas.microsoft.com/office/drawing/2014/main" id="{5A229161-5DDD-4730-B331-37693B4FC6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59" name="Picture 101" descr="C:\pini\VolareSQL\images\linha.gif">
          <a:extLst>
            <a:ext uri="{FF2B5EF4-FFF2-40B4-BE49-F238E27FC236}">
              <a16:creationId xmlns:a16="http://schemas.microsoft.com/office/drawing/2014/main" id="{A746A24A-933F-4B59-9065-609AEE93AC7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0" name="Picture 102" descr="C:\pini\VolareSQL\images\linha.gif">
          <a:extLst>
            <a:ext uri="{FF2B5EF4-FFF2-40B4-BE49-F238E27FC236}">
              <a16:creationId xmlns:a16="http://schemas.microsoft.com/office/drawing/2014/main" id="{4DD445E5-E53B-4901-A4B4-E5BFBEC2A0A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1" name="Picture 103" descr="C:\pini\VolareSQL\images\linha.gif">
          <a:extLst>
            <a:ext uri="{FF2B5EF4-FFF2-40B4-BE49-F238E27FC236}">
              <a16:creationId xmlns:a16="http://schemas.microsoft.com/office/drawing/2014/main" id="{5639119E-88D4-4540-96E4-613AA6B4793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2" name="Picture 104" descr="C:\pini\VolareSQL\images\linha.gif">
          <a:extLst>
            <a:ext uri="{FF2B5EF4-FFF2-40B4-BE49-F238E27FC236}">
              <a16:creationId xmlns:a16="http://schemas.microsoft.com/office/drawing/2014/main" id="{7E6BEE24-9096-49F6-BB84-EDE1ECDF4A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3" name="Picture 105" descr="C:\pini\VolareSQL\images\linha.gif">
          <a:extLst>
            <a:ext uri="{FF2B5EF4-FFF2-40B4-BE49-F238E27FC236}">
              <a16:creationId xmlns:a16="http://schemas.microsoft.com/office/drawing/2014/main" id="{A934F4A8-1C19-4943-B94B-D5C420BA64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4" name="Picture 106" descr="C:\pini\VolareSQL\images\linha.gif">
          <a:extLst>
            <a:ext uri="{FF2B5EF4-FFF2-40B4-BE49-F238E27FC236}">
              <a16:creationId xmlns:a16="http://schemas.microsoft.com/office/drawing/2014/main" id="{13FED8B3-8A5F-4916-B430-F61B316406A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5" name="Picture 107" descr="C:\pini\VolareSQL\images\linha.gif">
          <a:extLst>
            <a:ext uri="{FF2B5EF4-FFF2-40B4-BE49-F238E27FC236}">
              <a16:creationId xmlns:a16="http://schemas.microsoft.com/office/drawing/2014/main" id="{07FD16D1-4680-4BAC-BB2F-DD11A98F46F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6" name="Picture 108" descr="C:\pini\VolareSQL\images\linha.gif">
          <a:extLst>
            <a:ext uri="{FF2B5EF4-FFF2-40B4-BE49-F238E27FC236}">
              <a16:creationId xmlns:a16="http://schemas.microsoft.com/office/drawing/2014/main" id="{9583FEAF-C221-424E-B2B3-FA199429AA6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7" name="Picture 109" descr="C:\pini\VolareSQL\images\linha.gif">
          <a:extLst>
            <a:ext uri="{FF2B5EF4-FFF2-40B4-BE49-F238E27FC236}">
              <a16:creationId xmlns:a16="http://schemas.microsoft.com/office/drawing/2014/main" id="{FCC9070E-BD66-4E16-9653-71BE65BFCCE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8" name="Picture 110" descr="C:\pini\VolareSQL\images\linha.gif">
          <a:extLst>
            <a:ext uri="{FF2B5EF4-FFF2-40B4-BE49-F238E27FC236}">
              <a16:creationId xmlns:a16="http://schemas.microsoft.com/office/drawing/2014/main" id="{45BCA9DD-FF4B-4DCD-AE02-6565D3A27C7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69" name="Picture 111" descr="C:\pini\VolareSQL\images\linha.gif">
          <a:extLst>
            <a:ext uri="{FF2B5EF4-FFF2-40B4-BE49-F238E27FC236}">
              <a16:creationId xmlns:a16="http://schemas.microsoft.com/office/drawing/2014/main" id="{1BD26268-CD28-44A4-9BC7-57728DE8A1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0" name="Picture 112" descr="C:\pini\VolareSQL\images\linha.gif">
          <a:extLst>
            <a:ext uri="{FF2B5EF4-FFF2-40B4-BE49-F238E27FC236}">
              <a16:creationId xmlns:a16="http://schemas.microsoft.com/office/drawing/2014/main" id="{53370046-2A24-4C3B-92C5-9CAD7A78FD4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1" name="Picture 113" descr="C:\pini\VolareSQL\images\linha.gif">
          <a:extLst>
            <a:ext uri="{FF2B5EF4-FFF2-40B4-BE49-F238E27FC236}">
              <a16:creationId xmlns:a16="http://schemas.microsoft.com/office/drawing/2014/main" id="{96EF0FAA-B1E7-4920-85F2-7FA1FB63C2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2" name="Picture 114" descr="C:\pini\VolareSQL\images\linha.gif">
          <a:extLst>
            <a:ext uri="{FF2B5EF4-FFF2-40B4-BE49-F238E27FC236}">
              <a16:creationId xmlns:a16="http://schemas.microsoft.com/office/drawing/2014/main" id="{A7476B98-0191-4D05-BF1C-51B2C14E479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3" name="Picture 115" descr="C:\pini\VolareSQL\images\linha.gif">
          <a:extLst>
            <a:ext uri="{FF2B5EF4-FFF2-40B4-BE49-F238E27FC236}">
              <a16:creationId xmlns:a16="http://schemas.microsoft.com/office/drawing/2014/main" id="{E660127D-3F7A-4B31-A524-AE71BD5D89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4" name="Picture 116" descr="C:\pini\VolareSQL\images\linha.gif">
          <a:extLst>
            <a:ext uri="{FF2B5EF4-FFF2-40B4-BE49-F238E27FC236}">
              <a16:creationId xmlns:a16="http://schemas.microsoft.com/office/drawing/2014/main" id="{0C04326A-5CC3-47A2-BAC3-43DBD2D5162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5" name="Picture 117" descr="C:\pini\VolareSQL\images\linha.gif">
          <a:extLst>
            <a:ext uri="{FF2B5EF4-FFF2-40B4-BE49-F238E27FC236}">
              <a16:creationId xmlns:a16="http://schemas.microsoft.com/office/drawing/2014/main" id="{15CCDBA2-9214-4852-AB17-B50F00514D8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6" name="Picture 118" descr="C:\pini\VolareSQL\images\linha.gif">
          <a:extLst>
            <a:ext uri="{FF2B5EF4-FFF2-40B4-BE49-F238E27FC236}">
              <a16:creationId xmlns:a16="http://schemas.microsoft.com/office/drawing/2014/main" id="{467BBF94-374E-4E18-94D8-20FFE60265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7" name="Picture 119" descr="C:\pini\VolareSQL\images\linha.gif">
          <a:extLst>
            <a:ext uri="{FF2B5EF4-FFF2-40B4-BE49-F238E27FC236}">
              <a16:creationId xmlns:a16="http://schemas.microsoft.com/office/drawing/2014/main" id="{7F77D2A4-A93B-4B44-B2FE-A4EC814E36B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8" name="Picture 120" descr="C:\pini\VolareSQL\images\linha.gif">
          <a:extLst>
            <a:ext uri="{FF2B5EF4-FFF2-40B4-BE49-F238E27FC236}">
              <a16:creationId xmlns:a16="http://schemas.microsoft.com/office/drawing/2014/main" id="{D30D7862-D575-4042-811F-A17A6A59DCE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79" name="Picture 121" descr="C:\pini\VolareSQL\images\linha.gif">
          <a:extLst>
            <a:ext uri="{FF2B5EF4-FFF2-40B4-BE49-F238E27FC236}">
              <a16:creationId xmlns:a16="http://schemas.microsoft.com/office/drawing/2014/main" id="{5792EE51-777E-4C0D-AC17-7A748C81E33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0" name="Picture 122" descr="C:\pini\VolareSQL\images\linha.gif">
          <a:extLst>
            <a:ext uri="{FF2B5EF4-FFF2-40B4-BE49-F238E27FC236}">
              <a16:creationId xmlns:a16="http://schemas.microsoft.com/office/drawing/2014/main" id="{9D9924AD-6EFC-4D69-9464-2584310A246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1" name="Picture 123" descr="C:\pini\VolareSQL\images\linha.gif">
          <a:extLst>
            <a:ext uri="{FF2B5EF4-FFF2-40B4-BE49-F238E27FC236}">
              <a16:creationId xmlns:a16="http://schemas.microsoft.com/office/drawing/2014/main" id="{2C2A4D43-0D39-46AA-A645-5360AED3ED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2" name="Picture 124" descr="C:\pini\VolareSQL\images\linha.gif">
          <a:extLst>
            <a:ext uri="{FF2B5EF4-FFF2-40B4-BE49-F238E27FC236}">
              <a16:creationId xmlns:a16="http://schemas.microsoft.com/office/drawing/2014/main" id="{1CD41EB9-A4EA-4D64-A846-55A88FF1E3D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3" name="Picture 125" descr="C:\pini\VolareSQL\images\linha.gif">
          <a:extLst>
            <a:ext uri="{FF2B5EF4-FFF2-40B4-BE49-F238E27FC236}">
              <a16:creationId xmlns:a16="http://schemas.microsoft.com/office/drawing/2014/main" id="{CA563020-143D-4AF5-8A8A-34432C4598E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4" name="Picture 126" descr="C:\pini\VolareSQL\images\linha.gif">
          <a:extLst>
            <a:ext uri="{FF2B5EF4-FFF2-40B4-BE49-F238E27FC236}">
              <a16:creationId xmlns:a16="http://schemas.microsoft.com/office/drawing/2014/main" id="{6BC9A03D-79A6-4A95-8EA0-21979274322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5" name="Picture 127" descr="C:\pini\VolareSQL\images\linha.gif">
          <a:extLst>
            <a:ext uri="{FF2B5EF4-FFF2-40B4-BE49-F238E27FC236}">
              <a16:creationId xmlns:a16="http://schemas.microsoft.com/office/drawing/2014/main" id="{9572DAA4-F28A-405E-9641-80EB140005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6" name="Picture 128" descr="C:\pini\VolareSQL\images\linha.gif">
          <a:extLst>
            <a:ext uri="{FF2B5EF4-FFF2-40B4-BE49-F238E27FC236}">
              <a16:creationId xmlns:a16="http://schemas.microsoft.com/office/drawing/2014/main" id="{73436B07-BB28-4084-8276-FFE4A94E610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7" name="Picture 129" descr="C:\pini\VolareSQL\images\linha.gif">
          <a:extLst>
            <a:ext uri="{FF2B5EF4-FFF2-40B4-BE49-F238E27FC236}">
              <a16:creationId xmlns:a16="http://schemas.microsoft.com/office/drawing/2014/main" id="{96584D84-EE28-4B45-B86D-BE730074CB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8" name="Picture 130" descr="C:\pini\VolareSQL\images\linha.gif">
          <a:extLst>
            <a:ext uri="{FF2B5EF4-FFF2-40B4-BE49-F238E27FC236}">
              <a16:creationId xmlns:a16="http://schemas.microsoft.com/office/drawing/2014/main" id="{CC9D1F3D-13C0-4327-B0ED-EBD7540448B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89" name="Picture 131" descr="C:\pini\VolareSQL\images\linha.gif">
          <a:extLst>
            <a:ext uri="{FF2B5EF4-FFF2-40B4-BE49-F238E27FC236}">
              <a16:creationId xmlns:a16="http://schemas.microsoft.com/office/drawing/2014/main" id="{99F61A75-2BE4-4D26-A147-A51213077B7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0" name="Picture 132" descr="C:\pini\VolareSQL\images\linha.gif">
          <a:extLst>
            <a:ext uri="{FF2B5EF4-FFF2-40B4-BE49-F238E27FC236}">
              <a16:creationId xmlns:a16="http://schemas.microsoft.com/office/drawing/2014/main" id="{50CF87C9-41A1-44C4-8031-E86AEA3DDC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1" name="Picture 133" descr="C:\pini\VolareSQL\images\linha.gif">
          <a:extLst>
            <a:ext uri="{FF2B5EF4-FFF2-40B4-BE49-F238E27FC236}">
              <a16:creationId xmlns:a16="http://schemas.microsoft.com/office/drawing/2014/main" id="{5734A3C9-EB1D-4B74-A25A-626835ADE65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2" name="Picture 134" descr="C:\pini\VolareSQL\images\linha.gif">
          <a:extLst>
            <a:ext uri="{FF2B5EF4-FFF2-40B4-BE49-F238E27FC236}">
              <a16:creationId xmlns:a16="http://schemas.microsoft.com/office/drawing/2014/main" id="{F273DAD6-4715-4E44-979E-912A9B1478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3" name="Picture 135" descr="C:\pini\VolareSQL\images\linha.gif">
          <a:extLst>
            <a:ext uri="{FF2B5EF4-FFF2-40B4-BE49-F238E27FC236}">
              <a16:creationId xmlns:a16="http://schemas.microsoft.com/office/drawing/2014/main" id="{6DFE9284-1D03-4D31-9EA8-91D1D88EA1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4" name="Picture 136" descr="C:\pini\VolareSQL\images\linha.gif">
          <a:extLst>
            <a:ext uri="{FF2B5EF4-FFF2-40B4-BE49-F238E27FC236}">
              <a16:creationId xmlns:a16="http://schemas.microsoft.com/office/drawing/2014/main" id="{52197CF4-3E0C-4228-8EC2-873C98CF0C4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5" name="Picture 137" descr="C:\pini\VolareSQL\images\linha.gif">
          <a:extLst>
            <a:ext uri="{FF2B5EF4-FFF2-40B4-BE49-F238E27FC236}">
              <a16:creationId xmlns:a16="http://schemas.microsoft.com/office/drawing/2014/main" id="{862F0CCE-8E61-495E-8A0D-5D6182C3A4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6" name="Picture 138" descr="C:\pini\VolareSQL\images\linha.gif">
          <a:extLst>
            <a:ext uri="{FF2B5EF4-FFF2-40B4-BE49-F238E27FC236}">
              <a16:creationId xmlns:a16="http://schemas.microsoft.com/office/drawing/2014/main" id="{6B65B4EC-4E74-4A4E-8D8C-40C42C6C4A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7" name="Picture 139" descr="C:\pini\VolareSQL\images\linha.gif">
          <a:extLst>
            <a:ext uri="{FF2B5EF4-FFF2-40B4-BE49-F238E27FC236}">
              <a16:creationId xmlns:a16="http://schemas.microsoft.com/office/drawing/2014/main" id="{AD54A429-325C-41B1-B11E-F2282B7E4AA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8" name="Picture 140" descr="C:\pini\VolareSQL\images\linha.gif">
          <a:extLst>
            <a:ext uri="{FF2B5EF4-FFF2-40B4-BE49-F238E27FC236}">
              <a16:creationId xmlns:a16="http://schemas.microsoft.com/office/drawing/2014/main" id="{E703E2E8-F5F9-419B-910F-2DD23AD2C5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399" name="Picture 141" descr="C:\pini\VolareSQL\images\linha.gif">
          <a:extLst>
            <a:ext uri="{FF2B5EF4-FFF2-40B4-BE49-F238E27FC236}">
              <a16:creationId xmlns:a16="http://schemas.microsoft.com/office/drawing/2014/main" id="{D83EE186-5C8B-4A48-9B94-2E0A739F1A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0" name="Picture 142" descr="C:\pini\VolareSQL\images\linha.gif">
          <a:extLst>
            <a:ext uri="{FF2B5EF4-FFF2-40B4-BE49-F238E27FC236}">
              <a16:creationId xmlns:a16="http://schemas.microsoft.com/office/drawing/2014/main" id="{C39C5869-283A-46C9-A13E-ED08C6B5857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1" name="Picture 143" descr="C:\pini\VolareSQL\images\linha.gif">
          <a:extLst>
            <a:ext uri="{FF2B5EF4-FFF2-40B4-BE49-F238E27FC236}">
              <a16:creationId xmlns:a16="http://schemas.microsoft.com/office/drawing/2014/main" id="{D5A4A8B0-581E-456E-B70E-F831F33C93E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2" name="Picture 144" descr="C:\pini\VolareSQL\images\linha.gif">
          <a:extLst>
            <a:ext uri="{FF2B5EF4-FFF2-40B4-BE49-F238E27FC236}">
              <a16:creationId xmlns:a16="http://schemas.microsoft.com/office/drawing/2014/main" id="{B93FA5ED-643B-4880-9641-945AA71169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3" name="Picture 145" descr="C:\pini\VolareSQL\images\linha.gif">
          <a:extLst>
            <a:ext uri="{FF2B5EF4-FFF2-40B4-BE49-F238E27FC236}">
              <a16:creationId xmlns:a16="http://schemas.microsoft.com/office/drawing/2014/main" id="{BF431B6D-6091-43AB-988F-7BB4EAE5D15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4" name="Picture 146" descr="C:\pini\VolareSQL\images\linha.gif">
          <a:extLst>
            <a:ext uri="{FF2B5EF4-FFF2-40B4-BE49-F238E27FC236}">
              <a16:creationId xmlns:a16="http://schemas.microsoft.com/office/drawing/2014/main" id="{057E5D3C-3B5A-48A5-8147-9689DBA52B5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5" name="Picture 147" descr="C:\pini\VolareSQL\images\linha.gif">
          <a:extLst>
            <a:ext uri="{FF2B5EF4-FFF2-40B4-BE49-F238E27FC236}">
              <a16:creationId xmlns:a16="http://schemas.microsoft.com/office/drawing/2014/main" id="{56D02033-3727-4E1B-ACE7-833602EF087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6" name="Picture 148" descr="C:\pini\VolareSQL\images\linha.gif">
          <a:extLst>
            <a:ext uri="{FF2B5EF4-FFF2-40B4-BE49-F238E27FC236}">
              <a16:creationId xmlns:a16="http://schemas.microsoft.com/office/drawing/2014/main" id="{4E2F2908-3280-43C1-8540-B7C23060349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7" name="Picture 149" descr="C:\pini\VolareSQL\images\linha.gif">
          <a:extLst>
            <a:ext uri="{FF2B5EF4-FFF2-40B4-BE49-F238E27FC236}">
              <a16:creationId xmlns:a16="http://schemas.microsoft.com/office/drawing/2014/main" id="{BCAD16D2-FD5E-4FFB-9BF2-6C1A5A7C656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8" name="Picture 150" descr="C:\pini\VolareSQL\images\linha.gif">
          <a:extLst>
            <a:ext uri="{FF2B5EF4-FFF2-40B4-BE49-F238E27FC236}">
              <a16:creationId xmlns:a16="http://schemas.microsoft.com/office/drawing/2014/main" id="{65C6EEF5-D0C3-4B06-93E5-CDD417DF9AB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09" name="Picture 151" descr="C:\pini\VolareSQL\images\linha.gif">
          <a:extLst>
            <a:ext uri="{FF2B5EF4-FFF2-40B4-BE49-F238E27FC236}">
              <a16:creationId xmlns:a16="http://schemas.microsoft.com/office/drawing/2014/main" id="{CCB1EDF6-F9FD-4E65-9E14-4293BC846F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0" name="Picture 152" descr="C:\pini\VolareSQL\images\linha.gif">
          <a:extLst>
            <a:ext uri="{FF2B5EF4-FFF2-40B4-BE49-F238E27FC236}">
              <a16:creationId xmlns:a16="http://schemas.microsoft.com/office/drawing/2014/main" id="{837BD5C0-4284-4739-8269-52AD04B9B10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1" name="Picture 153" descr="C:\pini\VolareSQL\images\linha.gif">
          <a:extLst>
            <a:ext uri="{FF2B5EF4-FFF2-40B4-BE49-F238E27FC236}">
              <a16:creationId xmlns:a16="http://schemas.microsoft.com/office/drawing/2014/main" id="{FE7F1538-8E26-4BA6-9961-2C09DD08315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2" name="Picture 154" descr="C:\pini\VolareSQL\images\linha.gif">
          <a:extLst>
            <a:ext uri="{FF2B5EF4-FFF2-40B4-BE49-F238E27FC236}">
              <a16:creationId xmlns:a16="http://schemas.microsoft.com/office/drawing/2014/main" id="{4FF5802E-80CC-46EB-85FF-798E58D324F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3" name="Picture 155" descr="C:\pini\VolareSQL\images\linha.gif">
          <a:extLst>
            <a:ext uri="{FF2B5EF4-FFF2-40B4-BE49-F238E27FC236}">
              <a16:creationId xmlns:a16="http://schemas.microsoft.com/office/drawing/2014/main" id="{E8DFCF93-71A0-485F-84C4-1BA17E838BC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4" name="Picture 156" descr="C:\pini\VolareSQL\images\linha.gif">
          <a:extLst>
            <a:ext uri="{FF2B5EF4-FFF2-40B4-BE49-F238E27FC236}">
              <a16:creationId xmlns:a16="http://schemas.microsoft.com/office/drawing/2014/main" id="{840193B3-EAD8-4B7D-8BB5-656126D1F8B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5" name="Picture 157" descr="C:\pini\VolareSQL\images\linha.gif">
          <a:extLst>
            <a:ext uri="{FF2B5EF4-FFF2-40B4-BE49-F238E27FC236}">
              <a16:creationId xmlns:a16="http://schemas.microsoft.com/office/drawing/2014/main" id="{692C7B6D-4678-4F30-9571-210746F6DA0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6" name="Picture 158" descr="C:\pini\VolareSQL\images\linha.gif">
          <a:extLst>
            <a:ext uri="{FF2B5EF4-FFF2-40B4-BE49-F238E27FC236}">
              <a16:creationId xmlns:a16="http://schemas.microsoft.com/office/drawing/2014/main" id="{2D1362AC-FF4B-4908-944E-0F6462F043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7" name="Picture 159" descr="C:\pini\VolareSQL\images\linha.gif">
          <a:extLst>
            <a:ext uri="{FF2B5EF4-FFF2-40B4-BE49-F238E27FC236}">
              <a16:creationId xmlns:a16="http://schemas.microsoft.com/office/drawing/2014/main" id="{6DEC4C71-0B8E-4822-AA00-0C65F89D79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8" name="Picture 160" descr="C:\pini\VolareSQL\images\linha.gif">
          <a:extLst>
            <a:ext uri="{FF2B5EF4-FFF2-40B4-BE49-F238E27FC236}">
              <a16:creationId xmlns:a16="http://schemas.microsoft.com/office/drawing/2014/main" id="{827818B7-B8A0-445E-9EE8-EEE61F2AD4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19" name="Picture 161" descr="C:\pini\VolareSQL\images\linha.gif">
          <a:extLst>
            <a:ext uri="{FF2B5EF4-FFF2-40B4-BE49-F238E27FC236}">
              <a16:creationId xmlns:a16="http://schemas.microsoft.com/office/drawing/2014/main" id="{6DF76A70-12EC-4EAE-8108-6FA9117F3BE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0" name="Picture 162" descr="C:\pini\VolareSQL\images\linha.gif">
          <a:extLst>
            <a:ext uri="{FF2B5EF4-FFF2-40B4-BE49-F238E27FC236}">
              <a16:creationId xmlns:a16="http://schemas.microsoft.com/office/drawing/2014/main" id="{F1863151-9D52-4068-9DF9-7FAA6D20D44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1" name="Picture 163" descr="C:\pini\VolareSQL\images\linha.gif">
          <a:extLst>
            <a:ext uri="{FF2B5EF4-FFF2-40B4-BE49-F238E27FC236}">
              <a16:creationId xmlns:a16="http://schemas.microsoft.com/office/drawing/2014/main" id="{EA349AF6-0112-41D1-B24B-146A6252FEC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2" name="Picture 164" descr="C:\pini\VolareSQL\images\linha.gif">
          <a:extLst>
            <a:ext uri="{FF2B5EF4-FFF2-40B4-BE49-F238E27FC236}">
              <a16:creationId xmlns:a16="http://schemas.microsoft.com/office/drawing/2014/main" id="{E4CC162A-05E5-4C79-955F-04E29893D0E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3" name="Picture 165" descr="C:\pini\VolareSQL\images\linha.gif">
          <a:extLst>
            <a:ext uri="{FF2B5EF4-FFF2-40B4-BE49-F238E27FC236}">
              <a16:creationId xmlns:a16="http://schemas.microsoft.com/office/drawing/2014/main" id="{9B40B899-F11A-4776-A1B5-C9E2226D49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4" name="Picture 166" descr="C:\pini\VolareSQL\images\linha.gif">
          <a:extLst>
            <a:ext uri="{FF2B5EF4-FFF2-40B4-BE49-F238E27FC236}">
              <a16:creationId xmlns:a16="http://schemas.microsoft.com/office/drawing/2014/main" id="{862A74C4-FF53-4C2B-BB4E-1B507657A33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5" name="Picture 167" descr="C:\pini\VolareSQL\images\linha.gif">
          <a:extLst>
            <a:ext uri="{FF2B5EF4-FFF2-40B4-BE49-F238E27FC236}">
              <a16:creationId xmlns:a16="http://schemas.microsoft.com/office/drawing/2014/main" id="{006B714E-1DDF-43D9-A9CD-832C636E65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6" name="Picture 168" descr="C:\pini\VolareSQL\images\linha.gif">
          <a:extLst>
            <a:ext uri="{FF2B5EF4-FFF2-40B4-BE49-F238E27FC236}">
              <a16:creationId xmlns:a16="http://schemas.microsoft.com/office/drawing/2014/main" id="{D38E977C-9EC8-4F0C-987D-A2DB3FB1378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7" name="Picture 169" descr="C:\pini\VolareSQL\images\linha.gif">
          <a:extLst>
            <a:ext uri="{FF2B5EF4-FFF2-40B4-BE49-F238E27FC236}">
              <a16:creationId xmlns:a16="http://schemas.microsoft.com/office/drawing/2014/main" id="{97C20EA6-AEF7-45E8-959B-ACEB7A996B1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8" name="Picture 170" descr="C:\pini\VolareSQL\images\linha.gif">
          <a:extLst>
            <a:ext uri="{FF2B5EF4-FFF2-40B4-BE49-F238E27FC236}">
              <a16:creationId xmlns:a16="http://schemas.microsoft.com/office/drawing/2014/main" id="{7D6771BD-737F-43BD-B723-79A1979036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29" name="Picture 171" descr="C:\pini\VolareSQL\images\linha.gif">
          <a:extLst>
            <a:ext uri="{FF2B5EF4-FFF2-40B4-BE49-F238E27FC236}">
              <a16:creationId xmlns:a16="http://schemas.microsoft.com/office/drawing/2014/main" id="{D812F189-E775-4F0E-B167-D197231698E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0" name="Picture 172" descr="C:\pini\VolareSQL\images\linha.gif">
          <a:extLst>
            <a:ext uri="{FF2B5EF4-FFF2-40B4-BE49-F238E27FC236}">
              <a16:creationId xmlns:a16="http://schemas.microsoft.com/office/drawing/2014/main" id="{21812875-4EE0-4985-B544-AE99241B841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1" name="Picture 173" descr="C:\pini\VolareSQL\images\linha.gif">
          <a:extLst>
            <a:ext uri="{FF2B5EF4-FFF2-40B4-BE49-F238E27FC236}">
              <a16:creationId xmlns:a16="http://schemas.microsoft.com/office/drawing/2014/main" id="{AF2D759F-B3E2-40F5-8C35-C98DA01188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2" name="Picture 174" descr="C:\pini\VolareSQL\images\linha.gif">
          <a:extLst>
            <a:ext uri="{FF2B5EF4-FFF2-40B4-BE49-F238E27FC236}">
              <a16:creationId xmlns:a16="http://schemas.microsoft.com/office/drawing/2014/main" id="{41935F02-CFEE-45DB-BE61-C3BA63E031C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3" name="Picture 175" descr="C:\pini\VolareSQL\images\linha.gif">
          <a:extLst>
            <a:ext uri="{FF2B5EF4-FFF2-40B4-BE49-F238E27FC236}">
              <a16:creationId xmlns:a16="http://schemas.microsoft.com/office/drawing/2014/main" id="{5E9E2B72-EC01-4281-9367-24C8B590DAC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4" name="Picture 176" descr="C:\pini\VolareSQL\images\linha.gif">
          <a:extLst>
            <a:ext uri="{FF2B5EF4-FFF2-40B4-BE49-F238E27FC236}">
              <a16:creationId xmlns:a16="http://schemas.microsoft.com/office/drawing/2014/main" id="{FB30EB47-7266-4398-8B7C-E1462FE8A2E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5" name="Picture 177" descr="C:\pini\VolareSQL\images\linha.gif">
          <a:extLst>
            <a:ext uri="{FF2B5EF4-FFF2-40B4-BE49-F238E27FC236}">
              <a16:creationId xmlns:a16="http://schemas.microsoft.com/office/drawing/2014/main" id="{1DA4386B-FE3B-4AF0-9EAF-1329D99595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6" name="Picture 178" descr="C:\pini\VolareSQL\images\linha.gif">
          <a:extLst>
            <a:ext uri="{FF2B5EF4-FFF2-40B4-BE49-F238E27FC236}">
              <a16:creationId xmlns:a16="http://schemas.microsoft.com/office/drawing/2014/main" id="{C077753A-C6B5-4377-810D-642EDCDD4FF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7" name="Picture 179" descr="C:\pini\VolareSQL\images\linha.gif">
          <a:extLst>
            <a:ext uri="{FF2B5EF4-FFF2-40B4-BE49-F238E27FC236}">
              <a16:creationId xmlns:a16="http://schemas.microsoft.com/office/drawing/2014/main" id="{B4687F06-CE2C-477D-A43C-73E8AEEA72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8" name="Picture 180" descr="C:\pini\VolareSQL\images\linha.gif">
          <a:extLst>
            <a:ext uri="{FF2B5EF4-FFF2-40B4-BE49-F238E27FC236}">
              <a16:creationId xmlns:a16="http://schemas.microsoft.com/office/drawing/2014/main" id="{E7ABDF5E-E283-40E6-AA3E-1B41BB4902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39" name="Picture 181" descr="C:\pini\VolareSQL\images\linha.gif">
          <a:extLst>
            <a:ext uri="{FF2B5EF4-FFF2-40B4-BE49-F238E27FC236}">
              <a16:creationId xmlns:a16="http://schemas.microsoft.com/office/drawing/2014/main" id="{96898E03-5A63-48E9-ABD2-E1BF6A4C17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0" name="Picture 182" descr="C:\pini\VolareSQL\images\linha.gif">
          <a:extLst>
            <a:ext uri="{FF2B5EF4-FFF2-40B4-BE49-F238E27FC236}">
              <a16:creationId xmlns:a16="http://schemas.microsoft.com/office/drawing/2014/main" id="{06999B01-E9ED-4879-ADAE-C5F6DE30B86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1" name="Picture 183" descr="C:\pini\VolareSQL\images\linha.gif">
          <a:extLst>
            <a:ext uri="{FF2B5EF4-FFF2-40B4-BE49-F238E27FC236}">
              <a16:creationId xmlns:a16="http://schemas.microsoft.com/office/drawing/2014/main" id="{74F724B4-71BD-4EB2-9EB8-D939F9B26A5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2" name="Picture 184" descr="C:\pini\VolareSQL\images\linha.gif">
          <a:extLst>
            <a:ext uri="{FF2B5EF4-FFF2-40B4-BE49-F238E27FC236}">
              <a16:creationId xmlns:a16="http://schemas.microsoft.com/office/drawing/2014/main" id="{AA1DA0EE-1FD7-4479-9DFA-627BB28D10B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3" name="Picture 185" descr="C:\pini\VolareSQL\images\linha.gif">
          <a:extLst>
            <a:ext uri="{FF2B5EF4-FFF2-40B4-BE49-F238E27FC236}">
              <a16:creationId xmlns:a16="http://schemas.microsoft.com/office/drawing/2014/main" id="{D5D1EC86-3B2E-42C0-BA1B-5AFB143C1B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4" name="Picture 186" descr="C:\pini\VolareSQL\images\linha.gif">
          <a:extLst>
            <a:ext uri="{FF2B5EF4-FFF2-40B4-BE49-F238E27FC236}">
              <a16:creationId xmlns:a16="http://schemas.microsoft.com/office/drawing/2014/main" id="{993428E4-20CF-43AE-AD51-E9CB16E147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5" name="Picture 187" descr="C:\pini\VolareSQL\images\linha.gif">
          <a:extLst>
            <a:ext uri="{FF2B5EF4-FFF2-40B4-BE49-F238E27FC236}">
              <a16:creationId xmlns:a16="http://schemas.microsoft.com/office/drawing/2014/main" id="{5DA35AD4-E0FB-4A72-A069-4113CCA265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6" name="Picture 188" descr="C:\pini\VolareSQL\images\linha.gif">
          <a:extLst>
            <a:ext uri="{FF2B5EF4-FFF2-40B4-BE49-F238E27FC236}">
              <a16:creationId xmlns:a16="http://schemas.microsoft.com/office/drawing/2014/main" id="{486CF61B-FBA6-41FD-A3F4-2ECA7283971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7" name="Picture 189" descr="C:\pini\VolareSQL\images\linha.gif">
          <a:extLst>
            <a:ext uri="{FF2B5EF4-FFF2-40B4-BE49-F238E27FC236}">
              <a16:creationId xmlns:a16="http://schemas.microsoft.com/office/drawing/2014/main" id="{276C9F43-388C-4BCE-AA9C-702C6068EC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8" name="Picture 190" descr="C:\pini\VolareSQL\images\linha.gif">
          <a:extLst>
            <a:ext uri="{FF2B5EF4-FFF2-40B4-BE49-F238E27FC236}">
              <a16:creationId xmlns:a16="http://schemas.microsoft.com/office/drawing/2014/main" id="{1A20DA0A-9232-481B-9C08-235E06FB077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49" name="Picture 191" descr="C:\pini\VolareSQL\images\linha.gif">
          <a:extLst>
            <a:ext uri="{FF2B5EF4-FFF2-40B4-BE49-F238E27FC236}">
              <a16:creationId xmlns:a16="http://schemas.microsoft.com/office/drawing/2014/main" id="{8A0885DB-6949-47DF-9F03-42BD5E71B32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0" name="Picture 192" descr="C:\pini\VolareSQL\images\linha.gif">
          <a:extLst>
            <a:ext uri="{FF2B5EF4-FFF2-40B4-BE49-F238E27FC236}">
              <a16:creationId xmlns:a16="http://schemas.microsoft.com/office/drawing/2014/main" id="{91596828-63C7-4F3A-92D8-8EF04614CF6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1" name="Picture 193" descr="C:\pini\VolareSQL\images\linha.gif">
          <a:extLst>
            <a:ext uri="{FF2B5EF4-FFF2-40B4-BE49-F238E27FC236}">
              <a16:creationId xmlns:a16="http://schemas.microsoft.com/office/drawing/2014/main" id="{D0D0972B-4F5D-418B-8C7A-CF906042AD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2" name="Picture 194" descr="C:\pini\VolareSQL\images\linha.gif">
          <a:extLst>
            <a:ext uri="{FF2B5EF4-FFF2-40B4-BE49-F238E27FC236}">
              <a16:creationId xmlns:a16="http://schemas.microsoft.com/office/drawing/2014/main" id="{B5D4BC4C-4B15-4AFB-83C3-08D1BACAAE8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3" name="Picture 195" descr="C:\pini\VolareSQL\images\linha.gif">
          <a:extLst>
            <a:ext uri="{FF2B5EF4-FFF2-40B4-BE49-F238E27FC236}">
              <a16:creationId xmlns:a16="http://schemas.microsoft.com/office/drawing/2014/main" id="{41A59DF2-17A3-43EC-9EB6-37122F0373E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4" name="Picture 196" descr="C:\pini\VolareSQL\images\linha.gif">
          <a:extLst>
            <a:ext uri="{FF2B5EF4-FFF2-40B4-BE49-F238E27FC236}">
              <a16:creationId xmlns:a16="http://schemas.microsoft.com/office/drawing/2014/main" id="{8A967982-57DF-430A-B8C3-9BCBBF9EBD0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5" name="Picture 197" descr="C:\pini\VolareSQL\images\linha.gif">
          <a:extLst>
            <a:ext uri="{FF2B5EF4-FFF2-40B4-BE49-F238E27FC236}">
              <a16:creationId xmlns:a16="http://schemas.microsoft.com/office/drawing/2014/main" id="{49868F40-BAC5-4D6C-BE08-0D147D98F6C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6" name="Picture 198" descr="C:\pini\VolareSQL\images\linha.gif">
          <a:extLst>
            <a:ext uri="{FF2B5EF4-FFF2-40B4-BE49-F238E27FC236}">
              <a16:creationId xmlns:a16="http://schemas.microsoft.com/office/drawing/2014/main" id="{B1256C3F-59E9-48B1-B0EC-414A0F0AF86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7" name="Picture 199" descr="C:\pini\VolareSQL\images\linha.gif">
          <a:extLst>
            <a:ext uri="{FF2B5EF4-FFF2-40B4-BE49-F238E27FC236}">
              <a16:creationId xmlns:a16="http://schemas.microsoft.com/office/drawing/2014/main" id="{CC4D8508-4AC0-4ADC-A16A-C5E9C25BEE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8" name="Picture 200" descr="C:\pini\VolareSQL\images\linha.gif">
          <a:extLst>
            <a:ext uri="{FF2B5EF4-FFF2-40B4-BE49-F238E27FC236}">
              <a16:creationId xmlns:a16="http://schemas.microsoft.com/office/drawing/2014/main" id="{FDE358F7-1F39-49E2-8F51-0EC4EC91934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59" name="Picture 201" descr="C:\pini\VolareSQL\images\linha.gif">
          <a:extLst>
            <a:ext uri="{FF2B5EF4-FFF2-40B4-BE49-F238E27FC236}">
              <a16:creationId xmlns:a16="http://schemas.microsoft.com/office/drawing/2014/main" id="{FE6644C5-7DBF-4293-BBE3-225E33F3C21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0" name="Picture 202" descr="C:\pini\VolareSQL\images\linha.gif">
          <a:extLst>
            <a:ext uri="{FF2B5EF4-FFF2-40B4-BE49-F238E27FC236}">
              <a16:creationId xmlns:a16="http://schemas.microsoft.com/office/drawing/2014/main" id="{FE9FA932-27A1-47F6-A8D7-A0B7DD0C8B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1" name="Picture 203" descr="C:\pini\VolareSQL\images\linha.gif">
          <a:extLst>
            <a:ext uri="{FF2B5EF4-FFF2-40B4-BE49-F238E27FC236}">
              <a16:creationId xmlns:a16="http://schemas.microsoft.com/office/drawing/2014/main" id="{C1EF6700-8CE6-4059-B6AA-B8B91E02F12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2" name="Picture 204" descr="C:\pini\VolareSQL\images\linha.gif">
          <a:extLst>
            <a:ext uri="{FF2B5EF4-FFF2-40B4-BE49-F238E27FC236}">
              <a16:creationId xmlns:a16="http://schemas.microsoft.com/office/drawing/2014/main" id="{D350AC30-6F96-4A7B-BCF6-F8B9CF4674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3" name="Picture 205" descr="C:\pini\VolareSQL\images\linha.gif">
          <a:extLst>
            <a:ext uri="{FF2B5EF4-FFF2-40B4-BE49-F238E27FC236}">
              <a16:creationId xmlns:a16="http://schemas.microsoft.com/office/drawing/2014/main" id="{4AD123E2-4E51-4EA6-B7BF-E9A6FFBC328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4" name="Picture 206" descr="C:\pini\VolareSQL\images\linha.gif">
          <a:extLst>
            <a:ext uri="{FF2B5EF4-FFF2-40B4-BE49-F238E27FC236}">
              <a16:creationId xmlns:a16="http://schemas.microsoft.com/office/drawing/2014/main" id="{9356AA7B-EBBD-4CEA-9A66-A270EA2DDF4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5" name="Picture 207" descr="C:\pini\VolareSQL\images\linha.gif">
          <a:extLst>
            <a:ext uri="{FF2B5EF4-FFF2-40B4-BE49-F238E27FC236}">
              <a16:creationId xmlns:a16="http://schemas.microsoft.com/office/drawing/2014/main" id="{74E37DF5-4856-457E-9455-6F27F2D23C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6" name="Picture 208" descr="C:\pini\VolareSQL\images\linha.gif">
          <a:extLst>
            <a:ext uri="{FF2B5EF4-FFF2-40B4-BE49-F238E27FC236}">
              <a16:creationId xmlns:a16="http://schemas.microsoft.com/office/drawing/2014/main" id="{C6EBB69C-B1E9-450A-BE24-65CB5B8FDC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7" name="Picture 209" descr="C:\pini\VolareSQL\images\linha.gif">
          <a:extLst>
            <a:ext uri="{FF2B5EF4-FFF2-40B4-BE49-F238E27FC236}">
              <a16:creationId xmlns:a16="http://schemas.microsoft.com/office/drawing/2014/main" id="{4FE95669-8F9F-41D5-B31D-72C35DDC68B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8" name="Picture 210" descr="C:\pini\VolareSQL\images\linha.gif">
          <a:extLst>
            <a:ext uri="{FF2B5EF4-FFF2-40B4-BE49-F238E27FC236}">
              <a16:creationId xmlns:a16="http://schemas.microsoft.com/office/drawing/2014/main" id="{C6406C26-7E26-437D-BB97-29FBE0D9B52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69" name="Picture 211" descr="C:\pini\VolareSQL\images\linha.gif">
          <a:extLst>
            <a:ext uri="{FF2B5EF4-FFF2-40B4-BE49-F238E27FC236}">
              <a16:creationId xmlns:a16="http://schemas.microsoft.com/office/drawing/2014/main" id="{10EA0EAA-AEE1-40F5-8CCB-CE18E2047A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0" name="Picture 212" descr="C:\pini\VolareSQL\images\linha.gif">
          <a:extLst>
            <a:ext uri="{FF2B5EF4-FFF2-40B4-BE49-F238E27FC236}">
              <a16:creationId xmlns:a16="http://schemas.microsoft.com/office/drawing/2014/main" id="{B2406613-EEA9-43C1-873D-A76A321CD10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1" name="Picture 213" descr="C:\pini\VolareSQL\images\linha.gif">
          <a:extLst>
            <a:ext uri="{FF2B5EF4-FFF2-40B4-BE49-F238E27FC236}">
              <a16:creationId xmlns:a16="http://schemas.microsoft.com/office/drawing/2014/main" id="{7BF0E00B-1D44-4EA7-BD44-BF8FA95723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2" name="Picture 214" descr="C:\pini\VolareSQL\images\linha.gif">
          <a:extLst>
            <a:ext uri="{FF2B5EF4-FFF2-40B4-BE49-F238E27FC236}">
              <a16:creationId xmlns:a16="http://schemas.microsoft.com/office/drawing/2014/main" id="{88C9A3BD-0672-4535-A5C3-C8E18D370E7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3" name="Picture 215" descr="C:\pini\VolareSQL\images\linha.gif">
          <a:extLst>
            <a:ext uri="{FF2B5EF4-FFF2-40B4-BE49-F238E27FC236}">
              <a16:creationId xmlns:a16="http://schemas.microsoft.com/office/drawing/2014/main" id="{7F492854-EEFF-470D-A40E-8F5D36F287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4" name="Picture 216" descr="C:\pini\VolareSQL\images\linha.gif">
          <a:extLst>
            <a:ext uri="{FF2B5EF4-FFF2-40B4-BE49-F238E27FC236}">
              <a16:creationId xmlns:a16="http://schemas.microsoft.com/office/drawing/2014/main" id="{0493123F-5905-40AF-8DD4-E51519467C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5" name="Picture 217" descr="C:\pini\VolareSQL\images\linha.gif">
          <a:extLst>
            <a:ext uri="{FF2B5EF4-FFF2-40B4-BE49-F238E27FC236}">
              <a16:creationId xmlns:a16="http://schemas.microsoft.com/office/drawing/2014/main" id="{52D2DCAD-FF71-4D47-813F-7A22A828FBC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6" name="Picture 218" descr="C:\pini\VolareSQL\images\linha.gif">
          <a:extLst>
            <a:ext uri="{FF2B5EF4-FFF2-40B4-BE49-F238E27FC236}">
              <a16:creationId xmlns:a16="http://schemas.microsoft.com/office/drawing/2014/main" id="{B1F783F9-C6E0-4F7D-98E1-008A975856A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7" name="Picture 219" descr="C:\pini\VolareSQL\images\linha.gif">
          <a:extLst>
            <a:ext uri="{FF2B5EF4-FFF2-40B4-BE49-F238E27FC236}">
              <a16:creationId xmlns:a16="http://schemas.microsoft.com/office/drawing/2014/main" id="{388CECB0-B8EA-47F3-8F04-8D89AC6CE8C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8" name="Picture 220" descr="C:\pini\VolareSQL\images\linha.gif">
          <a:extLst>
            <a:ext uri="{FF2B5EF4-FFF2-40B4-BE49-F238E27FC236}">
              <a16:creationId xmlns:a16="http://schemas.microsoft.com/office/drawing/2014/main" id="{61EA26FE-8501-4C05-A755-AF87498C8F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79" name="Picture 221" descr="C:\pini\VolareSQL\images\linha.gif">
          <a:extLst>
            <a:ext uri="{FF2B5EF4-FFF2-40B4-BE49-F238E27FC236}">
              <a16:creationId xmlns:a16="http://schemas.microsoft.com/office/drawing/2014/main" id="{4D030A21-1429-4BFA-A504-6AD9BB6F56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0" name="Picture 222" descr="C:\pini\VolareSQL\images\linha.gif">
          <a:extLst>
            <a:ext uri="{FF2B5EF4-FFF2-40B4-BE49-F238E27FC236}">
              <a16:creationId xmlns:a16="http://schemas.microsoft.com/office/drawing/2014/main" id="{7B469F83-1329-48AA-A5EA-C3B2DDFBDA3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1" name="Picture 223" descr="C:\pini\VolareSQL\images\linha.gif">
          <a:extLst>
            <a:ext uri="{FF2B5EF4-FFF2-40B4-BE49-F238E27FC236}">
              <a16:creationId xmlns:a16="http://schemas.microsoft.com/office/drawing/2014/main" id="{E683E7E4-B263-4211-938A-557E12EA770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2" name="Picture 224" descr="C:\pini\VolareSQL\images\linha.gif">
          <a:extLst>
            <a:ext uri="{FF2B5EF4-FFF2-40B4-BE49-F238E27FC236}">
              <a16:creationId xmlns:a16="http://schemas.microsoft.com/office/drawing/2014/main" id="{3611F397-A391-4D6C-B961-E292EEB234C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3" name="Picture 225" descr="C:\pini\VolareSQL\images\linha.gif">
          <a:extLst>
            <a:ext uri="{FF2B5EF4-FFF2-40B4-BE49-F238E27FC236}">
              <a16:creationId xmlns:a16="http://schemas.microsoft.com/office/drawing/2014/main" id="{9A47A2E8-05B3-4890-8B5B-C7236911428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4" name="Picture 226" descr="C:\pini\VolareSQL\images\linha.gif">
          <a:extLst>
            <a:ext uri="{FF2B5EF4-FFF2-40B4-BE49-F238E27FC236}">
              <a16:creationId xmlns:a16="http://schemas.microsoft.com/office/drawing/2014/main" id="{427399BC-965F-42F8-BBA7-6C85193F9EC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5" name="Picture 227" descr="C:\pini\VolareSQL\images\linha.gif">
          <a:extLst>
            <a:ext uri="{FF2B5EF4-FFF2-40B4-BE49-F238E27FC236}">
              <a16:creationId xmlns:a16="http://schemas.microsoft.com/office/drawing/2014/main" id="{6BDC9725-1697-40DC-B6B2-6EB3FCA902A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6" name="Picture 228" descr="C:\pini\VolareSQL\images\linha.gif">
          <a:extLst>
            <a:ext uri="{FF2B5EF4-FFF2-40B4-BE49-F238E27FC236}">
              <a16:creationId xmlns:a16="http://schemas.microsoft.com/office/drawing/2014/main" id="{45FC8C6F-50B8-4CA4-AE53-7B9C134ADB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7" name="Picture 229" descr="C:\pini\VolareSQL\images\linha.gif">
          <a:extLst>
            <a:ext uri="{FF2B5EF4-FFF2-40B4-BE49-F238E27FC236}">
              <a16:creationId xmlns:a16="http://schemas.microsoft.com/office/drawing/2014/main" id="{BA58CF61-3FFD-46EB-97A6-F7BC8ADE702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8" name="Picture 230" descr="C:\pini\VolareSQL\images\linha.gif">
          <a:extLst>
            <a:ext uri="{FF2B5EF4-FFF2-40B4-BE49-F238E27FC236}">
              <a16:creationId xmlns:a16="http://schemas.microsoft.com/office/drawing/2014/main" id="{BC524B57-606B-46C5-9647-AA48AF8B3D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89" name="Picture 231" descr="C:\pini\VolareSQL\images\linha.gif">
          <a:extLst>
            <a:ext uri="{FF2B5EF4-FFF2-40B4-BE49-F238E27FC236}">
              <a16:creationId xmlns:a16="http://schemas.microsoft.com/office/drawing/2014/main" id="{37767F14-64F5-4B21-AEC0-92138668B07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0" name="Picture 232" descr="C:\pini\VolareSQL\images\linha.gif">
          <a:extLst>
            <a:ext uri="{FF2B5EF4-FFF2-40B4-BE49-F238E27FC236}">
              <a16:creationId xmlns:a16="http://schemas.microsoft.com/office/drawing/2014/main" id="{6ED241E9-DC68-42DA-B619-17F2D4CDC07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1" name="Picture 233" descr="C:\pini\VolareSQL\images\linha.gif">
          <a:extLst>
            <a:ext uri="{FF2B5EF4-FFF2-40B4-BE49-F238E27FC236}">
              <a16:creationId xmlns:a16="http://schemas.microsoft.com/office/drawing/2014/main" id="{6DF8592A-89C5-4D30-8070-BB93E7DA128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2" name="Picture 234" descr="C:\pini\VolareSQL\images\linha.gif">
          <a:extLst>
            <a:ext uri="{FF2B5EF4-FFF2-40B4-BE49-F238E27FC236}">
              <a16:creationId xmlns:a16="http://schemas.microsoft.com/office/drawing/2014/main" id="{CC960B26-ADFA-4DEC-ADE9-D23756721F5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3" name="Picture 235" descr="C:\pini\VolareSQL\images\linha.gif">
          <a:extLst>
            <a:ext uri="{FF2B5EF4-FFF2-40B4-BE49-F238E27FC236}">
              <a16:creationId xmlns:a16="http://schemas.microsoft.com/office/drawing/2014/main" id="{EA761FD8-19BC-4EED-972D-F4579FB4ED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4" name="Picture 236" descr="C:\pini\VolareSQL\images\linha.gif">
          <a:extLst>
            <a:ext uri="{FF2B5EF4-FFF2-40B4-BE49-F238E27FC236}">
              <a16:creationId xmlns:a16="http://schemas.microsoft.com/office/drawing/2014/main" id="{5C614A8C-06D6-4ED9-84B0-2FB7D97873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5" name="Picture 237" descr="C:\pini\VolareSQL\images\linha.gif">
          <a:extLst>
            <a:ext uri="{FF2B5EF4-FFF2-40B4-BE49-F238E27FC236}">
              <a16:creationId xmlns:a16="http://schemas.microsoft.com/office/drawing/2014/main" id="{EB6D34A2-3357-401D-BE73-CDB11D0DEF9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6" name="Picture 238" descr="C:\pini\VolareSQL\images\linha.gif">
          <a:extLst>
            <a:ext uri="{FF2B5EF4-FFF2-40B4-BE49-F238E27FC236}">
              <a16:creationId xmlns:a16="http://schemas.microsoft.com/office/drawing/2014/main" id="{6BEA90DD-B2BC-4C12-9235-3BE7008201C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7" name="Picture 239" descr="C:\pini\VolareSQL\images\linha.gif">
          <a:extLst>
            <a:ext uri="{FF2B5EF4-FFF2-40B4-BE49-F238E27FC236}">
              <a16:creationId xmlns:a16="http://schemas.microsoft.com/office/drawing/2014/main" id="{25BC611A-C51A-4EEC-A1FC-F619232AF7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8" name="Picture 240" descr="C:\pini\VolareSQL\images\linha.gif">
          <a:extLst>
            <a:ext uri="{FF2B5EF4-FFF2-40B4-BE49-F238E27FC236}">
              <a16:creationId xmlns:a16="http://schemas.microsoft.com/office/drawing/2014/main" id="{F60860FD-7980-4F1B-9DA7-715985D2971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499" name="Picture 241" descr="C:\pini\VolareSQL\images\linha.gif">
          <a:extLst>
            <a:ext uri="{FF2B5EF4-FFF2-40B4-BE49-F238E27FC236}">
              <a16:creationId xmlns:a16="http://schemas.microsoft.com/office/drawing/2014/main" id="{091473B7-2CDF-430F-8DC8-183F24CE8E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0" name="Picture 242" descr="C:\pini\VolareSQL\images\linha.gif">
          <a:extLst>
            <a:ext uri="{FF2B5EF4-FFF2-40B4-BE49-F238E27FC236}">
              <a16:creationId xmlns:a16="http://schemas.microsoft.com/office/drawing/2014/main" id="{879717B5-B80C-4066-9761-5FB32716C1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1" name="Picture 243" descr="C:\pini\VolareSQL\images\linha.gif">
          <a:extLst>
            <a:ext uri="{FF2B5EF4-FFF2-40B4-BE49-F238E27FC236}">
              <a16:creationId xmlns:a16="http://schemas.microsoft.com/office/drawing/2014/main" id="{800922AC-4D40-4D8F-B4C8-0A7EA8F4DD9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2" name="Picture 244" descr="C:\pini\VolareSQL\images\linha.gif">
          <a:extLst>
            <a:ext uri="{FF2B5EF4-FFF2-40B4-BE49-F238E27FC236}">
              <a16:creationId xmlns:a16="http://schemas.microsoft.com/office/drawing/2014/main" id="{30DB864F-8939-41FF-80D7-FD984473CD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3" name="Picture 245" descr="C:\pini\VolareSQL\images\linha.gif">
          <a:extLst>
            <a:ext uri="{FF2B5EF4-FFF2-40B4-BE49-F238E27FC236}">
              <a16:creationId xmlns:a16="http://schemas.microsoft.com/office/drawing/2014/main" id="{D455BA61-F8C2-4FBF-8852-D4417CDC51C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4" name="Picture 246" descr="C:\pini\VolareSQL\images\linha.gif">
          <a:extLst>
            <a:ext uri="{FF2B5EF4-FFF2-40B4-BE49-F238E27FC236}">
              <a16:creationId xmlns:a16="http://schemas.microsoft.com/office/drawing/2014/main" id="{7DF888CE-71D6-4F8B-82A5-6E859AA3915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5" name="Picture 247" descr="C:\pini\VolareSQL\images\linha.gif">
          <a:extLst>
            <a:ext uri="{FF2B5EF4-FFF2-40B4-BE49-F238E27FC236}">
              <a16:creationId xmlns:a16="http://schemas.microsoft.com/office/drawing/2014/main" id="{1B6A5082-0EC4-4738-ABED-51D2E15316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6" name="Picture 248" descr="C:\pini\VolareSQL\images\linha.gif">
          <a:extLst>
            <a:ext uri="{FF2B5EF4-FFF2-40B4-BE49-F238E27FC236}">
              <a16:creationId xmlns:a16="http://schemas.microsoft.com/office/drawing/2014/main" id="{C3678FA5-57F8-40C1-A1D0-C99E9BF746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7" name="Picture 249" descr="C:\pini\VolareSQL\images\linha.gif">
          <a:extLst>
            <a:ext uri="{FF2B5EF4-FFF2-40B4-BE49-F238E27FC236}">
              <a16:creationId xmlns:a16="http://schemas.microsoft.com/office/drawing/2014/main" id="{D4A74BBC-FAD4-4EB9-A720-A4D2720DD1A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8" name="Picture 250" descr="C:\pini\VolareSQL\images\linha.gif">
          <a:extLst>
            <a:ext uri="{FF2B5EF4-FFF2-40B4-BE49-F238E27FC236}">
              <a16:creationId xmlns:a16="http://schemas.microsoft.com/office/drawing/2014/main" id="{6FBDEE07-207A-4E0C-ABFC-9EAE5BB7E4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09" name="Picture 251" descr="C:\pini\VolareSQL\images\linha.gif">
          <a:extLst>
            <a:ext uri="{FF2B5EF4-FFF2-40B4-BE49-F238E27FC236}">
              <a16:creationId xmlns:a16="http://schemas.microsoft.com/office/drawing/2014/main" id="{4E829786-C0CF-470D-BC00-0DE3F8C0949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0" name="Picture 252" descr="C:\pini\VolareSQL\images\linha.gif">
          <a:extLst>
            <a:ext uri="{FF2B5EF4-FFF2-40B4-BE49-F238E27FC236}">
              <a16:creationId xmlns:a16="http://schemas.microsoft.com/office/drawing/2014/main" id="{9176D0FA-41B8-42AE-803B-DEDF0BC570C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1" name="Picture 253" descr="C:\pini\VolareSQL\images\linha.gif">
          <a:extLst>
            <a:ext uri="{FF2B5EF4-FFF2-40B4-BE49-F238E27FC236}">
              <a16:creationId xmlns:a16="http://schemas.microsoft.com/office/drawing/2014/main" id="{3718DC5C-FD1F-473F-A52D-B1FD0288012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2" name="Picture 254" descr="C:\pini\VolareSQL\images\linha.gif">
          <a:extLst>
            <a:ext uri="{FF2B5EF4-FFF2-40B4-BE49-F238E27FC236}">
              <a16:creationId xmlns:a16="http://schemas.microsoft.com/office/drawing/2014/main" id="{B599EB80-0AFE-45AE-B918-80D98D6492E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3" name="Picture 255" descr="C:\pini\VolareSQL\images\linha.gif">
          <a:extLst>
            <a:ext uri="{FF2B5EF4-FFF2-40B4-BE49-F238E27FC236}">
              <a16:creationId xmlns:a16="http://schemas.microsoft.com/office/drawing/2014/main" id="{8CE8A2AC-D088-4CD2-991A-AD4A4A67F0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4" name="Picture 256" descr="C:\pini\VolareSQL\images\linha.gif">
          <a:extLst>
            <a:ext uri="{FF2B5EF4-FFF2-40B4-BE49-F238E27FC236}">
              <a16:creationId xmlns:a16="http://schemas.microsoft.com/office/drawing/2014/main" id="{7C32C12D-C877-459B-8C4B-B244798B91C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5" name="Picture 257" descr="C:\pini\VolareSQL\images\linha.gif">
          <a:extLst>
            <a:ext uri="{FF2B5EF4-FFF2-40B4-BE49-F238E27FC236}">
              <a16:creationId xmlns:a16="http://schemas.microsoft.com/office/drawing/2014/main" id="{EDCDB897-7DB7-4488-9BE8-AB49283D04F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6" name="Picture 258" descr="C:\pini\VolareSQL\images\linha.gif">
          <a:extLst>
            <a:ext uri="{FF2B5EF4-FFF2-40B4-BE49-F238E27FC236}">
              <a16:creationId xmlns:a16="http://schemas.microsoft.com/office/drawing/2014/main" id="{127381BD-1C3E-4976-87BF-E0B17D27A72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7" name="Picture 259" descr="C:\pini\VolareSQL\images\linha.gif">
          <a:extLst>
            <a:ext uri="{FF2B5EF4-FFF2-40B4-BE49-F238E27FC236}">
              <a16:creationId xmlns:a16="http://schemas.microsoft.com/office/drawing/2014/main" id="{94CD8025-5ACD-4D7B-B6A5-1CDEA0A8AFD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8" name="Picture 260" descr="C:\pini\VolareSQL\images\linha.gif">
          <a:extLst>
            <a:ext uri="{FF2B5EF4-FFF2-40B4-BE49-F238E27FC236}">
              <a16:creationId xmlns:a16="http://schemas.microsoft.com/office/drawing/2014/main" id="{F7A27BFE-FDFC-4499-9F2B-6040F866F9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19" name="Picture 261" descr="C:\pini\VolareSQL\images\linha.gif">
          <a:extLst>
            <a:ext uri="{FF2B5EF4-FFF2-40B4-BE49-F238E27FC236}">
              <a16:creationId xmlns:a16="http://schemas.microsoft.com/office/drawing/2014/main" id="{FCB9728E-DEAD-4AE4-AC83-046E2CF203F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0" name="Picture 262" descr="C:\pini\VolareSQL\images\linha.gif">
          <a:extLst>
            <a:ext uri="{FF2B5EF4-FFF2-40B4-BE49-F238E27FC236}">
              <a16:creationId xmlns:a16="http://schemas.microsoft.com/office/drawing/2014/main" id="{26265C58-CBF0-4503-9F97-06A9998AF50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1" name="Picture 263" descr="C:\pini\VolareSQL\images\linha.gif">
          <a:extLst>
            <a:ext uri="{FF2B5EF4-FFF2-40B4-BE49-F238E27FC236}">
              <a16:creationId xmlns:a16="http://schemas.microsoft.com/office/drawing/2014/main" id="{C5B9A653-00F9-41E0-9334-9B4A9BACD9F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2" name="Picture 264" descr="C:\pini\VolareSQL\images\linha.gif">
          <a:extLst>
            <a:ext uri="{FF2B5EF4-FFF2-40B4-BE49-F238E27FC236}">
              <a16:creationId xmlns:a16="http://schemas.microsoft.com/office/drawing/2014/main" id="{108C442E-2533-426D-8F6E-A3EE462CD3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3" name="Picture 265" descr="C:\pini\VolareSQL\images\linha.gif">
          <a:extLst>
            <a:ext uri="{FF2B5EF4-FFF2-40B4-BE49-F238E27FC236}">
              <a16:creationId xmlns:a16="http://schemas.microsoft.com/office/drawing/2014/main" id="{C77E72B7-8677-4F22-B696-B7EDF0C020D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4" name="Picture 266" descr="C:\pini\VolareSQL\images\linha.gif">
          <a:extLst>
            <a:ext uri="{FF2B5EF4-FFF2-40B4-BE49-F238E27FC236}">
              <a16:creationId xmlns:a16="http://schemas.microsoft.com/office/drawing/2014/main" id="{FF5DE7CC-E68C-434B-86FF-CEEA693AFA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5" name="Picture 267" descr="C:\pini\VolareSQL\images\linha.gif">
          <a:extLst>
            <a:ext uri="{FF2B5EF4-FFF2-40B4-BE49-F238E27FC236}">
              <a16:creationId xmlns:a16="http://schemas.microsoft.com/office/drawing/2014/main" id="{F300099D-2876-443D-8CC3-6220DD2C539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6" name="Picture 268" descr="C:\pini\VolareSQL\images\linha.gif">
          <a:extLst>
            <a:ext uri="{FF2B5EF4-FFF2-40B4-BE49-F238E27FC236}">
              <a16:creationId xmlns:a16="http://schemas.microsoft.com/office/drawing/2014/main" id="{A456337E-8152-47A6-8746-033F572D3B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7" name="Picture 269" descr="C:\pini\VolareSQL\images\linha.gif">
          <a:extLst>
            <a:ext uri="{FF2B5EF4-FFF2-40B4-BE49-F238E27FC236}">
              <a16:creationId xmlns:a16="http://schemas.microsoft.com/office/drawing/2014/main" id="{1DBCA645-1AC7-4CA5-8AE9-39F2DE9C09F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8" name="Picture 270" descr="C:\pini\VolareSQL\images\linha.gif">
          <a:extLst>
            <a:ext uri="{FF2B5EF4-FFF2-40B4-BE49-F238E27FC236}">
              <a16:creationId xmlns:a16="http://schemas.microsoft.com/office/drawing/2014/main" id="{B8801B95-B9D0-4923-B994-D677B3B1E64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29" name="Picture 271" descr="C:\pini\VolareSQL\images\linha.gif">
          <a:extLst>
            <a:ext uri="{FF2B5EF4-FFF2-40B4-BE49-F238E27FC236}">
              <a16:creationId xmlns:a16="http://schemas.microsoft.com/office/drawing/2014/main" id="{53F59A2A-27B4-4DE0-B5DC-3DC537A44A4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0" name="Picture 272" descr="C:\pini\VolareSQL\images\linha.gif">
          <a:extLst>
            <a:ext uri="{FF2B5EF4-FFF2-40B4-BE49-F238E27FC236}">
              <a16:creationId xmlns:a16="http://schemas.microsoft.com/office/drawing/2014/main" id="{AA47811D-005B-42BE-8A43-78ECB1E3660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1" name="Picture 273" descr="C:\pini\VolareSQL\images\linha.gif">
          <a:extLst>
            <a:ext uri="{FF2B5EF4-FFF2-40B4-BE49-F238E27FC236}">
              <a16:creationId xmlns:a16="http://schemas.microsoft.com/office/drawing/2014/main" id="{150CE81C-E519-4F73-8098-DED057B94CE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2" name="Picture 274" descr="C:\pini\VolareSQL\images\linha.gif">
          <a:extLst>
            <a:ext uri="{FF2B5EF4-FFF2-40B4-BE49-F238E27FC236}">
              <a16:creationId xmlns:a16="http://schemas.microsoft.com/office/drawing/2014/main" id="{881844F7-285C-4405-9D65-68F97C6E3C1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3" name="Picture 275" descr="C:\pini\VolareSQL\images\linha.gif">
          <a:extLst>
            <a:ext uri="{FF2B5EF4-FFF2-40B4-BE49-F238E27FC236}">
              <a16:creationId xmlns:a16="http://schemas.microsoft.com/office/drawing/2014/main" id="{F589459F-7F82-4667-8DF8-2DEAFA56A5E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4" name="Picture 276" descr="C:\pini\VolareSQL\images\linha.gif">
          <a:extLst>
            <a:ext uri="{FF2B5EF4-FFF2-40B4-BE49-F238E27FC236}">
              <a16:creationId xmlns:a16="http://schemas.microsoft.com/office/drawing/2014/main" id="{F9FFCE8D-E1A9-4DD5-8A9D-CC82824D0B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5" name="Picture 277" descr="C:\pini\VolareSQL\images\linha.gif">
          <a:extLst>
            <a:ext uri="{FF2B5EF4-FFF2-40B4-BE49-F238E27FC236}">
              <a16:creationId xmlns:a16="http://schemas.microsoft.com/office/drawing/2014/main" id="{610A1C89-6D16-4B6B-9207-F031645F58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6" name="Picture 278" descr="C:\pini\VolareSQL\images\linha.gif">
          <a:extLst>
            <a:ext uri="{FF2B5EF4-FFF2-40B4-BE49-F238E27FC236}">
              <a16:creationId xmlns:a16="http://schemas.microsoft.com/office/drawing/2014/main" id="{798B274F-D1C0-40B3-9A32-239E2FD8375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7" name="Picture 279" descr="C:\pini\VolareSQL\images\linha.gif">
          <a:extLst>
            <a:ext uri="{FF2B5EF4-FFF2-40B4-BE49-F238E27FC236}">
              <a16:creationId xmlns:a16="http://schemas.microsoft.com/office/drawing/2014/main" id="{8A7DF37B-8184-4513-8A75-DA7D9CE1EAE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8" name="Picture 280" descr="C:\pini\VolareSQL\images\linha.gif">
          <a:extLst>
            <a:ext uri="{FF2B5EF4-FFF2-40B4-BE49-F238E27FC236}">
              <a16:creationId xmlns:a16="http://schemas.microsoft.com/office/drawing/2014/main" id="{F76D7459-F6A3-440A-BEA3-4C63EE1D7AD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39" name="Picture 281" descr="C:\pini\VolareSQL\images\linha.gif">
          <a:extLst>
            <a:ext uri="{FF2B5EF4-FFF2-40B4-BE49-F238E27FC236}">
              <a16:creationId xmlns:a16="http://schemas.microsoft.com/office/drawing/2014/main" id="{E262DA5D-5661-4C9F-85B1-EA9EA8707E9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0" name="Picture 282" descr="C:\pini\VolareSQL\images\linha.gif">
          <a:extLst>
            <a:ext uri="{FF2B5EF4-FFF2-40B4-BE49-F238E27FC236}">
              <a16:creationId xmlns:a16="http://schemas.microsoft.com/office/drawing/2014/main" id="{618A7D20-C420-4730-88CD-B79DEDA160E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1" name="Picture 283" descr="C:\pini\VolareSQL\images\linha.gif">
          <a:extLst>
            <a:ext uri="{FF2B5EF4-FFF2-40B4-BE49-F238E27FC236}">
              <a16:creationId xmlns:a16="http://schemas.microsoft.com/office/drawing/2014/main" id="{1A49E83B-D872-435C-B9EA-9C438A99AE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2" name="Picture 284" descr="C:\pini\VolareSQL\images\linha.gif">
          <a:extLst>
            <a:ext uri="{FF2B5EF4-FFF2-40B4-BE49-F238E27FC236}">
              <a16:creationId xmlns:a16="http://schemas.microsoft.com/office/drawing/2014/main" id="{B5DB2B21-2518-47CE-A78D-84BBD2CEC86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3" name="Picture 285" descr="C:\pini\VolareSQL\images\linha.gif">
          <a:extLst>
            <a:ext uri="{FF2B5EF4-FFF2-40B4-BE49-F238E27FC236}">
              <a16:creationId xmlns:a16="http://schemas.microsoft.com/office/drawing/2014/main" id="{237D6109-A5C0-4F80-B5F9-DA7E655575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4" name="Picture 286" descr="C:\pini\VolareSQL\images\linha.gif">
          <a:extLst>
            <a:ext uri="{FF2B5EF4-FFF2-40B4-BE49-F238E27FC236}">
              <a16:creationId xmlns:a16="http://schemas.microsoft.com/office/drawing/2014/main" id="{2FE02A49-9FD8-4B40-905E-73436855355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5" name="Picture 287" descr="C:\pini\VolareSQL\images\linha.gif">
          <a:extLst>
            <a:ext uri="{FF2B5EF4-FFF2-40B4-BE49-F238E27FC236}">
              <a16:creationId xmlns:a16="http://schemas.microsoft.com/office/drawing/2014/main" id="{D0B58E9E-B3C1-4FC3-AC9F-478FE7B8EEF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6" name="Picture 288" descr="C:\pini\VolareSQL\images\linha.gif">
          <a:extLst>
            <a:ext uri="{FF2B5EF4-FFF2-40B4-BE49-F238E27FC236}">
              <a16:creationId xmlns:a16="http://schemas.microsoft.com/office/drawing/2014/main" id="{2191DD14-3F85-4112-B755-1320749A369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7" name="Picture 289" descr="C:\pini\VolareSQL\images\linha.gif">
          <a:extLst>
            <a:ext uri="{FF2B5EF4-FFF2-40B4-BE49-F238E27FC236}">
              <a16:creationId xmlns:a16="http://schemas.microsoft.com/office/drawing/2014/main" id="{472749E9-CE0A-4448-98E7-33D5503874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8" name="Picture 290" descr="C:\pini\VolareSQL\images\linha.gif">
          <a:extLst>
            <a:ext uri="{FF2B5EF4-FFF2-40B4-BE49-F238E27FC236}">
              <a16:creationId xmlns:a16="http://schemas.microsoft.com/office/drawing/2014/main" id="{38205618-B9FA-47C9-9523-2978588B8D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49" name="Picture 291" descr="C:\pini\VolareSQL\images\linha.gif">
          <a:extLst>
            <a:ext uri="{FF2B5EF4-FFF2-40B4-BE49-F238E27FC236}">
              <a16:creationId xmlns:a16="http://schemas.microsoft.com/office/drawing/2014/main" id="{583D8254-A0BF-4457-8ED1-A5DEF15DFF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0" name="Picture 292" descr="C:\pini\VolareSQL\images\linha.gif">
          <a:extLst>
            <a:ext uri="{FF2B5EF4-FFF2-40B4-BE49-F238E27FC236}">
              <a16:creationId xmlns:a16="http://schemas.microsoft.com/office/drawing/2014/main" id="{AFC868FE-9075-4AEF-9B71-E5E41268586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1" name="Picture 293" descr="C:\pini\VolareSQL\images\linha.gif">
          <a:extLst>
            <a:ext uri="{FF2B5EF4-FFF2-40B4-BE49-F238E27FC236}">
              <a16:creationId xmlns:a16="http://schemas.microsoft.com/office/drawing/2014/main" id="{F80B5BEB-5B8C-4849-8D4E-705886C894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2" name="Picture 294" descr="C:\pini\VolareSQL\images\linha.gif">
          <a:extLst>
            <a:ext uri="{FF2B5EF4-FFF2-40B4-BE49-F238E27FC236}">
              <a16:creationId xmlns:a16="http://schemas.microsoft.com/office/drawing/2014/main" id="{EE3344FE-1E44-41D5-80C6-47E845F430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3" name="Picture 295" descr="C:\pini\VolareSQL\images\linha.gif">
          <a:extLst>
            <a:ext uri="{FF2B5EF4-FFF2-40B4-BE49-F238E27FC236}">
              <a16:creationId xmlns:a16="http://schemas.microsoft.com/office/drawing/2014/main" id="{C481B9E1-49BE-4177-937F-9F0E153309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4" name="Picture 296" descr="C:\pini\VolareSQL\images\linha.gif">
          <a:extLst>
            <a:ext uri="{FF2B5EF4-FFF2-40B4-BE49-F238E27FC236}">
              <a16:creationId xmlns:a16="http://schemas.microsoft.com/office/drawing/2014/main" id="{17017E15-2723-4580-A34F-2E036A90354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5" name="Picture 297" descr="C:\pini\VolareSQL\images\linha.gif">
          <a:extLst>
            <a:ext uri="{FF2B5EF4-FFF2-40B4-BE49-F238E27FC236}">
              <a16:creationId xmlns:a16="http://schemas.microsoft.com/office/drawing/2014/main" id="{A9B4DFCC-1A5B-4815-9E47-0B17F80ED3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6" name="Picture 298" descr="C:\pini\VolareSQL\images\linha.gif">
          <a:extLst>
            <a:ext uri="{FF2B5EF4-FFF2-40B4-BE49-F238E27FC236}">
              <a16:creationId xmlns:a16="http://schemas.microsoft.com/office/drawing/2014/main" id="{B593BF7F-622E-41CB-AE94-FDE9EAFB83F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7" name="Picture 299" descr="C:\pini\VolareSQL\images\linha.gif">
          <a:extLst>
            <a:ext uri="{FF2B5EF4-FFF2-40B4-BE49-F238E27FC236}">
              <a16:creationId xmlns:a16="http://schemas.microsoft.com/office/drawing/2014/main" id="{A41B38E0-89ED-4114-9A68-4CCA1E3631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8" name="Picture 300" descr="C:\pini\VolareSQL\images\linha.gif">
          <a:extLst>
            <a:ext uri="{FF2B5EF4-FFF2-40B4-BE49-F238E27FC236}">
              <a16:creationId xmlns:a16="http://schemas.microsoft.com/office/drawing/2014/main" id="{7269AD59-FBF9-43CA-AD4F-20585E12D84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59" name="Picture 301" descr="C:\pini\VolareSQL\images\linha.gif">
          <a:extLst>
            <a:ext uri="{FF2B5EF4-FFF2-40B4-BE49-F238E27FC236}">
              <a16:creationId xmlns:a16="http://schemas.microsoft.com/office/drawing/2014/main" id="{50FE6976-D1EA-4A36-AD1A-D319A8160A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0" name="Picture 302" descr="C:\pini\VolareSQL\images\linha.gif">
          <a:extLst>
            <a:ext uri="{FF2B5EF4-FFF2-40B4-BE49-F238E27FC236}">
              <a16:creationId xmlns:a16="http://schemas.microsoft.com/office/drawing/2014/main" id="{5B6A95A7-0A08-4423-9E05-4E90FA2D3D2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1" name="Picture 303" descr="C:\pini\VolareSQL\images\linha.gif">
          <a:extLst>
            <a:ext uri="{FF2B5EF4-FFF2-40B4-BE49-F238E27FC236}">
              <a16:creationId xmlns:a16="http://schemas.microsoft.com/office/drawing/2014/main" id="{2C31252A-4CEC-40CA-ACA2-A2A76DD23D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2" name="Picture 304" descr="C:\pini\VolareSQL\images\linha.gif">
          <a:extLst>
            <a:ext uri="{FF2B5EF4-FFF2-40B4-BE49-F238E27FC236}">
              <a16:creationId xmlns:a16="http://schemas.microsoft.com/office/drawing/2014/main" id="{9CA78AEC-040D-49BB-A34A-C7009EE426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3" name="Picture 305" descr="C:\pini\VolareSQL\images\linha.gif">
          <a:extLst>
            <a:ext uri="{FF2B5EF4-FFF2-40B4-BE49-F238E27FC236}">
              <a16:creationId xmlns:a16="http://schemas.microsoft.com/office/drawing/2014/main" id="{0234ED09-EBD1-4119-AEB3-94B6EEF16F8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4" name="Picture 306" descr="C:\pini\VolareSQL\images\linha.gif">
          <a:extLst>
            <a:ext uri="{FF2B5EF4-FFF2-40B4-BE49-F238E27FC236}">
              <a16:creationId xmlns:a16="http://schemas.microsoft.com/office/drawing/2014/main" id="{3A89EAA5-25C8-4D5B-BB7E-7BE3E41240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5" name="Picture 307" descr="C:\pini\VolareSQL\images\linha.gif">
          <a:extLst>
            <a:ext uri="{FF2B5EF4-FFF2-40B4-BE49-F238E27FC236}">
              <a16:creationId xmlns:a16="http://schemas.microsoft.com/office/drawing/2014/main" id="{A2F17EA1-449D-42A9-BDCF-4B03208C618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6" name="Picture 308" descr="C:\pini\VolareSQL\images\linha.gif">
          <a:extLst>
            <a:ext uri="{FF2B5EF4-FFF2-40B4-BE49-F238E27FC236}">
              <a16:creationId xmlns:a16="http://schemas.microsoft.com/office/drawing/2014/main" id="{E2707A8A-9CF4-470C-BEDB-52D991851BF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7" name="Picture 309" descr="C:\pini\VolareSQL\images\linha.gif">
          <a:extLst>
            <a:ext uri="{FF2B5EF4-FFF2-40B4-BE49-F238E27FC236}">
              <a16:creationId xmlns:a16="http://schemas.microsoft.com/office/drawing/2014/main" id="{B64CBD88-779F-4F2B-AE20-34C1BE80768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8" name="Picture 310" descr="C:\pini\VolareSQL\images\linha.gif">
          <a:extLst>
            <a:ext uri="{FF2B5EF4-FFF2-40B4-BE49-F238E27FC236}">
              <a16:creationId xmlns:a16="http://schemas.microsoft.com/office/drawing/2014/main" id="{A148981B-1585-4D01-B820-B506314652D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69" name="Picture 311" descr="C:\pini\VolareSQL\images\linha.gif">
          <a:extLst>
            <a:ext uri="{FF2B5EF4-FFF2-40B4-BE49-F238E27FC236}">
              <a16:creationId xmlns:a16="http://schemas.microsoft.com/office/drawing/2014/main" id="{554C883D-5487-4B40-920B-B9B9C82CF2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0" name="Picture 312" descr="C:\pini\VolareSQL\images\linha.gif">
          <a:extLst>
            <a:ext uri="{FF2B5EF4-FFF2-40B4-BE49-F238E27FC236}">
              <a16:creationId xmlns:a16="http://schemas.microsoft.com/office/drawing/2014/main" id="{85A7EDE3-7A8D-48FC-BB68-2DD61238F8E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1" name="Picture 313" descr="C:\pini\VolareSQL\images\linha.gif">
          <a:extLst>
            <a:ext uri="{FF2B5EF4-FFF2-40B4-BE49-F238E27FC236}">
              <a16:creationId xmlns:a16="http://schemas.microsoft.com/office/drawing/2014/main" id="{2C0B77D3-C5FF-43F6-B3FF-7E69B40AD1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2" name="Picture 314" descr="C:\pini\VolareSQL\images\linha.gif">
          <a:extLst>
            <a:ext uri="{FF2B5EF4-FFF2-40B4-BE49-F238E27FC236}">
              <a16:creationId xmlns:a16="http://schemas.microsoft.com/office/drawing/2014/main" id="{53B8D13D-740E-4158-8191-7193A77FBC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3" name="Picture 315" descr="C:\pini\VolareSQL\images\linha.gif">
          <a:extLst>
            <a:ext uri="{FF2B5EF4-FFF2-40B4-BE49-F238E27FC236}">
              <a16:creationId xmlns:a16="http://schemas.microsoft.com/office/drawing/2014/main" id="{CD1D3C20-16AE-4F40-94C2-1BE1AD9ACD5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4" name="Picture 316" descr="C:\pini\VolareSQL\images\linha.gif">
          <a:extLst>
            <a:ext uri="{FF2B5EF4-FFF2-40B4-BE49-F238E27FC236}">
              <a16:creationId xmlns:a16="http://schemas.microsoft.com/office/drawing/2014/main" id="{460E2DC9-84C8-404C-96C6-A2D54E1C935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5" name="Picture 317" descr="C:\pini\VolareSQL\images\linha.gif">
          <a:extLst>
            <a:ext uri="{FF2B5EF4-FFF2-40B4-BE49-F238E27FC236}">
              <a16:creationId xmlns:a16="http://schemas.microsoft.com/office/drawing/2014/main" id="{00232B4F-E1F4-4CDD-A798-EFE5EF0ACB8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6" name="Picture 318" descr="C:\pini\VolareSQL\images\linha.gif">
          <a:extLst>
            <a:ext uri="{FF2B5EF4-FFF2-40B4-BE49-F238E27FC236}">
              <a16:creationId xmlns:a16="http://schemas.microsoft.com/office/drawing/2014/main" id="{F50767AE-B5CF-4865-BFCC-45043207050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7" name="Picture 319" descr="C:\pini\VolareSQL\images\linha.gif">
          <a:extLst>
            <a:ext uri="{FF2B5EF4-FFF2-40B4-BE49-F238E27FC236}">
              <a16:creationId xmlns:a16="http://schemas.microsoft.com/office/drawing/2014/main" id="{07D0E51A-3663-4E93-BC3C-925F8B95DDD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8" name="Picture 320" descr="C:\pini\VolareSQL\images\linha.gif">
          <a:extLst>
            <a:ext uri="{FF2B5EF4-FFF2-40B4-BE49-F238E27FC236}">
              <a16:creationId xmlns:a16="http://schemas.microsoft.com/office/drawing/2014/main" id="{1A600ACF-8D30-4C36-BD88-81B850271D0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79" name="Picture 321" descr="C:\pini\VolareSQL\images\linha.gif">
          <a:extLst>
            <a:ext uri="{FF2B5EF4-FFF2-40B4-BE49-F238E27FC236}">
              <a16:creationId xmlns:a16="http://schemas.microsoft.com/office/drawing/2014/main" id="{E6A68E7F-5DD3-4D1A-BFE1-087DACC91FC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0" name="Picture 322" descr="C:\pini\VolareSQL\images\linha.gif">
          <a:extLst>
            <a:ext uri="{FF2B5EF4-FFF2-40B4-BE49-F238E27FC236}">
              <a16:creationId xmlns:a16="http://schemas.microsoft.com/office/drawing/2014/main" id="{2A8EB424-2F0F-4065-8186-F4D6D0E6A0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1" name="Picture 323" descr="C:\pini\VolareSQL\images\linha.gif">
          <a:extLst>
            <a:ext uri="{FF2B5EF4-FFF2-40B4-BE49-F238E27FC236}">
              <a16:creationId xmlns:a16="http://schemas.microsoft.com/office/drawing/2014/main" id="{B456EB82-8939-496F-AE15-E448882043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2" name="Picture 324" descr="C:\pini\VolareSQL\images\linha.gif">
          <a:extLst>
            <a:ext uri="{FF2B5EF4-FFF2-40B4-BE49-F238E27FC236}">
              <a16:creationId xmlns:a16="http://schemas.microsoft.com/office/drawing/2014/main" id="{5B2A5944-0F85-4394-BECA-205A520CFF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3" name="Picture 325" descr="C:\pini\VolareSQL\images\linha.gif">
          <a:extLst>
            <a:ext uri="{FF2B5EF4-FFF2-40B4-BE49-F238E27FC236}">
              <a16:creationId xmlns:a16="http://schemas.microsoft.com/office/drawing/2014/main" id="{4A9F7B7A-8414-4B05-8C5F-6C3B18D47EB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4" name="Picture 326" descr="C:\pini\VolareSQL\images\linha.gif">
          <a:extLst>
            <a:ext uri="{FF2B5EF4-FFF2-40B4-BE49-F238E27FC236}">
              <a16:creationId xmlns:a16="http://schemas.microsoft.com/office/drawing/2014/main" id="{8029D897-3A96-4200-B7C3-70100E742FA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5" name="Picture 327" descr="C:\pini\VolareSQL\images\linha.gif">
          <a:extLst>
            <a:ext uri="{FF2B5EF4-FFF2-40B4-BE49-F238E27FC236}">
              <a16:creationId xmlns:a16="http://schemas.microsoft.com/office/drawing/2014/main" id="{E360E7A9-0117-41C6-9C26-8BABD9578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6" name="Picture 328" descr="C:\pini\VolareSQL\images\linha.gif">
          <a:extLst>
            <a:ext uri="{FF2B5EF4-FFF2-40B4-BE49-F238E27FC236}">
              <a16:creationId xmlns:a16="http://schemas.microsoft.com/office/drawing/2014/main" id="{18517344-5919-4B36-9DB9-DBBCA80631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7" name="Picture 329" descr="C:\pini\VolareSQL\images\linha.gif">
          <a:extLst>
            <a:ext uri="{FF2B5EF4-FFF2-40B4-BE49-F238E27FC236}">
              <a16:creationId xmlns:a16="http://schemas.microsoft.com/office/drawing/2014/main" id="{11D2A737-1C55-4D5B-83A9-A72600011E1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8" name="Picture 330" descr="C:\pini\VolareSQL\images\linha.gif">
          <a:extLst>
            <a:ext uri="{FF2B5EF4-FFF2-40B4-BE49-F238E27FC236}">
              <a16:creationId xmlns:a16="http://schemas.microsoft.com/office/drawing/2014/main" id="{0C2F4B5C-581B-4B2F-A701-C024146EFF5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89" name="Picture 331" descr="C:\pini\VolareSQL\images\linha.gif">
          <a:extLst>
            <a:ext uri="{FF2B5EF4-FFF2-40B4-BE49-F238E27FC236}">
              <a16:creationId xmlns:a16="http://schemas.microsoft.com/office/drawing/2014/main" id="{9AC94FEA-CA0C-4DBF-AE35-8C0B8E053F1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0" name="Picture 332" descr="C:\pini\VolareSQL\images\linha.gif">
          <a:extLst>
            <a:ext uri="{FF2B5EF4-FFF2-40B4-BE49-F238E27FC236}">
              <a16:creationId xmlns:a16="http://schemas.microsoft.com/office/drawing/2014/main" id="{A7FDABF0-88B2-4E90-AEF2-0B15CAAB0D4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1" name="Picture 333" descr="C:\pini\VolareSQL\images\linha.gif">
          <a:extLst>
            <a:ext uri="{FF2B5EF4-FFF2-40B4-BE49-F238E27FC236}">
              <a16:creationId xmlns:a16="http://schemas.microsoft.com/office/drawing/2014/main" id="{D3F96858-3541-435B-B943-ADF1B5DCAC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2" name="Picture 334" descr="C:\pini\VolareSQL\images\linha.gif">
          <a:extLst>
            <a:ext uri="{FF2B5EF4-FFF2-40B4-BE49-F238E27FC236}">
              <a16:creationId xmlns:a16="http://schemas.microsoft.com/office/drawing/2014/main" id="{EDFFE884-5672-4D45-8053-34F43DAAE08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3" name="Picture 335" descr="C:\pini\VolareSQL\images\linha.gif">
          <a:extLst>
            <a:ext uri="{FF2B5EF4-FFF2-40B4-BE49-F238E27FC236}">
              <a16:creationId xmlns:a16="http://schemas.microsoft.com/office/drawing/2014/main" id="{EE842605-E923-4C46-933D-2A0C4AF289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4" name="Picture 336" descr="C:\pini\VolareSQL\images\linha.gif">
          <a:extLst>
            <a:ext uri="{FF2B5EF4-FFF2-40B4-BE49-F238E27FC236}">
              <a16:creationId xmlns:a16="http://schemas.microsoft.com/office/drawing/2014/main" id="{E5E3541A-5E85-4EB3-86A2-46635B1372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5" name="Picture 337" descr="C:\pini\VolareSQL\images\linha.gif">
          <a:extLst>
            <a:ext uri="{FF2B5EF4-FFF2-40B4-BE49-F238E27FC236}">
              <a16:creationId xmlns:a16="http://schemas.microsoft.com/office/drawing/2014/main" id="{A82AC901-B650-4ACC-B9CE-09B086F8F0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6" name="Picture 338" descr="C:\pini\VolareSQL\images\linha.gif">
          <a:extLst>
            <a:ext uri="{FF2B5EF4-FFF2-40B4-BE49-F238E27FC236}">
              <a16:creationId xmlns:a16="http://schemas.microsoft.com/office/drawing/2014/main" id="{943A2EC0-D823-41A9-A860-5C6469F372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7" name="Picture 339" descr="C:\pini\VolareSQL\images\linha.gif">
          <a:extLst>
            <a:ext uri="{FF2B5EF4-FFF2-40B4-BE49-F238E27FC236}">
              <a16:creationId xmlns:a16="http://schemas.microsoft.com/office/drawing/2014/main" id="{FF8C506F-0D6A-4A86-A26C-F2B7AA466DE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8" name="Picture 340" descr="C:\pini\VolareSQL\images\linha.gif">
          <a:extLst>
            <a:ext uri="{FF2B5EF4-FFF2-40B4-BE49-F238E27FC236}">
              <a16:creationId xmlns:a16="http://schemas.microsoft.com/office/drawing/2014/main" id="{51AA4E10-F273-4D08-99C9-F1133DF015D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599" name="Picture 341" descr="C:\pini\VolareSQL\images\linha.gif">
          <a:extLst>
            <a:ext uri="{FF2B5EF4-FFF2-40B4-BE49-F238E27FC236}">
              <a16:creationId xmlns:a16="http://schemas.microsoft.com/office/drawing/2014/main" id="{34E87BF5-C875-422A-926F-DF794A99036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0" name="Picture 342" descr="C:\pini\VolareSQL\images\linha.gif">
          <a:extLst>
            <a:ext uri="{FF2B5EF4-FFF2-40B4-BE49-F238E27FC236}">
              <a16:creationId xmlns:a16="http://schemas.microsoft.com/office/drawing/2014/main" id="{1C1FC976-4BBB-4F8D-9CF9-EA0B8FA0DAA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1" name="Picture 343" descr="C:\pini\VolareSQL\images\linha.gif">
          <a:extLst>
            <a:ext uri="{FF2B5EF4-FFF2-40B4-BE49-F238E27FC236}">
              <a16:creationId xmlns:a16="http://schemas.microsoft.com/office/drawing/2014/main" id="{A7E895B8-EBAE-44B5-AA07-73EE6C75D67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2" name="Picture 344" descr="C:\pini\VolareSQL\images\linha.gif">
          <a:extLst>
            <a:ext uri="{FF2B5EF4-FFF2-40B4-BE49-F238E27FC236}">
              <a16:creationId xmlns:a16="http://schemas.microsoft.com/office/drawing/2014/main" id="{AD31EB45-BC0F-4C49-9319-754E442F552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3" name="Picture 345" descr="C:\pini\VolareSQL\images\linha.gif">
          <a:extLst>
            <a:ext uri="{FF2B5EF4-FFF2-40B4-BE49-F238E27FC236}">
              <a16:creationId xmlns:a16="http://schemas.microsoft.com/office/drawing/2014/main" id="{C8C29294-05EE-43AD-876C-455DE67F6E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4" name="Picture 346" descr="C:\pini\VolareSQL\images\linha.gif">
          <a:extLst>
            <a:ext uri="{FF2B5EF4-FFF2-40B4-BE49-F238E27FC236}">
              <a16:creationId xmlns:a16="http://schemas.microsoft.com/office/drawing/2014/main" id="{24985A52-0BEE-4679-ADD9-45BDCC1AF8B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5" name="Picture 347" descr="C:\pini\VolareSQL\images\linha.gif">
          <a:extLst>
            <a:ext uri="{FF2B5EF4-FFF2-40B4-BE49-F238E27FC236}">
              <a16:creationId xmlns:a16="http://schemas.microsoft.com/office/drawing/2014/main" id="{2E588338-4830-4330-8712-AD5FF86A66E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6" name="Picture 348" descr="C:\pini\VolareSQL\images\linha.gif">
          <a:extLst>
            <a:ext uri="{FF2B5EF4-FFF2-40B4-BE49-F238E27FC236}">
              <a16:creationId xmlns:a16="http://schemas.microsoft.com/office/drawing/2014/main" id="{BA439BE0-AD11-4923-A60E-64943717531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07" name="Picture 349" descr="C:\pini\VolareSQL\images\linha.gif">
          <a:extLst>
            <a:ext uri="{FF2B5EF4-FFF2-40B4-BE49-F238E27FC236}">
              <a16:creationId xmlns:a16="http://schemas.microsoft.com/office/drawing/2014/main" id="{AD9FE5D8-DE0D-42F8-8946-FC42B7DEC5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00" y="18192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694266</xdr:colOff>
      <xdr:row>0</xdr:row>
      <xdr:rowOff>101600</xdr:rowOff>
    </xdr:from>
    <xdr:to>
      <xdr:col>1</xdr:col>
      <xdr:colOff>342327</xdr:colOff>
      <xdr:row>2</xdr:row>
      <xdr:rowOff>151403</xdr:rowOff>
    </xdr:to>
    <xdr:pic>
      <xdr:nvPicPr>
        <xdr:cNvPr id="608" name="image2.jpg">
          <a:extLst>
            <a:ext uri="{FF2B5EF4-FFF2-40B4-BE49-F238E27FC236}">
              <a16:creationId xmlns:a16="http://schemas.microsoft.com/office/drawing/2014/main" id="{5C0897BC-9749-4B3E-BD66-8335A8C26166}"/>
            </a:ext>
          </a:extLst>
        </xdr:cNvPr>
        <xdr:cNvPicPr/>
      </xdr:nvPicPr>
      <xdr:blipFill>
        <a:blip xmlns:r="http://schemas.openxmlformats.org/officeDocument/2006/relationships" r:embed="rId2"/>
        <a:srcRect/>
        <a:stretch>
          <a:fillRect/>
        </a:stretch>
      </xdr:blipFill>
      <xdr:spPr>
        <a:xfrm>
          <a:off x="694266" y="101600"/>
          <a:ext cx="435461" cy="439270"/>
        </a:xfrm>
        <a:prstGeom prst="rect">
          <a:avLst/>
        </a:prstGeom>
        <a:ln/>
      </xdr:spPr>
    </xdr:pic>
    <xdr:clientData/>
  </xdr:twoCellAnchor>
  <xdr:twoCellAnchor editAs="oneCell">
    <xdr:from>
      <xdr:col>2</xdr:col>
      <xdr:colOff>0</xdr:colOff>
      <xdr:row>9</xdr:row>
      <xdr:rowOff>0</xdr:rowOff>
    </xdr:from>
    <xdr:to>
      <xdr:col>2</xdr:col>
      <xdr:colOff>9525</xdr:colOff>
      <xdr:row>9</xdr:row>
      <xdr:rowOff>0</xdr:rowOff>
    </xdr:to>
    <xdr:pic>
      <xdr:nvPicPr>
        <xdr:cNvPr id="609" name="Picture 2" descr="C:\pini\VolareSQL\images\linha.gif">
          <a:extLst>
            <a:ext uri="{FF2B5EF4-FFF2-40B4-BE49-F238E27FC236}">
              <a16:creationId xmlns:a16="http://schemas.microsoft.com/office/drawing/2014/main" id="{CA34F906-931B-4643-9089-465CE8C0408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0" name="Picture 3" descr="C:\pini\VolareSQL\images\linha.gif">
          <a:extLst>
            <a:ext uri="{FF2B5EF4-FFF2-40B4-BE49-F238E27FC236}">
              <a16:creationId xmlns:a16="http://schemas.microsoft.com/office/drawing/2014/main" id="{8AF9526E-B295-4950-9024-E430B23AE54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1" name="Picture 4" descr="C:\pini\VolareSQL\images\linha.gif">
          <a:extLst>
            <a:ext uri="{FF2B5EF4-FFF2-40B4-BE49-F238E27FC236}">
              <a16:creationId xmlns:a16="http://schemas.microsoft.com/office/drawing/2014/main" id="{363C39AA-654D-40B2-B51C-AE2655E19F5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2" name="Picture 5" descr="C:\pini\VolareSQL\images\linha.gif">
          <a:extLst>
            <a:ext uri="{FF2B5EF4-FFF2-40B4-BE49-F238E27FC236}">
              <a16:creationId xmlns:a16="http://schemas.microsoft.com/office/drawing/2014/main" id="{41C6C5A9-1FE9-4F5E-9413-7B2386DD66C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3" name="Picture 6" descr="C:\pini\VolareSQL\images\linha.gif">
          <a:extLst>
            <a:ext uri="{FF2B5EF4-FFF2-40B4-BE49-F238E27FC236}">
              <a16:creationId xmlns:a16="http://schemas.microsoft.com/office/drawing/2014/main" id="{B9CCC05C-3E32-4D86-8994-1F5EBE487EE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4" name="Picture 7" descr="C:\pini\VolareSQL\images\linha.gif">
          <a:extLst>
            <a:ext uri="{FF2B5EF4-FFF2-40B4-BE49-F238E27FC236}">
              <a16:creationId xmlns:a16="http://schemas.microsoft.com/office/drawing/2014/main" id="{2ECD18FD-2CDC-4B85-93F5-654C55CC735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5" name="Picture 8" descr="C:\pini\VolareSQL\images\linha.gif">
          <a:extLst>
            <a:ext uri="{FF2B5EF4-FFF2-40B4-BE49-F238E27FC236}">
              <a16:creationId xmlns:a16="http://schemas.microsoft.com/office/drawing/2014/main" id="{2C27F708-172B-44D1-B89D-EF34E76FC89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6" name="Picture 9" descr="C:\pini\VolareSQL\images\linha.gif">
          <a:extLst>
            <a:ext uri="{FF2B5EF4-FFF2-40B4-BE49-F238E27FC236}">
              <a16:creationId xmlns:a16="http://schemas.microsoft.com/office/drawing/2014/main" id="{51D0CBF0-16A2-493E-9237-FA5D1F5A5BB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7" name="Picture 10" descr="C:\pini\VolareSQL\images\linha.gif">
          <a:extLst>
            <a:ext uri="{FF2B5EF4-FFF2-40B4-BE49-F238E27FC236}">
              <a16:creationId xmlns:a16="http://schemas.microsoft.com/office/drawing/2014/main" id="{552F1069-6E9A-44AC-87EB-D57A4672F66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8" name="Picture 11" descr="C:\pini\VolareSQL\images\linha.gif">
          <a:extLst>
            <a:ext uri="{FF2B5EF4-FFF2-40B4-BE49-F238E27FC236}">
              <a16:creationId xmlns:a16="http://schemas.microsoft.com/office/drawing/2014/main" id="{C893DD30-D970-466F-BD65-1403E38BDC2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19" name="Picture 12" descr="C:\pini\VolareSQL\images\linha.gif">
          <a:extLst>
            <a:ext uri="{FF2B5EF4-FFF2-40B4-BE49-F238E27FC236}">
              <a16:creationId xmlns:a16="http://schemas.microsoft.com/office/drawing/2014/main" id="{72C7DE98-C623-46E2-9A95-60460124FE0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0" name="Picture 13" descr="C:\pini\VolareSQL\images\linha.gif">
          <a:extLst>
            <a:ext uri="{FF2B5EF4-FFF2-40B4-BE49-F238E27FC236}">
              <a16:creationId xmlns:a16="http://schemas.microsoft.com/office/drawing/2014/main" id="{078D8187-DA3E-4DAF-BBA4-054544D476D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1" name="Picture 14" descr="C:\pini\VolareSQL\images\linha.gif">
          <a:extLst>
            <a:ext uri="{FF2B5EF4-FFF2-40B4-BE49-F238E27FC236}">
              <a16:creationId xmlns:a16="http://schemas.microsoft.com/office/drawing/2014/main" id="{E9022C41-FD10-4460-B69A-ED69BBD30C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2" name="Picture 15" descr="C:\pini\VolareSQL\images\linha.gif">
          <a:extLst>
            <a:ext uri="{FF2B5EF4-FFF2-40B4-BE49-F238E27FC236}">
              <a16:creationId xmlns:a16="http://schemas.microsoft.com/office/drawing/2014/main" id="{59AC42F6-1991-45E9-82CB-DF5475492B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3" name="Picture 16" descr="C:\pini\VolareSQL\images\linha.gif">
          <a:extLst>
            <a:ext uri="{FF2B5EF4-FFF2-40B4-BE49-F238E27FC236}">
              <a16:creationId xmlns:a16="http://schemas.microsoft.com/office/drawing/2014/main" id="{C9E5C115-498F-4962-9B0E-FD56F4289C9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4" name="Picture 17" descr="C:\pini\VolareSQL\images\linha.gif">
          <a:extLst>
            <a:ext uri="{FF2B5EF4-FFF2-40B4-BE49-F238E27FC236}">
              <a16:creationId xmlns:a16="http://schemas.microsoft.com/office/drawing/2014/main" id="{0F05DA98-96EA-4A28-BBB5-C3D5B65E3A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5" name="Picture 18" descr="C:\pini\VolareSQL\images\linha.gif">
          <a:extLst>
            <a:ext uri="{FF2B5EF4-FFF2-40B4-BE49-F238E27FC236}">
              <a16:creationId xmlns:a16="http://schemas.microsoft.com/office/drawing/2014/main" id="{55AE57ED-4C97-4AE9-8A33-1F6B56371D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6" name="Picture 19" descr="C:\pini\VolareSQL\images\linha.gif">
          <a:extLst>
            <a:ext uri="{FF2B5EF4-FFF2-40B4-BE49-F238E27FC236}">
              <a16:creationId xmlns:a16="http://schemas.microsoft.com/office/drawing/2014/main" id="{EC1E9F0C-1055-4138-A041-0A8FBFC25FE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7" name="Picture 20" descr="C:\pini\VolareSQL\images\linha.gif">
          <a:extLst>
            <a:ext uri="{FF2B5EF4-FFF2-40B4-BE49-F238E27FC236}">
              <a16:creationId xmlns:a16="http://schemas.microsoft.com/office/drawing/2014/main" id="{5E410DDB-D8E8-4658-B1BE-9E67D3B6519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8" name="Picture 21" descr="C:\pini\VolareSQL\images\linha.gif">
          <a:extLst>
            <a:ext uri="{FF2B5EF4-FFF2-40B4-BE49-F238E27FC236}">
              <a16:creationId xmlns:a16="http://schemas.microsoft.com/office/drawing/2014/main" id="{2A3263DA-6B01-468B-AD88-8C512C94CC1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29" name="Picture 22" descr="C:\pini\VolareSQL\images\linha.gif">
          <a:extLst>
            <a:ext uri="{FF2B5EF4-FFF2-40B4-BE49-F238E27FC236}">
              <a16:creationId xmlns:a16="http://schemas.microsoft.com/office/drawing/2014/main" id="{B872F810-55AF-4165-9EF5-DAF3D861DCD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0" name="Picture 23" descr="C:\pini\VolareSQL\images\linha.gif">
          <a:extLst>
            <a:ext uri="{FF2B5EF4-FFF2-40B4-BE49-F238E27FC236}">
              <a16:creationId xmlns:a16="http://schemas.microsoft.com/office/drawing/2014/main" id="{CBF83D3A-54BD-4928-A3CE-CA9F5AC9F2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1" name="Picture 24" descr="C:\pini\VolareSQL\images\linha.gif">
          <a:extLst>
            <a:ext uri="{FF2B5EF4-FFF2-40B4-BE49-F238E27FC236}">
              <a16:creationId xmlns:a16="http://schemas.microsoft.com/office/drawing/2014/main" id="{D4CD9FDD-D40A-4C7B-9F3F-F6682411D57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2" name="Picture 25" descr="C:\pini\VolareSQL\images\linha.gif">
          <a:extLst>
            <a:ext uri="{FF2B5EF4-FFF2-40B4-BE49-F238E27FC236}">
              <a16:creationId xmlns:a16="http://schemas.microsoft.com/office/drawing/2014/main" id="{C1D65BA0-1BC0-4920-ADB3-C577B9386E1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3" name="Picture 26" descr="C:\pini\VolareSQL\images\linha.gif">
          <a:extLst>
            <a:ext uri="{FF2B5EF4-FFF2-40B4-BE49-F238E27FC236}">
              <a16:creationId xmlns:a16="http://schemas.microsoft.com/office/drawing/2014/main" id="{4648E606-70DA-4336-8098-B5BC3B3A5B1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4" name="Picture 27" descr="C:\pini\VolareSQL\images\linha.gif">
          <a:extLst>
            <a:ext uri="{FF2B5EF4-FFF2-40B4-BE49-F238E27FC236}">
              <a16:creationId xmlns:a16="http://schemas.microsoft.com/office/drawing/2014/main" id="{1D879912-01CA-4316-BBF7-83883E872CF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5" name="Picture 28" descr="C:\pini\VolareSQL\images\linha.gif">
          <a:extLst>
            <a:ext uri="{FF2B5EF4-FFF2-40B4-BE49-F238E27FC236}">
              <a16:creationId xmlns:a16="http://schemas.microsoft.com/office/drawing/2014/main" id="{24F90736-81AA-43A4-900C-D032BCCAD62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6" name="Picture 29" descr="C:\pini\VolareSQL\images\linha.gif">
          <a:extLst>
            <a:ext uri="{FF2B5EF4-FFF2-40B4-BE49-F238E27FC236}">
              <a16:creationId xmlns:a16="http://schemas.microsoft.com/office/drawing/2014/main" id="{E07158B7-87B3-41DD-BBB0-8A001D5E94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7" name="Picture 30" descr="C:\pini\VolareSQL\images\linha.gif">
          <a:extLst>
            <a:ext uri="{FF2B5EF4-FFF2-40B4-BE49-F238E27FC236}">
              <a16:creationId xmlns:a16="http://schemas.microsoft.com/office/drawing/2014/main" id="{6343A81D-E91E-4781-A88E-7C86BDBBE6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8" name="Picture 31" descr="C:\pini\VolareSQL\images\linha.gif">
          <a:extLst>
            <a:ext uri="{FF2B5EF4-FFF2-40B4-BE49-F238E27FC236}">
              <a16:creationId xmlns:a16="http://schemas.microsoft.com/office/drawing/2014/main" id="{0E2FD722-5FB6-40CA-A496-535077A298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39" name="Picture 32" descr="C:\pini\VolareSQL\images\linha.gif">
          <a:extLst>
            <a:ext uri="{FF2B5EF4-FFF2-40B4-BE49-F238E27FC236}">
              <a16:creationId xmlns:a16="http://schemas.microsoft.com/office/drawing/2014/main" id="{36A8EC33-22E8-4222-B363-1BF2F8A7696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0" name="Picture 33" descr="C:\pini\VolareSQL\images\linha.gif">
          <a:extLst>
            <a:ext uri="{FF2B5EF4-FFF2-40B4-BE49-F238E27FC236}">
              <a16:creationId xmlns:a16="http://schemas.microsoft.com/office/drawing/2014/main" id="{FECFE83E-A978-48D2-A542-F66D32924DE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1" name="Picture 34" descr="C:\pini\VolareSQL\images\linha.gif">
          <a:extLst>
            <a:ext uri="{FF2B5EF4-FFF2-40B4-BE49-F238E27FC236}">
              <a16:creationId xmlns:a16="http://schemas.microsoft.com/office/drawing/2014/main" id="{A10AED5D-87ED-4850-BD25-8491240D09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2" name="Picture 35" descr="C:\pini\VolareSQL\images\linha.gif">
          <a:extLst>
            <a:ext uri="{FF2B5EF4-FFF2-40B4-BE49-F238E27FC236}">
              <a16:creationId xmlns:a16="http://schemas.microsoft.com/office/drawing/2014/main" id="{88F816D8-B547-4BB7-80E7-0B035C74CA6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3" name="Picture 36" descr="C:\pini\VolareSQL\images\linha.gif">
          <a:extLst>
            <a:ext uri="{FF2B5EF4-FFF2-40B4-BE49-F238E27FC236}">
              <a16:creationId xmlns:a16="http://schemas.microsoft.com/office/drawing/2014/main" id="{1C91CFFE-A1DD-4AD5-852E-F4BC3C2F610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4" name="Picture 37" descr="C:\pini\VolareSQL\images\linha.gif">
          <a:extLst>
            <a:ext uri="{FF2B5EF4-FFF2-40B4-BE49-F238E27FC236}">
              <a16:creationId xmlns:a16="http://schemas.microsoft.com/office/drawing/2014/main" id="{1CE24A8B-4855-4CD6-977E-243000FC301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5" name="Picture 38" descr="C:\pini\VolareSQL\images\linha.gif">
          <a:extLst>
            <a:ext uri="{FF2B5EF4-FFF2-40B4-BE49-F238E27FC236}">
              <a16:creationId xmlns:a16="http://schemas.microsoft.com/office/drawing/2014/main" id="{7F9A0637-48B5-44ED-B53C-0773A421C58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6" name="Picture 39" descr="C:\pini\VolareSQL\images\linha.gif">
          <a:extLst>
            <a:ext uri="{FF2B5EF4-FFF2-40B4-BE49-F238E27FC236}">
              <a16:creationId xmlns:a16="http://schemas.microsoft.com/office/drawing/2014/main" id="{915880A2-AAF1-4390-9CED-353F1B1AFE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7" name="Picture 40" descr="C:\pini\VolareSQL\images\linha.gif">
          <a:extLst>
            <a:ext uri="{FF2B5EF4-FFF2-40B4-BE49-F238E27FC236}">
              <a16:creationId xmlns:a16="http://schemas.microsoft.com/office/drawing/2014/main" id="{5DF464C7-37F0-4034-A62A-CA4233388B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8" name="Picture 41" descr="C:\pini\VolareSQL\images\linha.gif">
          <a:extLst>
            <a:ext uri="{FF2B5EF4-FFF2-40B4-BE49-F238E27FC236}">
              <a16:creationId xmlns:a16="http://schemas.microsoft.com/office/drawing/2014/main" id="{DE554403-058C-41EB-8F78-1745C01311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49" name="Picture 42" descr="C:\pini\VolareSQL\images\linha.gif">
          <a:extLst>
            <a:ext uri="{FF2B5EF4-FFF2-40B4-BE49-F238E27FC236}">
              <a16:creationId xmlns:a16="http://schemas.microsoft.com/office/drawing/2014/main" id="{C3677D75-55CB-4E7A-A532-AEBE6FAF6F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0" name="Picture 43" descr="C:\pini\VolareSQL\images\linha.gif">
          <a:extLst>
            <a:ext uri="{FF2B5EF4-FFF2-40B4-BE49-F238E27FC236}">
              <a16:creationId xmlns:a16="http://schemas.microsoft.com/office/drawing/2014/main" id="{D46624FE-3E47-4C64-BB42-9CBED845743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1" name="Picture 44" descr="C:\pini\VolareSQL\images\linha.gif">
          <a:extLst>
            <a:ext uri="{FF2B5EF4-FFF2-40B4-BE49-F238E27FC236}">
              <a16:creationId xmlns:a16="http://schemas.microsoft.com/office/drawing/2014/main" id="{A8CB9262-2549-4804-B61D-2C07AE9CC27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2" name="Picture 45" descr="C:\pini\VolareSQL\images\linha.gif">
          <a:extLst>
            <a:ext uri="{FF2B5EF4-FFF2-40B4-BE49-F238E27FC236}">
              <a16:creationId xmlns:a16="http://schemas.microsoft.com/office/drawing/2014/main" id="{D18254FC-A44C-407D-ABD4-DF44F08088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3" name="Picture 46" descr="C:\pini\VolareSQL\images\linha.gif">
          <a:extLst>
            <a:ext uri="{FF2B5EF4-FFF2-40B4-BE49-F238E27FC236}">
              <a16:creationId xmlns:a16="http://schemas.microsoft.com/office/drawing/2014/main" id="{EE957C48-AB0E-4A9F-9216-AD76006290F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4" name="Picture 47" descr="C:\pini\VolareSQL\images\linha.gif">
          <a:extLst>
            <a:ext uri="{FF2B5EF4-FFF2-40B4-BE49-F238E27FC236}">
              <a16:creationId xmlns:a16="http://schemas.microsoft.com/office/drawing/2014/main" id="{3923CFA8-5536-42B4-945F-D20A2DA95EA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5" name="Picture 48" descr="C:\pini\VolareSQL\images\linha.gif">
          <a:extLst>
            <a:ext uri="{FF2B5EF4-FFF2-40B4-BE49-F238E27FC236}">
              <a16:creationId xmlns:a16="http://schemas.microsoft.com/office/drawing/2014/main" id="{6B1C80D2-2882-46B8-9D30-E3205DCFBCC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6" name="Picture 49" descr="C:\pini\VolareSQL\images\linha.gif">
          <a:extLst>
            <a:ext uri="{FF2B5EF4-FFF2-40B4-BE49-F238E27FC236}">
              <a16:creationId xmlns:a16="http://schemas.microsoft.com/office/drawing/2014/main" id="{41AAB411-5913-4346-834A-4ACD1A8DB8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7" name="Picture 50" descr="C:\pini\VolareSQL\images\linha.gif">
          <a:extLst>
            <a:ext uri="{FF2B5EF4-FFF2-40B4-BE49-F238E27FC236}">
              <a16:creationId xmlns:a16="http://schemas.microsoft.com/office/drawing/2014/main" id="{E475F9F3-0353-4058-9F55-AAF20BE4F4E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8" name="Picture 51" descr="C:\pini\VolareSQL\images\linha.gif">
          <a:extLst>
            <a:ext uri="{FF2B5EF4-FFF2-40B4-BE49-F238E27FC236}">
              <a16:creationId xmlns:a16="http://schemas.microsoft.com/office/drawing/2014/main" id="{BA130F57-1C87-437F-8067-0D59D320E4B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59" name="Picture 52" descr="C:\pini\VolareSQL\images\linha.gif">
          <a:extLst>
            <a:ext uri="{FF2B5EF4-FFF2-40B4-BE49-F238E27FC236}">
              <a16:creationId xmlns:a16="http://schemas.microsoft.com/office/drawing/2014/main" id="{68193786-E122-4930-9DF4-49A0052A193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0" name="Picture 53" descr="C:\pini\VolareSQL\images\linha.gif">
          <a:extLst>
            <a:ext uri="{FF2B5EF4-FFF2-40B4-BE49-F238E27FC236}">
              <a16:creationId xmlns:a16="http://schemas.microsoft.com/office/drawing/2014/main" id="{7B0504CE-2675-449B-80A5-DA9FA99296D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1" name="Picture 54" descr="C:\pini\VolareSQL\images\linha.gif">
          <a:extLst>
            <a:ext uri="{FF2B5EF4-FFF2-40B4-BE49-F238E27FC236}">
              <a16:creationId xmlns:a16="http://schemas.microsoft.com/office/drawing/2014/main" id="{5A78B434-3820-4200-9A19-D89648E804D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2" name="Picture 55" descr="C:\pini\VolareSQL\images\linha.gif">
          <a:extLst>
            <a:ext uri="{FF2B5EF4-FFF2-40B4-BE49-F238E27FC236}">
              <a16:creationId xmlns:a16="http://schemas.microsoft.com/office/drawing/2014/main" id="{E29A48ED-FF21-4C4D-BC65-07A32CAC6F3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3" name="Picture 56" descr="C:\pini\VolareSQL\images\linha.gif">
          <a:extLst>
            <a:ext uri="{FF2B5EF4-FFF2-40B4-BE49-F238E27FC236}">
              <a16:creationId xmlns:a16="http://schemas.microsoft.com/office/drawing/2014/main" id="{85A99968-496A-4C3D-A320-900A98BD3C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4" name="Picture 57" descr="C:\pini\VolareSQL\images\linha.gif">
          <a:extLst>
            <a:ext uri="{FF2B5EF4-FFF2-40B4-BE49-F238E27FC236}">
              <a16:creationId xmlns:a16="http://schemas.microsoft.com/office/drawing/2014/main" id="{12A650D7-900A-4507-81C9-E4255ED323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5" name="Picture 58" descr="C:\pini\VolareSQL\images\linha.gif">
          <a:extLst>
            <a:ext uri="{FF2B5EF4-FFF2-40B4-BE49-F238E27FC236}">
              <a16:creationId xmlns:a16="http://schemas.microsoft.com/office/drawing/2014/main" id="{0D3CD1C1-643A-487D-8DF7-BE70A249D3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6" name="Picture 59" descr="C:\pini\VolareSQL\images\linha.gif">
          <a:extLst>
            <a:ext uri="{FF2B5EF4-FFF2-40B4-BE49-F238E27FC236}">
              <a16:creationId xmlns:a16="http://schemas.microsoft.com/office/drawing/2014/main" id="{2218D5C7-FBD5-4884-A4C5-1041F8397EF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7" name="Picture 60" descr="C:\pini\VolareSQL\images\linha.gif">
          <a:extLst>
            <a:ext uri="{FF2B5EF4-FFF2-40B4-BE49-F238E27FC236}">
              <a16:creationId xmlns:a16="http://schemas.microsoft.com/office/drawing/2014/main" id="{1C56E804-3C5D-4A5B-9BB0-7B3B21613D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8" name="Picture 61" descr="C:\pini\VolareSQL\images\linha.gif">
          <a:extLst>
            <a:ext uri="{FF2B5EF4-FFF2-40B4-BE49-F238E27FC236}">
              <a16:creationId xmlns:a16="http://schemas.microsoft.com/office/drawing/2014/main" id="{3B93B6A1-F59B-4E40-924F-D13A4453C6C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69" name="Picture 62" descr="C:\pini\VolareSQL\images\linha.gif">
          <a:extLst>
            <a:ext uri="{FF2B5EF4-FFF2-40B4-BE49-F238E27FC236}">
              <a16:creationId xmlns:a16="http://schemas.microsoft.com/office/drawing/2014/main" id="{0D40958F-01D8-418B-99A4-2B6977D70F8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0" name="Picture 63" descr="C:\pini\VolareSQL\images\linha.gif">
          <a:extLst>
            <a:ext uri="{FF2B5EF4-FFF2-40B4-BE49-F238E27FC236}">
              <a16:creationId xmlns:a16="http://schemas.microsoft.com/office/drawing/2014/main" id="{2AA5E18B-5F31-4FA1-9725-0BF54163B09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1" name="Picture 64" descr="C:\pini\VolareSQL\images\linha.gif">
          <a:extLst>
            <a:ext uri="{FF2B5EF4-FFF2-40B4-BE49-F238E27FC236}">
              <a16:creationId xmlns:a16="http://schemas.microsoft.com/office/drawing/2014/main" id="{3FB815B2-F276-4CB4-9E61-35EDF1D604A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2" name="Picture 65" descr="C:\pini\VolareSQL\images\linha.gif">
          <a:extLst>
            <a:ext uri="{FF2B5EF4-FFF2-40B4-BE49-F238E27FC236}">
              <a16:creationId xmlns:a16="http://schemas.microsoft.com/office/drawing/2014/main" id="{24030615-E81B-4733-AF16-C041DEAB4C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3" name="Picture 66" descr="C:\pini\VolareSQL\images\linha.gif">
          <a:extLst>
            <a:ext uri="{FF2B5EF4-FFF2-40B4-BE49-F238E27FC236}">
              <a16:creationId xmlns:a16="http://schemas.microsoft.com/office/drawing/2014/main" id="{E1B0F581-166A-4FE0-918D-1287AB1DA9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4" name="Picture 67" descr="C:\pini\VolareSQL\images\linha.gif">
          <a:extLst>
            <a:ext uri="{FF2B5EF4-FFF2-40B4-BE49-F238E27FC236}">
              <a16:creationId xmlns:a16="http://schemas.microsoft.com/office/drawing/2014/main" id="{E1E80D51-46F7-4790-8C59-B6B7D97B5C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5" name="Picture 68" descr="C:\pini\VolareSQL\images\linha.gif">
          <a:extLst>
            <a:ext uri="{FF2B5EF4-FFF2-40B4-BE49-F238E27FC236}">
              <a16:creationId xmlns:a16="http://schemas.microsoft.com/office/drawing/2014/main" id="{5837A8CA-6EBA-4A84-BE81-EE0AB6D77A7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6" name="Picture 69" descr="C:\pini\VolareSQL\images\linha.gif">
          <a:extLst>
            <a:ext uri="{FF2B5EF4-FFF2-40B4-BE49-F238E27FC236}">
              <a16:creationId xmlns:a16="http://schemas.microsoft.com/office/drawing/2014/main" id="{C30A6B3A-8C0F-4E9D-A5C8-98050D01244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7" name="Picture 70" descr="C:\pini\VolareSQL\images\linha.gif">
          <a:extLst>
            <a:ext uri="{FF2B5EF4-FFF2-40B4-BE49-F238E27FC236}">
              <a16:creationId xmlns:a16="http://schemas.microsoft.com/office/drawing/2014/main" id="{41417E46-EB75-40E0-934F-0D907EE4CA7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8" name="Picture 71" descr="C:\pini\VolareSQL\images\linha.gif">
          <a:extLst>
            <a:ext uri="{FF2B5EF4-FFF2-40B4-BE49-F238E27FC236}">
              <a16:creationId xmlns:a16="http://schemas.microsoft.com/office/drawing/2014/main" id="{38CF5327-558D-4ACA-B3E6-C463452A69D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79" name="Picture 72" descr="C:\pini\VolareSQL\images\linha.gif">
          <a:extLst>
            <a:ext uri="{FF2B5EF4-FFF2-40B4-BE49-F238E27FC236}">
              <a16:creationId xmlns:a16="http://schemas.microsoft.com/office/drawing/2014/main" id="{5178539B-0902-4A56-8726-D56E38E3847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0" name="Picture 73" descr="C:\pini\VolareSQL\images\linha.gif">
          <a:extLst>
            <a:ext uri="{FF2B5EF4-FFF2-40B4-BE49-F238E27FC236}">
              <a16:creationId xmlns:a16="http://schemas.microsoft.com/office/drawing/2014/main" id="{7F3D698E-BB81-4A79-A234-B9BDD06F1A4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1" name="Picture 74" descr="C:\pini\VolareSQL\images\linha.gif">
          <a:extLst>
            <a:ext uri="{FF2B5EF4-FFF2-40B4-BE49-F238E27FC236}">
              <a16:creationId xmlns:a16="http://schemas.microsoft.com/office/drawing/2014/main" id="{F11527AA-7856-4981-8DF3-0C9B8B4497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2" name="Picture 75" descr="C:\pini\VolareSQL\images\linha.gif">
          <a:extLst>
            <a:ext uri="{FF2B5EF4-FFF2-40B4-BE49-F238E27FC236}">
              <a16:creationId xmlns:a16="http://schemas.microsoft.com/office/drawing/2014/main" id="{E9BC7D8C-352B-48D7-B0FD-6E22B4D119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3" name="Picture 76" descr="C:\pini\VolareSQL\images\linha.gif">
          <a:extLst>
            <a:ext uri="{FF2B5EF4-FFF2-40B4-BE49-F238E27FC236}">
              <a16:creationId xmlns:a16="http://schemas.microsoft.com/office/drawing/2014/main" id="{871AB1BB-6436-465F-A106-3DF6654104E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4" name="Picture 77" descr="C:\pini\VolareSQL\images\linha.gif">
          <a:extLst>
            <a:ext uri="{FF2B5EF4-FFF2-40B4-BE49-F238E27FC236}">
              <a16:creationId xmlns:a16="http://schemas.microsoft.com/office/drawing/2014/main" id="{49E2D78F-3652-4CC0-83E2-E3D1D72A20F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5" name="Picture 78" descr="C:\pini\VolareSQL\images\linha.gif">
          <a:extLst>
            <a:ext uri="{FF2B5EF4-FFF2-40B4-BE49-F238E27FC236}">
              <a16:creationId xmlns:a16="http://schemas.microsoft.com/office/drawing/2014/main" id="{03B06288-3718-4B11-8439-F802EBDF642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6" name="Picture 79" descr="C:\pini\VolareSQL\images\linha.gif">
          <a:extLst>
            <a:ext uri="{FF2B5EF4-FFF2-40B4-BE49-F238E27FC236}">
              <a16:creationId xmlns:a16="http://schemas.microsoft.com/office/drawing/2014/main" id="{2D60B5C1-74C4-46C5-909A-2053AB9231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7" name="Picture 80" descr="C:\pini\VolareSQL\images\linha.gif">
          <a:extLst>
            <a:ext uri="{FF2B5EF4-FFF2-40B4-BE49-F238E27FC236}">
              <a16:creationId xmlns:a16="http://schemas.microsoft.com/office/drawing/2014/main" id="{DCC7DF25-6EA2-426C-B0F7-2F9FE7B1EB6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8" name="Picture 81" descr="C:\pini\VolareSQL\images\linha.gif">
          <a:extLst>
            <a:ext uri="{FF2B5EF4-FFF2-40B4-BE49-F238E27FC236}">
              <a16:creationId xmlns:a16="http://schemas.microsoft.com/office/drawing/2014/main" id="{5514F1AB-AF3C-45BB-9CB9-E1C9D24E886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89" name="Picture 82" descr="C:\pini\VolareSQL\images\linha.gif">
          <a:extLst>
            <a:ext uri="{FF2B5EF4-FFF2-40B4-BE49-F238E27FC236}">
              <a16:creationId xmlns:a16="http://schemas.microsoft.com/office/drawing/2014/main" id="{6B51DFD4-7042-4DBE-8733-95633F8767E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0" name="Picture 83" descr="C:\pini\VolareSQL\images\linha.gif">
          <a:extLst>
            <a:ext uri="{FF2B5EF4-FFF2-40B4-BE49-F238E27FC236}">
              <a16:creationId xmlns:a16="http://schemas.microsoft.com/office/drawing/2014/main" id="{D8FA2DEC-6065-4256-A577-A4FB576F760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1" name="Picture 84" descr="C:\pini\VolareSQL\images\linha.gif">
          <a:extLst>
            <a:ext uri="{FF2B5EF4-FFF2-40B4-BE49-F238E27FC236}">
              <a16:creationId xmlns:a16="http://schemas.microsoft.com/office/drawing/2014/main" id="{9A21D084-36CB-4678-8088-0493C81A63A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2" name="Picture 85" descr="C:\pini\VolareSQL\images\linha.gif">
          <a:extLst>
            <a:ext uri="{FF2B5EF4-FFF2-40B4-BE49-F238E27FC236}">
              <a16:creationId xmlns:a16="http://schemas.microsoft.com/office/drawing/2014/main" id="{BCB8C8DC-A9AE-49C5-8F6B-132FD654147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3" name="Picture 86" descr="C:\pini\VolareSQL\images\linha.gif">
          <a:extLst>
            <a:ext uri="{FF2B5EF4-FFF2-40B4-BE49-F238E27FC236}">
              <a16:creationId xmlns:a16="http://schemas.microsoft.com/office/drawing/2014/main" id="{E67BFF82-FDF9-4B00-9BD9-A7705518E8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4" name="Picture 87" descr="C:\pini\VolareSQL\images\linha.gif">
          <a:extLst>
            <a:ext uri="{FF2B5EF4-FFF2-40B4-BE49-F238E27FC236}">
              <a16:creationId xmlns:a16="http://schemas.microsoft.com/office/drawing/2014/main" id="{23991B9F-BA88-4AD8-A5D0-D059A93C23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5" name="Picture 88" descr="C:\pini\VolareSQL\images\linha.gif">
          <a:extLst>
            <a:ext uri="{FF2B5EF4-FFF2-40B4-BE49-F238E27FC236}">
              <a16:creationId xmlns:a16="http://schemas.microsoft.com/office/drawing/2014/main" id="{0F277FD2-AA40-40E9-966F-406CBBAD2D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6" name="Picture 89" descr="C:\pini\VolareSQL\images\linha.gif">
          <a:extLst>
            <a:ext uri="{FF2B5EF4-FFF2-40B4-BE49-F238E27FC236}">
              <a16:creationId xmlns:a16="http://schemas.microsoft.com/office/drawing/2014/main" id="{32CA0584-26F4-41C0-BDCC-38DAE4C5C81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7" name="Picture 90" descr="C:\pini\VolareSQL\images\linha.gif">
          <a:extLst>
            <a:ext uri="{FF2B5EF4-FFF2-40B4-BE49-F238E27FC236}">
              <a16:creationId xmlns:a16="http://schemas.microsoft.com/office/drawing/2014/main" id="{03992F50-090D-405B-9877-F4D11B288F3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8" name="Picture 91" descr="C:\pini\VolareSQL\images\linha.gif">
          <a:extLst>
            <a:ext uri="{FF2B5EF4-FFF2-40B4-BE49-F238E27FC236}">
              <a16:creationId xmlns:a16="http://schemas.microsoft.com/office/drawing/2014/main" id="{49CAD0CF-CADE-428B-9856-40B25192EE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699" name="Picture 92" descr="C:\pini\VolareSQL\images\linha.gif">
          <a:extLst>
            <a:ext uri="{FF2B5EF4-FFF2-40B4-BE49-F238E27FC236}">
              <a16:creationId xmlns:a16="http://schemas.microsoft.com/office/drawing/2014/main" id="{B0475551-BE4B-4520-A8E1-DE376431ACB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0" name="Picture 93" descr="C:\pini\VolareSQL\images\linha.gif">
          <a:extLst>
            <a:ext uri="{FF2B5EF4-FFF2-40B4-BE49-F238E27FC236}">
              <a16:creationId xmlns:a16="http://schemas.microsoft.com/office/drawing/2014/main" id="{F6936E42-63E3-42D2-ACE3-E708B9AC9EC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1" name="Picture 94" descr="C:\pini\VolareSQL\images\linha.gif">
          <a:extLst>
            <a:ext uri="{FF2B5EF4-FFF2-40B4-BE49-F238E27FC236}">
              <a16:creationId xmlns:a16="http://schemas.microsoft.com/office/drawing/2014/main" id="{94C810D6-87B2-439F-BDBD-68C0946649D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2" name="Picture 95" descr="C:\pini\VolareSQL\images\linha.gif">
          <a:extLst>
            <a:ext uri="{FF2B5EF4-FFF2-40B4-BE49-F238E27FC236}">
              <a16:creationId xmlns:a16="http://schemas.microsoft.com/office/drawing/2014/main" id="{0BECE11C-81EC-4538-96FD-7496FCC9693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3" name="Picture 96" descr="C:\pini\VolareSQL\images\linha.gif">
          <a:extLst>
            <a:ext uri="{FF2B5EF4-FFF2-40B4-BE49-F238E27FC236}">
              <a16:creationId xmlns:a16="http://schemas.microsoft.com/office/drawing/2014/main" id="{EE28E1A7-F6AE-470F-BB18-AFD72C7E60B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4" name="Picture 97" descr="C:\pini\VolareSQL\images\linha.gif">
          <a:extLst>
            <a:ext uri="{FF2B5EF4-FFF2-40B4-BE49-F238E27FC236}">
              <a16:creationId xmlns:a16="http://schemas.microsoft.com/office/drawing/2014/main" id="{36EC4C07-0E28-4A98-9286-350540245D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5" name="Picture 98" descr="C:\pini\VolareSQL\images\linha.gif">
          <a:extLst>
            <a:ext uri="{FF2B5EF4-FFF2-40B4-BE49-F238E27FC236}">
              <a16:creationId xmlns:a16="http://schemas.microsoft.com/office/drawing/2014/main" id="{43096DF4-6A76-4732-B702-8F372C69AE6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6" name="Picture 99" descr="C:\pini\VolareSQL\images\linha.gif">
          <a:extLst>
            <a:ext uri="{FF2B5EF4-FFF2-40B4-BE49-F238E27FC236}">
              <a16:creationId xmlns:a16="http://schemas.microsoft.com/office/drawing/2014/main" id="{C892E99E-B1A3-46CE-89F0-D2B87041BBC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7" name="Picture 100" descr="C:\pini\VolareSQL\images\linha.gif">
          <a:extLst>
            <a:ext uri="{FF2B5EF4-FFF2-40B4-BE49-F238E27FC236}">
              <a16:creationId xmlns:a16="http://schemas.microsoft.com/office/drawing/2014/main" id="{0C152541-D434-4977-B4B1-BC756E67F4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8" name="Picture 101" descr="C:\pini\VolareSQL\images\linha.gif">
          <a:extLst>
            <a:ext uri="{FF2B5EF4-FFF2-40B4-BE49-F238E27FC236}">
              <a16:creationId xmlns:a16="http://schemas.microsoft.com/office/drawing/2014/main" id="{1E1BB490-1FBF-4CC9-8F4D-E40CF13442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09" name="Picture 102" descr="C:\pini\VolareSQL\images\linha.gif">
          <a:extLst>
            <a:ext uri="{FF2B5EF4-FFF2-40B4-BE49-F238E27FC236}">
              <a16:creationId xmlns:a16="http://schemas.microsoft.com/office/drawing/2014/main" id="{3C32E636-2A4C-4E52-B58A-553589BB0B9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0" name="Picture 103" descr="C:\pini\VolareSQL\images\linha.gif">
          <a:extLst>
            <a:ext uri="{FF2B5EF4-FFF2-40B4-BE49-F238E27FC236}">
              <a16:creationId xmlns:a16="http://schemas.microsoft.com/office/drawing/2014/main" id="{3495B955-FB56-4F42-A65D-8C870FC5B31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1" name="Picture 104" descr="C:\pini\VolareSQL\images\linha.gif">
          <a:extLst>
            <a:ext uri="{FF2B5EF4-FFF2-40B4-BE49-F238E27FC236}">
              <a16:creationId xmlns:a16="http://schemas.microsoft.com/office/drawing/2014/main" id="{991D5C92-8E35-4AB8-91CF-97A555C7C9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2" name="Picture 105" descr="C:\pini\VolareSQL\images\linha.gif">
          <a:extLst>
            <a:ext uri="{FF2B5EF4-FFF2-40B4-BE49-F238E27FC236}">
              <a16:creationId xmlns:a16="http://schemas.microsoft.com/office/drawing/2014/main" id="{4196ABE9-2592-4CD7-BA76-48630FEA884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3" name="Picture 106" descr="C:\pini\VolareSQL\images\linha.gif">
          <a:extLst>
            <a:ext uri="{FF2B5EF4-FFF2-40B4-BE49-F238E27FC236}">
              <a16:creationId xmlns:a16="http://schemas.microsoft.com/office/drawing/2014/main" id="{F868332C-4A5C-4E1F-87E2-B08A5EA51DE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4" name="Picture 107" descr="C:\pini\VolareSQL\images\linha.gif">
          <a:extLst>
            <a:ext uri="{FF2B5EF4-FFF2-40B4-BE49-F238E27FC236}">
              <a16:creationId xmlns:a16="http://schemas.microsoft.com/office/drawing/2014/main" id="{872B0E1C-DA40-4088-A88D-02C6E79171A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5" name="Picture 108" descr="C:\pini\VolareSQL\images\linha.gif">
          <a:extLst>
            <a:ext uri="{FF2B5EF4-FFF2-40B4-BE49-F238E27FC236}">
              <a16:creationId xmlns:a16="http://schemas.microsoft.com/office/drawing/2014/main" id="{6C3472E0-56F8-4487-BB09-D3EF28251A3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6" name="Picture 109" descr="C:\pini\VolareSQL\images\linha.gif">
          <a:extLst>
            <a:ext uri="{FF2B5EF4-FFF2-40B4-BE49-F238E27FC236}">
              <a16:creationId xmlns:a16="http://schemas.microsoft.com/office/drawing/2014/main" id="{B8A91FC7-C876-4FAB-8497-B3E6DA12AD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7" name="Picture 110" descr="C:\pini\VolareSQL\images\linha.gif">
          <a:extLst>
            <a:ext uri="{FF2B5EF4-FFF2-40B4-BE49-F238E27FC236}">
              <a16:creationId xmlns:a16="http://schemas.microsoft.com/office/drawing/2014/main" id="{48DC14CA-9981-4929-B648-B94CF92BD57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8" name="Picture 111" descr="C:\pini\VolareSQL\images\linha.gif">
          <a:extLst>
            <a:ext uri="{FF2B5EF4-FFF2-40B4-BE49-F238E27FC236}">
              <a16:creationId xmlns:a16="http://schemas.microsoft.com/office/drawing/2014/main" id="{934DE210-6E38-413C-99DF-F261F83BC5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19" name="Picture 112" descr="C:\pini\VolareSQL\images\linha.gif">
          <a:extLst>
            <a:ext uri="{FF2B5EF4-FFF2-40B4-BE49-F238E27FC236}">
              <a16:creationId xmlns:a16="http://schemas.microsoft.com/office/drawing/2014/main" id="{EDF21E76-437E-4CF1-96B6-D9DE1D880FE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0" name="Picture 113" descr="C:\pini\VolareSQL\images\linha.gif">
          <a:extLst>
            <a:ext uri="{FF2B5EF4-FFF2-40B4-BE49-F238E27FC236}">
              <a16:creationId xmlns:a16="http://schemas.microsoft.com/office/drawing/2014/main" id="{E48FF3B6-C3E9-4963-A4CB-B181513C674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1" name="Picture 114" descr="C:\pini\VolareSQL\images\linha.gif">
          <a:extLst>
            <a:ext uri="{FF2B5EF4-FFF2-40B4-BE49-F238E27FC236}">
              <a16:creationId xmlns:a16="http://schemas.microsoft.com/office/drawing/2014/main" id="{07510719-47DA-440E-9415-3186946A939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2" name="Picture 115" descr="C:\pini\VolareSQL\images\linha.gif">
          <a:extLst>
            <a:ext uri="{FF2B5EF4-FFF2-40B4-BE49-F238E27FC236}">
              <a16:creationId xmlns:a16="http://schemas.microsoft.com/office/drawing/2014/main" id="{FB03B424-1D21-4277-A2B3-0E140CE7899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3" name="Picture 116" descr="C:\pini\VolareSQL\images\linha.gif">
          <a:extLst>
            <a:ext uri="{FF2B5EF4-FFF2-40B4-BE49-F238E27FC236}">
              <a16:creationId xmlns:a16="http://schemas.microsoft.com/office/drawing/2014/main" id="{CEFE7829-1243-4635-8F77-1862B65666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4" name="Picture 117" descr="C:\pini\VolareSQL\images\linha.gif">
          <a:extLst>
            <a:ext uri="{FF2B5EF4-FFF2-40B4-BE49-F238E27FC236}">
              <a16:creationId xmlns:a16="http://schemas.microsoft.com/office/drawing/2014/main" id="{B487EE1E-EC9E-43B8-855F-D4CC3C941BB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5" name="Picture 118" descr="C:\pini\VolareSQL\images\linha.gif">
          <a:extLst>
            <a:ext uri="{FF2B5EF4-FFF2-40B4-BE49-F238E27FC236}">
              <a16:creationId xmlns:a16="http://schemas.microsoft.com/office/drawing/2014/main" id="{DE7D76B0-3046-4DA6-8B18-A4E6EAC7EE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6" name="Picture 119" descr="C:\pini\VolareSQL\images\linha.gif">
          <a:extLst>
            <a:ext uri="{FF2B5EF4-FFF2-40B4-BE49-F238E27FC236}">
              <a16:creationId xmlns:a16="http://schemas.microsoft.com/office/drawing/2014/main" id="{26C35882-47F8-463E-99F6-22EBE35BC79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7" name="Picture 120" descr="C:\pini\VolareSQL\images\linha.gif">
          <a:extLst>
            <a:ext uri="{FF2B5EF4-FFF2-40B4-BE49-F238E27FC236}">
              <a16:creationId xmlns:a16="http://schemas.microsoft.com/office/drawing/2014/main" id="{3C77F689-8274-4112-8583-F19CBE7ACB3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8" name="Picture 121" descr="C:\pini\VolareSQL\images\linha.gif">
          <a:extLst>
            <a:ext uri="{FF2B5EF4-FFF2-40B4-BE49-F238E27FC236}">
              <a16:creationId xmlns:a16="http://schemas.microsoft.com/office/drawing/2014/main" id="{B87F45F8-1E1A-4B86-B668-88CE1004719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29" name="Picture 122" descr="C:\pini\VolareSQL\images\linha.gif">
          <a:extLst>
            <a:ext uri="{FF2B5EF4-FFF2-40B4-BE49-F238E27FC236}">
              <a16:creationId xmlns:a16="http://schemas.microsoft.com/office/drawing/2014/main" id="{F0EFA97C-3858-419B-B62A-76D923FC594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0" name="Picture 123" descr="C:\pini\VolareSQL\images\linha.gif">
          <a:extLst>
            <a:ext uri="{FF2B5EF4-FFF2-40B4-BE49-F238E27FC236}">
              <a16:creationId xmlns:a16="http://schemas.microsoft.com/office/drawing/2014/main" id="{52280A8F-D3B2-49DB-9E85-E8FCD9834E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1" name="Picture 124" descr="C:\pini\VolareSQL\images\linha.gif">
          <a:extLst>
            <a:ext uri="{FF2B5EF4-FFF2-40B4-BE49-F238E27FC236}">
              <a16:creationId xmlns:a16="http://schemas.microsoft.com/office/drawing/2014/main" id="{3FAA9CC7-7455-4FAE-814A-414A8460E64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2" name="Picture 125" descr="C:\pini\VolareSQL\images\linha.gif">
          <a:extLst>
            <a:ext uri="{FF2B5EF4-FFF2-40B4-BE49-F238E27FC236}">
              <a16:creationId xmlns:a16="http://schemas.microsoft.com/office/drawing/2014/main" id="{61206BB8-153D-49B3-90D7-D6D5FE3D344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3" name="Picture 126" descr="C:\pini\VolareSQL\images\linha.gif">
          <a:extLst>
            <a:ext uri="{FF2B5EF4-FFF2-40B4-BE49-F238E27FC236}">
              <a16:creationId xmlns:a16="http://schemas.microsoft.com/office/drawing/2014/main" id="{56ECCCEB-CB10-420E-B23D-8B1ACBB2F12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4" name="Picture 127" descr="C:\pini\VolareSQL\images\linha.gif">
          <a:extLst>
            <a:ext uri="{FF2B5EF4-FFF2-40B4-BE49-F238E27FC236}">
              <a16:creationId xmlns:a16="http://schemas.microsoft.com/office/drawing/2014/main" id="{BCE093EE-FAC0-4A47-B7C2-DC248E89E8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5" name="Picture 128" descr="C:\pini\VolareSQL\images\linha.gif">
          <a:extLst>
            <a:ext uri="{FF2B5EF4-FFF2-40B4-BE49-F238E27FC236}">
              <a16:creationId xmlns:a16="http://schemas.microsoft.com/office/drawing/2014/main" id="{6B228EC7-54AE-4A83-BEDA-7273DCE1E46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6" name="Picture 129" descr="C:\pini\VolareSQL\images\linha.gif">
          <a:extLst>
            <a:ext uri="{FF2B5EF4-FFF2-40B4-BE49-F238E27FC236}">
              <a16:creationId xmlns:a16="http://schemas.microsoft.com/office/drawing/2014/main" id="{113602B3-D02C-4042-8328-8CA61273833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7" name="Picture 130" descr="C:\pini\VolareSQL\images\linha.gif">
          <a:extLst>
            <a:ext uri="{FF2B5EF4-FFF2-40B4-BE49-F238E27FC236}">
              <a16:creationId xmlns:a16="http://schemas.microsoft.com/office/drawing/2014/main" id="{F9CA2AF5-91FE-4546-A005-71C7934EBAD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8" name="Picture 131" descr="C:\pini\VolareSQL\images\linha.gif">
          <a:extLst>
            <a:ext uri="{FF2B5EF4-FFF2-40B4-BE49-F238E27FC236}">
              <a16:creationId xmlns:a16="http://schemas.microsoft.com/office/drawing/2014/main" id="{E84D212D-F307-4CCC-A315-FFBBB47B7A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39" name="Picture 132" descr="C:\pini\VolareSQL\images\linha.gif">
          <a:extLst>
            <a:ext uri="{FF2B5EF4-FFF2-40B4-BE49-F238E27FC236}">
              <a16:creationId xmlns:a16="http://schemas.microsoft.com/office/drawing/2014/main" id="{DFB36920-7E33-4426-9B04-1CE8558FD4C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0" name="Picture 133" descr="C:\pini\VolareSQL\images\linha.gif">
          <a:extLst>
            <a:ext uri="{FF2B5EF4-FFF2-40B4-BE49-F238E27FC236}">
              <a16:creationId xmlns:a16="http://schemas.microsoft.com/office/drawing/2014/main" id="{17C2BA87-287E-4873-BCF9-7C012119EF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1" name="Picture 134" descr="C:\pini\VolareSQL\images\linha.gif">
          <a:extLst>
            <a:ext uri="{FF2B5EF4-FFF2-40B4-BE49-F238E27FC236}">
              <a16:creationId xmlns:a16="http://schemas.microsoft.com/office/drawing/2014/main" id="{D70A8E7A-EEB6-4E26-A30C-10E8378608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2" name="Picture 135" descr="C:\pini\VolareSQL\images\linha.gif">
          <a:extLst>
            <a:ext uri="{FF2B5EF4-FFF2-40B4-BE49-F238E27FC236}">
              <a16:creationId xmlns:a16="http://schemas.microsoft.com/office/drawing/2014/main" id="{42D39D68-BC20-400D-87F7-6FD93F3A7B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3" name="Picture 136" descr="C:\pini\VolareSQL\images\linha.gif">
          <a:extLst>
            <a:ext uri="{FF2B5EF4-FFF2-40B4-BE49-F238E27FC236}">
              <a16:creationId xmlns:a16="http://schemas.microsoft.com/office/drawing/2014/main" id="{A10D7795-8A89-40B8-AEBF-C583E041566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4" name="Picture 137" descr="C:\pini\VolareSQL\images\linha.gif">
          <a:extLst>
            <a:ext uri="{FF2B5EF4-FFF2-40B4-BE49-F238E27FC236}">
              <a16:creationId xmlns:a16="http://schemas.microsoft.com/office/drawing/2014/main" id="{44456163-F60F-4946-9BA4-FEC018ED5A0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5" name="Picture 138" descr="C:\pini\VolareSQL\images\linha.gif">
          <a:extLst>
            <a:ext uri="{FF2B5EF4-FFF2-40B4-BE49-F238E27FC236}">
              <a16:creationId xmlns:a16="http://schemas.microsoft.com/office/drawing/2014/main" id="{9F32C12B-BAAD-4A31-98CE-44CFD07EE3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6" name="Picture 139" descr="C:\pini\VolareSQL\images\linha.gif">
          <a:extLst>
            <a:ext uri="{FF2B5EF4-FFF2-40B4-BE49-F238E27FC236}">
              <a16:creationId xmlns:a16="http://schemas.microsoft.com/office/drawing/2014/main" id="{3F03287D-3B37-4739-9462-88AFC5724B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7" name="Picture 140" descr="C:\pini\VolareSQL\images\linha.gif">
          <a:extLst>
            <a:ext uri="{FF2B5EF4-FFF2-40B4-BE49-F238E27FC236}">
              <a16:creationId xmlns:a16="http://schemas.microsoft.com/office/drawing/2014/main" id="{FAD5C719-99FC-430A-9639-EAA30A5DCC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8" name="Picture 141" descr="C:\pini\VolareSQL\images\linha.gif">
          <a:extLst>
            <a:ext uri="{FF2B5EF4-FFF2-40B4-BE49-F238E27FC236}">
              <a16:creationId xmlns:a16="http://schemas.microsoft.com/office/drawing/2014/main" id="{01E48D59-29C6-4B8E-BEBE-F6DA906CF8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49" name="Picture 142" descr="C:\pini\VolareSQL\images\linha.gif">
          <a:extLst>
            <a:ext uri="{FF2B5EF4-FFF2-40B4-BE49-F238E27FC236}">
              <a16:creationId xmlns:a16="http://schemas.microsoft.com/office/drawing/2014/main" id="{BBE0A718-8BCA-44E1-9501-474B46AFED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0" name="Picture 143" descr="C:\pini\VolareSQL\images\linha.gif">
          <a:extLst>
            <a:ext uri="{FF2B5EF4-FFF2-40B4-BE49-F238E27FC236}">
              <a16:creationId xmlns:a16="http://schemas.microsoft.com/office/drawing/2014/main" id="{4475A1E6-43C1-4D52-892E-EB9DD28FDB0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1" name="Picture 144" descr="C:\pini\VolareSQL\images\linha.gif">
          <a:extLst>
            <a:ext uri="{FF2B5EF4-FFF2-40B4-BE49-F238E27FC236}">
              <a16:creationId xmlns:a16="http://schemas.microsoft.com/office/drawing/2014/main" id="{8616893D-D10D-42A8-A6EB-05F6271C6D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2" name="Picture 145" descr="C:\pini\VolareSQL\images\linha.gif">
          <a:extLst>
            <a:ext uri="{FF2B5EF4-FFF2-40B4-BE49-F238E27FC236}">
              <a16:creationId xmlns:a16="http://schemas.microsoft.com/office/drawing/2014/main" id="{C5658362-FAA2-412C-9194-6BC1D089374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3" name="Picture 146" descr="C:\pini\VolareSQL\images\linha.gif">
          <a:extLst>
            <a:ext uri="{FF2B5EF4-FFF2-40B4-BE49-F238E27FC236}">
              <a16:creationId xmlns:a16="http://schemas.microsoft.com/office/drawing/2014/main" id="{B824F510-24D5-481C-9289-2F05667D486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4" name="Picture 147" descr="C:\pini\VolareSQL\images\linha.gif">
          <a:extLst>
            <a:ext uri="{FF2B5EF4-FFF2-40B4-BE49-F238E27FC236}">
              <a16:creationId xmlns:a16="http://schemas.microsoft.com/office/drawing/2014/main" id="{B71958E5-00CA-4928-985E-3368C3E333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5" name="Picture 148" descr="C:\pini\VolareSQL\images\linha.gif">
          <a:extLst>
            <a:ext uri="{FF2B5EF4-FFF2-40B4-BE49-F238E27FC236}">
              <a16:creationId xmlns:a16="http://schemas.microsoft.com/office/drawing/2014/main" id="{0F83F077-8A87-4312-A975-526883D06B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6" name="Picture 149" descr="C:\pini\VolareSQL\images\linha.gif">
          <a:extLst>
            <a:ext uri="{FF2B5EF4-FFF2-40B4-BE49-F238E27FC236}">
              <a16:creationId xmlns:a16="http://schemas.microsoft.com/office/drawing/2014/main" id="{28D44335-24B7-4E62-8296-5489F2ADA4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7" name="Picture 150" descr="C:\pini\VolareSQL\images\linha.gif">
          <a:extLst>
            <a:ext uri="{FF2B5EF4-FFF2-40B4-BE49-F238E27FC236}">
              <a16:creationId xmlns:a16="http://schemas.microsoft.com/office/drawing/2014/main" id="{E59A13B5-C360-435F-B371-E4B987556DB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8" name="Picture 151" descr="C:\pini\VolareSQL\images\linha.gif">
          <a:extLst>
            <a:ext uri="{FF2B5EF4-FFF2-40B4-BE49-F238E27FC236}">
              <a16:creationId xmlns:a16="http://schemas.microsoft.com/office/drawing/2014/main" id="{F084FD8A-3008-4B2C-9559-0ED78629858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59" name="Picture 152" descr="C:\pini\VolareSQL\images\linha.gif">
          <a:extLst>
            <a:ext uri="{FF2B5EF4-FFF2-40B4-BE49-F238E27FC236}">
              <a16:creationId xmlns:a16="http://schemas.microsoft.com/office/drawing/2014/main" id="{D211634D-FAF8-4550-A113-152C4EB2310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0" name="Picture 153" descr="C:\pini\VolareSQL\images\linha.gif">
          <a:extLst>
            <a:ext uri="{FF2B5EF4-FFF2-40B4-BE49-F238E27FC236}">
              <a16:creationId xmlns:a16="http://schemas.microsoft.com/office/drawing/2014/main" id="{1A707DC5-2F2B-42D9-AB04-BF67E16CEF7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1" name="Picture 154" descr="C:\pini\VolareSQL\images\linha.gif">
          <a:extLst>
            <a:ext uri="{FF2B5EF4-FFF2-40B4-BE49-F238E27FC236}">
              <a16:creationId xmlns:a16="http://schemas.microsoft.com/office/drawing/2014/main" id="{93F3786D-5B1C-4520-8442-42972854795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2" name="Picture 155" descr="C:\pini\VolareSQL\images\linha.gif">
          <a:extLst>
            <a:ext uri="{FF2B5EF4-FFF2-40B4-BE49-F238E27FC236}">
              <a16:creationId xmlns:a16="http://schemas.microsoft.com/office/drawing/2014/main" id="{1EDEF137-87C9-4BAE-A8CF-FDE3026E3D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3" name="Picture 156" descr="C:\pini\VolareSQL\images\linha.gif">
          <a:extLst>
            <a:ext uri="{FF2B5EF4-FFF2-40B4-BE49-F238E27FC236}">
              <a16:creationId xmlns:a16="http://schemas.microsoft.com/office/drawing/2014/main" id="{A8AA1A24-93D3-4325-A129-9C021A9DA21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4" name="Picture 157" descr="C:\pini\VolareSQL\images\linha.gif">
          <a:extLst>
            <a:ext uri="{FF2B5EF4-FFF2-40B4-BE49-F238E27FC236}">
              <a16:creationId xmlns:a16="http://schemas.microsoft.com/office/drawing/2014/main" id="{F517BFAC-CBA6-4A64-A35D-EC4E57B76C1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5" name="Picture 158" descr="C:\pini\VolareSQL\images\linha.gif">
          <a:extLst>
            <a:ext uri="{FF2B5EF4-FFF2-40B4-BE49-F238E27FC236}">
              <a16:creationId xmlns:a16="http://schemas.microsoft.com/office/drawing/2014/main" id="{C0C38885-ECCE-4E26-B99D-785572F03B5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6" name="Picture 159" descr="C:\pini\VolareSQL\images\linha.gif">
          <a:extLst>
            <a:ext uri="{FF2B5EF4-FFF2-40B4-BE49-F238E27FC236}">
              <a16:creationId xmlns:a16="http://schemas.microsoft.com/office/drawing/2014/main" id="{EB76255C-DC25-4974-95D1-F852073AE1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7" name="Picture 160" descr="C:\pini\VolareSQL\images\linha.gif">
          <a:extLst>
            <a:ext uri="{FF2B5EF4-FFF2-40B4-BE49-F238E27FC236}">
              <a16:creationId xmlns:a16="http://schemas.microsoft.com/office/drawing/2014/main" id="{062B6CC6-FA76-419E-B52A-48CE21B8CA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8" name="Picture 161" descr="C:\pini\VolareSQL\images\linha.gif">
          <a:extLst>
            <a:ext uri="{FF2B5EF4-FFF2-40B4-BE49-F238E27FC236}">
              <a16:creationId xmlns:a16="http://schemas.microsoft.com/office/drawing/2014/main" id="{D0975DD9-AA19-43DC-B3BC-AA7AC7BF201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69" name="Picture 162" descr="C:\pini\VolareSQL\images\linha.gif">
          <a:extLst>
            <a:ext uri="{FF2B5EF4-FFF2-40B4-BE49-F238E27FC236}">
              <a16:creationId xmlns:a16="http://schemas.microsoft.com/office/drawing/2014/main" id="{CDCDA887-0B3F-4592-BA68-4D13697CC4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0" name="Picture 163" descr="C:\pini\VolareSQL\images\linha.gif">
          <a:extLst>
            <a:ext uri="{FF2B5EF4-FFF2-40B4-BE49-F238E27FC236}">
              <a16:creationId xmlns:a16="http://schemas.microsoft.com/office/drawing/2014/main" id="{5B30C052-D50F-4339-8C06-D7726CD689D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1" name="Picture 164" descr="C:\pini\VolareSQL\images\linha.gif">
          <a:extLst>
            <a:ext uri="{FF2B5EF4-FFF2-40B4-BE49-F238E27FC236}">
              <a16:creationId xmlns:a16="http://schemas.microsoft.com/office/drawing/2014/main" id="{3D1D3E7F-4CBB-4A89-A891-97DB3C76EAE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2" name="Picture 165" descr="C:\pini\VolareSQL\images\linha.gif">
          <a:extLst>
            <a:ext uri="{FF2B5EF4-FFF2-40B4-BE49-F238E27FC236}">
              <a16:creationId xmlns:a16="http://schemas.microsoft.com/office/drawing/2014/main" id="{1FC2A6F7-659F-4FDB-A70D-0BD08548E02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3" name="Picture 166" descr="C:\pini\VolareSQL\images\linha.gif">
          <a:extLst>
            <a:ext uri="{FF2B5EF4-FFF2-40B4-BE49-F238E27FC236}">
              <a16:creationId xmlns:a16="http://schemas.microsoft.com/office/drawing/2014/main" id="{41EE8E13-82E8-4033-8205-7F4BD9F8F4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4" name="Picture 167" descr="C:\pini\VolareSQL\images\linha.gif">
          <a:extLst>
            <a:ext uri="{FF2B5EF4-FFF2-40B4-BE49-F238E27FC236}">
              <a16:creationId xmlns:a16="http://schemas.microsoft.com/office/drawing/2014/main" id="{220523B3-0ED2-49FE-9385-F1E4E17B22C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5" name="Picture 168" descr="C:\pini\VolareSQL\images\linha.gif">
          <a:extLst>
            <a:ext uri="{FF2B5EF4-FFF2-40B4-BE49-F238E27FC236}">
              <a16:creationId xmlns:a16="http://schemas.microsoft.com/office/drawing/2014/main" id="{C3B59224-7066-4DA9-9857-12F3A97C743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6" name="Picture 169" descr="C:\pini\VolareSQL\images\linha.gif">
          <a:extLst>
            <a:ext uri="{FF2B5EF4-FFF2-40B4-BE49-F238E27FC236}">
              <a16:creationId xmlns:a16="http://schemas.microsoft.com/office/drawing/2014/main" id="{216D9810-3EE3-44F6-8D88-62DB546046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7" name="Picture 170" descr="C:\pini\VolareSQL\images\linha.gif">
          <a:extLst>
            <a:ext uri="{FF2B5EF4-FFF2-40B4-BE49-F238E27FC236}">
              <a16:creationId xmlns:a16="http://schemas.microsoft.com/office/drawing/2014/main" id="{58235815-438D-48E6-B9D7-3C483FC8F1E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8" name="Picture 171" descr="C:\pini\VolareSQL\images\linha.gif">
          <a:extLst>
            <a:ext uri="{FF2B5EF4-FFF2-40B4-BE49-F238E27FC236}">
              <a16:creationId xmlns:a16="http://schemas.microsoft.com/office/drawing/2014/main" id="{1E226386-F5AC-4DE4-B4B5-D1D39F739DD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79" name="Picture 172" descr="C:\pini\VolareSQL\images\linha.gif">
          <a:extLst>
            <a:ext uri="{FF2B5EF4-FFF2-40B4-BE49-F238E27FC236}">
              <a16:creationId xmlns:a16="http://schemas.microsoft.com/office/drawing/2014/main" id="{297C0D79-1A5C-4733-BB5E-361FC93433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0" name="Picture 173" descr="C:\pini\VolareSQL\images\linha.gif">
          <a:extLst>
            <a:ext uri="{FF2B5EF4-FFF2-40B4-BE49-F238E27FC236}">
              <a16:creationId xmlns:a16="http://schemas.microsoft.com/office/drawing/2014/main" id="{811C3BCA-AE24-45E9-B735-5C300FDCAC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1" name="Picture 174" descr="C:\pini\VolareSQL\images\linha.gif">
          <a:extLst>
            <a:ext uri="{FF2B5EF4-FFF2-40B4-BE49-F238E27FC236}">
              <a16:creationId xmlns:a16="http://schemas.microsoft.com/office/drawing/2014/main" id="{E4FF86D8-7274-4222-A216-3039E7898AE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2" name="Picture 175" descr="C:\pini\VolareSQL\images\linha.gif">
          <a:extLst>
            <a:ext uri="{FF2B5EF4-FFF2-40B4-BE49-F238E27FC236}">
              <a16:creationId xmlns:a16="http://schemas.microsoft.com/office/drawing/2014/main" id="{788DD65C-37D1-4FDD-BF47-E325DD15FE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3" name="Picture 176" descr="C:\pini\VolareSQL\images\linha.gif">
          <a:extLst>
            <a:ext uri="{FF2B5EF4-FFF2-40B4-BE49-F238E27FC236}">
              <a16:creationId xmlns:a16="http://schemas.microsoft.com/office/drawing/2014/main" id="{58BEE77F-D326-4856-8176-1ACE8449719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4" name="Picture 177" descr="C:\pini\VolareSQL\images\linha.gif">
          <a:extLst>
            <a:ext uri="{FF2B5EF4-FFF2-40B4-BE49-F238E27FC236}">
              <a16:creationId xmlns:a16="http://schemas.microsoft.com/office/drawing/2014/main" id="{B12428A5-D53A-4D77-92F8-0A9C8D48DA0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5" name="Picture 178" descr="C:\pini\VolareSQL\images\linha.gif">
          <a:extLst>
            <a:ext uri="{FF2B5EF4-FFF2-40B4-BE49-F238E27FC236}">
              <a16:creationId xmlns:a16="http://schemas.microsoft.com/office/drawing/2014/main" id="{D3DEF55B-814B-479D-84D3-F1352E3197D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6" name="Picture 179" descr="C:\pini\VolareSQL\images\linha.gif">
          <a:extLst>
            <a:ext uri="{FF2B5EF4-FFF2-40B4-BE49-F238E27FC236}">
              <a16:creationId xmlns:a16="http://schemas.microsoft.com/office/drawing/2014/main" id="{E5F6A5F5-F655-4A2D-8563-1B373BFEA6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7" name="Picture 180" descr="C:\pini\VolareSQL\images\linha.gif">
          <a:extLst>
            <a:ext uri="{FF2B5EF4-FFF2-40B4-BE49-F238E27FC236}">
              <a16:creationId xmlns:a16="http://schemas.microsoft.com/office/drawing/2014/main" id="{868B286B-2093-4CA8-9F0E-20C169BFA0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8" name="Picture 181" descr="C:\pini\VolareSQL\images\linha.gif">
          <a:extLst>
            <a:ext uri="{FF2B5EF4-FFF2-40B4-BE49-F238E27FC236}">
              <a16:creationId xmlns:a16="http://schemas.microsoft.com/office/drawing/2014/main" id="{51AB8180-9561-41AB-A435-5B674D9AE05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89" name="Picture 182" descr="C:\pini\VolareSQL\images\linha.gif">
          <a:extLst>
            <a:ext uri="{FF2B5EF4-FFF2-40B4-BE49-F238E27FC236}">
              <a16:creationId xmlns:a16="http://schemas.microsoft.com/office/drawing/2014/main" id="{60687136-B6B7-41C6-A028-9D36CB946B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0" name="Picture 183" descr="C:\pini\VolareSQL\images\linha.gif">
          <a:extLst>
            <a:ext uri="{FF2B5EF4-FFF2-40B4-BE49-F238E27FC236}">
              <a16:creationId xmlns:a16="http://schemas.microsoft.com/office/drawing/2014/main" id="{A3D84F0B-12AB-4A37-916C-3B71860E851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1" name="Picture 184" descr="C:\pini\VolareSQL\images\linha.gif">
          <a:extLst>
            <a:ext uri="{FF2B5EF4-FFF2-40B4-BE49-F238E27FC236}">
              <a16:creationId xmlns:a16="http://schemas.microsoft.com/office/drawing/2014/main" id="{CE149D38-BD9E-4B0B-A131-7F91B80F742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2" name="Picture 185" descr="C:\pini\VolareSQL\images\linha.gif">
          <a:extLst>
            <a:ext uri="{FF2B5EF4-FFF2-40B4-BE49-F238E27FC236}">
              <a16:creationId xmlns:a16="http://schemas.microsoft.com/office/drawing/2014/main" id="{F6B0C8ED-D231-405C-9E50-03E9D91694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3" name="Picture 186" descr="C:\pini\VolareSQL\images\linha.gif">
          <a:extLst>
            <a:ext uri="{FF2B5EF4-FFF2-40B4-BE49-F238E27FC236}">
              <a16:creationId xmlns:a16="http://schemas.microsoft.com/office/drawing/2014/main" id="{E5D5AA19-988F-4A65-9C19-296D57CB62D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4" name="Picture 187" descr="C:\pini\VolareSQL\images\linha.gif">
          <a:extLst>
            <a:ext uri="{FF2B5EF4-FFF2-40B4-BE49-F238E27FC236}">
              <a16:creationId xmlns:a16="http://schemas.microsoft.com/office/drawing/2014/main" id="{D8EE2425-FD9C-4CD2-A126-E6AEFCB5289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5" name="Picture 188" descr="C:\pini\VolareSQL\images\linha.gif">
          <a:extLst>
            <a:ext uri="{FF2B5EF4-FFF2-40B4-BE49-F238E27FC236}">
              <a16:creationId xmlns:a16="http://schemas.microsoft.com/office/drawing/2014/main" id="{16F1A666-A629-4FCF-A0EA-757CA97C614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6" name="Picture 189" descr="C:\pini\VolareSQL\images\linha.gif">
          <a:extLst>
            <a:ext uri="{FF2B5EF4-FFF2-40B4-BE49-F238E27FC236}">
              <a16:creationId xmlns:a16="http://schemas.microsoft.com/office/drawing/2014/main" id="{405327D3-0337-4B01-B812-06E25D38F68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7" name="Picture 190" descr="C:\pini\VolareSQL\images\linha.gif">
          <a:extLst>
            <a:ext uri="{FF2B5EF4-FFF2-40B4-BE49-F238E27FC236}">
              <a16:creationId xmlns:a16="http://schemas.microsoft.com/office/drawing/2014/main" id="{A551B8F1-6322-4F33-9CA3-82689F2E77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8" name="Picture 191" descr="C:\pini\VolareSQL\images\linha.gif">
          <a:extLst>
            <a:ext uri="{FF2B5EF4-FFF2-40B4-BE49-F238E27FC236}">
              <a16:creationId xmlns:a16="http://schemas.microsoft.com/office/drawing/2014/main" id="{68A0FA14-5B54-4B6F-9161-C02772680C4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799" name="Picture 192" descr="C:\pini\VolareSQL\images\linha.gif">
          <a:extLst>
            <a:ext uri="{FF2B5EF4-FFF2-40B4-BE49-F238E27FC236}">
              <a16:creationId xmlns:a16="http://schemas.microsoft.com/office/drawing/2014/main" id="{432BB508-84BB-445A-982D-C9B71F691BA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0" name="Picture 193" descr="C:\pini\VolareSQL\images\linha.gif">
          <a:extLst>
            <a:ext uri="{FF2B5EF4-FFF2-40B4-BE49-F238E27FC236}">
              <a16:creationId xmlns:a16="http://schemas.microsoft.com/office/drawing/2014/main" id="{14E044F9-A68A-48D6-A412-BE5A1A41E39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1" name="Picture 194" descr="C:\pini\VolareSQL\images\linha.gif">
          <a:extLst>
            <a:ext uri="{FF2B5EF4-FFF2-40B4-BE49-F238E27FC236}">
              <a16:creationId xmlns:a16="http://schemas.microsoft.com/office/drawing/2014/main" id="{B7810C9D-EEDD-4C2C-8803-0D18719445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2" name="Picture 195" descr="C:\pini\VolareSQL\images\linha.gif">
          <a:extLst>
            <a:ext uri="{FF2B5EF4-FFF2-40B4-BE49-F238E27FC236}">
              <a16:creationId xmlns:a16="http://schemas.microsoft.com/office/drawing/2014/main" id="{77C39912-1D63-408B-AEDF-462FCEC7744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3" name="Picture 196" descr="C:\pini\VolareSQL\images\linha.gif">
          <a:extLst>
            <a:ext uri="{FF2B5EF4-FFF2-40B4-BE49-F238E27FC236}">
              <a16:creationId xmlns:a16="http://schemas.microsoft.com/office/drawing/2014/main" id="{1755778E-9A17-452D-9B6A-20BDA753BB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4" name="Picture 197" descr="C:\pini\VolareSQL\images\linha.gif">
          <a:extLst>
            <a:ext uri="{FF2B5EF4-FFF2-40B4-BE49-F238E27FC236}">
              <a16:creationId xmlns:a16="http://schemas.microsoft.com/office/drawing/2014/main" id="{80D2366F-F096-42E0-9574-3105565A3DC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5" name="Picture 198" descr="C:\pini\VolareSQL\images\linha.gif">
          <a:extLst>
            <a:ext uri="{FF2B5EF4-FFF2-40B4-BE49-F238E27FC236}">
              <a16:creationId xmlns:a16="http://schemas.microsoft.com/office/drawing/2014/main" id="{A5FFEF9D-4780-4550-A34F-8DC128F3CF7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6" name="Picture 199" descr="C:\pini\VolareSQL\images\linha.gif">
          <a:extLst>
            <a:ext uri="{FF2B5EF4-FFF2-40B4-BE49-F238E27FC236}">
              <a16:creationId xmlns:a16="http://schemas.microsoft.com/office/drawing/2014/main" id="{1E94BA79-114E-472A-977E-D1CDC216B3A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7" name="Picture 200" descr="C:\pini\VolareSQL\images\linha.gif">
          <a:extLst>
            <a:ext uri="{FF2B5EF4-FFF2-40B4-BE49-F238E27FC236}">
              <a16:creationId xmlns:a16="http://schemas.microsoft.com/office/drawing/2014/main" id="{9265414A-E8B2-4EC8-9B9A-55DE92588EC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8" name="Picture 201" descr="C:\pini\VolareSQL\images\linha.gif">
          <a:extLst>
            <a:ext uri="{FF2B5EF4-FFF2-40B4-BE49-F238E27FC236}">
              <a16:creationId xmlns:a16="http://schemas.microsoft.com/office/drawing/2014/main" id="{87A8400D-E81B-4523-BA1E-AF36159E91A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09" name="Picture 202" descr="C:\pini\VolareSQL\images\linha.gif">
          <a:extLst>
            <a:ext uri="{FF2B5EF4-FFF2-40B4-BE49-F238E27FC236}">
              <a16:creationId xmlns:a16="http://schemas.microsoft.com/office/drawing/2014/main" id="{EAEE2215-95A9-4DC1-BBF9-5C344A9F437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0" name="Picture 203" descr="C:\pini\VolareSQL\images\linha.gif">
          <a:extLst>
            <a:ext uri="{FF2B5EF4-FFF2-40B4-BE49-F238E27FC236}">
              <a16:creationId xmlns:a16="http://schemas.microsoft.com/office/drawing/2014/main" id="{EA6B5F70-B0B6-4D03-9F47-CF76001F6A3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1" name="Picture 204" descr="C:\pini\VolareSQL\images\linha.gif">
          <a:extLst>
            <a:ext uri="{FF2B5EF4-FFF2-40B4-BE49-F238E27FC236}">
              <a16:creationId xmlns:a16="http://schemas.microsoft.com/office/drawing/2014/main" id="{F1D8B52E-BE28-43C4-B9DF-9F8C6A07A0A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2" name="Picture 205" descr="C:\pini\VolareSQL\images\linha.gif">
          <a:extLst>
            <a:ext uri="{FF2B5EF4-FFF2-40B4-BE49-F238E27FC236}">
              <a16:creationId xmlns:a16="http://schemas.microsoft.com/office/drawing/2014/main" id="{2CA1A0FA-9931-479E-A6CE-CB0D60F3C6C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3" name="Picture 206" descr="C:\pini\VolareSQL\images\linha.gif">
          <a:extLst>
            <a:ext uri="{FF2B5EF4-FFF2-40B4-BE49-F238E27FC236}">
              <a16:creationId xmlns:a16="http://schemas.microsoft.com/office/drawing/2014/main" id="{22103F8A-8F10-44BE-A122-569E24A6DB2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4" name="Picture 207" descr="C:\pini\VolareSQL\images\linha.gif">
          <a:extLst>
            <a:ext uri="{FF2B5EF4-FFF2-40B4-BE49-F238E27FC236}">
              <a16:creationId xmlns:a16="http://schemas.microsoft.com/office/drawing/2014/main" id="{2344F0FD-2C4E-4AB9-A0CB-B5F1D98AAAC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5" name="Picture 208" descr="C:\pini\VolareSQL\images\linha.gif">
          <a:extLst>
            <a:ext uri="{FF2B5EF4-FFF2-40B4-BE49-F238E27FC236}">
              <a16:creationId xmlns:a16="http://schemas.microsoft.com/office/drawing/2014/main" id="{4CE85AE2-16D8-430F-A099-3B7BBD2D009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6" name="Picture 209" descr="C:\pini\VolareSQL\images\linha.gif">
          <a:extLst>
            <a:ext uri="{FF2B5EF4-FFF2-40B4-BE49-F238E27FC236}">
              <a16:creationId xmlns:a16="http://schemas.microsoft.com/office/drawing/2014/main" id="{B2CFE660-3951-4A0F-8BE8-0399605AE93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7" name="Picture 210" descr="C:\pini\VolareSQL\images\linha.gif">
          <a:extLst>
            <a:ext uri="{FF2B5EF4-FFF2-40B4-BE49-F238E27FC236}">
              <a16:creationId xmlns:a16="http://schemas.microsoft.com/office/drawing/2014/main" id="{EAC573ED-5972-43F8-971E-10E0E307D1A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8" name="Picture 211" descr="C:\pini\VolareSQL\images\linha.gif">
          <a:extLst>
            <a:ext uri="{FF2B5EF4-FFF2-40B4-BE49-F238E27FC236}">
              <a16:creationId xmlns:a16="http://schemas.microsoft.com/office/drawing/2014/main" id="{328E05FF-99CE-46A3-842E-A8C67A16FD4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19" name="Picture 212" descr="C:\pini\VolareSQL\images\linha.gif">
          <a:extLst>
            <a:ext uri="{FF2B5EF4-FFF2-40B4-BE49-F238E27FC236}">
              <a16:creationId xmlns:a16="http://schemas.microsoft.com/office/drawing/2014/main" id="{BDE575B0-C904-4E7B-9EB2-F6A0405C5E3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0" name="Picture 213" descr="C:\pini\VolareSQL\images\linha.gif">
          <a:extLst>
            <a:ext uri="{FF2B5EF4-FFF2-40B4-BE49-F238E27FC236}">
              <a16:creationId xmlns:a16="http://schemas.microsoft.com/office/drawing/2014/main" id="{982942EE-B04F-4985-9BEF-CC5B322436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1" name="Picture 214" descr="C:\pini\VolareSQL\images\linha.gif">
          <a:extLst>
            <a:ext uri="{FF2B5EF4-FFF2-40B4-BE49-F238E27FC236}">
              <a16:creationId xmlns:a16="http://schemas.microsoft.com/office/drawing/2014/main" id="{60134599-A748-4EF5-93E4-6D85939315B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2" name="Picture 215" descr="C:\pini\VolareSQL\images\linha.gif">
          <a:extLst>
            <a:ext uri="{FF2B5EF4-FFF2-40B4-BE49-F238E27FC236}">
              <a16:creationId xmlns:a16="http://schemas.microsoft.com/office/drawing/2014/main" id="{A1CEB12F-29B7-4BAC-89F7-726864621F9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3" name="Picture 216" descr="C:\pini\VolareSQL\images\linha.gif">
          <a:extLst>
            <a:ext uri="{FF2B5EF4-FFF2-40B4-BE49-F238E27FC236}">
              <a16:creationId xmlns:a16="http://schemas.microsoft.com/office/drawing/2014/main" id="{DAD00C2F-82AD-49E7-A11E-ABC3CF73D0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4" name="Picture 217" descr="C:\pini\VolareSQL\images\linha.gif">
          <a:extLst>
            <a:ext uri="{FF2B5EF4-FFF2-40B4-BE49-F238E27FC236}">
              <a16:creationId xmlns:a16="http://schemas.microsoft.com/office/drawing/2014/main" id="{5D344B3A-0D13-4A3B-98F0-5E229FB4FF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5" name="Picture 218" descr="C:\pini\VolareSQL\images\linha.gif">
          <a:extLst>
            <a:ext uri="{FF2B5EF4-FFF2-40B4-BE49-F238E27FC236}">
              <a16:creationId xmlns:a16="http://schemas.microsoft.com/office/drawing/2014/main" id="{B70BA740-1931-4217-A311-8AD937E608F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6" name="Picture 219" descr="C:\pini\VolareSQL\images\linha.gif">
          <a:extLst>
            <a:ext uri="{FF2B5EF4-FFF2-40B4-BE49-F238E27FC236}">
              <a16:creationId xmlns:a16="http://schemas.microsoft.com/office/drawing/2014/main" id="{B8C94C25-1A31-45DA-92FF-BDD165F920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7" name="Picture 220" descr="C:\pini\VolareSQL\images\linha.gif">
          <a:extLst>
            <a:ext uri="{FF2B5EF4-FFF2-40B4-BE49-F238E27FC236}">
              <a16:creationId xmlns:a16="http://schemas.microsoft.com/office/drawing/2014/main" id="{737C949A-647A-4EEE-9755-5ABAA615186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8" name="Picture 221" descr="C:\pini\VolareSQL\images\linha.gif">
          <a:extLst>
            <a:ext uri="{FF2B5EF4-FFF2-40B4-BE49-F238E27FC236}">
              <a16:creationId xmlns:a16="http://schemas.microsoft.com/office/drawing/2014/main" id="{E11CBC38-D3E8-45C2-82A0-325B696255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29" name="Picture 222" descr="C:\pini\VolareSQL\images\linha.gif">
          <a:extLst>
            <a:ext uri="{FF2B5EF4-FFF2-40B4-BE49-F238E27FC236}">
              <a16:creationId xmlns:a16="http://schemas.microsoft.com/office/drawing/2014/main" id="{00D9BB71-4EA7-4771-8709-D537742054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0" name="Picture 223" descr="C:\pini\VolareSQL\images\linha.gif">
          <a:extLst>
            <a:ext uri="{FF2B5EF4-FFF2-40B4-BE49-F238E27FC236}">
              <a16:creationId xmlns:a16="http://schemas.microsoft.com/office/drawing/2014/main" id="{B5B99A6D-1E35-4F2A-972B-22EAC9E3123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1" name="Picture 224" descr="C:\pini\VolareSQL\images\linha.gif">
          <a:extLst>
            <a:ext uri="{FF2B5EF4-FFF2-40B4-BE49-F238E27FC236}">
              <a16:creationId xmlns:a16="http://schemas.microsoft.com/office/drawing/2014/main" id="{6FDCB528-EB08-47C5-9192-B137A896244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2" name="Picture 225" descr="C:\pini\VolareSQL\images\linha.gif">
          <a:extLst>
            <a:ext uri="{FF2B5EF4-FFF2-40B4-BE49-F238E27FC236}">
              <a16:creationId xmlns:a16="http://schemas.microsoft.com/office/drawing/2014/main" id="{C3374FC7-6D6C-43F5-A628-40C146D8D24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3" name="Picture 226" descr="C:\pini\VolareSQL\images\linha.gif">
          <a:extLst>
            <a:ext uri="{FF2B5EF4-FFF2-40B4-BE49-F238E27FC236}">
              <a16:creationId xmlns:a16="http://schemas.microsoft.com/office/drawing/2014/main" id="{DEE97AB3-003E-4BB5-8B0B-6709DE0784B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4" name="Picture 227" descr="C:\pini\VolareSQL\images\linha.gif">
          <a:extLst>
            <a:ext uri="{FF2B5EF4-FFF2-40B4-BE49-F238E27FC236}">
              <a16:creationId xmlns:a16="http://schemas.microsoft.com/office/drawing/2014/main" id="{6B5B5904-CB76-4347-9C8D-A11F738C8A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5" name="Picture 228" descr="C:\pini\VolareSQL\images\linha.gif">
          <a:extLst>
            <a:ext uri="{FF2B5EF4-FFF2-40B4-BE49-F238E27FC236}">
              <a16:creationId xmlns:a16="http://schemas.microsoft.com/office/drawing/2014/main" id="{A1912822-DAB7-4132-B8EC-D88A2CA8F9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6" name="Picture 229" descr="C:\pini\VolareSQL\images\linha.gif">
          <a:extLst>
            <a:ext uri="{FF2B5EF4-FFF2-40B4-BE49-F238E27FC236}">
              <a16:creationId xmlns:a16="http://schemas.microsoft.com/office/drawing/2014/main" id="{EABC47B8-263E-4A3C-92C1-92C202B7E1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7" name="Picture 230" descr="C:\pini\VolareSQL\images\linha.gif">
          <a:extLst>
            <a:ext uri="{FF2B5EF4-FFF2-40B4-BE49-F238E27FC236}">
              <a16:creationId xmlns:a16="http://schemas.microsoft.com/office/drawing/2014/main" id="{9E716287-B483-4ED0-97D5-B81A402ACE6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8" name="Picture 231" descr="C:\pini\VolareSQL\images\linha.gif">
          <a:extLst>
            <a:ext uri="{FF2B5EF4-FFF2-40B4-BE49-F238E27FC236}">
              <a16:creationId xmlns:a16="http://schemas.microsoft.com/office/drawing/2014/main" id="{A32A7066-AF91-41CF-A28E-998FD9286D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39" name="Picture 232" descr="C:\pini\VolareSQL\images\linha.gif">
          <a:extLst>
            <a:ext uri="{FF2B5EF4-FFF2-40B4-BE49-F238E27FC236}">
              <a16:creationId xmlns:a16="http://schemas.microsoft.com/office/drawing/2014/main" id="{E8DB1506-2D43-4CFF-B123-B3C9E0CD16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0" name="Picture 233" descr="C:\pini\VolareSQL\images\linha.gif">
          <a:extLst>
            <a:ext uri="{FF2B5EF4-FFF2-40B4-BE49-F238E27FC236}">
              <a16:creationId xmlns:a16="http://schemas.microsoft.com/office/drawing/2014/main" id="{1BCC12F8-61E7-49ED-B677-86CD46AC80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1" name="Picture 234" descr="C:\pini\VolareSQL\images\linha.gif">
          <a:extLst>
            <a:ext uri="{FF2B5EF4-FFF2-40B4-BE49-F238E27FC236}">
              <a16:creationId xmlns:a16="http://schemas.microsoft.com/office/drawing/2014/main" id="{59DB9565-7A01-49AC-A67A-5EC1689650B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2" name="Picture 235" descr="C:\pini\VolareSQL\images\linha.gif">
          <a:extLst>
            <a:ext uri="{FF2B5EF4-FFF2-40B4-BE49-F238E27FC236}">
              <a16:creationId xmlns:a16="http://schemas.microsoft.com/office/drawing/2014/main" id="{C11EF4B3-D386-436C-9717-BDD48CB440E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3" name="Picture 236" descr="C:\pini\VolareSQL\images\linha.gif">
          <a:extLst>
            <a:ext uri="{FF2B5EF4-FFF2-40B4-BE49-F238E27FC236}">
              <a16:creationId xmlns:a16="http://schemas.microsoft.com/office/drawing/2014/main" id="{E58093E3-DA96-47D2-B088-00981324E8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4" name="Picture 237" descr="C:\pini\VolareSQL\images\linha.gif">
          <a:extLst>
            <a:ext uri="{FF2B5EF4-FFF2-40B4-BE49-F238E27FC236}">
              <a16:creationId xmlns:a16="http://schemas.microsoft.com/office/drawing/2014/main" id="{BEA52C75-29BF-4BF2-8DCD-B19362F8CD5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5" name="Picture 238" descr="C:\pini\VolareSQL\images\linha.gif">
          <a:extLst>
            <a:ext uri="{FF2B5EF4-FFF2-40B4-BE49-F238E27FC236}">
              <a16:creationId xmlns:a16="http://schemas.microsoft.com/office/drawing/2014/main" id="{0411123F-3C45-444D-9D7A-69B0249E112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6" name="Picture 239" descr="C:\pini\VolareSQL\images\linha.gif">
          <a:extLst>
            <a:ext uri="{FF2B5EF4-FFF2-40B4-BE49-F238E27FC236}">
              <a16:creationId xmlns:a16="http://schemas.microsoft.com/office/drawing/2014/main" id="{54415CCA-1013-48CB-BC96-4DA44C9B17A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7" name="Picture 240" descr="C:\pini\VolareSQL\images\linha.gif">
          <a:extLst>
            <a:ext uri="{FF2B5EF4-FFF2-40B4-BE49-F238E27FC236}">
              <a16:creationId xmlns:a16="http://schemas.microsoft.com/office/drawing/2014/main" id="{2E0FDBFD-9843-42A2-B040-1C2662560E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8" name="Picture 241" descr="C:\pini\VolareSQL\images\linha.gif">
          <a:extLst>
            <a:ext uri="{FF2B5EF4-FFF2-40B4-BE49-F238E27FC236}">
              <a16:creationId xmlns:a16="http://schemas.microsoft.com/office/drawing/2014/main" id="{0A6381E5-9FC9-458A-A987-50E817A08F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49" name="Picture 242" descr="C:\pini\VolareSQL\images\linha.gif">
          <a:extLst>
            <a:ext uri="{FF2B5EF4-FFF2-40B4-BE49-F238E27FC236}">
              <a16:creationId xmlns:a16="http://schemas.microsoft.com/office/drawing/2014/main" id="{1DB8EE5F-7CD1-42B0-B304-A3A4450DD1D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0" name="Picture 243" descr="C:\pini\VolareSQL\images\linha.gif">
          <a:extLst>
            <a:ext uri="{FF2B5EF4-FFF2-40B4-BE49-F238E27FC236}">
              <a16:creationId xmlns:a16="http://schemas.microsoft.com/office/drawing/2014/main" id="{977FFFC8-F9AE-4D34-9FCE-C30CD0646CC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1" name="Picture 244" descr="C:\pini\VolareSQL\images\linha.gif">
          <a:extLst>
            <a:ext uri="{FF2B5EF4-FFF2-40B4-BE49-F238E27FC236}">
              <a16:creationId xmlns:a16="http://schemas.microsoft.com/office/drawing/2014/main" id="{1F0B74F6-65B8-4415-9536-796BB6CA004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2" name="Picture 245" descr="C:\pini\VolareSQL\images\linha.gif">
          <a:extLst>
            <a:ext uri="{FF2B5EF4-FFF2-40B4-BE49-F238E27FC236}">
              <a16:creationId xmlns:a16="http://schemas.microsoft.com/office/drawing/2014/main" id="{59796A96-4242-43AA-BF4C-9D527AF971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3" name="Picture 246" descr="C:\pini\VolareSQL\images\linha.gif">
          <a:extLst>
            <a:ext uri="{FF2B5EF4-FFF2-40B4-BE49-F238E27FC236}">
              <a16:creationId xmlns:a16="http://schemas.microsoft.com/office/drawing/2014/main" id="{3DEF18D6-1004-4A83-8861-31177AFC7AD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4" name="Picture 247" descr="C:\pini\VolareSQL\images\linha.gif">
          <a:extLst>
            <a:ext uri="{FF2B5EF4-FFF2-40B4-BE49-F238E27FC236}">
              <a16:creationId xmlns:a16="http://schemas.microsoft.com/office/drawing/2014/main" id="{5D18373D-3972-4170-B05A-C3F0CC243D6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5" name="Picture 248" descr="C:\pini\VolareSQL\images\linha.gif">
          <a:extLst>
            <a:ext uri="{FF2B5EF4-FFF2-40B4-BE49-F238E27FC236}">
              <a16:creationId xmlns:a16="http://schemas.microsoft.com/office/drawing/2014/main" id="{E71D69E8-EFD0-462F-8EA2-1C1CE1D63F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6" name="Picture 249" descr="C:\pini\VolareSQL\images\linha.gif">
          <a:extLst>
            <a:ext uri="{FF2B5EF4-FFF2-40B4-BE49-F238E27FC236}">
              <a16:creationId xmlns:a16="http://schemas.microsoft.com/office/drawing/2014/main" id="{F561773F-9686-4E22-8B37-B516812818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7" name="Picture 250" descr="C:\pini\VolareSQL\images\linha.gif">
          <a:extLst>
            <a:ext uri="{FF2B5EF4-FFF2-40B4-BE49-F238E27FC236}">
              <a16:creationId xmlns:a16="http://schemas.microsoft.com/office/drawing/2014/main" id="{66A4A4F6-09DA-4F0D-BD65-8BAB3476F56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8" name="Picture 251" descr="C:\pini\VolareSQL\images\linha.gif">
          <a:extLst>
            <a:ext uri="{FF2B5EF4-FFF2-40B4-BE49-F238E27FC236}">
              <a16:creationId xmlns:a16="http://schemas.microsoft.com/office/drawing/2014/main" id="{EA1F517C-A90E-4C30-A2AB-7FE18FD44E2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59" name="Picture 252" descr="C:\pini\VolareSQL\images\linha.gif">
          <a:extLst>
            <a:ext uri="{FF2B5EF4-FFF2-40B4-BE49-F238E27FC236}">
              <a16:creationId xmlns:a16="http://schemas.microsoft.com/office/drawing/2014/main" id="{29CEEA5E-B54D-4C86-AF93-F0CFF6E8706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0" name="Picture 253" descr="C:\pini\VolareSQL\images\linha.gif">
          <a:extLst>
            <a:ext uri="{FF2B5EF4-FFF2-40B4-BE49-F238E27FC236}">
              <a16:creationId xmlns:a16="http://schemas.microsoft.com/office/drawing/2014/main" id="{40FB1AF4-384C-4BDA-B2E8-1110A31D6EA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1" name="Picture 254" descr="C:\pini\VolareSQL\images\linha.gif">
          <a:extLst>
            <a:ext uri="{FF2B5EF4-FFF2-40B4-BE49-F238E27FC236}">
              <a16:creationId xmlns:a16="http://schemas.microsoft.com/office/drawing/2014/main" id="{E3426132-A205-43EB-8D48-626347F5DB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2" name="Picture 255" descr="C:\pini\VolareSQL\images\linha.gif">
          <a:extLst>
            <a:ext uri="{FF2B5EF4-FFF2-40B4-BE49-F238E27FC236}">
              <a16:creationId xmlns:a16="http://schemas.microsoft.com/office/drawing/2014/main" id="{B21AEED9-28F0-4DB4-BA1C-7BB9FA9905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3" name="Picture 256" descr="C:\pini\VolareSQL\images\linha.gif">
          <a:extLst>
            <a:ext uri="{FF2B5EF4-FFF2-40B4-BE49-F238E27FC236}">
              <a16:creationId xmlns:a16="http://schemas.microsoft.com/office/drawing/2014/main" id="{4FBA7DE0-514E-4359-932F-4C16F722BF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4" name="Picture 257" descr="C:\pini\VolareSQL\images\linha.gif">
          <a:extLst>
            <a:ext uri="{FF2B5EF4-FFF2-40B4-BE49-F238E27FC236}">
              <a16:creationId xmlns:a16="http://schemas.microsoft.com/office/drawing/2014/main" id="{5A393DC5-8738-4669-9C7F-577B33B0978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5" name="Picture 258" descr="C:\pini\VolareSQL\images\linha.gif">
          <a:extLst>
            <a:ext uri="{FF2B5EF4-FFF2-40B4-BE49-F238E27FC236}">
              <a16:creationId xmlns:a16="http://schemas.microsoft.com/office/drawing/2014/main" id="{4EDF5F2C-8BCC-41B2-BACA-D90CB584B0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6" name="Picture 259" descr="C:\pini\VolareSQL\images\linha.gif">
          <a:extLst>
            <a:ext uri="{FF2B5EF4-FFF2-40B4-BE49-F238E27FC236}">
              <a16:creationId xmlns:a16="http://schemas.microsoft.com/office/drawing/2014/main" id="{6F696B05-32DC-45C0-87A5-A9B8E63A42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7" name="Picture 2" descr="C:\pini\VolareSQL\images\linha.gif">
          <a:extLst>
            <a:ext uri="{FF2B5EF4-FFF2-40B4-BE49-F238E27FC236}">
              <a16:creationId xmlns:a16="http://schemas.microsoft.com/office/drawing/2014/main" id="{54804B73-196F-4229-AFB1-91516E3C0E1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8" name="Picture 3" descr="C:\pini\VolareSQL\images\linha.gif">
          <a:extLst>
            <a:ext uri="{FF2B5EF4-FFF2-40B4-BE49-F238E27FC236}">
              <a16:creationId xmlns:a16="http://schemas.microsoft.com/office/drawing/2014/main" id="{BE78E262-C89B-47A0-9F96-8C8BA15B56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69" name="Picture 4" descr="C:\pini\VolareSQL\images\linha.gif">
          <a:extLst>
            <a:ext uri="{FF2B5EF4-FFF2-40B4-BE49-F238E27FC236}">
              <a16:creationId xmlns:a16="http://schemas.microsoft.com/office/drawing/2014/main" id="{526AF994-212F-42D5-ABB2-E4BEEC4F943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0" name="Picture 5" descr="C:\pini\VolareSQL\images\linha.gif">
          <a:extLst>
            <a:ext uri="{FF2B5EF4-FFF2-40B4-BE49-F238E27FC236}">
              <a16:creationId xmlns:a16="http://schemas.microsoft.com/office/drawing/2014/main" id="{12AA20D2-BB8E-4F01-B9D3-5DFD9A9F33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1" name="Picture 6" descr="C:\pini\VolareSQL\images\linha.gif">
          <a:extLst>
            <a:ext uri="{FF2B5EF4-FFF2-40B4-BE49-F238E27FC236}">
              <a16:creationId xmlns:a16="http://schemas.microsoft.com/office/drawing/2014/main" id="{D0EE8471-B557-4011-B44C-155F0A72DC9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2" name="Picture 7" descr="C:\pini\VolareSQL\images\linha.gif">
          <a:extLst>
            <a:ext uri="{FF2B5EF4-FFF2-40B4-BE49-F238E27FC236}">
              <a16:creationId xmlns:a16="http://schemas.microsoft.com/office/drawing/2014/main" id="{9DB59F80-8EB4-4BB3-BD35-D1CA492AC5F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3" name="Picture 8" descr="C:\pini\VolareSQL\images\linha.gif">
          <a:extLst>
            <a:ext uri="{FF2B5EF4-FFF2-40B4-BE49-F238E27FC236}">
              <a16:creationId xmlns:a16="http://schemas.microsoft.com/office/drawing/2014/main" id="{3757064F-4F56-4F5E-A08A-592EAA2C650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4" name="Picture 9" descr="C:\pini\VolareSQL\images\linha.gif">
          <a:extLst>
            <a:ext uri="{FF2B5EF4-FFF2-40B4-BE49-F238E27FC236}">
              <a16:creationId xmlns:a16="http://schemas.microsoft.com/office/drawing/2014/main" id="{46EF07FA-7400-413A-9F67-2E951FB0AD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5" name="Picture 10" descr="C:\pini\VolareSQL\images\linha.gif">
          <a:extLst>
            <a:ext uri="{FF2B5EF4-FFF2-40B4-BE49-F238E27FC236}">
              <a16:creationId xmlns:a16="http://schemas.microsoft.com/office/drawing/2014/main" id="{69290FF3-3A61-46C0-8A0C-0DDD666028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6" name="Picture 11" descr="C:\pini\VolareSQL\images\linha.gif">
          <a:extLst>
            <a:ext uri="{FF2B5EF4-FFF2-40B4-BE49-F238E27FC236}">
              <a16:creationId xmlns:a16="http://schemas.microsoft.com/office/drawing/2014/main" id="{FE4BBA84-0491-4BF4-A4A6-E6727BA9D67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7" name="Picture 12" descr="C:\pini\VolareSQL\images\linha.gif">
          <a:extLst>
            <a:ext uri="{FF2B5EF4-FFF2-40B4-BE49-F238E27FC236}">
              <a16:creationId xmlns:a16="http://schemas.microsoft.com/office/drawing/2014/main" id="{B8400A91-8D31-407A-B492-4FFF4D95CAF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8" name="Picture 13" descr="C:\pini\VolareSQL\images\linha.gif">
          <a:extLst>
            <a:ext uri="{FF2B5EF4-FFF2-40B4-BE49-F238E27FC236}">
              <a16:creationId xmlns:a16="http://schemas.microsoft.com/office/drawing/2014/main" id="{61E7D10B-CA98-4C70-8BB8-D3500798BA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79" name="Picture 14" descr="C:\pini\VolareSQL\images\linha.gif">
          <a:extLst>
            <a:ext uri="{FF2B5EF4-FFF2-40B4-BE49-F238E27FC236}">
              <a16:creationId xmlns:a16="http://schemas.microsoft.com/office/drawing/2014/main" id="{16DD78D7-8B08-4A99-999F-5334736676F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0" name="Picture 15" descr="C:\pini\VolareSQL\images\linha.gif">
          <a:extLst>
            <a:ext uri="{FF2B5EF4-FFF2-40B4-BE49-F238E27FC236}">
              <a16:creationId xmlns:a16="http://schemas.microsoft.com/office/drawing/2014/main" id="{D92805FB-DFC3-4FA3-A6B9-4E68A64CB1D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1" name="Picture 16" descr="C:\pini\VolareSQL\images\linha.gif">
          <a:extLst>
            <a:ext uri="{FF2B5EF4-FFF2-40B4-BE49-F238E27FC236}">
              <a16:creationId xmlns:a16="http://schemas.microsoft.com/office/drawing/2014/main" id="{2BCFE873-95B2-4545-AD28-BAA5CC8CC5C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2" name="Picture 17" descr="C:\pini\VolareSQL\images\linha.gif">
          <a:extLst>
            <a:ext uri="{FF2B5EF4-FFF2-40B4-BE49-F238E27FC236}">
              <a16:creationId xmlns:a16="http://schemas.microsoft.com/office/drawing/2014/main" id="{EA61DEE0-BE76-43C6-8733-B0470CF80F2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3" name="Picture 18" descr="C:\pini\VolareSQL\images\linha.gif">
          <a:extLst>
            <a:ext uri="{FF2B5EF4-FFF2-40B4-BE49-F238E27FC236}">
              <a16:creationId xmlns:a16="http://schemas.microsoft.com/office/drawing/2014/main" id="{97DB7301-F325-4893-903D-8ED2AD20A7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4" name="Picture 19" descr="C:\pini\VolareSQL\images\linha.gif">
          <a:extLst>
            <a:ext uri="{FF2B5EF4-FFF2-40B4-BE49-F238E27FC236}">
              <a16:creationId xmlns:a16="http://schemas.microsoft.com/office/drawing/2014/main" id="{895F5164-A4BE-41E1-AC08-2557EA54154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5" name="Picture 20" descr="C:\pini\VolareSQL\images\linha.gif">
          <a:extLst>
            <a:ext uri="{FF2B5EF4-FFF2-40B4-BE49-F238E27FC236}">
              <a16:creationId xmlns:a16="http://schemas.microsoft.com/office/drawing/2014/main" id="{43AB0104-69C8-4D7F-AF49-92DF3BA1DD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6" name="Picture 21" descr="C:\pini\VolareSQL\images\linha.gif">
          <a:extLst>
            <a:ext uri="{FF2B5EF4-FFF2-40B4-BE49-F238E27FC236}">
              <a16:creationId xmlns:a16="http://schemas.microsoft.com/office/drawing/2014/main" id="{6D393E39-1676-4C50-BC5F-A783D586DA9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7" name="Picture 22" descr="C:\pini\VolareSQL\images\linha.gif">
          <a:extLst>
            <a:ext uri="{FF2B5EF4-FFF2-40B4-BE49-F238E27FC236}">
              <a16:creationId xmlns:a16="http://schemas.microsoft.com/office/drawing/2014/main" id="{F8ED3544-41DA-4299-9F62-6BD8F323FCA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8" name="Picture 23" descr="C:\pini\VolareSQL\images\linha.gif">
          <a:extLst>
            <a:ext uri="{FF2B5EF4-FFF2-40B4-BE49-F238E27FC236}">
              <a16:creationId xmlns:a16="http://schemas.microsoft.com/office/drawing/2014/main" id="{B9FE5CE5-CB18-482F-8B55-A8DC0DE135B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89" name="Picture 24" descr="C:\pini\VolareSQL\images\linha.gif">
          <a:extLst>
            <a:ext uri="{FF2B5EF4-FFF2-40B4-BE49-F238E27FC236}">
              <a16:creationId xmlns:a16="http://schemas.microsoft.com/office/drawing/2014/main" id="{D7F67ABD-2813-4711-B711-D8CFF4D59DF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0" name="Picture 25" descr="C:\pini\VolareSQL\images\linha.gif">
          <a:extLst>
            <a:ext uri="{FF2B5EF4-FFF2-40B4-BE49-F238E27FC236}">
              <a16:creationId xmlns:a16="http://schemas.microsoft.com/office/drawing/2014/main" id="{26BC76E4-E4CF-4E74-A05D-D5675064069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1" name="Picture 26" descr="C:\pini\VolareSQL\images\linha.gif">
          <a:extLst>
            <a:ext uri="{FF2B5EF4-FFF2-40B4-BE49-F238E27FC236}">
              <a16:creationId xmlns:a16="http://schemas.microsoft.com/office/drawing/2014/main" id="{A6DFCD8C-958C-4167-A77B-BB549E85B5C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2" name="Picture 27" descr="C:\pini\VolareSQL\images\linha.gif">
          <a:extLst>
            <a:ext uri="{FF2B5EF4-FFF2-40B4-BE49-F238E27FC236}">
              <a16:creationId xmlns:a16="http://schemas.microsoft.com/office/drawing/2014/main" id="{3BB2F440-D983-4966-A1E7-49BEF32B09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3" name="Picture 28" descr="C:\pini\VolareSQL\images\linha.gif">
          <a:extLst>
            <a:ext uri="{FF2B5EF4-FFF2-40B4-BE49-F238E27FC236}">
              <a16:creationId xmlns:a16="http://schemas.microsoft.com/office/drawing/2014/main" id="{622C5D80-B111-42E2-9C05-31752FE530B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4" name="Picture 29" descr="C:\pini\VolareSQL\images\linha.gif">
          <a:extLst>
            <a:ext uri="{FF2B5EF4-FFF2-40B4-BE49-F238E27FC236}">
              <a16:creationId xmlns:a16="http://schemas.microsoft.com/office/drawing/2014/main" id="{D934409D-2803-4090-9A29-F5558EFD5B6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5" name="Picture 30" descr="C:\pini\VolareSQL\images\linha.gif">
          <a:extLst>
            <a:ext uri="{FF2B5EF4-FFF2-40B4-BE49-F238E27FC236}">
              <a16:creationId xmlns:a16="http://schemas.microsoft.com/office/drawing/2014/main" id="{ADC6B73F-CBBF-4ACA-9134-97896A946F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6" name="Picture 31" descr="C:\pini\VolareSQL\images\linha.gif">
          <a:extLst>
            <a:ext uri="{FF2B5EF4-FFF2-40B4-BE49-F238E27FC236}">
              <a16:creationId xmlns:a16="http://schemas.microsoft.com/office/drawing/2014/main" id="{5DA48ADA-C703-4B55-9FF5-89EE918730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7" name="Picture 32" descr="C:\pini\VolareSQL\images\linha.gif">
          <a:extLst>
            <a:ext uri="{FF2B5EF4-FFF2-40B4-BE49-F238E27FC236}">
              <a16:creationId xmlns:a16="http://schemas.microsoft.com/office/drawing/2014/main" id="{6381C2B6-28B1-4E0C-8A47-896B238322B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8" name="Picture 33" descr="C:\pini\VolareSQL\images\linha.gif">
          <a:extLst>
            <a:ext uri="{FF2B5EF4-FFF2-40B4-BE49-F238E27FC236}">
              <a16:creationId xmlns:a16="http://schemas.microsoft.com/office/drawing/2014/main" id="{F609D8E2-BD6E-4B37-8362-E5336B8469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899" name="Picture 34" descr="C:\pini\VolareSQL\images\linha.gif">
          <a:extLst>
            <a:ext uri="{FF2B5EF4-FFF2-40B4-BE49-F238E27FC236}">
              <a16:creationId xmlns:a16="http://schemas.microsoft.com/office/drawing/2014/main" id="{A4D01903-33DE-46AF-9AA5-E544728D04D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0" name="Picture 35" descr="C:\pini\VolareSQL\images\linha.gif">
          <a:extLst>
            <a:ext uri="{FF2B5EF4-FFF2-40B4-BE49-F238E27FC236}">
              <a16:creationId xmlns:a16="http://schemas.microsoft.com/office/drawing/2014/main" id="{B55EE54A-1A3B-4FE2-8187-1DDEB5C3355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1" name="Picture 36" descr="C:\pini\VolareSQL\images\linha.gif">
          <a:extLst>
            <a:ext uri="{FF2B5EF4-FFF2-40B4-BE49-F238E27FC236}">
              <a16:creationId xmlns:a16="http://schemas.microsoft.com/office/drawing/2014/main" id="{25D993F0-C5AA-4E49-983D-7618737C71C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2" name="Picture 37" descr="C:\pini\VolareSQL\images\linha.gif">
          <a:extLst>
            <a:ext uri="{FF2B5EF4-FFF2-40B4-BE49-F238E27FC236}">
              <a16:creationId xmlns:a16="http://schemas.microsoft.com/office/drawing/2014/main" id="{A27EF418-EDE3-45C8-9998-87173AAA0E1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3" name="Picture 38" descr="C:\pini\VolareSQL\images\linha.gif">
          <a:extLst>
            <a:ext uri="{FF2B5EF4-FFF2-40B4-BE49-F238E27FC236}">
              <a16:creationId xmlns:a16="http://schemas.microsoft.com/office/drawing/2014/main" id="{2793CDB2-1E64-4CCB-A3D0-997DEBEC22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4" name="Picture 39" descr="C:\pini\VolareSQL\images\linha.gif">
          <a:extLst>
            <a:ext uri="{FF2B5EF4-FFF2-40B4-BE49-F238E27FC236}">
              <a16:creationId xmlns:a16="http://schemas.microsoft.com/office/drawing/2014/main" id="{BB5AEB52-C144-47C7-9DE2-6A686F4154B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5" name="Picture 40" descr="C:\pini\VolareSQL\images\linha.gif">
          <a:extLst>
            <a:ext uri="{FF2B5EF4-FFF2-40B4-BE49-F238E27FC236}">
              <a16:creationId xmlns:a16="http://schemas.microsoft.com/office/drawing/2014/main" id="{C9A3D0AB-910A-48DA-9EEA-95B392AE173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6" name="Picture 41" descr="C:\pini\VolareSQL\images\linha.gif">
          <a:extLst>
            <a:ext uri="{FF2B5EF4-FFF2-40B4-BE49-F238E27FC236}">
              <a16:creationId xmlns:a16="http://schemas.microsoft.com/office/drawing/2014/main" id="{D5F9A18F-5CD4-4EA4-9883-E0023C10204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7" name="Picture 42" descr="C:\pini\VolareSQL\images\linha.gif">
          <a:extLst>
            <a:ext uri="{FF2B5EF4-FFF2-40B4-BE49-F238E27FC236}">
              <a16:creationId xmlns:a16="http://schemas.microsoft.com/office/drawing/2014/main" id="{4C145DC8-B800-4762-B693-80E5BAD57D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8" name="Picture 43" descr="C:\pini\VolareSQL\images\linha.gif">
          <a:extLst>
            <a:ext uri="{FF2B5EF4-FFF2-40B4-BE49-F238E27FC236}">
              <a16:creationId xmlns:a16="http://schemas.microsoft.com/office/drawing/2014/main" id="{79E6F4AA-2C59-4457-9C7C-F5256D36915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09" name="Picture 44" descr="C:\pini\VolareSQL\images\linha.gif">
          <a:extLst>
            <a:ext uri="{FF2B5EF4-FFF2-40B4-BE49-F238E27FC236}">
              <a16:creationId xmlns:a16="http://schemas.microsoft.com/office/drawing/2014/main" id="{0AA44FE6-3EAB-43D2-B409-CD64A4A0EE5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0" name="Picture 45" descr="C:\pini\VolareSQL\images\linha.gif">
          <a:extLst>
            <a:ext uri="{FF2B5EF4-FFF2-40B4-BE49-F238E27FC236}">
              <a16:creationId xmlns:a16="http://schemas.microsoft.com/office/drawing/2014/main" id="{39321DBF-D6E3-477A-B756-4C80BBA8796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1" name="Picture 46" descr="C:\pini\VolareSQL\images\linha.gif">
          <a:extLst>
            <a:ext uri="{FF2B5EF4-FFF2-40B4-BE49-F238E27FC236}">
              <a16:creationId xmlns:a16="http://schemas.microsoft.com/office/drawing/2014/main" id="{209121E3-0D98-42B2-8BC9-C1D6F6588B3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2" name="Picture 47" descr="C:\pini\VolareSQL\images\linha.gif">
          <a:extLst>
            <a:ext uri="{FF2B5EF4-FFF2-40B4-BE49-F238E27FC236}">
              <a16:creationId xmlns:a16="http://schemas.microsoft.com/office/drawing/2014/main" id="{2A21B954-10D6-4321-BA66-BC3BC90382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3" name="Picture 48" descr="C:\pini\VolareSQL\images\linha.gif">
          <a:extLst>
            <a:ext uri="{FF2B5EF4-FFF2-40B4-BE49-F238E27FC236}">
              <a16:creationId xmlns:a16="http://schemas.microsoft.com/office/drawing/2014/main" id="{D81016D8-00C4-4EA5-B1C5-065B2F522A7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4" name="Picture 49" descr="C:\pini\VolareSQL\images\linha.gif">
          <a:extLst>
            <a:ext uri="{FF2B5EF4-FFF2-40B4-BE49-F238E27FC236}">
              <a16:creationId xmlns:a16="http://schemas.microsoft.com/office/drawing/2014/main" id="{C49EBE54-1F79-49C0-B6B4-477493F0CB7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5" name="Picture 50" descr="C:\pini\VolareSQL\images\linha.gif">
          <a:extLst>
            <a:ext uri="{FF2B5EF4-FFF2-40B4-BE49-F238E27FC236}">
              <a16:creationId xmlns:a16="http://schemas.microsoft.com/office/drawing/2014/main" id="{FB0395FE-4010-46F9-BF27-64F82152D18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6" name="Picture 51" descr="C:\pini\VolareSQL\images\linha.gif">
          <a:extLst>
            <a:ext uri="{FF2B5EF4-FFF2-40B4-BE49-F238E27FC236}">
              <a16:creationId xmlns:a16="http://schemas.microsoft.com/office/drawing/2014/main" id="{6E5976A3-45BA-40DF-A40B-35095C90A0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7" name="Picture 52" descr="C:\pini\VolareSQL\images\linha.gif">
          <a:extLst>
            <a:ext uri="{FF2B5EF4-FFF2-40B4-BE49-F238E27FC236}">
              <a16:creationId xmlns:a16="http://schemas.microsoft.com/office/drawing/2014/main" id="{C27D2139-D572-46F2-8642-67123E8F5C2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8" name="Picture 53" descr="C:\pini\VolareSQL\images\linha.gif">
          <a:extLst>
            <a:ext uri="{FF2B5EF4-FFF2-40B4-BE49-F238E27FC236}">
              <a16:creationId xmlns:a16="http://schemas.microsoft.com/office/drawing/2014/main" id="{4CF44623-2382-47F1-933D-459A4E11AD9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19" name="Picture 54" descr="C:\pini\VolareSQL\images\linha.gif">
          <a:extLst>
            <a:ext uri="{FF2B5EF4-FFF2-40B4-BE49-F238E27FC236}">
              <a16:creationId xmlns:a16="http://schemas.microsoft.com/office/drawing/2014/main" id="{E7EA0E3E-A7F4-490D-A78E-618128CEB2D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0" name="Picture 55" descr="C:\pini\VolareSQL\images\linha.gif">
          <a:extLst>
            <a:ext uri="{FF2B5EF4-FFF2-40B4-BE49-F238E27FC236}">
              <a16:creationId xmlns:a16="http://schemas.microsoft.com/office/drawing/2014/main" id="{EF8C7D42-630C-4AC6-8F3E-51B8F3C857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1" name="Picture 56" descr="C:\pini\VolareSQL\images\linha.gif">
          <a:extLst>
            <a:ext uri="{FF2B5EF4-FFF2-40B4-BE49-F238E27FC236}">
              <a16:creationId xmlns:a16="http://schemas.microsoft.com/office/drawing/2014/main" id="{D3D45C47-937E-4E07-865A-10D0C9C17B7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2" name="Picture 57" descr="C:\pini\VolareSQL\images\linha.gif">
          <a:extLst>
            <a:ext uri="{FF2B5EF4-FFF2-40B4-BE49-F238E27FC236}">
              <a16:creationId xmlns:a16="http://schemas.microsoft.com/office/drawing/2014/main" id="{A78F311C-3F93-4A09-8B4B-5B79ACEB77D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3" name="Picture 58" descr="C:\pini\VolareSQL\images\linha.gif">
          <a:extLst>
            <a:ext uri="{FF2B5EF4-FFF2-40B4-BE49-F238E27FC236}">
              <a16:creationId xmlns:a16="http://schemas.microsoft.com/office/drawing/2014/main" id="{5AD1ECAF-6918-41D0-9F31-3B07175432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4" name="Picture 59" descr="C:\pini\VolareSQL\images\linha.gif">
          <a:extLst>
            <a:ext uri="{FF2B5EF4-FFF2-40B4-BE49-F238E27FC236}">
              <a16:creationId xmlns:a16="http://schemas.microsoft.com/office/drawing/2014/main" id="{5B603CFA-377F-4A62-A8C7-7543E65F6D4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5" name="Picture 60" descr="C:\pini\VolareSQL\images\linha.gif">
          <a:extLst>
            <a:ext uri="{FF2B5EF4-FFF2-40B4-BE49-F238E27FC236}">
              <a16:creationId xmlns:a16="http://schemas.microsoft.com/office/drawing/2014/main" id="{590DCBD9-1D07-4035-A302-DFFF88A3862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6" name="Picture 61" descr="C:\pini\VolareSQL\images\linha.gif">
          <a:extLst>
            <a:ext uri="{FF2B5EF4-FFF2-40B4-BE49-F238E27FC236}">
              <a16:creationId xmlns:a16="http://schemas.microsoft.com/office/drawing/2014/main" id="{A9842872-EF38-40C0-936C-E759292D39F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7" name="Picture 62" descr="C:\pini\VolareSQL\images\linha.gif">
          <a:extLst>
            <a:ext uri="{FF2B5EF4-FFF2-40B4-BE49-F238E27FC236}">
              <a16:creationId xmlns:a16="http://schemas.microsoft.com/office/drawing/2014/main" id="{0B367723-681C-42CC-AD7C-398B8D615C5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8" name="Picture 63" descr="C:\pini\VolareSQL\images\linha.gif">
          <a:extLst>
            <a:ext uri="{FF2B5EF4-FFF2-40B4-BE49-F238E27FC236}">
              <a16:creationId xmlns:a16="http://schemas.microsoft.com/office/drawing/2014/main" id="{DDF3A256-C49D-44F9-9A36-9039F083BF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29" name="Picture 64" descr="C:\pini\VolareSQL\images\linha.gif">
          <a:extLst>
            <a:ext uri="{FF2B5EF4-FFF2-40B4-BE49-F238E27FC236}">
              <a16:creationId xmlns:a16="http://schemas.microsoft.com/office/drawing/2014/main" id="{EEFC7879-9D15-49E4-B926-0130341327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0" name="Picture 65" descr="C:\pini\VolareSQL\images\linha.gif">
          <a:extLst>
            <a:ext uri="{FF2B5EF4-FFF2-40B4-BE49-F238E27FC236}">
              <a16:creationId xmlns:a16="http://schemas.microsoft.com/office/drawing/2014/main" id="{E5798471-4F7E-4594-9FB2-162F5DD86B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1" name="Picture 66" descr="C:\pini\VolareSQL\images\linha.gif">
          <a:extLst>
            <a:ext uri="{FF2B5EF4-FFF2-40B4-BE49-F238E27FC236}">
              <a16:creationId xmlns:a16="http://schemas.microsoft.com/office/drawing/2014/main" id="{79E09F85-459D-4748-90BC-31D9608C6C1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2" name="Picture 67" descr="C:\pini\VolareSQL\images\linha.gif">
          <a:extLst>
            <a:ext uri="{FF2B5EF4-FFF2-40B4-BE49-F238E27FC236}">
              <a16:creationId xmlns:a16="http://schemas.microsoft.com/office/drawing/2014/main" id="{253130AB-4C68-46A0-B68B-A7E81D1FCA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3" name="Picture 68" descr="C:\pini\VolareSQL\images\linha.gif">
          <a:extLst>
            <a:ext uri="{FF2B5EF4-FFF2-40B4-BE49-F238E27FC236}">
              <a16:creationId xmlns:a16="http://schemas.microsoft.com/office/drawing/2014/main" id="{8E991CF6-38F6-42FC-818A-5E23B1468FD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4" name="Picture 69" descr="C:\pini\VolareSQL\images\linha.gif">
          <a:extLst>
            <a:ext uri="{FF2B5EF4-FFF2-40B4-BE49-F238E27FC236}">
              <a16:creationId xmlns:a16="http://schemas.microsoft.com/office/drawing/2014/main" id="{83DA7EEB-56B6-4046-93D7-DEF372B2AC5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5" name="Picture 70" descr="C:\pini\VolareSQL\images\linha.gif">
          <a:extLst>
            <a:ext uri="{FF2B5EF4-FFF2-40B4-BE49-F238E27FC236}">
              <a16:creationId xmlns:a16="http://schemas.microsoft.com/office/drawing/2014/main" id="{2C270A2C-7EDA-42ED-9789-CAF9465E1E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6" name="Picture 71" descr="C:\pini\VolareSQL\images\linha.gif">
          <a:extLst>
            <a:ext uri="{FF2B5EF4-FFF2-40B4-BE49-F238E27FC236}">
              <a16:creationId xmlns:a16="http://schemas.microsoft.com/office/drawing/2014/main" id="{A2B02AB0-20F5-4B27-88A5-4FCCB74921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7" name="Picture 72" descr="C:\pini\VolareSQL\images\linha.gif">
          <a:extLst>
            <a:ext uri="{FF2B5EF4-FFF2-40B4-BE49-F238E27FC236}">
              <a16:creationId xmlns:a16="http://schemas.microsoft.com/office/drawing/2014/main" id="{999696EC-163B-4D09-86B0-1CD0478123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8" name="Picture 73" descr="C:\pini\VolareSQL\images\linha.gif">
          <a:extLst>
            <a:ext uri="{FF2B5EF4-FFF2-40B4-BE49-F238E27FC236}">
              <a16:creationId xmlns:a16="http://schemas.microsoft.com/office/drawing/2014/main" id="{E24600D6-278E-4BD0-9D62-79719804170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39" name="Picture 74" descr="C:\pini\VolareSQL\images\linha.gif">
          <a:extLst>
            <a:ext uri="{FF2B5EF4-FFF2-40B4-BE49-F238E27FC236}">
              <a16:creationId xmlns:a16="http://schemas.microsoft.com/office/drawing/2014/main" id="{F4E7E069-4BE5-49C2-8296-FA6AE9BE0B6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0" name="Picture 75" descr="C:\pini\VolareSQL\images\linha.gif">
          <a:extLst>
            <a:ext uri="{FF2B5EF4-FFF2-40B4-BE49-F238E27FC236}">
              <a16:creationId xmlns:a16="http://schemas.microsoft.com/office/drawing/2014/main" id="{A63A83A4-0209-4887-B34C-BCE4854E05B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1" name="Picture 76" descr="C:\pini\VolareSQL\images\linha.gif">
          <a:extLst>
            <a:ext uri="{FF2B5EF4-FFF2-40B4-BE49-F238E27FC236}">
              <a16:creationId xmlns:a16="http://schemas.microsoft.com/office/drawing/2014/main" id="{12F5A3C0-EC8E-419B-9106-898CE28462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2" name="Picture 77" descr="C:\pini\VolareSQL\images\linha.gif">
          <a:extLst>
            <a:ext uri="{FF2B5EF4-FFF2-40B4-BE49-F238E27FC236}">
              <a16:creationId xmlns:a16="http://schemas.microsoft.com/office/drawing/2014/main" id="{36D37437-F6D8-4674-9480-453FD28C4F2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3" name="Picture 78" descr="C:\pini\VolareSQL\images\linha.gif">
          <a:extLst>
            <a:ext uri="{FF2B5EF4-FFF2-40B4-BE49-F238E27FC236}">
              <a16:creationId xmlns:a16="http://schemas.microsoft.com/office/drawing/2014/main" id="{1C783EC9-2B53-4D15-B614-67A4AB98566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4" name="Picture 79" descr="C:\pini\VolareSQL\images\linha.gif">
          <a:extLst>
            <a:ext uri="{FF2B5EF4-FFF2-40B4-BE49-F238E27FC236}">
              <a16:creationId xmlns:a16="http://schemas.microsoft.com/office/drawing/2014/main" id="{9770AF8D-5189-4120-B6D9-37E92C32068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5" name="Picture 80" descr="C:\pini\VolareSQL\images\linha.gif">
          <a:extLst>
            <a:ext uri="{FF2B5EF4-FFF2-40B4-BE49-F238E27FC236}">
              <a16:creationId xmlns:a16="http://schemas.microsoft.com/office/drawing/2014/main" id="{84E83D11-9B95-4538-AF80-A24CFEDFA19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6" name="Picture 81" descr="C:\pini\VolareSQL\images\linha.gif">
          <a:extLst>
            <a:ext uri="{FF2B5EF4-FFF2-40B4-BE49-F238E27FC236}">
              <a16:creationId xmlns:a16="http://schemas.microsoft.com/office/drawing/2014/main" id="{DD10770A-30C8-4836-9DE0-4381DCB7550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7" name="Picture 82" descr="C:\pini\VolareSQL\images\linha.gif">
          <a:extLst>
            <a:ext uri="{FF2B5EF4-FFF2-40B4-BE49-F238E27FC236}">
              <a16:creationId xmlns:a16="http://schemas.microsoft.com/office/drawing/2014/main" id="{52B4632D-2EB5-429F-8261-6F55FBE38CD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8" name="Picture 83" descr="C:\pini\VolareSQL\images\linha.gif">
          <a:extLst>
            <a:ext uri="{FF2B5EF4-FFF2-40B4-BE49-F238E27FC236}">
              <a16:creationId xmlns:a16="http://schemas.microsoft.com/office/drawing/2014/main" id="{BE130723-62F5-4DD8-A795-89C7DFB21F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49" name="Picture 84" descr="C:\pini\VolareSQL\images\linha.gif">
          <a:extLst>
            <a:ext uri="{FF2B5EF4-FFF2-40B4-BE49-F238E27FC236}">
              <a16:creationId xmlns:a16="http://schemas.microsoft.com/office/drawing/2014/main" id="{FD25758E-CFCC-4A05-8D9C-AF0B874A2EF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0" name="Picture 85" descr="C:\pini\VolareSQL\images\linha.gif">
          <a:extLst>
            <a:ext uri="{FF2B5EF4-FFF2-40B4-BE49-F238E27FC236}">
              <a16:creationId xmlns:a16="http://schemas.microsoft.com/office/drawing/2014/main" id="{40172C90-E2D4-43AF-9BA8-856E96F08B0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1" name="Picture 86" descr="C:\pini\VolareSQL\images\linha.gif">
          <a:extLst>
            <a:ext uri="{FF2B5EF4-FFF2-40B4-BE49-F238E27FC236}">
              <a16:creationId xmlns:a16="http://schemas.microsoft.com/office/drawing/2014/main" id="{617AF460-348D-46F8-B6B6-9C55545242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2" name="Picture 87" descr="C:\pini\VolareSQL\images\linha.gif">
          <a:extLst>
            <a:ext uri="{FF2B5EF4-FFF2-40B4-BE49-F238E27FC236}">
              <a16:creationId xmlns:a16="http://schemas.microsoft.com/office/drawing/2014/main" id="{F3681586-35EE-4E0F-A22B-ED515CF9B41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3" name="Picture 88" descr="C:\pini\VolareSQL\images\linha.gif">
          <a:extLst>
            <a:ext uri="{FF2B5EF4-FFF2-40B4-BE49-F238E27FC236}">
              <a16:creationId xmlns:a16="http://schemas.microsoft.com/office/drawing/2014/main" id="{31E20F2E-6238-47A9-AF5F-D51E7BCAB7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4" name="Picture 89" descr="C:\pini\VolareSQL\images\linha.gif">
          <a:extLst>
            <a:ext uri="{FF2B5EF4-FFF2-40B4-BE49-F238E27FC236}">
              <a16:creationId xmlns:a16="http://schemas.microsoft.com/office/drawing/2014/main" id="{A478C421-84FF-4CDC-873B-A47EAA82FB0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5" name="Picture 90" descr="C:\pini\VolareSQL\images\linha.gif">
          <a:extLst>
            <a:ext uri="{FF2B5EF4-FFF2-40B4-BE49-F238E27FC236}">
              <a16:creationId xmlns:a16="http://schemas.microsoft.com/office/drawing/2014/main" id="{ADFF46AB-F6F6-4D49-BD2B-79DB7C3DB68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6" name="Picture 91" descr="C:\pini\VolareSQL\images\linha.gif">
          <a:extLst>
            <a:ext uri="{FF2B5EF4-FFF2-40B4-BE49-F238E27FC236}">
              <a16:creationId xmlns:a16="http://schemas.microsoft.com/office/drawing/2014/main" id="{8E57EE36-0238-4CA4-AFCF-9173781EBA9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7" name="Picture 92" descr="C:\pini\VolareSQL\images\linha.gif">
          <a:extLst>
            <a:ext uri="{FF2B5EF4-FFF2-40B4-BE49-F238E27FC236}">
              <a16:creationId xmlns:a16="http://schemas.microsoft.com/office/drawing/2014/main" id="{E016BE9D-FD7A-4CCE-B98C-A955CCFD37D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8" name="Picture 93" descr="C:\pini\VolareSQL\images\linha.gif">
          <a:extLst>
            <a:ext uri="{FF2B5EF4-FFF2-40B4-BE49-F238E27FC236}">
              <a16:creationId xmlns:a16="http://schemas.microsoft.com/office/drawing/2014/main" id="{42942D36-AB84-4D76-BDCD-85758D8858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59" name="Picture 94" descr="C:\pini\VolareSQL\images\linha.gif">
          <a:extLst>
            <a:ext uri="{FF2B5EF4-FFF2-40B4-BE49-F238E27FC236}">
              <a16:creationId xmlns:a16="http://schemas.microsoft.com/office/drawing/2014/main" id="{5395996C-19EF-4C28-9528-B7490CEFEBA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0" name="Picture 95" descr="C:\pini\VolareSQL\images\linha.gif">
          <a:extLst>
            <a:ext uri="{FF2B5EF4-FFF2-40B4-BE49-F238E27FC236}">
              <a16:creationId xmlns:a16="http://schemas.microsoft.com/office/drawing/2014/main" id="{B3B4EDE7-2B1D-44C7-8ECF-9272C80E9A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1" name="Picture 96" descr="C:\pini\VolareSQL\images\linha.gif">
          <a:extLst>
            <a:ext uri="{FF2B5EF4-FFF2-40B4-BE49-F238E27FC236}">
              <a16:creationId xmlns:a16="http://schemas.microsoft.com/office/drawing/2014/main" id="{2C724276-7864-45A1-A937-6737FCE3FC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2" name="Picture 97" descr="C:\pini\VolareSQL\images\linha.gif">
          <a:extLst>
            <a:ext uri="{FF2B5EF4-FFF2-40B4-BE49-F238E27FC236}">
              <a16:creationId xmlns:a16="http://schemas.microsoft.com/office/drawing/2014/main" id="{1B38485B-87F2-46DD-B4E0-796AFF64E70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3" name="Picture 98" descr="C:\pini\VolareSQL\images\linha.gif">
          <a:extLst>
            <a:ext uri="{FF2B5EF4-FFF2-40B4-BE49-F238E27FC236}">
              <a16:creationId xmlns:a16="http://schemas.microsoft.com/office/drawing/2014/main" id="{4217316F-FF60-484C-B188-35A4826DF2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4" name="Picture 99" descr="C:\pini\VolareSQL\images\linha.gif">
          <a:extLst>
            <a:ext uri="{FF2B5EF4-FFF2-40B4-BE49-F238E27FC236}">
              <a16:creationId xmlns:a16="http://schemas.microsoft.com/office/drawing/2014/main" id="{AE1268A5-6D84-47CB-8962-5B2AD426BC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5" name="Picture 100" descr="C:\pini\VolareSQL\images\linha.gif">
          <a:extLst>
            <a:ext uri="{FF2B5EF4-FFF2-40B4-BE49-F238E27FC236}">
              <a16:creationId xmlns:a16="http://schemas.microsoft.com/office/drawing/2014/main" id="{58C6CF1E-BC2B-47EE-A149-33EE0E11FCB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6" name="Picture 101" descr="C:\pini\VolareSQL\images\linha.gif">
          <a:extLst>
            <a:ext uri="{FF2B5EF4-FFF2-40B4-BE49-F238E27FC236}">
              <a16:creationId xmlns:a16="http://schemas.microsoft.com/office/drawing/2014/main" id="{6D1A8A9A-6FA2-45AE-BFE1-84BAE13F6C7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7" name="Picture 102" descr="C:\pini\VolareSQL\images\linha.gif">
          <a:extLst>
            <a:ext uri="{FF2B5EF4-FFF2-40B4-BE49-F238E27FC236}">
              <a16:creationId xmlns:a16="http://schemas.microsoft.com/office/drawing/2014/main" id="{DC02EBAE-5CFE-4538-94D5-6D7B94688FB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8" name="Picture 103" descr="C:\pini\VolareSQL\images\linha.gif">
          <a:extLst>
            <a:ext uri="{FF2B5EF4-FFF2-40B4-BE49-F238E27FC236}">
              <a16:creationId xmlns:a16="http://schemas.microsoft.com/office/drawing/2014/main" id="{948FE9D1-16A7-4944-92B0-98A79707368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69" name="Picture 104" descr="C:\pini\VolareSQL\images\linha.gif">
          <a:extLst>
            <a:ext uri="{FF2B5EF4-FFF2-40B4-BE49-F238E27FC236}">
              <a16:creationId xmlns:a16="http://schemas.microsoft.com/office/drawing/2014/main" id="{2AD3E75B-ADF0-4562-9458-25EB823BBF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0" name="Picture 105" descr="C:\pini\VolareSQL\images\linha.gif">
          <a:extLst>
            <a:ext uri="{FF2B5EF4-FFF2-40B4-BE49-F238E27FC236}">
              <a16:creationId xmlns:a16="http://schemas.microsoft.com/office/drawing/2014/main" id="{9BE4F166-646C-4C2F-92FD-035AC35ED2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1" name="Picture 106" descr="C:\pini\VolareSQL\images\linha.gif">
          <a:extLst>
            <a:ext uri="{FF2B5EF4-FFF2-40B4-BE49-F238E27FC236}">
              <a16:creationId xmlns:a16="http://schemas.microsoft.com/office/drawing/2014/main" id="{C0993C04-3925-49D1-B483-79ED8EA229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2" name="Picture 107" descr="C:\pini\VolareSQL\images\linha.gif">
          <a:extLst>
            <a:ext uri="{FF2B5EF4-FFF2-40B4-BE49-F238E27FC236}">
              <a16:creationId xmlns:a16="http://schemas.microsoft.com/office/drawing/2014/main" id="{EE045BF8-2913-4E54-96ED-5D7937916E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3" name="Picture 108" descr="C:\pini\VolareSQL\images\linha.gif">
          <a:extLst>
            <a:ext uri="{FF2B5EF4-FFF2-40B4-BE49-F238E27FC236}">
              <a16:creationId xmlns:a16="http://schemas.microsoft.com/office/drawing/2014/main" id="{B986FB78-310C-4D67-8AA0-A90E32A46BD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4" name="Picture 109" descr="C:\pini\VolareSQL\images\linha.gif">
          <a:extLst>
            <a:ext uri="{FF2B5EF4-FFF2-40B4-BE49-F238E27FC236}">
              <a16:creationId xmlns:a16="http://schemas.microsoft.com/office/drawing/2014/main" id="{69B0D413-CB6E-4184-8BB0-ED948B03FAC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5" name="Picture 110" descr="C:\pini\VolareSQL\images\linha.gif">
          <a:extLst>
            <a:ext uri="{FF2B5EF4-FFF2-40B4-BE49-F238E27FC236}">
              <a16:creationId xmlns:a16="http://schemas.microsoft.com/office/drawing/2014/main" id="{41C3DA58-914D-4AC0-8ADC-5576B57097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6" name="Picture 111" descr="C:\pini\VolareSQL\images\linha.gif">
          <a:extLst>
            <a:ext uri="{FF2B5EF4-FFF2-40B4-BE49-F238E27FC236}">
              <a16:creationId xmlns:a16="http://schemas.microsoft.com/office/drawing/2014/main" id="{EC8C170B-85B1-439B-BF0D-E623010278C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7" name="Picture 112" descr="C:\pini\VolareSQL\images\linha.gif">
          <a:extLst>
            <a:ext uri="{FF2B5EF4-FFF2-40B4-BE49-F238E27FC236}">
              <a16:creationId xmlns:a16="http://schemas.microsoft.com/office/drawing/2014/main" id="{95BF48B0-A3BC-45A7-9C50-BAA569E43A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8" name="Picture 113" descr="C:\pini\VolareSQL\images\linha.gif">
          <a:extLst>
            <a:ext uri="{FF2B5EF4-FFF2-40B4-BE49-F238E27FC236}">
              <a16:creationId xmlns:a16="http://schemas.microsoft.com/office/drawing/2014/main" id="{0C070861-32BB-476D-A12E-2BAD6306159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79" name="Picture 114" descr="C:\pini\VolareSQL\images\linha.gif">
          <a:extLst>
            <a:ext uri="{FF2B5EF4-FFF2-40B4-BE49-F238E27FC236}">
              <a16:creationId xmlns:a16="http://schemas.microsoft.com/office/drawing/2014/main" id="{AA97922A-0C60-456B-9FDA-898C87C40DB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0" name="Picture 115" descr="C:\pini\VolareSQL\images\linha.gif">
          <a:extLst>
            <a:ext uri="{FF2B5EF4-FFF2-40B4-BE49-F238E27FC236}">
              <a16:creationId xmlns:a16="http://schemas.microsoft.com/office/drawing/2014/main" id="{25D8D9CB-97C6-4886-B652-B7841F170E2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1" name="Picture 116" descr="C:\pini\VolareSQL\images\linha.gif">
          <a:extLst>
            <a:ext uri="{FF2B5EF4-FFF2-40B4-BE49-F238E27FC236}">
              <a16:creationId xmlns:a16="http://schemas.microsoft.com/office/drawing/2014/main" id="{9C624F67-0AAF-4A1D-9184-4BD024F9E22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2" name="Picture 117" descr="C:\pini\VolareSQL\images\linha.gif">
          <a:extLst>
            <a:ext uri="{FF2B5EF4-FFF2-40B4-BE49-F238E27FC236}">
              <a16:creationId xmlns:a16="http://schemas.microsoft.com/office/drawing/2014/main" id="{BCD7C77D-1F5C-4333-A0A7-83ED53B733D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3" name="Picture 118" descr="C:\pini\VolareSQL\images\linha.gif">
          <a:extLst>
            <a:ext uri="{FF2B5EF4-FFF2-40B4-BE49-F238E27FC236}">
              <a16:creationId xmlns:a16="http://schemas.microsoft.com/office/drawing/2014/main" id="{2DC81884-2D79-4AD8-AC47-8D1D63439C7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4" name="Picture 119" descr="C:\pini\VolareSQL\images\linha.gif">
          <a:extLst>
            <a:ext uri="{FF2B5EF4-FFF2-40B4-BE49-F238E27FC236}">
              <a16:creationId xmlns:a16="http://schemas.microsoft.com/office/drawing/2014/main" id="{A76FDB32-87B9-44F1-8475-70FC2451D5C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5" name="Picture 120" descr="C:\pini\VolareSQL\images\linha.gif">
          <a:extLst>
            <a:ext uri="{FF2B5EF4-FFF2-40B4-BE49-F238E27FC236}">
              <a16:creationId xmlns:a16="http://schemas.microsoft.com/office/drawing/2014/main" id="{8BCC2AAC-1927-4F8B-BE1C-E5C7631CF01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6" name="Picture 121" descr="C:\pini\VolareSQL\images\linha.gif">
          <a:extLst>
            <a:ext uri="{FF2B5EF4-FFF2-40B4-BE49-F238E27FC236}">
              <a16:creationId xmlns:a16="http://schemas.microsoft.com/office/drawing/2014/main" id="{24FC1364-9B5C-4FAE-AA02-2689FA7C0EA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7" name="Picture 122" descr="C:\pini\VolareSQL\images\linha.gif">
          <a:extLst>
            <a:ext uri="{FF2B5EF4-FFF2-40B4-BE49-F238E27FC236}">
              <a16:creationId xmlns:a16="http://schemas.microsoft.com/office/drawing/2014/main" id="{D8379743-9823-444A-9687-3130FFCF217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8" name="Picture 123" descr="C:\pini\VolareSQL\images\linha.gif">
          <a:extLst>
            <a:ext uri="{FF2B5EF4-FFF2-40B4-BE49-F238E27FC236}">
              <a16:creationId xmlns:a16="http://schemas.microsoft.com/office/drawing/2014/main" id="{70EFAB42-9EA8-47AF-94EF-D9E29B880CC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89" name="Picture 124" descr="C:\pini\VolareSQL\images\linha.gif">
          <a:extLst>
            <a:ext uri="{FF2B5EF4-FFF2-40B4-BE49-F238E27FC236}">
              <a16:creationId xmlns:a16="http://schemas.microsoft.com/office/drawing/2014/main" id="{5A3CE6F8-8685-4346-A34F-33F2546BED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0" name="Picture 125" descr="C:\pini\VolareSQL\images\linha.gif">
          <a:extLst>
            <a:ext uri="{FF2B5EF4-FFF2-40B4-BE49-F238E27FC236}">
              <a16:creationId xmlns:a16="http://schemas.microsoft.com/office/drawing/2014/main" id="{8C14EFBD-1510-486B-8205-4D3C9AB772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1" name="Picture 126" descr="C:\pini\VolareSQL\images\linha.gif">
          <a:extLst>
            <a:ext uri="{FF2B5EF4-FFF2-40B4-BE49-F238E27FC236}">
              <a16:creationId xmlns:a16="http://schemas.microsoft.com/office/drawing/2014/main" id="{FF16B3C5-0A6C-45E9-AE05-DE5DBBE20C1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2" name="Picture 127" descr="C:\pini\VolareSQL\images\linha.gif">
          <a:extLst>
            <a:ext uri="{FF2B5EF4-FFF2-40B4-BE49-F238E27FC236}">
              <a16:creationId xmlns:a16="http://schemas.microsoft.com/office/drawing/2014/main" id="{4D17A423-1656-4526-8E1D-BC24E26873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3" name="Picture 128" descr="C:\pini\VolareSQL\images\linha.gif">
          <a:extLst>
            <a:ext uri="{FF2B5EF4-FFF2-40B4-BE49-F238E27FC236}">
              <a16:creationId xmlns:a16="http://schemas.microsoft.com/office/drawing/2014/main" id="{662974D0-FE06-4247-B65E-5F51F49A516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4" name="Picture 129" descr="C:\pini\VolareSQL\images\linha.gif">
          <a:extLst>
            <a:ext uri="{FF2B5EF4-FFF2-40B4-BE49-F238E27FC236}">
              <a16:creationId xmlns:a16="http://schemas.microsoft.com/office/drawing/2014/main" id="{AEBB6E7F-FFE1-48D4-886E-3D10CBC7099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5" name="Picture 130" descr="C:\pini\VolareSQL\images\linha.gif">
          <a:extLst>
            <a:ext uri="{FF2B5EF4-FFF2-40B4-BE49-F238E27FC236}">
              <a16:creationId xmlns:a16="http://schemas.microsoft.com/office/drawing/2014/main" id="{3226D990-9493-47FE-9E8A-858762145CB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6" name="Picture 131" descr="C:\pini\VolareSQL\images\linha.gif">
          <a:extLst>
            <a:ext uri="{FF2B5EF4-FFF2-40B4-BE49-F238E27FC236}">
              <a16:creationId xmlns:a16="http://schemas.microsoft.com/office/drawing/2014/main" id="{A3E0BDBE-1F67-4D98-8478-6991FE9647B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7" name="Picture 132" descr="C:\pini\VolareSQL\images\linha.gif">
          <a:extLst>
            <a:ext uri="{FF2B5EF4-FFF2-40B4-BE49-F238E27FC236}">
              <a16:creationId xmlns:a16="http://schemas.microsoft.com/office/drawing/2014/main" id="{4A62ECC6-BFAB-4483-8752-6A8FD75262E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8" name="Picture 133" descr="C:\pini\VolareSQL\images\linha.gif">
          <a:extLst>
            <a:ext uri="{FF2B5EF4-FFF2-40B4-BE49-F238E27FC236}">
              <a16:creationId xmlns:a16="http://schemas.microsoft.com/office/drawing/2014/main" id="{FEDB2682-2DEA-44ED-84D7-80849A846DE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999" name="Picture 134" descr="C:\pini\VolareSQL\images\linha.gif">
          <a:extLst>
            <a:ext uri="{FF2B5EF4-FFF2-40B4-BE49-F238E27FC236}">
              <a16:creationId xmlns:a16="http://schemas.microsoft.com/office/drawing/2014/main" id="{6FE74FF0-4AA2-4EA3-98BC-294D8757677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0" name="Picture 135" descr="C:\pini\VolareSQL\images\linha.gif">
          <a:extLst>
            <a:ext uri="{FF2B5EF4-FFF2-40B4-BE49-F238E27FC236}">
              <a16:creationId xmlns:a16="http://schemas.microsoft.com/office/drawing/2014/main" id="{4739A43E-1185-47FB-A9BB-BC163DD65D0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1" name="Picture 136" descr="C:\pini\VolareSQL\images\linha.gif">
          <a:extLst>
            <a:ext uri="{FF2B5EF4-FFF2-40B4-BE49-F238E27FC236}">
              <a16:creationId xmlns:a16="http://schemas.microsoft.com/office/drawing/2014/main" id="{A42941AE-FA41-4BF8-8B87-81E457B5D5C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2" name="Picture 137" descr="C:\pini\VolareSQL\images\linha.gif">
          <a:extLst>
            <a:ext uri="{FF2B5EF4-FFF2-40B4-BE49-F238E27FC236}">
              <a16:creationId xmlns:a16="http://schemas.microsoft.com/office/drawing/2014/main" id="{A44FD00B-8394-41BB-A70A-BF7EB59AC21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3" name="Picture 138" descr="C:\pini\VolareSQL\images\linha.gif">
          <a:extLst>
            <a:ext uri="{FF2B5EF4-FFF2-40B4-BE49-F238E27FC236}">
              <a16:creationId xmlns:a16="http://schemas.microsoft.com/office/drawing/2014/main" id="{396B4FFB-9412-486C-8C25-3A8E64BE03B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4" name="Picture 139" descr="C:\pini\VolareSQL\images\linha.gif">
          <a:extLst>
            <a:ext uri="{FF2B5EF4-FFF2-40B4-BE49-F238E27FC236}">
              <a16:creationId xmlns:a16="http://schemas.microsoft.com/office/drawing/2014/main" id="{F20C3CC7-D438-4344-88D3-7DED7BADDC5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5" name="Picture 140" descr="C:\pini\VolareSQL\images\linha.gif">
          <a:extLst>
            <a:ext uri="{FF2B5EF4-FFF2-40B4-BE49-F238E27FC236}">
              <a16:creationId xmlns:a16="http://schemas.microsoft.com/office/drawing/2014/main" id="{B7851A79-38DA-4290-8CCD-64FD8934169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6" name="Picture 141" descr="C:\pini\VolareSQL\images\linha.gif">
          <a:extLst>
            <a:ext uri="{FF2B5EF4-FFF2-40B4-BE49-F238E27FC236}">
              <a16:creationId xmlns:a16="http://schemas.microsoft.com/office/drawing/2014/main" id="{87F03CB0-3F41-4FAB-94E3-108F5C554A3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7" name="Picture 142" descr="C:\pini\VolareSQL\images\linha.gif">
          <a:extLst>
            <a:ext uri="{FF2B5EF4-FFF2-40B4-BE49-F238E27FC236}">
              <a16:creationId xmlns:a16="http://schemas.microsoft.com/office/drawing/2014/main" id="{95C7BFDB-5C73-47A8-B975-0E1007C18D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8" name="Picture 143" descr="C:\pini\VolareSQL\images\linha.gif">
          <a:extLst>
            <a:ext uri="{FF2B5EF4-FFF2-40B4-BE49-F238E27FC236}">
              <a16:creationId xmlns:a16="http://schemas.microsoft.com/office/drawing/2014/main" id="{C07892E8-9024-4ED7-B531-D9E557D9E23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09" name="Picture 144" descr="C:\pini\VolareSQL\images\linha.gif">
          <a:extLst>
            <a:ext uri="{FF2B5EF4-FFF2-40B4-BE49-F238E27FC236}">
              <a16:creationId xmlns:a16="http://schemas.microsoft.com/office/drawing/2014/main" id="{1CE53E33-47CB-4928-9B76-604434F930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0" name="Picture 145" descr="C:\pini\VolareSQL\images\linha.gif">
          <a:extLst>
            <a:ext uri="{FF2B5EF4-FFF2-40B4-BE49-F238E27FC236}">
              <a16:creationId xmlns:a16="http://schemas.microsoft.com/office/drawing/2014/main" id="{5CEEC348-FC40-4E1E-8F9E-7752D29B46A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1" name="Picture 146" descr="C:\pini\VolareSQL\images\linha.gif">
          <a:extLst>
            <a:ext uri="{FF2B5EF4-FFF2-40B4-BE49-F238E27FC236}">
              <a16:creationId xmlns:a16="http://schemas.microsoft.com/office/drawing/2014/main" id="{C1F5B5DC-01AF-4310-8EFF-5FD0E04663C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2" name="Picture 147" descr="C:\pini\VolareSQL\images\linha.gif">
          <a:extLst>
            <a:ext uri="{FF2B5EF4-FFF2-40B4-BE49-F238E27FC236}">
              <a16:creationId xmlns:a16="http://schemas.microsoft.com/office/drawing/2014/main" id="{485D73A2-233E-4479-9AA5-8A2B56EC9EC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3" name="Picture 148" descr="C:\pini\VolareSQL\images\linha.gif">
          <a:extLst>
            <a:ext uri="{FF2B5EF4-FFF2-40B4-BE49-F238E27FC236}">
              <a16:creationId xmlns:a16="http://schemas.microsoft.com/office/drawing/2014/main" id="{290990A6-209D-4F2A-90BD-EC6C366283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4" name="Picture 149" descr="C:\pini\VolareSQL\images\linha.gif">
          <a:extLst>
            <a:ext uri="{FF2B5EF4-FFF2-40B4-BE49-F238E27FC236}">
              <a16:creationId xmlns:a16="http://schemas.microsoft.com/office/drawing/2014/main" id="{018788B3-45C8-47D7-813C-BAD125FFD2B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5" name="Picture 150" descr="C:\pini\VolareSQL\images\linha.gif">
          <a:extLst>
            <a:ext uri="{FF2B5EF4-FFF2-40B4-BE49-F238E27FC236}">
              <a16:creationId xmlns:a16="http://schemas.microsoft.com/office/drawing/2014/main" id="{F7BB34B2-64EF-4766-87CB-1A5D639FA25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6" name="Picture 151" descr="C:\pini\VolareSQL\images\linha.gif">
          <a:extLst>
            <a:ext uri="{FF2B5EF4-FFF2-40B4-BE49-F238E27FC236}">
              <a16:creationId xmlns:a16="http://schemas.microsoft.com/office/drawing/2014/main" id="{31F25B58-E89E-4E9B-880D-606DD55A355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7" name="Picture 152" descr="C:\pini\VolareSQL\images\linha.gif">
          <a:extLst>
            <a:ext uri="{FF2B5EF4-FFF2-40B4-BE49-F238E27FC236}">
              <a16:creationId xmlns:a16="http://schemas.microsoft.com/office/drawing/2014/main" id="{4741A1DF-548D-4D39-B17F-5DE4FA5991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8" name="Picture 153" descr="C:\pini\VolareSQL\images\linha.gif">
          <a:extLst>
            <a:ext uri="{FF2B5EF4-FFF2-40B4-BE49-F238E27FC236}">
              <a16:creationId xmlns:a16="http://schemas.microsoft.com/office/drawing/2014/main" id="{3F055846-DE52-46EB-B9A9-B36D1C0E5E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19" name="Picture 154" descr="C:\pini\VolareSQL\images\linha.gif">
          <a:extLst>
            <a:ext uri="{FF2B5EF4-FFF2-40B4-BE49-F238E27FC236}">
              <a16:creationId xmlns:a16="http://schemas.microsoft.com/office/drawing/2014/main" id="{CD403BAB-1FA3-4F7A-9E3B-5C5EDA27365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0" name="Picture 155" descr="C:\pini\VolareSQL\images\linha.gif">
          <a:extLst>
            <a:ext uri="{FF2B5EF4-FFF2-40B4-BE49-F238E27FC236}">
              <a16:creationId xmlns:a16="http://schemas.microsoft.com/office/drawing/2014/main" id="{3205D3F9-EF5B-4527-BF51-4097F1EE69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1" name="Picture 156" descr="C:\pini\VolareSQL\images\linha.gif">
          <a:extLst>
            <a:ext uri="{FF2B5EF4-FFF2-40B4-BE49-F238E27FC236}">
              <a16:creationId xmlns:a16="http://schemas.microsoft.com/office/drawing/2014/main" id="{B3961B30-F59D-4E0E-B9F9-36DF81B4F22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2" name="Picture 157" descr="C:\pini\VolareSQL\images\linha.gif">
          <a:extLst>
            <a:ext uri="{FF2B5EF4-FFF2-40B4-BE49-F238E27FC236}">
              <a16:creationId xmlns:a16="http://schemas.microsoft.com/office/drawing/2014/main" id="{0942B9EA-1A4C-473B-91C1-F2870C29529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3" name="Picture 158" descr="C:\pini\VolareSQL\images\linha.gif">
          <a:extLst>
            <a:ext uri="{FF2B5EF4-FFF2-40B4-BE49-F238E27FC236}">
              <a16:creationId xmlns:a16="http://schemas.microsoft.com/office/drawing/2014/main" id="{05CF4606-7BC7-4F7D-AC90-4722C86F775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4" name="Picture 159" descr="C:\pini\VolareSQL\images\linha.gif">
          <a:extLst>
            <a:ext uri="{FF2B5EF4-FFF2-40B4-BE49-F238E27FC236}">
              <a16:creationId xmlns:a16="http://schemas.microsoft.com/office/drawing/2014/main" id="{A2CD988B-71CA-45A6-8373-151EA651514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5" name="Picture 160" descr="C:\pini\VolareSQL\images\linha.gif">
          <a:extLst>
            <a:ext uri="{FF2B5EF4-FFF2-40B4-BE49-F238E27FC236}">
              <a16:creationId xmlns:a16="http://schemas.microsoft.com/office/drawing/2014/main" id="{55AD00D0-4E6F-4131-9CAA-0C918D3B23A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6" name="Picture 161" descr="C:\pini\VolareSQL\images\linha.gif">
          <a:extLst>
            <a:ext uri="{FF2B5EF4-FFF2-40B4-BE49-F238E27FC236}">
              <a16:creationId xmlns:a16="http://schemas.microsoft.com/office/drawing/2014/main" id="{129E6748-AE53-490F-9E96-8350012B87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7" name="Picture 162" descr="C:\pini\VolareSQL\images\linha.gif">
          <a:extLst>
            <a:ext uri="{FF2B5EF4-FFF2-40B4-BE49-F238E27FC236}">
              <a16:creationId xmlns:a16="http://schemas.microsoft.com/office/drawing/2014/main" id="{FFD5819F-51EB-44B1-9FE9-97309BB0AC8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8" name="Picture 163" descr="C:\pini\VolareSQL\images\linha.gif">
          <a:extLst>
            <a:ext uri="{FF2B5EF4-FFF2-40B4-BE49-F238E27FC236}">
              <a16:creationId xmlns:a16="http://schemas.microsoft.com/office/drawing/2014/main" id="{FD3D7161-6CB3-44CA-81FD-2F8CCD1D46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29" name="Picture 164" descr="C:\pini\VolareSQL\images\linha.gif">
          <a:extLst>
            <a:ext uri="{FF2B5EF4-FFF2-40B4-BE49-F238E27FC236}">
              <a16:creationId xmlns:a16="http://schemas.microsoft.com/office/drawing/2014/main" id="{6FE74A4C-B1B5-446E-B4BB-333E43AD93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0" name="Picture 165" descr="C:\pini\VolareSQL\images\linha.gif">
          <a:extLst>
            <a:ext uri="{FF2B5EF4-FFF2-40B4-BE49-F238E27FC236}">
              <a16:creationId xmlns:a16="http://schemas.microsoft.com/office/drawing/2014/main" id="{D91C6A43-D63E-4A44-AF1A-80ACE538D9C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1" name="Picture 166" descr="C:\pini\VolareSQL\images\linha.gif">
          <a:extLst>
            <a:ext uri="{FF2B5EF4-FFF2-40B4-BE49-F238E27FC236}">
              <a16:creationId xmlns:a16="http://schemas.microsoft.com/office/drawing/2014/main" id="{1A28F2C2-75D5-48F6-B979-32AC24D8F27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2" name="Picture 167" descr="C:\pini\VolareSQL\images\linha.gif">
          <a:extLst>
            <a:ext uri="{FF2B5EF4-FFF2-40B4-BE49-F238E27FC236}">
              <a16:creationId xmlns:a16="http://schemas.microsoft.com/office/drawing/2014/main" id="{72BF5A5D-3E19-4EB5-BA5F-B1F4DDB434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3" name="Picture 168" descr="C:\pini\VolareSQL\images\linha.gif">
          <a:extLst>
            <a:ext uri="{FF2B5EF4-FFF2-40B4-BE49-F238E27FC236}">
              <a16:creationId xmlns:a16="http://schemas.microsoft.com/office/drawing/2014/main" id="{BD016AF9-B483-45F3-B7AD-DE7C337002B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4" name="Picture 169" descr="C:\pini\VolareSQL\images\linha.gif">
          <a:extLst>
            <a:ext uri="{FF2B5EF4-FFF2-40B4-BE49-F238E27FC236}">
              <a16:creationId xmlns:a16="http://schemas.microsoft.com/office/drawing/2014/main" id="{3DEDC0E3-5A86-447E-AEAF-9A763791BAE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5" name="Picture 170" descr="C:\pini\VolareSQL\images\linha.gif">
          <a:extLst>
            <a:ext uri="{FF2B5EF4-FFF2-40B4-BE49-F238E27FC236}">
              <a16:creationId xmlns:a16="http://schemas.microsoft.com/office/drawing/2014/main" id="{28B9FF58-C880-49BE-BE5E-804AA699DC3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6" name="Picture 171" descr="C:\pini\VolareSQL\images\linha.gif">
          <a:extLst>
            <a:ext uri="{FF2B5EF4-FFF2-40B4-BE49-F238E27FC236}">
              <a16:creationId xmlns:a16="http://schemas.microsoft.com/office/drawing/2014/main" id="{B0B90F92-22C2-47C5-80D7-985AEA4BF71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7" name="Picture 172" descr="C:\pini\VolareSQL\images\linha.gif">
          <a:extLst>
            <a:ext uri="{FF2B5EF4-FFF2-40B4-BE49-F238E27FC236}">
              <a16:creationId xmlns:a16="http://schemas.microsoft.com/office/drawing/2014/main" id="{621E25B1-8D82-4EE1-891E-C3786B3311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8" name="Picture 173" descr="C:\pini\VolareSQL\images\linha.gif">
          <a:extLst>
            <a:ext uri="{FF2B5EF4-FFF2-40B4-BE49-F238E27FC236}">
              <a16:creationId xmlns:a16="http://schemas.microsoft.com/office/drawing/2014/main" id="{E4E5CFDC-FC1C-418D-A6C8-EE2557BD6AF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39" name="Picture 174" descr="C:\pini\VolareSQL\images\linha.gif">
          <a:extLst>
            <a:ext uri="{FF2B5EF4-FFF2-40B4-BE49-F238E27FC236}">
              <a16:creationId xmlns:a16="http://schemas.microsoft.com/office/drawing/2014/main" id="{2122E15B-F3DE-4E7F-B3F2-431A2B03B53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0" name="Picture 175" descr="C:\pini\VolareSQL\images\linha.gif">
          <a:extLst>
            <a:ext uri="{FF2B5EF4-FFF2-40B4-BE49-F238E27FC236}">
              <a16:creationId xmlns:a16="http://schemas.microsoft.com/office/drawing/2014/main" id="{DF29A427-B651-404D-A1C4-DDE2CF0B49C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1" name="Picture 176" descr="C:\pini\VolareSQL\images\linha.gif">
          <a:extLst>
            <a:ext uri="{FF2B5EF4-FFF2-40B4-BE49-F238E27FC236}">
              <a16:creationId xmlns:a16="http://schemas.microsoft.com/office/drawing/2014/main" id="{CCE0203D-CEE0-4882-BB27-BE34C418199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2" name="Picture 177" descr="C:\pini\VolareSQL\images\linha.gif">
          <a:extLst>
            <a:ext uri="{FF2B5EF4-FFF2-40B4-BE49-F238E27FC236}">
              <a16:creationId xmlns:a16="http://schemas.microsoft.com/office/drawing/2014/main" id="{62BF7E51-7BD2-4429-BEF5-B1E42A83AD9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3" name="Picture 178" descr="C:\pini\VolareSQL\images\linha.gif">
          <a:extLst>
            <a:ext uri="{FF2B5EF4-FFF2-40B4-BE49-F238E27FC236}">
              <a16:creationId xmlns:a16="http://schemas.microsoft.com/office/drawing/2014/main" id="{9A7E14E3-1D73-44AC-8F19-2547884D805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4" name="Picture 179" descr="C:\pini\VolareSQL\images\linha.gif">
          <a:extLst>
            <a:ext uri="{FF2B5EF4-FFF2-40B4-BE49-F238E27FC236}">
              <a16:creationId xmlns:a16="http://schemas.microsoft.com/office/drawing/2014/main" id="{7E06E166-38E5-4A0A-AE26-9114F840213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5" name="Picture 180" descr="C:\pini\VolareSQL\images\linha.gif">
          <a:extLst>
            <a:ext uri="{FF2B5EF4-FFF2-40B4-BE49-F238E27FC236}">
              <a16:creationId xmlns:a16="http://schemas.microsoft.com/office/drawing/2014/main" id="{73839F1E-7C0A-4202-B0EC-F79E8CF6FD8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6" name="Picture 181" descr="C:\pini\VolareSQL\images\linha.gif">
          <a:extLst>
            <a:ext uri="{FF2B5EF4-FFF2-40B4-BE49-F238E27FC236}">
              <a16:creationId xmlns:a16="http://schemas.microsoft.com/office/drawing/2014/main" id="{5293E0AA-1560-4819-80EE-288CB3BBA0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7" name="Picture 182" descr="C:\pini\VolareSQL\images\linha.gif">
          <a:extLst>
            <a:ext uri="{FF2B5EF4-FFF2-40B4-BE49-F238E27FC236}">
              <a16:creationId xmlns:a16="http://schemas.microsoft.com/office/drawing/2014/main" id="{3AE800DC-2E5D-4599-AC0D-843F48BAE65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8" name="Picture 183" descr="C:\pini\VolareSQL\images\linha.gif">
          <a:extLst>
            <a:ext uri="{FF2B5EF4-FFF2-40B4-BE49-F238E27FC236}">
              <a16:creationId xmlns:a16="http://schemas.microsoft.com/office/drawing/2014/main" id="{B43E183F-D1B9-4B58-A9DA-B3FFCF82E98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49" name="Picture 184" descr="C:\pini\VolareSQL\images\linha.gif">
          <a:extLst>
            <a:ext uri="{FF2B5EF4-FFF2-40B4-BE49-F238E27FC236}">
              <a16:creationId xmlns:a16="http://schemas.microsoft.com/office/drawing/2014/main" id="{D15C12D4-0328-416D-AA1D-1CA3311AB58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0" name="Picture 185" descr="C:\pini\VolareSQL\images\linha.gif">
          <a:extLst>
            <a:ext uri="{FF2B5EF4-FFF2-40B4-BE49-F238E27FC236}">
              <a16:creationId xmlns:a16="http://schemas.microsoft.com/office/drawing/2014/main" id="{8A5CFDAE-3BF1-44AF-958B-8E1B8F99407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1" name="Picture 186" descr="C:\pini\VolareSQL\images\linha.gif">
          <a:extLst>
            <a:ext uri="{FF2B5EF4-FFF2-40B4-BE49-F238E27FC236}">
              <a16:creationId xmlns:a16="http://schemas.microsoft.com/office/drawing/2014/main" id="{3BFCAF0F-8581-4366-BCC9-89FE7DB7AC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2" name="Picture 187" descr="C:\pini\VolareSQL\images\linha.gif">
          <a:extLst>
            <a:ext uri="{FF2B5EF4-FFF2-40B4-BE49-F238E27FC236}">
              <a16:creationId xmlns:a16="http://schemas.microsoft.com/office/drawing/2014/main" id="{3C52E6FE-1F17-4B49-95BB-9583A8E5A55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3" name="Picture 188" descr="C:\pini\VolareSQL\images\linha.gif">
          <a:extLst>
            <a:ext uri="{FF2B5EF4-FFF2-40B4-BE49-F238E27FC236}">
              <a16:creationId xmlns:a16="http://schemas.microsoft.com/office/drawing/2014/main" id="{581FCE17-B5DE-439C-AA23-14E709FEAC2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4" name="Picture 189" descr="C:\pini\VolareSQL\images\linha.gif">
          <a:extLst>
            <a:ext uri="{FF2B5EF4-FFF2-40B4-BE49-F238E27FC236}">
              <a16:creationId xmlns:a16="http://schemas.microsoft.com/office/drawing/2014/main" id="{59D18F2C-AD37-47DF-9C03-A3BA538C64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5" name="Picture 190" descr="C:\pini\VolareSQL\images\linha.gif">
          <a:extLst>
            <a:ext uri="{FF2B5EF4-FFF2-40B4-BE49-F238E27FC236}">
              <a16:creationId xmlns:a16="http://schemas.microsoft.com/office/drawing/2014/main" id="{F1D883F7-008A-40AC-958E-AE9084ECCAB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6" name="Picture 191" descr="C:\pini\VolareSQL\images\linha.gif">
          <a:extLst>
            <a:ext uri="{FF2B5EF4-FFF2-40B4-BE49-F238E27FC236}">
              <a16:creationId xmlns:a16="http://schemas.microsoft.com/office/drawing/2014/main" id="{732DD641-3220-4AAF-BFB6-055CD19CA62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7" name="Picture 192" descr="C:\pini\VolareSQL\images\linha.gif">
          <a:extLst>
            <a:ext uri="{FF2B5EF4-FFF2-40B4-BE49-F238E27FC236}">
              <a16:creationId xmlns:a16="http://schemas.microsoft.com/office/drawing/2014/main" id="{48301501-8295-4521-B077-78EDD956A8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8" name="Picture 193" descr="C:\pini\VolareSQL\images\linha.gif">
          <a:extLst>
            <a:ext uri="{FF2B5EF4-FFF2-40B4-BE49-F238E27FC236}">
              <a16:creationId xmlns:a16="http://schemas.microsoft.com/office/drawing/2014/main" id="{EECD7A1A-6369-4A71-A0C9-A5EE9D5000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59" name="Picture 194" descr="C:\pini\VolareSQL\images\linha.gif">
          <a:extLst>
            <a:ext uri="{FF2B5EF4-FFF2-40B4-BE49-F238E27FC236}">
              <a16:creationId xmlns:a16="http://schemas.microsoft.com/office/drawing/2014/main" id="{94562DE6-262A-4CD9-BBB0-A0FAD9DF0D5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0" name="Picture 195" descr="C:\pini\VolareSQL\images\linha.gif">
          <a:extLst>
            <a:ext uri="{FF2B5EF4-FFF2-40B4-BE49-F238E27FC236}">
              <a16:creationId xmlns:a16="http://schemas.microsoft.com/office/drawing/2014/main" id="{75F5086B-617D-456F-9840-28BC78D6D82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1" name="Picture 196" descr="C:\pini\VolareSQL\images\linha.gif">
          <a:extLst>
            <a:ext uri="{FF2B5EF4-FFF2-40B4-BE49-F238E27FC236}">
              <a16:creationId xmlns:a16="http://schemas.microsoft.com/office/drawing/2014/main" id="{8735E0CF-296E-4F97-BBC6-6FC6C3E3EE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2" name="Picture 197" descr="C:\pini\VolareSQL\images\linha.gif">
          <a:extLst>
            <a:ext uri="{FF2B5EF4-FFF2-40B4-BE49-F238E27FC236}">
              <a16:creationId xmlns:a16="http://schemas.microsoft.com/office/drawing/2014/main" id="{2DA8F2B9-D5B7-4714-95CD-C0483B30326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3" name="Picture 198" descr="C:\pini\VolareSQL\images\linha.gif">
          <a:extLst>
            <a:ext uri="{FF2B5EF4-FFF2-40B4-BE49-F238E27FC236}">
              <a16:creationId xmlns:a16="http://schemas.microsoft.com/office/drawing/2014/main" id="{A5741D88-CE53-46AD-80D7-AB70C6EFB1A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4" name="Picture 199" descr="C:\pini\VolareSQL\images\linha.gif">
          <a:extLst>
            <a:ext uri="{FF2B5EF4-FFF2-40B4-BE49-F238E27FC236}">
              <a16:creationId xmlns:a16="http://schemas.microsoft.com/office/drawing/2014/main" id="{3040465C-EE33-48DD-BF7C-BFD8959C37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5" name="Picture 200" descr="C:\pini\VolareSQL\images\linha.gif">
          <a:extLst>
            <a:ext uri="{FF2B5EF4-FFF2-40B4-BE49-F238E27FC236}">
              <a16:creationId xmlns:a16="http://schemas.microsoft.com/office/drawing/2014/main" id="{E42530B7-FAD7-4A66-AD13-F0E3878DE3D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6" name="Picture 201" descr="C:\pini\VolareSQL\images\linha.gif">
          <a:extLst>
            <a:ext uri="{FF2B5EF4-FFF2-40B4-BE49-F238E27FC236}">
              <a16:creationId xmlns:a16="http://schemas.microsoft.com/office/drawing/2014/main" id="{8D4B711E-2AFE-4C0F-A447-AEA4776A350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7" name="Picture 202" descr="C:\pini\VolareSQL\images\linha.gif">
          <a:extLst>
            <a:ext uri="{FF2B5EF4-FFF2-40B4-BE49-F238E27FC236}">
              <a16:creationId xmlns:a16="http://schemas.microsoft.com/office/drawing/2014/main" id="{87EC906C-C703-446E-B6DA-B3A68ED274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8" name="Picture 203" descr="C:\pini\VolareSQL\images\linha.gif">
          <a:extLst>
            <a:ext uri="{FF2B5EF4-FFF2-40B4-BE49-F238E27FC236}">
              <a16:creationId xmlns:a16="http://schemas.microsoft.com/office/drawing/2014/main" id="{E11CC1AE-2A5C-4ABD-98DC-EE1079ED97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69" name="Picture 204" descr="C:\pini\VolareSQL\images\linha.gif">
          <a:extLst>
            <a:ext uri="{FF2B5EF4-FFF2-40B4-BE49-F238E27FC236}">
              <a16:creationId xmlns:a16="http://schemas.microsoft.com/office/drawing/2014/main" id="{C49BBDB6-B709-4024-82BB-33CA1AFA34D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0" name="Picture 205" descr="C:\pini\VolareSQL\images\linha.gif">
          <a:extLst>
            <a:ext uri="{FF2B5EF4-FFF2-40B4-BE49-F238E27FC236}">
              <a16:creationId xmlns:a16="http://schemas.microsoft.com/office/drawing/2014/main" id="{9CB8226F-08D4-43F5-A454-085717FFA7A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1" name="Picture 206" descr="C:\pini\VolareSQL\images\linha.gif">
          <a:extLst>
            <a:ext uri="{FF2B5EF4-FFF2-40B4-BE49-F238E27FC236}">
              <a16:creationId xmlns:a16="http://schemas.microsoft.com/office/drawing/2014/main" id="{8717F9F6-653F-42A3-9019-2877FAC66EB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2" name="Picture 207" descr="C:\pini\VolareSQL\images\linha.gif">
          <a:extLst>
            <a:ext uri="{FF2B5EF4-FFF2-40B4-BE49-F238E27FC236}">
              <a16:creationId xmlns:a16="http://schemas.microsoft.com/office/drawing/2014/main" id="{7F7C8EA1-E11E-4924-8B59-FE4EC4AFCC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3" name="Picture 208" descr="C:\pini\VolareSQL\images\linha.gif">
          <a:extLst>
            <a:ext uri="{FF2B5EF4-FFF2-40B4-BE49-F238E27FC236}">
              <a16:creationId xmlns:a16="http://schemas.microsoft.com/office/drawing/2014/main" id="{34C360E1-EC57-452F-B23D-E15FC34357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4" name="Picture 209" descr="C:\pini\VolareSQL\images\linha.gif">
          <a:extLst>
            <a:ext uri="{FF2B5EF4-FFF2-40B4-BE49-F238E27FC236}">
              <a16:creationId xmlns:a16="http://schemas.microsoft.com/office/drawing/2014/main" id="{423C00C8-8A58-4D5B-B27A-7BDDE1BE7A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5" name="Picture 210" descr="C:\pini\VolareSQL\images\linha.gif">
          <a:extLst>
            <a:ext uri="{FF2B5EF4-FFF2-40B4-BE49-F238E27FC236}">
              <a16:creationId xmlns:a16="http://schemas.microsoft.com/office/drawing/2014/main" id="{CCA76292-9A08-4C89-B201-298F3F5623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6" name="Picture 211" descr="C:\pini\VolareSQL\images\linha.gif">
          <a:extLst>
            <a:ext uri="{FF2B5EF4-FFF2-40B4-BE49-F238E27FC236}">
              <a16:creationId xmlns:a16="http://schemas.microsoft.com/office/drawing/2014/main" id="{E4E397B8-7F6C-4221-8B47-46464900F28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7" name="Picture 212" descr="C:\pini\VolareSQL\images\linha.gif">
          <a:extLst>
            <a:ext uri="{FF2B5EF4-FFF2-40B4-BE49-F238E27FC236}">
              <a16:creationId xmlns:a16="http://schemas.microsoft.com/office/drawing/2014/main" id="{104D7D41-0CF6-42D7-9CF6-EC4968832B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8" name="Picture 213" descr="C:\pini\VolareSQL\images\linha.gif">
          <a:extLst>
            <a:ext uri="{FF2B5EF4-FFF2-40B4-BE49-F238E27FC236}">
              <a16:creationId xmlns:a16="http://schemas.microsoft.com/office/drawing/2014/main" id="{F4B80B9C-AC12-497C-B708-F45A1103565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79" name="Picture 214" descr="C:\pini\VolareSQL\images\linha.gif">
          <a:extLst>
            <a:ext uri="{FF2B5EF4-FFF2-40B4-BE49-F238E27FC236}">
              <a16:creationId xmlns:a16="http://schemas.microsoft.com/office/drawing/2014/main" id="{FA2F4F6E-C6ED-4239-8F9B-06665F1EA4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0" name="Picture 215" descr="C:\pini\VolareSQL\images\linha.gif">
          <a:extLst>
            <a:ext uri="{FF2B5EF4-FFF2-40B4-BE49-F238E27FC236}">
              <a16:creationId xmlns:a16="http://schemas.microsoft.com/office/drawing/2014/main" id="{C1A458D2-87DA-46A8-868D-36028436BDF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1" name="Picture 216" descr="C:\pini\VolareSQL\images\linha.gif">
          <a:extLst>
            <a:ext uri="{FF2B5EF4-FFF2-40B4-BE49-F238E27FC236}">
              <a16:creationId xmlns:a16="http://schemas.microsoft.com/office/drawing/2014/main" id="{9806F167-721E-4AF2-82ED-FD746775480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2" name="Picture 217" descr="C:\pini\VolareSQL\images\linha.gif">
          <a:extLst>
            <a:ext uri="{FF2B5EF4-FFF2-40B4-BE49-F238E27FC236}">
              <a16:creationId xmlns:a16="http://schemas.microsoft.com/office/drawing/2014/main" id="{BDE6A039-927D-43B1-BF64-84F52A86E60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3" name="Picture 218" descr="C:\pini\VolareSQL\images\linha.gif">
          <a:extLst>
            <a:ext uri="{FF2B5EF4-FFF2-40B4-BE49-F238E27FC236}">
              <a16:creationId xmlns:a16="http://schemas.microsoft.com/office/drawing/2014/main" id="{1D7CE6AA-8842-465B-8536-F31766EEEAA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4" name="Picture 219" descr="C:\pini\VolareSQL\images\linha.gif">
          <a:extLst>
            <a:ext uri="{FF2B5EF4-FFF2-40B4-BE49-F238E27FC236}">
              <a16:creationId xmlns:a16="http://schemas.microsoft.com/office/drawing/2014/main" id="{C410590C-F498-40B1-995C-FBC3B4BEDB9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5" name="Picture 220" descr="C:\pini\VolareSQL\images\linha.gif">
          <a:extLst>
            <a:ext uri="{FF2B5EF4-FFF2-40B4-BE49-F238E27FC236}">
              <a16:creationId xmlns:a16="http://schemas.microsoft.com/office/drawing/2014/main" id="{FC0A4471-72D0-424B-AF1A-A749F8E2898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6" name="Picture 221" descr="C:\pini\VolareSQL\images\linha.gif">
          <a:extLst>
            <a:ext uri="{FF2B5EF4-FFF2-40B4-BE49-F238E27FC236}">
              <a16:creationId xmlns:a16="http://schemas.microsoft.com/office/drawing/2014/main" id="{5BB05A57-4FAC-4A1E-96E2-E19C01206DB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7" name="Picture 222" descr="C:\pini\VolareSQL\images\linha.gif">
          <a:extLst>
            <a:ext uri="{FF2B5EF4-FFF2-40B4-BE49-F238E27FC236}">
              <a16:creationId xmlns:a16="http://schemas.microsoft.com/office/drawing/2014/main" id="{25884758-2DDC-46ED-8BD0-6CABEA54574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8" name="Picture 223" descr="C:\pini\VolareSQL\images\linha.gif">
          <a:extLst>
            <a:ext uri="{FF2B5EF4-FFF2-40B4-BE49-F238E27FC236}">
              <a16:creationId xmlns:a16="http://schemas.microsoft.com/office/drawing/2014/main" id="{688B22E5-8F93-4028-AC13-449E6374803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89" name="Picture 224" descr="C:\pini\VolareSQL\images\linha.gif">
          <a:extLst>
            <a:ext uri="{FF2B5EF4-FFF2-40B4-BE49-F238E27FC236}">
              <a16:creationId xmlns:a16="http://schemas.microsoft.com/office/drawing/2014/main" id="{D7C74994-49D4-4021-AE4F-76A5BE9E71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0" name="Picture 225" descr="C:\pini\VolareSQL\images\linha.gif">
          <a:extLst>
            <a:ext uri="{FF2B5EF4-FFF2-40B4-BE49-F238E27FC236}">
              <a16:creationId xmlns:a16="http://schemas.microsoft.com/office/drawing/2014/main" id="{E90BBE60-A607-49E5-8C61-7C097AEDF3E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1" name="Picture 226" descr="C:\pini\VolareSQL\images\linha.gif">
          <a:extLst>
            <a:ext uri="{FF2B5EF4-FFF2-40B4-BE49-F238E27FC236}">
              <a16:creationId xmlns:a16="http://schemas.microsoft.com/office/drawing/2014/main" id="{41034375-0E41-44C5-A4F8-DD34FA471BA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2" name="Picture 227" descr="C:\pini\VolareSQL\images\linha.gif">
          <a:extLst>
            <a:ext uri="{FF2B5EF4-FFF2-40B4-BE49-F238E27FC236}">
              <a16:creationId xmlns:a16="http://schemas.microsoft.com/office/drawing/2014/main" id="{44B886B2-01A9-45D9-B29F-98C94D93D02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3" name="Picture 228" descr="C:\pini\VolareSQL\images\linha.gif">
          <a:extLst>
            <a:ext uri="{FF2B5EF4-FFF2-40B4-BE49-F238E27FC236}">
              <a16:creationId xmlns:a16="http://schemas.microsoft.com/office/drawing/2014/main" id="{5187FC77-2B8F-4F7A-84BD-7870990207C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4" name="Picture 229" descr="C:\pini\VolareSQL\images\linha.gif">
          <a:extLst>
            <a:ext uri="{FF2B5EF4-FFF2-40B4-BE49-F238E27FC236}">
              <a16:creationId xmlns:a16="http://schemas.microsoft.com/office/drawing/2014/main" id="{735FAF77-D1FB-4BFE-A3FF-13965E5AB22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5" name="Picture 230" descr="C:\pini\VolareSQL\images\linha.gif">
          <a:extLst>
            <a:ext uri="{FF2B5EF4-FFF2-40B4-BE49-F238E27FC236}">
              <a16:creationId xmlns:a16="http://schemas.microsoft.com/office/drawing/2014/main" id="{0C359A27-A254-4749-812D-D7CA4A57CBD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6" name="Picture 231" descr="C:\pini\VolareSQL\images\linha.gif">
          <a:extLst>
            <a:ext uri="{FF2B5EF4-FFF2-40B4-BE49-F238E27FC236}">
              <a16:creationId xmlns:a16="http://schemas.microsoft.com/office/drawing/2014/main" id="{BF17F3D4-0104-4D92-AD8A-C72FFB613D5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7" name="Picture 232" descr="C:\pini\VolareSQL\images\linha.gif">
          <a:extLst>
            <a:ext uri="{FF2B5EF4-FFF2-40B4-BE49-F238E27FC236}">
              <a16:creationId xmlns:a16="http://schemas.microsoft.com/office/drawing/2014/main" id="{65683C6A-1D65-4D2B-A11B-2FD9FE7D18C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8" name="Picture 233" descr="C:\pini\VolareSQL\images\linha.gif">
          <a:extLst>
            <a:ext uri="{FF2B5EF4-FFF2-40B4-BE49-F238E27FC236}">
              <a16:creationId xmlns:a16="http://schemas.microsoft.com/office/drawing/2014/main" id="{E3E6AAB2-3C2C-4C60-93C9-7366F622E84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099" name="Picture 234" descr="C:\pini\VolareSQL\images\linha.gif">
          <a:extLst>
            <a:ext uri="{FF2B5EF4-FFF2-40B4-BE49-F238E27FC236}">
              <a16:creationId xmlns:a16="http://schemas.microsoft.com/office/drawing/2014/main" id="{4F65E9FA-AE08-414A-8346-289461F99FD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0" name="Picture 235" descr="C:\pini\VolareSQL\images\linha.gif">
          <a:extLst>
            <a:ext uri="{FF2B5EF4-FFF2-40B4-BE49-F238E27FC236}">
              <a16:creationId xmlns:a16="http://schemas.microsoft.com/office/drawing/2014/main" id="{20613FD2-2DE7-4608-927C-1666C17DBE1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1" name="Picture 236" descr="C:\pini\VolareSQL\images\linha.gif">
          <a:extLst>
            <a:ext uri="{FF2B5EF4-FFF2-40B4-BE49-F238E27FC236}">
              <a16:creationId xmlns:a16="http://schemas.microsoft.com/office/drawing/2014/main" id="{E296AF27-8CE8-4A05-9EA3-D02BE6C2539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2" name="Picture 237" descr="C:\pini\VolareSQL\images\linha.gif">
          <a:extLst>
            <a:ext uri="{FF2B5EF4-FFF2-40B4-BE49-F238E27FC236}">
              <a16:creationId xmlns:a16="http://schemas.microsoft.com/office/drawing/2014/main" id="{3B026CBF-480B-4D04-B7D8-CB46595B714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3" name="Picture 238" descr="C:\pini\VolareSQL\images\linha.gif">
          <a:extLst>
            <a:ext uri="{FF2B5EF4-FFF2-40B4-BE49-F238E27FC236}">
              <a16:creationId xmlns:a16="http://schemas.microsoft.com/office/drawing/2014/main" id="{E5552A36-4C8D-425A-8667-FF5FF9687DF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4" name="Picture 239" descr="C:\pini\VolareSQL\images\linha.gif">
          <a:extLst>
            <a:ext uri="{FF2B5EF4-FFF2-40B4-BE49-F238E27FC236}">
              <a16:creationId xmlns:a16="http://schemas.microsoft.com/office/drawing/2014/main" id="{BDC55105-68E6-475A-87A6-C3ADAC7A627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5" name="Picture 240" descr="C:\pini\VolareSQL\images\linha.gif">
          <a:extLst>
            <a:ext uri="{FF2B5EF4-FFF2-40B4-BE49-F238E27FC236}">
              <a16:creationId xmlns:a16="http://schemas.microsoft.com/office/drawing/2014/main" id="{C6AEB699-1B84-45BA-9438-07165AE1CB4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6" name="Picture 241" descr="C:\pini\VolareSQL\images\linha.gif">
          <a:extLst>
            <a:ext uri="{FF2B5EF4-FFF2-40B4-BE49-F238E27FC236}">
              <a16:creationId xmlns:a16="http://schemas.microsoft.com/office/drawing/2014/main" id="{E4C9EE09-675A-4B71-955B-2EF988FF1B4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7" name="Picture 242" descr="C:\pini\VolareSQL\images\linha.gif">
          <a:extLst>
            <a:ext uri="{FF2B5EF4-FFF2-40B4-BE49-F238E27FC236}">
              <a16:creationId xmlns:a16="http://schemas.microsoft.com/office/drawing/2014/main" id="{8CFF8B26-33EE-494E-BAE6-38AC1ABDDAD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8" name="Picture 243" descr="C:\pini\VolareSQL\images\linha.gif">
          <a:extLst>
            <a:ext uri="{FF2B5EF4-FFF2-40B4-BE49-F238E27FC236}">
              <a16:creationId xmlns:a16="http://schemas.microsoft.com/office/drawing/2014/main" id="{A8FB4A17-336D-482C-A56C-A0D0F3EA0FF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09" name="Picture 244" descr="C:\pini\VolareSQL\images\linha.gif">
          <a:extLst>
            <a:ext uri="{FF2B5EF4-FFF2-40B4-BE49-F238E27FC236}">
              <a16:creationId xmlns:a16="http://schemas.microsoft.com/office/drawing/2014/main" id="{C831B5B7-6B59-4428-971B-4F88D9D09B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0" name="Picture 245" descr="C:\pini\VolareSQL\images\linha.gif">
          <a:extLst>
            <a:ext uri="{FF2B5EF4-FFF2-40B4-BE49-F238E27FC236}">
              <a16:creationId xmlns:a16="http://schemas.microsoft.com/office/drawing/2014/main" id="{DD34544D-0BA8-4FE8-A26D-8CE7890C17D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1" name="Picture 246" descr="C:\pini\VolareSQL\images\linha.gif">
          <a:extLst>
            <a:ext uri="{FF2B5EF4-FFF2-40B4-BE49-F238E27FC236}">
              <a16:creationId xmlns:a16="http://schemas.microsoft.com/office/drawing/2014/main" id="{632EEF3A-93B3-40B8-BCC7-98872C1DD7B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2" name="Picture 247" descr="C:\pini\VolareSQL\images\linha.gif">
          <a:extLst>
            <a:ext uri="{FF2B5EF4-FFF2-40B4-BE49-F238E27FC236}">
              <a16:creationId xmlns:a16="http://schemas.microsoft.com/office/drawing/2014/main" id="{C0DC6004-6AF5-43D2-A63C-5C16534EDA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3" name="Picture 248" descr="C:\pini\VolareSQL\images\linha.gif">
          <a:extLst>
            <a:ext uri="{FF2B5EF4-FFF2-40B4-BE49-F238E27FC236}">
              <a16:creationId xmlns:a16="http://schemas.microsoft.com/office/drawing/2014/main" id="{827C45DA-FC89-42F1-B8D8-C918FB5F897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4" name="Picture 249" descr="C:\pini\VolareSQL\images\linha.gif">
          <a:extLst>
            <a:ext uri="{FF2B5EF4-FFF2-40B4-BE49-F238E27FC236}">
              <a16:creationId xmlns:a16="http://schemas.microsoft.com/office/drawing/2014/main" id="{D4FCA0F5-ABE0-480E-BB75-870E7B61899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5" name="Picture 250" descr="C:\pini\VolareSQL\images\linha.gif">
          <a:extLst>
            <a:ext uri="{FF2B5EF4-FFF2-40B4-BE49-F238E27FC236}">
              <a16:creationId xmlns:a16="http://schemas.microsoft.com/office/drawing/2014/main" id="{CB6191DD-BC65-4E18-BF44-7ABBAEA64A3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6" name="Picture 251" descr="C:\pini\VolareSQL\images\linha.gif">
          <a:extLst>
            <a:ext uri="{FF2B5EF4-FFF2-40B4-BE49-F238E27FC236}">
              <a16:creationId xmlns:a16="http://schemas.microsoft.com/office/drawing/2014/main" id="{05974611-4237-4328-947C-E1067B0ADE1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7" name="Picture 252" descr="C:\pini\VolareSQL\images\linha.gif">
          <a:extLst>
            <a:ext uri="{FF2B5EF4-FFF2-40B4-BE49-F238E27FC236}">
              <a16:creationId xmlns:a16="http://schemas.microsoft.com/office/drawing/2014/main" id="{CD81108B-9061-4DAE-80BD-96A1A5AC391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8" name="Picture 253" descr="C:\pini\VolareSQL\images\linha.gif">
          <a:extLst>
            <a:ext uri="{FF2B5EF4-FFF2-40B4-BE49-F238E27FC236}">
              <a16:creationId xmlns:a16="http://schemas.microsoft.com/office/drawing/2014/main" id="{E0D64D5D-562A-4451-A8D8-6C88B1EA618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19" name="Picture 254" descr="C:\pini\VolareSQL\images\linha.gif">
          <a:extLst>
            <a:ext uri="{FF2B5EF4-FFF2-40B4-BE49-F238E27FC236}">
              <a16:creationId xmlns:a16="http://schemas.microsoft.com/office/drawing/2014/main" id="{30B21768-0CDD-412B-8F5A-C3DC232BF2D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0" name="Picture 255" descr="C:\pini\VolareSQL\images\linha.gif">
          <a:extLst>
            <a:ext uri="{FF2B5EF4-FFF2-40B4-BE49-F238E27FC236}">
              <a16:creationId xmlns:a16="http://schemas.microsoft.com/office/drawing/2014/main" id="{06525752-47BB-446C-862D-52954B179F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1" name="Picture 256" descr="C:\pini\VolareSQL\images\linha.gif">
          <a:extLst>
            <a:ext uri="{FF2B5EF4-FFF2-40B4-BE49-F238E27FC236}">
              <a16:creationId xmlns:a16="http://schemas.microsoft.com/office/drawing/2014/main" id="{DD3A8F85-6D3D-4399-BCE7-9B7E3EC749C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2" name="Picture 257" descr="C:\pini\VolareSQL\images\linha.gif">
          <a:extLst>
            <a:ext uri="{FF2B5EF4-FFF2-40B4-BE49-F238E27FC236}">
              <a16:creationId xmlns:a16="http://schemas.microsoft.com/office/drawing/2014/main" id="{167BFC00-D0FD-4F78-99ED-1E722B2E0D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3" name="Picture 258" descr="C:\pini\VolareSQL\images\linha.gif">
          <a:extLst>
            <a:ext uri="{FF2B5EF4-FFF2-40B4-BE49-F238E27FC236}">
              <a16:creationId xmlns:a16="http://schemas.microsoft.com/office/drawing/2014/main" id="{2CE2BB93-6A70-4961-B889-3475540F6B5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4" name="Picture 259" descr="C:\pini\VolareSQL\images\linha.gif">
          <a:extLst>
            <a:ext uri="{FF2B5EF4-FFF2-40B4-BE49-F238E27FC236}">
              <a16:creationId xmlns:a16="http://schemas.microsoft.com/office/drawing/2014/main" id="{0F0D344F-64BB-430B-9899-2430A2D0129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5" name="Picture 260" descr="C:\pini\VolareSQL\images\linha.gif">
          <a:extLst>
            <a:ext uri="{FF2B5EF4-FFF2-40B4-BE49-F238E27FC236}">
              <a16:creationId xmlns:a16="http://schemas.microsoft.com/office/drawing/2014/main" id="{D0C76C41-4901-47A1-861C-9829D07AC9D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6" name="Picture 261" descr="C:\pini\VolareSQL\images\linha.gif">
          <a:extLst>
            <a:ext uri="{FF2B5EF4-FFF2-40B4-BE49-F238E27FC236}">
              <a16:creationId xmlns:a16="http://schemas.microsoft.com/office/drawing/2014/main" id="{EC783E51-74E3-45B5-A12D-FD9BB1B4357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7" name="Picture 262" descr="C:\pini\VolareSQL\images\linha.gif">
          <a:extLst>
            <a:ext uri="{FF2B5EF4-FFF2-40B4-BE49-F238E27FC236}">
              <a16:creationId xmlns:a16="http://schemas.microsoft.com/office/drawing/2014/main" id="{964DB1D0-896E-4CBD-8352-40558B62BDF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8" name="Picture 263" descr="C:\pini\VolareSQL\images\linha.gif">
          <a:extLst>
            <a:ext uri="{FF2B5EF4-FFF2-40B4-BE49-F238E27FC236}">
              <a16:creationId xmlns:a16="http://schemas.microsoft.com/office/drawing/2014/main" id="{A17A8B83-5303-4D03-A756-5380B886A23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29" name="Picture 264" descr="C:\pini\VolareSQL\images\linha.gif">
          <a:extLst>
            <a:ext uri="{FF2B5EF4-FFF2-40B4-BE49-F238E27FC236}">
              <a16:creationId xmlns:a16="http://schemas.microsoft.com/office/drawing/2014/main" id="{C26A0DBA-F65E-4FE3-B9A6-791FC962969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0" name="Picture 265" descr="C:\pini\VolareSQL\images\linha.gif">
          <a:extLst>
            <a:ext uri="{FF2B5EF4-FFF2-40B4-BE49-F238E27FC236}">
              <a16:creationId xmlns:a16="http://schemas.microsoft.com/office/drawing/2014/main" id="{B50857C8-997B-49D3-AE6A-A52E7B3061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1" name="Picture 266" descr="C:\pini\VolareSQL\images\linha.gif">
          <a:extLst>
            <a:ext uri="{FF2B5EF4-FFF2-40B4-BE49-F238E27FC236}">
              <a16:creationId xmlns:a16="http://schemas.microsoft.com/office/drawing/2014/main" id="{5776D0FD-5CB0-4DF3-92DF-F6F396C06A7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2" name="Picture 267" descr="C:\pini\VolareSQL\images\linha.gif">
          <a:extLst>
            <a:ext uri="{FF2B5EF4-FFF2-40B4-BE49-F238E27FC236}">
              <a16:creationId xmlns:a16="http://schemas.microsoft.com/office/drawing/2014/main" id="{1BEB8C92-91F1-40EB-A601-92ACEC11995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3" name="Picture 268" descr="C:\pini\VolareSQL\images\linha.gif">
          <a:extLst>
            <a:ext uri="{FF2B5EF4-FFF2-40B4-BE49-F238E27FC236}">
              <a16:creationId xmlns:a16="http://schemas.microsoft.com/office/drawing/2014/main" id="{0747A6B5-1CE8-47D5-B15F-06D5EC1C0CE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4" name="Picture 269" descr="C:\pini\VolareSQL\images\linha.gif">
          <a:extLst>
            <a:ext uri="{FF2B5EF4-FFF2-40B4-BE49-F238E27FC236}">
              <a16:creationId xmlns:a16="http://schemas.microsoft.com/office/drawing/2014/main" id="{09842A91-455E-43B9-8C7A-9D5B2BD364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5" name="Picture 270" descr="C:\pini\VolareSQL\images\linha.gif">
          <a:extLst>
            <a:ext uri="{FF2B5EF4-FFF2-40B4-BE49-F238E27FC236}">
              <a16:creationId xmlns:a16="http://schemas.microsoft.com/office/drawing/2014/main" id="{4E6E842F-1059-4B98-AEDD-206194109AE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6" name="Picture 271" descr="C:\pini\VolareSQL\images\linha.gif">
          <a:extLst>
            <a:ext uri="{FF2B5EF4-FFF2-40B4-BE49-F238E27FC236}">
              <a16:creationId xmlns:a16="http://schemas.microsoft.com/office/drawing/2014/main" id="{0B5E8F1B-F609-4E37-BA80-98AB4BBC644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7" name="Picture 272" descr="C:\pini\VolareSQL\images\linha.gif">
          <a:extLst>
            <a:ext uri="{FF2B5EF4-FFF2-40B4-BE49-F238E27FC236}">
              <a16:creationId xmlns:a16="http://schemas.microsoft.com/office/drawing/2014/main" id="{79D54214-89E5-4CB3-8774-065769CA622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8" name="Picture 273" descr="C:\pini\VolareSQL\images\linha.gif">
          <a:extLst>
            <a:ext uri="{FF2B5EF4-FFF2-40B4-BE49-F238E27FC236}">
              <a16:creationId xmlns:a16="http://schemas.microsoft.com/office/drawing/2014/main" id="{78253C14-E39A-40A2-884F-D14019EE367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39" name="Picture 274" descr="C:\pini\VolareSQL\images\linha.gif">
          <a:extLst>
            <a:ext uri="{FF2B5EF4-FFF2-40B4-BE49-F238E27FC236}">
              <a16:creationId xmlns:a16="http://schemas.microsoft.com/office/drawing/2014/main" id="{A1E04583-FF0A-446D-A3A3-232F8CD8A59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0" name="Picture 275" descr="C:\pini\VolareSQL\images\linha.gif">
          <a:extLst>
            <a:ext uri="{FF2B5EF4-FFF2-40B4-BE49-F238E27FC236}">
              <a16:creationId xmlns:a16="http://schemas.microsoft.com/office/drawing/2014/main" id="{AC2256B8-A936-43F0-A526-B91D8D781CC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1" name="Picture 276" descr="C:\pini\VolareSQL\images\linha.gif">
          <a:extLst>
            <a:ext uri="{FF2B5EF4-FFF2-40B4-BE49-F238E27FC236}">
              <a16:creationId xmlns:a16="http://schemas.microsoft.com/office/drawing/2014/main" id="{C23CFF6D-AD4E-4596-A191-E59E942AA90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2" name="Picture 277" descr="C:\pini\VolareSQL\images\linha.gif">
          <a:extLst>
            <a:ext uri="{FF2B5EF4-FFF2-40B4-BE49-F238E27FC236}">
              <a16:creationId xmlns:a16="http://schemas.microsoft.com/office/drawing/2014/main" id="{AE020D5F-DAEC-4543-954D-3CE289120C1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3" name="Picture 278" descr="C:\pini\VolareSQL\images\linha.gif">
          <a:extLst>
            <a:ext uri="{FF2B5EF4-FFF2-40B4-BE49-F238E27FC236}">
              <a16:creationId xmlns:a16="http://schemas.microsoft.com/office/drawing/2014/main" id="{720E5C52-74D5-48BC-AB57-552D43C9AC0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4" name="Picture 279" descr="C:\pini\VolareSQL\images\linha.gif">
          <a:extLst>
            <a:ext uri="{FF2B5EF4-FFF2-40B4-BE49-F238E27FC236}">
              <a16:creationId xmlns:a16="http://schemas.microsoft.com/office/drawing/2014/main" id="{A4517738-86C7-4ACE-BB60-1B3C930986B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5" name="Picture 280" descr="C:\pini\VolareSQL\images\linha.gif">
          <a:extLst>
            <a:ext uri="{FF2B5EF4-FFF2-40B4-BE49-F238E27FC236}">
              <a16:creationId xmlns:a16="http://schemas.microsoft.com/office/drawing/2014/main" id="{9A79FDB8-4547-4F83-83C1-ED7BC4B2987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6" name="Picture 281" descr="C:\pini\VolareSQL\images\linha.gif">
          <a:extLst>
            <a:ext uri="{FF2B5EF4-FFF2-40B4-BE49-F238E27FC236}">
              <a16:creationId xmlns:a16="http://schemas.microsoft.com/office/drawing/2014/main" id="{DA31675B-B690-496D-9087-94FB97812E1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7" name="Picture 282" descr="C:\pini\VolareSQL\images\linha.gif">
          <a:extLst>
            <a:ext uri="{FF2B5EF4-FFF2-40B4-BE49-F238E27FC236}">
              <a16:creationId xmlns:a16="http://schemas.microsoft.com/office/drawing/2014/main" id="{B657F29A-DB24-4A94-9EB4-24EB2C79CCC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8" name="Picture 283" descr="C:\pini\VolareSQL\images\linha.gif">
          <a:extLst>
            <a:ext uri="{FF2B5EF4-FFF2-40B4-BE49-F238E27FC236}">
              <a16:creationId xmlns:a16="http://schemas.microsoft.com/office/drawing/2014/main" id="{5EB08006-8C29-47BF-AA4D-85E71EA5558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49" name="Picture 284" descr="C:\pini\VolareSQL\images\linha.gif">
          <a:extLst>
            <a:ext uri="{FF2B5EF4-FFF2-40B4-BE49-F238E27FC236}">
              <a16:creationId xmlns:a16="http://schemas.microsoft.com/office/drawing/2014/main" id="{E34593AC-BB1F-4AD7-993C-F10B0D6DA8D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0" name="Picture 285" descr="C:\pini\VolareSQL\images\linha.gif">
          <a:extLst>
            <a:ext uri="{FF2B5EF4-FFF2-40B4-BE49-F238E27FC236}">
              <a16:creationId xmlns:a16="http://schemas.microsoft.com/office/drawing/2014/main" id="{F8BC54DD-271C-4DB0-AA91-5249FF8626E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1" name="Picture 286" descr="C:\pini\VolareSQL\images\linha.gif">
          <a:extLst>
            <a:ext uri="{FF2B5EF4-FFF2-40B4-BE49-F238E27FC236}">
              <a16:creationId xmlns:a16="http://schemas.microsoft.com/office/drawing/2014/main" id="{3CFAEFB7-B43C-47A3-ACA8-6DB362F5FFF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2" name="Picture 287" descr="C:\pini\VolareSQL\images\linha.gif">
          <a:extLst>
            <a:ext uri="{FF2B5EF4-FFF2-40B4-BE49-F238E27FC236}">
              <a16:creationId xmlns:a16="http://schemas.microsoft.com/office/drawing/2014/main" id="{5A2EF7AF-5948-41D7-8527-DDF9CDDCC15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3" name="Picture 288" descr="C:\pini\VolareSQL\images\linha.gif">
          <a:extLst>
            <a:ext uri="{FF2B5EF4-FFF2-40B4-BE49-F238E27FC236}">
              <a16:creationId xmlns:a16="http://schemas.microsoft.com/office/drawing/2014/main" id="{35F9E878-B094-4EA1-B489-2B6BFC3C8E9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4" name="Picture 289" descr="C:\pini\VolareSQL\images\linha.gif">
          <a:extLst>
            <a:ext uri="{FF2B5EF4-FFF2-40B4-BE49-F238E27FC236}">
              <a16:creationId xmlns:a16="http://schemas.microsoft.com/office/drawing/2014/main" id="{A04FBEBC-4FF8-48B3-AFA1-09D4788AE16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5" name="Picture 290" descr="C:\pini\VolareSQL\images\linha.gif">
          <a:extLst>
            <a:ext uri="{FF2B5EF4-FFF2-40B4-BE49-F238E27FC236}">
              <a16:creationId xmlns:a16="http://schemas.microsoft.com/office/drawing/2014/main" id="{F2852AA3-544C-489D-9823-90EA2AA91C2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6" name="Picture 291" descr="C:\pini\VolareSQL\images\linha.gif">
          <a:extLst>
            <a:ext uri="{FF2B5EF4-FFF2-40B4-BE49-F238E27FC236}">
              <a16:creationId xmlns:a16="http://schemas.microsoft.com/office/drawing/2014/main" id="{A160F482-A51E-4506-AEB7-8B303776B15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7" name="Picture 292" descr="C:\pini\VolareSQL\images\linha.gif">
          <a:extLst>
            <a:ext uri="{FF2B5EF4-FFF2-40B4-BE49-F238E27FC236}">
              <a16:creationId xmlns:a16="http://schemas.microsoft.com/office/drawing/2014/main" id="{B5B3BC72-3498-47AB-AAFB-D4F8CFD53C5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8" name="Picture 293" descr="C:\pini\VolareSQL\images\linha.gif">
          <a:extLst>
            <a:ext uri="{FF2B5EF4-FFF2-40B4-BE49-F238E27FC236}">
              <a16:creationId xmlns:a16="http://schemas.microsoft.com/office/drawing/2014/main" id="{DB40911C-A237-42F5-BB51-CB636BACDB4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59" name="Picture 294" descr="C:\pini\VolareSQL\images\linha.gif">
          <a:extLst>
            <a:ext uri="{FF2B5EF4-FFF2-40B4-BE49-F238E27FC236}">
              <a16:creationId xmlns:a16="http://schemas.microsoft.com/office/drawing/2014/main" id="{AACA76E6-B7BC-45DC-9496-C351DFBF34F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0" name="Picture 295" descr="C:\pini\VolareSQL\images\linha.gif">
          <a:extLst>
            <a:ext uri="{FF2B5EF4-FFF2-40B4-BE49-F238E27FC236}">
              <a16:creationId xmlns:a16="http://schemas.microsoft.com/office/drawing/2014/main" id="{2A9C7B9C-65E3-45F4-9928-D304C8B8DBA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1" name="Picture 296" descr="C:\pini\VolareSQL\images\linha.gif">
          <a:extLst>
            <a:ext uri="{FF2B5EF4-FFF2-40B4-BE49-F238E27FC236}">
              <a16:creationId xmlns:a16="http://schemas.microsoft.com/office/drawing/2014/main" id="{AE1C11BB-AAF3-4CC9-9727-700DDA8835E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2" name="Picture 297" descr="C:\pini\VolareSQL\images\linha.gif">
          <a:extLst>
            <a:ext uri="{FF2B5EF4-FFF2-40B4-BE49-F238E27FC236}">
              <a16:creationId xmlns:a16="http://schemas.microsoft.com/office/drawing/2014/main" id="{5341A5F4-EDB6-4BFF-A413-AE8BD3EA32B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3" name="Picture 298" descr="C:\pini\VolareSQL\images\linha.gif">
          <a:extLst>
            <a:ext uri="{FF2B5EF4-FFF2-40B4-BE49-F238E27FC236}">
              <a16:creationId xmlns:a16="http://schemas.microsoft.com/office/drawing/2014/main" id="{9067BCF1-3057-452D-8C9F-DB535E19FD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4" name="Picture 299" descr="C:\pini\VolareSQL\images\linha.gif">
          <a:extLst>
            <a:ext uri="{FF2B5EF4-FFF2-40B4-BE49-F238E27FC236}">
              <a16:creationId xmlns:a16="http://schemas.microsoft.com/office/drawing/2014/main" id="{DC783999-3BD5-4A15-8D03-9B174BA4574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5" name="Picture 300" descr="C:\pini\VolareSQL\images\linha.gif">
          <a:extLst>
            <a:ext uri="{FF2B5EF4-FFF2-40B4-BE49-F238E27FC236}">
              <a16:creationId xmlns:a16="http://schemas.microsoft.com/office/drawing/2014/main" id="{4F0EF425-BFDA-419D-BDA6-6E03C541275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6" name="Picture 301" descr="C:\pini\VolareSQL\images\linha.gif">
          <a:extLst>
            <a:ext uri="{FF2B5EF4-FFF2-40B4-BE49-F238E27FC236}">
              <a16:creationId xmlns:a16="http://schemas.microsoft.com/office/drawing/2014/main" id="{A1922B0F-26EF-4183-B36F-C33ADC4840A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7" name="Picture 302" descr="C:\pini\VolareSQL\images\linha.gif">
          <a:extLst>
            <a:ext uri="{FF2B5EF4-FFF2-40B4-BE49-F238E27FC236}">
              <a16:creationId xmlns:a16="http://schemas.microsoft.com/office/drawing/2014/main" id="{C66B7736-DEE8-47E4-B955-199D0E3BEA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8" name="Picture 303" descr="C:\pini\VolareSQL\images\linha.gif">
          <a:extLst>
            <a:ext uri="{FF2B5EF4-FFF2-40B4-BE49-F238E27FC236}">
              <a16:creationId xmlns:a16="http://schemas.microsoft.com/office/drawing/2014/main" id="{25D74451-4F85-4CDA-9310-5B09400AC26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69" name="Picture 304" descr="C:\pini\VolareSQL\images\linha.gif">
          <a:extLst>
            <a:ext uri="{FF2B5EF4-FFF2-40B4-BE49-F238E27FC236}">
              <a16:creationId xmlns:a16="http://schemas.microsoft.com/office/drawing/2014/main" id="{3014E3F9-ECAC-4E73-AF9B-1CFB8D2B203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0" name="Picture 305" descr="C:\pini\VolareSQL\images\linha.gif">
          <a:extLst>
            <a:ext uri="{FF2B5EF4-FFF2-40B4-BE49-F238E27FC236}">
              <a16:creationId xmlns:a16="http://schemas.microsoft.com/office/drawing/2014/main" id="{5BC04365-C6CA-410A-BE33-4F89FF034A3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1" name="Picture 306" descr="C:\pini\VolareSQL\images\linha.gif">
          <a:extLst>
            <a:ext uri="{FF2B5EF4-FFF2-40B4-BE49-F238E27FC236}">
              <a16:creationId xmlns:a16="http://schemas.microsoft.com/office/drawing/2014/main" id="{9C049E19-7F74-4592-B2CE-C479BA6FDDD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2" name="Picture 307" descr="C:\pini\VolareSQL\images\linha.gif">
          <a:extLst>
            <a:ext uri="{FF2B5EF4-FFF2-40B4-BE49-F238E27FC236}">
              <a16:creationId xmlns:a16="http://schemas.microsoft.com/office/drawing/2014/main" id="{2671680D-77CB-46E9-AFBC-BCB77D3FCEF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3" name="Picture 308" descr="C:\pini\VolareSQL\images\linha.gif">
          <a:extLst>
            <a:ext uri="{FF2B5EF4-FFF2-40B4-BE49-F238E27FC236}">
              <a16:creationId xmlns:a16="http://schemas.microsoft.com/office/drawing/2014/main" id="{5530ECED-CF05-431A-AA84-24B63500D8C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4" name="Picture 309" descr="C:\pini\VolareSQL\images\linha.gif">
          <a:extLst>
            <a:ext uri="{FF2B5EF4-FFF2-40B4-BE49-F238E27FC236}">
              <a16:creationId xmlns:a16="http://schemas.microsoft.com/office/drawing/2014/main" id="{AD7A20FE-DCFD-497E-ADD8-03213779406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5" name="Picture 310" descr="C:\pini\VolareSQL\images\linha.gif">
          <a:extLst>
            <a:ext uri="{FF2B5EF4-FFF2-40B4-BE49-F238E27FC236}">
              <a16:creationId xmlns:a16="http://schemas.microsoft.com/office/drawing/2014/main" id="{A1BEBE3C-04B0-4FC9-B86A-2C18033728A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6" name="Picture 311" descr="C:\pini\VolareSQL\images\linha.gif">
          <a:extLst>
            <a:ext uri="{FF2B5EF4-FFF2-40B4-BE49-F238E27FC236}">
              <a16:creationId xmlns:a16="http://schemas.microsoft.com/office/drawing/2014/main" id="{D7CDEB43-66DA-4D7A-B8B3-FA6246C8A8E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7" name="Picture 312" descr="C:\pini\VolareSQL\images\linha.gif">
          <a:extLst>
            <a:ext uri="{FF2B5EF4-FFF2-40B4-BE49-F238E27FC236}">
              <a16:creationId xmlns:a16="http://schemas.microsoft.com/office/drawing/2014/main" id="{DC24F134-D130-40D0-820C-5834F73DCC6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8" name="Picture 313" descr="C:\pini\VolareSQL\images\linha.gif">
          <a:extLst>
            <a:ext uri="{FF2B5EF4-FFF2-40B4-BE49-F238E27FC236}">
              <a16:creationId xmlns:a16="http://schemas.microsoft.com/office/drawing/2014/main" id="{8B8FF1F1-ABD6-4D20-80F8-0ADBE223FAA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79" name="Picture 314" descr="C:\pini\VolareSQL\images\linha.gif">
          <a:extLst>
            <a:ext uri="{FF2B5EF4-FFF2-40B4-BE49-F238E27FC236}">
              <a16:creationId xmlns:a16="http://schemas.microsoft.com/office/drawing/2014/main" id="{53B80215-92E2-4AE6-A7A0-C7599583549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0" name="Picture 315" descr="C:\pini\VolareSQL\images\linha.gif">
          <a:extLst>
            <a:ext uri="{FF2B5EF4-FFF2-40B4-BE49-F238E27FC236}">
              <a16:creationId xmlns:a16="http://schemas.microsoft.com/office/drawing/2014/main" id="{8CF63775-EC1B-46D6-A199-D9ABF5D24D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1" name="Picture 316" descr="C:\pini\VolareSQL\images\linha.gif">
          <a:extLst>
            <a:ext uri="{FF2B5EF4-FFF2-40B4-BE49-F238E27FC236}">
              <a16:creationId xmlns:a16="http://schemas.microsoft.com/office/drawing/2014/main" id="{983F7ABA-855E-4A78-BA2F-CBAE6365A34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2" name="Picture 317" descr="C:\pini\VolareSQL\images\linha.gif">
          <a:extLst>
            <a:ext uri="{FF2B5EF4-FFF2-40B4-BE49-F238E27FC236}">
              <a16:creationId xmlns:a16="http://schemas.microsoft.com/office/drawing/2014/main" id="{E4C19476-DBC7-4171-9DF6-08ECB708B972}"/>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3" name="Picture 318" descr="C:\pini\VolareSQL\images\linha.gif">
          <a:extLst>
            <a:ext uri="{FF2B5EF4-FFF2-40B4-BE49-F238E27FC236}">
              <a16:creationId xmlns:a16="http://schemas.microsoft.com/office/drawing/2014/main" id="{E6CF4B38-717C-433A-A5BC-07FDC13A741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4" name="Picture 319" descr="C:\pini\VolareSQL\images\linha.gif">
          <a:extLst>
            <a:ext uri="{FF2B5EF4-FFF2-40B4-BE49-F238E27FC236}">
              <a16:creationId xmlns:a16="http://schemas.microsoft.com/office/drawing/2014/main" id="{F6E80257-8D49-474B-A65C-610EE39CD4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5" name="Picture 320" descr="C:\pini\VolareSQL\images\linha.gif">
          <a:extLst>
            <a:ext uri="{FF2B5EF4-FFF2-40B4-BE49-F238E27FC236}">
              <a16:creationId xmlns:a16="http://schemas.microsoft.com/office/drawing/2014/main" id="{06AB89A7-843B-44F4-A416-4DE16F7BDB6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6" name="Picture 321" descr="C:\pini\VolareSQL\images\linha.gif">
          <a:extLst>
            <a:ext uri="{FF2B5EF4-FFF2-40B4-BE49-F238E27FC236}">
              <a16:creationId xmlns:a16="http://schemas.microsoft.com/office/drawing/2014/main" id="{1E211D1A-EE28-42DE-9B2A-D913AB71A86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7" name="Picture 322" descr="C:\pini\VolareSQL\images\linha.gif">
          <a:extLst>
            <a:ext uri="{FF2B5EF4-FFF2-40B4-BE49-F238E27FC236}">
              <a16:creationId xmlns:a16="http://schemas.microsoft.com/office/drawing/2014/main" id="{F2B8B087-B6B9-4F31-9CDF-B8C4D59FA69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8" name="Picture 323" descr="C:\pini\VolareSQL\images\linha.gif">
          <a:extLst>
            <a:ext uri="{FF2B5EF4-FFF2-40B4-BE49-F238E27FC236}">
              <a16:creationId xmlns:a16="http://schemas.microsoft.com/office/drawing/2014/main" id="{1C88FCBB-3FA7-42C3-9BA5-117C5E30FAF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89" name="Picture 324" descr="C:\pini\VolareSQL\images\linha.gif">
          <a:extLst>
            <a:ext uri="{FF2B5EF4-FFF2-40B4-BE49-F238E27FC236}">
              <a16:creationId xmlns:a16="http://schemas.microsoft.com/office/drawing/2014/main" id="{07EB1E19-2935-4B2E-9B60-41A5FA73F61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0" name="Picture 325" descr="C:\pini\VolareSQL\images\linha.gif">
          <a:extLst>
            <a:ext uri="{FF2B5EF4-FFF2-40B4-BE49-F238E27FC236}">
              <a16:creationId xmlns:a16="http://schemas.microsoft.com/office/drawing/2014/main" id="{42CAD4F9-48FA-4086-B154-B0BFBF0B4EA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1" name="Picture 326" descr="C:\pini\VolareSQL\images\linha.gif">
          <a:extLst>
            <a:ext uri="{FF2B5EF4-FFF2-40B4-BE49-F238E27FC236}">
              <a16:creationId xmlns:a16="http://schemas.microsoft.com/office/drawing/2014/main" id="{6BDE47A5-DA44-439D-8A74-270F368C9B3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2" name="Picture 327" descr="C:\pini\VolareSQL\images\linha.gif">
          <a:extLst>
            <a:ext uri="{FF2B5EF4-FFF2-40B4-BE49-F238E27FC236}">
              <a16:creationId xmlns:a16="http://schemas.microsoft.com/office/drawing/2014/main" id="{9EDEB7B2-0C6C-4B8E-9B96-D0307FAFAF4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3" name="Picture 328" descr="C:\pini\VolareSQL\images\linha.gif">
          <a:extLst>
            <a:ext uri="{FF2B5EF4-FFF2-40B4-BE49-F238E27FC236}">
              <a16:creationId xmlns:a16="http://schemas.microsoft.com/office/drawing/2014/main" id="{F7B3A510-67CC-4584-B087-0D9D91688F63}"/>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4" name="Picture 329" descr="C:\pini\VolareSQL\images\linha.gif">
          <a:extLst>
            <a:ext uri="{FF2B5EF4-FFF2-40B4-BE49-F238E27FC236}">
              <a16:creationId xmlns:a16="http://schemas.microsoft.com/office/drawing/2014/main" id="{951E71C7-D030-4CB3-B44F-0026D47F2DB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5" name="Picture 330" descr="C:\pini\VolareSQL\images\linha.gif">
          <a:extLst>
            <a:ext uri="{FF2B5EF4-FFF2-40B4-BE49-F238E27FC236}">
              <a16:creationId xmlns:a16="http://schemas.microsoft.com/office/drawing/2014/main" id="{D5DE0C74-398B-461E-BB90-2B1F0A73B97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6" name="Picture 331" descr="C:\pini\VolareSQL\images\linha.gif">
          <a:extLst>
            <a:ext uri="{FF2B5EF4-FFF2-40B4-BE49-F238E27FC236}">
              <a16:creationId xmlns:a16="http://schemas.microsoft.com/office/drawing/2014/main" id="{732972A1-CCBB-4C09-9A60-EABA866EA7C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7" name="Picture 332" descr="C:\pini\VolareSQL\images\linha.gif">
          <a:extLst>
            <a:ext uri="{FF2B5EF4-FFF2-40B4-BE49-F238E27FC236}">
              <a16:creationId xmlns:a16="http://schemas.microsoft.com/office/drawing/2014/main" id="{80F8D00A-700C-45D8-B725-D75B5E61FC4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8" name="Picture 333" descr="C:\pini\VolareSQL\images\linha.gif">
          <a:extLst>
            <a:ext uri="{FF2B5EF4-FFF2-40B4-BE49-F238E27FC236}">
              <a16:creationId xmlns:a16="http://schemas.microsoft.com/office/drawing/2014/main" id="{913FF696-6B48-42DE-96BE-ECF0B6ADABB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199" name="Picture 334" descr="C:\pini\VolareSQL\images\linha.gif">
          <a:extLst>
            <a:ext uri="{FF2B5EF4-FFF2-40B4-BE49-F238E27FC236}">
              <a16:creationId xmlns:a16="http://schemas.microsoft.com/office/drawing/2014/main" id="{FDE8383E-659F-41DE-BFC6-6FBCDF7F437F}"/>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0" name="Picture 335" descr="C:\pini\VolareSQL\images\linha.gif">
          <a:extLst>
            <a:ext uri="{FF2B5EF4-FFF2-40B4-BE49-F238E27FC236}">
              <a16:creationId xmlns:a16="http://schemas.microsoft.com/office/drawing/2014/main" id="{5C382ABE-D6CD-4977-85EA-60F83BC7A70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1" name="Picture 336" descr="C:\pini\VolareSQL\images\linha.gif">
          <a:extLst>
            <a:ext uri="{FF2B5EF4-FFF2-40B4-BE49-F238E27FC236}">
              <a16:creationId xmlns:a16="http://schemas.microsoft.com/office/drawing/2014/main" id="{9BD5869F-B8AB-40E8-AA98-2511B40770CD}"/>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2" name="Picture 337" descr="C:\pini\VolareSQL\images\linha.gif">
          <a:extLst>
            <a:ext uri="{FF2B5EF4-FFF2-40B4-BE49-F238E27FC236}">
              <a16:creationId xmlns:a16="http://schemas.microsoft.com/office/drawing/2014/main" id="{E4CA7EFE-BD78-4062-8026-985E67F66D5C}"/>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3" name="Picture 338" descr="C:\pini\VolareSQL\images\linha.gif">
          <a:extLst>
            <a:ext uri="{FF2B5EF4-FFF2-40B4-BE49-F238E27FC236}">
              <a16:creationId xmlns:a16="http://schemas.microsoft.com/office/drawing/2014/main" id="{FE3CC78E-3C51-47A5-B7BB-5360125D014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4" name="Picture 339" descr="C:\pini\VolareSQL\images\linha.gif">
          <a:extLst>
            <a:ext uri="{FF2B5EF4-FFF2-40B4-BE49-F238E27FC236}">
              <a16:creationId xmlns:a16="http://schemas.microsoft.com/office/drawing/2014/main" id="{9D047E55-9284-4E69-9C2D-200140F379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5" name="Picture 340" descr="C:\pini\VolareSQL\images\linha.gif">
          <a:extLst>
            <a:ext uri="{FF2B5EF4-FFF2-40B4-BE49-F238E27FC236}">
              <a16:creationId xmlns:a16="http://schemas.microsoft.com/office/drawing/2014/main" id="{850AE936-5199-406A-9E9B-0261B51BA0C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6" name="Picture 341" descr="C:\pini\VolareSQL\images\linha.gif">
          <a:extLst>
            <a:ext uri="{FF2B5EF4-FFF2-40B4-BE49-F238E27FC236}">
              <a16:creationId xmlns:a16="http://schemas.microsoft.com/office/drawing/2014/main" id="{B8CDAD74-8610-47C0-8B3C-C4ECC50AA98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7" name="Picture 342" descr="C:\pini\VolareSQL\images\linha.gif">
          <a:extLst>
            <a:ext uri="{FF2B5EF4-FFF2-40B4-BE49-F238E27FC236}">
              <a16:creationId xmlns:a16="http://schemas.microsoft.com/office/drawing/2014/main" id="{6A05855D-B9C6-45B8-A9CF-803CB285F90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8" name="Picture 343" descr="C:\pini\VolareSQL\images\linha.gif">
          <a:extLst>
            <a:ext uri="{FF2B5EF4-FFF2-40B4-BE49-F238E27FC236}">
              <a16:creationId xmlns:a16="http://schemas.microsoft.com/office/drawing/2014/main" id="{7E45CF91-4AB3-423E-9673-A1C06F299C9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09" name="Picture 344" descr="C:\pini\VolareSQL\images\linha.gif">
          <a:extLst>
            <a:ext uri="{FF2B5EF4-FFF2-40B4-BE49-F238E27FC236}">
              <a16:creationId xmlns:a16="http://schemas.microsoft.com/office/drawing/2014/main" id="{8C12D5B2-2DE2-4FAE-9647-D2D2A8DE848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10" name="Picture 345" descr="C:\pini\VolareSQL\images\linha.gif">
          <a:extLst>
            <a:ext uri="{FF2B5EF4-FFF2-40B4-BE49-F238E27FC236}">
              <a16:creationId xmlns:a16="http://schemas.microsoft.com/office/drawing/2014/main" id="{6E708663-D8C1-43DC-95C6-C459BB99758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11" name="Picture 346" descr="C:\pini\VolareSQL\images\linha.gif">
          <a:extLst>
            <a:ext uri="{FF2B5EF4-FFF2-40B4-BE49-F238E27FC236}">
              <a16:creationId xmlns:a16="http://schemas.microsoft.com/office/drawing/2014/main" id="{7871D928-D17C-46BB-BFEE-65E002CC9EEB}"/>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12" name="Picture 347" descr="C:\pini\VolareSQL\images\linha.gif">
          <a:extLst>
            <a:ext uri="{FF2B5EF4-FFF2-40B4-BE49-F238E27FC236}">
              <a16:creationId xmlns:a16="http://schemas.microsoft.com/office/drawing/2014/main" id="{1741201C-4EE5-4A81-92DC-9649A876B379}"/>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13" name="Picture 348" descr="C:\pini\VolareSQL\images\linha.gif">
          <a:extLst>
            <a:ext uri="{FF2B5EF4-FFF2-40B4-BE49-F238E27FC236}">
              <a16:creationId xmlns:a16="http://schemas.microsoft.com/office/drawing/2014/main" id="{FC1468AD-EEEF-4EA9-934A-B073855636F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0</xdr:rowOff>
    </xdr:to>
    <xdr:pic>
      <xdr:nvPicPr>
        <xdr:cNvPr id="1214" name="Picture 349" descr="C:\pini\VolareSQL\images\linha.gif">
          <a:extLst>
            <a:ext uri="{FF2B5EF4-FFF2-40B4-BE49-F238E27FC236}">
              <a16:creationId xmlns:a16="http://schemas.microsoft.com/office/drawing/2014/main" id="{D6966ED6-FABE-457A-A023-DAD94B53FBA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011680" y="189738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694266</xdr:colOff>
      <xdr:row>0</xdr:row>
      <xdr:rowOff>101600</xdr:rowOff>
    </xdr:from>
    <xdr:to>
      <xdr:col>1</xdr:col>
      <xdr:colOff>342327</xdr:colOff>
      <xdr:row>2</xdr:row>
      <xdr:rowOff>151403</xdr:rowOff>
    </xdr:to>
    <xdr:pic>
      <xdr:nvPicPr>
        <xdr:cNvPr id="1215" name="image2.jpg">
          <a:extLst>
            <a:ext uri="{FF2B5EF4-FFF2-40B4-BE49-F238E27FC236}">
              <a16:creationId xmlns:a16="http://schemas.microsoft.com/office/drawing/2014/main" id="{207FE253-5281-45C3-95D8-5F6531396EC3}"/>
            </a:ext>
          </a:extLst>
        </xdr:cNvPr>
        <xdr:cNvPicPr/>
      </xdr:nvPicPr>
      <xdr:blipFill>
        <a:blip xmlns:r="http://schemas.openxmlformats.org/officeDocument/2006/relationships" r:embed="rId2"/>
        <a:srcRect/>
        <a:stretch>
          <a:fillRect/>
        </a:stretch>
      </xdr:blipFill>
      <xdr:spPr>
        <a:xfrm>
          <a:off x="694266" y="101600"/>
          <a:ext cx="432921" cy="430803"/>
        </a:xfrm>
        <a:prstGeom prst="rect">
          <a:avLst/>
        </a:prstGeom>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156882</xdr:colOff>
      <xdr:row>934</xdr:row>
      <xdr:rowOff>115069</xdr:rowOff>
    </xdr:from>
    <xdr:to>
      <xdr:col>5</xdr:col>
      <xdr:colOff>742457</xdr:colOff>
      <xdr:row>957</xdr:row>
      <xdr:rowOff>22412</xdr:rowOff>
    </xdr:to>
    <xdr:graphicFrame macro="">
      <xdr:nvGraphicFramePr>
        <xdr:cNvPr id="4" name="Gráfico 3">
          <a:extLst>
            <a:ext uri="{FF2B5EF4-FFF2-40B4-BE49-F238E27FC236}">
              <a16:creationId xmlns:a16="http://schemas.microsoft.com/office/drawing/2014/main" id="{F779880D-324B-4E6D-B0AF-A84F1C7918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146573</xdr:colOff>
      <xdr:row>3</xdr:row>
      <xdr:rowOff>12102</xdr:rowOff>
    </xdr:from>
    <xdr:to>
      <xdr:col>0</xdr:col>
      <xdr:colOff>760767</xdr:colOff>
      <xdr:row>6</xdr:row>
      <xdr:rowOff>138953</xdr:rowOff>
    </xdr:to>
    <xdr:pic>
      <xdr:nvPicPr>
        <xdr:cNvPr id="5" name="image2.jpg">
          <a:extLst>
            <a:ext uri="{FF2B5EF4-FFF2-40B4-BE49-F238E27FC236}">
              <a16:creationId xmlns:a16="http://schemas.microsoft.com/office/drawing/2014/main" id="{D2C10C9F-0EF8-4F43-8EB4-1EF33D7D8645}"/>
            </a:ext>
          </a:extLst>
        </xdr:cNvPr>
        <xdr:cNvPicPr/>
      </xdr:nvPicPr>
      <xdr:blipFill>
        <a:blip xmlns:r="http://schemas.openxmlformats.org/officeDocument/2006/relationships" r:embed="rId2"/>
        <a:srcRect/>
        <a:stretch>
          <a:fillRect/>
        </a:stretch>
      </xdr:blipFill>
      <xdr:spPr>
        <a:xfrm>
          <a:off x="146573" y="612737"/>
          <a:ext cx="614194" cy="718521"/>
        </a:xfrm>
        <a:prstGeom prst="rect">
          <a:avLst/>
        </a:prstGeom>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130627</xdr:colOff>
      <xdr:row>3</xdr:row>
      <xdr:rowOff>32657</xdr:rowOff>
    </xdr:from>
    <xdr:to>
      <xdr:col>1</xdr:col>
      <xdr:colOff>817884</xdr:colOff>
      <xdr:row>6</xdr:row>
      <xdr:rowOff>77369</xdr:rowOff>
    </xdr:to>
    <xdr:pic>
      <xdr:nvPicPr>
        <xdr:cNvPr id="2" name="image2.jpg">
          <a:extLst>
            <a:ext uri="{FF2B5EF4-FFF2-40B4-BE49-F238E27FC236}">
              <a16:creationId xmlns:a16="http://schemas.microsoft.com/office/drawing/2014/main" id="{86A1C988-0CE5-41B3-96A3-58D7166C5ACA}"/>
            </a:ext>
          </a:extLst>
        </xdr:cNvPr>
        <xdr:cNvPicPr/>
      </xdr:nvPicPr>
      <xdr:blipFill>
        <a:blip xmlns:r="http://schemas.openxmlformats.org/officeDocument/2006/relationships" r:embed="rId1"/>
        <a:srcRect/>
        <a:stretch>
          <a:fillRect/>
        </a:stretch>
      </xdr:blipFill>
      <xdr:spPr>
        <a:xfrm>
          <a:off x="2515687" y="678452"/>
          <a:ext cx="690972" cy="766082"/>
        </a:xfrm>
        <a:prstGeom prst="rect">
          <a:avLst/>
        </a:prstGeom>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45720</xdr:colOff>
      <xdr:row>3</xdr:row>
      <xdr:rowOff>60960</xdr:rowOff>
    </xdr:from>
    <xdr:to>
      <xdr:col>1</xdr:col>
      <xdr:colOff>560070</xdr:colOff>
      <xdr:row>5</xdr:row>
      <xdr:rowOff>184122</xdr:rowOff>
    </xdr:to>
    <xdr:pic>
      <xdr:nvPicPr>
        <xdr:cNvPr id="2" name="image2.jpg">
          <a:extLst>
            <a:ext uri="{FF2B5EF4-FFF2-40B4-BE49-F238E27FC236}">
              <a16:creationId xmlns:a16="http://schemas.microsoft.com/office/drawing/2014/main" id="{E33DC4DD-B6FC-4B06-89EE-A588EEFC55C1}"/>
            </a:ext>
          </a:extLst>
        </xdr:cNvPr>
        <xdr:cNvPicPr/>
      </xdr:nvPicPr>
      <xdr:blipFill>
        <a:blip xmlns:r="http://schemas.openxmlformats.org/officeDocument/2006/relationships" r:embed="rId1"/>
        <a:srcRect/>
        <a:stretch>
          <a:fillRect/>
        </a:stretch>
      </xdr:blipFill>
      <xdr:spPr>
        <a:xfrm>
          <a:off x="676275" y="638175"/>
          <a:ext cx="514350" cy="466725"/>
        </a:xfrm>
        <a:prstGeom prst="rect">
          <a:avLst/>
        </a:prstGeom>
        <a:ln/>
      </xdr:spPr>
    </xdr:pic>
    <xdr:clientData/>
  </xdr:twoCellAnchor>
</xdr:wsDr>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E2150-C9D7-4B7A-9ED2-3D1A26017C41}">
  <sheetPr>
    <tabColor rgb="FF00B050"/>
    <pageSetUpPr fitToPage="1"/>
  </sheetPr>
  <dimension ref="A2:H64"/>
  <sheetViews>
    <sheetView showGridLines="0" zoomScale="85" zoomScaleNormal="85" zoomScaleSheetLayoutView="100" workbookViewId="0">
      <pane xSplit="3" ySplit="10" topLeftCell="D11" activePane="bottomRight" state="frozen"/>
      <selection activeCell="C843" sqref="C843"/>
      <selection pane="topRight" activeCell="C843" sqref="C843"/>
      <selection pane="bottomLeft" activeCell="C843" sqref="C843"/>
      <selection pane="bottomRight" activeCell="D20" sqref="D20"/>
    </sheetView>
  </sheetViews>
  <sheetFormatPr defaultColWidth="9.109375" defaultRowHeight="19.2" x14ac:dyDescent="0.3"/>
  <cols>
    <col min="1" max="1" width="3.33203125" style="23" customWidth="1"/>
    <col min="2" max="2" width="10.5546875" style="23" customWidth="1"/>
    <col min="3" max="3" width="85.109375" style="23" customWidth="1"/>
    <col min="4" max="4" width="18.6640625" style="24" customWidth="1"/>
    <col min="5" max="8" width="9.109375" style="23"/>
    <col min="9" max="9" width="53.6640625" style="23" customWidth="1"/>
    <col min="10" max="16384" width="9.109375" style="23"/>
  </cols>
  <sheetData>
    <row r="2" spans="1:4" ht="20.399999999999999" x14ac:dyDescent="0.3">
      <c r="B2" s="574" t="s">
        <v>8442</v>
      </c>
      <c r="C2" s="574"/>
      <c r="D2" s="574"/>
    </row>
    <row r="3" spans="1:4" ht="19.8" thickBot="1" x14ac:dyDescent="0.35"/>
    <row r="4" spans="1:4" ht="15.6" customHeight="1" x14ac:dyDescent="0.3">
      <c r="B4" s="25"/>
      <c r="C4" s="26" t="s">
        <v>5896</v>
      </c>
      <c r="D4" s="578" t="s">
        <v>8417</v>
      </c>
    </row>
    <row r="5" spans="1:4" ht="15.6" customHeight="1" x14ac:dyDescent="0.3">
      <c r="B5" s="27"/>
      <c r="C5" s="28" t="s">
        <v>164</v>
      </c>
      <c r="D5" s="579"/>
    </row>
    <row r="6" spans="1:4" x14ac:dyDescent="0.3">
      <c r="B6" s="29"/>
      <c r="C6" s="30" t="s">
        <v>8443</v>
      </c>
      <c r="D6" s="579"/>
    </row>
    <row r="7" spans="1:4" ht="16.2" customHeight="1" thickBot="1" x14ac:dyDescent="0.35">
      <c r="B7" s="31"/>
      <c r="C7" s="32" t="s">
        <v>8445</v>
      </c>
      <c r="D7" s="580"/>
    </row>
    <row r="8" spans="1:4" x14ac:dyDescent="0.3">
      <c r="B8" s="25" t="s">
        <v>3759</v>
      </c>
      <c r="C8" s="26" t="s">
        <v>5895</v>
      </c>
      <c r="D8" s="33"/>
    </row>
    <row r="9" spans="1:4" ht="19.8" thickBot="1" x14ac:dyDescent="0.35">
      <c r="B9" s="31" t="s">
        <v>3758</v>
      </c>
      <c r="C9" s="32" t="s">
        <v>3757</v>
      </c>
      <c r="D9" s="34"/>
    </row>
    <row r="10" spans="1:4" ht="19.8" thickBot="1" x14ac:dyDescent="0.35">
      <c r="B10" s="268" t="s">
        <v>160</v>
      </c>
      <c r="C10" s="269" t="s">
        <v>165</v>
      </c>
      <c r="D10" s="270" t="s">
        <v>173</v>
      </c>
    </row>
    <row r="11" spans="1:4" x14ac:dyDescent="0.3">
      <c r="A11" s="35"/>
      <c r="B11" s="271" t="s">
        <v>3743</v>
      </c>
      <c r="C11" s="272" t="s">
        <v>372</v>
      </c>
      <c r="D11" s="273">
        <f>_xlfn.XLOOKUP(B11,Planilha!C:C,Planilha!M:M)</f>
        <v>1701213.4399999997</v>
      </c>
    </row>
    <row r="12" spans="1:4" x14ac:dyDescent="0.3">
      <c r="A12" s="36"/>
      <c r="B12" s="277" t="s">
        <v>3744</v>
      </c>
      <c r="C12" s="278" t="str">
        <f>_xlfn.XLOOKUP(B12,Planilha!C:C,Planilha!F:F)</f>
        <v>ADMINISTRAÇÃO LOCAL DA OBRA</v>
      </c>
      <c r="D12" s="279">
        <f>_xlfn.XLOOKUP(B12,Planilha!C:C,Planilha!M:M)</f>
        <v>684453</v>
      </c>
    </row>
    <row r="13" spans="1:4" x14ac:dyDescent="0.3">
      <c r="A13" s="36"/>
      <c r="B13" s="277" t="s">
        <v>3745</v>
      </c>
      <c r="C13" s="278" t="str">
        <f>_xlfn.XLOOKUP(B13,Planilha!C:C,Planilha!F:F)</f>
        <v>IMPLANTAÇÃO E MANUTENÇÃO DO CANTEIRO DE OBRAS</v>
      </c>
      <c r="D13" s="279">
        <f>_xlfn.XLOOKUP(B13,Planilha!C:C,Planilha!M:M)</f>
        <v>149661.6</v>
      </c>
    </row>
    <row r="14" spans="1:4" x14ac:dyDescent="0.3">
      <c r="A14" s="36"/>
      <c r="B14" s="277" t="s">
        <v>3746</v>
      </c>
      <c r="C14" s="278" t="str">
        <f>_xlfn.XLOOKUP(B14,Planilha!C:C,Planilha!F:F)</f>
        <v>MÁQUINAS, EQUIPAMENTOS E VEÍCULOS</v>
      </c>
      <c r="D14" s="279">
        <f>_xlfn.XLOOKUP(B14,Planilha!C:C,Planilha!M:M)</f>
        <v>67217.27</v>
      </c>
    </row>
    <row r="15" spans="1:4" x14ac:dyDescent="0.3">
      <c r="A15" s="36"/>
      <c r="B15" s="277" t="s">
        <v>3747</v>
      </c>
      <c r="C15" s="278" t="str">
        <f>_xlfn.XLOOKUP(B15,Planilha!C:C,Planilha!F:F)</f>
        <v>DESPESAS GERAIS E DE CONSUMO</v>
      </c>
      <c r="D15" s="279">
        <f>_xlfn.XLOOKUP(B15,Planilha!C:C,Planilha!M:M)</f>
        <v>31798.799999999996</v>
      </c>
    </row>
    <row r="16" spans="1:4" x14ac:dyDescent="0.3">
      <c r="A16" s="36"/>
      <c r="B16" s="277" t="s">
        <v>3748</v>
      </c>
      <c r="C16" s="278" t="str">
        <f>_xlfn.XLOOKUP(B16,Planilha!C:C,Planilha!F:F)</f>
        <v>DEMOLIÇÃO</v>
      </c>
      <c r="D16" s="279">
        <f>_xlfn.XLOOKUP(B16,Planilha!C:C,Planilha!M:M)</f>
        <v>768082.77</v>
      </c>
    </row>
    <row r="17" spans="1:5" x14ac:dyDescent="0.3">
      <c r="A17" s="35"/>
      <c r="B17" s="274" t="s">
        <v>3749</v>
      </c>
      <c r="C17" s="275" t="s">
        <v>752</v>
      </c>
      <c r="D17" s="276">
        <f>_xlfn.XLOOKUP(B17,Planilha!C:C,Planilha!M:M)</f>
        <v>12217395.509999985</v>
      </c>
    </row>
    <row r="18" spans="1:5" x14ac:dyDescent="0.3">
      <c r="A18" s="36"/>
      <c r="B18" s="277" t="s">
        <v>3750</v>
      </c>
      <c r="C18" s="278" t="str">
        <f>_xlfn.XLOOKUP(B18,Planilha!C:C,Planilha!F:F)</f>
        <v>FUNDAÇÕES E ESTRUTURA</v>
      </c>
      <c r="D18" s="279">
        <f>_xlfn.XLOOKUP(B18,Planilha!C:C,Planilha!M:M)</f>
        <v>5112970.3100000015</v>
      </c>
    </row>
    <row r="19" spans="1:5" x14ac:dyDescent="0.3">
      <c r="A19" s="36"/>
      <c r="B19" s="277" t="s">
        <v>3751</v>
      </c>
      <c r="C19" s="278" t="str">
        <f>_xlfn.XLOOKUP(B19,Planilha!C:C,Planilha!F:F)</f>
        <v>ARQUITETURA</v>
      </c>
      <c r="D19" s="279">
        <f>_xlfn.XLOOKUP(B19,Planilha!C:C,Planilha!M:M)</f>
        <v>5117932.2100000028</v>
      </c>
    </row>
    <row r="20" spans="1:5" x14ac:dyDescent="0.3">
      <c r="A20" s="36"/>
      <c r="B20" s="277" t="s">
        <v>3752</v>
      </c>
      <c r="C20" s="418" t="str">
        <f>_xlfn.XLOOKUP(B20,Planilha!C:C,Planilha!F:F)</f>
        <v>INSTALAÇÕES ELÉTRICAS, LUMINOTÉCNICA E SPDA</v>
      </c>
      <c r="D20" s="279">
        <f>_xlfn.XLOOKUP(B20,Planilha!C:C,Planilha!M:M)</f>
        <v>1176389.71</v>
      </c>
    </row>
    <row r="21" spans="1:5" ht="38.4" x14ac:dyDescent="0.3">
      <c r="A21" s="36"/>
      <c r="B21" s="277" t="s">
        <v>3753</v>
      </c>
      <c r="C21" s="278" t="str">
        <f>_xlfn.XLOOKUP(B21,Planilha!C:C,Planilha!F:F)</f>
        <v>INSTALAÇÕES HIDRÁULICA - ÁGUAS PLUVIAIS, ÁGUA FRIA,  ESGOTO,  INCÊNDIO E GASES</v>
      </c>
      <c r="D21" s="279">
        <f>_xlfn.XLOOKUP(B21,Planilha!C:C,Planilha!M:M)</f>
        <v>343197.10000000003</v>
      </c>
    </row>
    <row r="22" spans="1:5" x14ac:dyDescent="0.3">
      <c r="A22" s="36"/>
      <c r="B22" s="277" t="s">
        <v>3754</v>
      </c>
      <c r="C22" s="278" t="str">
        <f>_xlfn.XLOOKUP(B22,Planilha!C:C,Planilha!F:F)</f>
        <v>GASES</v>
      </c>
      <c r="D22" s="279">
        <f>_xlfn.XLOOKUP(B22,Planilha!C:C,Planilha!M:M)</f>
        <v>57866.18</v>
      </c>
    </row>
    <row r="23" spans="1:5" x14ac:dyDescent="0.3">
      <c r="A23" s="36"/>
      <c r="B23" s="277" t="s">
        <v>3755</v>
      </c>
      <c r="C23" s="278" t="str">
        <f>_xlfn.XLOOKUP(B23,Planilha!C:C,Planilha!F:F)</f>
        <v>AR CONDICIONADO</v>
      </c>
      <c r="D23" s="279">
        <f>_xlfn.XLOOKUP(B23,Planilha!C:C,Planilha!M:M)</f>
        <v>377810</v>
      </c>
    </row>
    <row r="24" spans="1:5" x14ac:dyDescent="0.3">
      <c r="A24" s="36"/>
      <c r="B24" s="277" t="s">
        <v>3756</v>
      </c>
      <c r="C24" s="278" t="str">
        <f>_xlfn.XLOOKUP(B24,Planilha!C:C,Planilha!F:F)</f>
        <v>LIMPEZA FINAL DA OBRA E BOTA-FORA</v>
      </c>
      <c r="D24" s="279">
        <f>_xlfn.XLOOKUP(B24,Planilha!C:C,Planilha!M:M)</f>
        <v>31230</v>
      </c>
    </row>
    <row r="25" spans="1:5" x14ac:dyDescent="0.3">
      <c r="A25" s="35"/>
      <c r="B25" s="274"/>
      <c r="C25" s="275" t="s">
        <v>3741</v>
      </c>
      <c r="D25" s="276">
        <f>D11+D17</f>
        <v>13918608.949999984</v>
      </c>
    </row>
    <row r="26" spans="1:5" ht="6" customHeight="1" x14ac:dyDescent="0.3">
      <c r="A26" s="35"/>
      <c r="B26" s="37"/>
      <c r="C26" s="38"/>
      <c r="D26" s="39"/>
    </row>
    <row r="27" spans="1:5" x14ac:dyDescent="0.3">
      <c r="A27" s="35"/>
      <c r="B27" s="280">
        <f>BDI!E30/100</f>
        <v>0.2742</v>
      </c>
      <c r="C27" s="275" t="s">
        <v>3715</v>
      </c>
      <c r="D27" s="276">
        <f>D25*B27</f>
        <v>3816482.5740899956</v>
      </c>
    </row>
    <row r="28" spans="1:5" ht="6" customHeight="1" x14ac:dyDescent="0.3">
      <c r="A28" s="35"/>
      <c r="B28" s="37"/>
      <c r="C28" s="38"/>
      <c r="D28" s="39"/>
    </row>
    <row r="29" spans="1:5" x14ac:dyDescent="0.3">
      <c r="A29" s="35"/>
      <c r="B29" s="281"/>
      <c r="C29" s="282" t="s">
        <v>3742</v>
      </c>
      <c r="D29" s="283">
        <f>+D25+D27</f>
        <v>17735091.524089981</v>
      </c>
    </row>
    <row r="30" spans="1:5" ht="6" customHeight="1" thickBot="1" x14ac:dyDescent="0.35">
      <c r="A30" s="35"/>
      <c r="B30" s="575"/>
      <c r="C30" s="576"/>
      <c r="D30" s="577"/>
    </row>
    <row r="31" spans="1:5" x14ac:dyDescent="0.3">
      <c r="B31" s="377"/>
      <c r="C31" s="378"/>
      <c r="D31" s="379"/>
    </row>
    <row r="32" spans="1:5" x14ac:dyDescent="0.3">
      <c r="B32" s="380"/>
      <c r="C32" s="40" t="s">
        <v>8602</v>
      </c>
      <c r="D32" s="372"/>
      <c r="E32" s="40"/>
    </row>
    <row r="33" spans="2:4" x14ac:dyDescent="0.3">
      <c r="B33" s="371"/>
      <c r="C33" s="23" t="s">
        <v>8414</v>
      </c>
      <c r="D33" s="373"/>
    </row>
    <row r="34" spans="2:4" x14ac:dyDescent="0.3">
      <c r="B34" s="371"/>
      <c r="C34" s="23" t="s">
        <v>8415</v>
      </c>
      <c r="D34" s="373"/>
    </row>
    <row r="35" spans="2:4" x14ac:dyDescent="0.3">
      <c r="B35" s="371"/>
      <c r="C35" s="23" t="s">
        <v>8416</v>
      </c>
      <c r="D35" s="373"/>
    </row>
    <row r="36" spans="2:4" x14ac:dyDescent="0.3">
      <c r="B36" s="371"/>
      <c r="C36" s="23" t="s">
        <v>8403</v>
      </c>
      <c r="D36" s="373"/>
    </row>
    <row r="37" spans="2:4" x14ac:dyDescent="0.3">
      <c r="B37" s="371"/>
      <c r="C37" s="23" t="s">
        <v>8404</v>
      </c>
      <c r="D37" s="373"/>
    </row>
    <row r="38" spans="2:4" x14ac:dyDescent="0.3">
      <c r="B38" s="371"/>
      <c r="C38" s="23" t="s">
        <v>8405</v>
      </c>
      <c r="D38" s="373"/>
    </row>
    <row r="39" spans="2:4" x14ac:dyDescent="0.3">
      <c r="B39" s="371"/>
      <c r="C39" s="23" t="s">
        <v>8406</v>
      </c>
      <c r="D39" s="373"/>
    </row>
    <row r="40" spans="2:4" x14ac:dyDescent="0.3">
      <c r="B40" s="371"/>
      <c r="C40" s="23" t="s">
        <v>8407</v>
      </c>
      <c r="D40" s="373"/>
    </row>
    <row r="41" spans="2:4" x14ac:dyDescent="0.3">
      <c r="B41" s="371"/>
      <c r="C41" s="23" t="s">
        <v>8408</v>
      </c>
      <c r="D41" s="373"/>
    </row>
    <row r="42" spans="2:4" x14ac:dyDescent="0.3">
      <c r="B42" s="371"/>
      <c r="C42" s="23" t="s">
        <v>8409</v>
      </c>
      <c r="D42" s="373"/>
    </row>
    <row r="43" spans="2:4" x14ac:dyDescent="0.3">
      <c r="B43" s="371"/>
      <c r="C43" s="23" t="s">
        <v>8410</v>
      </c>
      <c r="D43" s="373"/>
    </row>
    <row r="44" spans="2:4" x14ac:dyDescent="0.3">
      <c r="B44" s="371"/>
      <c r="C44" s="23" t="s">
        <v>8411</v>
      </c>
      <c r="D44" s="373"/>
    </row>
    <row r="45" spans="2:4" x14ac:dyDescent="0.3">
      <c r="B45" s="371"/>
      <c r="C45" s="23" t="s">
        <v>8412</v>
      </c>
      <c r="D45" s="373"/>
    </row>
    <row r="46" spans="2:4" ht="19.8" thickBot="1" x14ac:dyDescent="0.35">
      <c r="B46" s="374"/>
      <c r="C46" s="375" t="s">
        <v>8413</v>
      </c>
      <c r="D46" s="376"/>
    </row>
    <row r="54" spans="3:8" x14ac:dyDescent="0.3">
      <c r="F54" s="573"/>
      <c r="G54" s="573"/>
      <c r="H54" s="573"/>
    </row>
    <row r="60" spans="3:8" x14ac:dyDescent="0.3">
      <c r="D60" s="23"/>
    </row>
    <row r="61" spans="3:8" x14ac:dyDescent="0.3">
      <c r="D61" s="23"/>
    </row>
    <row r="64" spans="3:8" x14ac:dyDescent="0.3">
      <c r="C64" s="573" t="s">
        <v>8392</v>
      </c>
      <c r="D64" s="573"/>
      <c r="E64" s="573"/>
    </row>
  </sheetData>
  <mergeCells count="5">
    <mergeCell ref="C64:E64"/>
    <mergeCell ref="B2:D2"/>
    <mergeCell ref="B30:D30"/>
    <mergeCell ref="D4:D7"/>
    <mergeCell ref="F54:H54"/>
  </mergeCells>
  <pageMargins left="0.511811024" right="0.511811024" top="0.78740157499999996" bottom="0.78740157499999996" header="0.31496062000000002" footer="0.31496062000000002"/>
  <pageSetup paperSize="9" scale="79" orientation="portrait"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B1D42-600A-443D-B374-5C5377BFDD04}">
  <sheetPr>
    <tabColor rgb="FF00B050"/>
    <outlinePr summaryBelow="0" summaryRight="0"/>
    <pageSetUpPr fitToPage="1"/>
  </sheetPr>
  <dimension ref="A2:U1205"/>
  <sheetViews>
    <sheetView showGridLines="0" tabSelected="1" zoomScale="70" zoomScaleNormal="70" zoomScaleSheetLayoutView="70" workbookViewId="0">
      <pane xSplit="6" ySplit="12" topLeftCell="G30" activePane="bottomRight" state="frozen"/>
      <selection activeCell="G14" sqref="G14"/>
      <selection pane="topRight" activeCell="G14" sqref="G14"/>
      <selection pane="bottomLeft" activeCell="G14" sqref="G14"/>
      <selection pane="bottomRight" activeCell="E32" sqref="E32"/>
    </sheetView>
  </sheetViews>
  <sheetFormatPr defaultColWidth="9.109375" defaultRowHeight="19.2" outlineLevelRow="5" outlineLevelCol="1" x14ac:dyDescent="0.3"/>
  <cols>
    <col min="1" max="1" width="6.6640625" style="261" customWidth="1" outlineLevel="1"/>
    <col min="2" max="2" width="2.88671875" style="23" customWidth="1" collapsed="1"/>
    <col min="3" max="3" width="16.33203125" style="238" bestFit="1" customWidth="1"/>
    <col min="4" max="4" width="17.33203125" style="240" customWidth="1"/>
    <col min="5" max="5" width="22.6640625" style="238" customWidth="1"/>
    <col min="6" max="6" width="69.33203125" style="324" customWidth="1"/>
    <col min="7" max="7" width="10.5546875" style="238" bestFit="1" customWidth="1"/>
    <col min="8" max="8" width="12.33203125" style="24" customWidth="1"/>
    <col min="9" max="9" width="13.5546875" style="241" customWidth="1"/>
    <col min="10" max="10" width="12.33203125" style="242" customWidth="1"/>
    <col min="11" max="11" width="12.33203125" style="24" customWidth="1"/>
    <col min="12" max="12" width="13.109375" style="24" customWidth="1"/>
    <col min="13" max="13" width="21.6640625" style="24" customWidth="1"/>
    <col min="14" max="14" width="8" style="239" customWidth="1" collapsed="1"/>
    <col min="15" max="15" width="19.44140625" style="514" hidden="1" customWidth="1" outlineLevel="1"/>
    <col min="16" max="16" width="9.109375" style="23"/>
    <col min="17" max="18" width="9.109375" style="23" customWidth="1"/>
    <col min="19" max="19" width="9.109375" style="23"/>
    <col min="20" max="20" width="9.109375" style="23" customWidth="1"/>
    <col min="21" max="21" width="14.5546875" style="23" bestFit="1" customWidth="1"/>
    <col min="22" max="16384" width="9.109375" style="23"/>
  </cols>
  <sheetData>
    <row r="2" spans="1:15" ht="20.399999999999999" x14ac:dyDescent="0.3">
      <c r="C2" s="543" t="s">
        <v>8442</v>
      </c>
      <c r="D2" s="543"/>
      <c r="E2" s="543"/>
      <c r="F2" s="543"/>
      <c r="G2" s="543"/>
      <c r="H2" s="543"/>
      <c r="I2" s="543"/>
      <c r="J2" s="543"/>
      <c r="K2" s="543"/>
      <c r="L2" s="543"/>
      <c r="M2" s="543"/>
    </row>
    <row r="3" spans="1:15" ht="19.8" thickBot="1" x14ac:dyDescent="0.35"/>
    <row r="4" spans="1:15" x14ac:dyDescent="0.3">
      <c r="C4" s="548"/>
      <c r="D4" s="544" t="str">
        <f>+Resumo!C4</f>
        <v>LITOTECA URCA/RJ</v>
      </c>
      <c r="E4" s="544"/>
      <c r="F4" s="544"/>
      <c r="G4" s="544"/>
      <c r="H4" s="544"/>
      <c r="I4" s="544"/>
      <c r="J4" s="544"/>
      <c r="K4" s="544"/>
      <c r="L4" s="545"/>
      <c r="M4" s="550" t="s">
        <v>8417</v>
      </c>
      <c r="N4" s="243"/>
      <c r="O4" s="515"/>
    </row>
    <row r="5" spans="1:15" ht="15.6" customHeight="1" x14ac:dyDescent="0.3">
      <c r="C5" s="549"/>
      <c r="D5" s="546" t="str">
        <f>+Resumo!C5</f>
        <v>ORÇAMENTO SINTÉTICO GLOBAL</v>
      </c>
      <c r="E5" s="546"/>
      <c r="F5" s="546"/>
      <c r="G5" s="546"/>
      <c r="H5" s="546"/>
      <c r="I5" s="546"/>
      <c r="J5" s="546"/>
      <c r="K5" s="546"/>
      <c r="L5" s="547"/>
      <c r="M5" s="551"/>
      <c r="N5" s="243"/>
      <c r="O5" s="515"/>
    </row>
    <row r="6" spans="1:15" ht="15.6" customHeight="1" x14ac:dyDescent="0.3">
      <c r="C6" s="549"/>
      <c r="D6" s="546" t="str">
        <f>+Resumo!C6</f>
        <v>REFERÊNCIA: BANCOS DE DADOS INFORMADOS NO RESUMO</v>
      </c>
      <c r="E6" s="546"/>
      <c r="F6" s="546"/>
      <c r="G6" s="546"/>
      <c r="H6" s="546"/>
      <c r="I6" s="546"/>
      <c r="J6" s="546"/>
      <c r="K6" s="546"/>
      <c r="L6" s="547"/>
      <c r="M6" s="551"/>
      <c r="N6" s="243"/>
      <c r="O6" s="516"/>
    </row>
    <row r="7" spans="1:15" ht="16.2" customHeight="1" thickBot="1" x14ac:dyDescent="0.35">
      <c r="C7" s="549"/>
      <c r="D7" s="546" t="str">
        <f>+Resumo!C7</f>
        <v>CONTRATAÇÃO POR EMPREITADA POR PREÇO GLOBAL</v>
      </c>
      <c r="E7" s="546"/>
      <c r="F7" s="546"/>
      <c r="G7" s="546"/>
      <c r="H7" s="546"/>
      <c r="I7" s="546"/>
      <c r="J7" s="546"/>
      <c r="K7" s="546"/>
      <c r="L7" s="547"/>
      <c r="M7" s="551"/>
      <c r="N7" s="23"/>
      <c r="O7" s="515"/>
    </row>
    <row r="8" spans="1:15" x14ac:dyDescent="0.3">
      <c r="C8" s="245" t="s">
        <v>3759</v>
      </c>
      <c r="D8" s="244" t="str">
        <f>+Resumo!C8</f>
        <v>LITOTECA URCA</v>
      </c>
      <c r="E8" s="245"/>
      <c r="F8" s="325"/>
      <c r="G8" s="448"/>
      <c r="H8" s="245"/>
      <c r="I8" s="246"/>
      <c r="J8" s="246"/>
      <c r="K8" s="246"/>
      <c r="L8" s="246"/>
      <c r="M8" s="306"/>
      <c r="N8" s="243"/>
    </row>
    <row r="9" spans="1:15" ht="19.8" thickBot="1" x14ac:dyDescent="0.35">
      <c r="C9" s="307" t="s">
        <v>3758</v>
      </c>
      <c r="D9" s="308" t="str">
        <f>+Resumo!C9</f>
        <v>URCA - RIO DE JANEIRO - RJ</v>
      </c>
      <c r="E9" s="307"/>
      <c r="F9" s="326"/>
      <c r="G9" s="449"/>
      <c r="H9" s="307"/>
      <c r="I9" s="307"/>
      <c r="J9" s="307"/>
      <c r="K9" s="307"/>
      <c r="L9" s="307"/>
      <c r="M9" s="309"/>
      <c r="N9" s="243"/>
    </row>
    <row r="10" spans="1:15" ht="19.8" thickTop="1" x14ac:dyDescent="0.3">
      <c r="C10" s="567" t="s">
        <v>3314</v>
      </c>
      <c r="D10" s="559" t="s">
        <v>413</v>
      </c>
      <c r="E10" s="559" t="s">
        <v>8438</v>
      </c>
      <c r="F10" s="570" t="s">
        <v>8437</v>
      </c>
      <c r="G10" s="559" t="s">
        <v>8436</v>
      </c>
      <c r="H10" s="562" t="s">
        <v>1030</v>
      </c>
      <c r="I10" s="558" t="s">
        <v>8435</v>
      </c>
      <c r="J10" s="558"/>
      <c r="K10" s="558"/>
      <c r="L10" s="558"/>
      <c r="M10" s="556" t="s">
        <v>173</v>
      </c>
      <c r="O10" s="541" t="s">
        <v>10801</v>
      </c>
    </row>
    <row r="11" spans="1:15" ht="15" customHeight="1" x14ac:dyDescent="0.3">
      <c r="C11" s="568"/>
      <c r="D11" s="560"/>
      <c r="E11" s="560"/>
      <c r="F11" s="571"/>
      <c r="G11" s="560"/>
      <c r="H11" s="563"/>
      <c r="I11" s="565" t="s">
        <v>8439</v>
      </c>
      <c r="J11" s="565" t="s">
        <v>3485</v>
      </c>
      <c r="K11" s="565" t="s">
        <v>8440</v>
      </c>
      <c r="L11" s="565" t="s">
        <v>8441</v>
      </c>
      <c r="M11" s="557"/>
      <c r="N11" s="247"/>
      <c r="O11" s="542"/>
    </row>
    <row r="12" spans="1:15" ht="19.8" thickBot="1" x14ac:dyDescent="0.35">
      <c r="C12" s="569"/>
      <c r="D12" s="561"/>
      <c r="E12" s="561"/>
      <c r="F12" s="572"/>
      <c r="G12" s="561"/>
      <c r="H12" s="564"/>
      <c r="I12" s="566"/>
      <c r="J12" s="566"/>
      <c r="K12" s="566"/>
      <c r="L12" s="566"/>
      <c r="M12" s="464" t="s">
        <v>166</v>
      </c>
      <c r="O12" s="517"/>
    </row>
    <row r="13" spans="1:15" ht="19.2" customHeight="1" x14ac:dyDescent="0.3">
      <c r="A13" s="36"/>
      <c r="B13" s="35"/>
      <c r="C13" s="518" t="s">
        <v>3743</v>
      </c>
      <c r="D13" s="519"/>
      <c r="E13" s="519" t="str">
        <f>UPPER(IF($D13=0,"",IF($A13=4,_xlfn.XLOOKUP($D13,Mercado!$C:$C,Mercado!$E:$E),_xlfn.XLOOKUP($D13,Fontes!$B:$B,Fontes!$C:$C))))</f>
        <v/>
      </c>
      <c r="F13" s="520" t="s">
        <v>372</v>
      </c>
      <c r="G13" s="519"/>
      <c r="H13" s="521"/>
      <c r="I13" s="521">
        <f>IF($A13="M",_xlfn.XLOOKUP($D13,Mercado!$C:$C,Mercado!$I:$I),_xlfn.XLOOKUP($D13,Fontes!$B:$B,Fontes!$J:$J))</f>
        <v>0</v>
      </c>
      <c r="J13" s="522">
        <f>IF($A13="M",_xlfn.XLOOKUP($D13,Mercado!$C:$C,Mercado!$J:$J),_xlfn.XLOOKUP($D13,Fontes!$B:$B,Fontes!$H:$H))</f>
        <v>0</v>
      </c>
      <c r="K13" s="523">
        <f>IF($A13="M",0,_xlfn.XLOOKUP($D13,Fontes!$B:$B,Fontes!$I:$I))</f>
        <v>0</v>
      </c>
      <c r="L13" s="523">
        <f t="shared" ref="L13" si="0">SUM(I13:K13)</f>
        <v>0</v>
      </c>
      <c r="M13" s="524">
        <f>SUBTOTAL(9,M14:M60)</f>
        <v>1701213.4399999997</v>
      </c>
      <c r="O13" s="517" t="str">
        <f t="shared" ref="O13:O66" si="1">IF(D13&lt;&gt;0,M13,"")</f>
        <v/>
      </c>
    </row>
    <row r="14" spans="1:15" outlineLevel="1" x14ac:dyDescent="0.3">
      <c r="A14" s="36"/>
      <c r="B14" s="36"/>
      <c r="C14" s="530" t="s">
        <v>3744</v>
      </c>
      <c r="D14" s="531"/>
      <c r="E14" s="531" t="str">
        <f>UPPER(IF($D14=0,"",IF($A14=4,_xlfn.XLOOKUP($D14,Mercado!$C:$C,Mercado!$E:$E),_xlfn.XLOOKUP($D14,Fontes!$B:$B,Fontes!$C:$C))))</f>
        <v/>
      </c>
      <c r="F14" s="532" t="s">
        <v>162</v>
      </c>
      <c r="G14" s="531"/>
      <c r="H14" s="533"/>
      <c r="I14" s="533">
        <f>IF($A14="M",_xlfn.XLOOKUP($D14,Mercado!$C:$C,Mercado!$I:$I),_xlfn.XLOOKUP($D14,Fontes!$B:$B,Fontes!$J:$J))</f>
        <v>0</v>
      </c>
      <c r="J14" s="534">
        <f>IF($A14="M",_xlfn.XLOOKUP($D14,Mercado!$C:$C,Mercado!$J:$J),_xlfn.XLOOKUP($D14,Fontes!$B:$B,Fontes!$H:$H))</f>
        <v>0</v>
      </c>
      <c r="K14" s="535">
        <f>IF($A14="M",0,_xlfn.XLOOKUP($D14,Fontes!$B:$B,Fontes!$I:$I))</f>
        <v>0</v>
      </c>
      <c r="L14" s="535">
        <f t="shared" ref="L14:L77" si="2">SUM(I14:K14)</f>
        <v>0</v>
      </c>
      <c r="M14" s="536">
        <f>SUBTOTAL(9,M15:M24)</f>
        <v>684453</v>
      </c>
      <c r="O14" s="517" t="str">
        <f t="shared" si="1"/>
        <v/>
      </c>
    </row>
    <row r="15" spans="1:15" ht="38.4" outlineLevel="3" x14ac:dyDescent="0.3">
      <c r="A15" s="35"/>
      <c r="B15" s="36"/>
      <c r="C15" s="495" t="s">
        <v>9728</v>
      </c>
      <c r="D15" s="249">
        <v>93567</v>
      </c>
      <c r="E15" s="248" t="str">
        <f>UPPER(IF($D15=0,"",IF($A15=4,_xlfn.XLOOKUP($D15,Mercado!$C:$C,Mercado!$E:$E),_xlfn.XLOOKUP($D15,Fontes!$B:$B,Fontes!$C:$C))))</f>
        <v>SINAPI</v>
      </c>
      <c r="F15" s="327" t="s">
        <v>156</v>
      </c>
      <c r="G15" s="249" t="str">
        <f>UPPER(IF($D15=0,"",IF($A15=4,_xlfn.XLOOKUP($D15,Mercado!$C:$C,Mercado!$G:$G),_xlfn.XLOOKUP($D15,Fontes!$B:$B,Fontes!$E:$E))))</f>
        <v>MES</v>
      </c>
      <c r="H15" s="252">
        <v>8</v>
      </c>
      <c r="I15" s="250">
        <f>IF($A15="M",_xlfn.XLOOKUP($D15,Mercado!$C:$C,Mercado!$I:$I),_xlfn.XLOOKUP($D15,Fontes!$B:$B,Fontes!$J:$J))</f>
        <v>1034.48</v>
      </c>
      <c r="J15" s="250">
        <f>IF($A15="M",_xlfn.XLOOKUP($D15,Mercado!$C:$C,Mercado!$J:$J),_xlfn.XLOOKUP($D15,Fontes!$B:$B,Fontes!$H:$H))</f>
        <v>27549.86</v>
      </c>
      <c r="K15" s="250">
        <f>IF($A15="M",0,_xlfn.XLOOKUP($D15,Fontes!$B:$B,Fontes!$I:$I))</f>
        <v>184.85</v>
      </c>
      <c r="L15" s="250">
        <f t="shared" si="2"/>
        <v>28769.19</v>
      </c>
      <c r="M15" s="300">
        <f t="shared" ref="M15:M24" si="3">ROUND(H15*L15,2)</f>
        <v>230153.52</v>
      </c>
      <c r="N15" s="243"/>
      <c r="O15" s="517">
        <f>IF(D15&lt;&gt;0,M15,"")</f>
        <v>230153.52</v>
      </c>
    </row>
    <row r="16" spans="1:15" outlineLevel="3" x14ac:dyDescent="0.3">
      <c r="A16" s="35"/>
      <c r="B16" s="36"/>
      <c r="C16" s="495" t="s">
        <v>9729</v>
      </c>
      <c r="D16" s="249">
        <v>100534</v>
      </c>
      <c r="E16" s="248" t="str">
        <f>UPPER(IF($D16=0,"",IF($A16=4,_xlfn.XLOOKUP($D16,Mercado!$C:$C,Mercado!$E:$E),_xlfn.XLOOKUP($D16,Fontes!$B:$B,Fontes!$C:$C))))</f>
        <v>SINAPI</v>
      </c>
      <c r="F16" s="327" t="s">
        <v>229</v>
      </c>
      <c r="G16" s="249" t="str">
        <f>UPPER(IF($D16=0,"",IF($A16=4,_xlfn.XLOOKUP($D16,Mercado!$C:$C,Mercado!$G:$G),_xlfn.XLOOKUP($D16,Fontes!$B:$B,Fontes!$E:$E))))</f>
        <v>MES</v>
      </c>
      <c r="H16" s="252">
        <v>8</v>
      </c>
      <c r="I16" s="250">
        <f>IF($A16="M",_xlfn.XLOOKUP($D16,Mercado!$C:$C,Mercado!$I:$I),_xlfn.XLOOKUP($D16,Fontes!$B:$B,Fontes!$J:$J))</f>
        <v>1323.98</v>
      </c>
      <c r="J16" s="250">
        <f>IF($A16="M",_xlfn.XLOOKUP($D16,Mercado!$C:$C,Mercado!$J:$J),_xlfn.XLOOKUP($D16,Fontes!$B:$B,Fontes!$H:$H))</f>
        <v>3984.31</v>
      </c>
      <c r="K16" s="250">
        <f>IF($A16="M",0,_xlfn.XLOOKUP($D16,Fontes!$B:$B,Fontes!$I:$I))</f>
        <v>156.47</v>
      </c>
      <c r="L16" s="250">
        <f t="shared" si="2"/>
        <v>5464.76</v>
      </c>
      <c r="M16" s="300">
        <f t="shared" si="3"/>
        <v>43718.080000000002</v>
      </c>
      <c r="N16" s="243"/>
      <c r="O16" s="517">
        <f t="shared" si="1"/>
        <v>43718.080000000002</v>
      </c>
    </row>
    <row r="17" spans="1:15" outlineLevel="3" x14ac:dyDescent="0.3">
      <c r="A17" s="35"/>
      <c r="B17" s="36"/>
      <c r="C17" s="495" t="s">
        <v>9730</v>
      </c>
      <c r="D17" s="249">
        <v>94295</v>
      </c>
      <c r="E17" s="248" t="str">
        <f>UPPER(IF($D17=0,"",IF($A17=4,_xlfn.XLOOKUP($D17,Mercado!$C:$C,Mercado!$E:$E),_xlfn.XLOOKUP($D17,Fontes!$B:$B,Fontes!$C:$C))))</f>
        <v>SINAPI</v>
      </c>
      <c r="F17" s="327" t="s">
        <v>157</v>
      </c>
      <c r="G17" s="249" t="str">
        <f>UPPER(IF($D17=0,"",IF($A17=4,_xlfn.XLOOKUP($D17,Mercado!$C:$C,Mercado!$G:$G),_xlfn.XLOOKUP($D17,Fontes!$B:$B,Fontes!$E:$E))))</f>
        <v>MES</v>
      </c>
      <c r="H17" s="252">
        <v>8</v>
      </c>
      <c r="I17" s="250">
        <f>IF($A17="M",_xlfn.XLOOKUP($D17,Mercado!$C:$C,Mercado!$I:$I),_xlfn.XLOOKUP($D17,Fontes!$B:$B,Fontes!$J:$J))</f>
        <v>1323.98</v>
      </c>
      <c r="J17" s="250">
        <f>IF($A17="M",_xlfn.XLOOKUP($D17,Mercado!$C:$C,Mercado!$J:$J),_xlfn.XLOOKUP($D17,Fontes!$B:$B,Fontes!$H:$H))</f>
        <v>12031.26</v>
      </c>
      <c r="K17" s="250">
        <f>IF($A17="M",0,_xlfn.XLOOKUP($D17,Fontes!$B:$B,Fontes!$I:$I))</f>
        <v>270.05</v>
      </c>
      <c r="L17" s="250">
        <f t="shared" si="2"/>
        <v>13625.289999999999</v>
      </c>
      <c r="M17" s="300">
        <f t="shared" si="3"/>
        <v>109002.32</v>
      </c>
      <c r="N17" s="243"/>
      <c r="O17" s="517">
        <f t="shared" si="1"/>
        <v>109002.32</v>
      </c>
    </row>
    <row r="18" spans="1:15" ht="38.4" outlineLevel="3" x14ac:dyDescent="0.3">
      <c r="A18" s="35"/>
      <c r="B18" s="36"/>
      <c r="C18" s="495" t="s">
        <v>9731</v>
      </c>
      <c r="D18" s="479">
        <v>100309</v>
      </c>
      <c r="E18" s="248" t="str">
        <f>UPPER(IF($D18=0,"",IF($A18=4,_xlfn.XLOOKUP($D18,Mercado!$C:$C,Mercado!$E:$E),_xlfn.XLOOKUP($D18,Fontes!$B:$B,Fontes!$C:$C))))</f>
        <v>SINAPI</v>
      </c>
      <c r="F18" s="327" t="s">
        <v>228</v>
      </c>
      <c r="G18" s="249" t="str">
        <f>UPPER(IF($D18=0,"",IF($A18=4,_xlfn.XLOOKUP($D18,Mercado!$C:$C,Mercado!$G:$G),_xlfn.XLOOKUP($D18,Fontes!$B:$B,Fontes!$E:$E))))</f>
        <v>H</v>
      </c>
      <c r="H18" s="252">
        <f>8*220</f>
        <v>1760</v>
      </c>
      <c r="I18" s="250">
        <f>IF($A18="M",_xlfn.XLOOKUP($D18,Mercado!$C:$C,Mercado!$I:$I),_xlfn.XLOOKUP($D18,Fontes!$B:$B,Fontes!$J:$J))</f>
        <v>7.86</v>
      </c>
      <c r="J18" s="250">
        <f>IF($A18="M",_xlfn.XLOOKUP($D18,Mercado!$C:$C,Mercado!$J:$J),_xlfn.XLOOKUP($D18,Fontes!$B:$B,Fontes!$H:$H))</f>
        <v>48.64</v>
      </c>
      <c r="K18" s="250">
        <f>IF($A18="M",0,_xlfn.XLOOKUP($D18,Fontes!$B:$B,Fontes!$I:$I))</f>
        <v>0.92</v>
      </c>
      <c r="L18" s="250">
        <f t="shared" si="2"/>
        <v>57.42</v>
      </c>
      <c r="M18" s="300">
        <f t="shared" si="3"/>
        <v>101059.2</v>
      </c>
      <c r="N18" s="243"/>
      <c r="O18" s="517">
        <f t="shared" si="1"/>
        <v>101059.2</v>
      </c>
    </row>
    <row r="19" spans="1:15" outlineLevel="3" x14ac:dyDescent="0.3">
      <c r="A19" s="35"/>
      <c r="B19" s="36"/>
      <c r="C19" s="495" t="s">
        <v>9732</v>
      </c>
      <c r="D19" s="249" t="s">
        <v>2617</v>
      </c>
      <c r="E19" s="248" t="str">
        <f>UPPER(IF($D19=0,"",IF($A19=4,_xlfn.XLOOKUP($D19,Mercado!$C:$C,Mercado!$E:$E),_xlfn.XLOOKUP($D19,Fontes!$B:$B,Fontes!$C:$C))))</f>
        <v>EMOP</v>
      </c>
      <c r="F19" s="327" t="s">
        <v>2620</v>
      </c>
      <c r="G19" s="249" t="str">
        <f>UPPER(IF($D19=0,"",IF($A19=4,_xlfn.XLOOKUP($D19,Mercado!$C:$C,Mercado!$G:$G),_xlfn.XLOOKUP($D19,Fontes!$B:$B,Fontes!$E:$E))))</f>
        <v>MES</v>
      </c>
      <c r="H19" s="252">
        <v>8</v>
      </c>
      <c r="I19" s="250">
        <f>IF($A19="M",_xlfn.XLOOKUP($D19,Mercado!$C:$C,Mercado!$I:$I),_xlfn.XLOOKUP($D19,Fontes!$B:$B,Fontes!$J:$J))</f>
        <v>0</v>
      </c>
      <c r="J19" s="250">
        <f>IF($A19="M",_xlfn.XLOOKUP($D19,Mercado!$C:$C,Mercado!$J:$J),_xlfn.XLOOKUP($D19,Fontes!$B:$B,Fontes!$H:$H))</f>
        <v>5836.16</v>
      </c>
      <c r="K19" s="250">
        <f>IF($A19="M",0,_xlfn.XLOOKUP($D19,Fontes!$B:$B,Fontes!$I:$I))</f>
        <v>0</v>
      </c>
      <c r="L19" s="250">
        <f t="shared" si="2"/>
        <v>5836.16</v>
      </c>
      <c r="M19" s="300">
        <f t="shared" si="3"/>
        <v>46689.279999999999</v>
      </c>
      <c r="N19" s="243"/>
      <c r="O19" s="517">
        <f t="shared" si="1"/>
        <v>46689.279999999999</v>
      </c>
    </row>
    <row r="20" spans="1:15" outlineLevel="3" x14ac:dyDescent="0.3">
      <c r="A20" s="35"/>
      <c r="B20" s="36"/>
      <c r="C20" s="495" t="s">
        <v>9733</v>
      </c>
      <c r="D20" s="249">
        <v>93563</v>
      </c>
      <c r="E20" s="248" t="str">
        <f>UPPER(IF($D20=0,"",IF($A20=4,_xlfn.XLOOKUP($D20,Mercado!$C:$C,Mercado!$E:$E),_xlfn.XLOOKUP($D20,Fontes!$B:$B,Fontes!$C:$C))))</f>
        <v>SINAPI</v>
      </c>
      <c r="F20" s="327" t="s">
        <v>153</v>
      </c>
      <c r="G20" s="249" t="str">
        <f>UPPER(IF($D20=0,"",IF($A20=4,_xlfn.XLOOKUP($D20,Mercado!$C:$C,Mercado!$G:$G),_xlfn.XLOOKUP($D20,Fontes!$B:$B,Fontes!$E:$E))))</f>
        <v>MES</v>
      </c>
      <c r="H20" s="252">
        <v>8</v>
      </c>
      <c r="I20" s="250">
        <f>IF($A20="M",_xlfn.XLOOKUP($D20,Mercado!$C:$C,Mercado!$I:$I),_xlfn.XLOOKUP($D20,Fontes!$B:$B,Fontes!$J:$J))</f>
        <v>1323.98</v>
      </c>
      <c r="J20" s="250">
        <f>IF($A20="M",_xlfn.XLOOKUP($D20,Mercado!$C:$C,Mercado!$J:$J),_xlfn.XLOOKUP($D20,Fontes!$B:$B,Fontes!$H:$H))</f>
        <v>6169.85</v>
      </c>
      <c r="K20" s="250">
        <f>IF($A20="M",0,_xlfn.XLOOKUP($D20,Fontes!$B:$B,Fontes!$I:$I))</f>
        <v>156.47</v>
      </c>
      <c r="L20" s="250">
        <f t="shared" si="2"/>
        <v>7650.3</v>
      </c>
      <c r="M20" s="300">
        <f t="shared" si="3"/>
        <v>61202.400000000001</v>
      </c>
      <c r="N20" s="243"/>
      <c r="O20" s="517">
        <f t="shared" si="1"/>
        <v>61202.400000000001</v>
      </c>
    </row>
    <row r="21" spans="1:15" outlineLevel="3" x14ac:dyDescent="0.3">
      <c r="A21" s="35"/>
      <c r="B21" s="36"/>
      <c r="C21" s="495" t="s">
        <v>9734</v>
      </c>
      <c r="D21" s="249">
        <v>100289</v>
      </c>
      <c r="E21" s="248" t="str">
        <f>UPPER(IF($D21=0,"",IF($A21=4,_xlfn.XLOOKUP($D21,Mercado!$C:$C,Mercado!$E:$E),_xlfn.XLOOKUP($D21,Fontes!$B:$B,Fontes!$C:$C))))</f>
        <v>SINAPI</v>
      </c>
      <c r="F21" s="327" t="s">
        <v>227</v>
      </c>
      <c r="G21" s="249" t="str">
        <f>UPPER(IF($D21=0,"",IF($A21=4,_xlfn.XLOOKUP($D21,Mercado!$C:$C,Mercado!$G:$G),_xlfn.XLOOKUP($D21,Fontes!$B:$B,Fontes!$E:$E))))</f>
        <v>H</v>
      </c>
      <c r="H21" s="252">
        <f>1*220*8</f>
        <v>1760</v>
      </c>
      <c r="I21" s="250">
        <f>IF($A21="M",_xlfn.XLOOKUP($D21,Mercado!$C:$C,Mercado!$I:$I),_xlfn.XLOOKUP($D21,Fontes!$B:$B,Fontes!$J:$J))</f>
        <v>7.86</v>
      </c>
      <c r="J21" s="250">
        <f>IF($A21="M",_xlfn.XLOOKUP($D21,Mercado!$C:$C,Mercado!$J:$J),_xlfn.XLOOKUP($D21,Fontes!$B:$B,Fontes!$H:$H))</f>
        <v>24.9</v>
      </c>
      <c r="K21" s="250">
        <f>IF($A21="M",0,_xlfn.XLOOKUP($D21,Fontes!$B:$B,Fontes!$I:$I))</f>
        <v>2.35</v>
      </c>
      <c r="L21" s="250">
        <f t="shared" si="2"/>
        <v>35.11</v>
      </c>
      <c r="M21" s="300">
        <f t="shared" si="3"/>
        <v>61793.599999999999</v>
      </c>
      <c r="N21" s="243"/>
      <c r="O21" s="517">
        <f t="shared" si="1"/>
        <v>61793.599999999999</v>
      </c>
    </row>
    <row r="22" spans="1:15" outlineLevel="3" x14ac:dyDescent="0.3">
      <c r="A22" s="35"/>
      <c r="B22" s="36"/>
      <c r="C22" s="495" t="s">
        <v>9735</v>
      </c>
      <c r="D22" s="249">
        <v>94296</v>
      </c>
      <c r="E22" s="248" t="str">
        <f>UPPER(IF($D22=0,"",IF($A22=4,_xlfn.XLOOKUP($D22,Mercado!$C:$C,Mercado!$E:$E),_xlfn.XLOOKUP($D22,Fontes!$B:$B,Fontes!$C:$C))))</f>
        <v>SINAPI</v>
      </c>
      <c r="F22" s="327" t="s">
        <v>158</v>
      </c>
      <c r="G22" s="249" t="str">
        <f>UPPER(IF($D22=0,"",IF($A22=4,_xlfn.XLOOKUP($D22,Mercado!$C:$C,Mercado!$G:$G),_xlfn.XLOOKUP($D22,Fontes!$B:$B,Fontes!$E:$E))))</f>
        <v>MES</v>
      </c>
      <c r="H22" s="252">
        <v>3</v>
      </c>
      <c r="I22" s="250">
        <f>IF($A22="M",_xlfn.XLOOKUP($D22,Mercado!$C:$C,Mercado!$I:$I),_xlfn.XLOOKUP($D22,Fontes!$B:$B,Fontes!$J:$J))</f>
        <v>1323.98</v>
      </c>
      <c r="J22" s="250">
        <f>IF($A22="M",_xlfn.XLOOKUP($D22,Mercado!$C:$C,Mercado!$J:$J),_xlfn.XLOOKUP($D22,Fontes!$B:$B,Fontes!$H:$H))</f>
        <v>5042.63</v>
      </c>
      <c r="K22" s="250">
        <f>IF($A22="M",0,_xlfn.XLOOKUP($D22,Fontes!$B:$B,Fontes!$I:$I))</f>
        <v>159.13999999999999</v>
      </c>
      <c r="L22" s="250">
        <f t="shared" si="2"/>
        <v>6525.7500000000009</v>
      </c>
      <c r="M22" s="300">
        <f t="shared" si="3"/>
        <v>19577.25</v>
      </c>
      <c r="N22" s="243"/>
      <c r="O22" s="517">
        <f t="shared" si="1"/>
        <v>19577.25</v>
      </c>
    </row>
    <row r="23" spans="1:15" outlineLevel="3" x14ac:dyDescent="0.3">
      <c r="A23" s="35"/>
      <c r="B23" s="36"/>
      <c r="C23" s="495" t="s">
        <v>9736</v>
      </c>
      <c r="D23" s="249">
        <v>101389</v>
      </c>
      <c r="E23" s="248" t="str">
        <f>UPPER(IF($D23=0,"",IF($A23=4,_xlfn.XLOOKUP($D23,Mercado!$C:$C,Mercado!$E:$E),_xlfn.XLOOKUP($D23,Fontes!$B:$B,Fontes!$C:$C))))</f>
        <v>SINAPI</v>
      </c>
      <c r="F23" s="327" t="s">
        <v>132</v>
      </c>
      <c r="G23" s="249" t="str">
        <f>UPPER(IF($D23=0,"",IF($A23=4,_xlfn.XLOOKUP($D23,Mercado!$C:$C,Mercado!$G:$G),_xlfn.XLOOKUP($D23,Fontes!$B:$B,Fontes!$E:$E))))</f>
        <v>MES</v>
      </c>
      <c r="H23" s="252">
        <v>3</v>
      </c>
      <c r="I23" s="250">
        <f>IF($A23="M",_xlfn.XLOOKUP($D23,Mercado!$C:$C,Mercado!$I:$I),_xlfn.XLOOKUP($D23,Fontes!$B:$B,Fontes!$J:$J))</f>
        <v>1323.98</v>
      </c>
      <c r="J23" s="250">
        <f>IF($A23="M",_xlfn.XLOOKUP($D23,Mercado!$C:$C,Mercado!$J:$J),_xlfn.XLOOKUP($D23,Fontes!$B:$B,Fontes!$H:$H))</f>
        <v>2269.33</v>
      </c>
      <c r="K23" s="250">
        <f>IF($A23="M",0,_xlfn.XLOOKUP($D23,Fontes!$B:$B,Fontes!$I:$I))</f>
        <v>159.13999999999999</v>
      </c>
      <c r="L23" s="250">
        <f t="shared" si="2"/>
        <v>3752.45</v>
      </c>
      <c r="M23" s="300">
        <f t="shared" si="3"/>
        <v>11257.35</v>
      </c>
      <c r="N23" s="243"/>
      <c r="O23" s="517">
        <f t="shared" si="1"/>
        <v>11257.35</v>
      </c>
    </row>
    <row r="24" spans="1:15" outlineLevel="3" x14ac:dyDescent="0.3">
      <c r="A24" s="36"/>
      <c r="B24" s="36"/>
      <c r="C24" s="495" t="s">
        <v>781</v>
      </c>
      <c r="D24" s="249"/>
      <c r="E24" s="248" t="str">
        <f>UPPER(IF($D24=0,"",IF($A24=4,_xlfn.XLOOKUP($D24,Mercado!$C:$C,Mercado!$E:$E),_xlfn.XLOOKUP($D24,Fontes!$B:$B,Fontes!$C:$C))))</f>
        <v/>
      </c>
      <c r="F24" s="327" t="s">
        <v>781</v>
      </c>
      <c r="G24" s="249"/>
      <c r="H24" s="252"/>
      <c r="I24" s="478">
        <f>IF($A24="M",_xlfn.XLOOKUP($D24,Mercado!$C:$C,Mercado!$I:$I),_xlfn.XLOOKUP($D24,Fontes!$B:$B,Fontes!$J:$J))</f>
        <v>0</v>
      </c>
      <c r="J24" s="252">
        <f>IF($A24="M",_xlfn.XLOOKUP($D24,Mercado!$C:$C,Mercado!$J:$J),_xlfn.XLOOKUP($D24,Fontes!$B:$B,Fontes!$H:$H))</f>
        <v>0</v>
      </c>
      <c r="K24" s="252">
        <f>IF($A24="M",0,_xlfn.XLOOKUP($D24,Fontes!$B:$B,Fontes!$I:$I))</f>
        <v>0</v>
      </c>
      <c r="L24" s="250">
        <f t="shared" si="2"/>
        <v>0</v>
      </c>
      <c r="M24" s="300">
        <f t="shared" si="3"/>
        <v>0</v>
      </c>
      <c r="O24" s="517" t="str">
        <f t="shared" si="1"/>
        <v/>
      </c>
    </row>
    <row r="25" spans="1:15" outlineLevel="1" x14ac:dyDescent="0.3">
      <c r="A25" s="36"/>
      <c r="B25" s="36"/>
      <c r="C25" s="530" t="s">
        <v>3745</v>
      </c>
      <c r="D25" s="531"/>
      <c r="E25" s="531" t="str">
        <f>UPPER(IF($D25=0,"",IF($A25=4,_xlfn.XLOOKUP($D25,Mercado!$C:$C,Mercado!$E:$E),_xlfn.XLOOKUP($D25,Fontes!$B:$B,Fontes!$C:$C))))</f>
        <v/>
      </c>
      <c r="F25" s="532" t="s">
        <v>376</v>
      </c>
      <c r="G25" s="531"/>
      <c r="H25" s="535"/>
      <c r="I25" s="537">
        <f>IF($A25="M",_xlfn.XLOOKUP($D25,Mercado!$C:$C,Mercado!$I:$I),_xlfn.XLOOKUP($D25,Fontes!$B:$B,Fontes!$J:$J))</f>
        <v>0</v>
      </c>
      <c r="J25" s="535">
        <f>IF($A25="M",_xlfn.XLOOKUP($D25,Mercado!$C:$C,Mercado!$J:$J),_xlfn.XLOOKUP($D25,Fontes!$B:$B,Fontes!$H:$H))</f>
        <v>0</v>
      </c>
      <c r="K25" s="535">
        <f>IF($A25="M",0,_xlfn.XLOOKUP($D25,Fontes!$B:$B,Fontes!$I:$I))</f>
        <v>0</v>
      </c>
      <c r="L25" s="535">
        <f t="shared" si="2"/>
        <v>0</v>
      </c>
      <c r="M25" s="536">
        <f>SUBTOTAL(9,M26:M38)</f>
        <v>149661.6</v>
      </c>
      <c r="O25" s="517" t="str">
        <f t="shared" si="1"/>
        <v/>
      </c>
    </row>
    <row r="26" spans="1:15" outlineLevel="3" x14ac:dyDescent="0.3">
      <c r="A26" s="35"/>
      <c r="B26" s="36"/>
      <c r="C26" s="495" t="s">
        <v>9737</v>
      </c>
      <c r="D26" s="249">
        <v>12689</v>
      </c>
      <c r="E26" s="248" t="str">
        <f>UPPER(IF($D26=0,"",IF($A26=4,_xlfn.XLOOKUP($D26,Mercado!$C:$C,Mercado!$E:$E),_xlfn.XLOOKUP($D26,Fontes!$B:$B,Fontes!$C:$C))))</f>
        <v>SBC</v>
      </c>
      <c r="F26" s="327" t="s">
        <v>2622</v>
      </c>
      <c r="G26" s="249" t="str">
        <f>UPPER(IF($D26=0,"",IF($A26=4,_xlfn.XLOOKUP($D26,Mercado!$C:$C,Mercado!$G:$G),_xlfn.XLOOKUP($D26,Fontes!$B:$B,Fontes!$E:$E))))</f>
        <v>UN</v>
      </c>
      <c r="H26" s="252">
        <v>1</v>
      </c>
      <c r="I26" s="250">
        <f>IF($A26="M",_xlfn.XLOOKUP($D26,Mercado!$C:$C,Mercado!$I:$I),_xlfn.XLOOKUP($D26,Fontes!$B:$B,Fontes!$J:$J))</f>
        <v>0</v>
      </c>
      <c r="J26" s="250">
        <f>IF($A26="M",_xlfn.XLOOKUP($D26,Mercado!$C:$C,Mercado!$J:$J),_xlfn.XLOOKUP($D26,Fontes!$B:$B,Fontes!$H:$H))</f>
        <v>6583.72</v>
      </c>
      <c r="K26" s="250">
        <f>IF($A26="M",0,_xlfn.XLOOKUP($D26,Fontes!$B:$B,Fontes!$I:$I))</f>
        <v>0</v>
      </c>
      <c r="L26" s="250">
        <f t="shared" si="2"/>
        <v>6583.72</v>
      </c>
      <c r="M26" s="300">
        <f t="shared" ref="M26:M38" si="4">ROUND(H26*L26,2)</f>
        <v>6583.72</v>
      </c>
      <c r="N26" s="243"/>
      <c r="O26" s="517">
        <f t="shared" si="1"/>
        <v>6583.72</v>
      </c>
    </row>
    <row r="27" spans="1:15" outlineLevel="3" x14ac:dyDescent="0.3">
      <c r="A27" s="35"/>
      <c r="B27" s="36"/>
      <c r="C27" s="495" t="s">
        <v>9738</v>
      </c>
      <c r="D27" s="249">
        <v>12031</v>
      </c>
      <c r="E27" s="248" t="str">
        <f>UPPER(IF($D27=0,"",IF($A27=4,_xlfn.XLOOKUP($D27,Mercado!$C:$C,Mercado!$E:$E),_xlfn.XLOOKUP($D27,Fontes!$B:$B,Fontes!$C:$C))))</f>
        <v>SBC</v>
      </c>
      <c r="F27" s="327" t="s">
        <v>2624</v>
      </c>
      <c r="G27" s="249" t="str">
        <f>UPPER(IF($D27=0,"",IF($A27=4,_xlfn.XLOOKUP($D27,Mercado!$C:$C,Mercado!$G:$G),_xlfn.XLOOKUP($D27,Fontes!$B:$B,Fontes!$E:$E))))</f>
        <v>UN</v>
      </c>
      <c r="H27" s="252">
        <v>1</v>
      </c>
      <c r="I27" s="250">
        <f>IF($A27="M",_xlfn.XLOOKUP($D27,Mercado!$C:$C,Mercado!$I:$I),_xlfn.XLOOKUP($D27,Fontes!$B:$B,Fontes!$J:$J))</f>
        <v>7511.87</v>
      </c>
      <c r="J27" s="250">
        <f>IF($A27="M",_xlfn.XLOOKUP($D27,Mercado!$C:$C,Mercado!$J:$J),_xlfn.XLOOKUP($D27,Fontes!$B:$B,Fontes!$H:$H))</f>
        <v>2369.23</v>
      </c>
      <c r="K27" s="250">
        <f>IF($A27="M",0,_xlfn.XLOOKUP($D27,Fontes!$B:$B,Fontes!$I:$I))</f>
        <v>0</v>
      </c>
      <c r="L27" s="250">
        <f t="shared" si="2"/>
        <v>9881.1</v>
      </c>
      <c r="M27" s="300">
        <f t="shared" si="4"/>
        <v>9881.1</v>
      </c>
      <c r="N27" s="243"/>
      <c r="O27" s="517">
        <f t="shared" si="1"/>
        <v>9881.1</v>
      </c>
    </row>
    <row r="28" spans="1:15" ht="57.6" outlineLevel="3" x14ac:dyDescent="0.3">
      <c r="A28" s="35"/>
      <c r="B28" s="36"/>
      <c r="C28" s="495" t="s">
        <v>9739</v>
      </c>
      <c r="D28" s="249" t="s">
        <v>847</v>
      </c>
      <c r="E28" s="248" t="str">
        <f>UPPER(IF($D28=0,"",IF($A28=4,_xlfn.XLOOKUP($D28,Mercado!$C:$C,Mercado!$E:$E),_xlfn.XLOOKUP($D28,Fontes!$B:$B,Fontes!$C:$C))))</f>
        <v>CPOS/CDHU</v>
      </c>
      <c r="F28" s="327" t="s">
        <v>3486</v>
      </c>
      <c r="G28" s="249" t="str">
        <f>UPPER(IF($D28=0,"",IF($A28=4,_xlfn.XLOOKUP($D28,Mercado!$C:$C,Mercado!$G:$G),_xlfn.XLOOKUP($D28,Fontes!$B:$B,Fontes!$E:$E))))</f>
        <v>UNMES</v>
      </c>
      <c r="H28" s="252">
        <v>8</v>
      </c>
      <c r="I28" s="250">
        <f>IF($A28="M",_xlfn.XLOOKUP($D28,Mercado!$C:$C,Mercado!$I:$I),_xlfn.XLOOKUP($D28,Fontes!$B:$B,Fontes!$J:$J))</f>
        <v>1433.13</v>
      </c>
      <c r="J28" s="250">
        <f>IF($A28="M",_xlfn.XLOOKUP($D28,Mercado!$C:$C,Mercado!$J:$J),_xlfn.XLOOKUP($D28,Fontes!$B:$B,Fontes!$H:$H))</f>
        <v>155.52000000000001</v>
      </c>
      <c r="K28" s="250">
        <f>IF($A28="M",0,_xlfn.XLOOKUP($D28,Fontes!$B:$B,Fontes!$I:$I))</f>
        <v>0</v>
      </c>
      <c r="L28" s="250">
        <f t="shared" si="2"/>
        <v>1588.65</v>
      </c>
      <c r="M28" s="300">
        <f t="shared" si="4"/>
        <v>12709.2</v>
      </c>
      <c r="N28" s="243"/>
      <c r="O28" s="517">
        <f t="shared" si="1"/>
        <v>12709.2</v>
      </c>
    </row>
    <row r="29" spans="1:15" ht="57.6" outlineLevel="3" x14ac:dyDescent="0.3">
      <c r="A29" s="35"/>
      <c r="B29" s="36"/>
      <c r="C29" s="495" t="s">
        <v>9740</v>
      </c>
      <c r="D29" s="249" t="s">
        <v>848</v>
      </c>
      <c r="E29" s="248" t="str">
        <f>UPPER(IF($D29=0,"",IF($A29=4,_xlfn.XLOOKUP($D29,Mercado!$C:$C,Mercado!$E:$E),_xlfn.XLOOKUP($D29,Fontes!$B:$B,Fontes!$C:$C))))</f>
        <v>CPOS/CDHU</v>
      </c>
      <c r="F29" s="327" t="s">
        <v>3487</v>
      </c>
      <c r="G29" s="249" t="str">
        <f>UPPER(IF($D29=0,"",IF($A29=4,_xlfn.XLOOKUP($D29,Mercado!$C:$C,Mercado!$G:$G),_xlfn.XLOOKUP($D29,Fontes!$B:$B,Fontes!$E:$E))))</f>
        <v>UNMES</v>
      </c>
      <c r="H29" s="252">
        <v>8</v>
      </c>
      <c r="I29" s="250">
        <f>IF($A29="M",_xlfn.XLOOKUP($D29,Mercado!$C:$C,Mercado!$I:$I),_xlfn.XLOOKUP($D29,Fontes!$B:$B,Fontes!$J:$J))</f>
        <v>1376.52</v>
      </c>
      <c r="J29" s="250">
        <f>IF($A29="M",_xlfn.XLOOKUP($D29,Mercado!$C:$C,Mercado!$J:$J),_xlfn.XLOOKUP($D29,Fontes!$B:$B,Fontes!$H:$H))</f>
        <v>155.52000000000001</v>
      </c>
      <c r="K29" s="250">
        <f>IF($A29="M",0,_xlfn.XLOOKUP($D29,Fontes!$B:$B,Fontes!$I:$I))</f>
        <v>0</v>
      </c>
      <c r="L29" s="250">
        <f t="shared" si="2"/>
        <v>1532.04</v>
      </c>
      <c r="M29" s="300">
        <f t="shared" si="4"/>
        <v>12256.32</v>
      </c>
      <c r="N29" s="243"/>
      <c r="O29" s="517">
        <f t="shared" si="1"/>
        <v>12256.32</v>
      </c>
    </row>
    <row r="30" spans="1:15" ht="134.4" outlineLevel="3" x14ac:dyDescent="0.3">
      <c r="A30" s="35"/>
      <c r="B30" s="36"/>
      <c r="C30" s="495" t="s">
        <v>9741</v>
      </c>
      <c r="D30" s="249" t="s">
        <v>2618</v>
      </c>
      <c r="E30" s="248" t="str">
        <f>UPPER(IF($D30=0,"",IF($A30=4,_xlfn.XLOOKUP($D30,Mercado!$C:$C,Mercado!$E:$E),_xlfn.XLOOKUP($D30,Fontes!$B:$B,Fontes!$C:$C))))</f>
        <v>SETOP</v>
      </c>
      <c r="F30" s="327" t="s">
        <v>2626</v>
      </c>
      <c r="G30" s="249" t="str">
        <f>UPPER(IF($D30=0,"",IF($A30=4,_xlfn.XLOOKUP($D30,Mercado!$C:$C,Mercado!$G:$G),_xlfn.XLOOKUP($D30,Fontes!$B:$B,Fontes!$E:$E))))</f>
        <v>MÊS</v>
      </c>
      <c r="H30" s="252">
        <v>8</v>
      </c>
      <c r="I30" s="250">
        <f>IF($A30="M",_xlfn.XLOOKUP($D30,Mercado!$C:$C,Mercado!$I:$I),_xlfn.XLOOKUP($D30,Fontes!$B:$B,Fontes!$J:$J))</f>
        <v>964.37</v>
      </c>
      <c r="J30" s="250">
        <f>IF($A30="M",_xlfn.XLOOKUP($D30,Mercado!$C:$C,Mercado!$J:$J),_xlfn.XLOOKUP($D30,Fontes!$B:$B,Fontes!$H:$H))</f>
        <v>0.77</v>
      </c>
      <c r="K30" s="250">
        <f>IF($A30="M",0,_xlfn.XLOOKUP($D30,Fontes!$B:$B,Fontes!$I:$I))</f>
        <v>0</v>
      </c>
      <c r="L30" s="250">
        <f t="shared" si="2"/>
        <v>965.14</v>
      </c>
      <c r="M30" s="300">
        <f t="shared" si="4"/>
        <v>7721.12</v>
      </c>
      <c r="N30" s="243"/>
      <c r="O30" s="517">
        <f t="shared" si="1"/>
        <v>7721.12</v>
      </c>
    </row>
    <row r="31" spans="1:15" ht="38.4" outlineLevel="3" x14ac:dyDescent="0.3">
      <c r="A31" s="35"/>
      <c r="B31" s="36"/>
      <c r="C31" s="495" t="s">
        <v>9742</v>
      </c>
      <c r="D31" s="249" t="s">
        <v>849</v>
      </c>
      <c r="E31" s="248" t="str">
        <f>UPPER(IF($D31=0,"",IF($A31=4,_xlfn.XLOOKUP($D31,Mercado!$C:$C,Mercado!$E:$E),_xlfn.XLOOKUP($D31,Fontes!$B:$B,Fontes!$C:$C))))</f>
        <v>CPOS/CDHU</v>
      </c>
      <c r="F31" s="327" t="s">
        <v>3488</v>
      </c>
      <c r="G31" s="249" t="str">
        <f>UPPER(IF($D31=0,"",IF($A31=4,_xlfn.XLOOKUP($D31,Mercado!$C:$C,Mercado!$G:$G),_xlfn.XLOOKUP($D31,Fontes!$B:$B,Fontes!$E:$E))))</f>
        <v>UNMES</v>
      </c>
      <c r="H31" s="252">
        <v>8</v>
      </c>
      <c r="I31" s="250">
        <f>IF($A31="M",_xlfn.XLOOKUP($D31,Mercado!$C:$C,Mercado!$I:$I),_xlfn.XLOOKUP($D31,Fontes!$B:$B,Fontes!$J:$J))</f>
        <v>906.76</v>
      </c>
      <c r="J31" s="250">
        <f>IF($A31="M",_xlfn.XLOOKUP($D31,Mercado!$C:$C,Mercado!$J:$J),_xlfn.XLOOKUP($D31,Fontes!$B:$B,Fontes!$H:$H))</f>
        <v>92.75</v>
      </c>
      <c r="K31" s="250">
        <f>IF($A31="M",0,_xlfn.XLOOKUP($D31,Fontes!$B:$B,Fontes!$I:$I))</f>
        <v>0</v>
      </c>
      <c r="L31" s="250">
        <f t="shared" si="2"/>
        <v>999.51</v>
      </c>
      <c r="M31" s="300">
        <f t="shared" si="4"/>
        <v>7996.08</v>
      </c>
      <c r="N31" s="243"/>
      <c r="O31" s="517">
        <f t="shared" si="1"/>
        <v>7996.08</v>
      </c>
    </row>
    <row r="32" spans="1:15" outlineLevel="3" x14ac:dyDescent="0.3">
      <c r="A32" s="35"/>
      <c r="B32" s="36"/>
      <c r="C32" s="495" t="s">
        <v>9743</v>
      </c>
      <c r="D32" s="249" t="s">
        <v>1791</v>
      </c>
      <c r="E32" s="248" t="str">
        <f>UPPER(IF($D32=0,"",IF($A32=4,_xlfn.XLOOKUP($D32,Mercado!$C:$C,Mercado!$E:$E),_xlfn.XLOOKUP($D32,Fontes!$B:$B,Fontes!$C:$C))))</f>
        <v>CPOS/CDHU</v>
      </c>
      <c r="F32" s="327" t="s">
        <v>3489</v>
      </c>
      <c r="G32" s="249" t="str">
        <f>UPPER(IF($D32=0,"",IF($A32=4,_xlfn.XLOOKUP($D32,Mercado!$C:$C,Mercado!$G:$G),_xlfn.XLOOKUP($D32,Fontes!$B:$B,Fontes!$E:$E))))</f>
        <v>M²</v>
      </c>
      <c r="H32" s="252">
        <v>40</v>
      </c>
      <c r="I32" s="250">
        <f>IF($A32="M",_xlfn.XLOOKUP($D32,Mercado!$C:$C,Mercado!$I:$I),_xlfn.XLOOKUP($D32,Fontes!$B:$B,Fontes!$J:$J))</f>
        <v>48.89</v>
      </c>
      <c r="J32" s="250">
        <f>IF($A32="M",_xlfn.XLOOKUP($D32,Mercado!$C:$C,Mercado!$J:$J),_xlfn.XLOOKUP($D32,Fontes!$B:$B,Fontes!$H:$H))</f>
        <v>60.57</v>
      </c>
      <c r="K32" s="250">
        <f>IF($A32="M",0,_xlfn.XLOOKUP($D32,Fontes!$B:$B,Fontes!$I:$I))</f>
        <v>0</v>
      </c>
      <c r="L32" s="250">
        <f t="shared" si="2"/>
        <v>109.46000000000001</v>
      </c>
      <c r="M32" s="300">
        <f t="shared" si="4"/>
        <v>4378.3999999999996</v>
      </c>
      <c r="N32" s="243"/>
      <c r="O32" s="517">
        <f t="shared" si="1"/>
        <v>4378.3999999999996</v>
      </c>
    </row>
    <row r="33" spans="1:15" outlineLevel="3" x14ac:dyDescent="0.3">
      <c r="A33" s="35"/>
      <c r="B33" s="36"/>
      <c r="C33" s="495" t="s">
        <v>9744</v>
      </c>
      <c r="D33" s="249">
        <v>98459</v>
      </c>
      <c r="E33" s="248" t="str">
        <f>UPPER(IF($D33=0,"",IF($A33=4,_xlfn.XLOOKUP($D33,Mercado!$C:$C,Mercado!$E:$E),_xlfn.XLOOKUP($D33,Fontes!$B:$B,Fontes!$C:$C))))</f>
        <v>SINAPI</v>
      </c>
      <c r="F33" s="327" t="s">
        <v>191</v>
      </c>
      <c r="G33" s="249" t="str">
        <f>UPPER(IF($D33=0,"",IF($A33=4,_xlfn.XLOOKUP($D33,Mercado!$C:$C,Mercado!$G:$G),_xlfn.XLOOKUP($D33,Fontes!$B:$B,Fontes!$E:$E))))</f>
        <v>M²</v>
      </c>
      <c r="H33" s="252">
        <v>350</v>
      </c>
      <c r="I33" s="250">
        <f>IF($A33="M",_xlfn.XLOOKUP($D33,Mercado!$C:$C,Mercado!$I:$I),_xlfn.XLOOKUP($D33,Fontes!$B:$B,Fontes!$J:$J))</f>
        <v>61.99</v>
      </c>
      <c r="J33" s="250">
        <f>IF($A33="M",_xlfn.XLOOKUP($D33,Mercado!$C:$C,Mercado!$J:$J),_xlfn.XLOOKUP($D33,Fontes!$B:$B,Fontes!$H:$H))</f>
        <v>37.32</v>
      </c>
      <c r="K33" s="250">
        <f>IF($A33="M",0,_xlfn.XLOOKUP($D33,Fontes!$B:$B,Fontes!$I:$I))</f>
        <v>2.5299999999999998</v>
      </c>
      <c r="L33" s="250">
        <f t="shared" si="2"/>
        <v>101.84</v>
      </c>
      <c r="M33" s="300">
        <f t="shared" si="4"/>
        <v>35644</v>
      </c>
      <c r="N33" s="243"/>
      <c r="O33" s="517">
        <f t="shared" si="1"/>
        <v>35644</v>
      </c>
    </row>
    <row r="34" spans="1:15" ht="38.4" outlineLevel="3" x14ac:dyDescent="0.3">
      <c r="A34" s="35"/>
      <c r="B34" s="36"/>
      <c r="C34" s="495" t="s">
        <v>9745</v>
      </c>
      <c r="D34" s="249">
        <v>93582</v>
      </c>
      <c r="E34" s="248" t="str">
        <f>UPPER(IF($D34=0,"",IF($A34=4,_xlfn.XLOOKUP($D34,Mercado!$C:$C,Mercado!$E:$E),_xlfn.XLOOKUP($D34,Fontes!$B:$B,Fontes!$C:$C))))</f>
        <v>SINAPI</v>
      </c>
      <c r="F34" s="327" t="s">
        <v>12</v>
      </c>
      <c r="G34" s="249" t="str">
        <f>UPPER(IF($D34=0,"",IF($A34=4,_xlfn.XLOOKUP($D34,Mercado!$C:$C,Mercado!$G:$G),_xlfn.XLOOKUP($D34,Fontes!$B:$B,Fontes!$E:$E))))</f>
        <v>M²</v>
      </c>
      <c r="H34" s="252">
        <v>50</v>
      </c>
      <c r="I34" s="250">
        <f>IF($A34="M",_xlfn.XLOOKUP($D34,Mercado!$C:$C,Mercado!$I:$I),_xlfn.XLOOKUP($D34,Fontes!$B:$B,Fontes!$J:$J))</f>
        <v>243.47</v>
      </c>
      <c r="J34" s="250">
        <f>IF($A34="M",_xlfn.XLOOKUP($D34,Mercado!$C:$C,Mercado!$J:$J),_xlfn.XLOOKUP($D34,Fontes!$B:$B,Fontes!$H:$H))</f>
        <v>88.85</v>
      </c>
      <c r="K34" s="250">
        <f>IF($A34="M",0,_xlfn.XLOOKUP($D34,Fontes!$B:$B,Fontes!$I:$I))</f>
        <v>7.11</v>
      </c>
      <c r="L34" s="250">
        <f t="shared" si="2"/>
        <v>339.43</v>
      </c>
      <c r="M34" s="300">
        <f t="shared" si="4"/>
        <v>16971.5</v>
      </c>
      <c r="N34" s="243"/>
      <c r="O34" s="517">
        <f t="shared" si="1"/>
        <v>16971.5</v>
      </c>
    </row>
    <row r="35" spans="1:15" ht="57.6" outlineLevel="3" x14ac:dyDescent="0.3">
      <c r="A35" s="35"/>
      <c r="B35" s="36"/>
      <c r="C35" s="495" t="s">
        <v>9746</v>
      </c>
      <c r="D35" s="249">
        <v>93583</v>
      </c>
      <c r="E35" s="248" t="str">
        <f>UPPER(IF($D35=0,"",IF($A35=4,_xlfn.XLOOKUP($D35,Mercado!$C:$C,Mercado!$E:$E),_xlfn.XLOOKUP($D35,Fontes!$B:$B,Fontes!$C:$C))))</f>
        <v>SINAPI</v>
      </c>
      <c r="F35" s="327" t="s">
        <v>13</v>
      </c>
      <c r="G35" s="249" t="str">
        <f>UPPER(IF($D35=0,"",IF($A35=4,_xlfn.XLOOKUP($D35,Mercado!$C:$C,Mercado!$G:$G),_xlfn.XLOOKUP($D35,Fontes!$B:$B,Fontes!$E:$E))))</f>
        <v>M²</v>
      </c>
      <c r="H35" s="252">
        <v>50</v>
      </c>
      <c r="I35" s="250">
        <f>IF($A35="M",_xlfn.XLOOKUP($D35,Mercado!$C:$C,Mercado!$I:$I),_xlfn.XLOOKUP($D35,Fontes!$B:$B,Fontes!$J:$J))</f>
        <v>417.49</v>
      </c>
      <c r="J35" s="250">
        <f>IF($A35="M",_xlfn.XLOOKUP($D35,Mercado!$C:$C,Mercado!$J:$J),_xlfn.XLOOKUP($D35,Fontes!$B:$B,Fontes!$H:$H))</f>
        <v>146.9</v>
      </c>
      <c r="K35" s="250">
        <f>IF($A35="M",0,_xlfn.XLOOKUP($D35,Fontes!$B:$B,Fontes!$I:$I))</f>
        <v>12.05</v>
      </c>
      <c r="L35" s="250">
        <f t="shared" si="2"/>
        <v>576.43999999999994</v>
      </c>
      <c r="M35" s="300">
        <f t="shared" si="4"/>
        <v>28822</v>
      </c>
      <c r="N35" s="243"/>
      <c r="O35" s="517">
        <f t="shared" si="1"/>
        <v>28822</v>
      </c>
    </row>
    <row r="36" spans="1:15" outlineLevel="3" x14ac:dyDescent="0.3">
      <c r="A36" s="35"/>
      <c r="B36" s="36"/>
      <c r="C36" s="495" t="s">
        <v>9747</v>
      </c>
      <c r="D36" s="249">
        <v>12710</v>
      </c>
      <c r="E36" s="248" t="str">
        <f>UPPER(IF($D36=0,"",IF($A36=4,_xlfn.XLOOKUP($D36,Mercado!$C:$C,Mercado!$E:$E),_xlfn.XLOOKUP($D36,Fontes!$B:$B,Fontes!$C:$C))))</f>
        <v>SBC</v>
      </c>
      <c r="F36" s="327" t="s">
        <v>377</v>
      </c>
      <c r="G36" s="249" t="str">
        <f>UPPER(IF($D36=0,"",IF($A36=4,_xlfn.XLOOKUP($D36,Mercado!$C:$C,Mercado!$G:$G),_xlfn.XLOOKUP($D36,Fontes!$B:$B,Fontes!$E:$E))))</f>
        <v>MES</v>
      </c>
      <c r="H36" s="252">
        <v>4</v>
      </c>
      <c r="I36" s="250">
        <f>IF($A36="M",_xlfn.XLOOKUP($D36,Mercado!$C:$C,Mercado!$I:$I),_xlfn.XLOOKUP($D36,Fontes!$B:$B,Fontes!$J:$J))</f>
        <v>1308.24</v>
      </c>
      <c r="J36" s="250">
        <f>IF($A36="M",_xlfn.XLOOKUP($D36,Mercado!$C:$C,Mercado!$J:$J),_xlfn.XLOOKUP($D36,Fontes!$B:$B,Fontes!$H:$H))</f>
        <v>0</v>
      </c>
      <c r="K36" s="250">
        <f>IF($A36="M",0,_xlfn.XLOOKUP($D36,Fontes!$B:$B,Fontes!$I:$I))</f>
        <v>0</v>
      </c>
      <c r="L36" s="250">
        <f t="shared" si="2"/>
        <v>1308.24</v>
      </c>
      <c r="M36" s="300">
        <f t="shared" si="4"/>
        <v>5232.96</v>
      </c>
      <c r="N36" s="243"/>
      <c r="O36" s="517">
        <f t="shared" si="1"/>
        <v>5232.96</v>
      </c>
    </row>
    <row r="37" spans="1:15" ht="38.4" outlineLevel="3" x14ac:dyDescent="0.3">
      <c r="A37" s="35"/>
      <c r="B37" s="36"/>
      <c r="C37" s="495" t="s">
        <v>9748</v>
      </c>
      <c r="D37" s="249">
        <v>12661</v>
      </c>
      <c r="E37" s="248" t="str">
        <f>UPPER(IF($D37=0,"",IF($A37=4,_xlfn.XLOOKUP($D37,Mercado!$C:$C,Mercado!$E:$E),_xlfn.XLOOKUP($D37,Fontes!$B:$B,Fontes!$C:$C))))</f>
        <v>SBC</v>
      </c>
      <c r="F37" s="327" t="s">
        <v>3490</v>
      </c>
      <c r="G37" s="249" t="str">
        <f>UPPER(IF($D37=0,"",IF($A37=4,_xlfn.XLOOKUP($D37,Mercado!$C:$C,Mercado!$G:$G),_xlfn.XLOOKUP($D37,Fontes!$B:$B,Fontes!$E:$E))))</f>
        <v>M²</v>
      </c>
      <c r="H37" s="252">
        <v>1</v>
      </c>
      <c r="I37" s="250">
        <f>IF($A37="M",_xlfn.XLOOKUP($D37,Mercado!$C:$C,Mercado!$I:$I),_xlfn.XLOOKUP($D37,Fontes!$B:$B,Fontes!$J:$J))</f>
        <v>383.68</v>
      </c>
      <c r="J37" s="250">
        <f>IF($A37="M",_xlfn.XLOOKUP($D37,Mercado!$C:$C,Mercado!$J:$J),_xlfn.XLOOKUP($D37,Fontes!$B:$B,Fontes!$H:$H))</f>
        <v>1081.52</v>
      </c>
      <c r="K37" s="250">
        <f>IF($A37="M",0,_xlfn.XLOOKUP($D37,Fontes!$B:$B,Fontes!$I:$I))</f>
        <v>0</v>
      </c>
      <c r="L37" s="250">
        <f t="shared" si="2"/>
        <v>1465.2</v>
      </c>
      <c r="M37" s="300">
        <f t="shared" si="4"/>
        <v>1465.2</v>
      </c>
      <c r="N37" s="243"/>
      <c r="O37" s="517">
        <f t="shared" si="1"/>
        <v>1465.2</v>
      </c>
    </row>
    <row r="38" spans="1:15" outlineLevel="3" x14ac:dyDescent="0.3">
      <c r="A38" s="36" t="s">
        <v>7</v>
      </c>
      <c r="B38" s="36"/>
      <c r="C38" s="495" t="s">
        <v>781</v>
      </c>
      <c r="D38" s="249"/>
      <c r="E38" s="249" t="str">
        <f>UPPER(IF($D38=0,"",IF($A38=4,_xlfn.XLOOKUP($D38,Mercado!$C:$C,Mercado!$E:$E),_xlfn.XLOOKUP($D38,Fontes!$B:$B,Fontes!$C:$C))))</f>
        <v/>
      </c>
      <c r="F38" s="327" t="s">
        <v>781</v>
      </c>
      <c r="G38" s="249"/>
      <c r="H38" s="252"/>
      <c r="I38" s="252">
        <f>IF($A38="M",_xlfn.XLOOKUP($D38,Mercado!$C:$C,Mercado!$I:$I),_xlfn.XLOOKUP($D38,Fontes!$B:$B,Fontes!$J:$J))</f>
        <v>0</v>
      </c>
      <c r="J38" s="252">
        <f>IF($A38="M",_xlfn.XLOOKUP($D38,Mercado!$C:$C,Mercado!$J:$J),_xlfn.XLOOKUP($D38,Fontes!$B:$B,Fontes!$H:$H))</f>
        <v>0</v>
      </c>
      <c r="K38" s="252">
        <f>IF($A38="M",0,_xlfn.XLOOKUP($D38,Fontes!$B:$B,Fontes!$I:$I))</f>
        <v>0</v>
      </c>
      <c r="L38" s="250">
        <f t="shared" si="2"/>
        <v>0</v>
      </c>
      <c r="M38" s="300">
        <f t="shared" si="4"/>
        <v>0</v>
      </c>
      <c r="O38" s="517" t="str">
        <f t="shared" si="1"/>
        <v/>
      </c>
    </row>
    <row r="39" spans="1:15" outlineLevel="1" x14ac:dyDescent="0.3">
      <c r="A39" s="36"/>
      <c r="B39" s="36"/>
      <c r="C39" s="530" t="s">
        <v>3746</v>
      </c>
      <c r="D39" s="531"/>
      <c r="E39" s="531" t="str">
        <f>UPPER(IF($D39=0,"",IF($A39=4,_xlfn.XLOOKUP($D39,Mercado!$C:$C,Mercado!$E:$E),_xlfn.XLOOKUP($D39,Fontes!$B:$B,Fontes!$C:$C))))</f>
        <v/>
      </c>
      <c r="F39" s="532" t="s">
        <v>378</v>
      </c>
      <c r="G39" s="531"/>
      <c r="H39" s="535"/>
      <c r="I39" s="535">
        <f>IF($A39="M",_xlfn.XLOOKUP($D39,Mercado!$C:$C,Mercado!$I:$I),_xlfn.XLOOKUP($D39,Fontes!$B:$B,Fontes!$J:$J))</f>
        <v>0</v>
      </c>
      <c r="J39" s="535">
        <f>IF($A39="M",_xlfn.XLOOKUP($D39,Mercado!$C:$C,Mercado!$J:$J),_xlfn.XLOOKUP($D39,Fontes!$B:$B,Fontes!$H:$H))</f>
        <v>0</v>
      </c>
      <c r="K39" s="535">
        <f>IF($A39="M",0,_xlfn.XLOOKUP($D39,Fontes!$B:$B,Fontes!$I:$I))</f>
        <v>0</v>
      </c>
      <c r="L39" s="535">
        <f t="shared" si="2"/>
        <v>0</v>
      </c>
      <c r="M39" s="536">
        <f>SUBTOTAL(9,M40:M43)</f>
        <v>67217.27</v>
      </c>
      <c r="O39" s="517" t="str">
        <f t="shared" si="1"/>
        <v/>
      </c>
    </row>
    <row r="40" spans="1:15" ht="57.6" outlineLevel="3" x14ac:dyDescent="0.3">
      <c r="A40" s="35"/>
      <c r="B40" s="36"/>
      <c r="C40" s="495" t="s">
        <v>9749</v>
      </c>
      <c r="D40" s="480">
        <v>10527</v>
      </c>
      <c r="E40" s="248" t="str">
        <f>UPPER(IF($D40=0,"",IF($A40=4,_xlfn.XLOOKUP($D40,Mercado!$C:$C,Mercado!$E:$E),_xlfn.XLOOKUP($D40,Fontes!$B:$B,Fontes!$C:$C))))</f>
        <v>SINAPI</v>
      </c>
      <c r="F40" s="327" t="s">
        <v>2610</v>
      </c>
      <c r="G40" s="249" t="str">
        <f>UPPER(IF($D40=0,"",IF($A40=4,_xlfn.XLOOKUP($D40,Mercado!$C:$C,Mercado!$G:$G),_xlfn.XLOOKUP($D40,Fontes!$B:$B,Fontes!$E:$E))))</f>
        <v>MXMES</v>
      </c>
      <c r="H40" s="252">
        <f>10*10*8</f>
        <v>800</v>
      </c>
      <c r="I40" s="250">
        <f>IF($A40="M",_xlfn.XLOOKUP($D40,Mercado!$C:$C,Mercado!$I:$I),_xlfn.XLOOKUP($D40,Fontes!$B:$B,Fontes!$J:$J))</f>
        <v>0</v>
      </c>
      <c r="J40" s="250">
        <f>IF($A40="M",_xlfn.XLOOKUP($D40,Mercado!$C:$C,Mercado!$J:$J),_xlfn.XLOOKUP($D40,Fontes!$B:$B,Fontes!$H:$H))</f>
        <v>0</v>
      </c>
      <c r="K40" s="250">
        <f>IF($A40="M",0,_xlfn.XLOOKUP($D40,Fontes!$B:$B,Fontes!$I:$I))</f>
        <v>35</v>
      </c>
      <c r="L40" s="250">
        <f t="shared" si="2"/>
        <v>35</v>
      </c>
      <c r="M40" s="300">
        <f t="shared" ref="M40:M43" si="5">ROUND(H40*L40,2)</f>
        <v>28000</v>
      </c>
      <c r="N40" s="243"/>
      <c r="O40" s="517">
        <f t="shared" si="1"/>
        <v>28000</v>
      </c>
    </row>
    <row r="41" spans="1:15" ht="57.6" outlineLevel="3" x14ac:dyDescent="0.3">
      <c r="A41" s="35"/>
      <c r="B41" s="36"/>
      <c r="C41" s="495" t="s">
        <v>9750</v>
      </c>
      <c r="D41" s="249">
        <v>93243</v>
      </c>
      <c r="E41" s="248" t="str">
        <f>UPPER(IF($D41=0,"",IF($A41=4,_xlfn.XLOOKUP($D41,Mercado!$C:$C,Mercado!$E:$E),_xlfn.XLOOKUP($D41,Fontes!$B:$B,Fontes!$C:$C))))</f>
        <v>SINAPI</v>
      </c>
      <c r="F41" s="327" t="s">
        <v>190</v>
      </c>
      <c r="G41" s="249" t="str">
        <f>UPPER(IF($D41=0,"",IF($A41=4,_xlfn.XLOOKUP($D41,Mercado!$C:$C,Mercado!$G:$G),_xlfn.XLOOKUP($D41,Fontes!$B:$B,Fontes!$E:$E))))</f>
        <v>UN</v>
      </c>
      <c r="H41" s="252">
        <v>1</v>
      </c>
      <c r="I41" s="250">
        <f>IF($A41="M",_xlfn.XLOOKUP($D41,Mercado!$C:$C,Mercado!$I:$I),_xlfn.XLOOKUP($D41,Fontes!$B:$B,Fontes!$J:$J))</f>
        <v>9919.7800000000007</v>
      </c>
      <c r="J41" s="250">
        <f>IF($A41="M",_xlfn.XLOOKUP($D41,Mercado!$C:$C,Mercado!$J:$J),_xlfn.XLOOKUP($D41,Fontes!$B:$B,Fontes!$H:$H))</f>
        <v>3181.64</v>
      </c>
      <c r="K41" s="250">
        <f>IF($A41="M",0,_xlfn.XLOOKUP($D41,Fontes!$B:$B,Fontes!$I:$I))</f>
        <v>215.85</v>
      </c>
      <c r="L41" s="250">
        <f t="shared" si="2"/>
        <v>13317.27</v>
      </c>
      <c r="M41" s="300">
        <f t="shared" si="5"/>
        <v>13317.27</v>
      </c>
      <c r="N41" s="243"/>
      <c r="O41" s="517">
        <f t="shared" si="1"/>
        <v>13317.27</v>
      </c>
    </row>
    <row r="42" spans="1:15" outlineLevel="3" x14ac:dyDescent="0.3">
      <c r="A42" s="35"/>
      <c r="B42" s="36"/>
      <c r="C42" s="495" t="s">
        <v>9751</v>
      </c>
      <c r="D42" s="249">
        <v>210500</v>
      </c>
      <c r="E42" s="248" t="str">
        <f>UPPER(IF($D42=0,"",IF($A42=4,_xlfn.XLOOKUP($D42,Mercado!$C:$C,Mercado!$E:$E),_xlfn.XLOOKUP($D42,Fontes!$B:$B,Fontes!$C:$C))))</f>
        <v>SBC</v>
      </c>
      <c r="F42" s="327" t="s">
        <v>2632</v>
      </c>
      <c r="G42" s="249" t="str">
        <f>UPPER(IF($D42=0,"",IF($A42=4,_xlfn.XLOOKUP($D42,Mercado!$C:$C,Mercado!$G:$G),_xlfn.XLOOKUP($D42,Fontes!$B:$B,Fontes!$E:$E))))</f>
        <v>UN</v>
      </c>
      <c r="H42" s="252">
        <f>3500*0.1/5</f>
        <v>70</v>
      </c>
      <c r="I42" s="250">
        <f>IF($A42="M",_xlfn.XLOOKUP($D42,Mercado!$C:$C,Mercado!$I:$I),_xlfn.XLOOKUP($D42,Fontes!$B:$B,Fontes!$J:$J))</f>
        <v>370</v>
      </c>
      <c r="J42" s="250">
        <f>IF($A42="M",_xlfn.XLOOKUP($D42,Mercado!$C:$C,Mercado!$J:$J),_xlfn.XLOOKUP($D42,Fontes!$B:$B,Fontes!$H:$H))</f>
        <v>0</v>
      </c>
      <c r="K42" s="250">
        <f>IF($A42="M",0,_xlfn.XLOOKUP($D42,Fontes!$B:$B,Fontes!$I:$I))</f>
        <v>0</v>
      </c>
      <c r="L42" s="250">
        <f t="shared" si="2"/>
        <v>370</v>
      </c>
      <c r="M42" s="300">
        <f t="shared" si="5"/>
        <v>25900</v>
      </c>
      <c r="N42" s="243"/>
      <c r="O42" s="517">
        <f t="shared" si="1"/>
        <v>25900</v>
      </c>
    </row>
    <row r="43" spans="1:15" outlineLevel="3" x14ac:dyDescent="0.3">
      <c r="A43" s="36" t="s">
        <v>7</v>
      </c>
      <c r="B43" s="36"/>
      <c r="C43" s="495" t="s">
        <v>781</v>
      </c>
      <c r="D43" s="249"/>
      <c r="E43" s="249" t="str">
        <f>UPPER(IF($D43=0,"",IF($A43=4,_xlfn.XLOOKUP($D43,Mercado!$C:$C,Mercado!$E:$E),_xlfn.XLOOKUP($D43,Fontes!$B:$B,Fontes!$C:$C))))</f>
        <v/>
      </c>
      <c r="F43" s="327" t="s">
        <v>781</v>
      </c>
      <c r="G43" s="249"/>
      <c r="H43" s="252"/>
      <c r="I43" s="252">
        <f>IF($A43="M",_xlfn.XLOOKUP($D43,Mercado!$C:$C,Mercado!$I:$I),_xlfn.XLOOKUP($D43,Fontes!$B:$B,Fontes!$J:$J))</f>
        <v>0</v>
      </c>
      <c r="J43" s="252">
        <f>IF($A43="M",_xlfn.XLOOKUP($D43,Mercado!$C:$C,Mercado!$J:$J),_xlfn.XLOOKUP($D43,Fontes!$B:$B,Fontes!$H:$H))</f>
        <v>0</v>
      </c>
      <c r="K43" s="252">
        <f>IF($A43="M",0,_xlfn.XLOOKUP($D43,Fontes!$B:$B,Fontes!$I:$I))</f>
        <v>0</v>
      </c>
      <c r="L43" s="250">
        <f t="shared" si="2"/>
        <v>0</v>
      </c>
      <c r="M43" s="300">
        <f t="shared" si="5"/>
        <v>0</v>
      </c>
      <c r="O43" s="517" t="str">
        <f t="shared" si="1"/>
        <v/>
      </c>
    </row>
    <row r="44" spans="1:15" outlineLevel="1" x14ac:dyDescent="0.3">
      <c r="A44" s="36"/>
      <c r="B44" s="36"/>
      <c r="C44" s="530" t="s">
        <v>3747</v>
      </c>
      <c r="D44" s="531"/>
      <c r="E44" s="531" t="str">
        <f>UPPER(IF($D44=0,"",IF($A44=4,_xlfn.XLOOKUP($D44,Mercado!$C:$C,Mercado!$E:$E),_xlfn.XLOOKUP($D44,Fontes!$B:$B,Fontes!$C:$C))))</f>
        <v/>
      </c>
      <c r="F44" s="532" t="s">
        <v>2900</v>
      </c>
      <c r="G44" s="531"/>
      <c r="H44" s="535"/>
      <c r="I44" s="535">
        <f>IF($A44="M",_xlfn.XLOOKUP($D44,Mercado!$C:$C,Mercado!$I:$I),_xlfn.XLOOKUP($D44,Fontes!$B:$B,Fontes!$J:$J))</f>
        <v>0</v>
      </c>
      <c r="J44" s="535">
        <f>IF($A44="M",_xlfn.XLOOKUP($D44,Mercado!$C:$C,Mercado!$J:$J),_xlfn.XLOOKUP($D44,Fontes!$B:$B,Fontes!$H:$H))</f>
        <v>0</v>
      </c>
      <c r="K44" s="535">
        <f>IF($A44="M",0,_xlfn.XLOOKUP($D44,Fontes!$B:$B,Fontes!$I:$I))</f>
        <v>0</v>
      </c>
      <c r="L44" s="535">
        <f t="shared" si="2"/>
        <v>0</v>
      </c>
      <c r="M44" s="536">
        <f>SUBTOTAL(9,M45:M47)</f>
        <v>31798.799999999996</v>
      </c>
      <c r="O44" s="517" t="str">
        <f t="shared" si="1"/>
        <v/>
      </c>
    </row>
    <row r="45" spans="1:15" outlineLevel="3" x14ac:dyDescent="0.3">
      <c r="A45" s="35"/>
      <c r="B45" s="36"/>
      <c r="C45" s="495" t="s">
        <v>9752</v>
      </c>
      <c r="D45" s="249">
        <v>692</v>
      </c>
      <c r="E45" s="248" t="str">
        <f>UPPER(IF($D45=0,"",IF($A45=4,_xlfn.XLOOKUP($D45,Mercado!$C:$C,Mercado!$E:$E),_xlfn.XLOOKUP($D45,Fontes!$B:$B,Fontes!$C:$C))))</f>
        <v>PRÓPRIO</v>
      </c>
      <c r="F45" s="327" t="s">
        <v>2761</v>
      </c>
      <c r="G45" s="249" t="str">
        <f>UPPER(IF($D45=0,"",IF($A45=4,_xlfn.XLOOKUP($D45,Mercado!$C:$C,Mercado!$G:$G),_xlfn.XLOOKUP($D45,Fontes!$B:$B,Fontes!$E:$E))))</f>
        <v>CJ</v>
      </c>
      <c r="H45" s="252">
        <v>1</v>
      </c>
      <c r="I45" s="250">
        <f>IF($A45="M",_xlfn.XLOOKUP($D45,Mercado!$C:$C,Mercado!$I:$I),_xlfn.XLOOKUP($D45,Fontes!$B:$B,Fontes!$J:$J))</f>
        <v>10244.879999999999</v>
      </c>
      <c r="J45" s="250">
        <f>IF($A45="M",_xlfn.XLOOKUP($D45,Mercado!$C:$C,Mercado!$J:$J),_xlfn.XLOOKUP($D45,Fontes!$B:$B,Fontes!$H:$H))</f>
        <v>0</v>
      </c>
      <c r="K45" s="250">
        <f>IF($A45="M",0,_xlfn.XLOOKUP($D45,Fontes!$B:$B,Fontes!$I:$I))</f>
        <v>0</v>
      </c>
      <c r="L45" s="250">
        <f t="shared" si="2"/>
        <v>10244.879999999999</v>
      </c>
      <c r="M45" s="300">
        <f t="shared" ref="M45:M47" si="6">ROUND(H45*L45,2)</f>
        <v>10244.879999999999</v>
      </c>
      <c r="N45" s="243"/>
      <c r="O45" s="517">
        <f t="shared" si="1"/>
        <v>10244.879999999999</v>
      </c>
    </row>
    <row r="46" spans="1:15" ht="76.8" outlineLevel="3" x14ac:dyDescent="0.3">
      <c r="A46" s="35"/>
      <c r="B46" s="36"/>
      <c r="C46" s="495" t="s">
        <v>9753</v>
      </c>
      <c r="D46" s="249" t="s">
        <v>2770</v>
      </c>
      <c r="E46" s="248" t="str">
        <f>UPPER(IF($D46=0,"",IF($A46=4,_xlfn.XLOOKUP($D46,Mercado!$C:$C,Mercado!$E:$E),_xlfn.XLOOKUP($D46,Fontes!$B:$B,Fontes!$C:$C))))</f>
        <v>EMOP</v>
      </c>
      <c r="F46" s="327" t="s">
        <v>2767</v>
      </c>
      <c r="G46" s="249" t="str">
        <f>UPPER(IF($D46=0,"",IF($A46=4,_xlfn.XLOOKUP($D46,Mercado!$C:$C,Mercado!$G:$G),_xlfn.XLOOKUP($D46,Fontes!$B:$B,Fontes!$E:$E))))</f>
        <v>UR</v>
      </c>
      <c r="H46" s="252">
        <f>8*12*6</f>
        <v>576</v>
      </c>
      <c r="I46" s="250">
        <f>IF($A46="M",_xlfn.XLOOKUP($D46,Mercado!$C:$C,Mercado!$I:$I),_xlfn.XLOOKUP($D46,Fontes!$B:$B,Fontes!$J:$J))</f>
        <v>37.42</v>
      </c>
      <c r="J46" s="250">
        <f>IF($A46="M",_xlfn.XLOOKUP($D46,Mercado!$C:$C,Mercado!$J:$J),_xlfn.XLOOKUP($D46,Fontes!$B:$B,Fontes!$H:$H))</f>
        <v>0</v>
      </c>
      <c r="K46" s="250">
        <f>IF($A46="M",0,_xlfn.XLOOKUP($D46,Fontes!$B:$B,Fontes!$I:$I))</f>
        <v>0</v>
      </c>
      <c r="L46" s="250">
        <f t="shared" si="2"/>
        <v>37.42</v>
      </c>
      <c r="M46" s="300">
        <f t="shared" si="6"/>
        <v>21553.919999999998</v>
      </c>
      <c r="N46" s="243"/>
      <c r="O46" s="517">
        <f t="shared" si="1"/>
        <v>21553.919999999998</v>
      </c>
    </row>
    <row r="47" spans="1:15" outlineLevel="3" x14ac:dyDescent="0.3">
      <c r="A47" s="36" t="s">
        <v>7</v>
      </c>
      <c r="B47" s="36"/>
      <c r="C47" s="495" t="s">
        <v>781</v>
      </c>
      <c r="D47" s="249"/>
      <c r="E47" s="249" t="str">
        <f>UPPER(IF($D47=0,"",IF($A47=4,_xlfn.XLOOKUP($D47,Mercado!$C:$C,Mercado!$E:$E),_xlfn.XLOOKUP($D47,Fontes!$B:$B,Fontes!$C:$C))))</f>
        <v/>
      </c>
      <c r="F47" s="327" t="s">
        <v>781</v>
      </c>
      <c r="G47" s="249"/>
      <c r="H47" s="252"/>
      <c r="I47" s="252">
        <f>IF($A47="M",_xlfn.XLOOKUP($D47,Mercado!$C:$C,Mercado!$I:$I),_xlfn.XLOOKUP($D47,Fontes!$B:$B,Fontes!$J:$J))</f>
        <v>0</v>
      </c>
      <c r="J47" s="252">
        <f>IF($A47="M",_xlfn.XLOOKUP($D47,Mercado!$C:$C,Mercado!$J:$J),_xlfn.XLOOKUP($D47,Fontes!$B:$B,Fontes!$H:$H))</f>
        <v>0</v>
      </c>
      <c r="K47" s="252">
        <f>IF($A47="M",0,_xlfn.XLOOKUP($D47,Fontes!$B:$B,Fontes!$I:$I))</f>
        <v>0</v>
      </c>
      <c r="L47" s="250">
        <f t="shared" si="2"/>
        <v>0</v>
      </c>
      <c r="M47" s="300">
        <f t="shared" si="6"/>
        <v>0</v>
      </c>
      <c r="O47" s="517" t="str">
        <f t="shared" si="1"/>
        <v/>
      </c>
    </row>
    <row r="48" spans="1:15" outlineLevel="1" x14ac:dyDescent="0.3">
      <c r="A48" s="36"/>
      <c r="B48" s="36"/>
      <c r="C48" s="530" t="s">
        <v>3748</v>
      </c>
      <c r="D48" s="531"/>
      <c r="E48" s="531" t="str">
        <f>UPPER(IF($D48=0,"",IF($A48=4,_xlfn.XLOOKUP($D48,Mercado!$C:$C,Mercado!$E:$E),_xlfn.XLOOKUP($D48,Fontes!$B:$B,Fontes!$C:$C))))</f>
        <v/>
      </c>
      <c r="F48" s="532" t="s">
        <v>3460</v>
      </c>
      <c r="G48" s="531"/>
      <c r="H48" s="535"/>
      <c r="I48" s="535">
        <f>IF($A48="M",_xlfn.XLOOKUP($D48,Mercado!$C:$C,Mercado!$I:$I),_xlfn.XLOOKUP($D48,Fontes!$B:$B,Fontes!$J:$J))</f>
        <v>0</v>
      </c>
      <c r="J48" s="535">
        <f>IF($A48="M",_xlfn.XLOOKUP($D48,Mercado!$C:$C,Mercado!$J:$J),_xlfn.XLOOKUP($D48,Fontes!$B:$B,Fontes!$H:$H))</f>
        <v>0</v>
      </c>
      <c r="K48" s="535">
        <f>IF($A48="M",0,_xlfn.XLOOKUP($D48,Fontes!$B:$B,Fontes!$I:$I))</f>
        <v>0</v>
      </c>
      <c r="L48" s="535">
        <f t="shared" si="2"/>
        <v>0</v>
      </c>
      <c r="M48" s="536">
        <f>SUBTOTAL(9,M49:M60)</f>
        <v>768082.77</v>
      </c>
      <c r="O48" s="517" t="str">
        <f t="shared" si="1"/>
        <v/>
      </c>
    </row>
    <row r="49" spans="1:15" ht="38.4" outlineLevel="3" x14ac:dyDescent="0.3">
      <c r="A49" s="35"/>
      <c r="B49" s="36"/>
      <c r="C49" s="495" t="s">
        <v>9754</v>
      </c>
      <c r="D49" s="249" t="s">
        <v>5833</v>
      </c>
      <c r="E49" s="248" t="str">
        <f>UPPER(IF($D49=0,"",IF($A49=4,_xlfn.XLOOKUP($D49,Mercado!$C:$C,Mercado!$E:$E),_xlfn.XLOOKUP($D49,Fontes!$B:$B,Fontes!$C:$C))))</f>
        <v>CPOS/CDHU</v>
      </c>
      <c r="F49" s="328" t="s">
        <v>5890</v>
      </c>
      <c r="G49" s="249" t="str">
        <f>UPPER(IF($D49=0,"",IF($A49=4,_xlfn.XLOOKUP($D49,Mercado!$C:$C,Mercado!$G:$G),_xlfn.XLOOKUP($D49,Fontes!$B:$B,Fontes!$E:$E))))</f>
        <v>M³</v>
      </c>
      <c r="H49" s="439">
        <v>206.94</v>
      </c>
      <c r="I49" s="250">
        <f>IF($A49="M",_xlfn.XLOOKUP($D49,Mercado!$C:$C,Mercado!$I:$I),_xlfn.XLOOKUP($D49,Fontes!$B:$B,Fontes!$J:$J))</f>
        <v>184.73</v>
      </c>
      <c r="J49" s="250">
        <f>IF($A49="M",_xlfn.XLOOKUP($D49,Mercado!$C:$C,Mercado!$J:$J),_xlfn.XLOOKUP($D49,Fontes!$B:$B,Fontes!$H:$H))</f>
        <v>90.84</v>
      </c>
      <c r="K49" s="250">
        <f>IF($A49="M",0,_xlfn.XLOOKUP($D49,Fontes!$B:$B,Fontes!$I:$I))</f>
        <v>0</v>
      </c>
      <c r="L49" s="250">
        <f t="shared" si="2"/>
        <v>275.57</v>
      </c>
      <c r="M49" s="300">
        <f t="shared" ref="M49:M60" si="7">ROUND(H49*L49,2)</f>
        <v>57026.46</v>
      </c>
      <c r="N49" s="243"/>
      <c r="O49" s="517">
        <f t="shared" si="1"/>
        <v>57026.46</v>
      </c>
    </row>
    <row r="50" spans="1:15" ht="57.6" outlineLevel="3" x14ac:dyDescent="0.3">
      <c r="A50" s="35"/>
      <c r="B50" s="36"/>
      <c r="C50" s="495" t="s">
        <v>9755</v>
      </c>
      <c r="D50" s="249">
        <v>97627</v>
      </c>
      <c r="E50" s="248" t="str">
        <f>UPPER(IF($D50=0,"",IF($A50=4,_xlfn.XLOOKUP($D50,Mercado!$C:$C,Mercado!$E:$E),_xlfn.XLOOKUP($D50,Fontes!$B:$B,Fontes!$C:$C))))</f>
        <v>SINAPI</v>
      </c>
      <c r="F50" s="328" t="s">
        <v>222</v>
      </c>
      <c r="G50" s="249" t="str">
        <f>UPPER(IF($D50=0,"",IF($A50=4,_xlfn.XLOOKUP($D50,Mercado!$C:$C,Mercado!$G:$G),_xlfn.XLOOKUP($D50,Fontes!$B:$B,Fontes!$E:$E))))</f>
        <v>M³</v>
      </c>
      <c r="H50" s="439">
        <v>724.41</v>
      </c>
      <c r="I50" s="250">
        <f>IF($A50="M",_xlfn.XLOOKUP($D50,Mercado!$C:$C,Mercado!$I:$I),_xlfn.XLOOKUP($D50,Fontes!$B:$B,Fontes!$J:$J))</f>
        <v>63.78</v>
      </c>
      <c r="J50" s="250">
        <f>IF($A50="M",_xlfn.XLOOKUP($D50,Mercado!$C:$C,Mercado!$J:$J),_xlfn.XLOOKUP($D50,Fontes!$B:$B,Fontes!$H:$H))</f>
        <v>209.42</v>
      </c>
      <c r="K50" s="250">
        <f>IF($A50="M",0,_xlfn.XLOOKUP($D50,Fontes!$B:$B,Fontes!$I:$I))</f>
        <v>18.05</v>
      </c>
      <c r="L50" s="250">
        <f t="shared" si="2"/>
        <v>291.25</v>
      </c>
      <c r="M50" s="300">
        <f t="shared" si="7"/>
        <v>210984.41</v>
      </c>
      <c r="N50" s="243"/>
      <c r="O50" s="517">
        <f t="shared" si="1"/>
        <v>210984.41</v>
      </c>
    </row>
    <row r="51" spans="1:15" ht="38.4" outlineLevel="3" x14ac:dyDescent="0.3">
      <c r="A51" s="35"/>
      <c r="B51" s="36"/>
      <c r="C51" s="495" t="s">
        <v>9756</v>
      </c>
      <c r="D51" s="249">
        <v>97625</v>
      </c>
      <c r="E51" s="248" t="str">
        <f>UPPER(IF($D51=0,"",IF($A51=4,_xlfn.XLOOKUP($D51,Mercado!$C:$C,Mercado!$E:$E),_xlfn.XLOOKUP($D51,Fontes!$B:$B,Fontes!$C:$C))))</f>
        <v>SINAPI</v>
      </c>
      <c r="F51" s="328" t="s">
        <v>221</v>
      </c>
      <c r="G51" s="249" t="str">
        <f>UPPER(IF($D51=0,"",IF($A51=4,_xlfn.XLOOKUP($D51,Mercado!$C:$C,Mercado!$G:$G),_xlfn.XLOOKUP($D51,Fontes!$B:$B,Fontes!$E:$E))))</f>
        <v>M³</v>
      </c>
      <c r="H51" s="439">
        <v>619.62</v>
      </c>
      <c r="I51" s="250">
        <f>IF($A51="M",_xlfn.XLOOKUP($D51,Mercado!$C:$C,Mercado!$I:$I),_xlfn.XLOOKUP($D51,Fontes!$B:$B,Fontes!$J:$J))</f>
        <v>15.97</v>
      </c>
      <c r="J51" s="250">
        <f>IF($A51="M",_xlfn.XLOOKUP($D51,Mercado!$C:$C,Mercado!$J:$J),_xlfn.XLOOKUP($D51,Fontes!$B:$B,Fontes!$H:$H))</f>
        <v>11.1</v>
      </c>
      <c r="K51" s="250">
        <f>IF($A51="M",0,_xlfn.XLOOKUP($D51,Fontes!$B:$B,Fontes!$I:$I))</f>
        <v>37.96</v>
      </c>
      <c r="L51" s="250">
        <f t="shared" si="2"/>
        <v>65.03</v>
      </c>
      <c r="M51" s="300">
        <f t="shared" si="7"/>
        <v>40293.89</v>
      </c>
      <c r="N51" s="243"/>
      <c r="O51" s="517">
        <f t="shared" si="1"/>
        <v>40293.89</v>
      </c>
    </row>
    <row r="52" spans="1:15" ht="38.4" outlineLevel="3" x14ac:dyDescent="0.3">
      <c r="A52" s="35"/>
      <c r="B52" s="36"/>
      <c r="C52" s="495" t="s">
        <v>9757</v>
      </c>
      <c r="D52" s="249">
        <v>97645</v>
      </c>
      <c r="E52" s="248" t="str">
        <f>UPPER(IF($D52=0,"",IF($A52=4,_xlfn.XLOOKUP($D52,Mercado!$C:$C,Mercado!$E:$E),_xlfn.XLOOKUP($D52,Fontes!$B:$B,Fontes!$C:$C))))</f>
        <v>SINAPI</v>
      </c>
      <c r="F52" s="328" t="s">
        <v>223</v>
      </c>
      <c r="G52" s="249" t="str">
        <f>UPPER(IF($D52=0,"",IF($A52=4,_xlfn.XLOOKUP($D52,Mercado!$C:$C,Mercado!$G:$G),_xlfn.XLOOKUP($D52,Fontes!$B:$B,Fontes!$E:$E))))</f>
        <v>M²</v>
      </c>
      <c r="H52" s="439">
        <v>96</v>
      </c>
      <c r="I52" s="250">
        <f>IF($A52="M",_xlfn.XLOOKUP($D52,Mercado!$C:$C,Mercado!$I:$I),_xlfn.XLOOKUP($D52,Fontes!$B:$B,Fontes!$J:$J))</f>
        <v>8.4499999999999993</v>
      </c>
      <c r="J52" s="250">
        <f>IF($A52="M",_xlfn.XLOOKUP($D52,Mercado!$C:$C,Mercado!$J:$J),_xlfn.XLOOKUP($D52,Fontes!$B:$B,Fontes!$H:$H))</f>
        <v>26.88</v>
      </c>
      <c r="K52" s="250">
        <f>IF($A52="M",0,_xlfn.XLOOKUP($D52,Fontes!$B:$B,Fontes!$I:$I))</f>
        <v>2.52</v>
      </c>
      <c r="L52" s="250">
        <f t="shared" si="2"/>
        <v>37.85</v>
      </c>
      <c r="M52" s="300">
        <f t="shared" si="7"/>
        <v>3633.6</v>
      </c>
      <c r="N52" s="243"/>
      <c r="O52" s="517">
        <f t="shared" si="1"/>
        <v>3633.6</v>
      </c>
    </row>
    <row r="53" spans="1:15" ht="38.4" outlineLevel="3" x14ac:dyDescent="0.3">
      <c r="A53" s="35"/>
      <c r="B53" s="36"/>
      <c r="C53" s="495" t="s">
        <v>9758</v>
      </c>
      <c r="D53" s="249">
        <v>97644</v>
      </c>
      <c r="E53" s="248" t="str">
        <f>UPPER(IF($D53=0,"",IF($A53=4,_xlfn.XLOOKUP($D53,Mercado!$C:$C,Mercado!$E:$E),_xlfn.XLOOKUP($D53,Fontes!$B:$B,Fontes!$C:$C))))</f>
        <v>SINAPI</v>
      </c>
      <c r="F53" s="328" t="s">
        <v>175</v>
      </c>
      <c r="G53" s="249" t="str">
        <f>UPPER(IF($D53=0,"",IF($A53=4,_xlfn.XLOOKUP($D53,Mercado!$C:$C,Mercado!$G:$G),_xlfn.XLOOKUP($D53,Fontes!$B:$B,Fontes!$E:$E))))</f>
        <v>M²</v>
      </c>
      <c r="H53" s="439">
        <v>165.9</v>
      </c>
      <c r="I53" s="250">
        <f>IF($A53="M",_xlfn.XLOOKUP($D53,Mercado!$C:$C,Mercado!$I:$I),_xlfn.XLOOKUP($D53,Fontes!$B:$B,Fontes!$J:$J))</f>
        <v>3.27</v>
      </c>
      <c r="J53" s="250">
        <f>IF($A53="M",_xlfn.XLOOKUP($D53,Mercado!$C:$C,Mercado!$J:$J),_xlfn.XLOOKUP($D53,Fontes!$B:$B,Fontes!$H:$H))</f>
        <v>10.41</v>
      </c>
      <c r="K53" s="250">
        <f>IF($A53="M",0,_xlfn.XLOOKUP($D53,Fontes!$B:$B,Fontes!$I:$I))</f>
        <v>0.98</v>
      </c>
      <c r="L53" s="250">
        <f t="shared" si="2"/>
        <v>14.66</v>
      </c>
      <c r="M53" s="300">
        <f t="shared" si="7"/>
        <v>2432.09</v>
      </c>
      <c r="N53" s="243"/>
      <c r="O53" s="517">
        <f t="shared" si="1"/>
        <v>2432.09</v>
      </c>
    </row>
    <row r="54" spans="1:15" ht="38.4" outlineLevel="3" x14ac:dyDescent="0.3">
      <c r="A54" s="35"/>
      <c r="B54" s="36"/>
      <c r="C54" s="495" t="s">
        <v>9759</v>
      </c>
      <c r="D54" s="249">
        <v>97663</v>
      </c>
      <c r="E54" s="248" t="str">
        <f>UPPER(IF($D54=0,"",IF($A54=4,_xlfn.XLOOKUP($D54,Mercado!$C:$C,Mercado!$E:$E),_xlfn.XLOOKUP($D54,Fontes!$B:$B,Fontes!$C:$C))))</f>
        <v>SINAPI</v>
      </c>
      <c r="F54" s="328" t="s">
        <v>176</v>
      </c>
      <c r="G54" s="249" t="str">
        <f>UPPER(IF($D54=0,"",IF($A54=4,_xlfn.XLOOKUP($D54,Mercado!$C:$C,Mercado!$G:$G),_xlfn.XLOOKUP($D54,Fontes!$B:$B,Fontes!$E:$E))))</f>
        <v>UN</v>
      </c>
      <c r="H54" s="439">
        <v>40</v>
      </c>
      <c r="I54" s="250">
        <f>IF($A54="M",_xlfn.XLOOKUP($D54,Mercado!$C:$C,Mercado!$I:$I),_xlfn.XLOOKUP($D54,Fontes!$B:$B,Fontes!$J:$J))</f>
        <v>4.3600000000000003</v>
      </c>
      <c r="J54" s="250">
        <f>IF($A54="M",_xlfn.XLOOKUP($D54,Mercado!$C:$C,Mercado!$J:$J),_xlfn.XLOOKUP($D54,Fontes!$B:$B,Fontes!$H:$H))</f>
        <v>13.69</v>
      </c>
      <c r="K54" s="250">
        <f>IF($A54="M",0,_xlfn.XLOOKUP($D54,Fontes!$B:$B,Fontes!$I:$I))</f>
        <v>1.23</v>
      </c>
      <c r="L54" s="250">
        <f t="shared" si="2"/>
        <v>19.28</v>
      </c>
      <c r="M54" s="300">
        <f t="shared" si="7"/>
        <v>771.2</v>
      </c>
      <c r="N54" s="243"/>
      <c r="O54" s="517">
        <f t="shared" si="1"/>
        <v>771.2</v>
      </c>
    </row>
    <row r="55" spans="1:15" ht="57.6" outlineLevel="3" x14ac:dyDescent="0.3">
      <c r="A55" s="35"/>
      <c r="B55" s="36"/>
      <c r="C55" s="495" t="s">
        <v>9760</v>
      </c>
      <c r="D55" s="249">
        <v>22224</v>
      </c>
      <c r="E55" s="248" t="str">
        <f>UPPER(IF($D55=0,"",IF($A55=4,_xlfn.XLOOKUP($D55,Mercado!$C:$C,Mercado!$E:$E),_xlfn.XLOOKUP($D55,Fontes!$B:$B,Fontes!$C:$C))))</f>
        <v>SBC</v>
      </c>
      <c r="F55" s="328" t="s">
        <v>224</v>
      </c>
      <c r="G55" s="249" t="str">
        <f>UPPER(IF($D55=0,"",IF($A55=4,_xlfn.XLOOKUP($D55,Mercado!$C:$C,Mercado!$G:$G),_xlfn.XLOOKUP($D55,Fontes!$B:$B,Fontes!$E:$E))))</f>
        <v>M²</v>
      </c>
      <c r="H55" s="439">
        <v>1199.94</v>
      </c>
      <c r="I55" s="250">
        <f>IF($A55="M",_xlfn.XLOOKUP($D55,Mercado!$C:$C,Mercado!$I:$I),_xlfn.XLOOKUP($D55,Fontes!$B:$B,Fontes!$J:$J))</f>
        <v>7.29</v>
      </c>
      <c r="J55" s="250">
        <f>IF($A55="M",_xlfn.XLOOKUP($D55,Mercado!$C:$C,Mercado!$J:$J),_xlfn.XLOOKUP($D55,Fontes!$B:$B,Fontes!$H:$H))</f>
        <v>23.84</v>
      </c>
      <c r="K55" s="250">
        <f>IF($A55="M",0,_xlfn.XLOOKUP($D55,Fontes!$B:$B,Fontes!$I:$I))</f>
        <v>2.1800000000000002</v>
      </c>
      <c r="L55" s="250">
        <f t="shared" si="2"/>
        <v>33.31</v>
      </c>
      <c r="M55" s="300">
        <f t="shared" si="7"/>
        <v>39970</v>
      </c>
      <c r="N55" s="243"/>
      <c r="O55" s="517">
        <f t="shared" si="1"/>
        <v>39970</v>
      </c>
    </row>
    <row r="56" spans="1:15" ht="38.4" outlineLevel="3" x14ac:dyDescent="0.3">
      <c r="A56" s="35"/>
      <c r="B56" s="36"/>
      <c r="C56" s="495" t="s">
        <v>9761</v>
      </c>
      <c r="D56" s="249">
        <v>22106</v>
      </c>
      <c r="E56" s="248" t="str">
        <f>UPPER(IF($D56=0,"",IF($A56=4,_xlfn.XLOOKUP($D56,Mercado!$C:$C,Mercado!$E:$E),_xlfn.XLOOKUP($D56,Fontes!$B:$B,Fontes!$C:$C))))</f>
        <v>SBC</v>
      </c>
      <c r="F56" s="328" t="s">
        <v>225</v>
      </c>
      <c r="G56" s="249" t="str">
        <f>UPPER(IF($D56=0,"",IF($A56=4,_xlfn.XLOOKUP($D56,Mercado!$C:$C,Mercado!$G:$G),_xlfn.XLOOKUP($D56,Fontes!$B:$B,Fontes!$E:$E))))</f>
        <v>M²</v>
      </c>
      <c r="H56" s="439">
        <v>1199.94</v>
      </c>
      <c r="I56" s="250">
        <f>IF($A56="M",_xlfn.XLOOKUP($D56,Mercado!$C:$C,Mercado!$I:$I),_xlfn.XLOOKUP($D56,Fontes!$B:$B,Fontes!$J:$J))</f>
        <v>8.19</v>
      </c>
      <c r="J56" s="250">
        <f>IF($A56="M",_xlfn.XLOOKUP($D56,Mercado!$C:$C,Mercado!$J:$J),_xlfn.XLOOKUP($D56,Fontes!$B:$B,Fontes!$H:$H))</f>
        <v>26.05</v>
      </c>
      <c r="K56" s="250">
        <f>IF($A56="M",0,_xlfn.XLOOKUP($D56,Fontes!$B:$B,Fontes!$I:$I))</f>
        <v>2.35</v>
      </c>
      <c r="L56" s="250">
        <f t="shared" si="2"/>
        <v>36.590000000000003</v>
      </c>
      <c r="M56" s="300">
        <f t="shared" si="7"/>
        <v>43905.8</v>
      </c>
      <c r="N56" s="243"/>
      <c r="O56" s="517">
        <f t="shared" si="1"/>
        <v>43905.8</v>
      </c>
    </row>
    <row r="57" spans="1:15" ht="38.4" outlineLevel="3" x14ac:dyDescent="0.3">
      <c r="A57" s="35"/>
      <c r="B57" s="36"/>
      <c r="C57" s="495" t="s">
        <v>9762</v>
      </c>
      <c r="D57" s="249" t="s">
        <v>3465</v>
      </c>
      <c r="E57" s="248" t="str">
        <f>UPPER(IF($D57=0,"",IF($A57=4,_xlfn.XLOOKUP($D57,Mercado!$C:$C,Mercado!$E:$E),_xlfn.XLOOKUP($D57,Fontes!$B:$B,Fontes!$C:$C))))</f>
        <v>CPOS/CDHU</v>
      </c>
      <c r="F57" s="328" t="s">
        <v>5891</v>
      </c>
      <c r="G57" s="249" t="str">
        <f>UPPER(IF($D57=0,"",IF($A57=4,_xlfn.XLOOKUP($D57,Mercado!$C:$C,Mercado!$G:$G),_xlfn.XLOOKUP($D57,Fontes!$B:$B,Fontes!$E:$E))))</f>
        <v>T</v>
      </c>
      <c r="H57" s="439">
        <v>2372.19</v>
      </c>
      <c r="I57" s="250">
        <f>IF($A57="M",_xlfn.XLOOKUP($D57,Mercado!$C:$C,Mercado!$I:$I),_xlfn.XLOOKUP($D57,Fontes!$B:$B,Fontes!$J:$J))</f>
        <v>48.06</v>
      </c>
      <c r="J57" s="250">
        <f>IF($A57="M",_xlfn.XLOOKUP($D57,Mercado!$C:$C,Mercado!$J:$J),_xlfn.XLOOKUP($D57,Fontes!$B:$B,Fontes!$H:$H))</f>
        <v>0</v>
      </c>
      <c r="K57" s="250">
        <f>IF($A57="M",0,_xlfn.XLOOKUP($D57,Fontes!$B:$B,Fontes!$I:$I))</f>
        <v>0</v>
      </c>
      <c r="L57" s="250">
        <f t="shared" si="2"/>
        <v>48.06</v>
      </c>
      <c r="M57" s="300">
        <f t="shared" si="7"/>
        <v>114007.45</v>
      </c>
      <c r="N57" s="243"/>
      <c r="O57" s="517">
        <f t="shared" si="1"/>
        <v>114007.45</v>
      </c>
    </row>
    <row r="58" spans="1:15" ht="76.8" outlineLevel="3" x14ac:dyDescent="0.3">
      <c r="A58" s="35"/>
      <c r="B58" s="36"/>
      <c r="C58" s="495" t="s">
        <v>9763</v>
      </c>
      <c r="D58" s="249">
        <v>100981</v>
      </c>
      <c r="E58" s="248" t="str">
        <f>UPPER(IF($D58=0,"",IF($A58=4,_xlfn.XLOOKUP($D58,Mercado!$C:$C,Mercado!$E:$E),_xlfn.XLOOKUP($D58,Fontes!$B:$B,Fontes!$C:$C))))</f>
        <v>SINAPI</v>
      </c>
      <c r="F58" s="328" t="s">
        <v>295</v>
      </c>
      <c r="G58" s="249" t="str">
        <f>UPPER(IF($D58=0,"",IF($A58=4,_xlfn.XLOOKUP($D58,Mercado!$C:$C,Mercado!$G:$G),_xlfn.XLOOKUP($D58,Fontes!$B:$B,Fontes!$E:$E))))</f>
        <v>M³</v>
      </c>
      <c r="H58" s="439">
        <f>+H57</f>
        <v>2372.19</v>
      </c>
      <c r="I58" s="250">
        <f>IF($A58="M",_xlfn.XLOOKUP($D58,Mercado!$C:$C,Mercado!$I:$I),_xlfn.XLOOKUP($D58,Fontes!$B:$B,Fontes!$J:$J))</f>
        <v>4.1399999999999997</v>
      </c>
      <c r="J58" s="250">
        <f>IF($A58="M",_xlfn.XLOOKUP($D58,Mercado!$C:$C,Mercado!$J:$J),_xlfn.XLOOKUP($D58,Fontes!$B:$B,Fontes!$H:$H))</f>
        <v>3.06</v>
      </c>
      <c r="K58" s="250">
        <f>IF($A58="M",0,_xlfn.XLOOKUP($D58,Fontes!$B:$B,Fontes!$I:$I))</f>
        <v>4.32</v>
      </c>
      <c r="L58" s="250">
        <f t="shared" si="2"/>
        <v>11.52</v>
      </c>
      <c r="M58" s="300">
        <f t="shared" si="7"/>
        <v>27327.63</v>
      </c>
      <c r="N58" s="243"/>
      <c r="O58" s="517">
        <f t="shared" si="1"/>
        <v>27327.63</v>
      </c>
    </row>
    <row r="59" spans="1:15" ht="57.6" outlineLevel="3" x14ac:dyDescent="0.3">
      <c r="A59" s="35"/>
      <c r="B59" s="36"/>
      <c r="C59" s="495" t="s">
        <v>9764</v>
      </c>
      <c r="D59" s="249">
        <v>95875</v>
      </c>
      <c r="E59" s="248" t="str">
        <f>UPPER(IF($D59=0,"",IF($A59=4,_xlfn.XLOOKUP($D59,Mercado!$C:$C,Mercado!$E:$E),_xlfn.XLOOKUP($D59,Fontes!$B:$B,Fontes!$C:$C))))</f>
        <v>SINAPI</v>
      </c>
      <c r="F59" s="328" t="s">
        <v>294</v>
      </c>
      <c r="G59" s="249" t="str">
        <f>UPPER(IF($D59=0,"",IF($A59=4,_xlfn.XLOOKUP($D59,Mercado!$C:$C,Mercado!$G:$G),_xlfn.XLOOKUP($D59,Fontes!$B:$B,Fontes!$E:$E))))</f>
        <v>M3XKM</v>
      </c>
      <c r="H59" s="439">
        <f>+H58*30</f>
        <v>71165.7</v>
      </c>
      <c r="I59" s="250">
        <f>IF($A59="M",_xlfn.XLOOKUP($D59,Mercado!$C:$C,Mercado!$I:$I),_xlfn.XLOOKUP($D59,Fontes!$B:$B,Fontes!$J:$J))</f>
        <v>1.68</v>
      </c>
      <c r="J59" s="250">
        <f>IF($A59="M",_xlfn.XLOOKUP($D59,Mercado!$C:$C,Mercado!$J:$J),_xlfn.XLOOKUP($D59,Fontes!$B:$B,Fontes!$H:$H))</f>
        <v>0.6</v>
      </c>
      <c r="K59" s="250">
        <f>IF($A59="M",0,_xlfn.XLOOKUP($D59,Fontes!$B:$B,Fontes!$I:$I))</f>
        <v>0.92</v>
      </c>
      <c r="L59" s="250">
        <f t="shared" si="2"/>
        <v>3.1999999999999997</v>
      </c>
      <c r="M59" s="300">
        <f t="shared" si="7"/>
        <v>227730.24</v>
      </c>
      <c r="N59" s="243"/>
      <c r="O59" s="517">
        <f t="shared" si="1"/>
        <v>227730.24</v>
      </c>
    </row>
    <row r="60" spans="1:15" outlineLevel="3" x14ac:dyDescent="0.3">
      <c r="A60" s="36" t="s">
        <v>7</v>
      </c>
      <c r="B60" s="36"/>
      <c r="C60" s="495" t="s">
        <v>781</v>
      </c>
      <c r="D60" s="249"/>
      <c r="E60" s="249" t="str">
        <f>UPPER(IF($D60=0,"",IF($A60=4,_xlfn.XLOOKUP($D60,Mercado!$C:$C,Mercado!$E:$E),_xlfn.XLOOKUP($D60,Fontes!$B:$B,Fontes!$C:$C))))</f>
        <v/>
      </c>
      <c r="F60" s="327" t="s">
        <v>781</v>
      </c>
      <c r="G60" s="249"/>
      <c r="H60" s="252"/>
      <c r="I60" s="252">
        <f>IF($A60="M",_xlfn.XLOOKUP($D60,Mercado!$C:$C,Mercado!$I:$I),_xlfn.XLOOKUP($D60,Fontes!$B:$B,Fontes!$J:$J))</f>
        <v>0</v>
      </c>
      <c r="J60" s="252">
        <f>IF($A60="M",_xlfn.XLOOKUP($D60,Mercado!$C:$C,Mercado!$J:$J),_xlfn.XLOOKUP($D60,Fontes!$B:$B,Fontes!$H:$H))</f>
        <v>0</v>
      </c>
      <c r="K60" s="252">
        <f>IF($A60="M",0,_xlfn.XLOOKUP($D60,Fontes!$B:$B,Fontes!$I:$I))</f>
        <v>0</v>
      </c>
      <c r="L60" s="250">
        <f t="shared" si="2"/>
        <v>0</v>
      </c>
      <c r="M60" s="300">
        <f t="shared" si="7"/>
        <v>0</v>
      </c>
      <c r="O60" s="517" t="str">
        <f t="shared" si="1"/>
        <v/>
      </c>
    </row>
    <row r="61" spans="1:15" x14ac:dyDescent="0.3">
      <c r="A61" s="36"/>
      <c r="B61" s="35"/>
      <c r="C61" s="525" t="s">
        <v>3749</v>
      </c>
      <c r="D61" s="526"/>
      <c r="E61" s="526" t="str">
        <f>UPPER(IF($D61=0,"",IF($A61=4,_xlfn.XLOOKUP($D61,Mercado!$C:$C,Mercado!$E:$E),_xlfn.XLOOKUP($D61,Fontes!$B:$B,Fontes!$C:$C))))</f>
        <v/>
      </c>
      <c r="F61" s="527" t="s">
        <v>752</v>
      </c>
      <c r="G61" s="526"/>
      <c r="H61" s="528"/>
      <c r="I61" s="528">
        <f>IF($A61="M",_xlfn.XLOOKUP($D61,Mercado!$C:$C,Mercado!$I:$I),_xlfn.XLOOKUP($D61,Fontes!$B:$B,Fontes!$J:$J))</f>
        <v>0</v>
      </c>
      <c r="J61" s="528">
        <f>IF($A61="M",_xlfn.XLOOKUP($D61,Mercado!$C:$C,Mercado!$J:$J),_xlfn.XLOOKUP($D61,Fontes!$B:$B,Fontes!$H:$H))</f>
        <v>0</v>
      </c>
      <c r="K61" s="528">
        <f>IF($A61="M",0,_xlfn.XLOOKUP($D61,Fontes!$B:$B,Fontes!$I:$I))</f>
        <v>0</v>
      </c>
      <c r="L61" s="528">
        <f t="shared" si="2"/>
        <v>0</v>
      </c>
      <c r="M61" s="529">
        <f>SUBTOTAL(9,M62:M1193)</f>
        <v>12217395.509999985</v>
      </c>
      <c r="O61" s="517" t="str">
        <f t="shared" si="1"/>
        <v/>
      </c>
    </row>
    <row r="62" spans="1:15" outlineLevel="1" x14ac:dyDescent="0.3">
      <c r="A62" s="36"/>
      <c r="B62" s="36"/>
      <c r="C62" s="530" t="s">
        <v>3750</v>
      </c>
      <c r="D62" s="531"/>
      <c r="E62" s="531" t="str">
        <f>UPPER(IF($D62=0,"",IF($A62=4,_xlfn.XLOOKUP($D62,Mercado!$C:$C,Mercado!$E:$E),_xlfn.XLOOKUP($D62,Fontes!$B:$B,Fontes!$C:$C))))</f>
        <v/>
      </c>
      <c r="F62" s="532" t="s">
        <v>845</v>
      </c>
      <c r="G62" s="531"/>
      <c r="H62" s="535"/>
      <c r="I62" s="535">
        <f>IF($A62="M",_xlfn.XLOOKUP($D62,Mercado!$C:$C,Mercado!$I:$I),_xlfn.XLOOKUP($D62,Fontes!$B:$B,Fontes!$J:$J))</f>
        <v>0</v>
      </c>
      <c r="J62" s="535">
        <f>IF($A62="M",_xlfn.XLOOKUP($D62,Mercado!$C:$C,Mercado!$J:$J),_xlfn.XLOOKUP($D62,Fontes!$B:$B,Fontes!$H:$H))</f>
        <v>0</v>
      </c>
      <c r="K62" s="535">
        <f>IF($A62="M",0,_xlfn.XLOOKUP($D62,Fontes!$B:$B,Fontes!$I:$I))</f>
        <v>0</v>
      </c>
      <c r="L62" s="535">
        <f t="shared" si="2"/>
        <v>0</v>
      </c>
      <c r="M62" s="536">
        <f>SUBTOTAL(9,M63:M175)</f>
        <v>5112970.3100000015</v>
      </c>
      <c r="O62" s="517" t="str">
        <f t="shared" si="1"/>
        <v/>
      </c>
    </row>
    <row r="63" spans="1:15" outlineLevel="2" x14ac:dyDescent="0.3">
      <c r="A63" s="36" t="s">
        <v>7</v>
      </c>
      <c r="B63" s="36"/>
      <c r="C63" s="496" t="s">
        <v>9765</v>
      </c>
      <c r="D63" s="253"/>
      <c r="E63" s="253" t="str">
        <f>UPPER(IF($D63=0,"",IF($A63=4,_xlfn.XLOOKUP($D63,Mercado!$C:$C,Mercado!$E:$E),_xlfn.XLOOKUP($D63,Fontes!$B:$B,Fontes!$C:$C))))</f>
        <v/>
      </c>
      <c r="F63" s="329" t="s">
        <v>167</v>
      </c>
      <c r="G63" s="253"/>
      <c r="H63" s="254"/>
      <c r="I63" s="254">
        <f>IF($A63="M",_xlfn.XLOOKUP($D63,Mercado!$C:$C,Mercado!$I:$I),_xlfn.XLOOKUP($D63,Fontes!$B:$B,Fontes!$J:$J))</f>
        <v>0</v>
      </c>
      <c r="J63" s="254">
        <f>IF($A63="M",_xlfn.XLOOKUP($D63,Mercado!$C:$C,Mercado!$J:$J),_xlfn.XLOOKUP($D63,Fontes!$B:$B,Fontes!$H:$H))</f>
        <v>0</v>
      </c>
      <c r="K63" s="254">
        <f>IF($A63="M",0,_xlfn.XLOOKUP($D63,Fontes!$B:$B,Fontes!$I:$I))</f>
        <v>0</v>
      </c>
      <c r="L63" s="254">
        <f t="shared" si="2"/>
        <v>0</v>
      </c>
      <c r="M63" s="497">
        <f>SUBTOTAL(9,M64:M65)</f>
        <v>17074</v>
      </c>
      <c r="O63" s="517" t="str">
        <f t="shared" si="1"/>
        <v/>
      </c>
    </row>
    <row r="64" spans="1:15" ht="57.6" outlineLevel="3" x14ac:dyDescent="0.3">
      <c r="A64" s="35"/>
      <c r="B64" s="36"/>
      <c r="C64" s="495" t="s">
        <v>9766</v>
      </c>
      <c r="D64" s="249">
        <v>99059</v>
      </c>
      <c r="E64" s="248" t="str">
        <f>UPPER(IF($D64=0,"",IF($A64=4,_xlfn.XLOOKUP($D64,Mercado!$C:$C,Mercado!$E:$E),_xlfn.XLOOKUP($D64,Fontes!$B:$B,Fontes!$C:$C))))</f>
        <v>SINAPI</v>
      </c>
      <c r="F64" s="327" t="s">
        <v>226</v>
      </c>
      <c r="G64" s="249" t="str">
        <f>UPPER(IF($D64=0,"",IF($A64=4,_xlfn.XLOOKUP($D64,Mercado!$C:$C,Mercado!$G:$G),_xlfn.XLOOKUP($D64,Fontes!$B:$B,Fontes!$E:$E))))</f>
        <v>M</v>
      </c>
      <c r="H64" s="252">
        <f>45+45+55+55</f>
        <v>200</v>
      </c>
      <c r="I64" s="250">
        <f>IF($A64="M",_xlfn.XLOOKUP($D64,Mercado!$C:$C,Mercado!$I:$I),_xlfn.XLOOKUP($D64,Fontes!$B:$B,Fontes!$J:$J))</f>
        <v>40.17</v>
      </c>
      <c r="J64" s="250">
        <f>IF($A64="M",_xlfn.XLOOKUP($D64,Mercado!$C:$C,Mercado!$J:$J),_xlfn.XLOOKUP($D64,Fontes!$B:$B,Fontes!$H:$H))</f>
        <v>42.26</v>
      </c>
      <c r="K64" s="250">
        <f>IF($A64="M",0,_xlfn.XLOOKUP($D64,Fontes!$B:$B,Fontes!$I:$I))</f>
        <v>2.94</v>
      </c>
      <c r="L64" s="250">
        <f t="shared" si="2"/>
        <v>85.37</v>
      </c>
      <c r="M64" s="300">
        <f t="shared" ref="M64:M65" si="8">ROUND(H64*L64,2)</f>
        <v>17074</v>
      </c>
      <c r="N64" s="243"/>
      <c r="O64" s="517">
        <f t="shared" si="1"/>
        <v>17074</v>
      </c>
    </row>
    <row r="65" spans="1:15" outlineLevel="3" x14ac:dyDescent="0.3">
      <c r="A65" s="36" t="s">
        <v>7</v>
      </c>
      <c r="B65" s="36"/>
      <c r="C65" s="495" t="s">
        <v>781</v>
      </c>
      <c r="D65" s="249"/>
      <c r="E65" s="248" t="str">
        <f>UPPER(IF($D65=0,"",IF($A65=4,_xlfn.XLOOKUP($D65,Mercado!$C:$C,Mercado!$E:$E),_xlfn.XLOOKUP($D65,Fontes!$B:$B,Fontes!$C:$C))))</f>
        <v/>
      </c>
      <c r="F65" s="327" t="s">
        <v>781</v>
      </c>
      <c r="G65" s="249"/>
      <c r="H65" s="252"/>
      <c r="I65" s="252">
        <f>IF($A65="M",_xlfn.XLOOKUP($D65,Mercado!$C:$C,Mercado!$I:$I),_xlfn.XLOOKUP($D65,Fontes!$B:$B,Fontes!$J:$J))</f>
        <v>0</v>
      </c>
      <c r="J65" s="252">
        <f>IF($A65="M",_xlfn.XLOOKUP($D65,Mercado!$C:$C,Mercado!$J:$J),_xlfn.XLOOKUP($D65,Fontes!$B:$B,Fontes!$H:$H))</f>
        <v>0</v>
      </c>
      <c r="K65" s="252">
        <f>IF($A65="M",0,_xlfn.XLOOKUP($D65,Fontes!$B:$B,Fontes!$I:$I))</f>
        <v>0</v>
      </c>
      <c r="L65" s="250">
        <f t="shared" si="2"/>
        <v>0</v>
      </c>
      <c r="M65" s="300">
        <f t="shared" si="8"/>
        <v>0</v>
      </c>
      <c r="N65" s="243"/>
      <c r="O65" s="517" t="str">
        <f t="shared" si="1"/>
        <v/>
      </c>
    </row>
    <row r="66" spans="1:15" outlineLevel="2" x14ac:dyDescent="0.3">
      <c r="A66" s="36" t="s">
        <v>7</v>
      </c>
      <c r="B66" s="36"/>
      <c r="C66" s="496" t="s">
        <v>9767</v>
      </c>
      <c r="D66" s="253"/>
      <c r="E66" s="253" t="str">
        <f>UPPER(IF($D66=0,"",IF($A66=4,_xlfn.XLOOKUP($D66,Mercado!$C:$C,Mercado!$E:$E),_xlfn.XLOOKUP($D66,Fontes!$B:$B,Fontes!$C:$C))))</f>
        <v/>
      </c>
      <c r="F66" s="329" t="s">
        <v>385</v>
      </c>
      <c r="G66" s="253"/>
      <c r="H66" s="254"/>
      <c r="I66" s="254">
        <f>IF($A66="M",_xlfn.XLOOKUP($D66,Mercado!$C:$C,Mercado!$I:$I),_xlfn.XLOOKUP($D66,Fontes!$B:$B,Fontes!$J:$J))</f>
        <v>0</v>
      </c>
      <c r="J66" s="254">
        <f>IF($A66="M",_xlfn.XLOOKUP($D66,Mercado!$C:$C,Mercado!$J:$J),_xlfn.XLOOKUP($D66,Fontes!$B:$B,Fontes!$H:$H))</f>
        <v>0</v>
      </c>
      <c r="K66" s="254">
        <f>IF($A66="M",0,_xlfn.XLOOKUP($D66,Fontes!$B:$B,Fontes!$I:$I))</f>
        <v>0</v>
      </c>
      <c r="L66" s="254">
        <f t="shared" si="2"/>
        <v>0</v>
      </c>
      <c r="M66" s="497">
        <f>SUBTOTAL(9,M67:M73)</f>
        <v>642548.63</v>
      </c>
      <c r="O66" s="517" t="str">
        <f t="shared" si="1"/>
        <v/>
      </c>
    </row>
    <row r="67" spans="1:15" ht="57.6" outlineLevel="3" x14ac:dyDescent="0.3">
      <c r="A67" s="35"/>
      <c r="B67" s="36"/>
      <c r="C67" s="495" t="s">
        <v>9768</v>
      </c>
      <c r="D67" s="249">
        <v>101124</v>
      </c>
      <c r="E67" s="248" t="str">
        <f>UPPER(IF($D67=0,"",IF($A67=4,_xlfn.XLOOKUP($D67,Mercado!$C:$C,Mercado!$E:$E),_xlfn.XLOOKUP($D67,Fontes!$B:$B,Fontes!$C:$C))))</f>
        <v>SINAPI</v>
      </c>
      <c r="F67" s="328" t="s">
        <v>340</v>
      </c>
      <c r="G67" s="249" t="str">
        <f>UPPER(IF($D67=0,"",IF($A67=4,_xlfn.XLOOKUP($D67,Mercado!$C:$C,Mercado!$G:$G),_xlfn.XLOOKUP($D67,Fontes!$B:$B,Fontes!$E:$E))))</f>
        <v>M³</v>
      </c>
      <c r="H67" s="252">
        <v>1060</v>
      </c>
      <c r="I67" s="250">
        <f>IF($A67="M",_xlfn.XLOOKUP($D67,Mercado!$C:$C,Mercado!$I:$I),_xlfn.XLOOKUP($D67,Fontes!$B:$B,Fontes!$J:$J))</f>
        <v>6.64</v>
      </c>
      <c r="J67" s="250">
        <f>IF($A67="M",_xlfn.XLOOKUP($D67,Mercado!$C:$C,Mercado!$J:$J),_xlfn.XLOOKUP($D67,Fontes!$B:$B,Fontes!$H:$H))</f>
        <v>4.29</v>
      </c>
      <c r="K67" s="250">
        <f>IF($A67="M",0,_xlfn.XLOOKUP($D67,Fontes!$B:$B,Fontes!$I:$I))</f>
        <v>6.85</v>
      </c>
      <c r="L67" s="250">
        <f t="shared" si="2"/>
        <v>17.78</v>
      </c>
      <c r="M67" s="300">
        <f t="shared" ref="M67:M73" si="9">ROUND(H67*L67,2)</f>
        <v>18846.8</v>
      </c>
      <c r="N67" s="243"/>
      <c r="O67" s="517">
        <f t="shared" ref="O67:O130" si="10">IF(D67&lt;&gt;0,M67,"")</f>
        <v>18846.8</v>
      </c>
    </row>
    <row r="68" spans="1:15" ht="57.6" outlineLevel="3" x14ac:dyDescent="0.3">
      <c r="A68" s="35"/>
      <c r="B68" s="36"/>
      <c r="C68" s="495" t="s">
        <v>9769</v>
      </c>
      <c r="D68" s="249">
        <v>96523</v>
      </c>
      <c r="E68" s="248" t="str">
        <f>UPPER(IF($D68=0,"",IF($A68=4,_xlfn.XLOOKUP($D68,Mercado!$C:$C,Mercado!$E:$E),_xlfn.XLOOKUP($D68,Fontes!$B:$B,Fontes!$C:$C))))</f>
        <v>SINAPI</v>
      </c>
      <c r="F68" s="327" t="s">
        <v>368</v>
      </c>
      <c r="G68" s="249" t="str">
        <f>UPPER(IF($D68=0,"",IF($A68=4,_xlfn.XLOOKUP($D68,Mercado!$C:$C,Mercado!$G:$G),_xlfn.XLOOKUP($D68,Fontes!$B:$B,Fontes!$E:$E))))</f>
        <v>M³</v>
      </c>
      <c r="H68" s="252">
        <v>1930.24</v>
      </c>
      <c r="I68" s="250">
        <f>IF($A68="M",_xlfn.XLOOKUP($D68,Mercado!$C:$C,Mercado!$I:$I),_xlfn.XLOOKUP($D68,Fontes!$B:$B,Fontes!$J:$J))</f>
        <v>32.159999999999997</v>
      </c>
      <c r="J68" s="250">
        <f>IF($A68="M",_xlfn.XLOOKUP($D68,Mercado!$C:$C,Mercado!$J:$J),_xlfn.XLOOKUP($D68,Fontes!$B:$B,Fontes!$H:$H))</f>
        <v>101.45</v>
      </c>
      <c r="K68" s="250">
        <f>IF($A68="M",0,_xlfn.XLOOKUP($D68,Fontes!$B:$B,Fontes!$I:$I))</f>
        <v>9.6199999999999992</v>
      </c>
      <c r="L68" s="250">
        <f t="shared" si="2"/>
        <v>143.23000000000002</v>
      </c>
      <c r="M68" s="300">
        <f t="shared" si="9"/>
        <v>276468.28000000003</v>
      </c>
      <c r="N68" s="243"/>
      <c r="O68" s="517">
        <f t="shared" si="10"/>
        <v>276468.28000000003</v>
      </c>
    </row>
    <row r="69" spans="1:15" ht="38.4" outlineLevel="3" x14ac:dyDescent="0.3">
      <c r="A69" s="35"/>
      <c r="B69" s="36"/>
      <c r="C69" s="495" t="s">
        <v>9770</v>
      </c>
      <c r="D69" s="249">
        <v>93382</v>
      </c>
      <c r="E69" s="248" t="str">
        <f>UPPER(IF($D69=0,"",IF($A69=4,_xlfn.XLOOKUP($D69,Mercado!$C:$C,Mercado!$E:$E),_xlfn.XLOOKUP($D69,Fontes!$B:$B,Fontes!$C:$C))))</f>
        <v>SINAPI</v>
      </c>
      <c r="F69" s="327" t="s">
        <v>119</v>
      </c>
      <c r="G69" s="249" t="str">
        <f>UPPER(IF($D69=0,"",IF($A69=4,_xlfn.XLOOKUP($D69,Mercado!$C:$C,Mercado!$G:$G),_xlfn.XLOOKUP($D69,Fontes!$B:$B,Fontes!$E:$E))))</f>
        <v>M³</v>
      </c>
      <c r="H69" s="252">
        <v>1584.94</v>
      </c>
      <c r="I69" s="250">
        <f>IF($A69="M",_xlfn.XLOOKUP($D69,Mercado!$C:$C,Mercado!$I:$I),_xlfn.XLOOKUP($D69,Fontes!$B:$B,Fontes!$J:$J))</f>
        <v>10.41</v>
      </c>
      <c r="J69" s="250">
        <f>IF($A69="M",_xlfn.XLOOKUP($D69,Mercado!$C:$C,Mercado!$J:$J),_xlfn.XLOOKUP($D69,Fontes!$B:$B,Fontes!$H:$H))</f>
        <v>24.64</v>
      </c>
      <c r="K69" s="250">
        <f>IF($A69="M",0,_xlfn.XLOOKUP($D69,Fontes!$B:$B,Fontes!$I:$I))</f>
        <v>2.98</v>
      </c>
      <c r="L69" s="250">
        <f t="shared" si="2"/>
        <v>38.029999999999994</v>
      </c>
      <c r="M69" s="300">
        <f t="shared" si="9"/>
        <v>60275.27</v>
      </c>
      <c r="N69" s="243"/>
      <c r="O69" s="517">
        <f t="shared" si="10"/>
        <v>60275.27</v>
      </c>
    </row>
    <row r="70" spans="1:15" ht="76.8" outlineLevel="3" x14ac:dyDescent="0.3">
      <c r="A70" s="35"/>
      <c r="B70" s="36"/>
      <c r="C70" s="495" t="s">
        <v>9771</v>
      </c>
      <c r="D70" s="249">
        <v>100981</v>
      </c>
      <c r="E70" s="248" t="str">
        <f>UPPER(IF($D70=0,"",IF($A70=4,_xlfn.XLOOKUP($D70,Mercado!$C:$C,Mercado!$E:$E),_xlfn.XLOOKUP($D70,Fontes!$B:$B,Fontes!$C:$C))))</f>
        <v>SINAPI</v>
      </c>
      <c r="F70" s="327" t="s">
        <v>295</v>
      </c>
      <c r="G70" s="249" t="str">
        <f>UPPER(IF($D70=0,"",IF($A70=4,_xlfn.XLOOKUP($D70,Mercado!$C:$C,Mercado!$G:$G),_xlfn.XLOOKUP($D70,Fontes!$B:$B,Fontes!$E:$E))))</f>
        <v>M³</v>
      </c>
      <c r="H70" s="252">
        <v>2422.4535000000001</v>
      </c>
      <c r="I70" s="250">
        <f>IF($A70="M",_xlfn.XLOOKUP($D70,Mercado!$C:$C,Mercado!$I:$I),_xlfn.XLOOKUP($D70,Fontes!$B:$B,Fontes!$J:$J))</f>
        <v>4.1399999999999997</v>
      </c>
      <c r="J70" s="250">
        <f>IF($A70="M",_xlfn.XLOOKUP($D70,Mercado!$C:$C,Mercado!$J:$J),_xlfn.XLOOKUP($D70,Fontes!$B:$B,Fontes!$H:$H))</f>
        <v>3.06</v>
      </c>
      <c r="K70" s="250">
        <f>IF($A70="M",0,_xlfn.XLOOKUP($D70,Fontes!$B:$B,Fontes!$I:$I))</f>
        <v>4.32</v>
      </c>
      <c r="L70" s="250">
        <f t="shared" si="2"/>
        <v>11.52</v>
      </c>
      <c r="M70" s="300">
        <f t="shared" si="9"/>
        <v>27906.66</v>
      </c>
      <c r="N70" s="243"/>
      <c r="O70" s="517">
        <f t="shared" si="10"/>
        <v>27906.66</v>
      </c>
    </row>
    <row r="71" spans="1:15" ht="57.6" outlineLevel="3" x14ac:dyDescent="0.3">
      <c r="A71" s="35"/>
      <c r="B71" s="36"/>
      <c r="C71" s="495" t="s">
        <v>9772</v>
      </c>
      <c r="D71" s="249">
        <v>95875</v>
      </c>
      <c r="E71" s="248" t="str">
        <f>UPPER(IF($D71=0,"",IF($A71=4,_xlfn.XLOOKUP($D71,Mercado!$C:$C,Mercado!$E:$E),_xlfn.XLOOKUP($D71,Fontes!$B:$B,Fontes!$C:$C))))</f>
        <v>SINAPI</v>
      </c>
      <c r="F71" s="327" t="s">
        <v>294</v>
      </c>
      <c r="G71" s="249" t="str">
        <f>UPPER(IF($D71=0,"",IF($A71=4,_xlfn.XLOOKUP($D71,Mercado!$C:$C,Mercado!$G:$G),_xlfn.XLOOKUP($D71,Fontes!$B:$B,Fontes!$E:$E))))</f>
        <v>M3XKM</v>
      </c>
      <c r="H71" s="252">
        <f>+H70*30</f>
        <v>72673.604999999996</v>
      </c>
      <c r="I71" s="250">
        <f>IF($A71="M",_xlfn.XLOOKUP($D71,Mercado!$C:$C,Mercado!$I:$I),_xlfn.XLOOKUP($D71,Fontes!$B:$B,Fontes!$J:$J))</f>
        <v>1.68</v>
      </c>
      <c r="J71" s="250">
        <f>IF($A71="M",_xlfn.XLOOKUP($D71,Mercado!$C:$C,Mercado!$J:$J),_xlfn.XLOOKUP($D71,Fontes!$B:$B,Fontes!$H:$H))</f>
        <v>0.6</v>
      </c>
      <c r="K71" s="250">
        <f>IF($A71="M",0,_xlfn.XLOOKUP($D71,Fontes!$B:$B,Fontes!$I:$I))</f>
        <v>0.92</v>
      </c>
      <c r="L71" s="250">
        <f t="shared" si="2"/>
        <v>3.1999999999999997</v>
      </c>
      <c r="M71" s="300">
        <f t="shared" si="9"/>
        <v>232555.54</v>
      </c>
      <c r="N71" s="243"/>
      <c r="O71" s="517">
        <f t="shared" si="10"/>
        <v>232555.54</v>
      </c>
    </row>
    <row r="72" spans="1:15" outlineLevel="3" x14ac:dyDescent="0.3">
      <c r="A72" s="35"/>
      <c r="B72" s="36"/>
      <c r="C72" s="495" t="s">
        <v>9773</v>
      </c>
      <c r="D72" s="249">
        <v>79483</v>
      </c>
      <c r="E72" s="248" t="str">
        <f>UPPER(IF($D72=0,"",IF($A72=4,_xlfn.XLOOKUP($D72,Mercado!$C:$C,Mercado!$E:$E),_xlfn.XLOOKUP($D72,Fontes!$B:$B,Fontes!$C:$C))))</f>
        <v>SINAPI</v>
      </c>
      <c r="F72" s="327" t="s">
        <v>2006</v>
      </c>
      <c r="G72" s="249" t="str">
        <f>UPPER(IF($D72=0,"",IF($A72=4,_xlfn.XLOOKUP($D72,Mercado!$C:$C,Mercado!$G:$G),_xlfn.XLOOKUP($D72,Fontes!$B:$B,Fontes!$E:$E))))</f>
        <v>M²</v>
      </c>
      <c r="H72" s="252">
        <v>538.21</v>
      </c>
      <c r="I72" s="250">
        <f>IF($A72="M",_xlfn.XLOOKUP($D72,Mercado!$C:$C,Mercado!$I:$I),_xlfn.XLOOKUP($D72,Fontes!$B:$B,Fontes!$J:$J))</f>
        <v>11.78</v>
      </c>
      <c r="J72" s="250">
        <f>IF($A72="M",_xlfn.XLOOKUP($D72,Mercado!$C:$C,Mercado!$J:$J),_xlfn.XLOOKUP($D72,Fontes!$B:$B,Fontes!$H:$H))</f>
        <v>33.92</v>
      </c>
      <c r="K72" s="250">
        <f>IF($A72="M",0,_xlfn.XLOOKUP($D72,Fontes!$B:$B,Fontes!$I:$I))</f>
        <v>3.53</v>
      </c>
      <c r="L72" s="250">
        <f t="shared" si="2"/>
        <v>49.230000000000004</v>
      </c>
      <c r="M72" s="300">
        <f t="shared" si="9"/>
        <v>26496.080000000002</v>
      </c>
      <c r="N72" s="243"/>
      <c r="O72" s="517">
        <f t="shared" si="10"/>
        <v>26496.080000000002</v>
      </c>
    </row>
    <row r="73" spans="1:15" outlineLevel="3" x14ac:dyDescent="0.3">
      <c r="A73" s="36" t="s">
        <v>7</v>
      </c>
      <c r="B73" s="36"/>
      <c r="C73" s="495" t="s">
        <v>781</v>
      </c>
      <c r="D73" s="249"/>
      <c r="E73" s="249" t="str">
        <f>UPPER(IF($D73=0,"",IF($A73=4,_xlfn.XLOOKUP($D73,Mercado!$C:$C,Mercado!$E:$E),_xlfn.XLOOKUP($D73,Fontes!$B:$B,Fontes!$C:$C))))</f>
        <v/>
      </c>
      <c r="F73" s="327" t="s">
        <v>781</v>
      </c>
      <c r="G73" s="249"/>
      <c r="H73" s="252"/>
      <c r="I73" s="252">
        <f>IF($A73="M",_xlfn.XLOOKUP($D73,Mercado!$C:$C,Mercado!$I:$I),_xlfn.XLOOKUP($D73,Fontes!$B:$B,Fontes!$J:$J))</f>
        <v>0</v>
      </c>
      <c r="J73" s="252">
        <f>IF($A73="M",_xlfn.XLOOKUP($D73,Mercado!$C:$C,Mercado!$J:$J),_xlfn.XLOOKUP($D73,Fontes!$B:$B,Fontes!$H:$H))</f>
        <v>0</v>
      </c>
      <c r="K73" s="252">
        <f>IF($A73="M",0,_xlfn.XLOOKUP($D73,Fontes!$B:$B,Fontes!$I:$I))</f>
        <v>0</v>
      </c>
      <c r="L73" s="250">
        <f t="shared" si="2"/>
        <v>0</v>
      </c>
      <c r="M73" s="300">
        <f t="shared" si="9"/>
        <v>0</v>
      </c>
      <c r="N73" s="243"/>
      <c r="O73" s="517" t="str">
        <f t="shared" si="10"/>
        <v/>
      </c>
    </row>
    <row r="74" spans="1:15" outlineLevel="2" x14ac:dyDescent="0.3">
      <c r="A74" s="36" t="s">
        <v>7</v>
      </c>
      <c r="B74" s="36"/>
      <c r="C74" s="496" t="s">
        <v>9774</v>
      </c>
      <c r="D74" s="253"/>
      <c r="E74" s="253" t="str">
        <f>UPPER(IF($D74=0,"",IF($A74=4,_xlfn.XLOOKUP($D74,Mercado!$C:$C,Mercado!$E:$E),_xlfn.XLOOKUP($D74,Fontes!$B:$B,Fontes!$C:$C))))</f>
        <v/>
      </c>
      <c r="F74" s="329" t="s">
        <v>8372</v>
      </c>
      <c r="G74" s="253"/>
      <c r="H74" s="254"/>
      <c r="I74" s="254">
        <f>IF($A74="M",_xlfn.XLOOKUP($D74,Mercado!$C:$C,Mercado!$I:$I),_xlfn.XLOOKUP($D74,Fontes!$B:$B,Fontes!$J:$J))</f>
        <v>0</v>
      </c>
      <c r="J74" s="254">
        <f>IF($A74="M",_xlfn.XLOOKUP($D74,Mercado!$C:$C,Mercado!$J:$J),_xlfn.XLOOKUP($D74,Fontes!$B:$B,Fontes!$H:$H))</f>
        <v>0</v>
      </c>
      <c r="K74" s="254">
        <f>IF($A74="M",0,_xlfn.XLOOKUP($D74,Fontes!$B:$B,Fontes!$I:$I))</f>
        <v>0</v>
      </c>
      <c r="L74" s="254">
        <f t="shared" si="2"/>
        <v>0</v>
      </c>
      <c r="M74" s="497">
        <f>SUBTOTAL(9,M75:M82)</f>
        <v>147839.30000000002</v>
      </c>
      <c r="O74" s="517" t="str">
        <f t="shared" si="10"/>
        <v/>
      </c>
    </row>
    <row r="75" spans="1:15" ht="38.4" outlineLevel="3" x14ac:dyDescent="0.3">
      <c r="A75" s="35"/>
      <c r="B75" s="36"/>
      <c r="C75" s="495" t="s">
        <v>9775</v>
      </c>
      <c r="D75" s="481" t="s">
        <v>753</v>
      </c>
      <c r="E75" s="248" t="str">
        <f>UPPER(IF($D75=0,"",IF($A75=4,_xlfn.XLOOKUP($D75,Mercado!$C:$C,Mercado!$E:$E),_xlfn.XLOOKUP($D75,Fontes!$B:$B,Fontes!$C:$C))))</f>
        <v>CPOS/CDHU</v>
      </c>
      <c r="F75" s="327" t="s">
        <v>3491</v>
      </c>
      <c r="G75" s="249" t="str">
        <f>UPPER(IF($D75=0,"",IF($A75=4,_xlfn.XLOOKUP($D75,Mercado!$C:$C,Mercado!$G:$G),_xlfn.XLOOKUP($D75,Fontes!$B:$B,Fontes!$E:$E))))</f>
        <v>TX</v>
      </c>
      <c r="H75" s="252">
        <v>1</v>
      </c>
      <c r="I75" s="250">
        <f>IF($A75="M",_xlfn.XLOOKUP($D75,Mercado!$C:$C,Mercado!$I:$I),_xlfn.XLOOKUP($D75,Fontes!$B:$B,Fontes!$J:$J))</f>
        <v>43853.17</v>
      </c>
      <c r="J75" s="250">
        <f>IF($A75="M",_xlfn.XLOOKUP($D75,Mercado!$C:$C,Mercado!$J:$J),_xlfn.XLOOKUP($D75,Fontes!$B:$B,Fontes!$H:$H))</f>
        <v>0</v>
      </c>
      <c r="K75" s="250">
        <f>IF($A75="M",0,_xlfn.XLOOKUP($D75,Fontes!$B:$B,Fontes!$I:$I))</f>
        <v>0</v>
      </c>
      <c r="L75" s="250">
        <f t="shared" si="2"/>
        <v>43853.17</v>
      </c>
      <c r="M75" s="300">
        <f t="shared" ref="M75:M82" si="11">ROUND(H75*L75,2)</f>
        <v>43853.17</v>
      </c>
      <c r="N75" s="243"/>
      <c r="O75" s="517">
        <f t="shared" si="10"/>
        <v>43853.17</v>
      </c>
    </row>
    <row r="76" spans="1:15" ht="38.4" outlineLevel="3" x14ac:dyDescent="0.3">
      <c r="A76" s="35"/>
      <c r="B76" s="36"/>
      <c r="C76" s="495" t="s">
        <v>9776</v>
      </c>
      <c r="D76" s="482" t="s">
        <v>789</v>
      </c>
      <c r="E76" s="248" t="str">
        <f>UPPER(IF($D76=0,"",IF($A76=4,_xlfn.XLOOKUP($D76,Mercado!$C:$C,Mercado!$E:$E),_xlfn.XLOOKUP($D76,Fontes!$B:$B,Fontes!$C:$C))))</f>
        <v>SETOP</v>
      </c>
      <c r="F76" s="327" t="s">
        <v>791</v>
      </c>
      <c r="G76" s="249" t="str">
        <f>UPPER(IF($D76=0,"",IF($A76=4,_xlfn.XLOOKUP($D76,Mercado!$C:$C,Mercado!$G:$G),_xlfn.XLOOKUP($D76,Fontes!$B:$B,Fontes!$E:$E))))</f>
        <v>M</v>
      </c>
      <c r="H76" s="252">
        <v>243</v>
      </c>
      <c r="I76" s="250">
        <f>IF($A76="M",_xlfn.XLOOKUP($D76,Mercado!$C:$C,Mercado!$I:$I),_xlfn.XLOOKUP($D76,Fontes!$B:$B,Fontes!$J:$J))</f>
        <v>77.64</v>
      </c>
      <c r="J76" s="250">
        <f>IF($A76="M",_xlfn.XLOOKUP($D76,Mercado!$C:$C,Mercado!$J:$J),_xlfn.XLOOKUP($D76,Fontes!$B:$B,Fontes!$H:$H))</f>
        <v>0</v>
      </c>
      <c r="K76" s="250">
        <f>IF($A76="M",0,_xlfn.XLOOKUP($D76,Fontes!$B:$B,Fontes!$I:$I))</f>
        <v>0</v>
      </c>
      <c r="L76" s="250">
        <f t="shared" si="2"/>
        <v>77.64</v>
      </c>
      <c r="M76" s="300">
        <f t="shared" si="11"/>
        <v>18866.52</v>
      </c>
      <c r="N76" s="243"/>
      <c r="O76" s="517">
        <f t="shared" si="10"/>
        <v>18866.52</v>
      </c>
    </row>
    <row r="77" spans="1:15" s="255" customFormat="1" ht="38.4" outlineLevel="3" x14ac:dyDescent="0.3">
      <c r="A77" s="35"/>
      <c r="B77" s="36"/>
      <c r="C77" s="495" t="s">
        <v>9777</v>
      </c>
      <c r="D77" s="249">
        <v>96545</v>
      </c>
      <c r="E77" s="248" t="str">
        <f>UPPER(IF($D77=0,"",IF($A77=4,_xlfn.XLOOKUP($D77,Mercado!$C:$C,Mercado!$E:$E),_xlfn.XLOOKUP($D77,Fontes!$B:$B,Fontes!$C:$C))))</f>
        <v>SINAPI</v>
      </c>
      <c r="F77" s="327" t="s">
        <v>185</v>
      </c>
      <c r="G77" s="249" t="str">
        <f>UPPER(IF($D77=0,"",IF($A77=4,_xlfn.XLOOKUP($D77,Mercado!$C:$C,Mercado!$G:$G),_xlfn.XLOOKUP($D77,Fontes!$B:$B,Fontes!$E:$E))))</f>
        <v>KG</v>
      </c>
      <c r="H77" s="252">
        <v>513.76</v>
      </c>
      <c r="I77" s="250">
        <f>IF($A77="M",_xlfn.XLOOKUP($D77,Mercado!$C:$C,Mercado!$I:$I),_xlfn.XLOOKUP($D77,Fontes!$B:$B,Fontes!$J:$J))</f>
        <v>12.28</v>
      </c>
      <c r="J77" s="250">
        <f>IF($A77="M",_xlfn.XLOOKUP($D77,Mercado!$C:$C,Mercado!$J:$J),_xlfn.XLOOKUP($D77,Fontes!$B:$B,Fontes!$H:$H))</f>
        <v>6.5</v>
      </c>
      <c r="K77" s="250">
        <f>IF($A77="M",0,_xlfn.XLOOKUP($D77,Fontes!$B:$B,Fontes!$I:$I))</f>
        <v>0.48</v>
      </c>
      <c r="L77" s="250">
        <f t="shared" si="2"/>
        <v>19.260000000000002</v>
      </c>
      <c r="M77" s="300">
        <f t="shared" si="11"/>
        <v>9895.02</v>
      </c>
      <c r="N77" s="243"/>
      <c r="O77" s="517">
        <f t="shared" si="10"/>
        <v>9895.02</v>
      </c>
    </row>
    <row r="78" spans="1:15" s="255" customFormat="1" ht="38.4" outlineLevel="3" x14ac:dyDescent="0.3">
      <c r="A78" s="35"/>
      <c r="B78" s="36"/>
      <c r="C78" s="495" t="s">
        <v>9778</v>
      </c>
      <c r="D78" s="249">
        <v>96548</v>
      </c>
      <c r="E78" s="248" t="str">
        <f>UPPER(IF($D78=0,"",IF($A78=4,_xlfn.XLOOKUP($D78,Mercado!$C:$C,Mercado!$E:$E),_xlfn.XLOOKUP($D78,Fontes!$B:$B,Fontes!$C:$C))))</f>
        <v>SINAPI</v>
      </c>
      <c r="F78" s="327" t="s">
        <v>188</v>
      </c>
      <c r="G78" s="249" t="str">
        <f>UPPER(IF($D78=0,"",IF($A78=4,_xlfn.XLOOKUP($D78,Mercado!$C:$C,Mercado!$G:$G),_xlfn.XLOOKUP($D78,Fontes!$B:$B,Fontes!$E:$E))))</f>
        <v>KG</v>
      </c>
      <c r="H78" s="252">
        <v>2268.96</v>
      </c>
      <c r="I78" s="250">
        <f>IF($A78="M",_xlfn.XLOOKUP($D78,Mercado!$C:$C,Mercado!$I:$I),_xlfn.XLOOKUP($D78,Fontes!$B:$B,Fontes!$J:$J))</f>
        <v>9.1</v>
      </c>
      <c r="J78" s="250">
        <f>IF($A78="M",_xlfn.XLOOKUP($D78,Mercado!$C:$C,Mercado!$J:$J),_xlfn.XLOOKUP($D78,Fontes!$B:$B,Fontes!$H:$H))</f>
        <v>2.0099999999999998</v>
      </c>
      <c r="K78" s="250">
        <f>IF($A78="M",0,_xlfn.XLOOKUP($D78,Fontes!$B:$B,Fontes!$I:$I))</f>
        <v>0.17</v>
      </c>
      <c r="L78" s="250">
        <f t="shared" ref="L78:L141" si="12">SUM(I78:K78)</f>
        <v>11.28</v>
      </c>
      <c r="M78" s="300">
        <f t="shared" si="11"/>
        <v>25593.87</v>
      </c>
      <c r="N78" s="243"/>
      <c r="O78" s="517">
        <f t="shared" si="10"/>
        <v>25593.87</v>
      </c>
    </row>
    <row r="79" spans="1:15" outlineLevel="3" x14ac:dyDescent="0.3">
      <c r="A79" s="35"/>
      <c r="B79" s="36"/>
      <c r="C79" s="495" t="s">
        <v>9779</v>
      </c>
      <c r="D79" s="481" t="s">
        <v>754</v>
      </c>
      <c r="E79" s="248" t="str">
        <f>UPPER(IF($D79=0,"",IF($A79=4,_xlfn.XLOOKUP($D79,Mercado!$C:$C,Mercado!$E:$E),_xlfn.XLOOKUP($D79,Fontes!$B:$B,Fontes!$C:$C))))</f>
        <v>CPOS/CDHU</v>
      </c>
      <c r="F79" s="327" t="s">
        <v>3492</v>
      </c>
      <c r="G79" s="249" t="str">
        <f>UPPER(IF($D79=0,"",IF($A79=4,_xlfn.XLOOKUP($D79,Mercado!$C:$C,Mercado!$G:$G),_xlfn.XLOOKUP($D79,Fontes!$B:$B,Fontes!$E:$E))))</f>
        <v>M³</v>
      </c>
      <c r="H79" s="252">
        <v>68.709999999999994</v>
      </c>
      <c r="I79" s="250">
        <f>IF($A79="M",_xlfn.XLOOKUP($D79,Mercado!$C:$C,Mercado!$I:$I),_xlfn.XLOOKUP($D79,Fontes!$B:$B,Fontes!$J:$J))</f>
        <v>598.41999999999996</v>
      </c>
      <c r="J79" s="250">
        <f>IF($A79="M",_xlfn.XLOOKUP($D79,Mercado!$C:$C,Mercado!$J:$J),_xlfn.XLOOKUP($D79,Fontes!$B:$B,Fontes!$H:$H))</f>
        <v>0</v>
      </c>
      <c r="K79" s="250">
        <f>IF($A79="M",0,_xlfn.XLOOKUP($D79,Fontes!$B:$B,Fontes!$I:$I))</f>
        <v>0</v>
      </c>
      <c r="L79" s="250">
        <f t="shared" si="12"/>
        <v>598.41999999999996</v>
      </c>
      <c r="M79" s="300">
        <f t="shared" si="11"/>
        <v>41117.440000000002</v>
      </c>
      <c r="N79" s="243"/>
      <c r="O79" s="517">
        <f t="shared" si="10"/>
        <v>41117.440000000002</v>
      </c>
    </row>
    <row r="80" spans="1:15" ht="38.4" outlineLevel="3" x14ac:dyDescent="0.3">
      <c r="A80" s="35"/>
      <c r="B80" s="36"/>
      <c r="C80" s="495" t="s">
        <v>9780</v>
      </c>
      <c r="D80" s="481">
        <v>40387</v>
      </c>
      <c r="E80" s="248" t="str">
        <f>UPPER(IF($D80=0,"",IF($A80=4,_xlfn.XLOOKUP($D80,Mercado!$C:$C,Mercado!$E:$E),_xlfn.XLOOKUP($D80,Fontes!$B:$B,Fontes!$C:$C))))</f>
        <v>SBC</v>
      </c>
      <c r="F80" s="327" t="s">
        <v>761</v>
      </c>
      <c r="G80" s="249" t="str">
        <f>UPPER(IF($D80=0,"",IF($A80=4,_xlfn.XLOOKUP($D80,Mercado!$C:$C,Mercado!$G:$G),_xlfn.XLOOKUP($D80,Fontes!$B:$B,Fontes!$E:$E))))</f>
        <v>M³</v>
      </c>
      <c r="H80" s="252">
        <v>68.709999999999994</v>
      </c>
      <c r="I80" s="250">
        <f>IF($A80="M",_xlfn.XLOOKUP($D80,Mercado!$C:$C,Mercado!$I:$I),_xlfn.XLOOKUP($D80,Fontes!$B:$B,Fontes!$J:$J))</f>
        <v>83.78</v>
      </c>
      <c r="J80" s="250">
        <f>IF($A80="M",_xlfn.XLOOKUP($D80,Mercado!$C:$C,Mercado!$J:$J),_xlfn.XLOOKUP($D80,Fontes!$B:$B,Fontes!$H:$H))</f>
        <v>20.67</v>
      </c>
      <c r="K80" s="250">
        <f>IF($A80="M",0,_xlfn.XLOOKUP($D80,Fontes!$B:$B,Fontes!$I:$I))</f>
        <v>1.21</v>
      </c>
      <c r="L80" s="250">
        <f t="shared" si="12"/>
        <v>105.66</v>
      </c>
      <c r="M80" s="300">
        <f t="shared" si="11"/>
        <v>7259.9</v>
      </c>
      <c r="N80" s="243"/>
      <c r="O80" s="517">
        <f t="shared" si="10"/>
        <v>7259.9</v>
      </c>
    </row>
    <row r="81" spans="1:15" ht="38.4" outlineLevel="3" x14ac:dyDescent="0.3">
      <c r="A81" s="35"/>
      <c r="B81" s="36"/>
      <c r="C81" s="495" t="s">
        <v>9781</v>
      </c>
      <c r="D81" s="249">
        <v>95602</v>
      </c>
      <c r="E81" s="248" t="str">
        <f>UPPER(IF($D81=0,"",IF($A81=4,_xlfn.XLOOKUP($D81,Mercado!$C:$C,Mercado!$E:$E),_xlfn.XLOOKUP($D81,Fontes!$B:$B,Fontes!$C:$C))))</f>
        <v>SINAPI</v>
      </c>
      <c r="F81" s="327" t="s">
        <v>312</v>
      </c>
      <c r="G81" s="249" t="str">
        <f>UPPER(IF($D81=0,"",IF($A81=4,_xlfn.XLOOKUP($D81,Mercado!$C:$C,Mercado!$G:$G),_xlfn.XLOOKUP($D81,Fontes!$B:$B,Fontes!$E:$E))))</f>
        <v>UN</v>
      </c>
      <c r="H81" s="252">
        <v>29</v>
      </c>
      <c r="I81" s="250">
        <f>IF($A81="M",_xlfn.XLOOKUP($D81,Mercado!$C:$C,Mercado!$I:$I),_xlfn.XLOOKUP($D81,Fontes!$B:$B,Fontes!$J:$J))</f>
        <v>9.7100000000000009</v>
      </c>
      <c r="J81" s="250">
        <f>IF($A81="M",_xlfn.XLOOKUP($D81,Mercado!$C:$C,Mercado!$J:$J),_xlfn.XLOOKUP($D81,Fontes!$B:$B,Fontes!$H:$H))</f>
        <v>30.74</v>
      </c>
      <c r="K81" s="250">
        <f>IF($A81="M",0,_xlfn.XLOOKUP($D81,Fontes!$B:$B,Fontes!$I:$I))</f>
        <v>2.77</v>
      </c>
      <c r="L81" s="250">
        <f t="shared" si="12"/>
        <v>43.220000000000006</v>
      </c>
      <c r="M81" s="300">
        <f t="shared" si="11"/>
        <v>1253.3800000000001</v>
      </c>
      <c r="N81" s="243"/>
      <c r="O81" s="517">
        <f t="shared" si="10"/>
        <v>1253.3800000000001</v>
      </c>
    </row>
    <row r="82" spans="1:15" outlineLevel="3" x14ac:dyDescent="0.3">
      <c r="A82" s="36" t="s">
        <v>7</v>
      </c>
      <c r="B82" s="36"/>
      <c r="C82" s="495" t="s">
        <v>781</v>
      </c>
      <c r="D82" s="249"/>
      <c r="E82" s="248" t="str">
        <f>UPPER(IF($D82=0,"",IF($A82=4,_xlfn.XLOOKUP($D82,Mercado!$C:$C,Mercado!$E:$E),_xlfn.XLOOKUP($D82,Fontes!$B:$B,Fontes!$C:$C))))</f>
        <v/>
      </c>
      <c r="F82" s="327" t="s">
        <v>781</v>
      </c>
      <c r="G82" s="249"/>
      <c r="H82" s="252"/>
      <c r="I82" s="252">
        <f>IF($A82="M",_xlfn.XLOOKUP($D82,Mercado!$C:$C,Mercado!$I:$I),_xlfn.XLOOKUP($D82,Fontes!$B:$B,Fontes!$J:$J))</f>
        <v>0</v>
      </c>
      <c r="J82" s="252">
        <f>IF($A82="M",_xlfn.XLOOKUP($D82,Mercado!$C:$C,Mercado!$J:$J),_xlfn.XLOOKUP($D82,Fontes!$B:$B,Fontes!$H:$H))</f>
        <v>0</v>
      </c>
      <c r="K82" s="252">
        <f>IF($A82="M",0,_xlfn.XLOOKUP($D82,Fontes!$B:$B,Fontes!$I:$I))</f>
        <v>0</v>
      </c>
      <c r="L82" s="250">
        <f t="shared" si="12"/>
        <v>0</v>
      </c>
      <c r="M82" s="300">
        <f t="shared" si="11"/>
        <v>0</v>
      </c>
      <c r="N82" s="243"/>
      <c r="O82" s="517" t="str">
        <f t="shared" si="10"/>
        <v/>
      </c>
    </row>
    <row r="83" spans="1:15" outlineLevel="2" x14ac:dyDescent="0.3">
      <c r="A83" s="36" t="s">
        <v>7</v>
      </c>
      <c r="B83" s="36"/>
      <c r="C83" s="496" t="s">
        <v>9782</v>
      </c>
      <c r="D83" s="253"/>
      <c r="E83" s="256" t="str">
        <f>UPPER(IF($D83=0,"",IF($A83=4,_xlfn.XLOOKUP($D83,Mercado!$C:$C,Mercado!$E:$E),_xlfn.XLOOKUP($D83,Fontes!$B:$B,Fontes!$C:$C))))</f>
        <v/>
      </c>
      <c r="F83" s="329" t="s">
        <v>867</v>
      </c>
      <c r="G83" s="253"/>
      <c r="H83" s="254"/>
      <c r="I83" s="254">
        <f>IF($A83="M",_xlfn.XLOOKUP($D83,Mercado!$C:$C,Mercado!$I:$I),_xlfn.XLOOKUP($D83,Fontes!$B:$B,Fontes!$J:$J))</f>
        <v>0</v>
      </c>
      <c r="J83" s="254">
        <f>IF($A83="M",_xlfn.XLOOKUP($D83,Mercado!$C:$C,Mercado!$J:$J),_xlfn.XLOOKUP($D83,Fontes!$B:$B,Fontes!$H:$H))</f>
        <v>0</v>
      </c>
      <c r="K83" s="254">
        <f>IF($A83="M",0,_xlfn.XLOOKUP($D83,Fontes!$B:$B,Fontes!$I:$I))</f>
        <v>0</v>
      </c>
      <c r="L83" s="254">
        <f t="shared" si="12"/>
        <v>0</v>
      </c>
      <c r="M83" s="497">
        <f>SUBTOTAL(9,M84:M96)</f>
        <v>801011.67</v>
      </c>
      <c r="O83" s="517" t="str">
        <f t="shared" si="10"/>
        <v/>
      </c>
    </row>
    <row r="84" spans="1:15" s="255" customFormat="1" ht="38.4" outlineLevel="3" x14ac:dyDescent="0.3">
      <c r="A84" s="35"/>
      <c r="B84" s="36"/>
      <c r="C84" s="495" t="s">
        <v>9783</v>
      </c>
      <c r="D84" s="249">
        <v>96616</v>
      </c>
      <c r="E84" s="248" t="str">
        <f>UPPER(IF($D84=0,"",IF($A84=4,_xlfn.XLOOKUP($D84,Mercado!$C:$C,Mercado!$E:$E),_xlfn.XLOOKUP($D84,Fontes!$B:$B,Fontes!$C:$C))))</f>
        <v>SINAPI</v>
      </c>
      <c r="F84" s="327" t="s">
        <v>193</v>
      </c>
      <c r="G84" s="249" t="str">
        <f>UPPER(IF($D84=0,"",IF($A84=4,_xlfn.XLOOKUP($D84,Mercado!$C:$C,Mercado!$G:$G),_xlfn.XLOOKUP($D84,Fontes!$B:$B,Fontes!$E:$E))))</f>
        <v>M³</v>
      </c>
      <c r="H84" s="252">
        <v>22.04</v>
      </c>
      <c r="I84" s="250">
        <f>IF($A84="M",_xlfn.XLOOKUP($D84,Mercado!$C:$C,Mercado!$I:$I),_xlfn.XLOOKUP($D84,Fontes!$B:$B,Fontes!$J:$J))</f>
        <v>556.25</v>
      </c>
      <c r="J84" s="250">
        <f>IF($A84="M",_xlfn.XLOOKUP($D84,Mercado!$C:$C,Mercado!$J:$J),_xlfn.XLOOKUP($D84,Fontes!$B:$B,Fontes!$H:$H))</f>
        <v>383.38</v>
      </c>
      <c r="K84" s="250">
        <f>IF($A84="M",0,_xlfn.XLOOKUP($D84,Fontes!$B:$B,Fontes!$I:$I))</f>
        <v>35.51</v>
      </c>
      <c r="L84" s="250">
        <f t="shared" si="12"/>
        <v>975.14</v>
      </c>
      <c r="M84" s="300">
        <f t="shared" ref="M84:M96" si="13">ROUND(H84*L84,2)</f>
        <v>21492.09</v>
      </c>
      <c r="N84" s="243"/>
      <c r="O84" s="517">
        <f t="shared" si="10"/>
        <v>21492.09</v>
      </c>
    </row>
    <row r="85" spans="1:15" s="255" customFormat="1" ht="38.4" outlineLevel="3" x14ac:dyDescent="0.3">
      <c r="A85" s="35"/>
      <c r="B85" s="36"/>
      <c r="C85" s="495" t="s">
        <v>9784</v>
      </c>
      <c r="D85" s="249">
        <v>7582</v>
      </c>
      <c r="E85" s="248" t="str">
        <f>UPPER(IF($D85=0,"",IF($A85=4,_xlfn.XLOOKUP($D85,Mercado!$C:$C,Mercado!$E:$E),_xlfn.XLOOKUP($D85,Fontes!$B:$B,Fontes!$C:$C))))</f>
        <v>ORSE</v>
      </c>
      <c r="F85" s="327" t="s">
        <v>3493</v>
      </c>
      <c r="G85" s="249" t="str">
        <f>UPPER(IF($D85=0,"",IF($A85=4,_xlfn.XLOOKUP($D85,Mercado!$C:$C,Mercado!$G:$G),_xlfn.XLOOKUP($D85,Fontes!$B:$B,Fontes!$E:$E))))</f>
        <v>M²</v>
      </c>
      <c r="H85" s="252">
        <v>898.48</v>
      </c>
      <c r="I85" s="252">
        <f>IF($A85="M",_xlfn.XLOOKUP($D85,Mercado!$C:$C,Mercado!$I:$I),_xlfn.XLOOKUP($D85,Fontes!$B:$B,Fontes!$J:$J))</f>
        <v>69.89</v>
      </c>
      <c r="J85" s="252">
        <f>IF($A85="M",_xlfn.XLOOKUP($D85,Mercado!$C:$C,Mercado!$J:$J),_xlfn.XLOOKUP($D85,Fontes!$B:$B,Fontes!$H:$H))</f>
        <v>32.17</v>
      </c>
      <c r="K85" s="252">
        <f>IF($A85="M",0,_xlfn.XLOOKUP($D85,Fontes!$B:$B,Fontes!$I:$I))</f>
        <v>0.16</v>
      </c>
      <c r="L85" s="250">
        <f t="shared" si="12"/>
        <v>102.22</v>
      </c>
      <c r="M85" s="300">
        <f t="shared" si="13"/>
        <v>91842.63</v>
      </c>
      <c r="N85" s="243"/>
      <c r="O85" s="517">
        <f t="shared" si="10"/>
        <v>91842.63</v>
      </c>
    </row>
    <row r="86" spans="1:15" s="255" customFormat="1" ht="38.4" outlineLevel="3" x14ac:dyDescent="0.3">
      <c r="A86" s="35"/>
      <c r="B86" s="36"/>
      <c r="C86" s="495" t="s">
        <v>9785</v>
      </c>
      <c r="D86" s="249">
        <v>96544</v>
      </c>
      <c r="E86" s="249" t="str">
        <f>UPPER(IF($D86=0,"",IF($A86=4,_xlfn.XLOOKUP($D86,Mercado!$C:$C,Mercado!$E:$E),_xlfn.XLOOKUP($D86,Fontes!$B:$B,Fontes!$C:$C))))</f>
        <v>SINAPI</v>
      </c>
      <c r="F86" s="327" t="s">
        <v>184</v>
      </c>
      <c r="G86" s="249" t="str">
        <f>UPPER(IF($D86=0,"",IF($A86=4,_xlfn.XLOOKUP($D86,Mercado!$C:$C,Mercado!$G:$G),_xlfn.XLOOKUP($D86,Fontes!$B:$B,Fontes!$E:$E))))</f>
        <v>KG</v>
      </c>
      <c r="H86" s="252">
        <v>1191</v>
      </c>
      <c r="I86" s="252">
        <f>IF($A86="M",_xlfn.XLOOKUP($D86,Mercado!$C:$C,Mercado!$I:$I),_xlfn.XLOOKUP($D86,Fontes!$B:$B,Fontes!$J:$J))</f>
        <v>12.59</v>
      </c>
      <c r="J86" s="252">
        <f>IF($A86="M",_xlfn.XLOOKUP($D86,Mercado!$C:$C,Mercado!$J:$J),_xlfn.XLOOKUP($D86,Fontes!$B:$B,Fontes!$H:$H))</f>
        <v>8.85</v>
      </c>
      <c r="K86" s="252">
        <f>IF($A86="M",0,_xlfn.XLOOKUP($D86,Fontes!$B:$B,Fontes!$I:$I))</f>
        <v>0.64</v>
      </c>
      <c r="L86" s="250">
        <f t="shared" si="12"/>
        <v>22.08</v>
      </c>
      <c r="M86" s="300">
        <f t="shared" si="13"/>
        <v>26297.279999999999</v>
      </c>
      <c r="N86" s="243"/>
      <c r="O86" s="517">
        <f t="shared" si="10"/>
        <v>26297.279999999999</v>
      </c>
    </row>
    <row r="87" spans="1:15" s="255" customFormat="1" ht="38.4" outlineLevel="3" x14ac:dyDescent="0.3">
      <c r="A87" s="35"/>
      <c r="B87" s="36"/>
      <c r="C87" s="495" t="s">
        <v>9786</v>
      </c>
      <c r="D87" s="249">
        <v>96545</v>
      </c>
      <c r="E87" s="249" t="str">
        <f>UPPER(IF($D87=0,"",IF($A87=4,_xlfn.XLOOKUP($D87,Mercado!$C:$C,Mercado!$E:$E),_xlfn.XLOOKUP($D87,Fontes!$B:$B,Fontes!$C:$C))))</f>
        <v>SINAPI</v>
      </c>
      <c r="F87" s="327" t="s">
        <v>185</v>
      </c>
      <c r="G87" s="249" t="str">
        <f>UPPER(IF($D87=0,"",IF($A87=4,_xlfn.XLOOKUP($D87,Mercado!$C:$C,Mercado!$G:$G),_xlfn.XLOOKUP($D87,Fontes!$B:$B,Fontes!$E:$E))))</f>
        <v>KG</v>
      </c>
      <c r="H87" s="252">
        <v>43</v>
      </c>
      <c r="I87" s="252">
        <f>IF($A87="M",_xlfn.XLOOKUP($D87,Mercado!$C:$C,Mercado!$I:$I),_xlfn.XLOOKUP($D87,Fontes!$B:$B,Fontes!$J:$J))</f>
        <v>12.28</v>
      </c>
      <c r="J87" s="252">
        <f>IF($A87="M",_xlfn.XLOOKUP($D87,Mercado!$C:$C,Mercado!$J:$J),_xlfn.XLOOKUP($D87,Fontes!$B:$B,Fontes!$H:$H))</f>
        <v>6.5</v>
      </c>
      <c r="K87" s="252">
        <f>IF($A87="M",0,_xlfn.XLOOKUP($D87,Fontes!$B:$B,Fontes!$I:$I))</f>
        <v>0.48</v>
      </c>
      <c r="L87" s="250">
        <f t="shared" si="12"/>
        <v>19.260000000000002</v>
      </c>
      <c r="M87" s="300">
        <f t="shared" si="13"/>
        <v>828.18</v>
      </c>
      <c r="N87" s="243"/>
      <c r="O87" s="517">
        <f t="shared" si="10"/>
        <v>828.18</v>
      </c>
    </row>
    <row r="88" spans="1:15" s="255" customFormat="1" ht="38.4" outlineLevel="3" x14ac:dyDescent="0.3">
      <c r="A88" s="35"/>
      <c r="B88" s="36"/>
      <c r="C88" s="495" t="s">
        <v>9787</v>
      </c>
      <c r="D88" s="249">
        <v>96546</v>
      </c>
      <c r="E88" s="249" t="str">
        <f>UPPER(IF($D88=0,"",IF($A88=4,_xlfn.XLOOKUP($D88,Mercado!$C:$C,Mercado!$E:$E),_xlfn.XLOOKUP($D88,Fontes!$B:$B,Fontes!$C:$C))))</f>
        <v>SINAPI</v>
      </c>
      <c r="F88" s="327" t="s">
        <v>186</v>
      </c>
      <c r="G88" s="249" t="str">
        <f>UPPER(IF($D88=0,"",IF($A88=4,_xlfn.XLOOKUP($D88,Mercado!$C:$C,Mercado!$G:$G),_xlfn.XLOOKUP($D88,Fontes!$B:$B,Fontes!$E:$E))))</f>
        <v>KG</v>
      </c>
      <c r="H88" s="252">
        <v>3609</v>
      </c>
      <c r="I88" s="252">
        <f>IF($A88="M",_xlfn.XLOOKUP($D88,Mercado!$C:$C,Mercado!$I:$I),_xlfn.XLOOKUP($D88,Fontes!$B:$B,Fontes!$J:$J))</f>
        <v>11.23</v>
      </c>
      <c r="J88" s="252">
        <f>IF($A88="M",_xlfn.XLOOKUP($D88,Mercado!$C:$C,Mercado!$J:$J),_xlfn.XLOOKUP($D88,Fontes!$B:$B,Fontes!$H:$H))</f>
        <v>4.9000000000000004</v>
      </c>
      <c r="K88" s="252">
        <f>IF($A88="M",0,_xlfn.XLOOKUP($D88,Fontes!$B:$B,Fontes!$I:$I))</f>
        <v>0.37</v>
      </c>
      <c r="L88" s="250">
        <f t="shared" si="12"/>
        <v>16.500000000000004</v>
      </c>
      <c r="M88" s="300">
        <f t="shared" si="13"/>
        <v>59548.5</v>
      </c>
      <c r="N88" s="243"/>
      <c r="O88" s="517">
        <f t="shared" si="10"/>
        <v>59548.5</v>
      </c>
    </row>
    <row r="89" spans="1:15" s="255" customFormat="1" ht="38.4" outlineLevel="3" x14ac:dyDescent="0.3">
      <c r="A89" s="35"/>
      <c r="B89" s="36"/>
      <c r="C89" s="495" t="s">
        <v>9788</v>
      </c>
      <c r="D89" s="249">
        <v>96547</v>
      </c>
      <c r="E89" s="248" t="str">
        <f>UPPER(IF($D89=0,"",IF($A89=4,_xlfn.XLOOKUP($D89,Mercado!$C:$C,Mercado!$E:$E),_xlfn.XLOOKUP($D89,Fontes!$B:$B,Fontes!$C:$C))))</f>
        <v>SINAPI</v>
      </c>
      <c r="F89" s="327" t="s">
        <v>187</v>
      </c>
      <c r="G89" s="249" t="str">
        <f>UPPER(IF($D89=0,"",IF($A89=4,_xlfn.XLOOKUP($D89,Mercado!$C:$C,Mercado!$G:$G),_xlfn.XLOOKUP($D89,Fontes!$B:$B,Fontes!$E:$E))))</f>
        <v>KG</v>
      </c>
      <c r="H89" s="252">
        <v>3439</v>
      </c>
      <c r="I89" s="252">
        <f>IF($A89="M",_xlfn.XLOOKUP($D89,Mercado!$C:$C,Mercado!$I:$I),_xlfn.XLOOKUP($D89,Fontes!$B:$B,Fontes!$J:$J))</f>
        <v>9.3800000000000008</v>
      </c>
      <c r="J89" s="252">
        <f>IF($A89="M",_xlfn.XLOOKUP($D89,Mercado!$C:$C,Mercado!$J:$J),_xlfn.XLOOKUP($D89,Fontes!$B:$B,Fontes!$H:$H))</f>
        <v>2.83</v>
      </c>
      <c r="K89" s="252">
        <f>IF($A89="M",0,_xlfn.XLOOKUP($D89,Fontes!$B:$B,Fontes!$I:$I))</f>
        <v>0.23</v>
      </c>
      <c r="L89" s="250">
        <f t="shared" si="12"/>
        <v>12.440000000000001</v>
      </c>
      <c r="M89" s="300">
        <f t="shared" si="13"/>
        <v>42781.16</v>
      </c>
      <c r="N89" s="243"/>
      <c r="O89" s="517">
        <f t="shared" si="10"/>
        <v>42781.16</v>
      </c>
    </row>
    <row r="90" spans="1:15" s="255" customFormat="1" ht="38.4" outlineLevel="3" x14ac:dyDescent="0.3">
      <c r="A90" s="35"/>
      <c r="B90" s="36"/>
      <c r="C90" s="495" t="s">
        <v>9789</v>
      </c>
      <c r="D90" s="249">
        <v>96548</v>
      </c>
      <c r="E90" s="248" t="str">
        <f>UPPER(IF($D90=0,"",IF($A90=4,_xlfn.XLOOKUP($D90,Mercado!$C:$C,Mercado!$E:$E),_xlfn.XLOOKUP($D90,Fontes!$B:$B,Fontes!$C:$C))))</f>
        <v>SINAPI</v>
      </c>
      <c r="F90" s="327" t="s">
        <v>188</v>
      </c>
      <c r="G90" s="249" t="str">
        <f>UPPER(IF($D90=0,"",IF($A90=4,_xlfn.XLOOKUP($D90,Mercado!$C:$C,Mercado!$G:$G),_xlfn.XLOOKUP($D90,Fontes!$B:$B,Fontes!$E:$E))))</f>
        <v>KG</v>
      </c>
      <c r="H90" s="252">
        <v>7661</v>
      </c>
      <c r="I90" s="252">
        <f>IF($A90="M",_xlfn.XLOOKUP($D90,Mercado!$C:$C,Mercado!$I:$I),_xlfn.XLOOKUP($D90,Fontes!$B:$B,Fontes!$J:$J))</f>
        <v>9.1</v>
      </c>
      <c r="J90" s="252">
        <f>IF($A90="M",_xlfn.XLOOKUP($D90,Mercado!$C:$C,Mercado!$J:$J),_xlfn.XLOOKUP($D90,Fontes!$B:$B,Fontes!$H:$H))</f>
        <v>2.0099999999999998</v>
      </c>
      <c r="K90" s="252">
        <f>IF($A90="M",0,_xlfn.XLOOKUP($D90,Fontes!$B:$B,Fontes!$I:$I))</f>
        <v>0.17</v>
      </c>
      <c r="L90" s="250">
        <f t="shared" si="12"/>
        <v>11.28</v>
      </c>
      <c r="M90" s="300">
        <f t="shared" si="13"/>
        <v>86416.08</v>
      </c>
      <c r="N90" s="243"/>
      <c r="O90" s="517">
        <f t="shared" si="10"/>
        <v>86416.08</v>
      </c>
    </row>
    <row r="91" spans="1:15" s="255" customFormat="1" ht="38.4" outlineLevel="3" x14ac:dyDescent="0.3">
      <c r="A91" s="35"/>
      <c r="B91" s="36"/>
      <c r="C91" s="495" t="s">
        <v>9790</v>
      </c>
      <c r="D91" s="249">
        <v>96549</v>
      </c>
      <c r="E91" s="248" t="str">
        <f>UPPER(IF($D91=0,"",IF($A91=4,_xlfn.XLOOKUP($D91,Mercado!$C:$C,Mercado!$E:$E),_xlfn.XLOOKUP($D91,Fontes!$B:$B,Fontes!$C:$C))))</f>
        <v>SINAPI</v>
      </c>
      <c r="F91" s="327" t="s">
        <v>189</v>
      </c>
      <c r="G91" s="249" t="str">
        <f>UPPER(IF($D91=0,"",IF($A91=4,_xlfn.XLOOKUP($D91,Mercado!$C:$C,Mercado!$G:$G),_xlfn.XLOOKUP($D91,Fontes!$B:$B,Fontes!$E:$E))))</f>
        <v>KG</v>
      </c>
      <c r="H91" s="252">
        <v>12385</v>
      </c>
      <c r="I91" s="252">
        <f>IF($A91="M",_xlfn.XLOOKUP($D91,Mercado!$C:$C,Mercado!$I:$I),_xlfn.XLOOKUP($D91,Fontes!$B:$B,Fontes!$J:$J))</f>
        <v>10.42</v>
      </c>
      <c r="J91" s="252">
        <f>IF($A91="M",_xlfn.XLOOKUP($D91,Mercado!$C:$C,Mercado!$J:$J),_xlfn.XLOOKUP($D91,Fontes!$B:$B,Fontes!$H:$H))</f>
        <v>1.46</v>
      </c>
      <c r="K91" s="252">
        <f>IF($A91="M",0,_xlfn.XLOOKUP($D91,Fontes!$B:$B,Fontes!$I:$I))</f>
        <v>0.12</v>
      </c>
      <c r="L91" s="250">
        <f t="shared" si="12"/>
        <v>11.999999999999998</v>
      </c>
      <c r="M91" s="300">
        <f t="shared" si="13"/>
        <v>148620</v>
      </c>
      <c r="N91" s="243"/>
      <c r="O91" s="517">
        <f t="shared" si="10"/>
        <v>148620</v>
      </c>
    </row>
    <row r="92" spans="1:15" s="255" customFormat="1" outlineLevel="3" x14ac:dyDescent="0.3">
      <c r="A92" s="35"/>
      <c r="B92" s="36"/>
      <c r="C92" s="495" t="s">
        <v>9791</v>
      </c>
      <c r="D92" s="481" t="s">
        <v>754</v>
      </c>
      <c r="E92" s="248" t="str">
        <f>UPPER(IF($D92=0,"",IF($A92=4,_xlfn.XLOOKUP($D92,Mercado!$C:$C,Mercado!$E:$E),_xlfn.XLOOKUP($D92,Fontes!$B:$B,Fontes!$C:$C))))</f>
        <v>CPOS/CDHU</v>
      </c>
      <c r="F92" s="327" t="s">
        <v>3492</v>
      </c>
      <c r="G92" s="249" t="str">
        <f>UPPER(IF($D92=0,"",IF($A92=4,_xlfn.XLOOKUP($D92,Mercado!$C:$C,Mercado!$G:$G),_xlfn.XLOOKUP($D92,Fontes!$B:$B,Fontes!$E:$E))))</f>
        <v>M³</v>
      </c>
      <c r="H92" s="252">
        <v>388.54</v>
      </c>
      <c r="I92" s="252">
        <f>IF($A92="M",_xlfn.XLOOKUP($D92,Mercado!$C:$C,Mercado!$I:$I),_xlfn.XLOOKUP($D92,Fontes!$B:$B,Fontes!$J:$J))</f>
        <v>598.41999999999996</v>
      </c>
      <c r="J92" s="252">
        <f>IF($A92="M",_xlfn.XLOOKUP($D92,Mercado!$C:$C,Mercado!$J:$J),_xlfn.XLOOKUP($D92,Fontes!$B:$B,Fontes!$H:$H))</f>
        <v>0</v>
      </c>
      <c r="K92" s="252">
        <f>IF($A92="M",0,_xlfn.XLOOKUP($D92,Fontes!$B:$B,Fontes!$I:$I))</f>
        <v>0</v>
      </c>
      <c r="L92" s="250">
        <f t="shared" si="12"/>
        <v>598.41999999999996</v>
      </c>
      <c r="M92" s="300">
        <f t="shared" si="13"/>
        <v>232510.11</v>
      </c>
      <c r="N92" s="243"/>
      <c r="O92" s="517">
        <f t="shared" si="10"/>
        <v>232510.11</v>
      </c>
    </row>
    <row r="93" spans="1:15" s="255" customFormat="1" ht="57.6" outlineLevel="3" x14ac:dyDescent="0.3">
      <c r="A93" s="35"/>
      <c r="B93" s="36"/>
      <c r="C93" s="495" t="s">
        <v>9792</v>
      </c>
      <c r="D93" s="481">
        <v>90285</v>
      </c>
      <c r="E93" s="248" t="str">
        <f>UPPER(IF($D93=0,"",IF($A93=4,_xlfn.XLOOKUP($D93,Mercado!$C:$C,Mercado!$E:$E),_xlfn.XLOOKUP($D93,Fontes!$B:$B,Fontes!$C:$C))))</f>
        <v>SINAPI</v>
      </c>
      <c r="F93" s="327" t="s">
        <v>348</v>
      </c>
      <c r="G93" s="249" t="str">
        <f>UPPER(IF($D93=0,"",IF($A93=4,_xlfn.XLOOKUP($D93,Mercado!$C:$C,Mercado!$G:$G),_xlfn.XLOOKUP($D93,Fontes!$B:$B,Fontes!$E:$E))))</f>
        <v>M³</v>
      </c>
      <c r="H93" s="252">
        <v>6.6</v>
      </c>
      <c r="I93" s="252">
        <f>IF($A93="M",_xlfn.XLOOKUP($D93,Mercado!$C:$C,Mercado!$I:$I),_xlfn.XLOOKUP($D93,Fontes!$B:$B,Fontes!$J:$J))</f>
        <v>666.94</v>
      </c>
      <c r="J93" s="252">
        <f>IF($A93="M",_xlfn.XLOOKUP($D93,Mercado!$C:$C,Mercado!$J:$J),_xlfn.XLOOKUP($D93,Fontes!$B:$B,Fontes!$H:$H))</f>
        <v>93.16</v>
      </c>
      <c r="K93" s="252">
        <f>IF($A93="M",0,_xlfn.XLOOKUP($D93,Fontes!$B:$B,Fontes!$I:$I))</f>
        <v>8.48</v>
      </c>
      <c r="L93" s="250">
        <f t="shared" si="12"/>
        <v>768.58</v>
      </c>
      <c r="M93" s="300">
        <f t="shared" si="13"/>
        <v>5072.63</v>
      </c>
      <c r="N93" s="243"/>
      <c r="O93" s="517">
        <f t="shared" si="10"/>
        <v>5072.63</v>
      </c>
    </row>
    <row r="94" spans="1:15" s="255" customFormat="1" ht="38.4" outlineLevel="3" x14ac:dyDescent="0.3">
      <c r="A94" s="35"/>
      <c r="B94" s="36"/>
      <c r="C94" s="495" t="s">
        <v>9793</v>
      </c>
      <c r="D94" s="481" t="s">
        <v>1996</v>
      </c>
      <c r="E94" s="248" t="str">
        <f>UPPER(IF($D94=0,"",IF($A94=4,_xlfn.XLOOKUP($D94,Mercado!$C:$C,Mercado!$E:$E),_xlfn.XLOOKUP($D94,Fontes!$B:$B,Fontes!$C:$C))))</f>
        <v>CPOS/CDHU</v>
      </c>
      <c r="F94" s="327" t="s">
        <v>3494</v>
      </c>
      <c r="G94" s="249" t="str">
        <f>UPPER(IF($D94=0,"",IF($A94=4,_xlfn.XLOOKUP($D94,Mercado!$C:$C,Mercado!$G:$G),_xlfn.XLOOKUP($D94,Fontes!$B:$B,Fontes!$E:$E))))</f>
        <v>M³</v>
      </c>
      <c r="H94" s="252">
        <f>+H92</f>
        <v>388.54</v>
      </c>
      <c r="I94" s="252">
        <f>IF($A94="M",_xlfn.XLOOKUP($D94,Mercado!$C:$C,Mercado!$I:$I),_xlfn.XLOOKUP($D94,Fontes!$B:$B,Fontes!$J:$J))</f>
        <v>0</v>
      </c>
      <c r="J94" s="252">
        <f>IF($A94="M",_xlfn.XLOOKUP($D94,Mercado!$C:$C,Mercado!$J:$J),_xlfn.XLOOKUP($D94,Fontes!$B:$B,Fontes!$H:$H))</f>
        <v>191.54</v>
      </c>
      <c r="K94" s="252">
        <f>IF($A94="M",0,_xlfn.XLOOKUP($D94,Fontes!$B:$B,Fontes!$I:$I))</f>
        <v>0</v>
      </c>
      <c r="L94" s="250">
        <f t="shared" si="12"/>
        <v>191.54</v>
      </c>
      <c r="M94" s="300">
        <f t="shared" si="13"/>
        <v>74420.95</v>
      </c>
      <c r="N94" s="243"/>
      <c r="O94" s="517">
        <f t="shared" ref="O94" si="14">IF(D94&lt;&gt;0,M94,"")</f>
        <v>74420.95</v>
      </c>
    </row>
    <row r="95" spans="1:15" s="255" customFormat="1" ht="38.4" outlineLevel="3" x14ac:dyDescent="0.3">
      <c r="A95" s="35"/>
      <c r="B95" s="36"/>
      <c r="C95" s="495" t="s">
        <v>9794</v>
      </c>
      <c r="D95" s="481">
        <v>97089</v>
      </c>
      <c r="E95" s="248" t="str">
        <f>UPPER(IF($D95=0,"",IF($A95=4,_xlfn.XLOOKUP($D95,Mercado!$C:$C,Mercado!$E:$E),_xlfn.XLOOKUP($D95,Fontes!$B:$B,Fontes!$C:$C))))</f>
        <v>SINAPI</v>
      </c>
      <c r="F95" s="327" t="s">
        <v>8470</v>
      </c>
      <c r="G95" s="249" t="s">
        <v>9</v>
      </c>
      <c r="H95" s="252">
        <v>818</v>
      </c>
      <c r="I95" s="252">
        <f>IF($A95="M",_xlfn.XLOOKUP($D95,Mercado!$C:$C,Mercado!$I:$I),_xlfn.XLOOKUP($D95,Fontes!$B:$B,Fontes!$J:$J))</f>
        <v>12.15</v>
      </c>
      <c r="J95" s="252">
        <f>IF($A95="M",_xlfn.XLOOKUP($D95,Mercado!$C:$C,Mercado!$J:$J),_xlfn.XLOOKUP($D95,Fontes!$B:$B,Fontes!$H:$H))</f>
        <v>1.41</v>
      </c>
      <c r="K95" s="252">
        <f>IF($A95="M",0,_xlfn.XLOOKUP($D95,Fontes!$B:$B,Fontes!$I:$I))</f>
        <v>0.11</v>
      </c>
      <c r="L95" s="250">
        <f t="shared" si="12"/>
        <v>13.67</v>
      </c>
      <c r="M95" s="300">
        <f t="shared" si="13"/>
        <v>11182.06</v>
      </c>
      <c r="N95" s="243"/>
      <c r="O95" s="517">
        <f t="shared" si="10"/>
        <v>11182.06</v>
      </c>
    </row>
    <row r="96" spans="1:15" outlineLevel="3" x14ac:dyDescent="0.3">
      <c r="A96" s="36" t="s">
        <v>7</v>
      </c>
      <c r="B96" s="36"/>
      <c r="C96" s="495" t="s">
        <v>781</v>
      </c>
      <c r="D96" s="249"/>
      <c r="E96" s="248" t="str">
        <f>UPPER(IF($D96=0,"",IF($A96=4,_xlfn.XLOOKUP($D96,Mercado!$C:$C,Mercado!$E:$E),_xlfn.XLOOKUP($D96,Fontes!$B:$B,Fontes!$C:$C))))</f>
        <v/>
      </c>
      <c r="F96" s="327" t="s">
        <v>781</v>
      </c>
      <c r="G96" s="249"/>
      <c r="H96" s="252"/>
      <c r="I96" s="252">
        <f>IF($A96="M",_xlfn.XLOOKUP($D96,Mercado!$C:$C,Mercado!$I:$I),_xlfn.XLOOKUP($D96,Fontes!$B:$B,Fontes!$J:$J))</f>
        <v>0</v>
      </c>
      <c r="J96" s="252">
        <f>IF($A96="M",_xlfn.XLOOKUP($D96,Mercado!$C:$C,Mercado!$J:$J),_xlfn.XLOOKUP($D96,Fontes!$B:$B,Fontes!$H:$H))</f>
        <v>0</v>
      </c>
      <c r="K96" s="252">
        <f>IF($A96="M",0,_xlfn.XLOOKUP($D96,Fontes!$B:$B,Fontes!$I:$I))</f>
        <v>0</v>
      </c>
      <c r="L96" s="250">
        <f t="shared" si="12"/>
        <v>0</v>
      </c>
      <c r="M96" s="300">
        <f t="shared" si="13"/>
        <v>0</v>
      </c>
      <c r="O96" s="517" t="str">
        <f t="shared" si="10"/>
        <v/>
      </c>
    </row>
    <row r="97" spans="1:15" outlineLevel="2" x14ac:dyDescent="0.3">
      <c r="A97" s="36" t="s">
        <v>7</v>
      </c>
      <c r="B97" s="36"/>
      <c r="C97" s="496" t="s">
        <v>9795</v>
      </c>
      <c r="D97" s="253"/>
      <c r="E97" s="256" t="str">
        <f>UPPER(IF($D97=0,"",IF($A97=4,_xlfn.XLOOKUP($D97,Mercado!$C:$C,Mercado!$E:$E),_xlfn.XLOOKUP($D97,Fontes!$B:$B,Fontes!$C:$C))))</f>
        <v/>
      </c>
      <c r="F97" s="329" t="s">
        <v>762</v>
      </c>
      <c r="G97" s="253"/>
      <c r="H97" s="254"/>
      <c r="I97" s="254">
        <f>IF($A97="M",_xlfn.XLOOKUP($D97,Mercado!$C:$C,Mercado!$I:$I),_xlfn.XLOOKUP($D97,Fontes!$B:$B,Fontes!$J:$J))</f>
        <v>0</v>
      </c>
      <c r="J97" s="254">
        <f>IF($A97="M",_xlfn.XLOOKUP($D97,Mercado!$C:$C,Mercado!$J:$J),_xlfn.XLOOKUP($D97,Fontes!$B:$B,Fontes!$H:$H))</f>
        <v>0</v>
      </c>
      <c r="K97" s="254">
        <f>IF($A97="M",0,_xlfn.XLOOKUP($D97,Fontes!$B:$B,Fontes!$I:$I))</f>
        <v>0</v>
      </c>
      <c r="L97" s="254">
        <f t="shared" si="12"/>
        <v>0</v>
      </c>
      <c r="M97" s="497">
        <f>SUBTOTAL(9,M98:M109)</f>
        <v>469761.38</v>
      </c>
      <c r="O97" s="517" t="str">
        <f t="shared" si="10"/>
        <v/>
      </c>
    </row>
    <row r="98" spans="1:15" s="255" customFormat="1" ht="57.6" outlineLevel="3" x14ac:dyDescent="0.3">
      <c r="A98" s="35"/>
      <c r="B98" s="36"/>
      <c r="C98" s="495" t="s">
        <v>9796</v>
      </c>
      <c r="D98" s="249">
        <v>100890</v>
      </c>
      <c r="E98" s="248" t="str">
        <f>UPPER(IF($D98=0,"",IF($A98=4,_xlfn.XLOOKUP($D98,Mercado!$C:$C,Mercado!$E:$E),_xlfn.XLOOKUP($D98,Fontes!$B:$B,Fontes!$C:$C))))</f>
        <v>SINAPI</v>
      </c>
      <c r="F98" s="327" t="s">
        <v>8373</v>
      </c>
      <c r="G98" s="249" t="str">
        <f>UPPER(IF($D98=0,"",IF($A98=4,_xlfn.XLOOKUP($D98,Mercado!$C:$C,Mercado!$G:$G),_xlfn.XLOOKUP($D98,Fontes!$B:$B,Fontes!$E:$E))))</f>
        <v>KG</v>
      </c>
      <c r="H98" s="252">
        <v>12170.4</v>
      </c>
      <c r="I98" s="252">
        <f>IF($A98="M",_xlfn.XLOOKUP($D98,Mercado!$C:$C,Mercado!$I:$I),_xlfn.XLOOKUP($D98,Fontes!$B:$B,Fontes!$J:$J))</f>
        <v>11.41</v>
      </c>
      <c r="J98" s="252">
        <f>IF($A98="M",_xlfn.XLOOKUP($D98,Mercado!$C:$C,Mercado!$J:$J),_xlfn.XLOOKUP($D98,Fontes!$B:$B,Fontes!$H:$H))</f>
        <v>0.52</v>
      </c>
      <c r="K98" s="252">
        <f>IF($A98="M",0,_xlfn.XLOOKUP($D98,Fontes!$B:$B,Fontes!$I:$I))</f>
        <v>0.17</v>
      </c>
      <c r="L98" s="250">
        <f t="shared" si="12"/>
        <v>12.1</v>
      </c>
      <c r="M98" s="300">
        <f t="shared" ref="M98:M109" si="15">ROUND(H98*L98,2)</f>
        <v>147261.84</v>
      </c>
      <c r="N98" s="243"/>
      <c r="O98" s="517">
        <f t="shared" si="10"/>
        <v>147261.84</v>
      </c>
    </row>
    <row r="99" spans="1:15" s="255" customFormat="1" outlineLevel="3" x14ac:dyDescent="0.3">
      <c r="A99" s="35"/>
      <c r="B99" s="36"/>
      <c r="C99" s="495" t="s">
        <v>9797</v>
      </c>
      <c r="D99" s="249" t="s">
        <v>8375</v>
      </c>
      <c r="E99" s="248" t="str">
        <f>UPPER(IF($D99=0,"",IF($A99=4,_xlfn.XLOOKUP($D99,Mercado!$C:$C,Mercado!$E:$E),_xlfn.XLOOKUP($D99,Fontes!$B:$B,Fontes!$C:$C))))</f>
        <v>FDE</v>
      </c>
      <c r="F99" s="328" t="s">
        <v>8374</v>
      </c>
      <c r="G99" s="249" t="s">
        <v>7</v>
      </c>
      <c r="H99" s="252">
        <v>256</v>
      </c>
      <c r="I99" s="252">
        <f>IF($A99="M",_xlfn.XLOOKUP($D99,Mercado!$C:$C,Mercado!$I:$I),_xlfn.XLOOKUP($D99,Fontes!$B:$B,Fontes!$J:$J))</f>
        <v>617.09</v>
      </c>
      <c r="J99" s="252">
        <f>IF($A99="M",_xlfn.XLOOKUP($D99,Mercado!$C:$C,Mercado!$J:$J),_xlfn.XLOOKUP($D99,Fontes!$B:$B,Fontes!$H:$H))</f>
        <v>9.16</v>
      </c>
      <c r="K99" s="252">
        <f>IF($A99="M",0,_xlfn.XLOOKUP($D99,Fontes!$B:$B,Fontes!$I:$I))</f>
        <v>0</v>
      </c>
      <c r="L99" s="250">
        <f t="shared" si="12"/>
        <v>626.25</v>
      </c>
      <c r="M99" s="300">
        <f t="shared" si="15"/>
        <v>160320</v>
      </c>
      <c r="N99" s="243"/>
      <c r="O99" s="517">
        <f t="shared" si="10"/>
        <v>160320</v>
      </c>
    </row>
    <row r="100" spans="1:15" s="255" customFormat="1" outlineLevel="3" x14ac:dyDescent="0.3">
      <c r="A100" s="35"/>
      <c r="B100" s="36"/>
      <c r="C100" s="495" t="s">
        <v>9798</v>
      </c>
      <c r="D100" s="249">
        <v>31085</v>
      </c>
      <c r="E100" s="248" t="str">
        <f>UPPER(IF($D100=0,"",IF($A100=4,_xlfn.XLOOKUP($D100,Mercado!$C:$C,Mercado!$E:$E),_xlfn.XLOOKUP($D100,Fontes!$B:$B,Fontes!$C:$C))))</f>
        <v>SBC</v>
      </c>
      <c r="F100" s="327" t="s">
        <v>3496</v>
      </c>
      <c r="G100" s="249" t="str">
        <f>UPPER(IF($D100=0,"",IF($A100=4,_xlfn.XLOOKUP($D100,Mercado!$C:$C,Mercado!$G:$G),_xlfn.XLOOKUP($D100,Fontes!$B:$B,Fontes!$E:$E))))</f>
        <v>UN</v>
      </c>
      <c r="H100" s="252">
        <v>10</v>
      </c>
      <c r="I100" s="252">
        <f>IF($A100="M",_xlfn.XLOOKUP($D100,Mercado!$C:$C,Mercado!$I:$I),_xlfn.XLOOKUP($D100,Fontes!$B:$B,Fontes!$J:$J))</f>
        <v>56.21</v>
      </c>
      <c r="J100" s="252">
        <f>IF($A100="M",_xlfn.XLOOKUP($D100,Mercado!$C:$C,Mercado!$J:$J),_xlfn.XLOOKUP($D100,Fontes!$B:$B,Fontes!$H:$H))</f>
        <v>46.3</v>
      </c>
      <c r="K100" s="252">
        <f>IF($A100="M",0,_xlfn.XLOOKUP($D100,Fontes!$B:$B,Fontes!$I:$I))</f>
        <v>0</v>
      </c>
      <c r="L100" s="250">
        <f t="shared" si="12"/>
        <v>102.50999999999999</v>
      </c>
      <c r="M100" s="300">
        <f t="shared" si="15"/>
        <v>1025.0999999999999</v>
      </c>
      <c r="N100" s="243"/>
      <c r="O100" s="517">
        <f t="shared" si="10"/>
        <v>1025.0999999999999</v>
      </c>
    </row>
    <row r="101" spans="1:15" s="255" customFormat="1" ht="38.4" outlineLevel="3" x14ac:dyDescent="0.3">
      <c r="A101" s="35"/>
      <c r="B101" s="36"/>
      <c r="C101" s="495" t="s">
        <v>9799</v>
      </c>
      <c r="D101" s="249">
        <v>20711</v>
      </c>
      <c r="E101" s="248" t="str">
        <f>UPPER(IF($D101=0,"",IF($A101=4,_xlfn.XLOOKUP($D101,Mercado!$C:$C,Mercado!$E:$E),_xlfn.XLOOKUP($D101,Fontes!$B:$B,Fontes!$C:$C))))</f>
        <v>SBC</v>
      </c>
      <c r="F101" s="327" t="s">
        <v>3497</v>
      </c>
      <c r="G101" s="249" t="str">
        <f>UPPER(IF($D101=0,"",IF($A101=4,_xlfn.XLOOKUP($D101,Mercado!$C:$C,Mercado!$G:$G),_xlfn.XLOOKUP($D101,Fontes!$B:$B,Fontes!$E:$E))))</f>
        <v>M</v>
      </c>
      <c r="H101" s="252">
        <v>22</v>
      </c>
      <c r="I101" s="252">
        <f>IF($A101="M",_xlfn.XLOOKUP($D101,Mercado!$C:$C,Mercado!$I:$I),_xlfn.XLOOKUP($D101,Fontes!$B:$B,Fontes!$J:$J))</f>
        <v>14.62</v>
      </c>
      <c r="J101" s="252">
        <f>IF($A101="M",_xlfn.XLOOKUP($D101,Mercado!$C:$C,Mercado!$J:$J),_xlfn.XLOOKUP($D101,Fontes!$B:$B,Fontes!$H:$H))</f>
        <v>2.72</v>
      </c>
      <c r="K101" s="252">
        <f>IF($A101="M",0,_xlfn.XLOOKUP($D101,Fontes!$B:$B,Fontes!$I:$I))</f>
        <v>0</v>
      </c>
      <c r="L101" s="250">
        <f t="shared" si="12"/>
        <v>17.34</v>
      </c>
      <c r="M101" s="300">
        <f t="shared" si="15"/>
        <v>381.48</v>
      </c>
      <c r="N101" s="243"/>
      <c r="O101" s="517">
        <f t="shared" si="10"/>
        <v>381.48</v>
      </c>
    </row>
    <row r="102" spans="1:15" s="255" customFormat="1" ht="38.4" outlineLevel="3" x14ac:dyDescent="0.3">
      <c r="A102" s="35"/>
      <c r="B102" s="36"/>
      <c r="C102" s="495" t="s">
        <v>9800</v>
      </c>
      <c r="D102" s="249" t="s">
        <v>763</v>
      </c>
      <c r="E102" s="248" t="str">
        <f>UPPER(IF($D102=0,"",IF($A102=4,_xlfn.XLOOKUP($D102,Mercado!$C:$C,Mercado!$E:$E),_xlfn.XLOOKUP($D102,Fontes!$B:$B,Fontes!$C:$C))))</f>
        <v>FDE</v>
      </c>
      <c r="F102" s="327" t="s">
        <v>778</v>
      </c>
      <c r="G102" s="249" t="str">
        <f>UPPER(IF($D102=0,"",IF($A102=4,_xlfn.XLOOKUP($D102,Mercado!$C:$C,Mercado!$G:$G),_xlfn.XLOOKUP($D102,Fontes!$B:$B,Fontes!$E:$E))))</f>
        <v>M²</v>
      </c>
      <c r="H102" s="252">
        <v>371.71</v>
      </c>
      <c r="I102" s="252">
        <f>IF($A102="M",_xlfn.XLOOKUP($D102,Mercado!$C:$C,Mercado!$I:$I),_xlfn.XLOOKUP($D102,Fontes!$B:$B,Fontes!$J:$J))</f>
        <v>214.07</v>
      </c>
      <c r="J102" s="252">
        <f>IF($A102="M",_xlfn.XLOOKUP($D102,Mercado!$C:$C,Mercado!$J:$J),_xlfn.XLOOKUP($D102,Fontes!$B:$B,Fontes!$H:$H))</f>
        <v>59.01</v>
      </c>
      <c r="K102" s="252">
        <f>IF($A102="M",0,_xlfn.XLOOKUP($D102,Fontes!$B:$B,Fontes!$I:$I))</f>
        <v>29.16</v>
      </c>
      <c r="L102" s="250">
        <f t="shared" si="12"/>
        <v>302.24</v>
      </c>
      <c r="M102" s="300">
        <f t="shared" si="15"/>
        <v>112345.63</v>
      </c>
      <c r="N102" s="243"/>
      <c r="O102" s="517">
        <f t="shared" si="10"/>
        <v>112345.63</v>
      </c>
    </row>
    <row r="103" spans="1:15" s="255" customFormat="1" outlineLevel="3" x14ac:dyDescent="0.3">
      <c r="A103" s="35"/>
      <c r="B103" s="36"/>
      <c r="C103" s="495" t="s">
        <v>9801</v>
      </c>
      <c r="D103" s="481" t="s">
        <v>754</v>
      </c>
      <c r="E103" s="248" t="str">
        <f>UPPER(IF($D103=0,"",IF($A103=4,_xlfn.XLOOKUP($D103,Mercado!$C:$C,Mercado!$E:$E),_xlfn.XLOOKUP($D103,Fontes!$B:$B,Fontes!$C:$C))))</f>
        <v>CPOS/CDHU</v>
      </c>
      <c r="F103" s="327" t="s">
        <v>3492</v>
      </c>
      <c r="G103" s="249" t="str">
        <f>UPPER(IF($D103=0,"",IF($A103=4,_xlfn.XLOOKUP($D103,Mercado!$C:$C,Mercado!$G:$G),_xlfn.XLOOKUP($D103,Fontes!$B:$B,Fontes!$E:$E))))</f>
        <v>M³</v>
      </c>
      <c r="H103" s="252">
        <v>16.73</v>
      </c>
      <c r="I103" s="252">
        <f>IF($A103="M",_xlfn.XLOOKUP($D103,Mercado!$C:$C,Mercado!$I:$I),_xlfn.XLOOKUP($D103,Fontes!$B:$B,Fontes!$J:$J))</f>
        <v>598.41999999999996</v>
      </c>
      <c r="J103" s="252">
        <f>IF($A103="M",_xlfn.XLOOKUP($D103,Mercado!$C:$C,Mercado!$J:$J),_xlfn.XLOOKUP($D103,Fontes!$B:$B,Fontes!$H:$H))</f>
        <v>0</v>
      </c>
      <c r="K103" s="252">
        <f>IF($A103="M",0,_xlfn.XLOOKUP($D103,Fontes!$B:$B,Fontes!$I:$I))</f>
        <v>0</v>
      </c>
      <c r="L103" s="250">
        <f t="shared" si="12"/>
        <v>598.41999999999996</v>
      </c>
      <c r="M103" s="300">
        <f t="shared" si="15"/>
        <v>10011.57</v>
      </c>
      <c r="N103" s="243"/>
      <c r="O103" s="517">
        <f t="shared" si="10"/>
        <v>10011.57</v>
      </c>
    </row>
    <row r="104" spans="1:15" s="255" customFormat="1" ht="38.4" outlineLevel="3" x14ac:dyDescent="0.3">
      <c r="A104" s="35"/>
      <c r="B104" s="36"/>
      <c r="C104" s="495" t="s">
        <v>9802</v>
      </c>
      <c r="D104" s="481" t="s">
        <v>1997</v>
      </c>
      <c r="E104" s="248" t="str">
        <f>UPPER(IF($D104=0,"",IF($A104=4,_xlfn.XLOOKUP($D104,Mercado!$C:$C,Mercado!$E:$E),_xlfn.XLOOKUP($D104,Fontes!$B:$B,Fontes!$C:$C))))</f>
        <v>CPOS/CDHU</v>
      </c>
      <c r="F104" s="327" t="s">
        <v>3498</v>
      </c>
      <c r="G104" s="249" t="str">
        <f>UPPER(IF($D104=0,"",IF($A104=4,_xlfn.XLOOKUP($D104,Mercado!$C:$C,Mercado!$G:$G),_xlfn.XLOOKUP($D104,Fontes!$B:$B,Fontes!$E:$E))))</f>
        <v>M³</v>
      </c>
      <c r="H104" s="252">
        <f>+H103</f>
        <v>16.73</v>
      </c>
      <c r="I104" s="252">
        <f>IF($A104="M",_xlfn.XLOOKUP($D104,Mercado!$C:$C,Mercado!$I:$I),_xlfn.XLOOKUP($D104,Fontes!$B:$B,Fontes!$J:$J))</f>
        <v>0</v>
      </c>
      <c r="J104" s="252">
        <f>IF($A104="M",_xlfn.XLOOKUP($D104,Mercado!$C:$C,Mercado!$J:$J),_xlfn.XLOOKUP($D104,Fontes!$B:$B,Fontes!$H:$H))</f>
        <v>132.30000000000001</v>
      </c>
      <c r="K104" s="252">
        <f>IF($A104="M",0,_xlfn.XLOOKUP($D104,Fontes!$B:$B,Fontes!$I:$I))</f>
        <v>0</v>
      </c>
      <c r="L104" s="250">
        <f t="shared" si="12"/>
        <v>132.30000000000001</v>
      </c>
      <c r="M104" s="300">
        <f t="shared" si="15"/>
        <v>2213.38</v>
      </c>
      <c r="N104" s="243"/>
      <c r="O104" s="517">
        <f t="shared" si="10"/>
        <v>2213.38</v>
      </c>
    </row>
    <row r="105" spans="1:15" s="255" customFormat="1" ht="57.6" outlineLevel="3" x14ac:dyDescent="0.3">
      <c r="A105" s="35"/>
      <c r="B105" s="36"/>
      <c r="C105" s="495" t="s">
        <v>9803</v>
      </c>
      <c r="D105" s="249">
        <v>103653</v>
      </c>
      <c r="E105" s="248" t="str">
        <f>UPPER(IF($D105=0,"",IF($A105=4,_xlfn.XLOOKUP($D105,Mercado!$C:$C,Mercado!$E:$E),_xlfn.XLOOKUP($D105,Fontes!$B:$B,Fontes!$C:$C))))</f>
        <v>SINAPI</v>
      </c>
      <c r="F105" s="327" t="s">
        <v>396</v>
      </c>
      <c r="G105" s="249" t="str">
        <f>UPPER(IF($D105=0,"",IF($A105=4,_xlfn.XLOOKUP($D105,Mercado!$C:$C,Mercado!$G:$G),_xlfn.XLOOKUP($D105,Fontes!$B:$B,Fontes!$E:$E))))</f>
        <v>M²</v>
      </c>
      <c r="H105" s="252">
        <f>186*1.2</f>
        <v>223.2</v>
      </c>
      <c r="I105" s="252">
        <f>IF($A105="M",_xlfn.XLOOKUP($D105,Mercado!$C:$C,Mercado!$I:$I),_xlfn.XLOOKUP($D105,Fontes!$B:$B,Fontes!$J:$J))</f>
        <v>39.56</v>
      </c>
      <c r="J105" s="252">
        <f>IF($A105="M",_xlfn.XLOOKUP($D105,Mercado!$C:$C,Mercado!$J:$J),_xlfn.XLOOKUP($D105,Fontes!$B:$B,Fontes!$H:$H))</f>
        <v>0.49</v>
      </c>
      <c r="K105" s="252">
        <f>IF($A105="M",0,_xlfn.XLOOKUP($D105,Fontes!$B:$B,Fontes!$I:$I))</f>
        <v>0.04</v>
      </c>
      <c r="L105" s="250">
        <f t="shared" si="12"/>
        <v>40.090000000000003</v>
      </c>
      <c r="M105" s="300">
        <f t="shared" si="15"/>
        <v>8948.09</v>
      </c>
      <c r="N105" s="243"/>
      <c r="O105" s="517">
        <f t="shared" si="10"/>
        <v>8948.09</v>
      </c>
    </row>
    <row r="106" spans="1:15" s="255" customFormat="1" ht="38.4" outlineLevel="3" x14ac:dyDescent="0.3">
      <c r="A106" s="35"/>
      <c r="B106" s="36"/>
      <c r="C106" s="495" t="s">
        <v>9804</v>
      </c>
      <c r="D106" s="249">
        <v>102718</v>
      </c>
      <c r="E106" s="248" t="str">
        <f>UPPER(IF($D106=0,"",IF($A106=4,_xlfn.XLOOKUP($D106,Mercado!$C:$C,Mercado!$E:$E),_xlfn.XLOOKUP($D106,Fontes!$B:$B,Fontes!$C:$C))))</f>
        <v>SINAPI</v>
      </c>
      <c r="F106" s="327" t="s">
        <v>346</v>
      </c>
      <c r="G106" s="249" t="str">
        <f>UPPER(IF($D106=0,"",IF($A106=4,_xlfn.XLOOKUP($D106,Mercado!$C:$C,Mercado!$G:$G),_xlfn.XLOOKUP($D106,Fontes!$B:$B,Fontes!$E:$E))))</f>
        <v>M³</v>
      </c>
      <c r="H106" s="252">
        <v>11.62</v>
      </c>
      <c r="I106" s="252">
        <f>IF($A106="M",_xlfn.XLOOKUP($D106,Mercado!$C:$C,Mercado!$I:$I),_xlfn.XLOOKUP($D106,Fontes!$B:$B,Fontes!$J:$J))</f>
        <v>128.68</v>
      </c>
      <c r="J106" s="252">
        <f>IF($A106="M",_xlfn.XLOOKUP($D106,Mercado!$C:$C,Mercado!$J:$J),_xlfn.XLOOKUP($D106,Fontes!$B:$B,Fontes!$H:$H))</f>
        <v>36.99</v>
      </c>
      <c r="K106" s="252">
        <f>IF($A106="M",0,_xlfn.XLOOKUP($D106,Fontes!$B:$B,Fontes!$I:$I))</f>
        <v>3.49</v>
      </c>
      <c r="L106" s="250">
        <f t="shared" si="12"/>
        <v>169.16000000000003</v>
      </c>
      <c r="M106" s="300">
        <f t="shared" si="15"/>
        <v>1965.64</v>
      </c>
      <c r="N106" s="243"/>
      <c r="O106" s="517">
        <f t="shared" si="10"/>
        <v>1965.64</v>
      </c>
    </row>
    <row r="107" spans="1:15" ht="57.6" outlineLevel="3" x14ac:dyDescent="0.3">
      <c r="A107" s="35"/>
      <c r="B107" s="36"/>
      <c r="C107" s="495" t="s">
        <v>9805</v>
      </c>
      <c r="D107" s="249">
        <v>96523</v>
      </c>
      <c r="E107" s="248" t="str">
        <f>UPPER(IF($D107=0,"",IF($A107=4,_xlfn.XLOOKUP($D107,Mercado!$C:$C,Mercado!$E:$E),_xlfn.XLOOKUP($D107,Fontes!$B:$B,Fontes!$C:$C))))</f>
        <v>SINAPI</v>
      </c>
      <c r="F107" s="327" t="s">
        <v>368</v>
      </c>
      <c r="G107" s="249" t="str">
        <f>UPPER(IF($D107=0,"",IF($A107=4,_xlfn.XLOOKUP($D107,Mercado!$C:$C,Mercado!$G:$G),_xlfn.XLOOKUP($D107,Fontes!$B:$B,Fontes!$E:$E))))</f>
        <v>M³</v>
      </c>
      <c r="H107" s="252">
        <v>139.38999999999999</v>
      </c>
      <c r="I107" s="252">
        <f>IF($A107="M",_xlfn.XLOOKUP($D107,Mercado!$C:$C,Mercado!$I:$I),_xlfn.XLOOKUP($D107,Fontes!$B:$B,Fontes!$J:$J))</f>
        <v>32.159999999999997</v>
      </c>
      <c r="J107" s="252">
        <f>IF($A107="M",_xlfn.XLOOKUP($D107,Mercado!$C:$C,Mercado!$J:$J),_xlfn.XLOOKUP($D107,Fontes!$B:$B,Fontes!$H:$H))</f>
        <v>101.45</v>
      </c>
      <c r="K107" s="252">
        <f>IF($A107="M",0,_xlfn.XLOOKUP($D107,Fontes!$B:$B,Fontes!$I:$I))</f>
        <v>9.6199999999999992</v>
      </c>
      <c r="L107" s="250">
        <f t="shared" si="12"/>
        <v>143.23000000000002</v>
      </c>
      <c r="M107" s="300">
        <f t="shared" si="15"/>
        <v>19964.830000000002</v>
      </c>
      <c r="N107" s="243"/>
      <c r="O107" s="517">
        <f t="shared" si="10"/>
        <v>19964.830000000002</v>
      </c>
    </row>
    <row r="108" spans="1:15" ht="38.4" outlineLevel="3" x14ac:dyDescent="0.3">
      <c r="A108" s="35"/>
      <c r="B108" s="36"/>
      <c r="C108" s="495" t="s">
        <v>9806</v>
      </c>
      <c r="D108" s="249">
        <v>93382</v>
      </c>
      <c r="E108" s="248" t="str">
        <f>UPPER(IF($D108=0,"",IF($A108=4,_xlfn.XLOOKUP($D108,Mercado!$C:$C,Mercado!$E:$E),_xlfn.XLOOKUP($D108,Fontes!$B:$B,Fontes!$C:$C))))</f>
        <v>SINAPI</v>
      </c>
      <c r="F108" s="327" t="s">
        <v>119</v>
      </c>
      <c r="G108" s="249" t="str">
        <f>UPPER(IF($D108=0,"",IF($A108=4,_xlfn.XLOOKUP($D108,Mercado!$C:$C,Mercado!$G:$G),_xlfn.XLOOKUP($D108,Fontes!$B:$B,Fontes!$E:$E))))</f>
        <v>M³</v>
      </c>
      <c r="H108" s="252">
        <v>139.99</v>
      </c>
      <c r="I108" s="250">
        <f>IF($A108="M",_xlfn.XLOOKUP($D108,Mercado!$C:$C,Mercado!$I:$I),_xlfn.XLOOKUP($D108,Fontes!$B:$B,Fontes!$J:$J))</f>
        <v>10.41</v>
      </c>
      <c r="J108" s="250">
        <f>IF($A108="M",_xlfn.XLOOKUP($D108,Mercado!$C:$C,Mercado!$J:$J),_xlfn.XLOOKUP($D108,Fontes!$B:$B,Fontes!$H:$H))</f>
        <v>24.64</v>
      </c>
      <c r="K108" s="250">
        <f>IF($A108="M",0,_xlfn.XLOOKUP($D108,Fontes!$B:$B,Fontes!$I:$I))</f>
        <v>2.98</v>
      </c>
      <c r="L108" s="250">
        <f t="shared" si="12"/>
        <v>38.029999999999994</v>
      </c>
      <c r="M108" s="300">
        <f t="shared" si="15"/>
        <v>5323.82</v>
      </c>
      <c r="N108" s="243"/>
      <c r="O108" s="517">
        <f t="shared" si="10"/>
        <v>5323.82</v>
      </c>
    </row>
    <row r="109" spans="1:15" outlineLevel="3" x14ac:dyDescent="0.3">
      <c r="A109" s="36" t="s">
        <v>7</v>
      </c>
      <c r="B109" s="36"/>
      <c r="C109" s="495" t="s">
        <v>781</v>
      </c>
      <c r="D109" s="249"/>
      <c r="E109" s="248" t="str">
        <f>UPPER(IF($D109=0,"",IF($A109=4,_xlfn.XLOOKUP($D109,Mercado!$C:$C,Mercado!$E:$E),_xlfn.XLOOKUP($D109,Fontes!$B:$B,Fontes!$C:$C))))</f>
        <v/>
      </c>
      <c r="F109" s="327" t="s">
        <v>781</v>
      </c>
      <c r="G109" s="249"/>
      <c r="H109" s="252"/>
      <c r="I109" s="252">
        <f>IF($A109="M",_xlfn.XLOOKUP($D109,Mercado!$C:$C,Mercado!$I:$I),_xlfn.XLOOKUP($D109,Fontes!$B:$B,Fontes!$J:$J))</f>
        <v>0</v>
      </c>
      <c r="J109" s="252">
        <f>IF($A109="M",_xlfn.XLOOKUP($D109,Mercado!$C:$C,Mercado!$J:$J),_xlfn.XLOOKUP($D109,Fontes!$B:$B,Fontes!$H:$H))</f>
        <v>0</v>
      </c>
      <c r="K109" s="252">
        <f>IF($A109="M",0,_xlfn.XLOOKUP($D109,Fontes!$B:$B,Fontes!$I:$I))</f>
        <v>0</v>
      </c>
      <c r="L109" s="250">
        <f t="shared" si="12"/>
        <v>0</v>
      </c>
      <c r="M109" s="300">
        <f t="shared" si="15"/>
        <v>0</v>
      </c>
      <c r="N109" s="243"/>
      <c r="O109" s="517" t="str">
        <f t="shared" si="10"/>
        <v/>
      </c>
    </row>
    <row r="110" spans="1:15" outlineLevel="2" x14ac:dyDescent="0.3">
      <c r="A110" s="36" t="s">
        <v>7</v>
      </c>
      <c r="B110" s="36"/>
      <c r="C110" s="496" t="s">
        <v>9807</v>
      </c>
      <c r="D110" s="253"/>
      <c r="E110" s="256" t="str">
        <f>UPPER(IF($D110=0,"",IF($A110=4,_xlfn.XLOOKUP($D110,Mercado!$C:$C,Mercado!$E:$E),_xlfn.XLOOKUP($D110,Fontes!$B:$B,Fontes!$C:$C))))</f>
        <v/>
      </c>
      <c r="F110" s="329" t="s">
        <v>782</v>
      </c>
      <c r="G110" s="253"/>
      <c r="H110" s="254"/>
      <c r="I110" s="254">
        <f>IF($A110="M",_xlfn.XLOOKUP($D110,Mercado!$C:$C,Mercado!$I:$I),_xlfn.XLOOKUP($D110,Fontes!$B:$B,Fontes!$J:$J))</f>
        <v>0</v>
      </c>
      <c r="J110" s="254">
        <f>IF($A110="M",_xlfn.XLOOKUP($D110,Mercado!$C:$C,Mercado!$J:$J),_xlfn.XLOOKUP($D110,Fontes!$B:$B,Fontes!$H:$H))</f>
        <v>0</v>
      </c>
      <c r="K110" s="254">
        <f>IF($A110="M",0,_xlfn.XLOOKUP($D110,Fontes!$B:$B,Fontes!$I:$I))</f>
        <v>0</v>
      </c>
      <c r="L110" s="254">
        <f t="shared" si="12"/>
        <v>0</v>
      </c>
      <c r="M110" s="497">
        <f>SUBTOTAL(9,M111:M118)</f>
        <v>32680.880000000001</v>
      </c>
      <c r="O110" s="517" t="str">
        <f t="shared" si="10"/>
        <v/>
      </c>
    </row>
    <row r="111" spans="1:15" s="255" customFormat="1" outlineLevel="3" x14ac:dyDescent="0.3">
      <c r="A111" s="35"/>
      <c r="B111" s="36"/>
      <c r="C111" s="495" t="s">
        <v>9808</v>
      </c>
      <c r="D111" s="249">
        <v>31018</v>
      </c>
      <c r="E111" s="248" t="str">
        <f>UPPER(IF($D111=0,"",IF($A111=4,_xlfn.XLOOKUP($D111,Mercado!$C:$C,Mercado!$E:$E),_xlfn.XLOOKUP($D111,Fontes!$B:$B,Fontes!$C:$C))))</f>
        <v>SBC</v>
      </c>
      <c r="F111" s="327" t="s">
        <v>3495</v>
      </c>
      <c r="G111" s="249" t="str">
        <f>UPPER(IF($D111=0,"",IF($A111=4,_xlfn.XLOOKUP($D111,Mercado!$C:$C,Mercado!$G:$G),_xlfn.XLOOKUP($D111,Fontes!$B:$B,Fontes!$E:$E))))</f>
        <v>M</v>
      </c>
      <c r="H111" s="252">
        <v>12</v>
      </c>
      <c r="I111" s="252">
        <f>IF($A111="M",_xlfn.XLOOKUP($D111,Mercado!$C:$C,Mercado!$I:$I),_xlfn.XLOOKUP($D111,Fontes!$B:$B,Fontes!$J:$J))</f>
        <v>811.3</v>
      </c>
      <c r="J111" s="252">
        <f>IF($A111="M",_xlfn.XLOOKUP($D111,Mercado!$C:$C,Mercado!$J:$J),_xlfn.XLOOKUP($D111,Fontes!$B:$B,Fontes!$H:$H))</f>
        <v>35.54</v>
      </c>
      <c r="K111" s="252">
        <f>IF($A111="M",0,_xlfn.XLOOKUP($D111,Fontes!$B:$B,Fontes!$I:$I))</f>
        <v>0</v>
      </c>
      <c r="L111" s="250">
        <f t="shared" si="12"/>
        <v>846.83999999999992</v>
      </c>
      <c r="M111" s="300">
        <f t="shared" ref="M111:M118" si="16">ROUND(H111*L111,2)</f>
        <v>10162.08</v>
      </c>
      <c r="N111" s="243"/>
      <c r="O111" s="517">
        <f t="shared" si="10"/>
        <v>10162.08</v>
      </c>
    </row>
    <row r="112" spans="1:15" ht="153.6" outlineLevel="3" x14ac:dyDescent="0.3">
      <c r="A112" s="35"/>
      <c r="B112" s="36"/>
      <c r="C112" s="495" t="s">
        <v>9809</v>
      </c>
      <c r="D112" s="498" t="s">
        <v>8382</v>
      </c>
      <c r="E112" s="248" t="str">
        <f>UPPER(IF($D112=0,"",IF($A112=4,_xlfn.XLOOKUP($D112,Mercado!$C:$C,Mercado!$E:$E),_xlfn.XLOOKUP($D112,Fontes!$B:$B,Fontes!$C:$C))))</f>
        <v>EMOP</v>
      </c>
      <c r="F112" s="327" t="s">
        <v>8484</v>
      </c>
      <c r="G112" s="249" t="str">
        <f>UPPER(IF($D112=0,"",IF($A112=4,_xlfn.XLOOKUP($D112,Mercado!$C:$C,Mercado!$G:$G),_xlfn.XLOOKUP($D112,Fontes!$B:$B,Fontes!$E:$E))))</f>
        <v>M</v>
      </c>
      <c r="H112" s="252">
        <v>72</v>
      </c>
      <c r="I112" s="252">
        <f>IF($A112="M",_xlfn.XLOOKUP($D112,Mercado!$C:$C,Mercado!$I:$I),_xlfn.XLOOKUP($D112,Fontes!$B:$B,Fontes!$J:$J))</f>
        <v>59.29</v>
      </c>
      <c r="J112" s="252">
        <f>IF($A112="M",_xlfn.XLOOKUP($D112,Mercado!$C:$C,Mercado!$J:$J),_xlfn.XLOOKUP($D112,Fontes!$B:$B,Fontes!$H:$H))</f>
        <v>126.85</v>
      </c>
      <c r="K112" s="252">
        <f>IF($A112="M",0,_xlfn.XLOOKUP($D112,Fontes!$B:$B,Fontes!$I:$I))</f>
        <v>0</v>
      </c>
      <c r="L112" s="250">
        <f t="shared" si="12"/>
        <v>186.14</v>
      </c>
      <c r="M112" s="300">
        <f t="shared" si="16"/>
        <v>13402.08</v>
      </c>
      <c r="N112" s="243"/>
      <c r="O112" s="517">
        <f t="shared" si="10"/>
        <v>13402.08</v>
      </c>
    </row>
    <row r="113" spans="1:15" ht="38.4" outlineLevel="3" x14ac:dyDescent="0.3">
      <c r="A113" s="35"/>
      <c r="B113" s="36"/>
      <c r="C113" s="495" t="s">
        <v>9810</v>
      </c>
      <c r="D113" s="249">
        <v>104283</v>
      </c>
      <c r="E113" s="248" t="str">
        <f>UPPER(IF($D113=0,"",IF($A113=4,_xlfn.XLOOKUP($D113,Mercado!$C:$C,Mercado!$E:$E),_xlfn.XLOOKUP($D113,Fontes!$B:$B,Fontes!$C:$C))))</f>
        <v>SINAPI</v>
      </c>
      <c r="F113" s="327" t="s">
        <v>8379</v>
      </c>
      <c r="G113" s="249" t="str">
        <f>UPPER(IF($D113=0,"",IF($A113=4,_xlfn.XLOOKUP($D113,Mercado!$C:$C,Mercado!$G:$G),_xlfn.XLOOKUP($D113,Fontes!$B:$B,Fontes!$E:$E))))</f>
        <v>UN</v>
      </c>
      <c r="H113" s="252">
        <v>8</v>
      </c>
      <c r="I113" s="252">
        <f>IF($A113="M",_xlfn.XLOOKUP($D113,Mercado!$C:$C,Mercado!$I:$I),_xlfn.XLOOKUP($D113,Fontes!$B:$B,Fontes!$J:$J))</f>
        <v>31.43</v>
      </c>
      <c r="J113" s="252">
        <f>IF($A113="M",_xlfn.XLOOKUP($D113,Mercado!$C:$C,Mercado!$J:$J),_xlfn.XLOOKUP($D113,Fontes!$B:$B,Fontes!$H:$H))</f>
        <v>67.290000000000006</v>
      </c>
      <c r="K113" s="252">
        <f>IF($A113="M",0,_xlfn.XLOOKUP($D113,Fontes!$B:$B,Fontes!$I:$I))</f>
        <v>5.73</v>
      </c>
      <c r="L113" s="250">
        <f t="shared" si="12"/>
        <v>104.45</v>
      </c>
      <c r="M113" s="300">
        <f t="shared" si="16"/>
        <v>835.6</v>
      </c>
      <c r="N113" s="243"/>
      <c r="O113" s="517">
        <f t="shared" si="10"/>
        <v>835.6</v>
      </c>
    </row>
    <row r="114" spans="1:15" outlineLevel="3" x14ac:dyDescent="0.3">
      <c r="A114" s="35"/>
      <c r="B114" s="36"/>
      <c r="C114" s="495" t="s">
        <v>9811</v>
      </c>
      <c r="D114" s="249">
        <v>21006</v>
      </c>
      <c r="E114" s="248" t="str">
        <f>UPPER(IF($D114=0,"",IF($A114=4,_xlfn.XLOOKUP($D114,Mercado!$C:$C,Mercado!$E:$E),_xlfn.XLOOKUP($D114,Fontes!$B:$B,Fontes!$C:$C))))</f>
        <v>SBC</v>
      </c>
      <c r="F114" s="327" t="s">
        <v>8376</v>
      </c>
      <c r="G114" s="249" t="str">
        <f>UPPER(IF($D114=0,"",IF($A114=4,_xlfn.XLOOKUP($D114,Mercado!$C:$C,Mercado!$G:$G),_xlfn.XLOOKUP($D114,Fontes!$B:$B,Fontes!$E:$E))))</f>
        <v>UN</v>
      </c>
      <c r="H114" s="252">
        <v>8</v>
      </c>
      <c r="I114" s="252">
        <f>IF($A114="M",_xlfn.XLOOKUP($D114,Mercado!$C:$C,Mercado!$I:$I),_xlfn.XLOOKUP($D114,Fontes!$B:$B,Fontes!$J:$J))</f>
        <v>68.2</v>
      </c>
      <c r="J114" s="252">
        <f>IF($A114="M",_xlfn.XLOOKUP($D114,Mercado!$C:$C,Mercado!$J:$J),_xlfn.XLOOKUP($D114,Fontes!$B:$B,Fontes!$H:$H))</f>
        <v>87.7</v>
      </c>
      <c r="K114" s="252">
        <f>IF($A114="M",0,_xlfn.XLOOKUP($D114,Fontes!$B:$B,Fontes!$I:$I))</f>
        <v>0</v>
      </c>
      <c r="L114" s="250">
        <f t="shared" si="12"/>
        <v>155.9</v>
      </c>
      <c r="M114" s="300">
        <f t="shared" si="16"/>
        <v>1247.2</v>
      </c>
      <c r="N114" s="243"/>
      <c r="O114" s="517">
        <f t="shared" si="10"/>
        <v>1247.2</v>
      </c>
    </row>
    <row r="115" spans="1:15" ht="57.6" outlineLevel="3" x14ac:dyDescent="0.3">
      <c r="A115" s="35"/>
      <c r="B115" s="36"/>
      <c r="C115" s="495" t="s">
        <v>9812</v>
      </c>
      <c r="D115" s="249">
        <v>95108</v>
      </c>
      <c r="E115" s="248" t="str">
        <f>UPPER(IF($D115=0,"",IF($A115=4,_xlfn.XLOOKUP($D115,Mercado!$C:$C,Mercado!$E:$E),_xlfn.XLOOKUP($D115,Fontes!$B:$B,Fontes!$C:$C))))</f>
        <v>SINAPI</v>
      </c>
      <c r="F115" s="327" t="s">
        <v>20</v>
      </c>
      <c r="G115" s="249" t="str">
        <f>UPPER(IF($D115=0,"",IF($A115=4,_xlfn.XLOOKUP($D115,Mercado!$C:$C,Mercado!$G:$G),_xlfn.XLOOKUP($D115,Fontes!$B:$B,Fontes!$E:$E))))</f>
        <v>UN</v>
      </c>
      <c r="H115" s="252">
        <v>8</v>
      </c>
      <c r="I115" s="252">
        <f>IF($A115="M",_xlfn.XLOOKUP($D115,Mercado!$C:$C,Mercado!$I:$I),_xlfn.XLOOKUP($D115,Fontes!$B:$B,Fontes!$J:$J))</f>
        <v>18.559999999999999</v>
      </c>
      <c r="J115" s="252">
        <f>IF($A115="M",_xlfn.XLOOKUP($D115,Mercado!$C:$C,Mercado!$J:$J),_xlfn.XLOOKUP($D115,Fontes!$B:$B,Fontes!$H:$H))</f>
        <v>30.95</v>
      </c>
      <c r="K115" s="252">
        <f>IF($A115="M",0,_xlfn.XLOOKUP($D115,Fontes!$B:$B,Fontes!$I:$I))</f>
        <v>2.58</v>
      </c>
      <c r="L115" s="250">
        <f t="shared" si="12"/>
        <v>52.089999999999996</v>
      </c>
      <c r="M115" s="300">
        <f t="shared" si="16"/>
        <v>416.72</v>
      </c>
      <c r="N115" s="243"/>
      <c r="O115" s="517">
        <f t="shared" si="10"/>
        <v>416.72</v>
      </c>
    </row>
    <row r="116" spans="1:15" ht="38.4" outlineLevel="3" x14ac:dyDescent="0.3">
      <c r="A116" s="35"/>
      <c r="B116" s="36"/>
      <c r="C116" s="495" t="s">
        <v>9813</v>
      </c>
      <c r="D116" s="498" t="s">
        <v>8381</v>
      </c>
      <c r="E116" s="248" t="str">
        <f>UPPER(IF($D116=0,"",IF($A116=4,_xlfn.XLOOKUP($D116,Mercado!$C:$C,Mercado!$E:$E),_xlfn.XLOOKUP($D116,Fontes!$B:$B,Fontes!$C:$C))))</f>
        <v>EMOP</v>
      </c>
      <c r="F116" s="327" t="s">
        <v>8380</v>
      </c>
      <c r="G116" s="249" t="str">
        <f>UPPER(IF($D116=0,"",IF($A116=4,_xlfn.XLOOKUP($D116,Mercado!$C:$C,Mercado!$G:$G),_xlfn.XLOOKUP($D116,Fontes!$B:$B,Fontes!$E:$E))))</f>
        <v>KG</v>
      </c>
      <c r="H116" s="252">
        <f>180*50</f>
        <v>9000</v>
      </c>
      <c r="I116" s="252">
        <f>IF($A116="M",_xlfn.XLOOKUP($D116,Mercado!$C:$C,Mercado!$I:$I),_xlfn.XLOOKUP($D116,Fontes!$B:$B,Fontes!$J:$J))</f>
        <v>0.65</v>
      </c>
      <c r="J116" s="252">
        <f>IF($A116="M",_xlfn.XLOOKUP($D116,Mercado!$C:$C,Mercado!$J:$J),_xlfn.XLOOKUP($D116,Fontes!$B:$B,Fontes!$H:$H))</f>
        <v>0</v>
      </c>
      <c r="K116" s="252">
        <f>IF($A116="M",0,_xlfn.XLOOKUP($D116,Fontes!$B:$B,Fontes!$I:$I))</f>
        <v>0</v>
      </c>
      <c r="L116" s="250">
        <f t="shared" si="12"/>
        <v>0.65</v>
      </c>
      <c r="M116" s="300">
        <f t="shared" si="16"/>
        <v>5850</v>
      </c>
      <c r="N116" s="243"/>
      <c r="O116" s="517">
        <f t="shared" si="10"/>
        <v>5850</v>
      </c>
    </row>
    <row r="117" spans="1:15" outlineLevel="3" x14ac:dyDescent="0.3">
      <c r="A117" s="35"/>
      <c r="B117" s="36"/>
      <c r="C117" s="495" t="s">
        <v>9814</v>
      </c>
      <c r="D117" s="249">
        <v>40757</v>
      </c>
      <c r="E117" s="248" t="str">
        <f>UPPER(IF($D117=0,"",IF($A117=4,_xlfn.XLOOKUP($D117,Mercado!$C:$C,Mercado!$E:$E),_xlfn.XLOOKUP($D117,Fontes!$B:$B,Fontes!$C:$C))))</f>
        <v>SBC</v>
      </c>
      <c r="F117" s="327" t="s">
        <v>788</v>
      </c>
      <c r="G117" s="249" t="str">
        <f>UPPER(IF($D117=0,"",IF($A117=4,_xlfn.XLOOKUP($D117,Mercado!$C:$C,Mercado!$G:$G),_xlfn.XLOOKUP($D117,Fontes!$B:$B,Fontes!$E:$E))))</f>
        <v>UN</v>
      </c>
      <c r="H117" s="252">
        <v>8</v>
      </c>
      <c r="I117" s="252">
        <f>IF($A117="M",_xlfn.XLOOKUP($D117,Mercado!$C:$C,Mercado!$I:$I),_xlfn.XLOOKUP($D117,Fontes!$B:$B,Fontes!$J:$J))</f>
        <v>21.96</v>
      </c>
      <c r="J117" s="252">
        <f>IF($A117="M",_xlfn.XLOOKUP($D117,Mercado!$C:$C,Mercado!$J:$J),_xlfn.XLOOKUP($D117,Fontes!$B:$B,Fontes!$H:$H))</f>
        <v>72.03</v>
      </c>
      <c r="K117" s="252">
        <f>IF($A117="M",0,_xlfn.XLOOKUP($D117,Fontes!$B:$B,Fontes!$I:$I))</f>
        <v>1.91</v>
      </c>
      <c r="L117" s="250">
        <f t="shared" si="12"/>
        <v>95.9</v>
      </c>
      <c r="M117" s="300">
        <f t="shared" si="16"/>
        <v>767.2</v>
      </c>
      <c r="N117" s="243"/>
      <c r="O117" s="517">
        <f t="shared" si="10"/>
        <v>767.2</v>
      </c>
    </row>
    <row r="118" spans="1:15" outlineLevel="3" x14ac:dyDescent="0.3">
      <c r="A118" s="36" t="s">
        <v>7</v>
      </c>
      <c r="B118" s="36"/>
      <c r="C118" s="495" t="s">
        <v>781</v>
      </c>
      <c r="D118" s="249"/>
      <c r="E118" s="248" t="str">
        <f>UPPER(IF($D118=0,"",IF($A118=4,_xlfn.XLOOKUP($D118,Mercado!$C:$C,Mercado!$E:$E),_xlfn.XLOOKUP($D118,Fontes!$B:$B,Fontes!$C:$C))))</f>
        <v/>
      </c>
      <c r="F118" s="327" t="s">
        <v>781</v>
      </c>
      <c r="G118" s="249"/>
      <c r="H118" s="252"/>
      <c r="I118" s="252">
        <f>IF($A118="M",_xlfn.XLOOKUP($D118,Mercado!$C:$C,Mercado!$I:$I),_xlfn.XLOOKUP($D118,Fontes!$B:$B,Fontes!$J:$J))</f>
        <v>0</v>
      </c>
      <c r="J118" s="252">
        <f>IF($A118="M",_xlfn.XLOOKUP($D118,Mercado!$C:$C,Mercado!$J:$J),_xlfn.XLOOKUP($D118,Fontes!$B:$B,Fontes!$H:$H))</f>
        <v>0</v>
      </c>
      <c r="K118" s="252">
        <f>IF($A118="M",0,_xlfn.XLOOKUP($D118,Fontes!$B:$B,Fontes!$I:$I))</f>
        <v>0</v>
      </c>
      <c r="L118" s="250">
        <f t="shared" si="12"/>
        <v>0</v>
      </c>
      <c r="M118" s="300">
        <f t="shared" si="16"/>
        <v>0</v>
      </c>
      <c r="O118" s="517" t="str">
        <f t="shared" si="10"/>
        <v/>
      </c>
    </row>
    <row r="119" spans="1:15" outlineLevel="2" x14ac:dyDescent="0.3">
      <c r="A119" s="36" t="s">
        <v>7</v>
      </c>
      <c r="B119" s="36"/>
      <c r="C119" s="496" t="s">
        <v>9815</v>
      </c>
      <c r="D119" s="253"/>
      <c r="E119" s="256" t="str">
        <f>UPPER(IF($D119=0,"",IF($A119=4,_xlfn.XLOOKUP($D119,Mercado!$C:$C,Mercado!$E:$E),_xlfn.XLOOKUP($D119,Fontes!$B:$B,Fontes!$C:$C))))</f>
        <v/>
      </c>
      <c r="F119" s="329" t="s">
        <v>386</v>
      </c>
      <c r="G119" s="253"/>
      <c r="H119" s="254"/>
      <c r="I119" s="254">
        <f>IF($A119="M",_xlfn.XLOOKUP($D119,Mercado!$C:$C,Mercado!$I:$I),_xlfn.XLOOKUP($D119,Fontes!$B:$B,Fontes!$J:$J))</f>
        <v>0</v>
      </c>
      <c r="J119" s="254">
        <f>IF($A119="M",_xlfn.XLOOKUP($D119,Mercado!$C:$C,Mercado!$J:$J),_xlfn.XLOOKUP($D119,Fontes!$B:$B,Fontes!$H:$H))</f>
        <v>0</v>
      </c>
      <c r="K119" s="254">
        <f>IF($A119="M",0,_xlfn.XLOOKUP($D119,Fontes!$B:$B,Fontes!$I:$I))</f>
        <v>0</v>
      </c>
      <c r="L119" s="254">
        <f t="shared" si="12"/>
        <v>0</v>
      </c>
      <c r="M119" s="497">
        <f>SUBTOTAL(9,M120:M169)</f>
        <v>1797241.9600000002</v>
      </c>
      <c r="O119" s="517" t="str">
        <f t="shared" si="10"/>
        <v/>
      </c>
    </row>
    <row r="120" spans="1:15" s="261" customFormat="1" outlineLevel="3" x14ac:dyDescent="0.3">
      <c r="A120" s="36" t="s">
        <v>7</v>
      </c>
      <c r="B120" s="36"/>
      <c r="C120" s="499" t="s">
        <v>9816</v>
      </c>
      <c r="D120" s="249"/>
      <c r="E120" s="248" t="str">
        <f>UPPER(IF($D120=0,"",IF($A120=4,_xlfn.XLOOKUP($D120,Mercado!$C:$C,Mercado!$E:$E),_xlfn.XLOOKUP($D120,Fontes!$B:$B,Fontes!$C:$C))))</f>
        <v/>
      </c>
      <c r="F120" s="330" t="s">
        <v>8485</v>
      </c>
      <c r="G120" s="257"/>
      <c r="H120" s="259"/>
      <c r="I120" s="259">
        <f>IF($A120="M",_xlfn.XLOOKUP($D120,Mercado!$C:$C,Mercado!$I:$I),_xlfn.XLOOKUP($D120,Fontes!$B:$B,Fontes!$J:$J))</f>
        <v>0</v>
      </c>
      <c r="J120" s="259">
        <f>IF($A120="M",_xlfn.XLOOKUP($D120,Mercado!$C:$C,Mercado!$J:$J),_xlfn.XLOOKUP($D120,Fontes!$B:$B,Fontes!$H:$H))</f>
        <v>0</v>
      </c>
      <c r="K120" s="259">
        <f>IF($A120="M",0,_xlfn.XLOOKUP($D120,Fontes!$B:$B,Fontes!$I:$I))</f>
        <v>0</v>
      </c>
      <c r="L120" s="260">
        <f t="shared" si="12"/>
        <v>0</v>
      </c>
      <c r="M120" s="500">
        <f t="shared" ref="M120:M151" si="17">ROUND(H120*L120,2)</f>
        <v>0</v>
      </c>
      <c r="N120" s="243"/>
      <c r="O120" s="517" t="str">
        <f t="shared" si="10"/>
        <v/>
      </c>
    </row>
    <row r="121" spans="1:15" outlineLevel="4" x14ac:dyDescent="0.3">
      <c r="A121" s="35" t="s">
        <v>7</v>
      </c>
      <c r="B121" s="36"/>
      <c r="C121" s="495" t="s">
        <v>9817</v>
      </c>
      <c r="D121" s="483" t="s">
        <v>1648</v>
      </c>
      <c r="E121" s="249" t="str">
        <f>UPPER(_xlfn.XLOOKUP($D121,Mercado!C:C,Mercado!E:E,_xlfn.XLOOKUP($D214,Fontes!$B:$B,Fontes!$C:$C)))</f>
        <v>APP PREMOLDADOS</v>
      </c>
      <c r="F121" s="327" t="s">
        <v>8552</v>
      </c>
      <c r="G121" s="249" t="str">
        <f>UPPER(_xlfn.XLOOKUP(D121,Mercado!C:C,Mercado!G:G))</f>
        <v>M3</v>
      </c>
      <c r="H121" s="252">
        <v>171.36</v>
      </c>
      <c r="I121" s="252">
        <f>IF($A121="M",_xlfn.XLOOKUP($D121,Mercado!$C:$C,Mercado!$I:$I),_xlfn.XLOOKUP($D121,Fontes!$B:$B,Fontes!$J:$J))</f>
        <v>7135.39</v>
      </c>
      <c r="J121" s="252">
        <f>IF($A121="M",_xlfn.XLOOKUP($D121,Mercado!$C:$C,Mercado!$J:$J),_xlfn.XLOOKUP($D121,Fontes!$B:$B,Fontes!$H:$H))</f>
        <v>0</v>
      </c>
      <c r="K121" s="252">
        <f>IF($A121="M",0,_xlfn.XLOOKUP($D121,Fontes!$B:$B,Fontes!$I:$I))</f>
        <v>0</v>
      </c>
      <c r="L121" s="250">
        <f t="shared" si="12"/>
        <v>7135.39</v>
      </c>
      <c r="M121" s="300">
        <f t="shared" si="17"/>
        <v>1222720.43</v>
      </c>
      <c r="N121" s="243"/>
      <c r="O121" s="517">
        <f t="shared" si="10"/>
        <v>1222720.43</v>
      </c>
    </row>
    <row r="122" spans="1:15" s="261" customFormat="1" outlineLevel="3" x14ac:dyDescent="0.3">
      <c r="A122" s="36" t="s">
        <v>7</v>
      </c>
      <c r="B122" s="36"/>
      <c r="C122" s="499" t="s">
        <v>9818</v>
      </c>
      <c r="D122" s="249"/>
      <c r="E122" s="248" t="str">
        <f>UPPER(IF($D122=0,"",IF($A122=4,_xlfn.XLOOKUP($D122,Mercado!$C:$C,Mercado!$E:$E),_xlfn.XLOOKUP($D122,Fontes!$B:$B,Fontes!$C:$C))))</f>
        <v/>
      </c>
      <c r="F122" s="330" t="s">
        <v>2002</v>
      </c>
      <c r="G122" s="257"/>
      <c r="H122" s="252"/>
      <c r="I122" s="259">
        <f>IF($A122="M",_xlfn.XLOOKUP($D122,Mercado!$C:$C,Mercado!$I:$I),_xlfn.XLOOKUP($D122,Fontes!$B:$B,Fontes!$J:$J))</f>
        <v>0</v>
      </c>
      <c r="J122" s="259">
        <f>IF($A122="M",_xlfn.XLOOKUP($D122,Mercado!$C:$C,Mercado!$J:$J),_xlfn.XLOOKUP($D122,Fontes!$B:$B,Fontes!$H:$H))</f>
        <v>0</v>
      </c>
      <c r="K122" s="259">
        <f>IF($A122="M",0,_xlfn.XLOOKUP($D122,Fontes!$B:$B,Fontes!$I:$I))</f>
        <v>0</v>
      </c>
      <c r="L122" s="260">
        <f t="shared" si="12"/>
        <v>0</v>
      </c>
      <c r="M122" s="500">
        <f t="shared" si="17"/>
        <v>0</v>
      </c>
      <c r="N122" s="243"/>
      <c r="O122" s="517" t="str">
        <f t="shared" ref="O122" si="18">IF(D122&lt;&gt;0,M122,"")</f>
        <v/>
      </c>
    </row>
    <row r="123" spans="1:15" ht="38.4" outlineLevel="4" x14ac:dyDescent="0.3">
      <c r="A123" s="35"/>
      <c r="B123" s="36"/>
      <c r="C123" s="495" t="s">
        <v>9819</v>
      </c>
      <c r="D123" s="249" t="s">
        <v>2003</v>
      </c>
      <c r="E123" s="248" t="str">
        <f>UPPER(IF($D123=0,"",IF($A123=4,_xlfn.XLOOKUP($D123,Mercado!$C:$C,Mercado!$E:$E),_xlfn.XLOOKUP($D123,Fontes!$B:$B,Fontes!$C:$C))))</f>
        <v>CPOS/CDHU</v>
      </c>
      <c r="F123" s="327" t="s">
        <v>3499</v>
      </c>
      <c r="G123" s="249" t="str">
        <f>UPPER(IF($D123=0,"",IF($A123=4,_xlfn.XLOOKUP($D123,Mercado!$C:$C,Mercado!$G:$G),_xlfn.XLOOKUP($D123,Fontes!$B:$B,Fontes!$E:$E))))</f>
        <v>M²</v>
      </c>
      <c r="H123" s="252">
        <v>580</v>
      </c>
      <c r="I123" s="252">
        <f>IF($A123="M",_xlfn.XLOOKUP($D123,Mercado!$C:$C,Mercado!$I:$I),_xlfn.XLOOKUP($D123,Fontes!$B:$B,Fontes!$J:$J))</f>
        <v>163.89</v>
      </c>
      <c r="J123" s="252">
        <f>IF($A123="M",_xlfn.XLOOKUP($D123,Mercado!$C:$C,Mercado!$J:$J),_xlfn.XLOOKUP($D123,Fontes!$B:$B,Fontes!$H:$H))</f>
        <v>40.31</v>
      </c>
      <c r="K123" s="252">
        <f>IF($A123="M",0,_xlfn.XLOOKUP($D123,Fontes!$B:$B,Fontes!$I:$I))</f>
        <v>0</v>
      </c>
      <c r="L123" s="250">
        <f t="shared" si="12"/>
        <v>204.2</v>
      </c>
      <c r="M123" s="300">
        <f t="shared" si="17"/>
        <v>118436</v>
      </c>
      <c r="N123" s="243"/>
      <c r="O123" s="517">
        <f t="shared" si="10"/>
        <v>118436</v>
      </c>
    </row>
    <row r="124" spans="1:15" s="261" customFormat="1" outlineLevel="3" x14ac:dyDescent="0.3">
      <c r="A124" s="36" t="s">
        <v>7</v>
      </c>
      <c r="B124" s="36"/>
      <c r="C124" s="499" t="s">
        <v>9820</v>
      </c>
      <c r="D124" s="249"/>
      <c r="E124" s="248" t="str">
        <f>UPPER(IF($D124=0,"",IF($A124=4,_xlfn.XLOOKUP($D124,Mercado!$C:$C,Mercado!$E:$E),_xlfn.XLOOKUP($D124,Fontes!$B:$B,Fontes!$C:$C))))</f>
        <v/>
      </c>
      <c r="F124" s="330" t="s">
        <v>1649</v>
      </c>
      <c r="G124" s="257"/>
      <c r="H124" s="252"/>
      <c r="I124" s="259">
        <f>IF($A124="M",_xlfn.XLOOKUP($D124,Mercado!$C:$C,Mercado!$I:$I),_xlfn.XLOOKUP($D124,Fontes!$B:$B,Fontes!$J:$J))</f>
        <v>0</v>
      </c>
      <c r="J124" s="259">
        <f>IF($A124="M",_xlfn.XLOOKUP($D124,Mercado!$C:$C,Mercado!$J:$J),_xlfn.XLOOKUP($D124,Fontes!$B:$B,Fontes!$H:$H))</f>
        <v>0</v>
      </c>
      <c r="K124" s="259">
        <f>IF($A124="M",0,_xlfn.XLOOKUP($D124,Fontes!$B:$B,Fontes!$I:$I))</f>
        <v>0</v>
      </c>
      <c r="L124" s="260">
        <f t="shared" si="12"/>
        <v>0</v>
      </c>
      <c r="M124" s="500">
        <f t="shared" si="17"/>
        <v>0</v>
      </c>
      <c r="N124" s="243"/>
      <c r="O124" s="517" t="str">
        <f t="shared" si="10"/>
        <v/>
      </c>
    </row>
    <row r="125" spans="1:15" ht="38.4" outlineLevel="4" x14ac:dyDescent="0.3">
      <c r="A125" s="35"/>
      <c r="B125" s="36"/>
      <c r="C125" s="495" t="s">
        <v>9821</v>
      </c>
      <c r="D125" s="249" t="s">
        <v>835</v>
      </c>
      <c r="E125" s="248" t="str">
        <f>UPPER(IF($D125=0,"",IF($A125=4,_xlfn.XLOOKUP($D125,Mercado!$C:$C,Mercado!$E:$E),_xlfn.XLOOKUP($D125,Fontes!$B:$B,Fontes!$C:$C))))</f>
        <v>CPOS/CDHU</v>
      </c>
      <c r="F125" s="327" t="s">
        <v>3500</v>
      </c>
      <c r="G125" s="249" t="str">
        <f>UPPER(IF($D125=0,"",IF($A125=4,_xlfn.XLOOKUP($D125,Mercado!$C:$C,Mercado!$G:$G),_xlfn.XLOOKUP($D125,Fontes!$B:$B,Fontes!$E:$E))))</f>
        <v>M²</v>
      </c>
      <c r="H125" s="252">
        <f>262+318+149+211</f>
        <v>940</v>
      </c>
      <c r="I125" s="252">
        <f>IF($A125="M",_xlfn.XLOOKUP($D125,Mercado!$C:$C,Mercado!$I:$I),_xlfn.XLOOKUP($D125,Fontes!$B:$B,Fontes!$J:$J))</f>
        <v>115.09</v>
      </c>
      <c r="J125" s="252">
        <f>IF($A125="M",_xlfn.XLOOKUP($D125,Mercado!$C:$C,Mercado!$J:$J),_xlfn.XLOOKUP($D125,Fontes!$B:$B,Fontes!$H:$H))</f>
        <v>77.3</v>
      </c>
      <c r="K125" s="252">
        <f>IF($A125="M",0,_xlfn.XLOOKUP($D125,Fontes!$B:$B,Fontes!$I:$I))</f>
        <v>0</v>
      </c>
      <c r="L125" s="250">
        <f t="shared" si="12"/>
        <v>192.39</v>
      </c>
      <c r="M125" s="300">
        <f t="shared" si="17"/>
        <v>180846.6</v>
      </c>
      <c r="N125" s="243"/>
      <c r="O125" s="517">
        <f t="shared" si="10"/>
        <v>180846.6</v>
      </c>
    </row>
    <row r="126" spans="1:15" outlineLevel="4" x14ac:dyDescent="0.3">
      <c r="A126" s="35"/>
      <c r="B126" s="36"/>
      <c r="C126" s="495" t="s">
        <v>9822</v>
      </c>
      <c r="D126" s="249" t="s">
        <v>2903</v>
      </c>
      <c r="E126" s="248" t="str">
        <f>UPPER(IF($D126=0,"",IF($A126=4,_xlfn.XLOOKUP($D126,Mercado!$C:$C,Mercado!$E:$E),_xlfn.XLOOKUP($D126,Fontes!$B:$B,Fontes!$C:$C))))</f>
        <v>CPOS/CDHU</v>
      </c>
      <c r="F126" s="327" t="s">
        <v>3501</v>
      </c>
      <c r="G126" s="249" t="str">
        <f>UPPER(IF($D126=0,"",IF($A126=4,_xlfn.XLOOKUP($D126,Mercado!$C:$C,Mercado!$G:$G),_xlfn.XLOOKUP($D126,Fontes!$B:$B,Fontes!$E:$E))))</f>
        <v>M²</v>
      </c>
      <c r="H126" s="252">
        <v>897</v>
      </c>
      <c r="I126" s="252">
        <f>IF($A126="M",_xlfn.XLOOKUP($D126,Mercado!$C:$C,Mercado!$I:$I),_xlfn.XLOOKUP($D126,Fontes!$B:$B,Fontes!$J:$J))</f>
        <v>4.08</v>
      </c>
      <c r="J126" s="252">
        <f>IF($A126="M",_xlfn.XLOOKUP($D126,Mercado!$C:$C,Mercado!$J:$J),_xlfn.XLOOKUP($D126,Fontes!$B:$B,Fontes!$H:$H))</f>
        <v>5.68</v>
      </c>
      <c r="K126" s="252">
        <f>IF($A126="M",0,_xlfn.XLOOKUP($D126,Fontes!$B:$B,Fontes!$I:$I))</f>
        <v>0</v>
      </c>
      <c r="L126" s="250">
        <f t="shared" si="12"/>
        <v>9.76</v>
      </c>
      <c r="M126" s="300">
        <f t="shared" si="17"/>
        <v>8754.7199999999993</v>
      </c>
      <c r="N126" s="243"/>
      <c r="O126" s="517">
        <f t="shared" si="10"/>
        <v>8754.7199999999993</v>
      </c>
    </row>
    <row r="127" spans="1:15" s="255" customFormat="1" ht="76.8" outlineLevel="4" x14ac:dyDescent="0.3">
      <c r="A127" s="35"/>
      <c r="B127" s="36"/>
      <c r="C127" s="495" t="s">
        <v>9823</v>
      </c>
      <c r="D127" s="249">
        <v>92759</v>
      </c>
      <c r="E127" s="248" t="str">
        <f>UPPER(IF($D127=0,"",IF($A127=4,_xlfn.XLOOKUP($D127,Mercado!$C:$C,Mercado!$E:$E),_xlfn.XLOOKUP($D127,Fontes!$B:$B,Fontes!$C:$C))))</f>
        <v>SINAPI</v>
      </c>
      <c r="F127" s="327" t="s">
        <v>177</v>
      </c>
      <c r="G127" s="249" t="str">
        <f>UPPER(IF($D127=0,"",IF($A127=4,_xlfn.XLOOKUP($D127,Mercado!$C:$C,Mercado!$G:$G),_xlfn.XLOOKUP($D127,Fontes!$B:$B,Fontes!$E:$E))))</f>
        <v>KG</v>
      </c>
      <c r="H127" s="252">
        <v>65</v>
      </c>
      <c r="I127" s="252">
        <f>IF($A127="M",_xlfn.XLOOKUP($D127,Mercado!$C:$C,Mercado!$I:$I),_xlfn.XLOOKUP($D127,Fontes!$B:$B,Fontes!$J:$J))</f>
        <v>10.88</v>
      </c>
      <c r="J127" s="252">
        <f>IF($A127="M",_xlfn.XLOOKUP($D127,Mercado!$C:$C,Mercado!$J:$J),_xlfn.XLOOKUP($D127,Fontes!$B:$B,Fontes!$H:$H))</f>
        <v>5.69</v>
      </c>
      <c r="K127" s="252">
        <f>IF($A127="M",0,_xlfn.XLOOKUP($D127,Fontes!$B:$B,Fontes!$I:$I))</f>
        <v>0.28999999999999998</v>
      </c>
      <c r="L127" s="250">
        <f t="shared" si="12"/>
        <v>16.86</v>
      </c>
      <c r="M127" s="300">
        <f t="shared" si="17"/>
        <v>1095.9000000000001</v>
      </c>
      <c r="N127" s="243"/>
      <c r="O127" s="517">
        <f t="shared" si="10"/>
        <v>1095.9000000000001</v>
      </c>
    </row>
    <row r="128" spans="1:15" s="255" customFormat="1" ht="76.8" outlineLevel="4" x14ac:dyDescent="0.3">
      <c r="A128" s="35"/>
      <c r="B128" s="36"/>
      <c r="C128" s="495" t="s">
        <v>9824</v>
      </c>
      <c r="D128" s="249">
        <v>92776</v>
      </c>
      <c r="E128" s="248" t="str">
        <f>UPPER(IF($D128=0,"",IF($A128=4,_xlfn.XLOOKUP($D128,Mercado!$C:$C,Mercado!$E:$E),_xlfn.XLOOKUP($D128,Fontes!$B:$B,Fontes!$C:$C))))</f>
        <v>SINAPI</v>
      </c>
      <c r="F128" s="327" t="s">
        <v>178</v>
      </c>
      <c r="G128" s="249" t="str">
        <f>UPPER(IF($D128=0,"",IF($A128=4,_xlfn.XLOOKUP($D128,Mercado!$C:$C,Mercado!$G:$G),_xlfn.XLOOKUP($D128,Fontes!$B:$B,Fontes!$E:$E))))</f>
        <v>KG</v>
      </c>
      <c r="H128" s="252">
        <v>1402</v>
      </c>
      <c r="I128" s="252">
        <f>IF($A128="M",_xlfn.XLOOKUP($D128,Mercado!$C:$C,Mercado!$I:$I),_xlfn.XLOOKUP($D128,Fontes!$B:$B,Fontes!$J:$J))</f>
        <v>12.07</v>
      </c>
      <c r="J128" s="252">
        <f>IF($A128="M",_xlfn.XLOOKUP($D128,Mercado!$C:$C,Mercado!$J:$J),_xlfn.XLOOKUP($D128,Fontes!$B:$B,Fontes!$H:$H))</f>
        <v>7.34</v>
      </c>
      <c r="K128" s="252">
        <f>IF($A128="M",0,_xlfn.XLOOKUP($D128,Fontes!$B:$B,Fontes!$I:$I))</f>
        <v>0.57999999999999996</v>
      </c>
      <c r="L128" s="250">
        <f t="shared" si="12"/>
        <v>19.989999999999998</v>
      </c>
      <c r="M128" s="300">
        <f t="shared" si="17"/>
        <v>28025.98</v>
      </c>
      <c r="N128" s="243"/>
      <c r="O128" s="517">
        <f t="shared" si="10"/>
        <v>28025.98</v>
      </c>
    </row>
    <row r="129" spans="1:15" s="255" customFormat="1" ht="76.8" outlineLevel="4" x14ac:dyDescent="0.3">
      <c r="A129" s="35"/>
      <c r="B129" s="36"/>
      <c r="C129" s="495" t="s">
        <v>9825</v>
      </c>
      <c r="D129" s="249">
        <v>92777</v>
      </c>
      <c r="E129" s="248" t="str">
        <f>UPPER(IF($D129=0,"",IF($A129=4,_xlfn.XLOOKUP($D129,Mercado!$C:$C,Mercado!$E:$E),_xlfn.XLOOKUP($D129,Fontes!$B:$B,Fontes!$C:$C))))</f>
        <v>SINAPI</v>
      </c>
      <c r="F129" s="327" t="s">
        <v>179</v>
      </c>
      <c r="G129" s="249" t="str">
        <f>UPPER(IF($D129=0,"",IF($A129=4,_xlfn.XLOOKUP($D129,Mercado!$C:$C,Mercado!$G:$G),_xlfn.XLOOKUP($D129,Fontes!$B:$B,Fontes!$E:$E))))</f>
        <v>KG</v>
      </c>
      <c r="H129" s="252">
        <v>1214</v>
      </c>
      <c r="I129" s="252">
        <f>IF($A129="M",_xlfn.XLOOKUP($D129,Mercado!$C:$C,Mercado!$I:$I),_xlfn.XLOOKUP($D129,Fontes!$B:$B,Fontes!$J:$J))</f>
        <v>11.84</v>
      </c>
      <c r="J129" s="252">
        <f>IF($A129="M",_xlfn.XLOOKUP($D129,Mercado!$C:$C,Mercado!$J:$J),_xlfn.XLOOKUP($D129,Fontes!$B:$B,Fontes!$H:$H))</f>
        <v>5.18</v>
      </c>
      <c r="K129" s="252">
        <f>IF($A129="M",0,_xlfn.XLOOKUP($D129,Fontes!$B:$B,Fontes!$I:$I))</f>
        <v>0.41</v>
      </c>
      <c r="L129" s="250">
        <f t="shared" si="12"/>
        <v>17.43</v>
      </c>
      <c r="M129" s="300">
        <f t="shared" si="17"/>
        <v>21160.02</v>
      </c>
      <c r="N129" s="243"/>
      <c r="O129" s="517">
        <f t="shared" si="10"/>
        <v>21160.02</v>
      </c>
    </row>
    <row r="130" spans="1:15" s="255" customFormat="1" ht="76.8" outlineLevel="4" x14ac:dyDescent="0.3">
      <c r="A130" s="35"/>
      <c r="B130" s="36"/>
      <c r="C130" s="495" t="s">
        <v>9826</v>
      </c>
      <c r="D130" s="249">
        <v>92778</v>
      </c>
      <c r="E130" s="248" t="str">
        <f>UPPER(IF($D130=0,"",IF($A130=4,_xlfn.XLOOKUP($D130,Mercado!$C:$C,Mercado!$E:$E),_xlfn.XLOOKUP($D130,Fontes!$B:$B,Fontes!$C:$C))))</f>
        <v>SINAPI</v>
      </c>
      <c r="F130" s="327" t="s">
        <v>180</v>
      </c>
      <c r="G130" s="249" t="str">
        <f>UPPER(IF($D130=0,"",IF($A130=4,_xlfn.XLOOKUP($D130,Mercado!$C:$C,Mercado!$G:$G),_xlfn.XLOOKUP($D130,Fontes!$B:$B,Fontes!$E:$E))))</f>
        <v>KG</v>
      </c>
      <c r="H130" s="252">
        <v>953</v>
      </c>
      <c r="I130" s="252">
        <f>IF($A130="M",_xlfn.XLOOKUP($D130,Mercado!$C:$C,Mercado!$I:$I),_xlfn.XLOOKUP($D130,Fontes!$B:$B,Fontes!$J:$J))</f>
        <v>10.87</v>
      </c>
      <c r="J130" s="252">
        <f>IF($A130="M",_xlfn.XLOOKUP($D130,Mercado!$C:$C,Mercado!$J:$J),_xlfn.XLOOKUP($D130,Fontes!$B:$B,Fontes!$H:$H))</f>
        <v>3.72</v>
      </c>
      <c r="K130" s="252">
        <f>IF($A130="M",0,_xlfn.XLOOKUP($D130,Fontes!$B:$B,Fontes!$I:$I))</f>
        <v>0.28999999999999998</v>
      </c>
      <c r="L130" s="250">
        <f t="shared" si="12"/>
        <v>14.879999999999999</v>
      </c>
      <c r="M130" s="300">
        <f t="shared" si="17"/>
        <v>14180.64</v>
      </c>
      <c r="N130" s="243"/>
      <c r="O130" s="517">
        <f t="shared" si="10"/>
        <v>14180.64</v>
      </c>
    </row>
    <row r="131" spans="1:15" s="255" customFormat="1" ht="76.8" outlineLevel="4" x14ac:dyDescent="0.3">
      <c r="A131" s="35"/>
      <c r="B131" s="36"/>
      <c r="C131" s="495" t="s">
        <v>9827</v>
      </c>
      <c r="D131" s="249">
        <v>92779</v>
      </c>
      <c r="E131" s="248" t="str">
        <f>UPPER(IF($D131=0,"",IF($A131=4,_xlfn.XLOOKUP($D131,Mercado!$C:$C,Mercado!$E:$E),_xlfn.XLOOKUP($D131,Fontes!$B:$B,Fontes!$C:$C))))</f>
        <v>SINAPI</v>
      </c>
      <c r="F131" s="327" t="s">
        <v>181</v>
      </c>
      <c r="G131" s="249" t="str">
        <f>UPPER(IF($D131=0,"",IF($A131=4,_xlfn.XLOOKUP($D131,Mercado!$C:$C,Mercado!$G:$G),_xlfn.XLOOKUP($D131,Fontes!$B:$B,Fontes!$E:$E))))</f>
        <v>KG</v>
      </c>
      <c r="H131" s="252">
        <v>2417</v>
      </c>
      <c r="I131" s="252">
        <f>IF($A131="M",_xlfn.XLOOKUP($D131,Mercado!$C:$C,Mercado!$I:$I),_xlfn.XLOOKUP($D131,Fontes!$B:$B,Fontes!$J:$J))</f>
        <v>9.31</v>
      </c>
      <c r="J131" s="252">
        <f>IF($A131="M",_xlfn.XLOOKUP($D131,Mercado!$C:$C,Mercado!$J:$J),_xlfn.XLOOKUP($D131,Fontes!$B:$B,Fontes!$H:$H))</f>
        <v>2.64</v>
      </c>
      <c r="K131" s="252">
        <f>IF($A131="M",0,_xlfn.XLOOKUP($D131,Fontes!$B:$B,Fontes!$I:$I))</f>
        <v>0.21</v>
      </c>
      <c r="L131" s="250">
        <f t="shared" si="12"/>
        <v>12.160000000000002</v>
      </c>
      <c r="M131" s="300">
        <f t="shared" si="17"/>
        <v>29390.720000000001</v>
      </c>
      <c r="N131" s="243"/>
      <c r="O131" s="517">
        <f t="shared" ref="O131:O199" si="19">IF(D131&lt;&gt;0,M131,"")</f>
        <v>29390.720000000001</v>
      </c>
    </row>
    <row r="132" spans="1:15" s="255" customFormat="1" ht="76.8" outlineLevel="4" x14ac:dyDescent="0.3">
      <c r="A132" s="35"/>
      <c r="B132" s="36"/>
      <c r="C132" s="495" t="s">
        <v>9828</v>
      </c>
      <c r="D132" s="249">
        <v>92780</v>
      </c>
      <c r="E132" s="248" t="str">
        <f>UPPER(IF($D132=0,"",IF($A132=4,_xlfn.XLOOKUP($D132,Mercado!$C:$C,Mercado!$E:$E),_xlfn.XLOOKUP($D132,Fontes!$B:$B,Fontes!$C:$C))))</f>
        <v>SINAPI</v>
      </c>
      <c r="F132" s="327" t="s">
        <v>182</v>
      </c>
      <c r="G132" s="249" t="str">
        <f>UPPER(IF($D132=0,"",IF($A132=4,_xlfn.XLOOKUP($D132,Mercado!$C:$C,Mercado!$G:$G),_xlfn.XLOOKUP($D132,Fontes!$B:$B,Fontes!$E:$E))))</f>
        <v>KG</v>
      </c>
      <c r="H132" s="252">
        <v>968</v>
      </c>
      <c r="I132" s="252">
        <f>IF($A132="M",_xlfn.XLOOKUP($D132,Mercado!$C:$C,Mercado!$I:$I),_xlfn.XLOOKUP($D132,Fontes!$B:$B,Fontes!$J:$J))</f>
        <v>9.0399999999999991</v>
      </c>
      <c r="J132" s="252">
        <f>IF($A132="M",_xlfn.XLOOKUP($D132,Mercado!$C:$C,Mercado!$J:$J),_xlfn.XLOOKUP($D132,Fontes!$B:$B,Fontes!$H:$H))</f>
        <v>1.74</v>
      </c>
      <c r="K132" s="252">
        <f>IF($A132="M",0,_xlfn.XLOOKUP($D132,Fontes!$B:$B,Fontes!$I:$I))</f>
        <v>0.14000000000000001</v>
      </c>
      <c r="L132" s="250">
        <f t="shared" si="12"/>
        <v>10.92</v>
      </c>
      <c r="M132" s="300">
        <f t="shared" si="17"/>
        <v>10570.56</v>
      </c>
      <c r="N132" s="243"/>
      <c r="O132" s="517">
        <f t="shared" si="19"/>
        <v>10570.56</v>
      </c>
    </row>
    <row r="133" spans="1:15" s="255" customFormat="1" ht="76.8" outlineLevel="4" x14ac:dyDescent="0.3">
      <c r="A133" s="35"/>
      <c r="B133" s="36"/>
      <c r="C133" s="495" t="s">
        <v>9829</v>
      </c>
      <c r="D133" s="249">
        <v>92781</v>
      </c>
      <c r="E133" s="248" t="str">
        <f>UPPER(IF($D133=0,"",IF($A133=4,_xlfn.XLOOKUP($D133,Mercado!$C:$C,Mercado!$E:$E),_xlfn.XLOOKUP($D133,Fontes!$B:$B,Fontes!$C:$C))))</f>
        <v>SINAPI</v>
      </c>
      <c r="F133" s="327" t="s">
        <v>183</v>
      </c>
      <c r="G133" s="249" t="str">
        <f>UPPER(IF($D133=0,"",IF($A133=4,_xlfn.XLOOKUP($D133,Mercado!$C:$C,Mercado!$G:$G),_xlfn.XLOOKUP($D133,Fontes!$B:$B,Fontes!$E:$E))))</f>
        <v>KG</v>
      </c>
      <c r="H133" s="252">
        <v>25</v>
      </c>
      <c r="I133" s="252">
        <f>IF($A133="M",_xlfn.XLOOKUP($D133,Mercado!$C:$C,Mercado!$I:$I),_xlfn.XLOOKUP($D133,Fontes!$B:$B,Fontes!$J:$J))</f>
        <v>10.33</v>
      </c>
      <c r="J133" s="252">
        <f>IF($A133="M",_xlfn.XLOOKUP($D133,Mercado!$C:$C,Mercado!$J:$J),_xlfn.XLOOKUP($D133,Fontes!$B:$B,Fontes!$H:$H))</f>
        <v>1.1399999999999999</v>
      </c>
      <c r="K133" s="252">
        <f>IF($A133="M",0,_xlfn.XLOOKUP($D133,Fontes!$B:$B,Fontes!$I:$I))</f>
        <v>0.08</v>
      </c>
      <c r="L133" s="250">
        <f t="shared" si="12"/>
        <v>11.55</v>
      </c>
      <c r="M133" s="300">
        <f t="shared" si="17"/>
        <v>288.75</v>
      </c>
      <c r="N133" s="243"/>
      <c r="O133" s="517">
        <f t="shared" si="19"/>
        <v>288.75</v>
      </c>
    </row>
    <row r="134" spans="1:15" s="255" customFormat="1" ht="38.4" outlineLevel="4" x14ac:dyDescent="0.3">
      <c r="A134" s="35"/>
      <c r="B134" s="36"/>
      <c r="C134" s="495" t="s">
        <v>9830</v>
      </c>
      <c r="D134" s="249">
        <v>21226</v>
      </c>
      <c r="E134" s="248" t="str">
        <f>UPPER(IF($D134=0,"",IF($A134=4,_xlfn.XLOOKUP($D134,Mercado!$C:$C,Mercado!$E:$E),_xlfn.XLOOKUP($D134,Fontes!$B:$B,Fontes!$C:$C))))</f>
        <v>SBC</v>
      </c>
      <c r="F134" s="327" t="s">
        <v>3502</v>
      </c>
      <c r="G134" s="249" t="str">
        <f>UPPER(IF($D134=0,"",IF($A134=4,_xlfn.XLOOKUP($D134,Mercado!$C:$C,Mercado!$G:$G),_xlfn.XLOOKUP($D134,Fontes!$B:$B,Fontes!$E:$E))))</f>
        <v>M²</v>
      </c>
      <c r="H134" s="252">
        <v>530</v>
      </c>
      <c r="I134" s="252">
        <f>IF($A134="M",_xlfn.XLOOKUP($D134,Mercado!$C:$C,Mercado!$I:$I),_xlfn.XLOOKUP($D134,Fontes!$B:$B,Fontes!$J:$J))</f>
        <v>15.94</v>
      </c>
      <c r="J134" s="252">
        <f>IF($A134="M",_xlfn.XLOOKUP($D134,Mercado!$C:$C,Mercado!$J:$J),_xlfn.XLOOKUP($D134,Fontes!$B:$B,Fontes!$H:$H))</f>
        <v>4.33</v>
      </c>
      <c r="K134" s="252">
        <f>IF($A134="M",0,_xlfn.XLOOKUP($D134,Fontes!$B:$B,Fontes!$I:$I))</f>
        <v>0</v>
      </c>
      <c r="L134" s="250">
        <f t="shared" si="12"/>
        <v>20.27</v>
      </c>
      <c r="M134" s="300">
        <f t="shared" si="17"/>
        <v>10743.1</v>
      </c>
      <c r="N134" s="243"/>
      <c r="O134" s="517">
        <f t="shared" si="19"/>
        <v>10743.1</v>
      </c>
    </row>
    <row r="135" spans="1:15" s="255" customFormat="1" ht="38.4" outlineLevel="4" x14ac:dyDescent="0.3">
      <c r="A135" s="35"/>
      <c r="B135" s="36"/>
      <c r="C135" s="495" t="s">
        <v>9831</v>
      </c>
      <c r="D135" s="249">
        <v>40827</v>
      </c>
      <c r="E135" s="248" t="str">
        <f>UPPER(IF($D135=0,"",IF($A135=4,_xlfn.XLOOKUP($D135,Mercado!$C:$C,Mercado!$E:$E),_xlfn.XLOOKUP($D135,Fontes!$B:$B,Fontes!$C:$C))))</f>
        <v>SBC</v>
      </c>
      <c r="F135" s="327" t="s">
        <v>8384</v>
      </c>
      <c r="G135" s="450" t="str">
        <f>UPPER(IF($D135=0,"",IF($A135=4,_xlfn.XLOOKUP($D135,Mercado!$C:$C,Mercado!$G:$G),_xlfn.XLOOKUP($D135,Fontes!$B:$B,Fontes!$E:$E))))</f>
        <v>KG</v>
      </c>
      <c r="H135" s="252">
        <v>430</v>
      </c>
      <c r="I135" s="252">
        <f>IF($A135="M",_xlfn.XLOOKUP($D135,Mercado!$C:$C,Mercado!$I:$I),_xlfn.XLOOKUP($D135,Fontes!$B:$B,Fontes!$J:$J))</f>
        <v>24.22</v>
      </c>
      <c r="J135" s="252">
        <f>IF($A135="M",_xlfn.XLOOKUP($D135,Mercado!$C:$C,Mercado!$J:$J),_xlfn.XLOOKUP($D135,Fontes!$B:$B,Fontes!$H:$H))</f>
        <v>2.89</v>
      </c>
      <c r="K135" s="252">
        <f>IF($A135="M",0,_xlfn.XLOOKUP($D135,Fontes!$B:$B,Fontes!$I:$I))</f>
        <v>0</v>
      </c>
      <c r="L135" s="250">
        <f t="shared" si="12"/>
        <v>27.11</v>
      </c>
      <c r="M135" s="300">
        <f t="shared" si="17"/>
        <v>11657.3</v>
      </c>
      <c r="N135" s="243"/>
      <c r="O135" s="517">
        <f t="shared" si="19"/>
        <v>11657.3</v>
      </c>
    </row>
    <row r="136" spans="1:15" outlineLevel="4" x14ac:dyDescent="0.3">
      <c r="A136" s="35"/>
      <c r="B136" s="36"/>
      <c r="C136" s="495" t="s">
        <v>9832</v>
      </c>
      <c r="D136" s="249" t="s">
        <v>834</v>
      </c>
      <c r="E136" s="248" t="str">
        <f>UPPER(IF($D136=0,"",IF($A136=4,_xlfn.XLOOKUP($D136,Mercado!$C:$C,Mercado!$E:$E),_xlfn.XLOOKUP($D136,Fontes!$B:$B,Fontes!$C:$C))))</f>
        <v>CPOS/CDHU</v>
      </c>
      <c r="F136" s="327" t="s">
        <v>3503</v>
      </c>
      <c r="G136" s="249" t="str">
        <f>UPPER(IF($D136=0,"",IF($A136=4,_xlfn.XLOOKUP($D136,Mercado!$C:$C,Mercado!$G:$G),_xlfn.XLOOKUP($D136,Fontes!$B:$B,Fontes!$E:$E))))</f>
        <v>M³</v>
      </c>
      <c r="H136" s="252">
        <v>118.5</v>
      </c>
      <c r="I136" s="252">
        <f>IF($A136="M",_xlfn.XLOOKUP($D136,Mercado!$C:$C,Mercado!$I:$I),_xlfn.XLOOKUP($D136,Fontes!$B:$B,Fontes!$J:$J))</f>
        <v>623.86</v>
      </c>
      <c r="J136" s="252">
        <f>IF($A136="M",_xlfn.XLOOKUP($D136,Mercado!$C:$C,Mercado!$J:$J),_xlfn.XLOOKUP($D136,Fontes!$B:$B,Fontes!$H:$H))</f>
        <v>0</v>
      </c>
      <c r="K136" s="252">
        <f>IF($A136="M",0,_xlfn.XLOOKUP($D136,Fontes!$B:$B,Fontes!$I:$I))</f>
        <v>0</v>
      </c>
      <c r="L136" s="250">
        <f t="shared" si="12"/>
        <v>623.86</v>
      </c>
      <c r="M136" s="300">
        <f t="shared" si="17"/>
        <v>73927.41</v>
      </c>
      <c r="N136" s="243"/>
      <c r="O136" s="517">
        <f t="shared" si="19"/>
        <v>73927.41</v>
      </c>
    </row>
    <row r="137" spans="1:15" s="255" customFormat="1" ht="38.4" outlineLevel="4" x14ac:dyDescent="0.3">
      <c r="A137" s="35"/>
      <c r="B137" s="36"/>
      <c r="C137" s="495" t="s">
        <v>9833</v>
      </c>
      <c r="D137" s="481" t="s">
        <v>1997</v>
      </c>
      <c r="E137" s="248" t="str">
        <f>UPPER(IF($D137=0,"",IF($A137=4,_xlfn.XLOOKUP($D137,Mercado!$C:$C,Mercado!$E:$E),_xlfn.XLOOKUP($D137,Fontes!$B:$B,Fontes!$C:$C))))</f>
        <v>CPOS/CDHU</v>
      </c>
      <c r="F137" s="327" t="s">
        <v>3498</v>
      </c>
      <c r="G137" s="249" t="str">
        <f>UPPER(IF($D137=0,"",IF($A137=4,_xlfn.XLOOKUP($D137,Mercado!$C:$C,Mercado!$G:$G),_xlfn.XLOOKUP($D137,Fontes!$B:$B,Fontes!$E:$E))))</f>
        <v>M³</v>
      </c>
      <c r="H137" s="252">
        <f>+H136</f>
        <v>118.5</v>
      </c>
      <c r="I137" s="252">
        <f>IF($A137="M",_xlfn.XLOOKUP($D137,Mercado!$C:$C,Mercado!$I:$I),_xlfn.XLOOKUP($D137,Fontes!$B:$B,Fontes!$J:$J))</f>
        <v>0</v>
      </c>
      <c r="J137" s="252">
        <f>IF($A137="M",_xlfn.XLOOKUP($D137,Mercado!$C:$C,Mercado!$J:$J),_xlfn.XLOOKUP($D137,Fontes!$B:$B,Fontes!$H:$H))</f>
        <v>132.30000000000001</v>
      </c>
      <c r="K137" s="252">
        <f>IF($A137="M",0,_xlfn.XLOOKUP($D137,Fontes!$B:$B,Fontes!$I:$I))</f>
        <v>0</v>
      </c>
      <c r="L137" s="250">
        <f t="shared" si="12"/>
        <v>132.30000000000001</v>
      </c>
      <c r="M137" s="300">
        <f t="shared" si="17"/>
        <v>15677.55</v>
      </c>
      <c r="N137" s="243"/>
      <c r="O137" s="517">
        <f t="shared" si="19"/>
        <v>15677.55</v>
      </c>
    </row>
    <row r="138" spans="1:15" outlineLevel="3" x14ac:dyDescent="0.3">
      <c r="A138" s="36" t="s">
        <v>7</v>
      </c>
      <c r="B138" s="36"/>
      <c r="C138" s="495" t="s">
        <v>781</v>
      </c>
      <c r="D138" s="249"/>
      <c r="E138" s="248" t="str">
        <f>UPPER(IF($D138=0,"",IF($A138=4,_xlfn.XLOOKUP($D138,Mercado!$C:$C,Mercado!$E:$E),_xlfn.XLOOKUP($D138,Fontes!$B:$B,Fontes!$C:$C))))</f>
        <v/>
      </c>
      <c r="F138" s="327" t="s">
        <v>781</v>
      </c>
      <c r="G138" s="249"/>
      <c r="H138" s="252"/>
      <c r="I138" s="252">
        <f>IF($A138="M",_xlfn.XLOOKUP($D138,Mercado!$C:$C,Mercado!$I:$I),_xlfn.XLOOKUP($D138,Fontes!$B:$B,Fontes!$J:$J))</f>
        <v>0</v>
      </c>
      <c r="J138" s="252">
        <f>IF($A138="M",_xlfn.XLOOKUP($D138,Mercado!$C:$C,Mercado!$J:$J),_xlfn.XLOOKUP($D138,Fontes!$B:$B,Fontes!$H:$H))</f>
        <v>0</v>
      </c>
      <c r="K138" s="252">
        <f>IF($A138="M",0,_xlfn.XLOOKUP($D138,Fontes!$B:$B,Fontes!$I:$I))</f>
        <v>0</v>
      </c>
      <c r="L138" s="250">
        <f t="shared" si="12"/>
        <v>0</v>
      </c>
      <c r="M138" s="300">
        <f t="shared" si="17"/>
        <v>0</v>
      </c>
      <c r="N138" s="243"/>
      <c r="O138" s="517" t="str">
        <f t="shared" si="19"/>
        <v/>
      </c>
    </row>
    <row r="139" spans="1:15" s="261" customFormat="1" outlineLevel="4" x14ac:dyDescent="0.3">
      <c r="A139" s="36" t="s">
        <v>7</v>
      </c>
      <c r="B139" s="35"/>
      <c r="C139" s="499" t="s">
        <v>9834</v>
      </c>
      <c r="D139" s="257"/>
      <c r="E139" s="248" t="str">
        <f>UPPER(IF($D139=0,"",IF($A139=4,_xlfn.XLOOKUP($D139,Mercado!$C:$C,Mercado!$E:$E),_xlfn.XLOOKUP($D139,Fontes!$B:$B,Fontes!$C:$C))))</f>
        <v/>
      </c>
      <c r="F139" s="331" t="s">
        <v>2910</v>
      </c>
      <c r="G139" s="257"/>
      <c r="H139" s="259"/>
      <c r="I139" s="259">
        <f>IF($A139="M",_xlfn.XLOOKUP($D139,Mercado!$C:$C,Mercado!$I:$I),_xlfn.XLOOKUP($D139,Fontes!$B:$B,Fontes!$J:$J))</f>
        <v>0</v>
      </c>
      <c r="J139" s="259">
        <f>IF($A139="M",_xlfn.XLOOKUP($D139,Mercado!$C:$C,Mercado!$J:$J),_xlfn.XLOOKUP($D139,Fontes!$B:$B,Fontes!$H:$H))</f>
        <v>0</v>
      </c>
      <c r="K139" s="259">
        <f>IF($A139="M",0,_xlfn.XLOOKUP($D139,Fontes!$B:$B,Fontes!$I:$I))</f>
        <v>0</v>
      </c>
      <c r="L139" s="260">
        <f t="shared" si="12"/>
        <v>0</v>
      </c>
      <c r="M139" s="500">
        <f t="shared" si="17"/>
        <v>0</v>
      </c>
      <c r="N139" s="247"/>
      <c r="O139" s="517" t="str">
        <f t="shared" si="19"/>
        <v/>
      </c>
    </row>
    <row r="140" spans="1:15" ht="57.6" outlineLevel="4" x14ac:dyDescent="0.3">
      <c r="A140" s="35"/>
      <c r="B140" s="36"/>
      <c r="C140" s="495" t="s">
        <v>9835</v>
      </c>
      <c r="D140" s="249">
        <v>101124</v>
      </c>
      <c r="E140" s="248" t="str">
        <f>UPPER(IF($D140=0,"",IF($A140=4,_xlfn.XLOOKUP($D140,Mercado!$C:$C,Mercado!$E:$E),_xlfn.XLOOKUP($D140,Fontes!$B:$B,Fontes!$C:$C))))</f>
        <v>SINAPI</v>
      </c>
      <c r="F140" s="327" t="s">
        <v>340</v>
      </c>
      <c r="G140" s="249" t="str">
        <f>UPPER(IF($D140=0,"",IF($A140=4,_xlfn.XLOOKUP($D140,Mercado!$C:$C,Mercado!$G:$G),_xlfn.XLOOKUP($D140,Fontes!$B:$B,Fontes!$E:$E))))</f>
        <v>M³</v>
      </c>
      <c r="H140" s="252">
        <v>105</v>
      </c>
      <c r="I140" s="252">
        <f>IF($A140="M",_xlfn.XLOOKUP($D140,Mercado!$C:$C,Mercado!$I:$I),_xlfn.XLOOKUP($D140,Fontes!$B:$B,Fontes!$J:$J))</f>
        <v>6.64</v>
      </c>
      <c r="J140" s="252">
        <f>IF($A140="M",_xlfn.XLOOKUP($D140,Mercado!$C:$C,Mercado!$J:$J),_xlfn.XLOOKUP($D140,Fontes!$B:$B,Fontes!$H:$H))</f>
        <v>4.29</v>
      </c>
      <c r="K140" s="252">
        <f>IF($A140="M",0,_xlfn.XLOOKUP($D140,Fontes!$B:$B,Fontes!$I:$I))</f>
        <v>6.85</v>
      </c>
      <c r="L140" s="250">
        <f t="shared" si="12"/>
        <v>17.78</v>
      </c>
      <c r="M140" s="300">
        <f t="shared" si="17"/>
        <v>1866.9</v>
      </c>
      <c r="N140" s="243"/>
      <c r="O140" s="517">
        <f t="shared" si="19"/>
        <v>1866.9</v>
      </c>
    </row>
    <row r="141" spans="1:15" ht="57.6" outlineLevel="4" x14ac:dyDescent="0.3">
      <c r="A141" s="35"/>
      <c r="B141" s="36"/>
      <c r="C141" s="495" t="s">
        <v>9836</v>
      </c>
      <c r="D141" s="249">
        <v>96523</v>
      </c>
      <c r="E141" s="248" t="str">
        <f>UPPER(IF($D141=0,"",IF($A141=4,_xlfn.XLOOKUP($D141,Mercado!$C:$C,Mercado!$E:$E),_xlfn.XLOOKUP($D141,Fontes!$B:$B,Fontes!$C:$C))))</f>
        <v>SINAPI</v>
      </c>
      <c r="F141" s="327" t="s">
        <v>368</v>
      </c>
      <c r="G141" s="249" t="str">
        <f>UPPER(IF($D141=0,"",IF($A141=4,_xlfn.XLOOKUP($D141,Mercado!$C:$C,Mercado!$G:$G),_xlfn.XLOOKUP($D141,Fontes!$B:$B,Fontes!$E:$E))))</f>
        <v>M³</v>
      </c>
      <c r="H141" s="252">
        <f>12.93*0.15</f>
        <v>1.9394999999999998</v>
      </c>
      <c r="I141" s="252">
        <f>IF($A141="M",_xlfn.XLOOKUP($D141,Mercado!$C:$C,Mercado!$I:$I),_xlfn.XLOOKUP($D141,Fontes!$B:$B,Fontes!$J:$J))</f>
        <v>32.159999999999997</v>
      </c>
      <c r="J141" s="252">
        <f>IF($A141="M",_xlfn.XLOOKUP($D141,Mercado!$C:$C,Mercado!$J:$J),_xlfn.XLOOKUP($D141,Fontes!$B:$B,Fontes!$H:$H))</f>
        <v>101.45</v>
      </c>
      <c r="K141" s="252">
        <f>IF($A141="M",0,_xlfn.XLOOKUP($D141,Fontes!$B:$B,Fontes!$I:$I))</f>
        <v>9.6199999999999992</v>
      </c>
      <c r="L141" s="250">
        <f t="shared" si="12"/>
        <v>143.23000000000002</v>
      </c>
      <c r="M141" s="300">
        <f t="shared" si="17"/>
        <v>277.79000000000002</v>
      </c>
      <c r="N141" s="243"/>
      <c r="O141" s="517">
        <f t="shared" si="19"/>
        <v>277.79000000000002</v>
      </c>
    </row>
    <row r="142" spans="1:15" ht="38.4" outlineLevel="4" x14ac:dyDescent="0.3">
      <c r="A142" s="35"/>
      <c r="B142" s="36"/>
      <c r="C142" s="495" t="s">
        <v>9837</v>
      </c>
      <c r="D142" s="249">
        <v>93382</v>
      </c>
      <c r="E142" s="248" t="str">
        <f>UPPER(IF($D142=0,"",IF($A142=4,_xlfn.XLOOKUP($D142,Mercado!$C:$C,Mercado!$E:$E),_xlfn.XLOOKUP($D142,Fontes!$B:$B,Fontes!$C:$C))))</f>
        <v>SINAPI</v>
      </c>
      <c r="F142" s="327" t="s">
        <v>119</v>
      </c>
      <c r="G142" s="249" t="str">
        <f>UPPER(IF($D142=0,"",IF($A142=4,_xlfn.XLOOKUP($D142,Mercado!$C:$C,Mercado!$G:$G),_xlfn.XLOOKUP($D142,Fontes!$B:$B,Fontes!$E:$E))))</f>
        <v>M³</v>
      </c>
      <c r="H142" s="252">
        <v>32.020000000000003</v>
      </c>
      <c r="I142" s="252">
        <f>IF($A142="M",_xlfn.XLOOKUP($D142,Mercado!$C:$C,Mercado!$I:$I),_xlfn.XLOOKUP($D142,Fontes!$B:$B,Fontes!$J:$J))</f>
        <v>10.41</v>
      </c>
      <c r="J142" s="252">
        <f>IF($A142="M",_xlfn.XLOOKUP($D142,Mercado!$C:$C,Mercado!$J:$J),_xlfn.XLOOKUP($D142,Fontes!$B:$B,Fontes!$H:$H))</f>
        <v>24.64</v>
      </c>
      <c r="K142" s="252">
        <f>IF($A142="M",0,_xlfn.XLOOKUP($D142,Fontes!$B:$B,Fontes!$I:$I))</f>
        <v>2.98</v>
      </c>
      <c r="L142" s="250">
        <f t="shared" ref="L142:L205" si="20">SUM(I142:K142)</f>
        <v>38.029999999999994</v>
      </c>
      <c r="M142" s="300">
        <f t="shared" si="17"/>
        <v>1217.72</v>
      </c>
      <c r="N142" s="243"/>
      <c r="O142" s="517">
        <f t="shared" si="19"/>
        <v>1217.72</v>
      </c>
    </row>
    <row r="143" spans="1:15" ht="76.8" outlineLevel="4" x14ac:dyDescent="0.3">
      <c r="A143" s="35"/>
      <c r="B143" s="36"/>
      <c r="C143" s="495" t="s">
        <v>9838</v>
      </c>
      <c r="D143" s="249">
        <v>100981</v>
      </c>
      <c r="E143" s="248" t="str">
        <f>UPPER(IF($D143=0,"",IF($A143=4,_xlfn.XLOOKUP($D143,Mercado!$C:$C,Mercado!$E:$E),_xlfn.XLOOKUP($D143,Fontes!$B:$B,Fontes!$C:$C))))</f>
        <v>SINAPI</v>
      </c>
      <c r="F143" s="327" t="s">
        <v>295</v>
      </c>
      <c r="G143" s="249" t="str">
        <f>UPPER(IF($D143=0,"",IF($A143=4,_xlfn.XLOOKUP($D143,Mercado!$C:$C,Mercado!$G:$G),_xlfn.XLOOKUP($D143,Fontes!$B:$B,Fontes!$E:$E))))</f>
        <v>M³</v>
      </c>
      <c r="H143" s="252">
        <f>+H140-H142*1.35</f>
        <v>61.772999999999996</v>
      </c>
      <c r="I143" s="252">
        <f>IF($A143="M",_xlfn.XLOOKUP($D143,Mercado!$C:$C,Mercado!$I:$I),_xlfn.XLOOKUP($D143,Fontes!$B:$B,Fontes!$J:$J))</f>
        <v>4.1399999999999997</v>
      </c>
      <c r="J143" s="252">
        <f>IF($A143="M",_xlfn.XLOOKUP($D143,Mercado!$C:$C,Mercado!$J:$J),_xlfn.XLOOKUP($D143,Fontes!$B:$B,Fontes!$H:$H))</f>
        <v>3.06</v>
      </c>
      <c r="K143" s="252">
        <f>IF($A143="M",0,_xlfn.XLOOKUP($D143,Fontes!$B:$B,Fontes!$I:$I))</f>
        <v>4.32</v>
      </c>
      <c r="L143" s="250">
        <f t="shared" si="20"/>
        <v>11.52</v>
      </c>
      <c r="M143" s="300">
        <f t="shared" si="17"/>
        <v>711.62</v>
      </c>
      <c r="N143" s="243"/>
      <c r="O143" s="517">
        <f t="shared" si="19"/>
        <v>711.62</v>
      </c>
    </row>
    <row r="144" spans="1:15" ht="57.6" outlineLevel="4" x14ac:dyDescent="0.3">
      <c r="A144" s="35"/>
      <c r="B144" s="36"/>
      <c r="C144" s="495" t="s">
        <v>9839</v>
      </c>
      <c r="D144" s="249">
        <v>95875</v>
      </c>
      <c r="E144" s="248" t="str">
        <f>UPPER(IF($D144=0,"",IF($A144=4,_xlfn.XLOOKUP($D144,Mercado!$C:$C,Mercado!$E:$E),_xlfn.XLOOKUP($D144,Fontes!$B:$B,Fontes!$C:$C))))</f>
        <v>SINAPI</v>
      </c>
      <c r="F144" s="327" t="s">
        <v>294</v>
      </c>
      <c r="G144" s="249" t="str">
        <f>UPPER(IF($D144=0,"",IF($A144=4,_xlfn.XLOOKUP($D144,Mercado!$C:$C,Mercado!$G:$G),_xlfn.XLOOKUP($D144,Fontes!$B:$B,Fontes!$E:$E))))</f>
        <v>M3XKM</v>
      </c>
      <c r="H144" s="252">
        <f>+H143*30</f>
        <v>1853.1899999999998</v>
      </c>
      <c r="I144" s="252">
        <f>IF($A144="M",_xlfn.XLOOKUP($D144,Mercado!$C:$C,Mercado!$I:$I),_xlfn.XLOOKUP($D144,Fontes!$B:$B,Fontes!$J:$J))</f>
        <v>1.68</v>
      </c>
      <c r="J144" s="252">
        <f>IF($A144="M",_xlfn.XLOOKUP($D144,Mercado!$C:$C,Mercado!$J:$J),_xlfn.XLOOKUP($D144,Fontes!$B:$B,Fontes!$H:$H))</f>
        <v>0.6</v>
      </c>
      <c r="K144" s="252">
        <f>IF($A144="M",0,_xlfn.XLOOKUP($D144,Fontes!$B:$B,Fontes!$I:$I))</f>
        <v>0.92</v>
      </c>
      <c r="L144" s="250">
        <f t="shared" si="20"/>
        <v>3.1999999999999997</v>
      </c>
      <c r="M144" s="300">
        <f t="shared" si="17"/>
        <v>5930.21</v>
      </c>
      <c r="N144" s="243"/>
      <c r="O144" s="517">
        <f t="shared" si="19"/>
        <v>5930.21</v>
      </c>
    </row>
    <row r="145" spans="1:15" ht="57.6" outlineLevel="4" x14ac:dyDescent="0.3">
      <c r="A145" s="35"/>
      <c r="B145" s="36"/>
      <c r="C145" s="495" t="s">
        <v>9840</v>
      </c>
      <c r="D145" s="249">
        <v>93590</v>
      </c>
      <c r="E145" s="248" t="str">
        <f>UPPER(IF($D145=0,"",IF($A145=4,_xlfn.XLOOKUP($D145,Mercado!$C:$C,Mercado!$E:$E),_xlfn.XLOOKUP($D145,Fontes!$B:$B,Fontes!$C:$C))))</f>
        <v>SINAPI</v>
      </c>
      <c r="F145" s="327" t="s">
        <v>293</v>
      </c>
      <c r="G145" s="249" t="str">
        <f>UPPER(IF($D145=0,"",IF($A145=4,_xlfn.XLOOKUP($D145,Mercado!$C:$C,Mercado!$G:$G),_xlfn.XLOOKUP($D145,Fontes!$B:$B,Fontes!$E:$E))))</f>
        <v>M3XKM</v>
      </c>
      <c r="H145" s="252">
        <f>+H143*10</f>
        <v>617.73</v>
      </c>
      <c r="I145" s="252">
        <f>IF($A145="M",_xlfn.XLOOKUP($D145,Mercado!$C:$C,Mercado!$I:$I),_xlfn.XLOOKUP($D145,Fontes!$B:$B,Fontes!$J:$J))</f>
        <v>0.65</v>
      </c>
      <c r="J145" s="252">
        <f>IF($A145="M",_xlfn.XLOOKUP($D145,Mercado!$C:$C,Mercado!$J:$J),_xlfn.XLOOKUP($D145,Fontes!$B:$B,Fontes!$H:$H))</f>
        <v>0.23</v>
      </c>
      <c r="K145" s="252">
        <f>IF($A145="M",0,_xlfn.XLOOKUP($D145,Fontes!$B:$B,Fontes!$I:$I))</f>
        <v>0.35</v>
      </c>
      <c r="L145" s="250">
        <f t="shared" si="20"/>
        <v>1.23</v>
      </c>
      <c r="M145" s="300">
        <f t="shared" si="17"/>
        <v>759.81</v>
      </c>
      <c r="N145" s="243"/>
      <c r="O145" s="517">
        <f t="shared" si="19"/>
        <v>759.81</v>
      </c>
    </row>
    <row r="146" spans="1:15" s="255" customFormat="1" ht="38.4" outlineLevel="4" x14ac:dyDescent="0.3">
      <c r="A146" s="35"/>
      <c r="B146" s="36"/>
      <c r="C146" s="495" t="s">
        <v>9841</v>
      </c>
      <c r="D146" s="249">
        <v>96616</v>
      </c>
      <c r="E146" s="248" t="str">
        <f>UPPER(IF($D146=0,"",IF($A146=4,_xlfn.XLOOKUP($D146,Mercado!$C:$C,Mercado!$E:$E),_xlfn.XLOOKUP($D146,Fontes!$B:$B,Fontes!$C:$C))))</f>
        <v>SINAPI</v>
      </c>
      <c r="F146" s="327" t="s">
        <v>193</v>
      </c>
      <c r="G146" s="249" t="str">
        <f>UPPER(IF($D146=0,"",IF($A146=4,_xlfn.XLOOKUP($D146,Mercado!$C:$C,Mercado!$G:$G),_xlfn.XLOOKUP($D146,Fontes!$B:$B,Fontes!$E:$E))))</f>
        <v>M³</v>
      </c>
      <c r="H146" s="252">
        <v>0.53</v>
      </c>
      <c r="I146" s="252">
        <f>IF($A146="M",_xlfn.XLOOKUP($D146,Mercado!$C:$C,Mercado!$I:$I),_xlfn.XLOOKUP($D146,Fontes!$B:$B,Fontes!$J:$J))</f>
        <v>556.25</v>
      </c>
      <c r="J146" s="252">
        <f>IF($A146="M",_xlfn.XLOOKUP($D146,Mercado!$C:$C,Mercado!$J:$J),_xlfn.XLOOKUP($D146,Fontes!$B:$B,Fontes!$H:$H))</f>
        <v>383.38</v>
      </c>
      <c r="K146" s="252">
        <f>IF($A146="M",0,_xlfn.XLOOKUP($D146,Fontes!$B:$B,Fontes!$I:$I))</f>
        <v>35.51</v>
      </c>
      <c r="L146" s="250">
        <f t="shared" si="20"/>
        <v>975.14</v>
      </c>
      <c r="M146" s="300">
        <f t="shared" si="17"/>
        <v>516.82000000000005</v>
      </c>
      <c r="N146" s="243"/>
      <c r="O146" s="517">
        <f t="shared" si="19"/>
        <v>516.82000000000005</v>
      </c>
    </row>
    <row r="147" spans="1:15" s="255" customFormat="1" ht="38.4" outlineLevel="4" x14ac:dyDescent="0.3">
      <c r="A147" s="35"/>
      <c r="B147" s="36"/>
      <c r="C147" s="495" t="s">
        <v>9842</v>
      </c>
      <c r="D147" s="249">
        <v>7582</v>
      </c>
      <c r="E147" s="248" t="str">
        <f>UPPER(IF($D147=0,"",IF($A147=4,_xlfn.XLOOKUP($D147,Mercado!$C:$C,Mercado!$E:$E),_xlfn.XLOOKUP($D147,Fontes!$B:$B,Fontes!$C:$C))))</f>
        <v>ORSE</v>
      </c>
      <c r="F147" s="327" t="s">
        <v>8480</v>
      </c>
      <c r="G147" s="249" t="str">
        <f>UPPER(IF($D147=0,"",IF($A147=4,_xlfn.XLOOKUP($D147,Mercado!$C:$C,Mercado!$G:$G),_xlfn.XLOOKUP($D147,Fontes!$B:$B,Fontes!$E:$E))))</f>
        <v>M²</v>
      </c>
      <c r="H147" s="252">
        <v>20.69</v>
      </c>
      <c r="I147" s="252">
        <f>IF($A147="M",_xlfn.XLOOKUP($D147,Mercado!$C:$C,Mercado!$I:$I),_xlfn.XLOOKUP($D147,Fontes!$B:$B,Fontes!$J:$J))</f>
        <v>69.89</v>
      </c>
      <c r="J147" s="252">
        <f>IF($A147="M",_xlfn.XLOOKUP($D147,Mercado!$C:$C,Mercado!$J:$J),_xlfn.XLOOKUP($D147,Fontes!$B:$B,Fontes!$H:$H))</f>
        <v>32.17</v>
      </c>
      <c r="K147" s="252">
        <f>IF($A147="M",0,_xlfn.XLOOKUP($D147,Fontes!$B:$B,Fontes!$I:$I))</f>
        <v>0.16</v>
      </c>
      <c r="L147" s="250">
        <f t="shared" si="20"/>
        <v>102.22</v>
      </c>
      <c r="M147" s="300">
        <f t="shared" si="17"/>
        <v>2114.9299999999998</v>
      </c>
      <c r="N147" s="243"/>
      <c r="O147" s="517">
        <f t="shared" si="19"/>
        <v>2114.9299999999998</v>
      </c>
    </row>
    <row r="148" spans="1:15" s="255" customFormat="1" ht="38.4" outlineLevel="4" x14ac:dyDescent="0.3">
      <c r="A148" s="35"/>
      <c r="B148" s="36"/>
      <c r="C148" s="495" t="s">
        <v>9843</v>
      </c>
      <c r="D148" s="249">
        <v>96547</v>
      </c>
      <c r="E148" s="248" t="str">
        <f>UPPER(IF($D148=0,"",IF($A148=4,_xlfn.XLOOKUP($D148,Mercado!$C:$C,Mercado!$E:$E),_xlfn.XLOOKUP($D148,Fontes!$B:$B,Fontes!$C:$C))))</f>
        <v>SINAPI</v>
      </c>
      <c r="F148" s="327" t="s">
        <v>187</v>
      </c>
      <c r="G148" s="249" t="str">
        <f>UPPER(IF($D148=0,"",IF($A148=4,_xlfn.XLOOKUP($D148,Mercado!$C:$C,Mercado!$G:$G),_xlfn.XLOOKUP($D148,Fontes!$B:$B,Fontes!$E:$E))))</f>
        <v>KG</v>
      </c>
      <c r="H148" s="252">
        <v>268.75</v>
      </c>
      <c r="I148" s="252">
        <f>IF($A148="M",_xlfn.XLOOKUP($D148,Mercado!$C:$C,Mercado!$I:$I),_xlfn.XLOOKUP($D148,Fontes!$B:$B,Fontes!$J:$J))</f>
        <v>9.3800000000000008</v>
      </c>
      <c r="J148" s="252">
        <f>IF($A148="M",_xlfn.XLOOKUP($D148,Mercado!$C:$C,Mercado!$J:$J),_xlfn.XLOOKUP($D148,Fontes!$B:$B,Fontes!$H:$H))</f>
        <v>2.83</v>
      </c>
      <c r="K148" s="252">
        <f>IF($A148="M",0,_xlfn.XLOOKUP($D148,Fontes!$B:$B,Fontes!$I:$I))</f>
        <v>0.23</v>
      </c>
      <c r="L148" s="250">
        <f t="shared" si="20"/>
        <v>12.440000000000001</v>
      </c>
      <c r="M148" s="300">
        <f t="shared" si="17"/>
        <v>3343.25</v>
      </c>
      <c r="N148" s="243"/>
      <c r="O148" s="517">
        <f t="shared" si="19"/>
        <v>3343.25</v>
      </c>
    </row>
    <row r="149" spans="1:15" s="255" customFormat="1" outlineLevel="4" x14ac:dyDescent="0.3">
      <c r="A149" s="35"/>
      <c r="B149" s="36"/>
      <c r="C149" s="495" t="s">
        <v>9844</v>
      </c>
      <c r="D149" s="249" t="s">
        <v>834</v>
      </c>
      <c r="E149" s="248" t="str">
        <f>UPPER(IF($D149=0,"",IF($A149=4,_xlfn.XLOOKUP($D149,Mercado!$C:$C,Mercado!$E:$E),_xlfn.XLOOKUP($D149,Fontes!$B:$B,Fontes!$C:$C))))</f>
        <v>CPOS/CDHU</v>
      </c>
      <c r="F149" s="327" t="s">
        <v>3503</v>
      </c>
      <c r="G149" s="249" t="str">
        <f>UPPER(IF($D149=0,"",IF($A149=4,_xlfn.XLOOKUP($D149,Mercado!$C:$C,Mercado!$G:$G),_xlfn.XLOOKUP($D149,Fontes!$B:$B,Fontes!$E:$E))))</f>
        <v>M³</v>
      </c>
      <c r="H149" s="252">
        <v>4.4800000000000004</v>
      </c>
      <c r="I149" s="252">
        <f>IF($A149="M",_xlfn.XLOOKUP($D149,Mercado!$C:$C,Mercado!$I:$I),_xlfn.XLOOKUP($D149,Fontes!$B:$B,Fontes!$J:$J))</f>
        <v>623.86</v>
      </c>
      <c r="J149" s="252">
        <f>IF($A149="M",_xlfn.XLOOKUP($D149,Mercado!$C:$C,Mercado!$J:$J),_xlfn.XLOOKUP($D149,Fontes!$B:$B,Fontes!$H:$H))</f>
        <v>0</v>
      </c>
      <c r="K149" s="252">
        <f>IF($A149="M",0,_xlfn.XLOOKUP($D149,Fontes!$B:$B,Fontes!$I:$I))</f>
        <v>0</v>
      </c>
      <c r="L149" s="250">
        <f t="shared" si="20"/>
        <v>623.86</v>
      </c>
      <c r="M149" s="300">
        <f t="shared" si="17"/>
        <v>2794.89</v>
      </c>
      <c r="N149" s="243"/>
      <c r="O149" s="517">
        <f t="shared" si="19"/>
        <v>2794.89</v>
      </c>
    </row>
    <row r="150" spans="1:15" s="255" customFormat="1" ht="38.4" outlineLevel="4" x14ac:dyDescent="0.3">
      <c r="A150" s="35"/>
      <c r="B150" s="36"/>
      <c r="C150" s="495" t="s">
        <v>9845</v>
      </c>
      <c r="D150" s="481" t="s">
        <v>1997</v>
      </c>
      <c r="E150" s="248" t="str">
        <f>UPPER(IF($D150=0,"",IF($A150=4,_xlfn.XLOOKUP($D150,Mercado!$C:$C,Mercado!$E:$E),_xlfn.XLOOKUP($D150,Fontes!$B:$B,Fontes!$C:$C))))</f>
        <v>CPOS/CDHU</v>
      </c>
      <c r="F150" s="327" t="s">
        <v>3498</v>
      </c>
      <c r="G150" s="249" t="str">
        <f>UPPER(IF($D150=0,"",IF($A150=4,_xlfn.XLOOKUP($D150,Mercado!$C:$C,Mercado!$G:$G),_xlfn.XLOOKUP($D150,Fontes!$B:$B,Fontes!$E:$E))))</f>
        <v>M³</v>
      </c>
      <c r="H150" s="252">
        <f>+H149</f>
        <v>4.4800000000000004</v>
      </c>
      <c r="I150" s="252">
        <f>IF($A150="M",_xlfn.XLOOKUP($D150,Mercado!$C:$C,Mercado!$I:$I),_xlfn.XLOOKUP($D150,Fontes!$B:$B,Fontes!$J:$J))</f>
        <v>0</v>
      </c>
      <c r="J150" s="252">
        <f>IF($A150="M",_xlfn.XLOOKUP($D150,Mercado!$C:$C,Mercado!$J:$J),_xlfn.XLOOKUP($D150,Fontes!$B:$B,Fontes!$H:$H))</f>
        <v>132.30000000000001</v>
      </c>
      <c r="K150" s="252">
        <f>IF($A150="M",0,_xlfn.XLOOKUP($D150,Fontes!$B:$B,Fontes!$I:$I))</f>
        <v>0</v>
      </c>
      <c r="L150" s="250">
        <f t="shared" si="20"/>
        <v>132.30000000000001</v>
      </c>
      <c r="M150" s="300">
        <f t="shared" si="17"/>
        <v>592.70000000000005</v>
      </c>
      <c r="N150" s="243"/>
      <c r="O150" s="517">
        <f t="shared" si="19"/>
        <v>592.70000000000005</v>
      </c>
    </row>
    <row r="151" spans="1:15" s="255" customFormat="1" outlineLevel="4" x14ac:dyDescent="0.3">
      <c r="A151" s="35"/>
      <c r="B151" s="36"/>
      <c r="C151" s="495" t="s">
        <v>9846</v>
      </c>
      <c r="D151" s="481" t="s">
        <v>3013</v>
      </c>
      <c r="E151" s="248" t="str">
        <f>UPPER(IF($D151=0,"",IF($A151=4,_xlfn.XLOOKUP($D151,Mercado!$C:$C,Mercado!$E:$E),_xlfn.XLOOKUP($D151,Fontes!$B:$B,Fontes!$C:$C))))</f>
        <v>CPOS/CDHU</v>
      </c>
      <c r="F151" s="327" t="s">
        <v>3504</v>
      </c>
      <c r="G151" s="249" t="str">
        <f>UPPER(IF($D151=0,"",IF($A151=4,_xlfn.XLOOKUP($D151,Mercado!$C:$C,Mercado!$G:$G),_xlfn.XLOOKUP($D151,Fontes!$B:$B,Fontes!$E:$E))))</f>
        <v>M</v>
      </c>
      <c r="H151" s="252">
        <v>4.5</v>
      </c>
      <c r="I151" s="252">
        <f>IF($A151="M",_xlfn.XLOOKUP($D151,Mercado!$C:$C,Mercado!$I:$I),_xlfn.XLOOKUP($D151,Fontes!$B:$B,Fontes!$J:$J))</f>
        <v>2478.33</v>
      </c>
      <c r="J151" s="252">
        <f>IF($A151="M",_xlfn.XLOOKUP($D151,Mercado!$C:$C,Mercado!$J:$J),_xlfn.XLOOKUP($D151,Fontes!$B:$B,Fontes!$H:$H))</f>
        <v>182.65</v>
      </c>
      <c r="K151" s="252">
        <f>IF($A151="M",0,_xlfn.XLOOKUP($D151,Fontes!$B:$B,Fontes!$I:$I))</f>
        <v>0</v>
      </c>
      <c r="L151" s="250">
        <f t="shared" si="20"/>
        <v>2660.98</v>
      </c>
      <c r="M151" s="300">
        <f t="shared" si="17"/>
        <v>11974.41</v>
      </c>
      <c r="N151" s="243"/>
      <c r="O151" s="517">
        <f t="shared" si="19"/>
        <v>11974.41</v>
      </c>
    </row>
    <row r="152" spans="1:15" s="255" customFormat="1" ht="38.4" outlineLevel="4" x14ac:dyDescent="0.3">
      <c r="A152" s="35"/>
      <c r="B152" s="36"/>
      <c r="C152" s="495" t="s">
        <v>9847</v>
      </c>
      <c r="D152" s="481" t="s">
        <v>2909</v>
      </c>
      <c r="E152" s="248" t="str">
        <f>UPPER(IF($D152=0,"",IF($A152=4,_xlfn.XLOOKUP($D152,Mercado!$C:$C,Mercado!$E:$E),_xlfn.XLOOKUP($D152,Fontes!$B:$B,Fontes!$C:$C))))</f>
        <v>CPOS/CDHU</v>
      </c>
      <c r="F152" s="327" t="s">
        <v>3505</v>
      </c>
      <c r="G152" s="249" t="str">
        <f>UPPER(IF($D152=0,"",IF($A152=4,_xlfn.XLOOKUP($D152,Mercado!$C:$C,Mercado!$G:$G),_xlfn.XLOOKUP($D152,Fontes!$B:$B,Fontes!$E:$E))))</f>
        <v>M²</v>
      </c>
      <c r="H152" s="252">
        <v>49.76</v>
      </c>
      <c r="I152" s="252">
        <f>IF($A152="M",_xlfn.XLOOKUP($D152,Mercado!$C:$C,Mercado!$I:$I),_xlfn.XLOOKUP($D152,Fontes!$B:$B,Fontes!$J:$J))</f>
        <v>66.86</v>
      </c>
      <c r="J152" s="252">
        <f>IF($A152="M",_xlfn.XLOOKUP($D152,Mercado!$C:$C,Mercado!$J:$J),_xlfn.XLOOKUP($D152,Fontes!$B:$B,Fontes!$H:$H))</f>
        <v>21.92</v>
      </c>
      <c r="K152" s="252">
        <f>IF($A152="M",0,_xlfn.XLOOKUP($D152,Fontes!$B:$B,Fontes!$I:$I))</f>
        <v>0</v>
      </c>
      <c r="L152" s="250">
        <f t="shared" si="20"/>
        <v>88.78</v>
      </c>
      <c r="M152" s="300">
        <f t="shared" ref="M152:M170" si="21">ROUND(H152*L152,2)</f>
        <v>4417.6899999999996</v>
      </c>
      <c r="N152" s="243"/>
      <c r="O152" s="517">
        <f t="shared" si="19"/>
        <v>4417.6899999999996</v>
      </c>
    </row>
    <row r="153" spans="1:15" s="255" customFormat="1" outlineLevel="4" x14ac:dyDescent="0.3">
      <c r="A153" s="35"/>
      <c r="B153" s="36"/>
      <c r="C153" s="495" t="s">
        <v>9848</v>
      </c>
      <c r="D153" s="481" t="s">
        <v>3006</v>
      </c>
      <c r="E153" s="248" t="str">
        <f>UPPER(IF($D153=0,"",IF($A153=4,_xlfn.XLOOKUP($D153,Mercado!$C:$C,Mercado!$E:$E),_xlfn.XLOOKUP($D153,Fontes!$B:$B,Fontes!$C:$C))))</f>
        <v>CPOS/CDHU</v>
      </c>
      <c r="F153" s="327" t="s">
        <v>3506</v>
      </c>
      <c r="G153" s="249" t="str">
        <f>UPPER(IF($D153=0,"",IF($A153=4,_xlfn.XLOOKUP($D153,Mercado!$C:$C,Mercado!$G:$G),_xlfn.XLOOKUP($D153,Fontes!$B:$B,Fontes!$E:$E))))</f>
        <v>M²</v>
      </c>
      <c r="H153" s="252">
        <v>1</v>
      </c>
      <c r="I153" s="252">
        <f>IF($A153="M",_xlfn.XLOOKUP($D153,Mercado!$C:$C,Mercado!$I:$I),_xlfn.XLOOKUP($D153,Fontes!$B:$B,Fontes!$J:$J))</f>
        <v>1469.05</v>
      </c>
      <c r="J153" s="252">
        <f>IF($A153="M",_xlfn.XLOOKUP($D153,Mercado!$C:$C,Mercado!$J:$J),_xlfn.XLOOKUP($D153,Fontes!$B:$B,Fontes!$H:$H))</f>
        <v>100.7</v>
      </c>
      <c r="K153" s="252">
        <f>IF($A153="M",0,_xlfn.XLOOKUP($D153,Fontes!$B:$B,Fontes!$I:$I))</f>
        <v>0</v>
      </c>
      <c r="L153" s="250">
        <f t="shared" si="20"/>
        <v>1569.75</v>
      </c>
      <c r="M153" s="300">
        <f t="shared" si="21"/>
        <v>1569.75</v>
      </c>
      <c r="N153" s="243"/>
      <c r="O153" s="517">
        <f t="shared" si="19"/>
        <v>1569.75</v>
      </c>
    </row>
    <row r="154" spans="1:15" s="255" customFormat="1" ht="38.4" outlineLevel="4" x14ac:dyDescent="0.3">
      <c r="A154" s="35"/>
      <c r="B154" s="36"/>
      <c r="C154" s="495" t="s">
        <v>9849</v>
      </c>
      <c r="D154" s="481">
        <v>111701</v>
      </c>
      <c r="E154" s="248" t="str">
        <f>UPPER(IF($D154=0,"",IF($A154=4,_xlfn.XLOOKUP($D154,Mercado!$C:$C,Mercado!$E:$E),_xlfn.XLOOKUP($D154,Fontes!$B:$B,Fontes!$C:$C))))</f>
        <v>SBC</v>
      </c>
      <c r="F154" s="327" t="s">
        <v>3012</v>
      </c>
      <c r="G154" s="249" t="str">
        <f>UPPER(IF($D154=0,"",IF($A154=4,_xlfn.XLOOKUP($D154,Mercado!$C:$C,Mercado!$G:$G),_xlfn.XLOOKUP($D154,Fontes!$B:$B,Fontes!$E:$E))))</f>
        <v>M</v>
      </c>
      <c r="H154" s="252">
        <v>4</v>
      </c>
      <c r="I154" s="252">
        <f>IF($A154="M",_xlfn.XLOOKUP($D154,Mercado!$C:$C,Mercado!$I:$I),_xlfn.XLOOKUP($D154,Fontes!$B:$B,Fontes!$J:$J))</f>
        <v>1218.17</v>
      </c>
      <c r="J154" s="252">
        <f>IF($A154="M",_xlfn.XLOOKUP($D154,Mercado!$C:$C,Mercado!$J:$J),_xlfn.XLOOKUP($D154,Fontes!$B:$B,Fontes!$H:$H))</f>
        <v>31.78</v>
      </c>
      <c r="K154" s="252">
        <f>IF($A154="M",0,_xlfn.XLOOKUP($D154,Fontes!$B:$B,Fontes!$I:$I))</f>
        <v>0</v>
      </c>
      <c r="L154" s="250">
        <f t="shared" si="20"/>
        <v>1249.95</v>
      </c>
      <c r="M154" s="300">
        <f t="shared" si="21"/>
        <v>4999.8</v>
      </c>
      <c r="N154" s="243"/>
      <c r="O154" s="517">
        <f t="shared" si="19"/>
        <v>4999.8</v>
      </c>
    </row>
    <row r="155" spans="1:15" outlineLevel="3" x14ac:dyDescent="0.3">
      <c r="A155" s="36" t="s">
        <v>7</v>
      </c>
      <c r="B155" s="36"/>
      <c r="C155" s="495" t="s">
        <v>781</v>
      </c>
      <c r="D155" s="249"/>
      <c r="E155" s="248" t="str">
        <f>UPPER(IF($D155=0,"",IF($A155=4,_xlfn.XLOOKUP($D155,Mercado!$C:$C,Mercado!$E:$E),_xlfn.XLOOKUP($D155,Fontes!$B:$B,Fontes!$C:$C))))</f>
        <v/>
      </c>
      <c r="F155" s="327" t="s">
        <v>781</v>
      </c>
      <c r="G155" s="249"/>
      <c r="H155" s="252"/>
      <c r="I155" s="252">
        <f>IF($A155="M",_xlfn.XLOOKUP($D155,Mercado!$C:$C,Mercado!$I:$I),_xlfn.XLOOKUP($D155,Fontes!$B:$B,Fontes!$J:$J))</f>
        <v>0</v>
      </c>
      <c r="J155" s="252">
        <f>IF($A155="M",_xlfn.XLOOKUP($D155,Mercado!$C:$C,Mercado!$J:$J),_xlfn.XLOOKUP($D155,Fontes!$B:$B,Fontes!$H:$H))</f>
        <v>0</v>
      </c>
      <c r="K155" s="252">
        <f>IF($A155="M",0,_xlfn.XLOOKUP($D155,Fontes!$B:$B,Fontes!$I:$I))</f>
        <v>0</v>
      </c>
      <c r="L155" s="250">
        <f t="shared" si="20"/>
        <v>0</v>
      </c>
      <c r="M155" s="300">
        <f t="shared" si="21"/>
        <v>0</v>
      </c>
      <c r="N155" s="243"/>
      <c r="O155" s="517" t="str">
        <f t="shared" si="19"/>
        <v/>
      </c>
    </row>
    <row r="156" spans="1:15" outlineLevel="3" x14ac:dyDescent="0.3">
      <c r="A156" s="36" t="s">
        <v>7</v>
      </c>
      <c r="B156" s="36"/>
      <c r="C156" s="499" t="s">
        <v>9850</v>
      </c>
      <c r="D156" s="249"/>
      <c r="E156" s="248" t="str">
        <f>UPPER(IF($D156=0,"",IF($A156=4,_xlfn.XLOOKUP($D156,Mercado!$C:$C,Mercado!$E:$E),_xlfn.XLOOKUP($D156,Fontes!$B:$B,Fontes!$C:$C))))</f>
        <v/>
      </c>
      <c r="F156" s="331" t="s">
        <v>2917</v>
      </c>
      <c r="G156" s="249"/>
      <c r="H156" s="252"/>
      <c r="I156" s="252">
        <f>IF($A156="M",_xlfn.XLOOKUP($D156,Mercado!$C:$C,Mercado!$I:$I),_xlfn.XLOOKUP($D156,Fontes!$B:$B,Fontes!$J:$J))</f>
        <v>0</v>
      </c>
      <c r="J156" s="252">
        <f>IF($A156="M",_xlfn.XLOOKUP($D156,Mercado!$C:$C,Mercado!$J:$J),_xlfn.XLOOKUP($D156,Fontes!$B:$B,Fontes!$H:$H))</f>
        <v>0</v>
      </c>
      <c r="K156" s="252">
        <f>IF($A156="M",0,_xlfn.XLOOKUP($D156,Fontes!$B:$B,Fontes!$I:$I))</f>
        <v>0</v>
      </c>
      <c r="L156" s="250">
        <f t="shared" si="20"/>
        <v>0</v>
      </c>
      <c r="M156" s="500">
        <f t="shared" si="21"/>
        <v>0</v>
      </c>
      <c r="O156" s="517" t="str">
        <f t="shared" si="19"/>
        <v/>
      </c>
    </row>
    <row r="157" spans="1:15" ht="57.6" outlineLevel="4" x14ac:dyDescent="0.3">
      <c r="A157" s="35"/>
      <c r="B157" s="36"/>
      <c r="C157" s="495" t="s">
        <v>9851</v>
      </c>
      <c r="D157" s="249">
        <v>96523</v>
      </c>
      <c r="E157" s="248" t="str">
        <f>UPPER(IF($D157=0,"",IF($A157=4,_xlfn.XLOOKUP($D157,Mercado!$C:$C,Mercado!$E:$E),_xlfn.XLOOKUP($D157,Fontes!$B:$B,Fontes!$C:$C))))</f>
        <v>SINAPI</v>
      </c>
      <c r="F157" s="327" t="s">
        <v>368</v>
      </c>
      <c r="G157" s="249" t="str">
        <f>UPPER(IF($D157=0,"",IF($A157=4,_xlfn.XLOOKUP($D157,Mercado!$C:$C,Mercado!$G:$G),_xlfn.XLOOKUP($D157,Fontes!$B:$B,Fontes!$E:$E))))</f>
        <v>M³</v>
      </c>
      <c r="H157" s="252">
        <v>12.52</v>
      </c>
      <c r="I157" s="252">
        <f>IF($A157="M",_xlfn.XLOOKUP($D157,Mercado!$C:$C,Mercado!$I:$I),_xlfn.XLOOKUP($D157,Fontes!$B:$B,Fontes!$J:$J))</f>
        <v>32.159999999999997</v>
      </c>
      <c r="J157" s="252">
        <f>IF($A157="M",_xlfn.XLOOKUP($D157,Mercado!$C:$C,Mercado!$J:$J),_xlfn.XLOOKUP($D157,Fontes!$B:$B,Fontes!$H:$H))</f>
        <v>101.45</v>
      </c>
      <c r="K157" s="252">
        <f>IF($A157="M",0,_xlfn.XLOOKUP($D157,Fontes!$B:$B,Fontes!$I:$I))</f>
        <v>9.6199999999999992</v>
      </c>
      <c r="L157" s="250">
        <f t="shared" si="20"/>
        <v>143.23000000000002</v>
      </c>
      <c r="M157" s="300">
        <f t="shared" si="21"/>
        <v>1793.24</v>
      </c>
      <c r="N157" s="243"/>
      <c r="O157" s="517">
        <f t="shared" si="19"/>
        <v>1793.24</v>
      </c>
    </row>
    <row r="158" spans="1:15" ht="38.4" outlineLevel="4" x14ac:dyDescent="0.3">
      <c r="A158" s="35"/>
      <c r="B158" s="36"/>
      <c r="C158" s="495" t="s">
        <v>9852</v>
      </c>
      <c r="D158" s="249">
        <v>93382</v>
      </c>
      <c r="E158" s="248" t="str">
        <f>UPPER(IF($D158=0,"",IF($A158=4,_xlfn.XLOOKUP($D158,Mercado!$C:$C,Mercado!$E:$E),_xlfn.XLOOKUP($D158,Fontes!$B:$B,Fontes!$C:$C))))</f>
        <v>SINAPI</v>
      </c>
      <c r="F158" s="327" t="s">
        <v>119</v>
      </c>
      <c r="G158" s="249" t="str">
        <f>UPPER(IF($D158=0,"",IF($A158=4,_xlfn.XLOOKUP($D158,Mercado!$C:$C,Mercado!$G:$G),_xlfn.XLOOKUP($D158,Fontes!$B:$B,Fontes!$E:$E))))</f>
        <v>M³</v>
      </c>
      <c r="H158" s="252">
        <v>9.58</v>
      </c>
      <c r="I158" s="252">
        <f>IF($A158="M",_xlfn.XLOOKUP($D158,Mercado!$C:$C,Mercado!$I:$I),_xlfn.XLOOKUP($D158,Fontes!$B:$B,Fontes!$J:$J))</f>
        <v>10.41</v>
      </c>
      <c r="J158" s="252">
        <f>IF($A158="M",_xlfn.XLOOKUP($D158,Mercado!$C:$C,Mercado!$J:$J),_xlfn.XLOOKUP($D158,Fontes!$B:$B,Fontes!$H:$H))</f>
        <v>24.64</v>
      </c>
      <c r="K158" s="252">
        <f>IF($A158="M",0,_xlfn.XLOOKUP($D158,Fontes!$B:$B,Fontes!$I:$I))</f>
        <v>2.98</v>
      </c>
      <c r="L158" s="250">
        <f t="shared" si="20"/>
        <v>38.029999999999994</v>
      </c>
      <c r="M158" s="300">
        <f t="shared" si="21"/>
        <v>364.33</v>
      </c>
      <c r="N158" s="243"/>
      <c r="O158" s="517">
        <f t="shared" si="19"/>
        <v>364.33</v>
      </c>
    </row>
    <row r="159" spans="1:15" ht="76.8" outlineLevel="4" x14ac:dyDescent="0.3">
      <c r="A159" s="35"/>
      <c r="B159" s="36"/>
      <c r="C159" s="495" t="s">
        <v>9853</v>
      </c>
      <c r="D159" s="249">
        <v>100981</v>
      </c>
      <c r="E159" s="248" t="str">
        <f>UPPER(IF($D159=0,"",IF($A159=4,_xlfn.XLOOKUP($D159,Mercado!$C:$C,Mercado!$E:$E),_xlfn.XLOOKUP($D159,Fontes!$B:$B,Fontes!$C:$C))))</f>
        <v>SINAPI</v>
      </c>
      <c r="F159" s="327" t="s">
        <v>295</v>
      </c>
      <c r="G159" s="249" t="str">
        <f>UPPER(IF($D159=0,"",IF($A159=4,_xlfn.XLOOKUP($D159,Mercado!$C:$C,Mercado!$G:$G),_xlfn.XLOOKUP($D159,Fontes!$B:$B,Fontes!$E:$E))))</f>
        <v>M³</v>
      </c>
      <c r="H159" s="252">
        <v>3.9690000000000003</v>
      </c>
      <c r="I159" s="252">
        <f>IF($A159="M",_xlfn.XLOOKUP($D159,Mercado!$C:$C,Mercado!$I:$I),_xlfn.XLOOKUP($D159,Fontes!$B:$B,Fontes!$J:$J))</f>
        <v>4.1399999999999997</v>
      </c>
      <c r="J159" s="252">
        <f>IF($A159="M",_xlfn.XLOOKUP($D159,Mercado!$C:$C,Mercado!$J:$J),_xlfn.XLOOKUP($D159,Fontes!$B:$B,Fontes!$H:$H))</f>
        <v>3.06</v>
      </c>
      <c r="K159" s="252">
        <f>IF($A159="M",0,_xlfn.XLOOKUP($D159,Fontes!$B:$B,Fontes!$I:$I))</f>
        <v>4.32</v>
      </c>
      <c r="L159" s="250">
        <f t="shared" si="20"/>
        <v>11.52</v>
      </c>
      <c r="M159" s="300">
        <f t="shared" si="21"/>
        <v>45.72</v>
      </c>
      <c r="N159" s="243"/>
      <c r="O159" s="517">
        <f t="shared" si="19"/>
        <v>45.72</v>
      </c>
    </row>
    <row r="160" spans="1:15" ht="57.6" outlineLevel="4" x14ac:dyDescent="0.3">
      <c r="A160" s="35"/>
      <c r="B160" s="36"/>
      <c r="C160" s="495" t="s">
        <v>9854</v>
      </c>
      <c r="D160" s="249">
        <v>95875</v>
      </c>
      <c r="E160" s="248" t="str">
        <f>UPPER(IF($D160=0,"",IF($A160=4,_xlfn.XLOOKUP($D160,Mercado!$C:$C,Mercado!$E:$E),_xlfn.XLOOKUP($D160,Fontes!$B:$B,Fontes!$C:$C))))</f>
        <v>SINAPI</v>
      </c>
      <c r="F160" s="327" t="s">
        <v>294</v>
      </c>
      <c r="G160" s="249" t="str">
        <f>UPPER(IF($D160=0,"",IF($A160=4,_xlfn.XLOOKUP($D160,Mercado!$C:$C,Mercado!$G:$G),_xlfn.XLOOKUP($D160,Fontes!$B:$B,Fontes!$E:$E))))</f>
        <v>M3XKM</v>
      </c>
      <c r="H160" s="252">
        <v>119.07000000000001</v>
      </c>
      <c r="I160" s="252">
        <f>IF($A160="M",_xlfn.XLOOKUP($D160,Mercado!$C:$C,Mercado!$I:$I),_xlfn.XLOOKUP($D160,Fontes!$B:$B,Fontes!$J:$J))</f>
        <v>1.68</v>
      </c>
      <c r="J160" s="252">
        <f>IF($A160="M",_xlfn.XLOOKUP($D160,Mercado!$C:$C,Mercado!$J:$J),_xlfn.XLOOKUP($D160,Fontes!$B:$B,Fontes!$H:$H))</f>
        <v>0.6</v>
      </c>
      <c r="K160" s="252">
        <f>IF($A160="M",0,_xlfn.XLOOKUP($D160,Fontes!$B:$B,Fontes!$I:$I))</f>
        <v>0.92</v>
      </c>
      <c r="L160" s="250">
        <f t="shared" si="20"/>
        <v>3.1999999999999997</v>
      </c>
      <c r="M160" s="300">
        <f t="shared" si="21"/>
        <v>381.02</v>
      </c>
      <c r="N160" s="243"/>
      <c r="O160" s="517">
        <f t="shared" si="19"/>
        <v>381.02</v>
      </c>
    </row>
    <row r="161" spans="1:15" ht="57.6" outlineLevel="4" x14ac:dyDescent="0.3">
      <c r="A161" s="35"/>
      <c r="B161" s="36"/>
      <c r="C161" s="495" t="s">
        <v>9855</v>
      </c>
      <c r="D161" s="249">
        <v>93590</v>
      </c>
      <c r="E161" s="248" t="str">
        <f>UPPER(IF($D161=0,"",IF($A161=4,_xlfn.XLOOKUP($D161,Mercado!$C:$C,Mercado!$E:$E),_xlfn.XLOOKUP($D161,Fontes!$B:$B,Fontes!$C:$C))))</f>
        <v>SINAPI</v>
      </c>
      <c r="F161" s="327" t="s">
        <v>293</v>
      </c>
      <c r="G161" s="249" t="str">
        <f>UPPER(IF($D161=0,"",IF($A161=4,_xlfn.XLOOKUP($D161,Mercado!$C:$C,Mercado!$G:$G),_xlfn.XLOOKUP($D161,Fontes!$B:$B,Fontes!$E:$E))))</f>
        <v>M3XKM</v>
      </c>
      <c r="H161" s="252">
        <v>39.690000000000005</v>
      </c>
      <c r="I161" s="252">
        <f>IF($A161="M",_xlfn.XLOOKUP($D161,Mercado!$C:$C,Mercado!$I:$I),_xlfn.XLOOKUP($D161,Fontes!$B:$B,Fontes!$J:$J))</f>
        <v>0.65</v>
      </c>
      <c r="J161" s="252">
        <f>IF($A161="M",_xlfn.XLOOKUP($D161,Mercado!$C:$C,Mercado!$J:$J),_xlfn.XLOOKUP($D161,Fontes!$B:$B,Fontes!$H:$H))</f>
        <v>0.23</v>
      </c>
      <c r="K161" s="252">
        <f>IF($A161="M",0,_xlfn.XLOOKUP($D161,Fontes!$B:$B,Fontes!$I:$I))</f>
        <v>0.35</v>
      </c>
      <c r="L161" s="250">
        <f t="shared" si="20"/>
        <v>1.23</v>
      </c>
      <c r="M161" s="300">
        <f t="shared" si="21"/>
        <v>48.82</v>
      </c>
      <c r="N161" s="243"/>
      <c r="O161" s="517">
        <f t="shared" si="19"/>
        <v>48.82</v>
      </c>
    </row>
    <row r="162" spans="1:15" s="255" customFormat="1" ht="38.4" outlineLevel="4" x14ac:dyDescent="0.3">
      <c r="A162" s="35"/>
      <c r="B162" s="36"/>
      <c r="C162" s="495" t="s">
        <v>9856</v>
      </c>
      <c r="D162" s="249">
        <v>9032</v>
      </c>
      <c r="E162" s="248" t="str">
        <f>UPPER(IF($D162=0,"",IF($A162=4,_xlfn.XLOOKUP($D162,Mercado!$C:$C,Mercado!$E:$E),_xlfn.XLOOKUP($D162,Fontes!$B:$B,Fontes!$C:$C))))</f>
        <v>ORSE</v>
      </c>
      <c r="F162" s="327" t="s">
        <v>3507</v>
      </c>
      <c r="G162" s="249" t="str">
        <f>UPPER(IF($D162=0,"",IF($A162=4,_xlfn.XLOOKUP($D162,Mercado!$C:$C,Mercado!$G:$G),_xlfn.XLOOKUP($D162,Fontes!$B:$B,Fontes!$E:$E))))</f>
        <v>M³</v>
      </c>
      <c r="H162" s="252">
        <v>0.4</v>
      </c>
      <c r="I162" s="252">
        <f>IF($A162="M",_xlfn.XLOOKUP($D162,Mercado!$C:$C,Mercado!$I:$I),_xlfn.XLOOKUP($D162,Fontes!$B:$B,Fontes!$J:$J))</f>
        <v>158.55000000000001</v>
      </c>
      <c r="J162" s="252">
        <f>IF($A162="M",_xlfn.XLOOKUP($D162,Mercado!$C:$C,Mercado!$J:$J),_xlfn.XLOOKUP($D162,Fontes!$B:$B,Fontes!$H:$H))</f>
        <v>0.54</v>
      </c>
      <c r="K162" s="252">
        <f>IF($A162="M",0,_xlfn.XLOOKUP($D162,Fontes!$B:$B,Fontes!$I:$I))</f>
        <v>6.28</v>
      </c>
      <c r="L162" s="250">
        <f t="shared" si="20"/>
        <v>165.37</v>
      </c>
      <c r="M162" s="300">
        <f t="shared" si="21"/>
        <v>66.150000000000006</v>
      </c>
      <c r="N162" s="243"/>
      <c r="O162" s="517">
        <f t="shared" si="19"/>
        <v>66.150000000000006</v>
      </c>
    </row>
    <row r="163" spans="1:15" s="255" customFormat="1" ht="38.4" outlineLevel="4" x14ac:dyDescent="0.3">
      <c r="A163" s="35"/>
      <c r="B163" s="36"/>
      <c r="C163" s="495" t="s">
        <v>9857</v>
      </c>
      <c r="D163" s="249">
        <v>96616</v>
      </c>
      <c r="E163" s="248" t="str">
        <f>UPPER(IF($D163=0,"",IF($A163=4,_xlfn.XLOOKUP($D163,Mercado!$C:$C,Mercado!$E:$E),_xlfn.XLOOKUP($D163,Fontes!$B:$B,Fontes!$C:$C))))</f>
        <v>SINAPI</v>
      </c>
      <c r="F163" s="327" t="s">
        <v>193</v>
      </c>
      <c r="G163" s="249" t="str">
        <f>UPPER(IF($D163=0,"",IF($A163=4,_xlfn.XLOOKUP($D163,Mercado!$C:$C,Mercado!$G:$G),_xlfn.XLOOKUP($D163,Fontes!$B:$B,Fontes!$E:$E))))</f>
        <v>M³</v>
      </c>
      <c r="H163" s="252">
        <v>0.4</v>
      </c>
      <c r="I163" s="252">
        <f>IF($A163="M",_xlfn.XLOOKUP($D163,Mercado!$C:$C,Mercado!$I:$I),_xlfn.XLOOKUP($D163,Fontes!$B:$B,Fontes!$J:$J))</f>
        <v>556.25</v>
      </c>
      <c r="J163" s="252">
        <f>IF($A163="M",_xlfn.XLOOKUP($D163,Mercado!$C:$C,Mercado!$J:$J),_xlfn.XLOOKUP($D163,Fontes!$B:$B,Fontes!$H:$H))</f>
        <v>383.38</v>
      </c>
      <c r="K163" s="252">
        <f>IF($A163="M",0,_xlfn.XLOOKUP($D163,Fontes!$B:$B,Fontes!$I:$I))</f>
        <v>35.51</v>
      </c>
      <c r="L163" s="250">
        <f t="shared" si="20"/>
        <v>975.14</v>
      </c>
      <c r="M163" s="300">
        <f t="shared" si="21"/>
        <v>390.06</v>
      </c>
      <c r="N163" s="243"/>
      <c r="O163" s="517">
        <f t="shared" si="19"/>
        <v>390.06</v>
      </c>
    </row>
    <row r="164" spans="1:15" s="255" customFormat="1" ht="38.4" outlineLevel="4" x14ac:dyDescent="0.3">
      <c r="A164" s="35"/>
      <c r="B164" s="36"/>
      <c r="C164" s="495" t="s">
        <v>9858</v>
      </c>
      <c r="D164" s="249">
        <v>7582</v>
      </c>
      <c r="E164" s="249" t="str">
        <f>UPPER(IF($D164=0,"",IF($A164=4,_xlfn.XLOOKUP($D164,Mercado!$C:$C,Mercado!$E:$E),_xlfn.XLOOKUP($D164,Fontes!$B:$B,Fontes!$C:$C))))</f>
        <v>ORSE</v>
      </c>
      <c r="F164" s="327" t="s">
        <v>3493</v>
      </c>
      <c r="G164" s="249" t="str">
        <f>UPPER(IF($D164=0,"",IF($A164=4,_xlfn.XLOOKUP($D164,Mercado!$C:$C,Mercado!$G:$G),_xlfn.XLOOKUP($D164,Fontes!$B:$B,Fontes!$E:$E))))</f>
        <v>M²</v>
      </c>
      <c r="H164" s="252">
        <v>2.2799999999999998</v>
      </c>
      <c r="I164" s="252">
        <f>IF($A164="M",_xlfn.XLOOKUP($D164,Mercado!$C:$C,Mercado!$I:$I),_xlfn.XLOOKUP($D164,Fontes!$B:$B,Fontes!$J:$J))</f>
        <v>69.89</v>
      </c>
      <c r="J164" s="252">
        <f>IF($A164="M",_xlfn.XLOOKUP($D164,Mercado!$C:$C,Mercado!$J:$J),_xlfn.XLOOKUP($D164,Fontes!$B:$B,Fontes!$H:$H))</f>
        <v>32.17</v>
      </c>
      <c r="K164" s="252">
        <f>IF($A164="M",0,_xlfn.XLOOKUP($D164,Fontes!$B:$B,Fontes!$I:$I))</f>
        <v>0.16</v>
      </c>
      <c r="L164" s="250">
        <f t="shared" si="20"/>
        <v>102.22</v>
      </c>
      <c r="M164" s="300">
        <f t="shared" si="21"/>
        <v>233.06</v>
      </c>
      <c r="N164" s="243"/>
      <c r="O164" s="517">
        <f t="shared" si="19"/>
        <v>233.06</v>
      </c>
    </row>
    <row r="165" spans="1:15" s="255" customFormat="1" ht="38.4" outlineLevel="4" x14ac:dyDescent="0.3">
      <c r="A165" s="35"/>
      <c r="B165" s="36"/>
      <c r="C165" s="495" t="s">
        <v>9859</v>
      </c>
      <c r="D165" s="249">
        <v>96545</v>
      </c>
      <c r="E165" s="249" t="str">
        <f>UPPER(IF($D165=0,"",IF($A165=4,_xlfn.XLOOKUP($D165,Mercado!$C:$C,Mercado!$E:$E),_xlfn.XLOOKUP($D165,Fontes!$B:$B,Fontes!$C:$C))))</f>
        <v>SINAPI</v>
      </c>
      <c r="F165" s="327" t="s">
        <v>185</v>
      </c>
      <c r="G165" s="249" t="str">
        <f>UPPER(IF($D165=0,"",IF($A165=4,_xlfn.XLOOKUP($D165,Mercado!$C:$C,Mercado!$G:$G),_xlfn.XLOOKUP($D165,Fontes!$B:$B,Fontes!$E:$E))))</f>
        <v>KG</v>
      </c>
      <c r="H165" s="252">
        <v>62.4</v>
      </c>
      <c r="I165" s="252">
        <f>IF($A165="M",_xlfn.XLOOKUP($D165,Mercado!$C:$C,Mercado!$I:$I),_xlfn.XLOOKUP($D165,Fontes!$B:$B,Fontes!$J:$J))</f>
        <v>12.28</v>
      </c>
      <c r="J165" s="252">
        <f>IF($A165="M",_xlfn.XLOOKUP($D165,Mercado!$C:$C,Mercado!$J:$J),_xlfn.XLOOKUP($D165,Fontes!$B:$B,Fontes!$H:$H))</f>
        <v>6.5</v>
      </c>
      <c r="K165" s="252">
        <f>IF($A165="M",0,_xlfn.XLOOKUP($D165,Fontes!$B:$B,Fontes!$I:$I))</f>
        <v>0.48</v>
      </c>
      <c r="L165" s="250">
        <f t="shared" si="20"/>
        <v>19.260000000000002</v>
      </c>
      <c r="M165" s="300">
        <f t="shared" si="21"/>
        <v>1201.82</v>
      </c>
      <c r="N165" s="243"/>
      <c r="O165" s="517">
        <f t="shared" si="19"/>
        <v>1201.82</v>
      </c>
    </row>
    <row r="166" spans="1:15" s="255" customFormat="1" ht="57.6" outlineLevel="4" x14ac:dyDescent="0.3">
      <c r="A166" s="35"/>
      <c r="B166" s="36"/>
      <c r="C166" s="495" t="s">
        <v>9860</v>
      </c>
      <c r="D166" s="249">
        <v>103340</v>
      </c>
      <c r="E166" s="248" t="str">
        <f>UPPER(IF($D166=0,"",IF($A166=4,_xlfn.XLOOKUP($D166,Mercado!$C:$C,Mercado!$E:$E),_xlfn.XLOOKUP($D166,Fontes!$B:$B,Fontes!$C:$C))))</f>
        <v>SINAPI</v>
      </c>
      <c r="F166" s="327" t="s">
        <v>400</v>
      </c>
      <c r="G166" s="249" t="str">
        <f>UPPER(IF($D166=0,"",IF($A166=4,_xlfn.XLOOKUP($D166,Mercado!$C:$C,Mercado!$G:$G),_xlfn.XLOOKUP($D166,Fontes!$B:$B,Fontes!$E:$E))))</f>
        <v>M²</v>
      </c>
      <c r="H166" s="252">
        <v>8.1199999999999992</v>
      </c>
      <c r="I166" s="252">
        <f>IF($A166="M",_xlfn.XLOOKUP($D166,Mercado!$C:$C,Mercado!$I:$I),_xlfn.XLOOKUP($D166,Fontes!$B:$B,Fontes!$J:$J))</f>
        <v>90.8</v>
      </c>
      <c r="J166" s="252">
        <f>IF($A166="M",_xlfn.XLOOKUP($D166,Mercado!$C:$C,Mercado!$J:$J),_xlfn.XLOOKUP($D166,Fontes!$B:$B,Fontes!$H:$H))</f>
        <v>64.89</v>
      </c>
      <c r="K166" s="252">
        <f>IF($A166="M",0,_xlfn.XLOOKUP($D166,Fontes!$B:$B,Fontes!$I:$I))</f>
        <v>5.27</v>
      </c>
      <c r="L166" s="250">
        <f t="shared" si="20"/>
        <v>160.96</v>
      </c>
      <c r="M166" s="300">
        <f t="shared" si="21"/>
        <v>1307</v>
      </c>
      <c r="N166" s="243"/>
      <c r="O166" s="517">
        <f t="shared" si="19"/>
        <v>1307</v>
      </c>
    </row>
    <row r="167" spans="1:15" s="255" customFormat="1" outlineLevel="4" x14ac:dyDescent="0.3">
      <c r="A167" s="35"/>
      <c r="B167" s="36"/>
      <c r="C167" s="495" t="s">
        <v>9861</v>
      </c>
      <c r="D167" s="249" t="s">
        <v>834</v>
      </c>
      <c r="E167" s="249" t="str">
        <f>UPPER(IF($D167=0,"",IF($A167=4,_xlfn.XLOOKUP($D167,Mercado!$C:$C,Mercado!$E:$E),_xlfn.XLOOKUP($D167,Fontes!$B:$B,Fontes!$C:$C))))</f>
        <v>CPOS/CDHU</v>
      </c>
      <c r="F167" s="327" t="s">
        <v>3503</v>
      </c>
      <c r="G167" s="249" t="str">
        <f>UPPER(IF($D167=0,"",IF($A167=4,_xlfn.XLOOKUP($D167,Mercado!$C:$C,Mercado!$G:$G),_xlfn.XLOOKUP($D167,Fontes!$B:$B,Fontes!$E:$E))))</f>
        <v>M³</v>
      </c>
      <c r="H167" s="252">
        <v>1.04</v>
      </c>
      <c r="I167" s="252">
        <f>IF($A167="M",_xlfn.XLOOKUP($D167,Mercado!$C:$C,Mercado!$I:$I),_xlfn.XLOOKUP($D167,Fontes!$B:$B,Fontes!$J:$J))</f>
        <v>623.86</v>
      </c>
      <c r="J167" s="252">
        <f>IF($A167="M",_xlfn.XLOOKUP($D167,Mercado!$C:$C,Mercado!$J:$J),_xlfn.XLOOKUP($D167,Fontes!$B:$B,Fontes!$H:$H))</f>
        <v>0</v>
      </c>
      <c r="K167" s="252">
        <f>IF($A167="M",0,_xlfn.XLOOKUP($D167,Fontes!$B:$B,Fontes!$I:$I))</f>
        <v>0</v>
      </c>
      <c r="L167" s="250">
        <f t="shared" si="20"/>
        <v>623.86</v>
      </c>
      <c r="M167" s="300">
        <f t="shared" si="21"/>
        <v>648.80999999999995</v>
      </c>
      <c r="N167" s="243"/>
      <c r="O167" s="517">
        <f t="shared" si="19"/>
        <v>648.80999999999995</v>
      </c>
    </row>
    <row r="168" spans="1:15" s="255" customFormat="1" ht="38.4" outlineLevel="4" x14ac:dyDescent="0.3">
      <c r="A168" s="35"/>
      <c r="B168" s="36"/>
      <c r="C168" s="495" t="s">
        <v>9862</v>
      </c>
      <c r="D168" s="481" t="s">
        <v>1997</v>
      </c>
      <c r="E168" s="249" t="str">
        <f>UPPER(IF($D168=0,"",IF($A168=4,_xlfn.XLOOKUP($D168,Mercado!$C:$C,Mercado!$E:$E),_xlfn.XLOOKUP($D168,Fontes!$B:$B,Fontes!$C:$C))))</f>
        <v>CPOS/CDHU</v>
      </c>
      <c r="F168" s="327" t="s">
        <v>3498</v>
      </c>
      <c r="G168" s="249" t="str">
        <f>UPPER(IF($D168=0,"",IF($A168=4,_xlfn.XLOOKUP($D168,Mercado!$C:$C,Mercado!$G:$G),_xlfn.XLOOKUP($D168,Fontes!$B:$B,Fontes!$E:$E))))</f>
        <v>M³</v>
      </c>
      <c r="H168" s="252">
        <v>1.04</v>
      </c>
      <c r="I168" s="252">
        <f>IF($A168="M",_xlfn.XLOOKUP($D168,Mercado!$C:$C,Mercado!$I:$I),_xlfn.XLOOKUP($D168,Fontes!$B:$B,Fontes!$J:$J))</f>
        <v>0</v>
      </c>
      <c r="J168" s="252">
        <f>IF($A168="M",_xlfn.XLOOKUP($D168,Mercado!$C:$C,Mercado!$J:$J),_xlfn.XLOOKUP($D168,Fontes!$B:$B,Fontes!$H:$H))</f>
        <v>132.30000000000001</v>
      </c>
      <c r="K168" s="252">
        <f>IF($A168="M",0,_xlfn.XLOOKUP($D168,Fontes!$B:$B,Fontes!$I:$I))</f>
        <v>0</v>
      </c>
      <c r="L168" s="250">
        <f t="shared" si="20"/>
        <v>132.30000000000001</v>
      </c>
      <c r="M168" s="300">
        <f t="shared" si="21"/>
        <v>137.59</v>
      </c>
      <c r="N168" s="243"/>
      <c r="O168" s="517">
        <f t="shared" si="19"/>
        <v>137.59</v>
      </c>
    </row>
    <row r="169" spans="1:15" ht="38.4" outlineLevel="4" x14ac:dyDescent="0.3">
      <c r="A169" s="35"/>
      <c r="B169" s="36"/>
      <c r="C169" s="495" t="s">
        <v>9863</v>
      </c>
      <c r="D169" s="484" t="s">
        <v>2909</v>
      </c>
      <c r="E169" s="249" t="str">
        <f>UPPER(IF($D169=0,"",IF($A169=4,_xlfn.XLOOKUP($D169,Mercado!$C:$C,Mercado!$E:$E),_xlfn.XLOOKUP($D169,Fontes!$B:$B,Fontes!$C:$C))))</f>
        <v>CPOS/CDHU</v>
      </c>
      <c r="F169" s="327" t="s">
        <v>3505</v>
      </c>
      <c r="G169" s="249" t="str">
        <f>UPPER(IF($D169=0,"",IF($A169=4,_xlfn.XLOOKUP($D169,Mercado!$C:$C,Mercado!$G:$G),_xlfn.XLOOKUP($D169,Fontes!$B:$B,Fontes!$E:$E))))</f>
        <v>M²</v>
      </c>
      <c r="H169" s="252">
        <v>0.68</v>
      </c>
      <c r="I169" s="252">
        <f>IF($A169="M",_xlfn.XLOOKUP($D169,Mercado!$C:$C,Mercado!$I:$I),_xlfn.XLOOKUP($D169,Fontes!$B:$B,Fontes!$J:$J))</f>
        <v>66.86</v>
      </c>
      <c r="J169" s="252">
        <f>IF($A169="M",_xlfn.XLOOKUP($D169,Mercado!$C:$C,Mercado!$J:$J),_xlfn.XLOOKUP($D169,Fontes!$B:$B,Fontes!$H:$H))</f>
        <v>21.92</v>
      </c>
      <c r="K169" s="252">
        <f>IF($A169="M",0,_xlfn.XLOOKUP($D169,Fontes!$B:$B,Fontes!$I:$I))</f>
        <v>0</v>
      </c>
      <c r="L169" s="250">
        <f t="shared" si="20"/>
        <v>88.78</v>
      </c>
      <c r="M169" s="300">
        <f t="shared" si="21"/>
        <v>60.37</v>
      </c>
      <c r="N169" s="243"/>
      <c r="O169" s="517">
        <f t="shared" si="19"/>
        <v>60.37</v>
      </c>
    </row>
    <row r="170" spans="1:15" outlineLevel="3" x14ac:dyDescent="0.3">
      <c r="A170" s="36" t="s">
        <v>7</v>
      </c>
      <c r="B170" s="36"/>
      <c r="C170" s="495" t="s">
        <v>781</v>
      </c>
      <c r="D170" s="249"/>
      <c r="E170" s="248" t="str">
        <f>UPPER(IF($D170=0,"",IF($A170=4,_xlfn.XLOOKUP($D170,Mercado!$C:$C,Mercado!$E:$E),_xlfn.XLOOKUP($D170,Fontes!$B:$B,Fontes!$C:$C))))</f>
        <v/>
      </c>
      <c r="F170" s="327" t="s">
        <v>781</v>
      </c>
      <c r="G170" s="249"/>
      <c r="H170" s="252"/>
      <c r="I170" s="252">
        <f>IF($A170="M",_xlfn.XLOOKUP($D170,Mercado!$C:$C,Mercado!$I:$I),_xlfn.XLOOKUP($D170,Fontes!$B:$B,Fontes!$J:$J))</f>
        <v>0</v>
      </c>
      <c r="J170" s="252">
        <f>IF($A170="M",_xlfn.XLOOKUP($D170,Mercado!$C:$C,Mercado!$J:$J),_xlfn.XLOOKUP($D170,Fontes!$B:$B,Fontes!$H:$H))</f>
        <v>0</v>
      </c>
      <c r="K170" s="252">
        <f>IF($A170="M",0,_xlfn.XLOOKUP($D170,Fontes!$B:$B,Fontes!$I:$I))</f>
        <v>0</v>
      </c>
      <c r="L170" s="250">
        <f t="shared" si="20"/>
        <v>0</v>
      </c>
      <c r="M170" s="300">
        <f t="shared" si="21"/>
        <v>0</v>
      </c>
      <c r="N170" s="243"/>
      <c r="O170" s="517" t="str">
        <f t="shared" si="19"/>
        <v/>
      </c>
    </row>
    <row r="171" spans="1:15" outlineLevel="2" x14ac:dyDescent="0.3">
      <c r="A171" s="36" t="s">
        <v>7</v>
      </c>
      <c r="B171" s="36"/>
      <c r="C171" s="496" t="s">
        <v>9864</v>
      </c>
      <c r="D171" s="253"/>
      <c r="E171" s="256" t="str">
        <f>UPPER(IF($D171=0,"",IF($A171=4,_xlfn.XLOOKUP($D171,Mercado!$C:$C,Mercado!$E:$E),_xlfn.XLOOKUP($D171,Fontes!$B:$B,Fontes!$C:$C))))</f>
        <v/>
      </c>
      <c r="F171" s="329" t="s">
        <v>387</v>
      </c>
      <c r="G171" s="253"/>
      <c r="H171" s="254"/>
      <c r="I171" s="254">
        <f>IF($A171="M",_xlfn.XLOOKUP($D171,Mercado!$C:$C,Mercado!$I:$I),_xlfn.XLOOKUP($D171,Fontes!$B:$B,Fontes!$J:$J))</f>
        <v>0</v>
      </c>
      <c r="J171" s="254">
        <f>IF($A171="M",_xlfn.XLOOKUP($D171,Mercado!$C:$C,Mercado!$J:$J),_xlfn.XLOOKUP($D171,Fontes!$B:$B,Fontes!$H:$H))</f>
        <v>0</v>
      </c>
      <c r="K171" s="254">
        <f>IF($A171="M",0,_xlfn.XLOOKUP($D171,Fontes!$B:$B,Fontes!$I:$I))</f>
        <v>0</v>
      </c>
      <c r="L171" s="254">
        <f t="shared" si="20"/>
        <v>0</v>
      </c>
      <c r="M171" s="497">
        <f>SUBTOTAL(9,M172:M175)</f>
        <v>1204812.49</v>
      </c>
      <c r="O171" s="517" t="str">
        <f t="shared" si="19"/>
        <v/>
      </c>
    </row>
    <row r="172" spans="1:15" ht="38.4" outlineLevel="3" x14ac:dyDescent="0.3">
      <c r="A172" s="35"/>
      <c r="B172" s="36"/>
      <c r="C172" s="495" t="s">
        <v>9865</v>
      </c>
      <c r="D172" s="249" t="s">
        <v>821</v>
      </c>
      <c r="E172" s="248" t="str">
        <f>UPPER(IF($D172=0,"",IF($A172=4,_xlfn.XLOOKUP($D172,Mercado!$C:$C,Mercado!$E:$E),_xlfn.XLOOKUP($D172,Fontes!$B:$B,Fontes!$C:$C))))</f>
        <v>CPOS/CDHU</v>
      </c>
      <c r="F172" s="327" t="s">
        <v>3508</v>
      </c>
      <c r="G172" s="249" t="str">
        <f>UPPER(IF($D172=0,"",IF($A172=4,_xlfn.XLOOKUP($D172,Mercado!$C:$C,Mercado!$G:$G),_xlfn.XLOOKUP($D172,Fontes!$B:$B,Fontes!$E:$E))))</f>
        <v>KG</v>
      </c>
      <c r="H172" s="252">
        <v>31725.4</v>
      </c>
      <c r="I172" s="252">
        <f>IF($A172="M",_xlfn.XLOOKUP($D172,Mercado!$C:$C,Mercado!$I:$I),_xlfn.XLOOKUP($D172,Fontes!$B:$B,Fontes!$J:$J))</f>
        <v>33.15</v>
      </c>
      <c r="J172" s="252">
        <f>IF($A172="M",_xlfn.XLOOKUP($D172,Mercado!$C:$C,Mercado!$J:$J),_xlfn.XLOOKUP($D172,Fontes!$B:$B,Fontes!$H:$H))</f>
        <v>0</v>
      </c>
      <c r="K172" s="252">
        <f>IF($A172="M",0,_xlfn.XLOOKUP($D172,Fontes!$B:$B,Fontes!$I:$I))</f>
        <v>0</v>
      </c>
      <c r="L172" s="250">
        <f t="shared" si="20"/>
        <v>33.15</v>
      </c>
      <c r="M172" s="300">
        <f t="shared" ref="M172:M175" si="22">ROUND(H172*L172,2)</f>
        <v>1051697.01</v>
      </c>
      <c r="N172" s="243"/>
      <c r="O172" s="517">
        <f t="shared" si="19"/>
        <v>1051697.01</v>
      </c>
    </row>
    <row r="173" spans="1:15" outlineLevel="3" x14ac:dyDescent="0.3">
      <c r="A173" s="35"/>
      <c r="B173" s="36"/>
      <c r="C173" s="495" t="s">
        <v>9866</v>
      </c>
      <c r="D173" s="249">
        <v>40491</v>
      </c>
      <c r="E173" s="248" t="str">
        <f>UPPER(IF($D173=0,"",IF($A173=4,_xlfn.XLOOKUP($D173,Mercado!$C:$C,Mercado!$E:$E),_xlfn.XLOOKUP($D173,Fontes!$B:$B,Fontes!$C:$C))))</f>
        <v>SBC</v>
      </c>
      <c r="F173" s="327" t="s">
        <v>828</v>
      </c>
      <c r="G173" s="249" t="str">
        <f>UPPER(IF($D173=0,"",IF($A173=4,_xlfn.XLOOKUP($D173,Mercado!$C:$C,Mercado!$G:$G),_xlfn.XLOOKUP($D173,Fontes!$B:$B,Fontes!$E:$E))))</f>
        <v>KG</v>
      </c>
      <c r="H173" s="252">
        <v>3975.29</v>
      </c>
      <c r="I173" s="252">
        <f>IF($A173="M",_xlfn.XLOOKUP($D173,Mercado!$C:$C,Mercado!$I:$I),_xlfn.XLOOKUP($D173,Fontes!$B:$B,Fontes!$J:$J))</f>
        <v>5.85</v>
      </c>
      <c r="J173" s="252">
        <f>IF($A173="M",_xlfn.XLOOKUP($D173,Mercado!$C:$C,Mercado!$J:$J),_xlfn.XLOOKUP($D173,Fontes!$B:$B,Fontes!$H:$H))</f>
        <v>24.09</v>
      </c>
      <c r="K173" s="252">
        <f>IF($A173="M",0,_xlfn.XLOOKUP($D173,Fontes!$B:$B,Fontes!$I:$I))</f>
        <v>1.27</v>
      </c>
      <c r="L173" s="250">
        <f t="shared" si="20"/>
        <v>31.209999999999997</v>
      </c>
      <c r="M173" s="300">
        <f t="shared" si="22"/>
        <v>124068.8</v>
      </c>
      <c r="N173" s="243"/>
      <c r="O173" s="517">
        <f t="shared" si="19"/>
        <v>124068.8</v>
      </c>
    </row>
    <row r="174" spans="1:15" ht="38.4" outlineLevel="3" x14ac:dyDescent="0.3">
      <c r="A174" s="35"/>
      <c r="B174" s="36"/>
      <c r="C174" s="495" t="s">
        <v>9867</v>
      </c>
      <c r="D174" s="249" t="s">
        <v>822</v>
      </c>
      <c r="E174" s="248" t="str">
        <f>UPPER(IF($D174=0,"",IF($A174=4,_xlfn.XLOOKUP($D174,Mercado!$C:$C,Mercado!$E:$E),_xlfn.XLOOKUP($D174,Fontes!$B:$B,Fontes!$C:$C))))</f>
        <v>FDE</v>
      </c>
      <c r="F174" s="327" t="s">
        <v>831</v>
      </c>
      <c r="G174" s="249" t="str">
        <f>UPPER(IF($D174=0,"",IF($A174=4,_xlfn.XLOOKUP($D174,Mercado!$C:$C,Mercado!$G:$G),_xlfn.XLOOKUP($D174,Fontes!$B:$B,Fontes!$E:$E))))</f>
        <v>KG</v>
      </c>
      <c r="H174" s="252">
        <v>1067.5</v>
      </c>
      <c r="I174" s="252">
        <f>IF($A174="M",_xlfn.XLOOKUP($D174,Mercado!$C:$C,Mercado!$I:$I),_xlfn.XLOOKUP($D174,Fontes!$B:$B,Fontes!$J:$J))</f>
        <v>27.21</v>
      </c>
      <c r="J174" s="252">
        <f>IF($A174="M",_xlfn.XLOOKUP($D174,Mercado!$C:$C,Mercado!$J:$J),_xlfn.XLOOKUP($D174,Fontes!$B:$B,Fontes!$H:$H))</f>
        <v>0</v>
      </c>
      <c r="K174" s="252">
        <f>IF($A174="M",0,_xlfn.XLOOKUP($D174,Fontes!$B:$B,Fontes!$I:$I))</f>
        <v>0</v>
      </c>
      <c r="L174" s="250">
        <f t="shared" si="20"/>
        <v>27.21</v>
      </c>
      <c r="M174" s="300">
        <f t="shared" si="22"/>
        <v>29046.68</v>
      </c>
      <c r="N174" s="243"/>
      <c r="O174" s="517">
        <f t="shared" si="19"/>
        <v>29046.68</v>
      </c>
    </row>
    <row r="175" spans="1:15" outlineLevel="3" x14ac:dyDescent="0.3">
      <c r="A175" s="36" t="s">
        <v>7</v>
      </c>
      <c r="B175" s="36"/>
      <c r="C175" s="495" t="s">
        <v>781</v>
      </c>
      <c r="D175" s="249"/>
      <c r="E175" s="248" t="str">
        <f>UPPER(IF($D175=0,"",IF($A175=4,_xlfn.XLOOKUP($D175,Mercado!$C:$C,Mercado!$E:$E),_xlfn.XLOOKUP($D175,Fontes!$B:$B,Fontes!$C:$C))))</f>
        <v/>
      </c>
      <c r="F175" s="327" t="s">
        <v>781</v>
      </c>
      <c r="G175" s="249"/>
      <c r="H175" s="252"/>
      <c r="I175" s="252">
        <f>IF($A175="M",_xlfn.XLOOKUP($D175,Mercado!$C:$C,Mercado!$I:$I),_xlfn.XLOOKUP($D175,Fontes!$B:$B,Fontes!$J:$J))</f>
        <v>0</v>
      </c>
      <c r="J175" s="252">
        <f>IF($A175="M",_xlfn.XLOOKUP($D175,Mercado!$C:$C,Mercado!$J:$J),_xlfn.XLOOKUP($D175,Fontes!$B:$B,Fontes!$H:$H))</f>
        <v>0</v>
      </c>
      <c r="K175" s="252">
        <f>IF($A175="M",0,_xlfn.XLOOKUP($D175,Fontes!$B:$B,Fontes!$I:$I))</f>
        <v>0</v>
      </c>
      <c r="L175" s="250">
        <f t="shared" si="20"/>
        <v>0</v>
      </c>
      <c r="M175" s="300">
        <f t="shared" si="22"/>
        <v>0</v>
      </c>
      <c r="O175" s="517" t="str">
        <f t="shared" si="19"/>
        <v/>
      </c>
    </row>
    <row r="176" spans="1:15" outlineLevel="1" x14ac:dyDescent="0.3">
      <c r="A176" s="36"/>
      <c r="B176" s="36"/>
      <c r="C176" s="530" t="s">
        <v>3751</v>
      </c>
      <c r="D176" s="531"/>
      <c r="E176" s="531" t="str">
        <f>UPPER(IF($D176=0,"",IF($A176=4,_xlfn.XLOOKUP($D176,Mercado!$C:$C,Mercado!$E:$E),_xlfn.XLOOKUP($D176,Fontes!$B:$B,Fontes!$C:$C))))</f>
        <v/>
      </c>
      <c r="F176" s="532" t="s">
        <v>379</v>
      </c>
      <c r="G176" s="531"/>
      <c r="H176" s="535"/>
      <c r="I176" s="535">
        <f>IF($A176="M",_xlfn.XLOOKUP($D176,Mercado!$C:$C,Mercado!$I:$I),_xlfn.XLOOKUP($D176,Fontes!$B:$B,Fontes!$J:$J))</f>
        <v>0</v>
      </c>
      <c r="J176" s="535">
        <f>IF($A176="M",_xlfn.XLOOKUP($D176,Mercado!$C:$C,Mercado!$J:$J),_xlfn.XLOOKUP($D176,Fontes!$B:$B,Fontes!$H:$H))</f>
        <v>0</v>
      </c>
      <c r="K176" s="535">
        <f>IF($A176="M",0,_xlfn.XLOOKUP($D176,Fontes!$B:$B,Fontes!$I:$I))</f>
        <v>0</v>
      </c>
      <c r="L176" s="535">
        <f t="shared" si="20"/>
        <v>0</v>
      </c>
      <c r="M176" s="536">
        <f>SUBTOTAL(9,M177:M440)</f>
        <v>5117932.2100000028</v>
      </c>
      <c r="O176" s="517" t="str">
        <f t="shared" si="19"/>
        <v/>
      </c>
    </row>
    <row r="177" spans="1:21" outlineLevel="2" x14ac:dyDescent="0.3">
      <c r="A177" s="36" t="s">
        <v>7</v>
      </c>
      <c r="B177" s="36"/>
      <c r="C177" s="496" t="s">
        <v>9868</v>
      </c>
      <c r="D177" s="253"/>
      <c r="E177" s="256" t="str">
        <f>UPPER(IF($D177=0,"",IF($A177=4,_xlfn.XLOOKUP($D177,Mercado!$C:$C,Mercado!$E:$E),_xlfn.XLOOKUP($D177,Fontes!$B:$B,Fontes!$C:$C))))</f>
        <v/>
      </c>
      <c r="F177" s="329" t="s">
        <v>168</v>
      </c>
      <c r="G177" s="253"/>
      <c r="H177" s="254"/>
      <c r="I177" s="254">
        <f>IF($A177="M",_xlfn.XLOOKUP($D177,Mercado!$C:$C,Mercado!$I:$I),_xlfn.XLOOKUP($D177,Fontes!$B:$B,Fontes!$J:$J))</f>
        <v>0</v>
      </c>
      <c r="J177" s="254">
        <f>IF($A177="M",_xlfn.XLOOKUP($D177,Mercado!$C:$C,Mercado!$J:$J),_xlfn.XLOOKUP($D177,Fontes!$B:$B,Fontes!$H:$H))</f>
        <v>0</v>
      </c>
      <c r="K177" s="254">
        <f>IF($A177="M",0,_xlfn.XLOOKUP($D177,Fontes!$B:$B,Fontes!$I:$I))</f>
        <v>0</v>
      </c>
      <c r="L177" s="254">
        <f t="shared" si="20"/>
        <v>0</v>
      </c>
      <c r="M177" s="497">
        <f>SUBTOTAL(9,M178:M187)</f>
        <v>230611.78999999998</v>
      </c>
      <c r="O177" s="517" t="str">
        <f t="shared" si="19"/>
        <v/>
      </c>
      <c r="U177" s="540"/>
    </row>
    <row r="178" spans="1:21" ht="57.6" outlineLevel="3" x14ac:dyDescent="0.3">
      <c r="A178" s="35"/>
      <c r="B178" s="36"/>
      <c r="C178" s="495" t="s">
        <v>9869</v>
      </c>
      <c r="D178" s="249">
        <v>103336</v>
      </c>
      <c r="E178" s="248" t="str">
        <f>UPPER(IF($D178=0,"",IF($A178=4,_xlfn.XLOOKUP($D178,Mercado!$C:$C,Mercado!$E:$E),_xlfn.XLOOKUP($D178,Fontes!$B:$B,Fontes!$C:$C))))</f>
        <v>SINAPI</v>
      </c>
      <c r="F178" s="327" t="s">
        <v>8486</v>
      </c>
      <c r="G178" s="249" t="str">
        <f>UPPER(IF($D178=0,"",IF($A178=4,_xlfn.XLOOKUP($D178,Mercado!$C:$C,Mercado!$G:$G),_xlfn.XLOOKUP($D178,Fontes!$B:$B,Fontes!$E:$E))))</f>
        <v>M²</v>
      </c>
      <c r="H178" s="445">
        <v>104.82</v>
      </c>
      <c r="I178" s="252">
        <f>IF($A178="M",_xlfn.XLOOKUP($D178,Mercado!$C:$C,Mercado!$I:$I),_xlfn.XLOOKUP($D178,Fontes!$B:$B,Fontes!$J:$J))</f>
        <v>56.39</v>
      </c>
      <c r="J178" s="252">
        <f>IF($A178="M",_xlfn.XLOOKUP($D178,Mercado!$C:$C,Mercado!$J:$J),_xlfn.XLOOKUP($D178,Fontes!$B:$B,Fontes!$H:$H))</f>
        <v>41.99</v>
      </c>
      <c r="K178" s="252">
        <f>IF($A178="M",0,_xlfn.XLOOKUP($D178,Fontes!$B:$B,Fontes!$I:$I))</f>
        <v>3.41</v>
      </c>
      <c r="L178" s="250">
        <f t="shared" si="20"/>
        <v>101.78999999999999</v>
      </c>
      <c r="M178" s="300">
        <f t="shared" ref="M178:M187" si="23">ROUND(H178*L178,2)</f>
        <v>10669.63</v>
      </c>
      <c r="O178" s="517">
        <f t="shared" si="19"/>
        <v>10669.63</v>
      </c>
      <c r="U178" s="540"/>
    </row>
    <row r="179" spans="1:21" ht="57.6" outlineLevel="3" x14ac:dyDescent="0.3">
      <c r="A179" s="35"/>
      <c r="B179" s="36"/>
      <c r="C179" s="495" t="s">
        <v>9870</v>
      </c>
      <c r="D179" s="249">
        <v>103338</v>
      </c>
      <c r="E179" s="248" t="str">
        <f>UPPER(IF($D179=0,"",IF($A179=4,_xlfn.XLOOKUP($D179,Mercado!$C:$C,Mercado!$E:$E),_xlfn.XLOOKUP($D179,Fontes!$B:$B,Fontes!$C:$C))))</f>
        <v>SINAPI</v>
      </c>
      <c r="F179" s="327" t="s">
        <v>8487</v>
      </c>
      <c r="G179" s="249" t="str">
        <f>UPPER(IF($D179=0,"",IF($A179=4,_xlfn.XLOOKUP($D179,Mercado!$C:$C,Mercado!$G:$G),_xlfn.XLOOKUP($D179,Fontes!$B:$B,Fontes!$E:$E))))</f>
        <v>M²</v>
      </c>
      <c r="H179" s="445">
        <v>1.53</v>
      </c>
      <c r="I179" s="252">
        <f>IF($A179="M",_xlfn.XLOOKUP($D179,Mercado!$C:$C,Mercado!$I:$I),_xlfn.XLOOKUP($D179,Fontes!$B:$B,Fontes!$J:$J))</f>
        <v>73.03</v>
      </c>
      <c r="J179" s="252">
        <f>IF($A179="M",_xlfn.XLOOKUP($D179,Mercado!$C:$C,Mercado!$J:$J),_xlfn.XLOOKUP($D179,Fontes!$B:$B,Fontes!$H:$H))</f>
        <v>57.27</v>
      </c>
      <c r="K179" s="252">
        <f>IF($A179="M",0,_xlfn.XLOOKUP($D179,Fontes!$B:$B,Fontes!$I:$I))</f>
        <v>4.67</v>
      </c>
      <c r="L179" s="250">
        <f t="shared" si="20"/>
        <v>134.97</v>
      </c>
      <c r="M179" s="300">
        <f t="shared" si="23"/>
        <v>206.5</v>
      </c>
      <c r="O179" s="517">
        <f t="shared" ref="O179:O180" si="24">IF(D179&lt;&gt;0,M179,"")</f>
        <v>206.5</v>
      </c>
      <c r="U179" s="540"/>
    </row>
    <row r="180" spans="1:21" ht="76.8" outlineLevel="3" x14ac:dyDescent="0.3">
      <c r="A180" s="35"/>
      <c r="B180" s="36"/>
      <c r="C180" s="495" t="s">
        <v>9871</v>
      </c>
      <c r="D180" s="249">
        <v>103340</v>
      </c>
      <c r="E180" s="248" t="str">
        <f>UPPER(IF($D180=0,"",IF($A180=4,_xlfn.XLOOKUP($D180,Mercado!$C:$C,Mercado!$E:$E),_xlfn.XLOOKUP($D180,Fontes!$B:$B,Fontes!$C:$C))))</f>
        <v>SINAPI</v>
      </c>
      <c r="F180" s="327" t="s">
        <v>8488</v>
      </c>
      <c r="G180" s="249" t="str">
        <f>UPPER(IF($D180=0,"",IF($A180=4,_xlfn.XLOOKUP($D180,Mercado!$C:$C,Mercado!$G:$G),_xlfn.XLOOKUP($D180,Fontes!$B:$B,Fontes!$E:$E))))</f>
        <v>M²</v>
      </c>
      <c r="H180" s="445">
        <v>991.23</v>
      </c>
      <c r="I180" s="252">
        <f>IF($A180="M",_xlfn.XLOOKUP($D180,Mercado!$C:$C,Mercado!$I:$I),_xlfn.XLOOKUP($D180,Fontes!$B:$B,Fontes!$J:$J))</f>
        <v>90.8</v>
      </c>
      <c r="J180" s="252">
        <f>IF($A180="M",_xlfn.XLOOKUP($D180,Mercado!$C:$C,Mercado!$J:$J),_xlfn.XLOOKUP($D180,Fontes!$B:$B,Fontes!$H:$H))</f>
        <v>64.89</v>
      </c>
      <c r="K180" s="252">
        <f>IF($A180="M",0,_xlfn.XLOOKUP($D180,Fontes!$B:$B,Fontes!$I:$I))</f>
        <v>5.27</v>
      </c>
      <c r="L180" s="250">
        <f t="shared" si="20"/>
        <v>160.96</v>
      </c>
      <c r="M180" s="300">
        <f t="shared" si="23"/>
        <v>159548.38</v>
      </c>
      <c r="O180" s="517">
        <f t="shared" si="24"/>
        <v>159548.38</v>
      </c>
      <c r="U180" s="540"/>
    </row>
    <row r="181" spans="1:21" ht="38.4" outlineLevel="3" x14ac:dyDescent="0.3">
      <c r="A181" s="35"/>
      <c r="B181" s="36"/>
      <c r="C181" s="495" t="s">
        <v>9872</v>
      </c>
      <c r="D181" s="485" t="s">
        <v>1651</v>
      </c>
      <c r="E181" s="248" t="str">
        <f>UPPER(IF($D181=0,"",IF($A181=4,_xlfn.XLOOKUP($D181,Mercado!$C:$C,Mercado!$E:$E),_xlfn.XLOOKUP($D181,Fontes!$B:$B,Fontes!$C:$C))))</f>
        <v>SINAPI</v>
      </c>
      <c r="F181" s="327" t="s">
        <v>1654</v>
      </c>
      <c r="G181" s="249" t="str">
        <f>UPPER(IF($D181=0,"",IF($A181=4,_xlfn.XLOOKUP($D181,Mercado!$C:$C,Mercado!$G:$G),_xlfn.XLOOKUP($D181,Fontes!$B:$B,Fontes!$E:$E))))</f>
        <v>M³</v>
      </c>
      <c r="H181" s="252">
        <v>47.92</v>
      </c>
      <c r="I181" s="252">
        <f>IF($A181="M",_xlfn.XLOOKUP($D181,Mercado!$C:$C,Mercado!$I:$I),_xlfn.XLOOKUP($D181,Fontes!$B:$B,Fontes!$J:$J))</f>
        <v>500.33</v>
      </c>
      <c r="J181" s="252">
        <f>IF($A181="M",_xlfn.XLOOKUP($D181,Mercado!$C:$C,Mercado!$J:$J),_xlfn.XLOOKUP($D181,Fontes!$B:$B,Fontes!$H:$H))</f>
        <v>385.35</v>
      </c>
      <c r="K181" s="252">
        <f>IF($A181="M",0,_xlfn.XLOOKUP($D181,Fontes!$B:$B,Fontes!$I:$I))</f>
        <v>35.81</v>
      </c>
      <c r="L181" s="250">
        <f t="shared" si="20"/>
        <v>921.49</v>
      </c>
      <c r="M181" s="300">
        <f t="shared" si="23"/>
        <v>44157.8</v>
      </c>
      <c r="O181" s="517">
        <f t="shared" si="19"/>
        <v>44157.8</v>
      </c>
      <c r="U181" s="540"/>
    </row>
    <row r="182" spans="1:21" ht="76.8" outlineLevel="3" x14ac:dyDescent="0.3">
      <c r="A182" s="35"/>
      <c r="B182" s="36"/>
      <c r="C182" s="495" t="s">
        <v>9873</v>
      </c>
      <c r="D182" s="248">
        <v>96359</v>
      </c>
      <c r="E182" s="248" t="str">
        <f>UPPER(IF($D182=0,"",IF($A182=4,_xlfn.XLOOKUP($D182,Mercado!$C:$C,Mercado!$E:$E),_xlfn.XLOOKUP($D182,Fontes!$B:$B,Fontes!$C:$C))))</f>
        <v>SINAPI</v>
      </c>
      <c r="F182" s="327" t="s">
        <v>8489</v>
      </c>
      <c r="G182" s="249" t="str">
        <f>UPPER(IF($D182=0,"",IF($A182=4,_xlfn.XLOOKUP($D182,Mercado!$C:$C,Mercado!$G:$G),_xlfn.XLOOKUP($D182,Fontes!$B:$B,Fontes!$E:$E))))</f>
        <v>M²</v>
      </c>
      <c r="H182" s="252">
        <v>7.53</v>
      </c>
      <c r="I182" s="252">
        <f>IF($A182="M",_xlfn.XLOOKUP($D182,Mercado!$C:$C,Mercado!$I:$I),_xlfn.XLOOKUP($D182,Fontes!$B:$B,Fontes!$J:$J))</f>
        <v>80.62</v>
      </c>
      <c r="J182" s="252">
        <f>IF($A182="M",_xlfn.XLOOKUP($D182,Mercado!$C:$C,Mercado!$J:$J),_xlfn.XLOOKUP($D182,Fontes!$B:$B,Fontes!$H:$H))</f>
        <v>23.91</v>
      </c>
      <c r="K182" s="252">
        <f>IF($A182="M",0,_xlfn.XLOOKUP($D182,Fontes!$B:$B,Fontes!$I:$I))</f>
        <v>4.91</v>
      </c>
      <c r="L182" s="252">
        <f t="shared" si="20"/>
        <v>109.44</v>
      </c>
      <c r="M182" s="300">
        <f t="shared" si="23"/>
        <v>824.08</v>
      </c>
      <c r="N182" s="243"/>
      <c r="O182" s="517">
        <f t="shared" si="19"/>
        <v>824.08</v>
      </c>
      <c r="U182" s="540"/>
    </row>
    <row r="183" spans="1:21" ht="96" outlineLevel="3" x14ac:dyDescent="0.3">
      <c r="A183" s="35"/>
      <c r="B183" s="36"/>
      <c r="C183" s="495" t="s">
        <v>9874</v>
      </c>
      <c r="D183" s="248">
        <v>96363</v>
      </c>
      <c r="E183" s="248" t="str">
        <f>UPPER(IF($D183=0,"",IF($A183=4,_xlfn.XLOOKUP($D183,Mercado!$C:$C,Mercado!$E:$E),_xlfn.XLOOKUP($D183,Fontes!$B:$B,Fontes!$C:$C))))</f>
        <v>SINAPI</v>
      </c>
      <c r="F183" s="327" t="s">
        <v>8490</v>
      </c>
      <c r="G183" s="249" t="str">
        <f>UPPER(IF($D183=0,"",IF($A183=4,_xlfn.XLOOKUP($D183,Mercado!$C:$C,Mercado!$G:$G),_xlfn.XLOOKUP($D183,Fontes!$B:$B,Fontes!$E:$E))))</f>
        <v>M²</v>
      </c>
      <c r="H183" s="252">
        <v>24.84</v>
      </c>
      <c r="I183" s="252">
        <f>IF($A183="M",_xlfn.XLOOKUP($D183,Mercado!$C:$C,Mercado!$I:$I),_xlfn.XLOOKUP($D183,Fontes!$B:$B,Fontes!$J:$J))</f>
        <v>105.44</v>
      </c>
      <c r="J183" s="252">
        <f>IF($A183="M",_xlfn.XLOOKUP($D183,Mercado!$C:$C,Mercado!$J:$J),_xlfn.XLOOKUP($D183,Fontes!$B:$B,Fontes!$H:$H))</f>
        <v>28.36</v>
      </c>
      <c r="K183" s="252">
        <f>IF($A183="M",0,_xlfn.XLOOKUP($D183,Fontes!$B:$B,Fontes!$I:$I))</f>
        <v>5.1100000000000003</v>
      </c>
      <c r="L183" s="252">
        <f t="shared" si="20"/>
        <v>138.91000000000003</v>
      </c>
      <c r="M183" s="300">
        <f t="shared" si="23"/>
        <v>3450.52</v>
      </c>
      <c r="N183" s="243"/>
      <c r="O183" s="517">
        <f t="shared" ref="O183:O185" si="25">IF(D183&lt;&gt;0,M183,"")</f>
        <v>3450.52</v>
      </c>
      <c r="U183" s="540"/>
    </row>
    <row r="184" spans="1:21" ht="96" outlineLevel="3" x14ac:dyDescent="0.3">
      <c r="A184" s="35"/>
      <c r="B184" s="36"/>
      <c r="C184" s="495" t="s">
        <v>9875</v>
      </c>
      <c r="D184" s="248">
        <v>104721</v>
      </c>
      <c r="E184" s="248" t="str">
        <f>UPPER(IF($D184=0,"",IF($A184=4,_xlfn.XLOOKUP($D184,Mercado!$C:$C,Mercado!$E:$E),_xlfn.XLOOKUP($D184,Fontes!$B:$B,Fontes!$C:$C))))</f>
        <v>SINAPI</v>
      </c>
      <c r="F184" s="327" t="s">
        <v>8491</v>
      </c>
      <c r="G184" s="249" t="str">
        <f>UPPER(IF($D184=0,"",IF($A184=4,_xlfn.XLOOKUP($D184,Mercado!$C:$C,Mercado!$G:$G),_xlfn.XLOOKUP($D184,Fontes!$B:$B,Fontes!$E:$E))))</f>
        <v>M²</v>
      </c>
      <c r="H184" s="252">
        <v>6.98</v>
      </c>
      <c r="I184" s="252">
        <f>IF($A184="M",_xlfn.XLOOKUP($D184,Mercado!$C:$C,Mercado!$I:$I),_xlfn.XLOOKUP($D184,Fontes!$B:$B,Fontes!$J:$J))</f>
        <v>163.29</v>
      </c>
      <c r="J184" s="252">
        <f>IF($A184="M",_xlfn.XLOOKUP($D184,Mercado!$C:$C,Mercado!$J:$J),_xlfn.XLOOKUP($D184,Fontes!$B:$B,Fontes!$H:$H))</f>
        <v>44.37</v>
      </c>
      <c r="K184" s="252">
        <f>IF($A184="M",0,_xlfn.XLOOKUP($D184,Fontes!$B:$B,Fontes!$I:$I))</f>
        <v>5.85</v>
      </c>
      <c r="L184" s="252">
        <f t="shared" si="20"/>
        <v>213.51</v>
      </c>
      <c r="M184" s="300">
        <f t="shared" si="23"/>
        <v>1490.3</v>
      </c>
      <c r="N184" s="243"/>
      <c r="O184" s="517">
        <f t="shared" si="25"/>
        <v>1490.3</v>
      </c>
      <c r="U184" s="540"/>
    </row>
    <row r="185" spans="1:21" ht="78" outlineLevel="3" x14ac:dyDescent="0.3">
      <c r="A185" s="35"/>
      <c r="B185" s="36"/>
      <c r="C185" s="495" t="s">
        <v>9876</v>
      </c>
      <c r="D185" s="248">
        <v>104723</v>
      </c>
      <c r="E185" s="248" t="str">
        <f>UPPER(IF($D185=0,"",IF($A185=4,_xlfn.XLOOKUP($D185,Mercado!$C:$C,Mercado!$E:$E),_xlfn.XLOOKUP($D185,Fontes!$B:$B,Fontes!$C:$C))))</f>
        <v>SINAPI</v>
      </c>
      <c r="F185" s="436" t="s">
        <v>9708</v>
      </c>
      <c r="G185" s="249" t="str">
        <f>UPPER(IF($D185=0,"",IF($A185=4,_xlfn.XLOOKUP($D185,Mercado!$C:$C,Mercado!$G:$G),_xlfn.XLOOKUP($D185,Fontes!$B:$B,Fontes!$E:$E))))</f>
        <v>M²</v>
      </c>
      <c r="H185" s="252">
        <v>28.16</v>
      </c>
      <c r="I185" s="252">
        <f>IF($A185="M",_xlfn.XLOOKUP($D185,Mercado!$C:$C,Mercado!$I:$I),_xlfn.XLOOKUP($D185,Fontes!$B:$B,Fontes!$J:$J))</f>
        <v>188.47</v>
      </c>
      <c r="J185" s="252">
        <f>IF($A185="M",_xlfn.XLOOKUP($D185,Mercado!$C:$C,Mercado!$J:$J),_xlfn.XLOOKUP($D185,Fontes!$B:$B,Fontes!$H:$H))</f>
        <v>50.28</v>
      </c>
      <c r="K185" s="252">
        <f>IF($A185="M",0,_xlfn.XLOOKUP($D185,Fontes!$B:$B,Fontes!$I:$I))</f>
        <v>6.12</v>
      </c>
      <c r="L185" s="252">
        <f t="shared" si="20"/>
        <v>244.87</v>
      </c>
      <c r="M185" s="300">
        <f t="shared" si="23"/>
        <v>6895.54</v>
      </c>
      <c r="N185" s="243"/>
      <c r="O185" s="517">
        <f t="shared" si="25"/>
        <v>6895.54</v>
      </c>
      <c r="U185" s="540"/>
    </row>
    <row r="186" spans="1:21" ht="38.4" outlineLevel="3" x14ac:dyDescent="0.3">
      <c r="A186" s="35"/>
      <c r="B186" s="36"/>
      <c r="C186" s="495" t="s">
        <v>9877</v>
      </c>
      <c r="D186" s="248" t="s">
        <v>1650</v>
      </c>
      <c r="E186" s="248" t="str">
        <f>UPPER(IF($D186=0,"",IF($A186=4,_xlfn.XLOOKUP($D186,Mercado!$C:$C,Mercado!$E:$E),_xlfn.XLOOKUP($D186,Fontes!$B:$B,Fontes!$C:$C))))</f>
        <v>CPOS/CDHU</v>
      </c>
      <c r="F186" s="327" t="s">
        <v>8512</v>
      </c>
      <c r="G186" s="249" t="str">
        <f>UPPER(IF($D186=0,"",IF($A186=4,_xlfn.XLOOKUP($D186,Mercado!$C:$C,Mercado!$G:$G),_xlfn.XLOOKUP($D186,Fontes!$B:$B,Fontes!$E:$E))))</f>
        <v>M²</v>
      </c>
      <c r="H186" s="252">
        <v>14.56</v>
      </c>
      <c r="I186" s="252">
        <f>IF($A186="M",_xlfn.XLOOKUP($D186,Mercado!$C:$C,Mercado!$I:$I),_xlfn.XLOOKUP($D186,Fontes!$B:$B,Fontes!$J:$J))</f>
        <v>156.22</v>
      </c>
      <c r="J186" s="252">
        <f>IF($A186="M",_xlfn.XLOOKUP($D186,Mercado!$C:$C,Mercado!$J:$J),_xlfn.XLOOKUP($D186,Fontes!$B:$B,Fontes!$H:$H))</f>
        <v>75.17</v>
      </c>
      <c r="K186" s="252">
        <f>IF($A186="M",0,_xlfn.XLOOKUP($D186,Fontes!$B:$B,Fontes!$I:$I))</f>
        <v>0</v>
      </c>
      <c r="L186" s="250">
        <f t="shared" si="20"/>
        <v>231.39</v>
      </c>
      <c r="M186" s="300">
        <f t="shared" si="23"/>
        <v>3369.04</v>
      </c>
      <c r="N186" s="243"/>
      <c r="O186" s="517">
        <f t="shared" si="19"/>
        <v>3369.04</v>
      </c>
      <c r="U186" s="540"/>
    </row>
    <row r="187" spans="1:21" outlineLevel="3" x14ac:dyDescent="0.3">
      <c r="A187" s="36" t="s">
        <v>7</v>
      </c>
      <c r="B187" s="36"/>
      <c r="C187" s="495" t="s">
        <v>781</v>
      </c>
      <c r="D187" s="249"/>
      <c r="E187" s="249" t="str">
        <f>UPPER(IF($D187=0,"",IF($A187=4,_xlfn.XLOOKUP($D187,Mercado!$C:$C,Mercado!$E:$E),_xlfn.XLOOKUP($D187,Fontes!$B:$B,Fontes!$C:$C))))</f>
        <v/>
      </c>
      <c r="F187" s="327" t="s">
        <v>781</v>
      </c>
      <c r="G187" s="249"/>
      <c r="H187" s="252"/>
      <c r="I187" s="252">
        <f>IF($A187="M",_xlfn.XLOOKUP($D187,Mercado!$C:$C,Mercado!$I:$I),_xlfn.XLOOKUP($D187,Fontes!$B:$B,Fontes!$J:$J))</f>
        <v>0</v>
      </c>
      <c r="J187" s="252">
        <f>IF($A187="M",_xlfn.XLOOKUP($D187,Mercado!$C:$C,Mercado!$J:$J),_xlfn.XLOOKUP($D187,Fontes!$B:$B,Fontes!$H:$H))</f>
        <v>0</v>
      </c>
      <c r="K187" s="252">
        <f>IF($A187="M",0,_xlfn.XLOOKUP($D187,Fontes!$B:$B,Fontes!$I:$I))</f>
        <v>0</v>
      </c>
      <c r="L187" s="250">
        <f t="shared" si="20"/>
        <v>0</v>
      </c>
      <c r="M187" s="300">
        <f t="shared" si="23"/>
        <v>0</v>
      </c>
      <c r="O187" s="517" t="str">
        <f t="shared" si="19"/>
        <v/>
      </c>
      <c r="U187" s="540"/>
    </row>
    <row r="188" spans="1:21" outlineLevel="2" x14ac:dyDescent="0.3">
      <c r="A188" s="36" t="s">
        <v>7</v>
      </c>
      <c r="B188" s="36"/>
      <c r="C188" s="496" t="s">
        <v>9878</v>
      </c>
      <c r="D188" s="253"/>
      <c r="E188" s="253" t="str">
        <f>UPPER(IF($D188=0,"",IF($A188=4,_xlfn.XLOOKUP($D188,Mercado!$C:$C,Mercado!$E:$E),_xlfn.XLOOKUP($D188,Fontes!$B:$B,Fontes!$C:$C))))</f>
        <v/>
      </c>
      <c r="F188" s="329" t="s">
        <v>2017</v>
      </c>
      <c r="G188" s="253"/>
      <c r="H188" s="254"/>
      <c r="I188" s="254">
        <f>IF($A188="M",_xlfn.XLOOKUP($D188,Mercado!$C:$C,Mercado!$I:$I),_xlfn.XLOOKUP($D188,Fontes!$B:$B,Fontes!$J:$J))</f>
        <v>0</v>
      </c>
      <c r="J188" s="254">
        <f>IF($A188="M",_xlfn.XLOOKUP($D188,Mercado!$C:$C,Mercado!$J:$J),_xlfn.XLOOKUP($D188,Fontes!$B:$B,Fontes!$H:$H))</f>
        <v>0</v>
      </c>
      <c r="K188" s="254">
        <f>IF($A188="M",0,_xlfn.XLOOKUP($D188,Fontes!$B:$B,Fontes!$I:$I))</f>
        <v>0</v>
      </c>
      <c r="L188" s="254">
        <f t="shared" si="20"/>
        <v>0</v>
      </c>
      <c r="M188" s="497">
        <f>SUBTOTAL(9,M189:M194)</f>
        <v>27449.350000000002</v>
      </c>
      <c r="O188" s="517" t="str">
        <f t="shared" si="19"/>
        <v/>
      </c>
      <c r="U188" s="540"/>
    </row>
    <row r="189" spans="1:21" ht="96" outlineLevel="3" x14ac:dyDescent="0.3">
      <c r="A189" s="35"/>
      <c r="B189" s="36"/>
      <c r="C189" s="495" t="s">
        <v>9879</v>
      </c>
      <c r="D189" s="249">
        <v>102235</v>
      </c>
      <c r="E189" s="249" t="str">
        <f>UPPER(IF($D189=0,"",IF($A189=4,_xlfn.XLOOKUP($D189,Mercado!$C:$C,Mercado!$E:$E),_xlfn.XLOOKUP($D189,Fontes!$B:$B,Fontes!$C:$C))))</f>
        <v>SINAPI</v>
      </c>
      <c r="F189" s="437" t="s">
        <v>8479</v>
      </c>
      <c r="G189" s="451" t="str">
        <f>UPPER(IF($D189=0,"",IF($A189=4,_xlfn.XLOOKUP($D189,Mercado!$C:$C,Mercado!$G:$G),_xlfn.XLOOKUP($D189,Fontes!$B:$B,Fontes!$E:$E))))</f>
        <v>M²</v>
      </c>
      <c r="H189" s="252">
        <f>4.92*2.6</f>
        <v>12.792</v>
      </c>
      <c r="I189" s="252">
        <f>IF($A189="M",_xlfn.XLOOKUP($D189,Mercado!$C:$C,Mercado!$I:$I),_xlfn.XLOOKUP($D189,Fontes!$B:$B,Fontes!$J:$J))</f>
        <v>578.91999999999996</v>
      </c>
      <c r="J189" s="252">
        <f>IF($A189="M",_xlfn.XLOOKUP($D189,Mercado!$C:$C,Mercado!$J:$J),_xlfn.XLOOKUP($D189,Fontes!$B:$B,Fontes!$H:$H))</f>
        <v>50.19</v>
      </c>
      <c r="K189" s="252">
        <f>IF($A189="M",0,_xlfn.XLOOKUP($D189,Fontes!$B:$B,Fontes!$I:$I))</f>
        <v>3.21</v>
      </c>
      <c r="L189" s="250">
        <f t="shared" si="20"/>
        <v>632.31999999999994</v>
      </c>
      <c r="M189" s="300">
        <f t="shared" ref="M189:M194" si="26">ROUND(H189*L189,2)</f>
        <v>8088.64</v>
      </c>
      <c r="N189" s="243"/>
      <c r="O189" s="517">
        <f t="shared" ref="O189" si="27">IF(D189&lt;&gt;0,M189,"")</f>
        <v>8088.64</v>
      </c>
      <c r="U189" s="540"/>
    </row>
    <row r="190" spans="1:21" ht="96" outlineLevel="3" x14ac:dyDescent="0.3">
      <c r="A190" s="35"/>
      <c r="B190" s="36"/>
      <c r="C190" s="495" t="s">
        <v>9880</v>
      </c>
      <c r="D190" s="249">
        <v>102235</v>
      </c>
      <c r="E190" s="249" t="str">
        <f>UPPER(IF($D190=0,"",IF($A190=4,_xlfn.XLOOKUP($D190,Mercado!$C:$C,Mercado!$E:$E),_xlfn.XLOOKUP($D190,Fontes!$B:$B,Fontes!$C:$C))))</f>
        <v>SINAPI</v>
      </c>
      <c r="F190" s="437" t="s">
        <v>8478</v>
      </c>
      <c r="G190" s="451" t="str">
        <f>UPPER(IF($D190=0,"",IF($A190=4,_xlfn.XLOOKUP($D190,Mercado!$C:$C,Mercado!$G:$G),_xlfn.XLOOKUP($D190,Fontes!$B:$B,Fontes!$E:$E))))</f>
        <v>M²</v>
      </c>
      <c r="H190" s="252">
        <f>4.58*2.6</f>
        <v>11.908000000000001</v>
      </c>
      <c r="I190" s="252">
        <f>IF($A190="M",_xlfn.XLOOKUP($D190,Mercado!$C:$C,Mercado!$I:$I),_xlfn.XLOOKUP($D190,Fontes!$B:$B,Fontes!$J:$J))</f>
        <v>578.91999999999996</v>
      </c>
      <c r="J190" s="252">
        <f>IF($A190="M",_xlfn.XLOOKUP($D190,Mercado!$C:$C,Mercado!$J:$J),_xlfn.XLOOKUP($D190,Fontes!$B:$B,Fontes!$H:$H))</f>
        <v>50.19</v>
      </c>
      <c r="K190" s="252">
        <f>IF($A190="M",0,_xlfn.XLOOKUP($D190,Fontes!$B:$B,Fontes!$I:$I))</f>
        <v>3.21</v>
      </c>
      <c r="L190" s="250">
        <f t="shared" si="20"/>
        <v>632.31999999999994</v>
      </c>
      <c r="M190" s="300">
        <f t="shared" si="26"/>
        <v>7529.67</v>
      </c>
      <c r="N190" s="243"/>
      <c r="O190" s="517">
        <f t="shared" ref="O190:O193" si="28">IF(D190&lt;&gt;0,M190,"")</f>
        <v>7529.67</v>
      </c>
      <c r="U190" s="540"/>
    </row>
    <row r="191" spans="1:21" ht="57.6" outlineLevel="3" x14ac:dyDescent="0.3">
      <c r="A191" s="35"/>
      <c r="B191" s="36"/>
      <c r="C191" s="495" t="s">
        <v>9881</v>
      </c>
      <c r="D191" s="249">
        <v>102235</v>
      </c>
      <c r="E191" s="249" t="str">
        <f>UPPER(IF($D191=0,"",IF($A191=4,_xlfn.XLOOKUP($D191,Mercado!$C:$C,Mercado!$E:$E),_xlfn.XLOOKUP($D191,Fontes!$B:$B,Fontes!$C:$C))))</f>
        <v>SINAPI</v>
      </c>
      <c r="F191" s="437" t="s">
        <v>8444</v>
      </c>
      <c r="G191" s="451" t="str">
        <f>UPPER(IF($D191=0,"",IF($A191=4,_xlfn.XLOOKUP($D191,Mercado!$C:$C,Mercado!$G:$G),_xlfn.XLOOKUP($D191,Fontes!$B:$B,Fontes!$E:$E))))</f>
        <v>M²</v>
      </c>
      <c r="H191" s="252">
        <f>2.58*2.6</f>
        <v>6.7080000000000002</v>
      </c>
      <c r="I191" s="252">
        <f>IF($A191="M",_xlfn.XLOOKUP($D191,Mercado!$C:$C,Mercado!$I:$I),_xlfn.XLOOKUP($D191,Fontes!$B:$B,Fontes!$J:$J))</f>
        <v>578.91999999999996</v>
      </c>
      <c r="J191" s="252">
        <f>IF($A191="M",_xlfn.XLOOKUP($D191,Mercado!$C:$C,Mercado!$J:$J),_xlfn.XLOOKUP($D191,Fontes!$B:$B,Fontes!$H:$H))</f>
        <v>50.19</v>
      </c>
      <c r="K191" s="252">
        <f>IF($A191="M",0,_xlfn.XLOOKUP($D191,Fontes!$B:$B,Fontes!$I:$I))</f>
        <v>3.21</v>
      </c>
      <c r="L191" s="250">
        <f t="shared" si="20"/>
        <v>632.31999999999994</v>
      </c>
      <c r="M191" s="300">
        <f t="shared" si="26"/>
        <v>4241.6000000000004</v>
      </c>
      <c r="N191" s="243"/>
      <c r="O191" s="517">
        <f t="shared" si="28"/>
        <v>4241.6000000000004</v>
      </c>
      <c r="U191" s="540"/>
    </row>
    <row r="192" spans="1:21" ht="57.6" outlineLevel="3" x14ac:dyDescent="0.3">
      <c r="A192" s="35"/>
      <c r="B192" s="36"/>
      <c r="C192" s="495" t="s">
        <v>9882</v>
      </c>
      <c r="D192" s="249" t="s">
        <v>602</v>
      </c>
      <c r="E192" s="248" t="str">
        <f>UPPER(IF($D192=0,"",IF($A192=4,_xlfn.XLOOKUP($D192,Mercado!$C:$C,Mercado!$E:$E),_xlfn.XLOOKUP($D192,Fontes!$B:$B,Fontes!$C:$C))))</f>
        <v>CPOS/CDHU</v>
      </c>
      <c r="F192" s="328" t="s">
        <v>3509</v>
      </c>
      <c r="G192" s="249" t="str">
        <f>UPPER(IF($D192=0,"",IF($A192=4,_xlfn.XLOOKUP($D192,Mercado!$C:$C,Mercado!$G:$G),_xlfn.XLOOKUP($D192,Fontes!$B:$B,Fontes!$E:$E))))</f>
        <v>M²</v>
      </c>
      <c r="H192" s="252">
        <v>6</v>
      </c>
      <c r="I192" s="252">
        <f>IF($A192="M",_xlfn.XLOOKUP($D192,Mercado!$C:$C,Mercado!$I:$I),_xlfn.XLOOKUP($D192,Fontes!$B:$B,Fontes!$J:$J))</f>
        <v>839.86</v>
      </c>
      <c r="J192" s="252">
        <f>IF($A192="M",_xlfn.XLOOKUP($D192,Mercado!$C:$C,Mercado!$J:$J),_xlfn.XLOOKUP($D192,Fontes!$B:$B,Fontes!$H:$H))</f>
        <v>0</v>
      </c>
      <c r="K192" s="252">
        <f>IF($A192="M",0,_xlfn.XLOOKUP($D192,Fontes!$B:$B,Fontes!$I:$I))</f>
        <v>0</v>
      </c>
      <c r="L192" s="252">
        <f t="shared" si="20"/>
        <v>839.86</v>
      </c>
      <c r="M192" s="300">
        <f t="shared" si="26"/>
        <v>5039.16</v>
      </c>
      <c r="N192" s="243"/>
      <c r="O192" s="517">
        <f t="shared" si="28"/>
        <v>5039.16</v>
      </c>
      <c r="U192" s="540"/>
    </row>
    <row r="193" spans="1:21" ht="38.4" outlineLevel="3" x14ac:dyDescent="0.3">
      <c r="A193" s="35"/>
      <c r="B193" s="36"/>
      <c r="C193" s="495" t="s">
        <v>9883</v>
      </c>
      <c r="D193" s="249">
        <v>110308</v>
      </c>
      <c r="E193" s="248" t="str">
        <f>UPPER(IF($D193=0,"",IF($A193=4,_xlfn.XLOOKUP($D193,Mercado!$C:$C,Mercado!$E:$E),_xlfn.XLOOKUP($D193,Fontes!$B:$B,Fontes!$C:$C))))</f>
        <v>SBC</v>
      </c>
      <c r="F193" s="327" t="s">
        <v>3510</v>
      </c>
      <c r="G193" s="249" t="str">
        <f>UPPER(IF($D193=0,"",IF($A193=4,_xlfn.XLOOKUP($D193,Mercado!$C:$C,Mercado!$G:$G),_xlfn.XLOOKUP($D193,Fontes!$B:$B,Fontes!$E:$E))))</f>
        <v>UN</v>
      </c>
      <c r="H193" s="252">
        <v>2</v>
      </c>
      <c r="I193" s="252">
        <f>IF($A193="M",_xlfn.XLOOKUP($D193,Mercado!$C:$C,Mercado!$I:$I),_xlfn.XLOOKUP($D193,Fontes!$B:$B,Fontes!$J:$J))</f>
        <v>1022.52</v>
      </c>
      <c r="J193" s="252">
        <f>IF($A193="M",_xlfn.XLOOKUP($D193,Mercado!$C:$C,Mercado!$J:$J),_xlfn.XLOOKUP($D193,Fontes!$B:$B,Fontes!$H:$H))</f>
        <v>252.62</v>
      </c>
      <c r="K193" s="252">
        <f>IF($A193="M",0,_xlfn.XLOOKUP($D193,Fontes!$B:$B,Fontes!$I:$I))</f>
        <v>0</v>
      </c>
      <c r="L193" s="252">
        <f t="shared" si="20"/>
        <v>1275.1399999999999</v>
      </c>
      <c r="M193" s="300">
        <f t="shared" si="26"/>
        <v>2550.2800000000002</v>
      </c>
      <c r="N193" s="243"/>
      <c r="O193" s="517">
        <f t="shared" si="28"/>
        <v>2550.2800000000002</v>
      </c>
      <c r="U193" s="540"/>
    </row>
    <row r="194" spans="1:21" outlineLevel="3" x14ac:dyDescent="0.3">
      <c r="A194" s="36" t="s">
        <v>7</v>
      </c>
      <c r="B194" s="36"/>
      <c r="C194" s="495" t="s">
        <v>781</v>
      </c>
      <c r="D194" s="249"/>
      <c r="E194" s="249" t="str">
        <f>UPPER(IF($D194=0,"",IF($A194=4,_xlfn.XLOOKUP($D194,Mercado!$C:$C,Mercado!$E:$E),_xlfn.XLOOKUP($D194,Fontes!$B:$B,Fontes!$C:$C))))</f>
        <v/>
      </c>
      <c r="F194" s="327" t="s">
        <v>781</v>
      </c>
      <c r="G194" s="249"/>
      <c r="H194" s="252"/>
      <c r="I194" s="252">
        <f>IF($A194="M",_xlfn.XLOOKUP($D194,Mercado!$C:$C,Mercado!$I:$I),_xlfn.XLOOKUP($D194,Fontes!$B:$B,Fontes!$J:$J))</f>
        <v>0</v>
      </c>
      <c r="J194" s="252">
        <f>IF($A194="M",_xlfn.XLOOKUP($D194,Mercado!$C:$C,Mercado!$J:$J),_xlfn.XLOOKUP($D194,Fontes!$B:$B,Fontes!$H:$H))</f>
        <v>0</v>
      </c>
      <c r="K194" s="252">
        <f>IF($A194="M",0,_xlfn.XLOOKUP($D194,Fontes!$B:$B,Fontes!$I:$I))</f>
        <v>0</v>
      </c>
      <c r="L194" s="250">
        <f t="shared" si="20"/>
        <v>0</v>
      </c>
      <c r="M194" s="300">
        <f t="shared" si="26"/>
        <v>0</v>
      </c>
      <c r="O194" s="517" t="str">
        <f t="shared" si="19"/>
        <v/>
      </c>
      <c r="U194" s="540"/>
    </row>
    <row r="195" spans="1:21" outlineLevel="2" x14ac:dyDescent="0.3">
      <c r="A195" s="36" t="s">
        <v>7</v>
      </c>
      <c r="B195" s="36"/>
      <c r="C195" s="496" t="s">
        <v>9884</v>
      </c>
      <c r="D195" s="253"/>
      <c r="E195" s="253" t="str">
        <f>UPPER(IF($D195=0,"",IF($A195=4,_xlfn.XLOOKUP($D195,Mercado!$C:$C,Mercado!$E:$E),_xlfn.XLOOKUP($D195,Fontes!$B:$B,Fontes!$C:$C))))</f>
        <v/>
      </c>
      <c r="F195" s="329" t="s">
        <v>171</v>
      </c>
      <c r="G195" s="253"/>
      <c r="H195" s="254"/>
      <c r="I195" s="254">
        <f>IF($A195="M",_xlfn.XLOOKUP($D195,Mercado!$C:$C,Mercado!$I:$I),_xlfn.XLOOKUP($D195,Fontes!$B:$B,Fontes!$J:$J))</f>
        <v>0</v>
      </c>
      <c r="J195" s="254">
        <f>IF($A195="M",_xlfn.XLOOKUP($D195,Mercado!$C:$C,Mercado!$J:$J),_xlfn.XLOOKUP($D195,Fontes!$B:$B,Fontes!$H:$H))</f>
        <v>0</v>
      </c>
      <c r="K195" s="254">
        <f>IF($A195="M",0,_xlfn.XLOOKUP($D195,Fontes!$B:$B,Fontes!$I:$I))</f>
        <v>0</v>
      </c>
      <c r="L195" s="254">
        <f t="shared" si="20"/>
        <v>0</v>
      </c>
      <c r="M195" s="497">
        <f>SUBTOTAL(9,M196:M205)</f>
        <v>195041.31</v>
      </c>
      <c r="O195" s="517" t="str">
        <f t="shared" si="19"/>
        <v/>
      </c>
      <c r="U195" s="540"/>
    </row>
    <row r="196" spans="1:21" ht="57.6" outlineLevel="3" x14ac:dyDescent="0.3">
      <c r="A196" s="35"/>
      <c r="B196" s="36"/>
      <c r="C196" s="495" t="s">
        <v>9885</v>
      </c>
      <c r="D196" s="249">
        <v>87878</v>
      </c>
      <c r="E196" s="249" t="str">
        <f>UPPER(IF($D196=0,"",IF($A196=4,_xlfn.XLOOKUP($D196,Mercado!$C:$C,Mercado!$E:$E),_xlfn.XLOOKUP($D196,Fontes!$B:$B,Fontes!$C:$C))))</f>
        <v>SINAPI</v>
      </c>
      <c r="F196" s="437" t="s">
        <v>121</v>
      </c>
      <c r="G196" s="438" t="str">
        <f>UPPER(IF($D196=0,"",IF($A196=4,_xlfn.XLOOKUP($D196,Mercado!$C:$C,Mercado!$G:$G),_xlfn.XLOOKUP($D196,Fontes!$B:$B,Fontes!$E:$E))))</f>
        <v>M²</v>
      </c>
      <c r="H196" s="440">
        <f>+H197</f>
        <v>775.32</v>
      </c>
      <c r="I196" s="252">
        <f>IF($A196="M",_xlfn.XLOOKUP($D196,Mercado!$C:$C,Mercado!$I:$I),_xlfn.XLOOKUP($D196,Fontes!$B:$B,Fontes!$J:$J))</f>
        <v>2.5499999999999998</v>
      </c>
      <c r="J196" s="252">
        <f>IF($A196="M",_xlfn.XLOOKUP($D196,Mercado!$C:$C,Mercado!$J:$J),_xlfn.XLOOKUP($D196,Fontes!$B:$B,Fontes!$H:$H))</f>
        <v>3.67</v>
      </c>
      <c r="K196" s="252">
        <f>IF($A196="M",0,_xlfn.XLOOKUP($D196,Fontes!$B:$B,Fontes!$I:$I))</f>
        <v>0.32</v>
      </c>
      <c r="L196" s="250">
        <f t="shared" si="20"/>
        <v>6.54</v>
      </c>
      <c r="M196" s="300">
        <f t="shared" ref="M196:M205" si="29">ROUND(H196*L196,2)</f>
        <v>5070.59</v>
      </c>
      <c r="N196" s="243"/>
      <c r="O196" s="517">
        <f t="shared" si="19"/>
        <v>5070.59</v>
      </c>
      <c r="U196" s="540"/>
    </row>
    <row r="197" spans="1:21" ht="96" outlineLevel="3" x14ac:dyDescent="0.3">
      <c r="A197" s="35"/>
      <c r="B197" s="36"/>
      <c r="C197" s="495" t="s">
        <v>9886</v>
      </c>
      <c r="D197" s="249">
        <v>87536</v>
      </c>
      <c r="E197" s="249" t="str">
        <f>UPPER(IF($D197=0,"",IF($A197=4,_xlfn.XLOOKUP($D197,Mercado!$C:$C,Mercado!$E:$E),_xlfn.XLOOKUP($D197,Fontes!$B:$B,Fontes!$C:$C))))</f>
        <v>SINAPI</v>
      </c>
      <c r="F197" s="437" t="s">
        <v>122</v>
      </c>
      <c r="G197" s="438" t="str">
        <f>UPPER(IF($D197=0,"",IF($A197=4,_xlfn.XLOOKUP($D197,Mercado!$C:$C,Mercado!$G:$G),_xlfn.XLOOKUP($D197,Fontes!$B:$B,Fontes!$E:$E))))</f>
        <v>M²</v>
      </c>
      <c r="H197" s="440">
        <v>775.32</v>
      </c>
      <c r="I197" s="252">
        <f>IF($A197="M",_xlfn.XLOOKUP($D197,Mercado!$C:$C,Mercado!$I:$I),_xlfn.XLOOKUP($D197,Fontes!$B:$B,Fontes!$J:$J))</f>
        <v>21.99</v>
      </c>
      <c r="J197" s="252">
        <f>IF($A197="M",_xlfn.XLOOKUP($D197,Mercado!$C:$C,Mercado!$J:$J),_xlfn.XLOOKUP($D197,Fontes!$B:$B,Fontes!$H:$H))</f>
        <v>23.77</v>
      </c>
      <c r="K197" s="252">
        <f>IF($A197="M",0,_xlfn.XLOOKUP($D197,Fontes!$B:$B,Fontes!$I:$I))</f>
        <v>2.11</v>
      </c>
      <c r="L197" s="250">
        <f t="shared" si="20"/>
        <v>47.87</v>
      </c>
      <c r="M197" s="300">
        <f t="shared" si="29"/>
        <v>37114.57</v>
      </c>
      <c r="N197" s="243"/>
      <c r="O197" s="517">
        <f t="shared" si="19"/>
        <v>37114.57</v>
      </c>
      <c r="U197" s="540"/>
    </row>
    <row r="198" spans="1:21" outlineLevel="3" x14ac:dyDescent="0.3">
      <c r="A198" s="35"/>
      <c r="B198" s="36"/>
      <c r="C198" s="495" t="s">
        <v>9887</v>
      </c>
      <c r="D198" s="249">
        <v>120012</v>
      </c>
      <c r="E198" s="249" t="str">
        <f>UPPER(IF($D198=0,"",IF($A198=4,_xlfn.XLOOKUP($D198,Mercado!$C:$C,Mercado!$E:$E),_xlfn.XLOOKUP($D198,Fontes!$B:$B,Fontes!$C:$C))))</f>
        <v>SBC</v>
      </c>
      <c r="F198" s="437" t="s">
        <v>3511</v>
      </c>
      <c r="G198" s="438" t="str">
        <f>UPPER(IF($D198=0,"",IF($A198=4,_xlfn.XLOOKUP($D198,Mercado!$C:$C,Mercado!$G:$G),_xlfn.XLOOKUP($D198,Fontes!$B:$B,Fontes!$E:$E))))</f>
        <v>M²</v>
      </c>
      <c r="H198" s="440">
        <v>327.18</v>
      </c>
      <c r="I198" s="252">
        <f>IF($A198="M",_xlfn.XLOOKUP($D198,Mercado!$C:$C,Mercado!$I:$I),_xlfn.XLOOKUP($D198,Fontes!$B:$B,Fontes!$J:$J))</f>
        <v>6.51</v>
      </c>
      <c r="J198" s="252">
        <f>IF($A198="M",_xlfn.XLOOKUP($D198,Mercado!$C:$C,Mercado!$J:$J),_xlfn.XLOOKUP($D198,Fontes!$B:$B,Fontes!$H:$H))</f>
        <v>6.95</v>
      </c>
      <c r="K198" s="252">
        <f>IF($A198="M",0,_xlfn.XLOOKUP($D198,Fontes!$B:$B,Fontes!$I:$I))</f>
        <v>0</v>
      </c>
      <c r="L198" s="250">
        <f t="shared" si="20"/>
        <v>13.46</v>
      </c>
      <c r="M198" s="300">
        <f t="shared" si="29"/>
        <v>4403.84</v>
      </c>
      <c r="N198" s="243"/>
      <c r="O198" s="517">
        <f t="shared" si="19"/>
        <v>4403.84</v>
      </c>
      <c r="U198" s="540"/>
    </row>
    <row r="199" spans="1:21" ht="38.4" outlineLevel="3" x14ac:dyDescent="0.3">
      <c r="A199" s="35"/>
      <c r="B199" s="36"/>
      <c r="C199" s="495" t="s">
        <v>9888</v>
      </c>
      <c r="D199" s="249">
        <v>120492</v>
      </c>
      <c r="E199" s="249" t="str">
        <f>UPPER(IF($D199=0,"",IF($A199=4,_xlfn.XLOOKUP($D199,Mercado!$C:$C,Mercado!$E:$E),_xlfn.XLOOKUP($D199,Fontes!$B:$B,Fontes!$C:$C))))</f>
        <v>SBC</v>
      </c>
      <c r="F199" s="437" t="s">
        <v>8513</v>
      </c>
      <c r="G199" s="438" t="str">
        <f>UPPER(IF($D199=0,"",IF($A199=4,_xlfn.XLOOKUP($D199,Mercado!$C:$C,Mercado!$G:$G),_xlfn.XLOOKUP($D199,Fontes!$B:$B,Fontes!$E:$E))))</f>
        <v>M²</v>
      </c>
      <c r="H199" s="440">
        <v>280.85000000000002</v>
      </c>
      <c r="I199" s="252">
        <f>IF($A199="M",_xlfn.XLOOKUP($D199,Mercado!$C:$C,Mercado!$I:$I),_xlfn.XLOOKUP($D199,Fontes!$B:$B,Fontes!$J:$J))</f>
        <v>76.680000000000007</v>
      </c>
      <c r="J199" s="252">
        <f>IF($A199="M",_xlfn.XLOOKUP($D199,Mercado!$C:$C,Mercado!$J:$J),_xlfn.XLOOKUP($D199,Fontes!$B:$B,Fontes!$H:$H))</f>
        <v>28.61</v>
      </c>
      <c r="K199" s="252">
        <f>IF($A199="M",0,_xlfn.XLOOKUP($D199,Fontes!$B:$B,Fontes!$I:$I))</f>
        <v>0</v>
      </c>
      <c r="L199" s="250">
        <f t="shared" si="20"/>
        <v>105.29</v>
      </c>
      <c r="M199" s="300">
        <f t="shared" si="29"/>
        <v>29570.7</v>
      </c>
      <c r="N199" s="243"/>
      <c r="O199" s="517">
        <f t="shared" si="19"/>
        <v>29570.7</v>
      </c>
      <c r="U199" s="540"/>
    </row>
    <row r="200" spans="1:21" ht="38.4" outlineLevel="3" x14ac:dyDescent="0.3">
      <c r="A200" s="35"/>
      <c r="B200" s="36"/>
      <c r="C200" s="495" t="s">
        <v>9889</v>
      </c>
      <c r="D200" s="249">
        <v>368</v>
      </c>
      <c r="E200" s="249" t="str">
        <f>UPPER(IF($D200=0,"",IF($A200=4,_xlfn.XLOOKUP($D200,Mercado!$C:$C,Mercado!$E:$E),_xlfn.XLOOKUP($D200,Fontes!$B:$B,Fontes!$C:$C))))</f>
        <v>PRÓPRIO</v>
      </c>
      <c r="F200" s="437" t="s">
        <v>8514</v>
      </c>
      <c r="G200" s="438" t="str">
        <f>UPPER(IF($D200=0,"",IF($A200=4,_xlfn.XLOOKUP($D200,Mercado!$C:$C,Mercado!$G:$G),_xlfn.XLOOKUP($D200,Fontes!$B:$B,Fontes!$E:$E))))</f>
        <v>M²</v>
      </c>
      <c r="H200" s="440">
        <v>18.52</v>
      </c>
      <c r="I200" s="252">
        <f>IF($A200="M",_xlfn.XLOOKUP($D200,Mercado!$C:$C,Mercado!$I:$I),_xlfn.XLOOKUP($D200,Fontes!$B:$B,Fontes!$J:$J))</f>
        <v>302.43</v>
      </c>
      <c r="J200" s="252">
        <f>IF($A200="M",_xlfn.XLOOKUP($D200,Mercado!$C:$C,Mercado!$J:$J),_xlfn.XLOOKUP($D200,Fontes!$B:$B,Fontes!$H:$H))</f>
        <v>20.010000000000002</v>
      </c>
      <c r="K200" s="252">
        <f>IF($A200="M",0,_xlfn.XLOOKUP($D200,Fontes!$B:$B,Fontes!$I:$I))</f>
        <v>0</v>
      </c>
      <c r="L200" s="250">
        <f t="shared" si="20"/>
        <v>322.44</v>
      </c>
      <c r="M200" s="300">
        <f t="shared" si="29"/>
        <v>5971.59</v>
      </c>
      <c r="N200" s="243"/>
      <c r="O200" s="517">
        <f t="shared" ref="O200:O277" si="30">IF(D200&lt;&gt;0,M200,"")</f>
        <v>5971.59</v>
      </c>
      <c r="U200" s="540"/>
    </row>
    <row r="201" spans="1:21" ht="38.4" outlineLevel="3" x14ac:dyDescent="0.3">
      <c r="A201" s="35"/>
      <c r="B201" s="36"/>
      <c r="C201" s="495" t="s">
        <v>9890</v>
      </c>
      <c r="D201" s="249">
        <v>369</v>
      </c>
      <c r="E201" s="249" t="str">
        <f>UPPER(IF($D201=0,"",IF($A201=4,_xlfn.XLOOKUP($D201,Mercado!$C:$C,Mercado!$E:$E),_xlfn.XLOOKUP($D201,Fontes!$B:$B,Fontes!$C:$C))))</f>
        <v>PRÓPRIO</v>
      </c>
      <c r="F201" s="437" t="s">
        <v>8515</v>
      </c>
      <c r="G201" s="438" t="str">
        <f>UPPER(IF($D201=0,"",IF($A201=4,_xlfn.XLOOKUP($D201,Mercado!$C:$C,Mercado!$G:$G),_xlfn.XLOOKUP($D201,Fontes!$B:$B,Fontes!$E:$E))))</f>
        <v>M²</v>
      </c>
      <c r="H201" s="440">
        <v>67.62</v>
      </c>
      <c r="I201" s="252">
        <f>IF($A201="M",_xlfn.XLOOKUP($D201,Mercado!$C:$C,Mercado!$I:$I),_xlfn.XLOOKUP($D201,Fontes!$B:$B,Fontes!$J:$J))</f>
        <v>302.43</v>
      </c>
      <c r="J201" s="252">
        <f>IF($A201="M",_xlfn.XLOOKUP($D201,Mercado!$C:$C,Mercado!$J:$J),_xlfn.XLOOKUP($D201,Fontes!$B:$B,Fontes!$H:$H))</f>
        <v>20.010000000000002</v>
      </c>
      <c r="K201" s="252">
        <f>IF($A201="M",0,_xlfn.XLOOKUP($D201,Fontes!$B:$B,Fontes!$I:$I))</f>
        <v>0</v>
      </c>
      <c r="L201" s="250">
        <f t="shared" si="20"/>
        <v>322.44</v>
      </c>
      <c r="M201" s="300">
        <f t="shared" si="29"/>
        <v>21803.39</v>
      </c>
      <c r="N201" s="243"/>
      <c r="O201" s="517">
        <f t="shared" si="30"/>
        <v>21803.39</v>
      </c>
      <c r="U201" s="540"/>
    </row>
    <row r="202" spans="1:21" ht="96" outlineLevel="3" x14ac:dyDescent="0.3">
      <c r="A202" s="35"/>
      <c r="B202" s="36"/>
      <c r="C202" s="495" t="s">
        <v>9891</v>
      </c>
      <c r="D202" s="249" t="s">
        <v>1717</v>
      </c>
      <c r="E202" s="249" t="str">
        <f>UPPER(IF($D202=0,"",IF($A202=4,_xlfn.XLOOKUP($D202,Mercado!$C:$C,Mercado!$E:$E),_xlfn.XLOOKUP($D202,Fontes!$B:$B,Fontes!$C:$C))))</f>
        <v>CPOS/CDHU</v>
      </c>
      <c r="F202" s="437" t="s">
        <v>8516</v>
      </c>
      <c r="G202" s="438" t="str">
        <f>UPPER(IF($D202=0,"",IF($A202=4,_xlfn.XLOOKUP($D202,Mercado!$C:$C,Mercado!$G:$G),_xlfn.XLOOKUP($D202,Fontes!$B:$B,Fontes!$E:$E))))</f>
        <v>M²</v>
      </c>
      <c r="H202" s="440">
        <v>137.75</v>
      </c>
      <c r="I202" s="252">
        <f>IF($A202="M",_xlfn.XLOOKUP($D202,Mercado!$C:$C,Mercado!$I:$I),_xlfn.XLOOKUP($D202,Fontes!$B:$B,Fontes!$J:$J))</f>
        <v>98.44</v>
      </c>
      <c r="J202" s="439">
        <f>IF($A202="M",_xlfn.XLOOKUP($D202,Mercado!$C:$C,Mercado!$J:$J),_xlfn.XLOOKUP($D202,Fontes!$B:$B,Fontes!$H:$H))</f>
        <v>145.18</v>
      </c>
      <c r="K202" s="252">
        <f>IF($A202="M",0,_xlfn.XLOOKUP($D202,Fontes!$B:$B,Fontes!$I:$I))</f>
        <v>0</v>
      </c>
      <c r="L202" s="250">
        <f t="shared" si="20"/>
        <v>243.62</v>
      </c>
      <c r="M202" s="300">
        <f t="shared" si="29"/>
        <v>33558.660000000003</v>
      </c>
      <c r="N202" s="243"/>
      <c r="O202" s="517">
        <f t="shared" si="30"/>
        <v>33558.660000000003</v>
      </c>
      <c r="U202" s="540"/>
    </row>
    <row r="203" spans="1:21" ht="115.2" outlineLevel="3" x14ac:dyDescent="0.3">
      <c r="A203" s="35" t="s">
        <v>7</v>
      </c>
      <c r="B203" s="36"/>
      <c r="C203" s="495" t="s">
        <v>9892</v>
      </c>
      <c r="D203" s="438" t="s">
        <v>2865</v>
      </c>
      <c r="E203" s="249" t="str">
        <f>UPPER(_xlfn.XLOOKUP($D203,Mercado!C:C,Mercado!E:E,_xlfn.XLOOKUP($D296,Fontes!$B:$B,Fontes!$C:$C)))</f>
        <v>PSA</v>
      </c>
      <c r="F203" s="437" t="s">
        <v>8517</v>
      </c>
      <c r="G203" s="249" t="str">
        <f>UPPER(_xlfn.XLOOKUP(D203,Mercado!C:C,Mercado!G:G))</f>
        <v>M2</v>
      </c>
      <c r="H203" s="440">
        <v>15.82</v>
      </c>
      <c r="I203" s="439">
        <f>IF($A203="M",_xlfn.XLOOKUP($D203,Mercado!$C:$C,Mercado!$I:$I),_xlfn.XLOOKUP($D203,Fontes!$B:$B,Fontes!$J:$J))</f>
        <v>1203.76</v>
      </c>
      <c r="J203" s="439">
        <f>IF($A203="M",_xlfn.XLOOKUP($D203,Mercado!$C:$C,Mercado!$J:$J),_xlfn.XLOOKUP($D203,Fontes!$B:$B,Fontes!$H:$H))</f>
        <v>350</v>
      </c>
      <c r="K203" s="252">
        <f>IF($A203="M",0,_xlfn.XLOOKUP($D203,Fontes!$B:$B,Fontes!$I:$I))</f>
        <v>0</v>
      </c>
      <c r="L203" s="250">
        <f t="shared" si="20"/>
        <v>1553.76</v>
      </c>
      <c r="M203" s="300">
        <f t="shared" si="29"/>
        <v>24580.48</v>
      </c>
      <c r="O203" s="517">
        <f t="shared" si="30"/>
        <v>24580.48</v>
      </c>
      <c r="R203" s="348"/>
      <c r="U203" s="540"/>
    </row>
    <row r="204" spans="1:21" ht="153.6" outlineLevel="3" x14ac:dyDescent="0.3">
      <c r="A204" s="35"/>
      <c r="B204" s="36"/>
      <c r="C204" s="495" t="s">
        <v>9893</v>
      </c>
      <c r="D204" s="438" t="s">
        <v>8549</v>
      </c>
      <c r="E204" s="438" t="str">
        <f>UPPER(IF($D204=0,"",IF($A204=4,_xlfn.XLOOKUP($D204,Mercado!$C:$C,Mercado!$E:$E),_xlfn.XLOOKUP($D204,Fontes!$B:$B,Fontes!$C:$C))))</f>
        <v>CPOS/CDHU</v>
      </c>
      <c r="F204" s="437" t="s">
        <v>8518</v>
      </c>
      <c r="G204" s="438" t="str">
        <f>UPPER(IF($D204=0,"",IF($A204=4,_xlfn.XLOOKUP($D204,Mercado!$C:$C,Mercado!$G:$G),_xlfn.XLOOKUP($D204,Fontes!$B:$B,Fontes!$E:$E))))</f>
        <v>M²</v>
      </c>
      <c r="H204" s="440">
        <v>37.340000000000003</v>
      </c>
      <c r="I204" s="252">
        <f>IF($A204="M",_xlfn.XLOOKUP($D204,Mercado!$C:$C,Mercado!$I:$I),_xlfn.XLOOKUP($D204,Fontes!$B:$B,Fontes!$J:$J))</f>
        <v>563.42999999999995</v>
      </c>
      <c r="J204" s="252">
        <f>IF($A204="M",_xlfn.XLOOKUP($D204,Mercado!$C:$C,Mercado!$J:$J),_xlfn.XLOOKUP($D204,Fontes!$B:$B,Fontes!$H:$H))</f>
        <v>319.47000000000003</v>
      </c>
      <c r="K204" s="252">
        <f>IF($A204="M",0,_xlfn.XLOOKUP($D204,Fontes!$B:$B,Fontes!$I:$I))</f>
        <v>0</v>
      </c>
      <c r="L204" s="250">
        <f t="shared" si="20"/>
        <v>882.9</v>
      </c>
      <c r="M204" s="300">
        <f t="shared" si="29"/>
        <v>32967.49</v>
      </c>
      <c r="N204" s="243"/>
      <c r="O204" s="517">
        <f t="shared" ref="O204" si="31">IF(D204&lt;&gt;0,M204,"")</f>
        <v>32967.49</v>
      </c>
      <c r="U204" s="540"/>
    </row>
    <row r="205" spans="1:21" outlineLevel="3" x14ac:dyDescent="0.3">
      <c r="A205" s="36" t="s">
        <v>7</v>
      </c>
      <c r="B205" s="36"/>
      <c r="C205" s="495" t="s">
        <v>781</v>
      </c>
      <c r="D205" s="249"/>
      <c r="E205" s="249" t="str">
        <f>UPPER(IF($D205=0,"",IF($A205=4,_xlfn.XLOOKUP($D205,Mercado!$C:$C,Mercado!$E:$E),_xlfn.XLOOKUP($D205,Fontes!$B:$B,Fontes!$C:$C))))</f>
        <v/>
      </c>
      <c r="F205" s="327" t="s">
        <v>781</v>
      </c>
      <c r="G205" s="249"/>
      <c r="H205" s="252"/>
      <c r="I205" s="252">
        <f>IF($A205="M",_xlfn.XLOOKUP($D205,Mercado!$C:$C,Mercado!$I:$I),_xlfn.XLOOKUP($D205,Fontes!$B:$B,Fontes!$J:$J))</f>
        <v>0</v>
      </c>
      <c r="J205" s="252">
        <f>IF($A205="M",_xlfn.XLOOKUP($D205,Mercado!$C:$C,Mercado!$J:$J),_xlfn.XLOOKUP($D205,Fontes!$B:$B,Fontes!$H:$H))</f>
        <v>0</v>
      </c>
      <c r="K205" s="252">
        <f>IF($A205="M",0,_xlfn.XLOOKUP($D205,Fontes!$B:$B,Fontes!$I:$I))</f>
        <v>0</v>
      </c>
      <c r="L205" s="250">
        <f t="shared" si="20"/>
        <v>0</v>
      </c>
      <c r="M205" s="300">
        <f t="shared" si="29"/>
        <v>0</v>
      </c>
      <c r="O205" s="517" t="str">
        <f t="shared" si="30"/>
        <v/>
      </c>
      <c r="U205" s="540"/>
    </row>
    <row r="206" spans="1:21" outlineLevel="2" x14ac:dyDescent="0.3">
      <c r="A206" s="36" t="s">
        <v>7</v>
      </c>
      <c r="B206" s="36"/>
      <c r="C206" s="496" t="s">
        <v>9894</v>
      </c>
      <c r="D206" s="253"/>
      <c r="E206" s="253" t="str">
        <f>UPPER(IF($D206=0,"",IF($A206=4,_xlfn.XLOOKUP($D206,Mercado!$C:$C,Mercado!$E:$E),_xlfn.XLOOKUP($D206,Fontes!$B:$B,Fontes!$C:$C))))</f>
        <v/>
      </c>
      <c r="F206" s="329" t="s">
        <v>172</v>
      </c>
      <c r="G206" s="253"/>
      <c r="H206" s="254"/>
      <c r="I206" s="254">
        <f>IF($A206="M",_xlfn.XLOOKUP($D206,Mercado!$C:$C,Mercado!$I:$I),_xlfn.XLOOKUP($D206,Fontes!$B:$B,Fontes!$J:$J))</f>
        <v>0</v>
      </c>
      <c r="J206" s="254">
        <f>IF($A206="M",_xlfn.XLOOKUP($D206,Mercado!$C:$C,Mercado!$J:$J),_xlfn.XLOOKUP($D206,Fontes!$B:$B,Fontes!$H:$H))</f>
        <v>0</v>
      </c>
      <c r="K206" s="254">
        <f>IF($A206="M",0,_xlfn.XLOOKUP($D206,Fontes!$B:$B,Fontes!$I:$I))</f>
        <v>0</v>
      </c>
      <c r="L206" s="254">
        <f t="shared" ref="L206:L269" si="32">SUM(I206:K206)</f>
        <v>0</v>
      </c>
      <c r="M206" s="497">
        <f>SUBTOTAL(9,M207:M213)</f>
        <v>177749.48</v>
      </c>
      <c r="O206" s="517" t="str">
        <f t="shared" si="30"/>
        <v/>
      </c>
      <c r="U206" s="540"/>
    </row>
    <row r="207" spans="1:21" ht="57" customHeight="1" outlineLevel="3" x14ac:dyDescent="0.3">
      <c r="A207" s="35"/>
      <c r="B207" s="36"/>
      <c r="C207" s="495" t="s">
        <v>9895</v>
      </c>
      <c r="D207" s="438">
        <v>180586</v>
      </c>
      <c r="E207" s="438" t="str">
        <f>UPPER(IF($D207=0,"",IF($A207=4,_xlfn.XLOOKUP($D207,Mercado!$C:$C,Mercado!$E:$E),_xlfn.XLOOKUP($D207,Fontes!$B:$B,Fontes!$C:$C))))</f>
        <v>SBC</v>
      </c>
      <c r="F207" s="501" t="s">
        <v>9709</v>
      </c>
      <c r="G207" s="438" t="str">
        <f>UPPER(IF($D207=0,"",IF($A207=4,_xlfn.XLOOKUP($D207,Mercado!$C:$C,Mercado!$G:$G),_xlfn.XLOOKUP($D207,Fontes!$B:$B,Fontes!$E:$E))))</f>
        <v>M²</v>
      </c>
      <c r="H207" s="440">
        <v>529.67999999999995</v>
      </c>
      <c r="I207" s="440">
        <f>IF($A207="M",_xlfn.XLOOKUP($D207,Mercado!$C:$C,Mercado!$I:$I),_xlfn.XLOOKUP($D207,Fontes!$B:$B,Fontes!$J:$J))</f>
        <v>22.88</v>
      </c>
      <c r="J207" s="440">
        <f>IF($A207="M",_xlfn.XLOOKUP($D207,Mercado!$C:$C,Mercado!$J:$J),_xlfn.XLOOKUP($D207,Fontes!$B:$B,Fontes!$H:$H))</f>
        <v>44.7</v>
      </c>
      <c r="K207" s="252">
        <f>IF($A207="M",0,_xlfn.XLOOKUP($D207,Fontes!$B:$B,Fontes!$I:$I))</f>
        <v>0</v>
      </c>
      <c r="L207" s="250">
        <f t="shared" si="32"/>
        <v>67.58</v>
      </c>
      <c r="M207" s="300">
        <f t="shared" ref="M207:M213" si="33">ROUND(H207*L207,2)</f>
        <v>35795.769999999997</v>
      </c>
      <c r="N207" s="243"/>
      <c r="O207" s="517">
        <f t="shared" si="30"/>
        <v>35795.769999999997</v>
      </c>
      <c r="U207" s="540"/>
    </row>
    <row r="208" spans="1:21" ht="46.8" outlineLevel="3" x14ac:dyDescent="0.3">
      <c r="A208" s="35"/>
      <c r="B208" s="36"/>
      <c r="C208" s="495" t="s">
        <v>9896</v>
      </c>
      <c r="D208" s="438">
        <v>180586</v>
      </c>
      <c r="E208" s="438" t="str">
        <f>UPPER(IF($D208=0,"",IF($A208=4,_xlfn.XLOOKUP($D208,Mercado!$C:$C,Mercado!$E:$E),_xlfn.XLOOKUP($D208,Fontes!$B:$B,Fontes!$C:$C))))</f>
        <v>SBC</v>
      </c>
      <c r="F208" s="501" t="s">
        <v>8519</v>
      </c>
      <c r="G208" s="438" t="str">
        <f>UPPER(IF($D208=0,"",IF($A208=4,_xlfn.XLOOKUP($D208,Mercado!$C:$C,Mercado!$G:$G),_xlfn.XLOOKUP($D208,Fontes!$B:$B,Fontes!$E:$E))))</f>
        <v>M²</v>
      </c>
      <c r="H208" s="440">
        <v>179.74</v>
      </c>
      <c r="I208" s="440">
        <f>IF($A208="M",_xlfn.XLOOKUP($D208,Mercado!$C:$C,Mercado!$I:$I),_xlfn.XLOOKUP($D208,Fontes!$B:$B,Fontes!$J:$J))</f>
        <v>22.88</v>
      </c>
      <c r="J208" s="440">
        <f>IF($A208="M",_xlfn.XLOOKUP($D208,Mercado!$C:$C,Mercado!$J:$J),_xlfn.XLOOKUP($D208,Fontes!$B:$B,Fontes!$H:$H))</f>
        <v>44.7</v>
      </c>
      <c r="K208" s="252">
        <f>IF($A208="M",0,_xlfn.XLOOKUP($D208,Fontes!$B:$B,Fontes!$I:$I))</f>
        <v>0</v>
      </c>
      <c r="L208" s="250">
        <f t="shared" si="32"/>
        <v>67.58</v>
      </c>
      <c r="M208" s="300">
        <f t="shared" si="33"/>
        <v>12146.83</v>
      </c>
      <c r="N208" s="243"/>
      <c r="O208" s="517">
        <f t="shared" ref="O208:O209" si="34">IF(D208&lt;&gt;0,M208,"")</f>
        <v>12146.83</v>
      </c>
      <c r="U208" s="540"/>
    </row>
    <row r="209" spans="1:21" ht="78" outlineLevel="3" x14ac:dyDescent="0.3">
      <c r="A209" s="35"/>
      <c r="B209" s="36"/>
      <c r="C209" s="495" t="s">
        <v>9897</v>
      </c>
      <c r="D209" s="438">
        <v>180049</v>
      </c>
      <c r="E209" s="438" t="str">
        <f>UPPER(IF($D209=0,"",IF($A209=4,_xlfn.XLOOKUP($D209,Mercado!$C:$C,Mercado!$E:$E),_xlfn.XLOOKUP($D209,Fontes!$B:$B,Fontes!$C:$C))))</f>
        <v>SBC</v>
      </c>
      <c r="F209" s="501" t="s">
        <v>8520</v>
      </c>
      <c r="G209" s="438" t="str">
        <f>UPPER(IF($D209=0,"",IF($A209=4,_xlfn.XLOOKUP($D209,Mercado!$C:$C,Mercado!$G:$G),_xlfn.XLOOKUP($D209,Fontes!$B:$B,Fontes!$E:$E))))</f>
        <v>M²</v>
      </c>
      <c r="H209" s="440">
        <v>495.17</v>
      </c>
      <c r="I209" s="440">
        <f>IF($A209="M",_xlfn.XLOOKUP($D209,Mercado!$C:$C,Mercado!$I:$I),_xlfn.XLOOKUP($D209,Fontes!$B:$B,Fontes!$J:$J))</f>
        <v>20.18</v>
      </c>
      <c r="J209" s="440">
        <f>IF($A209="M",_xlfn.XLOOKUP($D209,Mercado!$C:$C,Mercado!$J:$J),_xlfn.XLOOKUP($D209,Fontes!$B:$B,Fontes!$H:$H))</f>
        <v>29.09</v>
      </c>
      <c r="K209" s="252">
        <f>IF($A209="M",0,_xlfn.XLOOKUP($D209,Fontes!$B:$B,Fontes!$I:$I))</f>
        <v>0</v>
      </c>
      <c r="L209" s="250">
        <f t="shared" si="32"/>
        <v>49.269999999999996</v>
      </c>
      <c r="M209" s="300">
        <f t="shared" si="33"/>
        <v>24397.03</v>
      </c>
      <c r="N209" s="243"/>
      <c r="O209" s="517">
        <f t="shared" si="34"/>
        <v>24397.03</v>
      </c>
      <c r="U209" s="540"/>
    </row>
    <row r="210" spans="1:21" ht="38.4" outlineLevel="3" x14ac:dyDescent="0.3">
      <c r="A210" s="35"/>
      <c r="B210" s="36"/>
      <c r="C210" s="495" t="s">
        <v>9898</v>
      </c>
      <c r="D210" s="438">
        <v>102489</v>
      </c>
      <c r="E210" s="438" t="str">
        <f>UPPER(IF($D210=0,"",IF($A210=4,_xlfn.XLOOKUP($D210,Mercado!$C:$C,Mercado!$E:$E),_xlfn.XLOOKUP($D210,Fontes!$B:$B,Fontes!$C:$C))))</f>
        <v>SINAPI</v>
      </c>
      <c r="F210" s="437" t="s">
        <v>341</v>
      </c>
      <c r="G210" s="438" t="str">
        <f>UPPER(IF($D210=0,"",IF($A210=4,_xlfn.XLOOKUP($D210,Mercado!$C:$C,Mercado!$G:$G),_xlfn.XLOOKUP($D210,Fontes!$B:$B,Fontes!$E:$E))))</f>
        <v>M²</v>
      </c>
      <c r="H210" s="440">
        <v>1169.46</v>
      </c>
      <c r="I210" s="440">
        <f>IF($A210="M",_xlfn.XLOOKUP($D210,Mercado!$C:$C,Mercado!$I:$I),_xlfn.XLOOKUP($D210,Fontes!$B:$B,Fontes!$J:$J))</f>
        <v>17.3</v>
      </c>
      <c r="J210" s="440">
        <f>IF($A210="M",_xlfn.XLOOKUP($D210,Mercado!$C:$C,Mercado!$J:$J),_xlfn.XLOOKUP($D210,Fontes!$B:$B,Fontes!$H:$H))</f>
        <v>14.53</v>
      </c>
      <c r="K210" s="252">
        <f>IF($A210="M",0,_xlfn.XLOOKUP($D210,Fontes!$B:$B,Fontes!$I:$I))</f>
        <v>1.82</v>
      </c>
      <c r="L210" s="250">
        <f t="shared" si="32"/>
        <v>33.65</v>
      </c>
      <c r="M210" s="300">
        <f t="shared" si="33"/>
        <v>39352.33</v>
      </c>
      <c r="N210" s="243"/>
      <c r="O210" s="517">
        <f t="shared" si="30"/>
        <v>39352.33</v>
      </c>
      <c r="U210" s="540"/>
    </row>
    <row r="211" spans="1:21" ht="76.8" outlineLevel="3" x14ac:dyDescent="0.3">
      <c r="A211" s="35"/>
      <c r="B211" s="36"/>
      <c r="C211" s="495" t="s">
        <v>9899</v>
      </c>
      <c r="D211" s="249">
        <v>100758</v>
      </c>
      <c r="E211" s="249" t="str">
        <f>UPPER(IF($D211=0,"",IF($A211=4,_xlfn.XLOOKUP($D211,Mercado!$C:$C,Mercado!$E:$E),_xlfn.XLOOKUP($D211,Fontes!$B:$B,Fontes!$C:$C))))</f>
        <v>SINAPI</v>
      </c>
      <c r="F211" s="327" t="s">
        <v>218</v>
      </c>
      <c r="G211" s="249" t="str">
        <f>UPPER(IF($D211=0,"",IF($A211=4,_xlfn.XLOOKUP($D211,Mercado!$C:$C,Mercado!$G:$G),_xlfn.XLOOKUP($D211,Fontes!$B:$B,Fontes!$E:$E))))</f>
        <v>M²</v>
      </c>
      <c r="H211" s="252">
        <v>30</v>
      </c>
      <c r="I211" s="252">
        <f>IF($A211="M",_xlfn.XLOOKUP($D211,Mercado!$C:$C,Mercado!$I:$I),_xlfn.XLOOKUP($D211,Fontes!$B:$B,Fontes!$J:$J))</f>
        <v>24.32</v>
      </c>
      <c r="J211" s="252">
        <f>IF($A211="M",_xlfn.XLOOKUP($D211,Mercado!$C:$C,Mercado!$J:$J),_xlfn.XLOOKUP($D211,Fontes!$B:$B,Fontes!$H:$H))</f>
        <v>41.95</v>
      </c>
      <c r="K211" s="252">
        <f>IF($A211="M",0,_xlfn.XLOOKUP($D211,Fontes!$B:$B,Fontes!$I:$I))</f>
        <v>5.52</v>
      </c>
      <c r="L211" s="250">
        <f t="shared" si="32"/>
        <v>71.790000000000006</v>
      </c>
      <c r="M211" s="300">
        <f t="shared" si="33"/>
        <v>2153.6999999999998</v>
      </c>
      <c r="N211" s="243"/>
      <c r="O211" s="517">
        <f t="shared" si="30"/>
        <v>2153.6999999999998</v>
      </c>
      <c r="U211" s="540"/>
    </row>
    <row r="212" spans="1:21" ht="57.6" outlineLevel="3" x14ac:dyDescent="0.3">
      <c r="A212" s="35"/>
      <c r="B212" s="36"/>
      <c r="C212" s="495" t="s">
        <v>9900</v>
      </c>
      <c r="D212" s="249">
        <v>3761</v>
      </c>
      <c r="E212" s="249" t="str">
        <f>UPPER(IF($D212=0,"",IF($A212=4,_xlfn.XLOOKUP($D212,Mercado!$C:$C,Mercado!$E:$E),_xlfn.XLOOKUP($D212,Fontes!$B:$B,Fontes!$C:$C))))</f>
        <v>ORSE</v>
      </c>
      <c r="F212" s="327" t="s">
        <v>3512</v>
      </c>
      <c r="G212" s="249" t="str">
        <f>UPPER(IF($D212=0,"",IF($A212=4,_xlfn.XLOOKUP($D212,Mercado!$C:$C,Mercado!$G:$G),_xlfn.XLOOKUP($D212,Fontes!$B:$B,Fontes!$E:$E))))</f>
        <v>M²</v>
      </c>
      <c r="H212" s="252">
        <v>461</v>
      </c>
      <c r="I212" s="252">
        <f>IF($A212="M",_xlfn.XLOOKUP($D212,Mercado!$C:$C,Mercado!$I:$I),_xlfn.XLOOKUP($D212,Fontes!$B:$B,Fontes!$J:$J))</f>
        <v>93.43</v>
      </c>
      <c r="J212" s="252">
        <f>IF($A212="M",_xlfn.XLOOKUP($D212,Mercado!$C:$C,Mercado!$J:$J),_xlfn.XLOOKUP($D212,Fontes!$B:$B,Fontes!$H:$H))</f>
        <v>45.19</v>
      </c>
      <c r="K212" s="252">
        <f>IF($A212="M",0,_xlfn.XLOOKUP($D212,Fontes!$B:$B,Fontes!$I:$I))</f>
        <v>0</v>
      </c>
      <c r="L212" s="250">
        <f t="shared" si="32"/>
        <v>138.62</v>
      </c>
      <c r="M212" s="300">
        <f t="shared" si="33"/>
        <v>63903.82</v>
      </c>
      <c r="N212" s="243"/>
      <c r="O212" s="517">
        <f t="shared" si="30"/>
        <v>63903.82</v>
      </c>
      <c r="U212" s="540"/>
    </row>
    <row r="213" spans="1:21" outlineLevel="3" x14ac:dyDescent="0.3">
      <c r="A213" s="36" t="s">
        <v>7</v>
      </c>
      <c r="B213" s="36"/>
      <c r="C213" s="495" t="s">
        <v>781</v>
      </c>
      <c r="D213" s="249"/>
      <c r="E213" s="249" t="str">
        <f>UPPER(IF($D213=0,"",IF($A213=4,_xlfn.XLOOKUP($D213,Mercado!$C:$C,Mercado!$E:$E),_xlfn.XLOOKUP($D213,Fontes!$B:$B,Fontes!$C:$C))))</f>
        <v/>
      </c>
      <c r="F213" s="327" t="s">
        <v>781</v>
      </c>
      <c r="G213" s="249"/>
      <c r="H213" s="252"/>
      <c r="I213" s="252">
        <f>IF($A213="M",_xlfn.XLOOKUP($D213,Mercado!$C:$C,Mercado!$I:$I),_xlfn.XLOOKUP($D213,Fontes!$B:$B,Fontes!$J:$J))</f>
        <v>0</v>
      </c>
      <c r="J213" s="252">
        <f>IF($A213="M",_xlfn.XLOOKUP($D213,Mercado!$C:$C,Mercado!$J:$J),_xlfn.XLOOKUP($D213,Fontes!$B:$B,Fontes!$H:$H))</f>
        <v>0</v>
      </c>
      <c r="K213" s="252">
        <f>IF($A213="M",0,_xlfn.XLOOKUP($D213,Fontes!$B:$B,Fontes!$I:$I))</f>
        <v>0</v>
      </c>
      <c r="L213" s="250">
        <f t="shared" si="32"/>
        <v>0</v>
      </c>
      <c r="M213" s="300">
        <f t="shared" si="33"/>
        <v>0</v>
      </c>
      <c r="O213" s="517" t="str">
        <f t="shared" si="30"/>
        <v/>
      </c>
      <c r="U213" s="540"/>
    </row>
    <row r="214" spans="1:21" outlineLevel="2" x14ac:dyDescent="0.3">
      <c r="A214" s="36" t="s">
        <v>7</v>
      </c>
      <c r="B214" s="36"/>
      <c r="C214" s="496" t="s">
        <v>9901</v>
      </c>
      <c r="D214" s="253"/>
      <c r="E214" s="253" t="str">
        <f>UPPER(IF($D214=0,"",IF($A214=4,_xlfn.XLOOKUP($D214,Mercado!$C:$C,Mercado!$E:$E),_xlfn.XLOOKUP($D214,Fontes!$B:$B,Fontes!$C:$C))))</f>
        <v/>
      </c>
      <c r="F214" s="329" t="s">
        <v>174</v>
      </c>
      <c r="G214" s="253"/>
      <c r="H214" s="254"/>
      <c r="I214" s="254">
        <f>IF($A214="M",_xlfn.XLOOKUP($D214,Mercado!$C:$C,Mercado!$I:$I),_xlfn.XLOOKUP($D214,Fontes!$B:$B,Fontes!$J:$J))</f>
        <v>0</v>
      </c>
      <c r="J214" s="254">
        <f>IF($A214="M",_xlfn.XLOOKUP($D214,Mercado!$C:$C,Mercado!$J:$J),_xlfn.XLOOKUP($D214,Fontes!$B:$B,Fontes!$H:$H))</f>
        <v>0</v>
      </c>
      <c r="K214" s="254">
        <f>IF($A214="M",0,_xlfn.XLOOKUP($D214,Fontes!$B:$B,Fontes!$I:$I))</f>
        <v>0</v>
      </c>
      <c r="L214" s="254">
        <f t="shared" si="32"/>
        <v>0</v>
      </c>
      <c r="M214" s="497">
        <f>SUBTOTAL(9,M215:M220)</f>
        <v>46110.03</v>
      </c>
      <c r="O214" s="517" t="str">
        <f t="shared" si="30"/>
        <v/>
      </c>
      <c r="U214" s="540"/>
    </row>
    <row r="215" spans="1:21" outlineLevel="3" x14ac:dyDescent="0.3">
      <c r="A215" s="36" t="s">
        <v>7</v>
      </c>
      <c r="B215" s="36"/>
      <c r="C215" s="499" t="s">
        <v>9902</v>
      </c>
      <c r="D215" s="257"/>
      <c r="E215" s="257" t="str">
        <f>UPPER(IF($D215=0,"",IF($A215=4,_xlfn.XLOOKUP($D215,Mercado!$C:$C,Mercado!$E:$E),_xlfn.XLOOKUP($D215,Fontes!$B:$B,Fontes!$C:$C))))</f>
        <v/>
      </c>
      <c r="F215" s="330" t="s">
        <v>2757</v>
      </c>
      <c r="G215" s="249"/>
      <c r="H215" s="252"/>
      <c r="I215" s="252">
        <f>IF($A215="M",_xlfn.XLOOKUP($D215,Mercado!$C:$C,Mercado!$I:$I),_xlfn.XLOOKUP($D215,Fontes!$B:$B,Fontes!$J:$J))</f>
        <v>0</v>
      </c>
      <c r="J215" s="252">
        <f>IF($A215="M",_xlfn.XLOOKUP($D215,Mercado!$C:$C,Mercado!$J:$J),_xlfn.XLOOKUP($D215,Fontes!$B:$B,Fontes!$H:$H))</f>
        <v>0</v>
      </c>
      <c r="K215" s="252">
        <f>IF($A215="M",0,_xlfn.XLOOKUP($D215,Fontes!$B:$B,Fontes!$I:$I))</f>
        <v>0</v>
      </c>
      <c r="L215" s="250">
        <f t="shared" si="32"/>
        <v>0</v>
      </c>
      <c r="M215" s="500">
        <f t="shared" ref="M215:M220" si="35">ROUND(H215*L215,2)</f>
        <v>0</v>
      </c>
      <c r="N215" s="243"/>
      <c r="O215" s="517" t="str">
        <f t="shared" si="30"/>
        <v/>
      </c>
      <c r="U215" s="540"/>
    </row>
    <row r="216" spans="1:21" ht="38.4" outlineLevel="4" x14ac:dyDescent="0.3">
      <c r="A216" s="35"/>
      <c r="B216" s="36"/>
      <c r="C216" s="495" t="s">
        <v>9903</v>
      </c>
      <c r="D216" s="249">
        <v>20014</v>
      </c>
      <c r="E216" s="249" t="str">
        <f>UPPER(IF($D216=0,"",IF($A216=4,_xlfn.XLOOKUP($D216,Mercado!$C:$C,Mercado!$E:$E),_xlfn.XLOOKUP($D216,Fontes!$B:$B,Fontes!$C:$C))))</f>
        <v>SBC</v>
      </c>
      <c r="F216" s="327" t="s">
        <v>1679</v>
      </c>
      <c r="G216" s="249" t="str">
        <f>UPPER(IF($D216=0,"",IF($A216=4,_xlfn.XLOOKUP($D216,Mercado!$C:$C,Mercado!$G:$G),_xlfn.XLOOKUP($D216,Fontes!$B:$B,Fontes!$E:$E))))</f>
        <v>M³</v>
      </c>
      <c r="H216" s="252">
        <f>+H219*0.1</f>
        <v>21.3</v>
      </c>
      <c r="I216" s="252">
        <f>IF($A216="M",_xlfn.XLOOKUP($D216,Mercado!$C:$C,Mercado!$I:$I),_xlfn.XLOOKUP($D216,Fontes!$B:$B,Fontes!$J:$J))</f>
        <v>0</v>
      </c>
      <c r="J216" s="252">
        <f>IF($A216="M",_xlfn.XLOOKUP($D216,Mercado!$C:$C,Mercado!$J:$J),_xlfn.XLOOKUP($D216,Fontes!$B:$B,Fontes!$H:$H))</f>
        <v>102.63</v>
      </c>
      <c r="K216" s="252">
        <f>IF($A216="M",0,_xlfn.XLOOKUP($D216,Fontes!$B:$B,Fontes!$I:$I))</f>
        <v>0</v>
      </c>
      <c r="L216" s="250">
        <f t="shared" si="32"/>
        <v>102.63</v>
      </c>
      <c r="M216" s="300">
        <f t="shared" si="35"/>
        <v>2186.02</v>
      </c>
      <c r="N216" s="243"/>
      <c r="O216" s="517">
        <f t="shared" si="30"/>
        <v>2186.02</v>
      </c>
      <c r="U216" s="540"/>
    </row>
    <row r="217" spans="1:21" ht="38.4" outlineLevel="4" x14ac:dyDescent="0.3">
      <c r="A217" s="35"/>
      <c r="B217" s="36"/>
      <c r="C217" s="495" t="s">
        <v>9904</v>
      </c>
      <c r="D217" s="249">
        <v>96616</v>
      </c>
      <c r="E217" s="249" t="str">
        <f>UPPER(IF($D217=0,"",IF($A217=4,_xlfn.XLOOKUP($D217,Mercado!$C:$C,Mercado!$E:$E),_xlfn.XLOOKUP($D217,Fontes!$B:$B,Fontes!$C:$C))))</f>
        <v>SINAPI</v>
      </c>
      <c r="F217" s="327" t="s">
        <v>193</v>
      </c>
      <c r="G217" s="249" t="str">
        <f>UPPER(IF($D217=0,"",IF($A217=4,_xlfn.XLOOKUP($D217,Mercado!$C:$C,Mercado!$G:$G),_xlfn.XLOOKUP($D217,Fontes!$B:$B,Fontes!$E:$E))))</f>
        <v>M³</v>
      </c>
      <c r="H217" s="252">
        <f>+H219*0.05</f>
        <v>10.65</v>
      </c>
      <c r="I217" s="252">
        <f>IF($A217="M",_xlfn.XLOOKUP($D217,Mercado!$C:$C,Mercado!$I:$I),_xlfn.XLOOKUP($D217,Fontes!$B:$B,Fontes!$J:$J))</f>
        <v>556.25</v>
      </c>
      <c r="J217" s="252">
        <f>IF($A217="M",_xlfn.XLOOKUP($D217,Mercado!$C:$C,Mercado!$J:$J),_xlfn.XLOOKUP($D217,Fontes!$B:$B,Fontes!$H:$H))</f>
        <v>383.38</v>
      </c>
      <c r="K217" s="252">
        <f>IF($A217="M",0,_xlfn.XLOOKUP($D217,Fontes!$B:$B,Fontes!$I:$I))</f>
        <v>35.51</v>
      </c>
      <c r="L217" s="250">
        <f t="shared" si="32"/>
        <v>975.14</v>
      </c>
      <c r="M217" s="300">
        <f t="shared" si="35"/>
        <v>10385.24</v>
      </c>
      <c r="N217" s="243"/>
      <c r="O217" s="517">
        <f t="shared" si="30"/>
        <v>10385.24</v>
      </c>
      <c r="U217" s="540"/>
    </row>
    <row r="218" spans="1:21" s="255" customFormat="1" ht="38.4" outlineLevel="4" x14ac:dyDescent="0.3">
      <c r="A218" s="35"/>
      <c r="B218" s="36"/>
      <c r="C218" s="495" t="s">
        <v>9905</v>
      </c>
      <c r="D218" s="249">
        <v>21039</v>
      </c>
      <c r="E218" s="249" t="str">
        <f>UPPER(IF($D218=0,"",IF($A218=4,_xlfn.XLOOKUP($D218,Mercado!$C:$C,Mercado!$E:$E),_xlfn.XLOOKUP($D218,Fontes!$B:$B,Fontes!$C:$C))))</f>
        <v>SBC</v>
      </c>
      <c r="F218" s="327" t="s">
        <v>3513</v>
      </c>
      <c r="G218" s="249" t="str">
        <f>UPPER(IF($D218=0,"",IF($A218=4,_xlfn.XLOOKUP($D218,Mercado!$C:$C,Mercado!$G:$G),_xlfn.XLOOKUP($D218,Fontes!$B:$B,Fontes!$E:$E))))</f>
        <v>M²</v>
      </c>
      <c r="H218" s="252">
        <f>818/2.11</f>
        <v>387.67772511848341</v>
      </c>
      <c r="I218" s="252">
        <f>IF($A218="M",_xlfn.XLOOKUP($D218,Mercado!$C:$C,Mercado!$I:$I),_xlfn.XLOOKUP($D218,Fontes!$B:$B,Fontes!$J:$J))</f>
        <v>17.87</v>
      </c>
      <c r="J218" s="252">
        <f>IF($A218="M",_xlfn.XLOOKUP($D218,Mercado!$C:$C,Mercado!$J:$J),_xlfn.XLOOKUP($D218,Fontes!$B:$B,Fontes!$H:$H))</f>
        <v>4.09</v>
      </c>
      <c r="K218" s="252">
        <f>IF($A218="M",0,_xlfn.XLOOKUP($D218,Fontes!$B:$B,Fontes!$I:$I))</f>
        <v>0</v>
      </c>
      <c r="L218" s="250">
        <f t="shared" si="32"/>
        <v>21.96</v>
      </c>
      <c r="M218" s="300">
        <f t="shared" si="35"/>
        <v>8513.4</v>
      </c>
      <c r="N218" s="243"/>
      <c r="O218" s="517">
        <f t="shared" si="30"/>
        <v>8513.4</v>
      </c>
      <c r="U218" s="540"/>
    </row>
    <row r="219" spans="1:21" ht="57.6" outlineLevel="5" x14ac:dyDescent="0.3">
      <c r="A219" s="35"/>
      <c r="B219" s="36"/>
      <c r="C219" s="495" t="s">
        <v>9906</v>
      </c>
      <c r="D219" s="249">
        <v>622</v>
      </c>
      <c r="E219" s="249" t="str">
        <f>UPPER(IF($D219=0,"",IF($A219=4,_xlfn.XLOOKUP($D219,Mercado!$C:$C,Mercado!$E:$E),_xlfn.XLOOKUP($D219,Fontes!$B:$B,Fontes!$C:$C))))</f>
        <v>PRÓPRIO</v>
      </c>
      <c r="F219" s="327" t="s">
        <v>2065</v>
      </c>
      <c r="G219" s="249" t="str">
        <f>UPPER(IF($D219=0,"",IF($A219=4,_xlfn.XLOOKUP($D219,Mercado!$C:$C,Mercado!$G:$G),_xlfn.XLOOKUP($D219,Fontes!$B:$B,Fontes!$E:$E))))</f>
        <v>M²</v>
      </c>
      <c r="H219" s="252">
        <v>213</v>
      </c>
      <c r="I219" s="252">
        <f>IF($A219="M",_xlfn.XLOOKUP($D219,Mercado!$C:$C,Mercado!$I:$I),_xlfn.XLOOKUP($D219,Fontes!$B:$B,Fontes!$J:$J))</f>
        <v>90.83</v>
      </c>
      <c r="J219" s="252">
        <f>IF($A219="M",_xlfn.XLOOKUP($D219,Mercado!$C:$C,Mercado!$J:$J),_xlfn.XLOOKUP($D219,Fontes!$B:$B,Fontes!$H:$H))</f>
        <v>24.65</v>
      </c>
      <c r="K219" s="252">
        <f>IF($A219="M",0,_xlfn.XLOOKUP($D219,Fontes!$B:$B,Fontes!$I:$I))</f>
        <v>2.0099999999999998</v>
      </c>
      <c r="L219" s="250">
        <f t="shared" si="32"/>
        <v>117.49</v>
      </c>
      <c r="M219" s="300">
        <f t="shared" si="35"/>
        <v>25025.37</v>
      </c>
      <c r="N219" s="243"/>
      <c r="O219" s="517">
        <f t="shared" si="30"/>
        <v>25025.37</v>
      </c>
      <c r="U219" s="540"/>
    </row>
    <row r="220" spans="1:21" outlineLevel="3" x14ac:dyDescent="0.3">
      <c r="A220" s="36" t="s">
        <v>7</v>
      </c>
      <c r="B220" s="36"/>
      <c r="C220" s="495"/>
      <c r="D220" s="249"/>
      <c r="E220" s="249" t="str">
        <f>UPPER(IF($D220=0,"",IF($A220=4,_xlfn.XLOOKUP($D220,Mercado!$C:$C,Mercado!$E:$E),_xlfn.XLOOKUP($D220,Fontes!$B:$B,Fontes!$C:$C))))</f>
        <v/>
      </c>
      <c r="F220" s="327" t="s">
        <v>781</v>
      </c>
      <c r="G220" s="249"/>
      <c r="H220" s="252"/>
      <c r="I220" s="252">
        <f>IF($A220="M",_xlfn.XLOOKUP($D220,Mercado!$C:$C,Mercado!$I:$I),_xlfn.XLOOKUP($D220,Fontes!$B:$B,Fontes!$J:$J))</f>
        <v>0</v>
      </c>
      <c r="J220" s="252">
        <f>IF($A220="M",_xlfn.XLOOKUP($D220,Mercado!$C:$C,Mercado!$J:$J),_xlfn.XLOOKUP($D220,Fontes!$B:$B,Fontes!$H:$H))</f>
        <v>0</v>
      </c>
      <c r="K220" s="252">
        <f>IF($A220="M",0,_xlfn.XLOOKUP($D220,Fontes!$B:$B,Fontes!$I:$I))</f>
        <v>0</v>
      </c>
      <c r="L220" s="250">
        <f t="shared" si="32"/>
        <v>0</v>
      </c>
      <c r="M220" s="300">
        <f t="shared" si="35"/>
        <v>0</v>
      </c>
      <c r="N220" s="243"/>
      <c r="O220" s="517" t="str">
        <f t="shared" si="30"/>
        <v/>
      </c>
      <c r="U220" s="540"/>
    </row>
    <row r="221" spans="1:21" s="265" customFormat="1" outlineLevel="2" x14ac:dyDescent="0.3">
      <c r="A221" s="36" t="s">
        <v>7</v>
      </c>
      <c r="B221" s="263"/>
      <c r="C221" s="496" t="s">
        <v>9907</v>
      </c>
      <c r="D221" s="253"/>
      <c r="E221" s="253" t="str">
        <f>UPPER(IF($D221=0,"",IF($A221=4,_xlfn.XLOOKUP($D221,Mercado!$C:$C,Mercado!$E:$E),_xlfn.XLOOKUP($D221,Fontes!$B:$B,Fontes!$C:$C))))</f>
        <v/>
      </c>
      <c r="F221" s="329" t="s">
        <v>2756</v>
      </c>
      <c r="G221" s="253"/>
      <c r="H221" s="254"/>
      <c r="I221" s="254">
        <f>IF($A221="M",_xlfn.XLOOKUP($D221,Mercado!$C:$C,Mercado!$I:$I),_xlfn.XLOOKUP($D221,Fontes!$B:$B,Fontes!$J:$J))</f>
        <v>0</v>
      </c>
      <c r="J221" s="254">
        <f>IF($A221="M",_xlfn.XLOOKUP($D221,Mercado!$C:$C,Mercado!$J:$J),_xlfn.XLOOKUP($D221,Fontes!$B:$B,Fontes!$H:$H))</f>
        <v>0</v>
      </c>
      <c r="K221" s="254">
        <f>IF($A221="M",0,_xlfn.XLOOKUP($D221,Fontes!$B:$B,Fontes!$I:$I))</f>
        <v>0</v>
      </c>
      <c r="L221" s="254">
        <f t="shared" si="32"/>
        <v>0</v>
      </c>
      <c r="M221" s="497">
        <f>SUBTOTAL(9,M222:M232)</f>
        <v>372542.77</v>
      </c>
      <c r="N221" s="264"/>
      <c r="O221" s="517" t="str">
        <f t="shared" si="30"/>
        <v/>
      </c>
      <c r="U221" s="540"/>
    </row>
    <row r="222" spans="1:21" ht="38.4" outlineLevel="4" x14ac:dyDescent="0.3">
      <c r="A222" s="35"/>
      <c r="B222" s="36"/>
      <c r="C222" s="495" t="s">
        <v>9908</v>
      </c>
      <c r="D222" s="249">
        <v>100576</v>
      </c>
      <c r="E222" s="249" t="str">
        <f>UPPER(IF($D222=0,"",IF($A222=4,_xlfn.XLOOKUP($D222,Mercado!$C:$C,Mercado!$E:$E),_xlfn.XLOOKUP($D222,Fontes!$B:$B,Fontes!$C:$C))))</f>
        <v>SINAPI</v>
      </c>
      <c r="F222" s="327" t="s">
        <v>217</v>
      </c>
      <c r="G222" s="249" t="str">
        <f>UPPER(IF($D222=0,"",IF($A222=4,_xlfn.XLOOKUP($D222,Mercado!$C:$C,Mercado!$G:$G),_xlfn.XLOOKUP($D222,Fontes!$B:$B,Fontes!$E:$E))))</f>
        <v>M²</v>
      </c>
      <c r="H222" s="252">
        <v>1061.51</v>
      </c>
      <c r="I222" s="252">
        <f>IF($A222="M",_xlfn.XLOOKUP($D222,Mercado!$C:$C,Mercado!$I:$I),_xlfn.XLOOKUP($D222,Fontes!$B:$B,Fontes!$J:$J))</f>
        <v>0.79</v>
      </c>
      <c r="J222" s="252">
        <f>IF($A222="M",_xlfn.XLOOKUP($D222,Mercado!$C:$C,Mercado!$J:$J),_xlfn.XLOOKUP($D222,Fontes!$B:$B,Fontes!$H:$H))</f>
        <v>1.1599999999999999</v>
      </c>
      <c r="K222" s="252">
        <f>IF($A222="M",0,_xlfn.XLOOKUP($D222,Fontes!$B:$B,Fontes!$I:$I))</f>
        <v>1.58</v>
      </c>
      <c r="L222" s="250">
        <f t="shared" si="32"/>
        <v>3.5300000000000002</v>
      </c>
      <c r="M222" s="300">
        <f t="shared" ref="M222:M232" si="36">ROUND(H222*L222,2)</f>
        <v>3747.13</v>
      </c>
      <c r="N222" s="243"/>
      <c r="O222" s="517">
        <f t="shared" si="30"/>
        <v>3747.13</v>
      </c>
      <c r="U222" s="540"/>
    </row>
    <row r="223" spans="1:21" ht="57.6" outlineLevel="4" x14ac:dyDescent="0.3">
      <c r="A223" s="35"/>
      <c r="B223" s="36"/>
      <c r="C223" s="495" t="s">
        <v>9909</v>
      </c>
      <c r="D223" s="249">
        <v>96397</v>
      </c>
      <c r="E223" s="249" t="str">
        <f>UPPER(IF($D223=0,"",IF($A223=4,_xlfn.XLOOKUP($D223,Mercado!$C:$C,Mercado!$E:$E),_xlfn.XLOOKUP($D223,Fontes!$B:$B,Fontes!$C:$C))))</f>
        <v>SINAPI</v>
      </c>
      <c r="F223" s="327" t="s">
        <v>8521</v>
      </c>
      <c r="G223" s="249" t="str">
        <f>UPPER(IF($D223=0,"",IF($A223=4,_xlfn.XLOOKUP($D223,Mercado!$C:$C,Mercado!$G:$G),_xlfn.XLOOKUP($D223,Fontes!$B:$B,Fontes!$E:$E))))</f>
        <v>M³</v>
      </c>
      <c r="H223" s="446">
        <v>217.55</v>
      </c>
      <c r="I223" s="252">
        <f>IF($A223="M",_xlfn.XLOOKUP($D223,Mercado!$C:$C,Mercado!$I:$I),_xlfn.XLOOKUP($D223,Fontes!$B:$B,Fontes!$J:$J))</f>
        <v>277.45</v>
      </c>
      <c r="J223" s="252">
        <f>IF($A223="M",_xlfn.XLOOKUP($D223,Mercado!$C:$C,Mercado!$J:$J),_xlfn.XLOOKUP($D223,Fontes!$B:$B,Fontes!$H:$H))</f>
        <v>9.52</v>
      </c>
      <c r="K223" s="252">
        <f>IF($A223="M",0,_xlfn.XLOOKUP($D223,Fontes!$B:$B,Fontes!$I:$I))</f>
        <v>12.04</v>
      </c>
      <c r="L223" s="250">
        <f t="shared" si="32"/>
        <v>299.01</v>
      </c>
      <c r="M223" s="300">
        <f t="shared" si="36"/>
        <v>65049.63</v>
      </c>
      <c r="N223" s="243"/>
      <c r="O223" s="517">
        <f t="shared" si="30"/>
        <v>65049.63</v>
      </c>
      <c r="U223" s="540"/>
    </row>
    <row r="224" spans="1:21" ht="38.4" outlineLevel="4" x14ac:dyDescent="0.3">
      <c r="A224" s="35"/>
      <c r="B224" s="36"/>
      <c r="C224" s="495" t="s">
        <v>9910</v>
      </c>
      <c r="D224" s="249">
        <v>40161</v>
      </c>
      <c r="E224" s="249" t="str">
        <f>UPPER(IF($D224=0,"",IF($A224=4,_xlfn.XLOOKUP($D224,Mercado!$C:$C,Mercado!$E:$E),_xlfn.XLOOKUP($D224,Fontes!$B:$B,Fontes!$C:$C))))</f>
        <v>SBC</v>
      </c>
      <c r="F224" s="327" t="s">
        <v>3514</v>
      </c>
      <c r="G224" s="249" t="str">
        <f>UPPER(IF($D224=0,"",IF($A224=4,_xlfn.XLOOKUP($D224,Mercado!$C:$C,Mercado!$G:$G),_xlfn.XLOOKUP($D224,Fontes!$B:$B,Fontes!$E:$E))))</f>
        <v>M²</v>
      </c>
      <c r="H224" s="252">
        <f>+H222*2</f>
        <v>2123.02</v>
      </c>
      <c r="I224" s="252">
        <f>IF($A224="M",_xlfn.XLOOKUP($D224,Mercado!$C:$C,Mercado!$I:$I),_xlfn.XLOOKUP($D224,Fontes!$B:$B,Fontes!$J:$J))</f>
        <v>44.99</v>
      </c>
      <c r="J224" s="252">
        <f>IF($A224="M",_xlfn.XLOOKUP($D224,Mercado!$C:$C,Mercado!$J:$J),_xlfn.XLOOKUP($D224,Fontes!$B:$B,Fontes!$H:$H))</f>
        <v>4.34</v>
      </c>
      <c r="K224" s="252">
        <f>IF($A224="M",0,_xlfn.XLOOKUP($D224,Fontes!$B:$B,Fontes!$I:$I))</f>
        <v>0.38</v>
      </c>
      <c r="L224" s="250">
        <f t="shared" si="32"/>
        <v>49.71</v>
      </c>
      <c r="M224" s="300">
        <f t="shared" si="36"/>
        <v>105535.32</v>
      </c>
      <c r="N224" s="243"/>
      <c r="O224" s="517">
        <f t="shared" si="30"/>
        <v>105535.32</v>
      </c>
      <c r="U224" s="540"/>
    </row>
    <row r="225" spans="1:21" ht="57.6" outlineLevel="4" x14ac:dyDescent="0.3">
      <c r="A225" s="35"/>
      <c r="B225" s="36"/>
      <c r="C225" s="495" t="s">
        <v>9911</v>
      </c>
      <c r="D225" s="249">
        <v>97096</v>
      </c>
      <c r="E225" s="249" t="str">
        <f>UPPER(IF($D225=0,"",IF($A225=4,_xlfn.XLOOKUP($D225,Mercado!$C:$C,Mercado!$E:$E),_xlfn.XLOOKUP($D225,Fontes!$B:$B,Fontes!$C:$C))))</f>
        <v>SINAPI</v>
      </c>
      <c r="F225" s="327" t="s">
        <v>347</v>
      </c>
      <c r="G225" s="249" t="str">
        <f>UPPER(IF($D225=0,"",IF($A225=4,_xlfn.XLOOKUP($D225,Mercado!$C:$C,Mercado!$G:$G),_xlfn.XLOOKUP($D225,Fontes!$B:$B,Fontes!$E:$E))))</f>
        <v>M³</v>
      </c>
      <c r="H225" s="252">
        <f>+H222*0.2</f>
        <v>212.30200000000002</v>
      </c>
      <c r="I225" s="252">
        <f>IF($A225="M",_xlfn.XLOOKUP($D225,Mercado!$C:$C,Mercado!$I:$I),_xlfn.XLOOKUP($D225,Fontes!$B:$B,Fontes!$J:$J))</f>
        <v>651.5</v>
      </c>
      <c r="J225" s="252">
        <f>IF($A225="M",_xlfn.XLOOKUP($D225,Mercado!$C:$C,Mercado!$J:$J),_xlfn.XLOOKUP($D225,Fontes!$B:$B,Fontes!$H:$H))</f>
        <v>22.38</v>
      </c>
      <c r="K225" s="252">
        <f>IF($A225="M",0,_xlfn.XLOOKUP($D225,Fontes!$B:$B,Fontes!$I:$I))</f>
        <v>2.02</v>
      </c>
      <c r="L225" s="250">
        <f t="shared" si="32"/>
        <v>675.9</v>
      </c>
      <c r="M225" s="300">
        <f t="shared" si="36"/>
        <v>143494.92000000001</v>
      </c>
      <c r="N225" s="243"/>
      <c r="O225" s="517">
        <f t="shared" si="30"/>
        <v>143494.92000000001</v>
      </c>
      <c r="U225" s="540"/>
    </row>
    <row r="226" spans="1:21" ht="57.6" outlineLevel="4" x14ac:dyDescent="0.3">
      <c r="A226" s="35"/>
      <c r="B226" s="36"/>
      <c r="C226" s="495" t="s">
        <v>9912</v>
      </c>
      <c r="D226" s="249">
        <v>13193</v>
      </c>
      <c r="E226" s="249" t="str">
        <f>UPPER(IF($D226=0,"",IF($A226=4,_xlfn.XLOOKUP($D226,Mercado!$C:$C,Mercado!$E:$E),_xlfn.XLOOKUP($D226,Fontes!$B:$B,Fontes!$C:$C))))</f>
        <v>ORSE</v>
      </c>
      <c r="F226" s="327" t="s">
        <v>3515</v>
      </c>
      <c r="G226" s="249" t="str">
        <f>UPPER(IF($D226=0,"",IF($A226=4,_xlfn.XLOOKUP($D226,Mercado!$C:$C,Mercado!$G:$G),_xlfn.XLOOKUP($D226,Fontes!$B:$B,Fontes!$E:$E))))</f>
        <v>M</v>
      </c>
      <c r="H226" s="252">
        <v>134.57</v>
      </c>
      <c r="I226" s="252">
        <f>IF($A226="M",_xlfn.XLOOKUP($D226,Mercado!$C:$C,Mercado!$I:$I),_xlfn.XLOOKUP($D226,Fontes!$B:$B,Fontes!$J:$J))</f>
        <v>10.83</v>
      </c>
      <c r="J226" s="252">
        <f>IF($A226="M",_xlfn.XLOOKUP($D226,Mercado!$C:$C,Mercado!$J:$J),_xlfn.XLOOKUP($D226,Fontes!$B:$B,Fontes!$H:$H))</f>
        <v>5.1100000000000003</v>
      </c>
      <c r="K226" s="252">
        <f>IF($A226="M",0,_xlfn.XLOOKUP($D226,Fontes!$B:$B,Fontes!$I:$I))</f>
        <v>0</v>
      </c>
      <c r="L226" s="250">
        <f t="shared" si="32"/>
        <v>15.940000000000001</v>
      </c>
      <c r="M226" s="300">
        <f t="shared" si="36"/>
        <v>2145.0500000000002</v>
      </c>
      <c r="N226" s="243"/>
      <c r="O226" s="517">
        <f t="shared" si="30"/>
        <v>2145.0500000000002</v>
      </c>
      <c r="U226" s="540"/>
    </row>
    <row r="227" spans="1:21" ht="57.6" outlineLevel="4" x14ac:dyDescent="0.3">
      <c r="A227" s="35"/>
      <c r="B227" s="36"/>
      <c r="C227" s="495" t="s">
        <v>9913</v>
      </c>
      <c r="D227" s="249">
        <v>12788</v>
      </c>
      <c r="E227" s="249" t="str">
        <f>UPPER(IF($D227=0,"",IF($A227=4,_xlfn.XLOOKUP($D227,Mercado!$C:$C,Mercado!$E:$E),_xlfn.XLOOKUP($D227,Fontes!$B:$B,Fontes!$C:$C))))</f>
        <v>ORSE</v>
      </c>
      <c r="F227" s="327" t="s">
        <v>3516</v>
      </c>
      <c r="G227" s="249" t="str">
        <f>UPPER(IF($D227=0,"",IF($A227=4,_xlfn.XLOOKUP($D227,Mercado!$C:$C,Mercado!$G:$G),_xlfn.XLOOKUP($D227,Fontes!$B:$B,Fontes!$E:$E))))</f>
        <v>M</v>
      </c>
      <c r="H227" s="252">
        <v>29.75</v>
      </c>
      <c r="I227" s="252">
        <f>IF($A227="M",_xlfn.XLOOKUP($D227,Mercado!$C:$C,Mercado!$I:$I),_xlfn.XLOOKUP($D227,Fontes!$B:$B,Fontes!$J:$J))</f>
        <v>11.95</v>
      </c>
      <c r="J227" s="252">
        <f>IF($A227="M",_xlfn.XLOOKUP($D227,Mercado!$C:$C,Mercado!$J:$J),_xlfn.XLOOKUP($D227,Fontes!$B:$B,Fontes!$H:$H))</f>
        <v>8.6199999999999992</v>
      </c>
      <c r="K227" s="252">
        <f>IF($A227="M",0,_xlfn.XLOOKUP($D227,Fontes!$B:$B,Fontes!$I:$I))</f>
        <v>2.25</v>
      </c>
      <c r="L227" s="250">
        <f t="shared" si="32"/>
        <v>22.82</v>
      </c>
      <c r="M227" s="300">
        <f t="shared" si="36"/>
        <v>678.9</v>
      </c>
      <c r="N227" s="243"/>
      <c r="O227" s="517">
        <f t="shared" si="30"/>
        <v>678.9</v>
      </c>
      <c r="U227" s="540"/>
    </row>
    <row r="228" spans="1:21" ht="38.4" outlineLevel="4" x14ac:dyDescent="0.3">
      <c r="A228" s="35"/>
      <c r="B228" s="36"/>
      <c r="C228" s="495" t="s">
        <v>9914</v>
      </c>
      <c r="D228" s="249" t="s">
        <v>749</v>
      </c>
      <c r="E228" s="249" t="str">
        <f>UPPER(IF($D228=0,"",IF($A228=4,_xlfn.XLOOKUP($D228,Mercado!$C:$C,Mercado!$E:$E),_xlfn.XLOOKUP($D228,Fontes!$B:$B,Fontes!$C:$C))))</f>
        <v>CPOS/CDHU</v>
      </c>
      <c r="F228" s="327" t="s">
        <v>3517</v>
      </c>
      <c r="G228" s="249" t="str">
        <f>UPPER(IF($D228=0,"",IF($A228=4,_xlfn.XLOOKUP($D228,Mercado!$C:$C,Mercado!$G:$G),_xlfn.XLOOKUP($D228,Fontes!$B:$B,Fontes!$E:$E))))</f>
        <v>M</v>
      </c>
      <c r="H228" s="252">
        <v>105.02</v>
      </c>
      <c r="I228" s="252">
        <f>IF($A228="M",_xlfn.XLOOKUP($D228,Mercado!$C:$C,Mercado!$I:$I),_xlfn.XLOOKUP($D228,Fontes!$B:$B,Fontes!$J:$J))</f>
        <v>8.34</v>
      </c>
      <c r="J228" s="252">
        <f>IF($A228="M",_xlfn.XLOOKUP($D228,Mercado!$C:$C,Mercado!$J:$J),_xlfn.XLOOKUP($D228,Fontes!$B:$B,Fontes!$H:$H))</f>
        <v>3.46</v>
      </c>
      <c r="K228" s="252">
        <f>IF($A228="M",0,_xlfn.XLOOKUP($D228,Fontes!$B:$B,Fontes!$I:$I))</f>
        <v>0</v>
      </c>
      <c r="L228" s="250">
        <f t="shared" si="32"/>
        <v>11.8</v>
      </c>
      <c r="M228" s="300">
        <f t="shared" si="36"/>
        <v>1239.24</v>
      </c>
      <c r="N228" s="243"/>
      <c r="O228" s="517">
        <f t="shared" si="30"/>
        <v>1239.24</v>
      </c>
      <c r="U228" s="540"/>
    </row>
    <row r="229" spans="1:21" ht="38.4" outlineLevel="4" x14ac:dyDescent="0.3">
      <c r="A229" s="35"/>
      <c r="B229" s="36"/>
      <c r="C229" s="495" t="s">
        <v>9915</v>
      </c>
      <c r="D229" s="249">
        <v>329</v>
      </c>
      <c r="E229" s="249" t="str">
        <f>UPPER(IF($D229=0,"",IF($A229=4,_xlfn.XLOOKUP($D229,Mercado!$C:$C,Mercado!$E:$E),_xlfn.XLOOKUP($D229,Fontes!$B:$B,Fontes!$C:$C))))</f>
        <v>PRÓPRIO</v>
      </c>
      <c r="F229" s="327" t="s">
        <v>3518</v>
      </c>
      <c r="G229" s="249" t="str">
        <f>UPPER(IF($D229=0,"",IF($A229=4,_xlfn.XLOOKUP($D229,Mercado!$C:$C,Mercado!$G:$G),_xlfn.XLOOKUP($D229,Fontes!$B:$B,Fontes!$E:$E))))</f>
        <v>M</v>
      </c>
      <c r="H229" s="252">
        <v>212</v>
      </c>
      <c r="I229" s="252">
        <f>IF($A229="M",_xlfn.XLOOKUP($D229,Mercado!$C:$C,Mercado!$I:$I),_xlfn.XLOOKUP($D229,Fontes!$B:$B,Fontes!$J:$J))</f>
        <v>12.31</v>
      </c>
      <c r="J229" s="252">
        <f>IF($A229="M",_xlfn.XLOOKUP($D229,Mercado!$C:$C,Mercado!$J:$J),_xlfn.XLOOKUP($D229,Fontes!$B:$B,Fontes!$H:$H))</f>
        <v>15.15</v>
      </c>
      <c r="K229" s="252">
        <f>IF($A229="M",0,_xlfn.XLOOKUP($D229,Fontes!$B:$B,Fontes!$I:$I))</f>
        <v>0</v>
      </c>
      <c r="L229" s="250">
        <f t="shared" si="32"/>
        <v>27.46</v>
      </c>
      <c r="M229" s="300">
        <f t="shared" si="36"/>
        <v>5821.52</v>
      </c>
      <c r="N229" s="243"/>
      <c r="O229" s="517">
        <f t="shared" si="30"/>
        <v>5821.52</v>
      </c>
      <c r="U229" s="540"/>
    </row>
    <row r="230" spans="1:21" ht="38.4" outlineLevel="4" x14ac:dyDescent="0.3">
      <c r="A230" s="35"/>
      <c r="B230" s="36"/>
      <c r="C230" s="495" t="s">
        <v>9916</v>
      </c>
      <c r="D230" s="249">
        <v>330</v>
      </c>
      <c r="E230" s="249" t="str">
        <f>UPPER(IF($D230=0,"",IF($A230=4,_xlfn.XLOOKUP($D230,Mercado!$C:$C,Mercado!$E:$E),_xlfn.XLOOKUP($D230,Fontes!$B:$B,Fontes!$C:$C))))</f>
        <v>PRÓPRIO</v>
      </c>
      <c r="F230" s="327" t="s">
        <v>3519</v>
      </c>
      <c r="G230" s="249" t="str">
        <f>UPPER(IF($D230=0,"",IF($A230=4,_xlfn.XLOOKUP($D230,Mercado!$C:$C,Mercado!$G:$G),_xlfn.XLOOKUP($D230,Fontes!$B:$B,Fontes!$E:$E))))</f>
        <v>M</v>
      </c>
      <c r="H230" s="252">
        <v>1080</v>
      </c>
      <c r="I230" s="252">
        <f>IF($A230="M",_xlfn.XLOOKUP($D230,Mercado!$C:$C,Mercado!$I:$I),_xlfn.XLOOKUP($D230,Fontes!$B:$B,Fontes!$J:$J))</f>
        <v>14.7</v>
      </c>
      <c r="J230" s="252">
        <f>IF($A230="M",_xlfn.XLOOKUP($D230,Mercado!$C:$C,Mercado!$J:$J),_xlfn.XLOOKUP($D230,Fontes!$B:$B,Fontes!$H:$H))</f>
        <v>15.15</v>
      </c>
      <c r="K230" s="252">
        <f>IF($A230="M",0,_xlfn.XLOOKUP($D230,Fontes!$B:$B,Fontes!$I:$I))</f>
        <v>0</v>
      </c>
      <c r="L230" s="250">
        <f t="shared" si="32"/>
        <v>29.85</v>
      </c>
      <c r="M230" s="300">
        <f t="shared" si="36"/>
        <v>32238</v>
      </c>
      <c r="N230" s="243"/>
      <c r="O230" s="517">
        <f t="shared" si="30"/>
        <v>32238</v>
      </c>
      <c r="U230" s="540"/>
    </row>
    <row r="231" spans="1:21" ht="57.6" outlineLevel="4" x14ac:dyDescent="0.3">
      <c r="A231" s="35"/>
      <c r="B231" s="36"/>
      <c r="C231" s="495" t="s">
        <v>9917</v>
      </c>
      <c r="D231" s="249">
        <v>97118</v>
      </c>
      <c r="E231" s="249" t="str">
        <f>UPPER(IF($D231=0,"",IF($A231=4,_xlfn.XLOOKUP($D231,Mercado!$C:$C,Mercado!$E:$E),_xlfn.XLOOKUP($D231,Fontes!$B:$B,Fontes!$C:$C))))</f>
        <v>SINAPI</v>
      </c>
      <c r="F231" s="327" t="s">
        <v>2609</v>
      </c>
      <c r="G231" s="249" t="str">
        <f>UPPER(IF($D231=0,"",IF($A231=4,_xlfn.XLOOKUP($D231,Mercado!$C:$C,Mercado!$G:$G),_xlfn.XLOOKUP($D231,Fontes!$B:$B,Fontes!$E:$E))))</f>
        <v>KG</v>
      </c>
      <c r="H231" s="252">
        <f>355*1.93</f>
        <v>685.15</v>
      </c>
      <c r="I231" s="252">
        <f>IF($A231="M",_xlfn.XLOOKUP($D231,Mercado!$C:$C,Mercado!$I:$I),_xlfn.XLOOKUP($D231,Fontes!$B:$B,Fontes!$J:$J))</f>
        <v>13.64</v>
      </c>
      <c r="J231" s="252">
        <f>IF($A231="M",_xlfn.XLOOKUP($D231,Mercado!$C:$C,Mercado!$J:$J),_xlfn.XLOOKUP($D231,Fontes!$B:$B,Fontes!$H:$H))</f>
        <v>4.3899999999999997</v>
      </c>
      <c r="K231" s="252">
        <f>IF($A231="M",0,_xlfn.XLOOKUP($D231,Fontes!$B:$B,Fontes!$I:$I))</f>
        <v>0.35</v>
      </c>
      <c r="L231" s="250">
        <f t="shared" si="32"/>
        <v>18.380000000000003</v>
      </c>
      <c r="M231" s="300">
        <f t="shared" si="36"/>
        <v>12593.06</v>
      </c>
      <c r="N231" s="243"/>
      <c r="O231" s="517">
        <f t="shared" si="30"/>
        <v>12593.06</v>
      </c>
      <c r="U231" s="540"/>
    </row>
    <row r="232" spans="1:21" outlineLevel="3" x14ac:dyDescent="0.3">
      <c r="A232" s="36" t="s">
        <v>7</v>
      </c>
      <c r="B232" s="36"/>
      <c r="C232" s="495" t="s">
        <v>781</v>
      </c>
      <c r="D232" s="249"/>
      <c r="E232" s="249" t="str">
        <f>UPPER(IF($D232=0,"",IF($A232=4,_xlfn.XLOOKUP($D232,Mercado!$C:$C,Mercado!$E:$E),_xlfn.XLOOKUP($D232,Fontes!$B:$B,Fontes!$C:$C))))</f>
        <v/>
      </c>
      <c r="F232" s="327" t="s">
        <v>781</v>
      </c>
      <c r="G232" s="249"/>
      <c r="H232" s="252"/>
      <c r="I232" s="252">
        <f>IF($A232="M",_xlfn.XLOOKUP($D232,Mercado!$C:$C,Mercado!$I:$I),_xlfn.XLOOKUP($D232,Fontes!$B:$B,Fontes!$J:$J))</f>
        <v>0</v>
      </c>
      <c r="J232" s="252">
        <f>IF($A232="M",_xlfn.XLOOKUP($D232,Mercado!$C:$C,Mercado!$J:$J),_xlfn.XLOOKUP($D232,Fontes!$B:$B,Fontes!$H:$H))</f>
        <v>0</v>
      </c>
      <c r="K232" s="252">
        <f>IF($A232="M",0,_xlfn.XLOOKUP($D232,Fontes!$B:$B,Fontes!$I:$I))</f>
        <v>0</v>
      </c>
      <c r="L232" s="250">
        <f t="shared" si="32"/>
        <v>0</v>
      </c>
      <c r="M232" s="300">
        <f t="shared" si="36"/>
        <v>0</v>
      </c>
      <c r="O232" s="517" t="str">
        <f t="shared" si="30"/>
        <v/>
      </c>
      <c r="U232" s="540"/>
    </row>
    <row r="233" spans="1:21" s="265" customFormat="1" outlineLevel="2" x14ac:dyDescent="0.3">
      <c r="A233" s="36" t="s">
        <v>7</v>
      </c>
      <c r="B233" s="263"/>
      <c r="C233" s="496" t="s">
        <v>9918</v>
      </c>
      <c r="D233" s="253"/>
      <c r="E233" s="253" t="str">
        <f>UPPER(IF($D233=0,"",IF($A233=4,_xlfn.XLOOKUP($D233,Mercado!$C:$C,Mercado!$E:$E),_xlfn.XLOOKUP($D233,Fontes!$B:$B,Fontes!$C:$C))))</f>
        <v/>
      </c>
      <c r="F233" s="329" t="s">
        <v>2758</v>
      </c>
      <c r="G233" s="253"/>
      <c r="H233" s="254"/>
      <c r="I233" s="254">
        <f>IF($A233="M",_xlfn.XLOOKUP($D233,Mercado!$C:$C,Mercado!$I:$I),_xlfn.XLOOKUP($D233,Fontes!$B:$B,Fontes!$J:$J))</f>
        <v>0</v>
      </c>
      <c r="J233" s="254">
        <f>IF($A233="M",_xlfn.XLOOKUP($D233,Mercado!$C:$C,Mercado!$J:$J),_xlfn.XLOOKUP($D233,Fontes!$B:$B,Fontes!$H:$H))</f>
        <v>0</v>
      </c>
      <c r="K233" s="254">
        <f>IF($A233="M",0,_xlfn.XLOOKUP($D233,Fontes!$B:$B,Fontes!$I:$I))</f>
        <v>0</v>
      </c>
      <c r="L233" s="254">
        <f t="shared" si="32"/>
        <v>0</v>
      </c>
      <c r="M233" s="497">
        <f>SUBTOTAL(9,M234:M245)</f>
        <v>278429.01999999996</v>
      </c>
      <c r="N233" s="264"/>
      <c r="O233" s="517" t="str">
        <f t="shared" si="30"/>
        <v/>
      </c>
      <c r="U233" s="540"/>
    </row>
    <row r="234" spans="1:21" outlineLevel="3" x14ac:dyDescent="0.3">
      <c r="A234" s="35"/>
      <c r="B234" s="36"/>
      <c r="C234" s="495" t="s">
        <v>9919</v>
      </c>
      <c r="D234" s="249" t="s">
        <v>392</v>
      </c>
      <c r="E234" s="249" t="str">
        <f>UPPER(IF($D234=0,"",IF($A234=4,_xlfn.XLOOKUP($D234,Mercado!$C:$C,Mercado!$E:$E),_xlfn.XLOOKUP($D234,Fontes!$B:$B,Fontes!$C:$C))))</f>
        <v>CPOS/CDHU</v>
      </c>
      <c r="F234" s="327" t="s">
        <v>3520</v>
      </c>
      <c r="G234" s="249" t="str">
        <f>UPPER(IF($D234=0,"",IF($A234=4,_xlfn.XLOOKUP($D234,Mercado!$C:$C,Mercado!$G:$G),_xlfn.XLOOKUP($D234,Fontes!$B:$B,Fontes!$E:$E))))</f>
        <v>M³</v>
      </c>
      <c r="H234" s="252">
        <f>(H236+H238)*0.05</f>
        <v>22.026499999999999</v>
      </c>
      <c r="I234" s="252">
        <f>IF($A234="M",_xlfn.XLOOKUP($D234,Mercado!$C:$C,Mercado!$I:$I),_xlfn.XLOOKUP($D234,Fontes!$B:$B,Fontes!$J:$J))</f>
        <v>495.35</v>
      </c>
      <c r="J234" s="252">
        <f>IF($A234="M",_xlfn.XLOOKUP($D234,Mercado!$C:$C,Mercado!$J:$J),_xlfn.XLOOKUP($D234,Fontes!$B:$B,Fontes!$H:$H))</f>
        <v>358.88</v>
      </c>
      <c r="K234" s="252">
        <f>IF($A234="M",0,_xlfn.XLOOKUP($D234,Fontes!$B:$B,Fontes!$I:$I))</f>
        <v>0</v>
      </c>
      <c r="L234" s="250">
        <f t="shared" si="32"/>
        <v>854.23</v>
      </c>
      <c r="M234" s="300">
        <f t="shared" ref="M234:M245" si="37">ROUND(H234*L234,2)</f>
        <v>18815.7</v>
      </c>
      <c r="N234" s="243"/>
      <c r="O234" s="517">
        <f t="shared" si="30"/>
        <v>18815.7</v>
      </c>
      <c r="U234" s="540"/>
    </row>
    <row r="235" spans="1:21" ht="46.8" outlineLevel="3" x14ac:dyDescent="0.3">
      <c r="A235" s="35"/>
      <c r="B235" s="36"/>
      <c r="C235" s="495" t="s">
        <v>9920</v>
      </c>
      <c r="D235" s="349">
        <v>170182</v>
      </c>
      <c r="E235" s="349" t="str">
        <f>UPPER(IF($D235=0,"",IF($A235=4,_xlfn.XLOOKUP($D235,Mercado!$C:$C,Mercado!$E:$E),_xlfn.XLOOKUP($D235,Fontes!$B:$B,Fontes!$C:$C))))</f>
        <v>SBC</v>
      </c>
      <c r="F235" s="502" t="s">
        <v>8522</v>
      </c>
      <c r="G235" s="249" t="str">
        <f>UPPER(IF($D235=0,"",IF($A235=4,_xlfn.XLOOKUP($D235,Mercado!$C:$C,Mercado!$G:$G),_xlfn.XLOOKUP($D235,Fontes!$B:$B,Fontes!$E:$E))))</f>
        <v>M²</v>
      </c>
      <c r="H235" s="446">
        <v>381.66</v>
      </c>
      <c r="I235" s="252">
        <f>IF($A235="M",_xlfn.XLOOKUP($D235,Mercado!$C:$C,Mercado!$I:$I),_xlfn.XLOOKUP($D235,Fontes!$B:$B,Fontes!$J:$J))</f>
        <v>189.23</v>
      </c>
      <c r="J235" s="252">
        <f>IF($A235="M",_xlfn.XLOOKUP($D235,Mercado!$C:$C,Mercado!$J:$J),_xlfn.XLOOKUP($D235,Fontes!$B:$B,Fontes!$H:$H))</f>
        <v>47.05</v>
      </c>
      <c r="K235" s="252">
        <f>IF($A235="M",0,_xlfn.XLOOKUP($D235,Fontes!$B:$B,Fontes!$I:$I))</f>
        <v>0</v>
      </c>
      <c r="L235" s="250">
        <f t="shared" si="32"/>
        <v>236.27999999999997</v>
      </c>
      <c r="M235" s="300">
        <f t="shared" si="37"/>
        <v>90178.62</v>
      </c>
      <c r="N235" s="243"/>
      <c r="O235" s="517">
        <f t="shared" ref="O235" si="38">IF(D235&lt;&gt;0,M235,"")</f>
        <v>90178.62</v>
      </c>
      <c r="U235" s="540"/>
    </row>
    <row r="236" spans="1:21" ht="38.4" outlineLevel="3" x14ac:dyDescent="0.3">
      <c r="A236" s="35"/>
      <c r="B236" s="36"/>
      <c r="C236" s="495" t="s">
        <v>9921</v>
      </c>
      <c r="D236" s="349">
        <v>170047</v>
      </c>
      <c r="E236" s="349" t="str">
        <f>UPPER(IF($D236=0,"",IF($A236=4,_xlfn.XLOOKUP($D236,Mercado!$C:$C,Mercado!$E:$E),_xlfn.XLOOKUP($D236,Fontes!$B:$B,Fontes!$C:$C))))</f>
        <v>SBC</v>
      </c>
      <c r="F236" s="327" t="s">
        <v>8523</v>
      </c>
      <c r="G236" s="249" t="str">
        <f>UPPER(IF($D236=0,"",IF($A236=4,_xlfn.XLOOKUP($D236,Mercado!$C:$C,Mercado!$G:$G),_xlfn.XLOOKUP($D236,Fontes!$B:$B,Fontes!$E:$E))))</f>
        <v>M²</v>
      </c>
      <c r="H236" s="252">
        <v>423.53</v>
      </c>
      <c r="I236" s="252">
        <f>IF($A236="M",_xlfn.XLOOKUP($D236,Mercado!$C:$C,Mercado!$I:$I),_xlfn.XLOOKUP($D236,Fontes!$B:$B,Fontes!$J:$J))</f>
        <v>205.38</v>
      </c>
      <c r="J236" s="252">
        <f>IF($A236="M",_xlfn.XLOOKUP($D236,Mercado!$C:$C,Mercado!$J:$J),_xlfn.XLOOKUP($D236,Fontes!$B:$B,Fontes!$H:$H))</f>
        <v>78.69</v>
      </c>
      <c r="K236" s="252">
        <f>IF($A236="M",0,_xlfn.XLOOKUP($D236,Fontes!$B:$B,Fontes!$I:$I))</f>
        <v>0</v>
      </c>
      <c r="L236" s="250">
        <f t="shared" si="32"/>
        <v>284.07</v>
      </c>
      <c r="M236" s="300">
        <f t="shared" si="37"/>
        <v>120312.17</v>
      </c>
      <c r="N236" s="243"/>
      <c r="O236" s="517">
        <f t="shared" si="30"/>
        <v>120312.17</v>
      </c>
      <c r="U236" s="540"/>
    </row>
    <row r="237" spans="1:21" ht="57.6" outlineLevel="3" x14ac:dyDescent="0.3">
      <c r="A237" s="35"/>
      <c r="B237" s="36"/>
      <c r="C237" s="495" t="s">
        <v>9922</v>
      </c>
      <c r="D237" s="249">
        <v>101749</v>
      </c>
      <c r="E237" s="249" t="str">
        <f>UPPER(IF($D237=0,"",IF($A237=4,_xlfn.XLOOKUP($D237,Mercado!$C:$C,Mercado!$E:$E),_xlfn.XLOOKUP($D237,Fontes!$B:$B,Fontes!$C:$C))))</f>
        <v>SINAPI</v>
      </c>
      <c r="F237" s="327" t="s">
        <v>8528</v>
      </c>
      <c r="G237" s="249" t="str">
        <f>UPPER(IF($D237=0,"",IF($A237=4,_xlfn.XLOOKUP($D237,Mercado!$C:$C,Mercado!$G:$G),_xlfn.XLOOKUP($D237,Fontes!$B:$B,Fontes!$E:$E))))</f>
        <v>M²</v>
      </c>
      <c r="H237" s="252">
        <v>121</v>
      </c>
      <c r="I237" s="252">
        <f>IF($A237="M",_xlfn.XLOOKUP($D237,Mercado!$C:$C,Mercado!$I:$I),_xlfn.XLOOKUP($D237,Fontes!$B:$B,Fontes!$J:$J))</f>
        <v>31.94</v>
      </c>
      <c r="J237" s="252">
        <f>IF($A237="M",_xlfn.XLOOKUP($D237,Mercado!$C:$C,Mercado!$J:$J),_xlfn.XLOOKUP($D237,Fontes!$B:$B,Fontes!$H:$H))</f>
        <v>24.73</v>
      </c>
      <c r="K237" s="252">
        <f>IF($A237="M",0,_xlfn.XLOOKUP($D237,Fontes!$B:$B,Fontes!$I:$I))</f>
        <v>1.54</v>
      </c>
      <c r="L237" s="250">
        <f t="shared" si="32"/>
        <v>58.21</v>
      </c>
      <c r="M237" s="300">
        <f t="shared" si="37"/>
        <v>7043.41</v>
      </c>
      <c r="N237" s="243"/>
      <c r="O237" s="517">
        <f t="shared" si="30"/>
        <v>7043.41</v>
      </c>
      <c r="U237" s="540"/>
    </row>
    <row r="238" spans="1:21" ht="57.6" outlineLevel="3" x14ac:dyDescent="0.3">
      <c r="A238" s="35"/>
      <c r="B238" s="36"/>
      <c r="C238" s="495" t="s">
        <v>9923</v>
      </c>
      <c r="D238" s="249">
        <v>87262</v>
      </c>
      <c r="E238" s="249" t="str">
        <f>UPPER(IF($D238=0,"",IF($A238=4,_xlfn.XLOOKUP($D238,Mercado!$C:$C,Mercado!$E:$E),_xlfn.XLOOKUP($D238,Fontes!$B:$B,Fontes!$C:$C))))</f>
        <v>SINAPI</v>
      </c>
      <c r="F238" s="327" t="s">
        <v>8529</v>
      </c>
      <c r="G238" s="249" t="str">
        <f>UPPER(IF($D238=0,"",IF($A238=4,_xlfn.XLOOKUP($D238,Mercado!$C:$C,Mercado!$G:$G),_xlfn.XLOOKUP($D238,Fontes!$B:$B,Fontes!$E:$E))))</f>
        <v>M²</v>
      </c>
      <c r="H238" s="252">
        <v>17</v>
      </c>
      <c r="I238" s="252">
        <f>IF($A238="M",_xlfn.XLOOKUP($D238,Mercado!$C:$C,Mercado!$I:$I),_xlfn.XLOOKUP($D238,Fontes!$B:$B,Fontes!$J:$J))</f>
        <v>112.91</v>
      </c>
      <c r="J238" s="252">
        <f>IF($A238="M",_xlfn.XLOOKUP($D238,Mercado!$C:$C,Mercado!$J:$J),_xlfn.XLOOKUP($D238,Fontes!$B:$B,Fontes!$H:$H))</f>
        <v>32.159999999999997</v>
      </c>
      <c r="K238" s="252">
        <f>IF($A238="M",0,_xlfn.XLOOKUP($D238,Fontes!$B:$B,Fontes!$I:$I))</f>
        <v>2.38</v>
      </c>
      <c r="L238" s="250">
        <f t="shared" si="32"/>
        <v>147.44999999999999</v>
      </c>
      <c r="M238" s="300">
        <f t="shared" si="37"/>
        <v>2506.65</v>
      </c>
      <c r="N238" s="243"/>
      <c r="O238" s="517">
        <f t="shared" si="30"/>
        <v>2506.65</v>
      </c>
      <c r="U238" s="540"/>
    </row>
    <row r="239" spans="1:21" ht="38.4" outlineLevel="3" x14ac:dyDescent="0.3">
      <c r="A239" s="35"/>
      <c r="B239" s="36"/>
      <c r="C239" s="495" t="s">
        <v>9924</v>
      </c>
      <c r="D239" s="249">
        <v>351</v>
      </c>
      <c r="E239" s="249" t="str">
        <f>UPPER(IF($D239=0,"",IF($A239=4,_xlfn.XLOOKUP($D239,Mercado!$C:$C,Mercado!$E:$E),_xlfn.XLOOKUP($D239,Fontes!$B:$B,Fontes!$C:$C))))</f>
        <v>PRÓPRIO</v>
      </c>
      <c r="F239" s="327" t="s">
        <v>3521</v>
      </c>
      <c r="G239" s="249" t="str">
        <f>UPPER(IF($D239=0,"",IF($A239=4,_xlfn.XLOOKUP($D239,Mercado!$C:$C,Mercado!$G:$G),_xlfn.XLOOKUP($D239,Fontes!$B:$B,Fontes!$E:$E))))</f>
        <v>M</v>
      </c>
      <c r="H239" s="252">
        <v>70</v>
      </c>
      <c r="I239" s="252">
        <f>IF($A239="M",_xlfn.XLOOKUP($D239,Mercado!$C:$C,Mercado!$I:$I),_xlfn.XLOOKUP($D239,Fontes!$B:$B,Fontes!$J:$J))</f>
        <v>153.47999999999999</v>
      </c>
      <c r="J239" s="252">
        <f>IF($A239="M",_xlfn.XLOOKUP($D239,Mercado!$C:$C,Mercado!$J:$J),_xlfn.XLOOKUP($D239,Fontes!$B:$B,Fontes!$H:$H))</f>
        <v>30.15</v>
      </c>
      <c r="K239" s="252">
        <f>IF($A239="M",0,_xlfn.XLOOKUP($D239,Fontes!$B:$B,Fontes!$I:$I))</f>
        <v>2.5</v>
      </c>
      <c r="L239" s="250">
        <f t="shared" si="32"/>
        <v>186.13</v>
      </c>
      <c r="M239" s="300">
        <f t="shared" si="37"/>
        <v>13029.1</v>
      </c>
      <c r="N239" s="243"/>
      <c r="O239" s="517">
        <f t="shared" si="30"/>
        <v>13029.1</v>
      </c>
      <c r="U239" s="540"/>
    </row>
    <row r="240" spans="1:21" ht="38.4" outlineLevel="3" x14ac:dyDescent="0.3">
      <c r="A240" s="35"/>
      <c r="B240" s="36"/>
      <c r="C240" s="495" t="s">
        <v>9925</v>
      </c>
      <c r="D240" s="249" t="s">
        <v>1761</v>
      </c>
      <c r="E240" s="249" t="str">
        <f>UPPER(IF($D240=0,"",IF($A240=4,_xlfn.XLOOKUP($D240,Mercado!$C:$C,Mercado!$E:$E),_xlfn.XLOOKUP($D240,Fontes!$B:$B,Fontes!$C:$C))))</f>
        <v>CPOS/CDHU</v>
      </c>
      <c r="F240" s="327" t="s">
        <v>8530</v>
      </c>
      <c r="G240" s="249" t="str">
        <f>UPPER(IF($D240=0,"",IF($A240=4,_xlfn.XLOOKUP($D240,Mercado!$C:$C,Mercado!$G:$G),_xlfn.XLOOKUP($D240,Fontes!$B:$B,Fontes!$E:$E))))</f>
        <v>M</v>
      </c>
      <c r="H240" s="252">
        <v>195</v>
      </c>
      <c r="I240" s="252">
        <f>IF($A240="M",_xlfn.XLOOKUP($D240,Mercado!$C:$C,Mercado!$I:$I),_xlfn.XLOOKUP($D240,Fontes!$B:$B,Fontes!$J:$J))</f>
        <v>48.25</v>
      </c>
      <c r="J240" s="252">
        <f>IF($A240="M",_xlfn.XLOOKUP($D240,Mercado!$C:$C,Mercado!$J:$J),_xlfn.XLOOKUP($D240,Fontes!$B:$B,Fontes!$H:$H))</f>
        <v>4.54</v>
      </c>
      <c r="K240" s="252">
        <f>IF($A240="M",0,_xlfn.XLOOKUP($D240,Fontes!$B:$B,Fontes!$I:$I))</f>
        <v>0</v>
      </c>
      <c r="L240" s="250">
        <f t="shared" si="32"/>
        <v>52.79</v>
      </c>
      <c r="M240" s="300">
        <f t="shared" si="37"/>
        <v>10294.049999999999</v>
      </c>
      <c r="N240" s="243"/>
      <c r="O240" s="517">
        <f t="shared" si="30"/>
        <v>10294.049999999999</v>
      </c>
      <c r="U240" s="540"/>
    </row>
    <row r="241" spans="1:21" outlineLevel="3" x14ac:dyDescent="0.3">
      <c r="A241" s="35"/>
      <c r="B241" s="36"/>
      <c r="C241" s="495" t="s">
        <v>9926</v>
      </c>
      <c r="D241" s="249" t="s">
        <v>1680</v>
      </c>
      <c r="E241" s="249" t="str">
        <f>UPPER(IF($D241=0,"",IF($A241=4,_xlfn.XLOOKUP($D241,Mercado!$C:$C,Mercado!$E:$E),_xlfn.XLOOKUP($D241,Fontes!$B:$B,Fontes!$C:$C))))</f>
        <v>CPOS/CDHU</v>
      </c>
      <c r="F241" s="327" t="s">
        <v>8531</v>
      </c>
      <c r="G241" s="249" t="str">
        <f>UPPER(IF($D241=0,"",IF($A241=4,_xlfn.XLOOKUP($D241,Mercado!$C:$C,Mercado!$G:$G),_xlfn.XLOOKUP($D241,Fontes!$B:$B,Fontes!$E:$E))))</f>
        <v>M</v>
      </c>
      <c r="H241" s="252">
        <v>92</v>
      </c>
      <c r="I241" s="252">
        <f>IF($A241="M",_xlfn.XLOOKUP($D241,Mercado!$C:$C,Mercado!$I:$I),_xlfn.XLOOKUP($D241,Fontes!$B:$B,Fontes!$J:$J))</f>
        <v>68.31</v>
      </c>
      <c r="J241" s="252">
        <f>IF($A241="M",_xlfn.XLOOKUP($D241,Mercado!$C:$C,Mercado!$J:$J),_xlfn.XLOOKUP($D241,Fontes!$B:$B,Fontes!$H:$H))</f>
        <v>8.8699999999999992</v>
      </c>
      <c r="K241" s="252">
        <f>IF($A241="M",0,_xlfn.XLOOKUP($D241,Fontes!$B:$B,Fontes!$I:$I))</f>
        <v>0</v>
      </c>
      <c r="L241" s="250">
        <f t="shared" si="32"/>
        <v>77.180000000000007</v>
      </c>
      <c r="M241" s="300">
        <f t="shared" si="37"/>
        <v>7100.56</v>
      </c>
      <c r="N241" s="243"/>
      <c r="O241" s="517">
        <f t="shared" si="30"/>
        <v>7100.56</v>
      </c>
      <c r="U241" s="540"/>
    </row>
    <row r="242" spans="1:21" outlineLevel="3" x14ac:dyDescent="0.3">
      <c r="A242" s="35"/>
      <c r="B242" s="36"/>
      <c r="C242" s="495" t="s">
        <v>9927</v>
      </c>
      <c r="D242" s="249">
        <v>352</v>
      </c>
      <c r="E242" s="249" t="str">
        <f>UPPER(IF($D242=0,"",IF($A242=4,_xlfn.XLOOKUP($D242,Mercado!$C:$C,Mercado!$E:$E),_xlfn.XLOOKUP($D242,Fontes!$B:$B,Fontes!$C:$C))))</f>
        <v>PRÓPRIO</v>
      </c>
      <c r="F242" s="327" t="s">
        <v>8532</v>
      </c>
      <c r="G242" s="249" t="str">
        <f>UPPER(IF($D242=0,"",IF($A242=4,_xlfn.XLOOKUP($D242,Mercado!$C:$C,Mercado!$G:$G),_xlfn.XLOOKUP($D242,Fontes!$B:$B,Fontes!$E:$E))))</f>
        <v>M</v>
      </c>
      <c r="H242" s="252">
        <v>140</v>
      </c>
      <c r="I242" s="252">
        <f>IF($A242="M",_xlfn.XLOOKUP($D242,Mercado!$C:$C,Mercado!$I:$I),_xlfn.XLOOKUP($D242,Fontes!$B:$B,Fontes!$J:$J))</f>
        <v>27.01</v>
      </c>
      <c r="J242" s="252">
        <f>IF($A242="M",_xlfn.XLOOKUP($D242,Mercado!$C:$C,Mercado!$J:$J),_xlfn.XLOOKUP($D242,Fontes!$B:$B,Fontes!$H:$H))</f>
        <v>10.73</v>
      </c>
      <c r="K242" s="252">
        <f>IF($A242="M",0,_xlfn.XLOOKUP($D242,Fontes!$B:$B,Fontes!$I:$I))</f>
        <v>1.05</v>
      </c>
      <c r="L242" s="250">
        <f t="shared" si="32"/>
        <v>38.79</v>
      </c>
      <c r="M242" s="300">
        <f t="shared" si="37"/>
        <v>5430.6</v>
      </c>
      <c r="N242" s="243"/>
      <c r="O242" s="517">
        <f t="shared" si="30"/>
        <v>5430.6</v>
      </c>
      <c r="U242" s="540"/>
    </row>
    <row r="243" spans="1:21" outlineLevel="3" x14ac:dyDescent="0.3">
      <c r="A243" s="35"/>
      <c r="B243" s="36"/>
      <c r="C243" s="495" t="s">
        <v>9928</v>
      </c>
      <c r="D243" s="249">
        <v>353</v>
      </c>
      <c r="E243" s="249" t="str">
        <f>UPPER(IF($D243=0,"",IF($A243=4,_xlfn.XLOOKUP($D243,Mercado!$C:$C,Mercado!$E:$E),_xlfn.XLOOKUP($D243,Fontes!$B:$B,Fontes!$C:$C))))</f>
        <v>PRÓPRIO</v>
      </c>
      <c r="F243" s="327" t="s">
        <v>8533</v>
      </c>
      <c r="G243" s="249" t="str">
        <f>UPPER(IF($D243=0,"",IF($A243=4,_xlfn.XLOOKUP($D243,Mercado!$C:$C,Mercado!$G:$G),_xlfn.XLOOKUP($D243,Fontes!$B:$B,Fontes!$E:$E))))</f>
        <v>M</v>
      </c>
      <c r="H243" s="252">
        <v>34</v>
      </c>
      <c r="I243" s="252">
        <f>IF($A243="M",_xlfn.XLOOKUP($D243,Mercado!$C:$C,Mercado!$I:$I),_xlfn.XLOOKUP($D243,Fontes!$B:$B,Fontes!$J:$J))</f>
        <v>69.010000000000005</v>
      </c>
      <c r="J243" s="252">
        <f>IF($A243="M",_xlfn.XLOOKUP($D243,Mercado!$C:$C,Mercado!$J:$J),_xlfn.XLOOKUP($D243,Fontes!$B:$B,Fontes!$H:$H))</f>
        <v>10.73</v>
      </c>
      <c r="K243" s="252">
        <f>IF($A243="M",0,_xlfn.XLOOKUP($D243,Fontes!$B:$B,Fontes!$I:$I))</f>
        <v>1.05</v>
      </c>
      <c r="L243" s="250">
        <f t="shared" si="32"/>
        <v>80.790000000000006</v>
      </c>
      <c r="M243" s="300">
        <f t="shared" si="37"/>
        <v>2746.86</v>
      </c>
      <c r="N243" s="243"/>
      <c r="O243" s="517">
        <f t="shared" si="30"/>
        <v>2746.86</v>
      </c>
      <c r="U243" s="540"/>
    </row>
    <row r="244" spans="1:21" ht="76.8" outlineLevel="3" x14ac:dyDescent="0.3">
      <c r="A244" s="35"/>
      <c r="B244" s="36"/>
      <c r="C244" s="495" t="s">
        <v>9929</v>
      </c>
      <c r="D244" s="249" t="s">
        <v>1766</v>
      </c>
      <c r="E244" s="249" t="str">
        <f>UPPER(IF($D244=0,"",IF($A244=4,_xlfn.XLOOKUP($D244,Mercado!$C:$C,Mercado!$E:$E),_xlfn.XLOOKUP($D244,Fontes!$B:$B,Fontes!$C:$C))))</f>
        <v>CPOS/CDHU</v>
      </c>
      <c r="F244" s="327" t="s">
        <v>8534</v>
      </c>
      <c r="G244" s="249" t="str">
        <f>UPPER(IF($D244=0,"",IF($A244=4,_xlfn.XLOOKUP($D244,Mercado!$C:$C,Mercado!$G:$G),_xlfn.XLOOKUP($D244,Fontes!$B:$B,Fontes!$E:$E))))</f>
        <v>M</v>
      </c>
      <c r="H244" s="252">
        <v>25.5</v>
      </c>
      <c r="I244" s="252">
        <f>IF($A244="M",_xlfn.XLOOKUP($D244,Mercado!$C:$C,Mercado!$I:$I),_xlfn.XLOOKUP($D244,Fontes!$B:$B,Fontes!$J:$J))</f>
        <v>25.5</v>
      </c>
      <c r="J244" s="252">
        <f>IF($A244="M",_xlfn.XLOOKUP($D244,Mercado!$C:$C,Mercado!$J:$J),_xlfn.XLOOKUP($D244,Fontes!$B:$B,Fontes!$H:$H))</f>
        <v>12.59</v>
      </c>
      <c r="K244" s="252">
        <f>IF($A244="M",0,_xlfn.XLOOKUP($D244,Fontes!$B:$B,Fontes!$I:$I))</f>
        <v>0</v>
      </c>
      <c r="L244" s="250">
        <f t="shared" si="32"/>
        <v>38.090000000000003</v>
      </c>
      <c r="M244" s="300">
        <f t="shared" si="37"/>
        <v>971.3</v>
      </c>
      <c r="N244" s="243"/>
      <c r="O244" s="517">
        <f t="shared" si="30"/>
        <v>971.3</v>
      </c>
      <c r="U244" s="540"/>
    </row>
    <row r="245" spans="1:21" outlineLevel="3" x14ac:dyDescent="0.3">
      <c r="A245" s="36" t="s">
        <v>7</v>
      </c>
      <c r="B245" s="36"/>
      <c r="C245" s="495" t="s">
        <v>781</v>
      </c>
      <c r="D245" s="249"/>
      <c r="E245" s="249" t="str">
        <f>UPPER(IF($D245=0,"",IF($A245=4,_xlfn.XLOOKUP($D245,Mercado!$C:$C,Mercado!$E:$E),_xlfn.XLOOKUP($D245,Fontes!$B:$B,Fontes!$C:$C))))</f>
        <v/>
      </c>
      <c r="F245" s="327" t="s">
        <v>781</v>
      </c>
      <c r="G245" s="249"/>
      <c r="H245" s="252"/>
      <c r="I245" s="252">
        <f>IF($A245="M",_xlfn.XLOOKUP($D245,Mercado!$C:$C,Mercado!$I:$I),_xlfn.XLOOKUP($D245,Fontes!$B:$B,Fontes!$J:$J))</f>
        <v>0</v>
      </c>
      <c r="J245" s="252">
        <f>IF($A245="M",_xlfn.XLOOKUP($D245,Mercado!$C:$C,Mercado!$J:$J),_xlfn.XLOOKUP($D245,Fontes!$B:$B,Fontes!$H:$H))</f>
        <v>0</v>
      </c>
      <c r="K245" s="252">
        <f>IF($A245="M",0,_xlfn.XLOOKUP($D245,Fontes!$B:$B,Fontes!$I:$I))</f>
        <v>0</v>
      </c>
      <c r="L245" s="250">
        <f t="shared" si="32"/>
        <v>0</v>
      </c>
      <c r="M245" s="300">
        <f t="shared" si="37"/>
        <v>0</v>
      </c>
      <c r="N245" s="243"/>
      <c r="O245" s="517" t="str">
        <f t="shared" si="30"/>
        <v/>
      </c>
      <c r="U245" s="540"/>
    </row>
    <row r="246" spans="1:21" s="265" customFormat="1" outlineLevel="2" x14ac:dyDescent="0.3">
      <c r="A246" s="36" t="s">
        <v>7</v>
      </c>
      <c r="B246" s="263"/>
      <c r="C246" s="496" t="s">
        <v>9930</v>
      </c>
      <c r="D246" s="253"/>
      <c r="E246" s="253" t="str">
        <f>UPPER(IF($D246=0,"",IF($A246=4,_xlfn.XLOOKUP($D246,Mercado!$C:$C,Mercado!$E:$E),_xlfn.XLOOKUP($D246,Fontes!$B:$B,Fontes!$C:$C))))</f>
        <v/>
      </c>
      <c r="F246" s="329" t="s">
        <v>2759</v>
      </c>
      <c r="G246" s="253"/>
      <c r="H246" s="254"/>
      <c r="I246" s="254">
        <f>IF($A246="M",_xlfn.XLOOKUP($D246,Mercado!$C:$C,Mercado!$I:$I),_xlfn.XLOOKUP($D246,Fontes!$B:$B,Fontes!$J:$J))</f>
        <v>0</v>
      </c>
      <c r="J246" s="254">
        <f>IF($A246="M",_xlfn.XLOOKUP($D246,Mercado!$C:$C,Mercado!$J:$J),_xlfn.XLOOKUP($D246,Fontes!$B:$B,Fontes!$H:$H))</f>
        <v>0</v>
      </c>
      <c r="K246" s="254">
        <f>IF($A246="M",0,_xlfn.XLOOKUP($D246,Fontes!$B:$B,Fontes!$I:$I))</f>
        <v>0</v>
      </c>
      <c r="L246" s="254">
        <f t="shared" si="32"/>
        <v>0</v>
      </c>
      <c r="M246" s="497">
        <f>SUBTOTAL(9,M247:M251)</f>
        <v>65084.28</v>
      </c>
      <c r="N246" s="264"/>
      <c r="O246" s="517" t="str">
        <f t="shared" si="30"/>
        <v/>
      </c>
      <c r="U246" s="540"/>
    </row>
    <row r="247" spans="1:21" ht="57.6" outlineLevel="3" x14ac:dyDescent="0.3">
      <c r="A247" s="35"/>
      <c r="B247" s="36"/>
      <c r="C247" s="495" t="s">
        <v>9931</v>
      </c>
      <c r="D247" s="249">
        <v>93679</v>
      </c>
      <c r="E247" s="249" t="str">
        <f>UPPER(IF($D247=0,"",IF($A247=4,_xlfn.XLOOKUP($D247,Mercado!$C:$C,Mercado!$E:$E),_xlfn.XLOOKUP($D247,Fontes!$B:$B,Fontes!$C:$C))))</f>
        <v>SINAPI</v>
      </c>
      <c r="F247" s="436" t="s">
        <v>9710</v>
      </c>
      <c r="G247" s="249" t="str">
        <f>UPPER(IF($D247=0,"",IF($A247=4,_xlfn.XLOOKUP($D247,Mercado!$C:$C,Mercado!$G:$G),_xlfn.XLOOKUP($D247,Fontes!$B:$B,Fontes!$E:$E))))</f>
        <v>M²</v>
      </c>
      <c r="H247" s="446">
        <v>440.6</v>
      </c>
      <c r="I247" s="252">
        <f>IF($A247="M",_xlfn.XLOOKUP($D247,Mercado!$C:$C,Mercado!$I:$I),_xlfn.XLOOKUP($D247,Fontes!$B:$B,Fontes!$J:$J))</f>
        <v>104.64</v>
      </c>
      <c r="J247" s="252">
        <f>IF($A247="M",_xlfn.XLOOKUP($D247,Mercado!$C:$C,Mercado!$J:$J),_xlfn.XLOOKUP($D247,Fontes!$B:$B,Fontes!$H:$H))</f>
        <v>19.73</v>
      </c>
      <c r="K247" s="252">
        <f>IF($A247="M",0,_xlfn.XLOOKUP($D247,Fontes!$B:$B,Fontes!$I:$I))</f>
        <v>2.0299999999999998</v>
      </c>
      <c r="L247" s="250">
        <f t="shared" si="32"/>
        <v>126.4</v>
      </c>
      <c r="M247" s="300">
        <f t="shared" ref="M247:M251" si="39">ROUND(H247*L247,2)</f>
        <v>55691.839999999997</v>
      </c>
      <c r="N247" s="243"/>
      <c r="O247" s="517">
        <f t="shared" si="30"/>
        <v>55691.839999999997</v>
      </c>
      <c r="U247" s="540"/>
    </row>
    <row r="248" spans="1:21" outlineLevel="3" x14ac:dyDescent="0.3">
      <c r="A248" s="35"/>
      <c r="B248" s="36"/>
      <c r="C248" s="495" t="s">
        <v>9932</v>
      </c>
      <c r="D248" s="249">
        <v>103946</v>
      </c>
      <c r="E248" s="249" t="str">
        <f>UPPER(IF($D248=0,"",IF($A248=4,_xlfn.XLOOKUP($D248,Mercado!$C:$C,Mercado!$E:$E),_xlfn.XLOOKUP($D248,Fontes!$B:$B,Fontes!$C:$C))))</f>
        <v>SINAPI</v>
      </c>
      <c r="F248" s="503" t="s">
        <v>8535</v>
      </c>
      <c r="G248" s="249" t="str">
        <f>UPPER(IF($D248=0,"",IF($A248=4,_xlfn.XLOOKUP($D248,Mercado!$C:$C,Mercado!$G:$G),_xlfn.XLOOKUP($D248,Fontes!$B:$B,Fontes!$E:$E))))</f>
        <v>M²</v>
      </c>
      <c r="H248" s="446">
        <v>10.37</v>
      </c>
      <c r="I248" s="252">
        <f>IF($A248="M",_xlfn.XLOOKUP($D248,Mercado!$C:$C,Mercado!$I:$I),_xlfn.XLOOKUP($D248,Fontes!$B:$B,Fontes!$J:$J))</f>
        <v>18.3</v>
      </c>
      <c r="J248" s="252">
        <f>IF($A248="M",_xlfn.XLOOKUP($D248,Mercado!$C:$C,Mercado!$J:$J),_xlfn.XLOOKUP($D248,Fontes!$B:$B,Fontes!$H:$H))</f>
        <v>3.79</v>
      </c>
      <c r="K248" s="252">
        <f>IF($A248="M",0,_xlfn.XLOOKUP($D248,Fontes!$B:$B,Fontes!$I:$I))</f>
        <v>0.4</v>
      </c>
      <c r="L248" s="250">
        <f t="shared" si="32"/>
        <v>22.49</v>
      </c>
      <c r="M248" s="300">
        <f t="shared" si="39"/>
        <v>233.22</v>
      </c>
      <c r="N248" s="243"/>
      <c r="O248" s="517">
        <f t="shared" ref="O248:O250" si="40">IF(D248&lt;&gt;0,M248,"")</f>
        <v>233.22</v>
      </c>
      <c r="U248" s="540"/>
    </row>
    <row r="249" spans="1:21" ht="31.2" outlineLevel="3" x14ac:dyDescent="0.3">
      <c r="A249" s="35"/>
      <c r="B249" s="36"/>
      <c r="C249" s="495" t="s">
        <v>9933</v>
      </c>
      <c r="D249" s="249">
        <v>101978</v>
      </c>
      <c r="E249" s="249" t="str">
        <f>UPPER(IF($D249=0,"",IF($A249=4,_xlfn.XLOOKUP($D249,Mercado!$C:$C,Mercado!$E:$E),_xlfn.XLOOKUP($D249,Fontes!$B:$B,Fontes!$C:$C))))</f>
        <v>SINAPI</v>
      </c>
      <c r="F249" s="502" t="s">
        <v>8536</v>
      </c>
      <c r="G249" s="249" t="str">
        <f>UPPER(IF($D249=0,"",IF($A249=4,_xlfn.XLOOKUP($D249,Mercado!$C:$C,Mercado!$G:$G),_xlfn.XLOOKUP($D249,Fontes!$B:$B,Fontes!$E:$E))))</f>
        <v>M</v>
      </c>
      <c r="H249" s="446">
        <v>71.55</v>
      </c>
      <c r="I249" s="252">
        <f>IF($A249="M",_xlfn.XLOOKUP($D249,Mercado!$C:$C,Mercado!$I:$I),_xlfn.XLOOKUP($D249,Fontes!$B:$B,Fontes!$J:$J))</f>
        <v>16.190000000000001</v>
      </c>
      <c r="J249" s="252">
        <f>IF($A249="M",_xlfn.XLOOKUP($D249,Mercado!$C:$C,Mercado!$J:$J),_xlfn.XLOOKUP($D249,Fontes!$B:$B,Fontes!$H:$H))</f>
        <v>54.41</v>
      </c>
      <c r="K249" s="252">
        <f>IF($A249="M",0,_xlfn.XLOOKUP($D249,Fontes!$B:$B,Fontes!$I:$I))</f>
        <v>3.29</v>
      </c>
      <c r="L249" s="250">
        <f t="shared" si="32"/>
        <v>73.89</v>
      </c>
      <c r="M249" s="300">
        <f t="shared" si="39"/>
        <v>5286.83</v>
      </c>
      <c r="N249" s="243"/>
      <c r="O249" s="517">
        <f t="shared" si="40"/>
        <v>5286.83</v>
      </c>
      <c r="U249" s="540"/>
    </row>
    <row r="250" spans="1:21" ht="31.2" outlineLevel="3" x14ac:dyDescent="0.3">
      <c r="A250" s="35"/>
      <c r="B250" s="36"/>
      <c r="C250" s="495" t="s">
        <v>9934</v>
      </c>
      <c r="D250" s="249">
        <v>101970</v>
      </c>
      <c r="E250" s="249" t="str">
        <f>UPPER(IF($D250=0,"",IF($A250=4,_xlfn.XLOOKUP($D250,Mercado!$C:$C,Mercado!$E:$E),_xlfn.XLOOKUP($D250,Fontes!$B:$B,Fontes!$C:$C))))</f>
        <v>SINAPI</v>
      </c>
      <c r="F250" s="502" t="s">
        <v>8537</v>
      </c>
      <c r="G250" s="249" t="str">
        <f>UPPER(IF($D250=0,"",IF($A250=4,_xlfn.XLOOKUP($D250,Mercado!$C:$C,Mercado!$G:$G),_xlfn.XLOOKUP($D250,Fontes!$B:$B,Fontes!$E:$E))))</f>
        <v>M</v>
      </c>
      <c r="H250" s="446">
        <v>66.95</v>
      </c>
      <c r="I250" s="252">
        <f>IF($A250="M",_xlfn.XLOOKUP($D250,Mercado!$C:$C,Mercado!$I:$I),_xlfn.XLOOKUP($D250,Fontes!$B:$B,Fontes!$J:$J))</f>
        <v>13.05</v>
      </c>
      <c r="J250" s="252">
        <f>IF($A250="M",_xlfn.XLOOKUP($D250,Mercado!$C:$C,Mercado!$J:$J),_xlfn.XLOOKUP($D250,Fontes!$B:$B,Fontes!$H:$H))</f>
        <v>42.23</v>
      </c>
      <c r="K250" s="252">
        <f>IF($A250="M",0,_xlfn.XLOOKUP($D250,Fontes!$B:$B,Fontes!$I:$I))</f>
        <v>2.56</v>
      </c>
      <c r="L250" s="250">
        <f t="shared" si="32"/>
        <v>57.84</v>
      </c>
      <c r="M250" s="300">
        <f t="shared" si="39"/>
        <v>3872.39</v>
      </c>
      <c r="N250" s="243"/>
      <c r="O250" s="517">
        <f t="shared" si="40"/>
        <v>3872.39</v>
      </c>
      <c r="U250" s="540"/>
    </row>
    <row r="251" spans="1:21" outlineLevel="3" x14ac:dyDescent="0.3">
      <c r="A251" s="36" t="s">
        <v>7</v>
      </c>
      <c r="B251" s="36"/>
      <c r="C251" s="495" t="s">
        <v>781</v>
      </c>
      <c r="D251" s="249"/>
      <c r="E251" s="249" t="str">
        <f>UPPER(IF($D251=0,"",IF($A251=4,_xlfn.XLOOKUP($D251,Mercado!$C:$C,Mercado!$E:$E),_xlfn.XLOOKUP($D251,Fontes!$B:$B,Fontes!$C:$C))))</f>
        <v/>
      </c>
      <c r="F251" s="327" t="s">
        <v>781</v>
      </c>
      <c r="G251" s="249"/>
      <c r="H251" s="252"/>
      <c r="I251" s="252">
        <f>IF($A251="M",_xlfn.XLOOKUP($D251,Mercado!$C:$C,Mercado!$I:$I),_xlfn.XLOOKUP($D251,Fontes!$B:$B,Fontes!$J:$J))</f>
        <v>0</v>
      </c>
      <c r="J251" s="252">
        <f>IF($A251="M",_xlfn.XLOOKUP($D251,Mercado!$C:$C,Mercado!$J:$J),_xlfn.XLOOKUP($D251,Fontes!$B:$B,Fontes!$H:$H))</f>
        <v>0</v>
      </c>
      <c r="K251" s="252">
        <f>IF($A251="M",0,_xlfn.XLOOKUP($D251,Fontes!$B:$B,Fontes!$I:$I))</f>
        <v>0</v>
      </c>
      <c r="L251" s="250">
        <f t="shared" si="32"/>
        <v>0</v>
      </c>
      <c r="M251" s="300">
        <f t="shared" si="39"/>
        <v>0</v>
      </c>
      <c r="N251" s="243"/>
      <c r="O251" s="517" t="str">
        <f t="shared" si="30"/>
        <v/>
      </c>
      <c r="U251" s="540"/>
    </row>
    <row r="252" spans="1:21" outlineLevel="2" x14ac:dyDescent="0.3">
      <c r="A252" s="36" t="s">
        <v>7</v>
      </c>
      <c r="B252" s="36"/>
      <c r="C252" s="496" t="s">
        <v>9935</v>
      </c>
      <c r="D252" s="253"/>
      <c r="E252" s="253" t="str">
        <f>UPPER(IF($D252=0,"",IF($A252=4,_xlfn.XLOOKUP($D252,Mercado!$C:$C,Mercado!$E:$E),_xlfn.XLOOKUP($D252,Fontes!$B:$B,Fontes!$C:$C))))</f>
        <v/>
      </c>
      <c r="F252" s="329" t="s">
        <v>344</v>
      </c>
      <c r="G252" s="253"/>
      <c r="H252" s="254"/>
      <c r="I252" s="254">
        <f>IF($A252="M",_xlfn.XLOOKUP($D252,Mercado!$C:$C,Mercado!$I:$I),_xlfn.XLOOKUP($D252,Fontes!$B:$B,Fontes!$J:$J))</f>
        <v>0</v>
      </c>
      <c r="J252" s="254">
        <f>IF($A252="M",_xlfn.XLOOKUP($D252,Mercado!$C:$C,Mercado!$J:$J),_xlfn.XLOOKUP($D252,Fontes!$B:$B,Fontes!$H:$H))</f>
        <v>0</v>
      </c>
      <c r="K252" s="254">
        <f>IF($A252="M",0,_xlfn.XLOOKUP($D252,Fontes!$B:$B,Fontes!$I:$I))</f>
        <v>0</v>
      </c>
      <c r="L252" s="254">
        <f t="shared" si="32"/>
        <v>0</v>
      </c>
      <c r="M252" s="497">
        <f>SUBTOTAL(9,M253:M256)</f>
        <v>168056.37</v>
      </c>
      <c r="O252" s="517" t="str">
        <f t="shared" si="30"/>
        <v/>
      </c>
      <c r="U252" s="540"/>
    </row>
    <row r="253" spans="1:21" outlineLevel="4" x14ac:dyDescent="0.3">
      <c r="A253" s="35"/>
      <c r="B253" s="36"/>
      <c r="C253" s="495" t="s">
        <v>9936</v>
      </c>
      <c r="D253" s="249" t="s">
        <v>392</v>
      </c>
      <c r="E253" s="249" t="str">
        <f>UPPER(IF($D253=0,"",IF($A253=4,_xlfn.XLOOKUP($D253,Mercado!$C:$C,Mercado!$E:$E),_xlfn.XLOOKUP($D253,Fontes!$B:$B,Fontes!$C:$C))))</f>
        <v>CPOS/CDHU</v>
      </c>
      <c r="F253" s="327" t="s">
        <v>3520</v>
      </c>
      <c r="G253" s="249" t="str">
        <f>UPPER(IF($D253=0,"",IF($A253=4,_xlfn.XLOOKUP($D253,Mercado!$C:$C,Mercado!$G:$G),_xlfn.XLOOKUP($D253,Fontes!$B:$B,Fontes!$E:$E))))</f>
        <v>M³</v>
      </c>
      <c r="H253" s="252">
        <f>+H254*0.25+H255*0.08</f>
        <v>103.75</v>
      </c>
      <c r="I253" s="252">
        <f>IF($A253="M",_xlfn.XLOOKUP($D253,Mercado!$C:$C,Mercado!$I:$I),_xlfn.XLOOKUP($D253,Fontes!$B:$B,Fontes!$J:$J))</f>
        <v>495.35</v>
      </c>
      <c r="J253" s="252">
        <f>IF($A253="M",_xlfn.XLOOKUP($D253,Mercado!$C:$C,Mercado!$J:$J),_xlfn.XLOOKUP($D253,Fontes!$B:$B,Fontes!$H:$H))</f>
        <v>358.88</v>
      </c>
      <c r="K253" s="252">
        <f>IF($A253="M",0,_xlfn.XLOOKUP($D253,Fontes!$B:$B,Fontes!$I:$I))</f>
        <v>0</v>
      </c>
      <c r="L253" s="250">
        <f t="shared" si="32"/>
        <v>854.23</v>
      </c>
      <c r="M253" s="300">
        <f t="shared" ref="M253:M256" si="41">ROUND(H253*L253,2)</f>
        <v>88626.36</v>
      </c>
      <c r="N253" s="243"/>
      <c r="O253" s="517">
        <f t="shared" si="30"/>
        <v>88626.36</v>
      </c>
      <c r="U253" s="540"/>
    </row>
    <row r="254" spans="1:21" ht="57.6" outlineLevel="4" x14ac:dyDescent="0.3">
      <c r="A254" s="35"/>
      <c r="B254" s="36"/>
      <c r="C254" s="495" t="s">
        <v>9937</v>
      </c>
      <c r="D254" s="249" t="s">
        <v>1706</v>
      </c>
      <c r="E254" s="249" t="str">
        <f>UPPER(IF($D254=0,"",IF($A254=4,_xlfn.XLOOKUP($D254,Mercado!$C:$C,Mercado!$E:$E),_xlfn.XLOOKUP($D254,Fontes!$B:$B,Fontes!$C:$C))))</f>
        <v>CPOS/CDHU</v>
      </c>
      <c r="F254" s="327" t="s">
        <v>3522</v>
      </c>
      <c r="G254" s="249" t="str">
        <f>UPPER(IF($D254=0,"",IF($A254=4,_xlfn.XLOOKUP($D254,Mercado!$C:$C,Mercado!$G:$G),_xlfn.XLOOKUP($D254,Fontes!$B:$B,Fontes!$E:$E))))</f>
        <v>M²</v>
      </c>
      <c r="H254" s="252">
        <v>351</v>
      </c>
      <c r="I254" s="252">
        <f>IF($A254="M",_xlfn.XLOOKUP($D254,Mercado!$C:$C,Mercado!$I:$I),_xlfn.XLOOKUP($D254,Fontes!$B:$B,Fontes!$J:$J))</f>
        <v>139.91999999999999</v>
      </c>
      <c r="J254" s="252">
        <f>IF($A254="M",_xlfn.XLOOKUP($D254,Mercado!$C:$C,Mercado!$J:$J),_xlfn.XLOOKUP($D254,Fontes!$B:$B,Fontes!$H:$H))</f>
        <v>27.59</v>
      </c>
      <c r="K254" s="252">
        <f>IF($A254="M",0,_xlfn.XLOOKUP($D254,Fontes!$B:$B,Fontes!$I:$I))</f>
        <v>0</v>
      </c>
      <c r="L254" s="250">
        <f t="shared" si="32"/>
        <v>167.51</v>
      </c>
      <c r="M254" s="300">
        <f t="shared" si="41"/>
        <v>58796.01</v>
      </c>
      <c r="N254" s="243"/>
      <c r="O254" s="517">
        <f t="shared" si="30"/>
        <v>58796.01</v>
      </c>
      <c r="U254" s="540"/>
    </row>
    <row r="255" spans="1:21" ht="57.6" outlineLevel="4" x14ac:dyDescent="0.3">
      <c r="A255" s="35"/>
      <c r="B255" s="36"/>
      <c r="C255" s="495" t="s">
        <v>9938</v>
      </c>
      <c r="D255" s="249" t="s">
        <v>1707</v>
      </c>
      <c r="E255" s="249" t="str">
        <f>UPPER(IF($D255=0,"",IF($A255=4,_xlfn.XLOOKUP($D255,Mercado!$C:$C,Mercado!$E:$E),_xlfn.XLOOKUP($D255,Fontes!$B:$B,Fontes!$C:$C))))</f>
        <v>CPOS/CDHU</v>
      </c>
      <c r="F255" s="327" t="s">
        <v>3523</v>
      </c>
      <c r="G255" s="249" t="str">
        <f>UPPER(IF($D255=0,"",IF($A255=4,_xlfn.XLOOKUP($D255,Mercado!$C:$C,Mercado!$G:$G),_xlfn.XLOOKUP($D255,Fontes!$B:$B,Fontes!$E:$E))))</f>
        <v>M²</v>
      </c>
      <c r="H255" s="252">
        <v>200</v>
      </c>
      <c r="I255" s="252">
        <f>IF($A255="M",_xlfn.XLOOKUP($D255,Mercado!$C:$C,Mercado!$I:$I),_xlfn.XLOOKUP($D255,Fontes!$B:$B,Fontes!$J:$J))</f>
        <v>77.989999999999995</v>
      </c>
      <c r="J255" s="252">
        <f>IF($A255="M",_xlfn.XLOOKUP($D255,Mercado!$C:$C,Mercado!$J:$J),_xlfn.XLOOKUP($D255,Fontes!$B:$B,Fontes!$H:$H))</f>
        <v>25.18</v>
      </c>
      <c r="K255" s="252">
        <f>IF($A255="M",0,_xlfn.XLOOKUP($D255,Fontes!$B:$B,Fontes!$I:$I))</f>
        <v>0</v>
      </c>
      <c r="L255" s="250">
        <f t="shared" si="32"/>
        <v>103.16999999999999</v>
      </c>
      <c r="M255" s="300">
        <f t="shared" si="41"/>
        <v>20634</v>
      </c>
      <c r="N255" s="243"/>
      <c r="O255" s="517">
        <f t="shared" si="30"/>
        <v>20634</v>
      </c>
      <c r="U255" s="540"/>
    </row>
    <row r="256" spans="1:21" outlineLevel="3" x14ac:dyDescent="0.3">
      <c r="A256" s="36" t="s">
        <v>7</v>
      </c>
      <c r="B256" s="36"/>
      <c r="C256" s="495" t="s">
        <v>781</v>
      </c>
      <c r="D256" s="249"/>
      <c r="E256" s="249" t="str">
        <f>UPPER(IF($D256=0,"",IF($A256=4,_xlfn.XLOOKUP($D256,Mercado!$C:$C,Mercado!$E:$E),_xlfn.XLOOKUP($D256,Fontes!$B:$B,Fontes!$C:$C))))</f>
        <v/>
      </c>
      <c r="F256" s="327" t="s">
        <v>781</v>
      </c>
      <c r="G256" s="249"/>
      <c r="H256" s="252"/>
      <c r="I256" s="252">
        <f>IF($A256="M",_xlfn.XLOOKUP($D256,Mercado!$C:$C,Mercado!$I:$I),_xlfn.XLOOKUP($D256,Fontes!$B:$B,Fontes!$J:$J))</f>
        <v>0</v>
      </c>
      <c r="J256" s="252">
        <f>IF($A256="M",_xlfn.XLOOKUP($D256,Mercado!$C:$C,Mercado!$J:$J),_xlfn.XLOOKUP($D256,Fontes!$B:$B,Fontes!$H:$H))</f>
        <v>0</v>
      </c>
      <c r="K256" s="252">
        <f>IF($A256="M",0,_xlfn.XLOOKUP($D256,Fontes!$B:$B,Fontes!$I:$I))</f>
        <v>0</v>
      </c>
      <c r="L256" s="250">
        <f t="shared" si="32"/>
        <v>0</v>
      </c>
      <c r="M256" s="300">
        <f t="shared" si="41"/>
        <v>0</v>
      </c>
      <c r="O256" s="517" t="str">
        <f t="shared" si="30"/>
        <v/>
      </c>
      <c r="U256" s="540"/>
    </row>
    <row r="257" spans="1:21" outlineLevel="2" x14ac:dyDescent="0.3">
      <c r="A257" s="36" t="s">
        <v>7</v>
      </c>
      <c r="B257" s="36"/>
      <c r="C257" s="496" t="s">
        <v>9939</v>
      </c>
      <c r="D257" s="253"/>
      <c r="E257" s="253" t="str">
        <f>UPPER(IF($D257=0,"",IF($A257=4,_xlfn.XLOOKUP($D257,Mercado!$C:$C,Mercado!$E:$E),_xlfn.XLOOKUP($D257,Fontes!$B:$B,Fontes!$C:$C))))</f>
        <v/>
      </c>
      <c r="F257" s="329" t="s">
        <v>381</v>
      </c>
      <c r="G257" s="253"/>
      <c r="H257" s="254"/>
      <c r="I257" s="254">
        <f>IF($A257="M",_xlfn.XLOOKUP($D257,Mercado!$C:$C,Mercado!$I:$I),_xlfn.XLOOKUP($D257,Fontes!$B:$B,Fontes!$J:$J))</f>
        <v>0</v>
      </c>
      <c r="J257" s="254">
        <f>IF($A257="M",_xlfn.XLOOKUP($D257,Mercado!$C:$C,Mercado!$J:$J),_xlfn.XLOOKUP($D257,Fontes!$B:$B,Fontes!$H:$H))</f>
        <v>0</v>
      </c>
      <c r="K257" s="254">
        <f>IF($A257="M",0,_xlfn.XLOOKUP($D257,Fontes!$B:$B,Fontes!$I:$I))</f>
        <v>0</v>
      </c>
      <c r="L257" s="254">
        <f t="shared" si="32"/>
        <v>0</v>
      </c>
      <c r="M257" s="497">
        <f>SUBTOTAL(9,M258:M261)</f>
        <v>55151.61</v>
      </c>
      <c r="O257" s="517" t="str">
        <f t="shared" si="30"/>
        <v/>
      </c>
      <c r="U257" s="540"/>
    </row>
    <row r="258" spans="1:21" ht="38.4" outlineLevel="4" x14ac:dyDescent="0.3">
      <c r="A258" s="35"/>
      <c r="B258" s="36"/>
      <c r="C258" s="495" t="s">
        <v>9940</v>
      </c>
      <c r="D258" s="249" t="s">
        <v>600</v>
      </c>
      <c r="E258" s="249" t="str">
        <f>UPPER(IF($D258=0,"",IF($A258=4,_xlfn.XLOOKUP($D258,Mercado!$C:$C,Mercado!$E:$E),_xlfn.XLOOKUP($D258,Fontes!$B:$B,Fontes!$C:$C))))</f>
        <v>CPOS/CDHU</v>
      </c>
      <c r="F258" s="436" t="s">
        <v>9711</v>
      </c>
      <c r="G258" s="249" t="str">
        <f>UPPER(IF($D258=0,"",IF($A258=4,_xlfn.XLOOKUP($D258,Mercado!$C:$C,Mercado!$G:$G),_xlfn.XLOOKUP($D258,Fontes!$B:$B,Fontes!$E:$E))))</f>
        <v>M²</v>
      </c>
      <c r="H258" s="252">
        <v>20.61</v>
      </c>
      <c r="I258" s="252">
        <f>IF($A258="M",_xlfn.XLOOKUP($D258,Mercado!$C:$C,Mercado!$I:$I),_xlfn.XLOOKUP($D258,Fontes!$B:$B,Fontes!$J:$J))</f>
        <v>288.16000000000003</v>
      </c>
      <c r="J258" s="252">
        <f>IF($A258="M",_xlfn.XLOOKUP($D258,Mercado!$C:$C,Mercado!$J:$J),_xlfn.XLOOKUP($D258,Fontes!$B:$B,Fontes!$H:$H))</f>
        <v>0</v>
      </c>
      <c r="K258" s="252">
        <f>IF($A258="M",0,_xlfn.XLOOKUP($D258,Fontes!$B:$B,Fontes!$I:$I))</f>
        <v>0</v>
      </c>
      <c r="L258" s="250">
        <f t="shared" si="32"/>
        <v>288.16000000000003</v>
      </c>
      <c r="M258" s="300">
        <f t="shared" ref="M258:M261" si="42">ROUND(H258*L258,2)</f>
        <v>5938.98</v>
      </c>
      <c r="N258" s="243"/>
      <c r="O258" s="517">
        <f t="shared" si="30"/>
        <v>5938.98</v>
      </c>
      <c r="U258" s="540"/>
    </row>
    <row r="259" spans="1:21" ht="38.4" outlineLevel="4" x14ac:dyDescent="0.3">
      <c r="A259" s="35"/>
      <c r="B259" s="36"/>
      <c r="C259" s="495" t="s">
        <v>9941</v>
      </c>
      <c r="D259" s="249" t="s">
        <v>601</v>
      </c>
      <c r="E259" s="249" t="str">
        <f>UPPER(IF($D259=0,"",IF($A259=4,_xlfn.XLOOKUP($D259,Mercado!$C:$C,Mercado!$E:$E),_xlfn.XLOOKUP($D259,Fontes!$B:$B,Fontes!$C:$C))))</f>
        <v>CPOS/CDHU</v>
      </c>
      <c r="F259" s="436" t="s">
        <v>9712</v>
      </c>
      <c r="G259" s="249" t="str">
        <f>UPPER(IF($D259=0,"",IF($A259=4,_xlfn.XLOOKUP($D259,Mercado!$C:$C,Mercado!$G:$G),_xlfn.XLOOKUP($D259,Fontes!$B:$B,Fontes!$E:$E))))</f>
        <v>M²</v>
      </c>
      <c r="H259" s="252">
        <v>337.66</v>
      </c>
      <c r="I259" s="252">
        <f>IF($A259="M",_xlfn.XLOOKUP($D259,Mercado!$C:$C,Mercado!$I:$I),_xlfn.XLOOKUP($D259,Fontes!$B:$B,Fontes!$J:$J))</f>
        <v>129.83000000000001</v>
      </c>
      <c r="J259" s="252">
        <f>IF($A259="M",_xlfn.XLOOKUP($D259,Mercado!$C:$C,Mercado!$J:$J),_xlfn.XLOOKUP($D259,Fontes!$B:$B,Fontes!$H:$H))</f>
        <v>0</v>
      </c>
      <c r="K259" s="252">
        <f>IF($A259="M",0,_xlfn.XLOOKUP($D259,Fontes!$B:$B,Fontes!$I:$I))</f>
        <v>0</v>
      </c>
      <c r="L259" s="250">
        <f t="shared" si="32"/>
        <v>129.83000000000001</v>
      </c>
      <c r="M259" s="300">
        <f t="shared" si="42"/>
        <v>43838.400000000001</v>
      </c>
      <c r="N259" s="243"/>
      <c r="O259" s="517">
        <f t="shared" si="30"/>
        <v>43838.400000000001</v>
      </c>
      <c r="U259" s="540"/>
    </row>
    <row r="260" spans="1:21" ht="38.4" outlineLevel="4" x14ac:dyDescent="0.3">
      <c r="A260" s="35"/>
      <c r="B260" s="36"/>
      <c r="C260" s="495" t="s">
        <v>9942</v>
      </c>
      <c r="D260" s="249">
        <v>9082</v>
      </c>
      <c r="E260" s="249" t="str">
        <f>UPPER(IF($D260=0,"",IF($A260=4,_xlfn.XLOOKUP($D260,Mercado!$C:$C,Mercado!$E:$E),_xlfn.XLOOKUP($D260,Fontes!$B:$B,Fontes!$C:$C))))</f>
        <v>ORSE</v>
      </c>
      <c r="F260" s="327" t="s">
        <v>3524</v>
      </c>
      <c r="G260" s="249" t="str">
        <f>UPPER(IF($D260=0,"",IF($A260=4,_xlfn.XLOOKUP($D260,Mercado!$C:$C,Mercado!$G:$G),_xlfn.XLOOKUP($D260,Fontes!$B:$B,Fontes!$E:$E))))</f>
        <v>M</v>
      </c>
      <c r="H260" s="252">
        <v>207.82</v>
      </c>
      <c r="I260" s="252">
        <f>IF($A260="M",_xlfn.XLOOKUP($D260,Mercado!$C:$C,Mercado!$I:$I),_xlfn.XLOOKUP($D260,Fontes!$B:$B,Fontes!$J:$J))</f>
        <v>25.86</v>
      </c>
      <c r="J260" s="252">
        <f>IF($A260="M",_xlfn.XLOOKUP($D260,Mercado!$C:$C,Mercado!$J:$J),_xlfn.XLOOKUP($D260,Fontes!$B:$B,Fontes!$H:$H))</f>
        <v>0</v>
      </c>
      <c r="K260" s="252">
        <f>IF($A260="M",0,_xlfn.XLOOKUP($D260,Fontes!$B:$B,Fontes!$I:$I))</f>
        <v>0</v>
      </c>
      <c r="L260" s="250">
        <f t="shared" si="32"/>
        <v>25.86</v>
      </c>
      <c r="M260" s="300">
        <f t="shared" si="42"/>
        <v>5374.23</v>
      </c>
      <c r="N260" s="243"/>
      <c r="O260" s="517">
        <f t="shared" si="30"/>
        <v>5374.23</v>
      </c>
      <c r="U260" s="540"/>
    </row>
    <row r="261" spans="1:21" outlineLevel="3" x14ac:dyDescent="0.3">
      <c r="A261" s="36" t="s">
        <v>7</v>
      </c>
      <c r="B261" s="36"/>
      <c r="C261" s="495" t="s">
        <v>781</v>
      </c>
      <c r="D261" s="249"/>
      <c r="E261" s="249" t="str">
        <f>UPPER(IF($D261=0,"",IF($A261=4,_xlfn.XLOOKUP($D261,Mercado!$C:$C,Mercado!$E:$E),_xlfn.XLOOKUP($D261,Fontes!$B:$B,Fontes!$C:$C))))</f>
        <v/>
      </c>
      <c r="F261" s="327" t="s">
        <v>781</v>
      </c>
      <c r="G261" s="249"/>
      <c r="H261" s="252"/>
      <c r="I261" s="252">
        <f>IF($A261="M",_xlfn.XLOOKUP($D261,Mercado!$C:$C,Mercado!$I:$I),_xlfn.XLOOKUP($D261,Fontes!$B:$B,Fontes!$J:$J))</f>
        <v>0</v>
      </c>
      <c r="J261" s="252">
        <f>IF($A261="M",_xlfn.XLOOKUP($D261,Mercado!$C:$C,Mercado!$J:$J),_xlfn.XLOOKUP($D261,Fontes!$B:$B,Fontes!$H:$H))</f>
        <v>0</v>
      </c>
      <c r="K261" s="252">
        <f>IF($A261="M",0,_xlfn.XLOOKUP($D261,Fontes!$B:$B,Fontes!$I:$I))</f>
        <v>0</v>
      </c>
      <c r="L261" s="250">
        <f t="shared" si="32"/>
        <v>0</v>
      </c>
      <c r="M261" s="300">
        <f t="shared" si="42"/>
        <v>0</v>
      </c>
      <c r="O261" s="517" t="str">
        <f t="shared" si="30"/>
        <v/>
      </c>
      <c r="U261" s="540"/>
    </row>
    <row r="262" spans="1:21" outlineLevel="2" x14ac:dyDescent="0.3">
      <c r="A262" s="36" t="s">
        <v>7</v>
      </c>
      <c r="B262" s="36"/>
      <c r="C262" s="496" t="s">
        <v>9943</v>
      </c>
      <c r="D262" s="253"/>
      <c r="E262" s="253" t="str">
        <f>UPPER(IF($D262=0,"",IF($A262=4,_xlfn.XLOOKUP($D262,Mercado!$C:$C,Mercado!$E:$E),_xlfn.XLOOKUP($D262,Fontes!$B:$B,Fontes!$C:$C))))</f>
        <v/>
      </c>
      <c r="F262" s="329" t="s">
        <v>1647</v>
      </c>
      <c r="G262" s="253"/>
      <c r="H262" s="254"/>
      <c r="I262" s="254">
        <f>IF($A262="M",_xlfn.XLOOKUP($D262,Mercado!$C:$C,Mercado!$I:$I),_xlfn.XLOOKUP($D262,Fontes!$B:$B,Fontes!$J:$J))</f>
        <v>0</v>
      </c>
      <c r="J262" s="254">
        <f>IF($A262="M",_xlfn.XLOOKUP($D262,Mercado!$C:$C,Mercado!$J:$J),_xlfn.XLOOKUP($D262,Fontes!$B:$B,Fontes!$H:$H))</f>
        <v>0</v>
      </c>
      <c r="K262" s="254">
        <f>IF($A262="M",0,_xlfn.XLOOKUP($D262,Fontes!$B:$B,Fontes!$I:$I))</f>
        <v>0</v>
      </c>
      <c r="L262" s="254">
        <f t="shared" si="32"/>
        <v>0</v>
      </c>
      <c r="M262" s="497">
        <f>SUBTOTAL(9,M263:M288)</f>
        <v>1872061.6300000001</v>
      </c>
      <c r="O262" s="517" t="str">
        <f t="shared" si="30"/>
        <v/>
      </c>
      <c r="U262" s="540"/>
    </row>
    <row r="263" spans="1:21" outlineLevel="4" x14ac:dyDescent="0.3">
      <c r="A263" s="36" t="s">
        <v>7</v>
      </c>
      <c r="B263" s="36"/>
      <c r="C263" s="499" t="s">
        <v>9944</v>
      </c>
      <c r="D263" s="486"/>
      <c r="E263" s="249" t="str">
        <f>UPPER(IF($D263=0,"",IF($A263=4,_xlfn.XLOOKUP($D263,Mercado!$C:$C,Mercado!$E:$E),_xlfn.XLOOKUP($D263,Fontes!$B:$B,Fontes!$C:$C))))</f>
        <v/>
      </c>
      <c r="F263" s="330" t="s">
        <v>2800</v>
      </c>
      <c r="G263" s="257"/>
      <c r="H263" s="267"/>
      <c r="I263" s="267">
        <f>IF($A263="M",_xlfn.XLOOKUP($D263,Mercado!$C:$C,Mercado!$I:$I),_xlfn.XLOOKUP($D263,Fontes!$B:$B,Fontes!$J:$J))</f>
        <v>0</v>
      </c>
      <c r="J263" s="259">
        <f>IF($A263="M",_xlfn.XLOOKUP($D263,Mercado!$C:$C,Mercado!$J:$J),_xlfn.XLOOKUP($D263,Fontes!$B:$B,Fontes!$H:$H))</f>
        <v>0</v>
      </c>
      <c r="K263" s="259">
        <f>IF($A263="M",0,_xlfn.XLOOKUP($D263,Fontes!$B:$B,Fontes!$I:$I))</f>
        <v>0</v>
      </c>
      <c r="L263" s="260">
        <f t="shared" si="32"/>
        <v>0</v>
      </c>
      <c r="M263" s="500">
        <f t="shared" ref="M263:M288" si="43">ROUND(H263*L263,2)</f>
        <v>0</v>
      </c>
      <c r="N263" s="243"/>
      <c r="O263" s="517" t="str">
        <f t="shared" si="30"/>
        <v/>
      </c>
      <c r="U263" s="540"/>
    </row>
    <row r="264" spans="1:21" ht="76.8" outlineLevel="4" x14ac:dyDescent="0.3">
      <c r="A264" s="35" t="s">
        <v>7</v>
      </c>
      <c r="B264" s="36"/>
      <c r="C264" s="495" t="s">
        <v>9945</v>
      </c>
      <c r="D264" s="483" t="s">
        <v>8610</v>
      </c>
      <c r="E264" s="249" t="str">
        <f>UPPER(_xlfn.XLOOKUP($D264,Mercado!C:C,Mercado!E:E,_xlfn.XLOOKUP($D357,Fontes!$B:$B,Fontes!$C:$C)))</f>
        <v>ROLL-ON</v>
      </c>
      <c r="F264" s="355" t="s">
        <v>8603</v>
      </c>
      <c r="G264" s="249" t="str">
        <f>UPPER(_xlfn.XLOOKUP(D264,Mercado!C:C,Mercado!G:G))</f>
        <v>UN</v>
      </c>
      <c r="H264" s="439">
        <f>+Mercado!H9</f>
        <v>1</v>
      </c>
      <c r="I264" s="439">
        <f>IF($A264="M",_xlfn.XLOOKUP($D264,Mercado!$C:$C,Mercado!$I:$I),_xlfn.XLOOKUP($D264,Fontes!$B:$B,Fontes!$J:$J))</f>
        <v>9208.9599999999991</v>
      </c>
      <c r="J264" s="252">
        <f>IF($A264="M",_xlfn.XLOOKUP($D264,Mercado!$C:$C,Mercado!$J:$J),_xlfn.XLOOKUP($D264,Fontes!$B:$B,Fontes!$H:$H))</f>
        <v>0</v>
      </c>
      <c r="K264" s="252">
        <f>IF($A264="M",0,_xlfn.XLOOKUP($D264,Fontes!$B:$B,Fontes!$I:$I))</f>
        <v>0</v>
      </c>
      <c r="L264" s="250">
        <f t="shared" si="32"/>
        <v>9208.9599999999991</v>
      </c>
      <c r="M264" s="300">
        <f t="shared" si="43"/>
        <v>9208.9599999999991</v>
      </c>
      <c r="N264" s="243"/>
      <c r="O264" s="517">
        <f t="shared" si="30"/>
        <v>9208.9599999999991</v>
      </c>
      <c r="U264" s="540"/>
    </row>
    <row r="265" spans="1:21" ht="38.4" outlineLevel="4" x14ac:dyDescent="0.3">
      <c r="A265" s="35" t="s">
        <v>7</v>
      </c>
      <c r="B265" s="36"/>
      <c r="C265" s="495" t="s">
        <v>9946</v>
      </c>
      <c r="D265" s="206" t="s">
        <v>8611</v>
      </c>
      <c r="E265" s="249" t="str">
        <f>UPPER(_xlfn.XLOOKUP($D265,Mercado!C:C,Mercado!E:E,_xlfn.XLOOKUP($D358,Fontes!$B:$B,Fontes!$C:$C)))</f>
        <v>ROLL-ON</v>
      </c>
      <c r="F265" s="355" t="s">
        <v>8604</v>
      </c>
      <c r="G265" s="249" t="str">
        <f>UPPER(_xlfn.XLOOKUP(D265,Mercado!C:C,Mercado!G:G))</f>
        <v>MÊS</v>
      </c>
      <c r="H265" s="439">
        <f>+Mercado!H10</f>
        <v>4</v>
      </c>
      <c r="I265" s="439">
        <f>IF($A265="M",_xlfn.XLOOKUP($D265,Mercado!$C:$C,Mercado!$I:$I),_xlfn.XLOOKUP($D265,Fontes!$B:$B,Fontes!$J:$J))</f>
        <v>2464.31</v>
      </c>
      <c r="J265" s="252">
        <f>IF($A265="M",_xlfn.XLOOKUP($D265,Mercado!$C:$C,Mercado!$J:$J),_xlfn.XLOOKUP($D265,Fontes!$B:$B,Fontes!$H:$H))</f>
        <v>0</v>
      </c>
      <c r="K265" s="252">
        <f>IF($A265="M",0,_xlfn.XLOOKUP($D265,Fontes!$B:$B,Fontes!$I:$I))</f>
        <v>0</v>
      </c>
      <c r="L265" s="250">
        <f t="shared" si="32"/>
        <v>2464.31</v>
      </c>
      <c r="M265" s="300">
        <f t="shared" si="43"/>
        <v>9857.24</v>
      </c>
      <c r="N265" s="243"/>
      <c r="O265" s="517">
        <f t="shared" ref="O265:O271" si="44">IF(D265&lt;&gt;0,M265,"")</f>
        <v>9857.24</v>
      </c>
      <c r="U265" s="540"/>
    </row>
    <row r="266" spans="1:21" outlineLevel="4" x14ac:dyDescent="0.3">
      <c r="A266" s="35" t="s">
        <v>7</v>
      </c>
      <c r="B266" s="36"/>
      <c r="C266" s="495" t="s">
        <v>9947</v>
      </c>
      <c r="D266" s="206" t="s">
        <v>8612</v>
      </c>
      <c r="E266" s="249" t="str">
        <f>UPPER(_xlfn.XLOOKUP($D266,Mercado!C:C,Mercado!E:E,_xlfn.XLOOKUP($D359,Fontes!$B:$B,Fontes!$C:$C)))</f>
        <v>ROLL-ON</v>
      </c>
      <c r="F266" s="355" t="s">
        <v>8605</v>
      </c>
      <c r="G266" s="249" t="str">
        <f>UPPER(_xlfn.XLOOKUP(D266,Mercado!C:C,Mercado!G:G))</f>
        <v>UN</v>
      </c>
      <c r="H266" s="439">
        <f>+Mercado!H11</f>
        <v>1</v>
      </c>
      <c r="I266" s="439">
        <f>IF($A266="M",_xlfn.XLOOKUP($D266,Mercado!$C:$C,Mercado!$I:$I),_xlfn.XLOOKUP($D266,Fontes!$B:$B,Fontes!$J:$J))</f>
        <v>464.77</v>
      </c>
      <c r="J266" s="252">
        <f>IF($A266="M",_xlfn.XLOOKUP($D266,Mercado!$C:$C,Mercado!$J:$J),_xlfn.XLOOKUP($D266,Fontes!$B:$B,Fontes!$H:$H))</f>
        <v>0</v>
      </c>
      <c r="K266" s="252">
        <f>IF($A266="M",0,_xlfn.XLOOKUP($D266,Fontes!$B:$B,Fontes!$I:$I))</f>
        <v>0</v>
      </c>
      <c r="L266" s="250">
        <f t="shared" si="32"/>
        <v>464.77</v>
      </c>
      <c r="M266" s="300">
        <f t="shared" si="43"/>
        <v>464.77</v>
      </c>
      <c r="N266" s="243"/>
      <c r="O266" s="517">
        <f t="shared" si="44"/>
        <v>464.77</v>
      </c>
      <c r="U266" s="540"/>
    </row>
    <row r="267" spans="1:21" outlineLevel="4" x14ac:dyDescent="0.3">
      <c r="A267" s="35" t="s">
        <v>7</v>
      </c>
      <c r="B267" s="36"/>
      <c r="C267" s="495" t="s">
        <v>9948</v>
      </c>
      <c r="D267" s="206" t="s">
        <v>8613</v>
      </c>
      <c r="E267" s="249" t="str">
        <f>UPPER(_xlfn.XLOOKUP($D267,Mercado!C:C,Mercado!E:E,_xlfn.XLOOKUP($D360,Fontes!$B:$B,Fontes!$C:$C)))</f>
        <v>ROLL-ON</v>
      </c>
      <c r="F267" s="355" t="s">
        <v>8606</v>
      </c>
      <c r="G267" s="249" t="str">
        <f>UPPER(_xlfn.XLOOKUP(D267,Mercado!C:C,Mercado!G:G))</f>
        <v>UN</v>
      </c>
      <c r="H267" s="439">
        <f>+Mercado!H12</f>
        <v>1</v>
      </c>
      <c r="I267" s="439">
        <f>IF($A267="M",_xlfn.XLOOKUP($D267,Mercado!$C:$C,Mercado!$I:$I),_xlfn.XLOOKUP($D267,Fontes!$B:$B,Fontes!$J:$J))</f>
        <v>2558.92</v>
      </c>
      <c r="J267" s="252">
        <f>IF($A267="M",_xlfn.XLOOKUP($D267,Mercado!$C:$C,Mercado!$J:$J),_xlfn.XLOOKUP($D267,Fontes!$B:$B,Fontes!$H:$H))</f>
        <v>0</v>
      </c>
      <c r="K267" s="252">
        <f>IF($A267="M",0,_xlfn.XLOOKUP($D267,Fontes!$B:$B,Fontes!$I:$I))</f>
        <v>0</v>
      </c>
      <c r="L267" s="250">
        <f t="shared" si="32"/>
        <v>2558.92</v>
      </c>
      <c r="M267" s="300">
        <f t="shared" si="43"/>
        <v>2558.92</v>
      </c>
      <c r="N267" s="243"/>
      <c r="O267" s="517">
        <f t="shared" si="44"/>
        <v>2558.92</v>
      </c>
      <c r="U267" s="540"/>
    </row>
    <row r="268" spans="1:21" ht="57.6" outlineLevel="4" x14ac:dyDescent="0.3">
      <c r="A268" s="35" t="s">
        <v>7</v>
      </c>
      <c r="B268" s="36"/>
      <c r="C268" s="495" t="s">
        <v>9949</v>
      </c>
      <c r="D268" s="206" t="s">
        <v>8614</v>
      </c>
      <c r="E268" s="249" t="str">
        <f>UPPER(_xlfn.XLOOKUP($D268,Mercado!C:C,Mercado!E:E,_xlfn.XLOOKUP($D361,Fontes!$B:$B,Fontes!$C:$C)))</f>
        <v>ROLL-ON</v>
      </c>
      <c r="F268" s="355" t="s">
        <v>8607</v>
      </c>
      <c r="G268" s="249" t="str">
        <f>UPPER(_xlfn.XLOOKUP(D268,Mercado!C:C,Mercado!G:G))</f>
        <v>M2</v>
      </c>
      <c r="H268" s="439">
        <f>+Mercado!H13</f>
        <v>1159.2</v>
      </c>
      <c r="I268" s="439">
        <f>IF($A268="M",_xlfn.XLOOKUP($D268,Mercado!$C:$C,Mercado!$I:$I),_xlfn.XLOOKUP($D268,Fontes!$B:$B,Fontes!$J:$J))</f>
        <v>152.15</v>
      </c>
      <c r="J268" s="252">
        <f>IF($A268="M",_xlfn.XLOOKUP($D268,Mercado!$C:$C,Mercado!$J:$J),_xlfn.XLOOKUP($D268,Fontes!$B:$B,Fontes!$H:$H))</f>
        <v>0</v>
      </c>
      <c r="K268" s="252">
        <f>IF($A268="M",0,_xlfn.XLOOKUP($D268,Fontes!$B:$B,Fontes!$I:$I))</f>
        <v>0</v>
      </c>
      <c r="L268" s="250">
        <f t="shared" si="32"/>
        <v>152.15</v>
      </c>
      <c r="M268" s="300">
        <f t="shared" si="43"/>
        <v>176372.28</v>
      </c>
      <c r="N268" s="243"/>
      <c r="O268" s="517">
        <f t="shared" si="44"/>
        <v>176372.28</v>
      </c>
      <c r="U268" s="540"/>
    </row>
    <row r="269" spans="1:21" ht="57.6" outlineLevel="4" x14ac:dyDescent="0.3">
      <c r="A269" s="35" t="s">
        <v>7</v>
      </c>
      <c r="B269" s="36"/>
      <c r="C269" s="495" t="s">
        <v>9950</v>
      </c>
      <c r="D269" s="206" t="s">
        <v>8615</v>
      </c>
      <c r="E269" s="249" t="str">
        <f>UPPER(_xlfn.XLOOKUP($D269,Mercado!C:C,Mercado!E:E,_xlfn.XLOOKUP($D362,Fontes!$B:$B,Fontes!$C:$C)))</f>
        <v>ROLL-ON</v>
      </c>
      <c r="F269" s="355" t="s">
        <v>8608</v>
      </c>
      <c r="G269" s="249" t="str">
        <f>UPPER(_xlfn.XLOOKUP(D269,Mercado!C:C,Mercado!G:G))</f>
        <v>M2</v>
      </c>
      <c r="H269" s="439">
        <f>+Mercado!H14</f>
        <v>2147.06</v>
      </c>
      <c r="I269" s="439">
        <f>IF($A269="M",_xlfn.XLOOKUP($D269,Mercado!$C:$C,Mercado!$I:$I),_xlfn.XLOOKUP($D269,Fontes!$B:$B,Fontes!$J:$J))</f>
        <v>90.15</v>
      </c>
      <c r="J269" s="252">
        <f>IF($A269="M",_xlfn.XLOOKUP($D269,Mercado!$C:$C,Mercado!$J:$J),_xlfn.XLOOKUP($D269,Fontes!$B:$B,Fontes!$H:$H))</f>
        <v>0</v>
      </c>
      <c r="K269" s="252">
        <f>IF($A269="M",0,_xlfn.XLOOKUP($D269,Fontes!$B:$B,Fontes!$I:$I))</f>
        <v>0</v>
      </c>
      <c r="L269" s="250">
        <f t="shared" si="32"/>
        <v>90.15</v>
      </c>
      <c r="M269" s="300">
        <f t="shared" si="43"/>
        <v>193557.46</v>
      </c>
      <c r="N269" s="243"/>
      <c r="O269" s="517">
        <f t="shared" si="44"/>
        <v>193557.46</v>
      </c>
      <c r="U269" s="540"/>
    </row>
    <row r="270" spans="1:21" ht="57.6" outlineLevel="4" x14ac:dyDescent="0.3">
      <c r="A270" s="35" t="s">
        <v>7</v>
      </c>
      <c r="B270" s="36"/>
      <c r="C270" s="495" t="s">
        <v>9951</v>
      </c>
      <c r="D270" s="206" t="s">
        <v>8616</v>
      </c>
      <c r="E270" s="249" t="str">
        <f>UPPER(_xlfn.XLOOKUP($D270,Mercado!C:C,Mercado!E:E,_xlfn.XLOOKUP($D363,Fontes!$B:$B,Fontes!$C:$C)))</f>
        <v>ROLL-ON</v>
      </c>
      <c r="F270" s="355" t="s">
        <v>8609</v>
      </c>
      <c r="G270" s="249" t="str">
        <f>UPPER(_xlfn.XLOOKUP(D270,Mercado!C:C,Mercado!G:G))</f>
        <v>M2</v>
      </c>
      <c r="H270" s="439">
        <f>+Mercado!H15</f>
        <v>2150</v>
      </c>
      <c r="I270" s="439">
        <f>IF($A270="M",_xlfn.XLOOKUP($D270,Mercado!$C:$C,Mercado!$I:$I),_xlfn.XLOOKUP($D270,Fontes!$B:$B,Fontes!$J:$J))</f>
        <v>152.15</v>
      </c>
      <c r="J270" s="252">
        <f>IF($A270="M",_xlfn.XLOOKUP($D270,Mercado!$C:$C,Mercado!$J:$J),_xlfn.XLOOKUP($D270,Fontes!$B:$B,Fontes!$H:$H))</f>
        <v>0</v>
      </c>
      <c r="K270" s="252">
        <f>IF($A270="M",0,_xlfn.XLOOKUP($D270,Fontes!$B:$B,Fontes!$I:$I))</f>
        <v>0</v>
      </c>
      <c r="L270" s="250">
        <f t="shared" ref="L270:L333" si="45">SUM(I270:K270)</f>
        <v>152.15</v>
      </c>
      <c r="M270" s="300">
        <f t="shared" si="43"/>
        <v>327122.5</v>
      </c>
      <c r="N270" s="243"/>
      <c r="O270" s="517">
        <f t="shared" si="44"/>
        <v>327122.5</v>
      </c>
      <c r="U270" s="540"/>
    </row>
    <row r="271" spans="1:21" ht="57.6" outlineLevel="4" x14ac:dyDescent="0.3">
      <c r="A271" s="35" t="s">
        <v>7</v>
      </c>
      <c r="B271" s="36"/>
      <c r="C271" s="495" t="s">
        <v>9952</v>
      </c>
      <c r="D271" s="483" t="s">
        <v>2783</v>
      </c>
      <c r="E271" s="249" t="str">
        <f>UPPER(_xlfn.XLOOKUP($D271,Mercado!C:C,Mercado!E:E,_xlfn.XLOOKUP($D364,Fontes!$B:$B,Fontes!$C:$C)))</f>
        <v>PERFILOR</v>
      </c>
      <c r="F271" s="355" t="s">
        <v>9688</v>
      </c>
      <c r="G271" s="249" t="str">
        <f>UPPER(_xlfn.XLOOKUP(D271,Mercado!C:C,Mercado!G:G))</f>
        <v>M2</v>
      </c>
      <c r="H271" s="440">
        <f>+Mercado!H17</f>
        <v>2150</v>
      </c>
      <c r="I271" s="440">
        <f>IF($A271="M",_xlfn.XLOOKUP($D271,Mercado!$C:$C,Mercado!$I:$I),_xlfn.XLOOKUP($D271,Fontes!$B:$B,Fontes!$J:$J))</f>
        <v>175.494</v>
      </c>
      <c r="J271" s="252">
        <f>IF($A271="M",_xlfn.XLOOKUP($D271,Mercado!$C:$C,Mercado!$J:$J),_xlfn.XLOOKUP($D271,Fontes!$B:$B,Fontes!$H:$H))</f>
        <v>0</v>
      </c>
      <c r="K271" s="252">
        <f>IF($A271="M",0,_xlfn.XLOOKUP($D271,Fontes!$B:$B,Fontes!$I:$I))</f>
        <v>0</v>
      </c>
      <c r="L271" s="250">
        <f t="shared" si="45"/>
        <v>175.494</v>
      </c>
      <c r="M271" s="300">
        <f t="shared" si="43"/>
        <v>377312.1</v>
      </c>
      <c r="N271" s="243"/>
      <c r="O271" s="517">
        <f t="shared" si="44"/>
        <v>377312.1</v>
      </c>
      <c r="U271" s="540"/>
    </row>
    <row r="272" spans="1:21" outlineLevel="4" x14ac:dyDescent="0.3">
      <c r="A272" s="35" t="s">
        <v>7</v>
      </c>
      <c r="B272" s="36"/>
      <c r="C272" s="495" t="s">
        <v>9953</v>
      </c>
      <c r="D272" s="483" t="s">
        <v>2783</v>
      </c>
      <c r="E272" s="249" t="str">
        <f>UPPER(_xlfn.XLOOKUP($D272,Mercado!C:C,Mercado!E:E,_xlfn.XLOOKUP($D365,Fontes!$B:$B,Fontes!$C:$C)))</f>
        <v>PERFILOR</v>
      </c>
      <c r="F272" s="355" t="s">
        <v>9689</v>
      </c>
      <c r="G272" s="249" t="str">
        <f>UPPER(_xlfn.XLOOKUP(D272,Mercado!C:C,Mercado!G:G))</f>
        <v>M2</v>
      </c>
      <c r="H272" s="440">
        <f>+Mercado!H18</f>
        <v>2</v>
      </c>
      <c r="I272" s="440">
        <f>IF($A272="M",_xlfn.XLOOKUP($D272,Mercado!$C:$C,Mercado!$I:$I),_xlfn.XLOOKUP($D272,Fontes!$B:$B,Fontes!$J:$J))</f>
        <v>175.494</v>
      </c>
      <c r="J272" s="252">
        <f>IF($A272="M",_xlfn.XLOOKUP($D272,Mercado!$C:$C,Mercado!$J:$J),_xlfn.XLOOKUP($D272,Fontes!$B:$B,Fontes!$H:$H))</f>
        <v>0</v>
      </c>
      <c r="K272" s="252">
        <f>IF($A272="M",0,_xlfn.XLOOKUP($D272,Fontes!$B:$B,Fontes!$I:$I))</f>
        <v>0</v>
      </c>
      <c r="L272" s="250">
        <f t="shared" si="45"/>
        <v>175.494</v>
      </c>
      <c r="M272" s="300">
        <f t="shared" si="43"/>
        <v>350.99</v>
      </c>
      <c r="N272" s="243"/>
      <c r="O272" s="517">
        <f t="shared" si="30"/>
        <v>350.99</v>
      </c>
      <c r="U272" s="540"/>
    </row>
    <row r="273" spans="1:21" ht="38.4" outlineLevel="4" x14ac:dyDescent="0.3">
      <c r="A273" s="36" t="s">
        <v>7</v>
      </c>
      <c r="B273" s="36"/>
      <c r="C273" s="504" t="s">
        <v>9954</v>
      </c>
      <c r="D273" s="266"/>
      <c r="E273" s="249" t="str">
        <f>UPPER(IF($D273=0,"",IF($A273=4,_xlfn.XLOOKUP($D273,Mercado!$C:$C,Mercado!$E:$E),_xlfn.XLOOKUP($D273,Fontes!$B:$B,Fontes!$C:$C))))</f>
        <v/>
      </c>
      <c r="F273" s="332" t="s">
        <v>2801</v>
      </c>
      <c r="G273" s="266"/>
      <c r="H273" s="447"/>
      <c r="I273" s="447">
        <f>IF($A273="M",_xlfn.XLOOKUP($D273,Mercado!$C:$C,Mercado!$I:$I),_xlfn.XLOOKUP($D273,Fontes!$B:$B,Fontes!$J:$J))</f>
        <v>0</v>
      </c>
      <c r="J273" s="267">
        <f>IF($A273="M",_xlfn.XLOOKUP($D273,Mercado!$C:$C,Mercado!$J:$J),_xlfn.XLOOKUP($D273,Fontes!$B:$B,Fontes!$H:$H))</f>
        <v>0</v>
      </c>
      <c r="K273" s="267">
        <f>IF($A273="M",0,_xlfn.XLOOKUP($D273,Fontes!$B:$B,Fontes!$I:$I))</f>
        <v>0</v>
      </c>
      <c r="L273" s="267">
        <f t="shared" si="45"/>
        <v>0</v>
      </c>
      <c r="M273" s="500">
        <f t="shared" si="43"/>
        <v>0</v>
      </c>
      <c r="N273" s="243"/>
      <c r="O273" s="517" t="str">
        <f t="shared" si="30"/>
        <v/>
      </c>
      <c r="U273" s="540"/>
    </row>
    <row r="274" spans="1:21" outlineLevel="4" x14ac:dyDescent="0.3">
      <c r="A274" s="35" t="s">
        <v>7</v>
      </c>
      <c r="B274" s="36"/>
      <c r="C274" s="495" t="s">
        <v>9955</v>
      </c>
      <c r="D274" s="483" t="s">
        <v>2784</v>
      </c>
      <c r="E274" s="249" t="str">
        <f>UPPER(_xlfn.XLOOKUP($D274,Mercado!C:C,Mercado!E:E,_xlfn.XLOOKUP($D367,Fontes!$B:$B,Fontes!$C:$C)))</f>
        <v>MARKO</v>
      </c>
      <c r="F274" s="327" t="s">
        <v>3525</v>
      </c>
      <c r="G274" s="249" t="str">
        <f>UPPER(_xlfn.XLOOKUP(D274,Mercado!C:C,Mercado!G:G))</f>
        <v>M2</v>
      </c>
      <c r="H274" s="440">
        <f>+Mercado!H20</f>
        <v>1064.7</v>
      </c>
      <c r="I274" s="440">
        <f>IF($A274="M",_xlfn.XLOOKUP($D274,Mercado!$C:$C,Mercado!$I:$I),_xlfn.XLOOKUP($D274,Fontes!$B:$B,Fontes!$J:$J))</f>
        <v>352.56</v>
      </c>
      <c r="J274" s="252">
        <f>IF($A274="M",_xlfn.XLOOKUP($D274,Mercado!$C:$C,Mercado!$J:$J),_xlfn.XLOOKUP($D274,Fontes!$B:$B,Fontes!$H:$H))</f>
        <v>0</v>
      </c>
      <c r="K274" s="252">
        <f>IF($A274="M",0,_xlfn.XLOOKUP($D274,Fontes!$B:$B,Fontes!$I:$I))</f>
        <v>0</v>
      </c>
      <c r="L274" s="250">
        <f t="shared" si="45"/>
        <v>352.56</v>
      </c>
      <c r="M274" s="300">
        <f t="shared" si="43"/>
        <v>375370.63</v>
      </c>
      <c r="N274" s="243"/>
      <c r="O274" s="517">
        <f t="shared" si="30"/>
        <v>375370.63</v>
      </c>
      <c r="U274" s="540"/>
    </row>
    <row r="275" spans="1:21" outlineLevel="4" x14ac:dyDescent="0.3">
      <c r="A275" s="35" t="s">
        <v>7</v>
      </c>
      <c r="B275" s="36"/>
      <c r="C275" s="495" t="s">
        <v>9956</v>
      </c>
      <c r="D275" s="483" t="s">
        <v>2785</v>
      </c>
      <c r="E275" s="249" t="str">
        <f>UPPER(_xlfn.XLOOKUP($D275,Mercado!C:C,Mercado!E:E,_xlfn.XLOOKUP($D368,Fontes!$B:$B,Fontes!$C:$C)))</f>
        <v>MARKO</v>
      </c>
      <c r="F275" s="327" t="s">
        <v>3526</v>
      </c>
      <c r="G275" s="249" t="str">
        <f>UPPER(_xlfn.XLOOKUP(D275,Mercado!C:C,Mercado!G:G))</f>
        <v>M2</v>
      </c>
      <c r="H275" s="440">
        <f>+Mercado!H21</f>
        <v>94.5</v>
      </c>
      <c r="I275" s="440">
        <f>IF($A275="M",_xlfn.XLOOKUP($D275,Mercado!$C:$C,Mercado!$I:$I),_xlfn.XLOOKUP($D275,Fontes!$B:$B,Fontes!$J:$J))</f>
        <v>399.04</v>
      </c>
      <c r="J275" s="252">
        <f>IF($A275="M",_xlfn.XLOOKUP($D275,Mercado!$C:$C,Mercado!$J:$J),_xlfn.XLOOKUP($D275,Fontes!$B:$B,Fontes!$H:$H))</f>
        <v>0</v>
      </c>
      <c r="K275" s="252">
        <f>IF($A275="M",0,_xlfn.XLOOKUP($D275,Fontes!$B:$B,Fontes!$I:$I))</f>
        <v>0</v>
      </c>
      <c r="L275" s="250">
        <f t="shared" si="45"/>
        <v>399.04</v>
      </c>
      <c r="M275" s="300">
        <f t="shared" si="43"/>
        <v>37709.279999999999</v>
      </c>
      <c r="N275" s="243"/>
      <c r="O275" s="517">
        <f t="shared" si="30"/>
        <v>37709.279999999999</v>
      </c>
      <c r="U275" s="540"/>
    </row>
    <row r="276" spans="1:21" outlineLevel="4" x14ac:dyDescent="0.3">
      <c r="A276" s="35" t="s">
        <v>7</v>
      </c>
      <c r="B276" s="36"/>
      <c r="C276" s="495" t="s">
        <v>9957</v>
      </c>
      <c r="D276" s="483" t="s">
        <v>2786</v>
      </c>
      <c r="E276" s="249" t="str">
        <f>UPPER(_xlfn.XLOOKUP($D276,Mercado!C:C,Mercado!E:E,_xlfn.XLOOKUP($D369,Fontes!$B:$B,Fontes!$C:$C)))</f>
        <v>MARKO</v>
      </c>
      <c r="F276" s="327" t="s">
        <v>3527</v>
      </c>
      <c r="G276" s="249" t="str">
        <f>UPPER(_xlfn.XLOOKUP(D276,Mercado!C:C,Mercado!G:G))</f>
        <v>M</v>
      </c>
      <c r="H276" s="440">
        <f>+Mercado!H22</f>
        <v>36.799999999999997</v>
      </c>
      <c r="I276" s="440">
        <f>IF($A276="M",_xlfn.XLOOKUP($D276,Mercado!$C:$C,Mercado!$I:$I),_xlfn.XLOOKUP($D276,Fontes!$B:$B,Fontes!$J:$J))</f>
        <v>113.58</v>
      </c>
      <c r="J276" s="252">
        <f>IF($A276="M",_xlfn.XLOOKUP($D276,Mercado!$C:$C,Mercado!$J:$J),_xlfn.XLOOKUP($D276,Fontes!$B:$B,Fontes!$H:$H))</f>
        <v>0</v>
      </c>
      <c r="K276" s="252">
        <f>IF($A276="M",0,_xlfn.XLOOKUP($D276,Fontes!$B:$B,Fontes!$I:$I))</f>
        <v>0</v>
      </c>
      <c r="L276" s="250">
        <f t="shared" si="45"/>
        <v>113.58</v>
      </c>
      <c r="M276" s="300">
        <f t="shared" si="43"/>
        <v>4179.74</v>
      </c>
      <c r="N276" s="243"/>
      <c r="O276" s="517">
        <f t="shared" si="30"/>
        <v>4179.74</v>
      </c>
      <c r="U276" s="540"/>
    </row>
    <row r="277" spans="1:21" outlineLevel="4" x14ac:dyDescent="0.3">
      <c r="A277" s="35" t="s">
        <v>7</v>
      </c>
      <c r="B277" s="36"/>
      <c r="C277" s="495" t="s">
        <v>9958</v>
      </c>
      <c r="D277" s="483" t="s">
        <v>2787</v>
      </c>
      <c r="E277" s="249" t="str">
        <f>UPPER(_xlfn.XLOOKUP($D277,Mercado!C:C,Mercado!E:E,_xlfn.XLOOKUP($D370,Fontes!$B:$B,Fontes!$C:$C)))</f>
        <v>MARKO</v>
      </c>
      <c r="F277" s="327" t="s">
        <v>3528</v>
      </c>
      <c r="G277" s="249" t="str">
        <f>UPPER(_xlfn.XLOOKUP(D277,Mercado!C:C,Mercado!G:G))</f>
        <v>M</v>
      </c>
      <c r="H277" s="440">
        <f>+Mercado!H23</f>
        <v>83.85</v>
      </c>
      <c r="I277" s="440">
        <f>IF($A277="M",_xlfn.XLOOKUP($D277,Mercado!$C:$C,Mercado!$I:$I),_xlfn.XLOOKUP($D277,Fontes!$B:$B,Fontes!$J:$J))</f>
        <v>258.27</v>
      </c>
      <c r="J277" s="252">
        <f>IF($A277="M",_xlfn.XLOOKUP($D277,Mercado!$C:$C,Mercado!$J:$J),_xlfn.XLOOKUP($D277,Fontes!$B:$B,Fontes!$H:$H))</f>
        <v>0</v>
      </c>
      <c r="K277" s="252">
        <f>IF($A277="M",0,_xlfn.XLOOKUP($D277,Fontes!$B:$B,Fontes!$I:$I))</f>
        <v>0</v>
      </c>
      <c r="L277" s="250">
        <f t="shared" si="45"/>
        <v>258.27</v>
      </c>
      <c r="M277" s="300">
        <f t="shared" si="43"/>
        <v>21655.94</v>
      </c>
      <c r="N277" s="243"/>
      <c r="O277" s="517">
        <f t="shared" si="30"/>
        <v>21655.94</v>
      </c>
      <c r="U277" s="540"/>
    </row>
    <row r="278" spans="1:21" outlineLevel="4" x14ac:dyDescent="0.3">
      <c r="A278" s="35" t="s">
        <v>7</v>
      </c>
      <c r="B278" s="36"/>
      <c r="C278" s="495" t="s">
        <v>9959</v>
      </c>
      <c r="D278" s="483" t="s">
        <v>2788</v>
      </c>
      <c r="E278" s="249" t="str">
        <f>UPPER(_xlfn.XLOOKUP($D278,Mercado!C:C,Mercado!E:E,_xlfn.XLOOKUP($D371,Fontes!$B:$B,Fontes!$C:$C)))</f>
        <v>MARKO</v>
      </c>
      <c r="F278" s="327" t="s">
        <v>3529</v>
      </c>
      <c r="G278" s="249" t="str">
        <f>UPPER(_xlfn.XLOOKUP(D278,Mercado!C:C,Mercado!G:G))</f>
        <v>M</v>
      </c>
      <c r="H278" s="440">
        <f>+Mercado!H24</f>
        <v>4.5</v>
      </c>
      <c r="I278" s="440">
        <f>IF($A278="M",_xlfn.XLOOKUP($D278,Mercado!$C:$C,Mercado!$I:$I),_xlfn.XLOOKUP($D278,Fontes!$B:$B,Fontes!$J:$J))</f>
        <v>258.27</v>
      </c>
      <c r="J278" s="252">
        <f>IF($A278="M",_xlfn.XLOOKUP($D278,Mercado!$C:$C,Mercado!$J:$J),_xlfn.XLOOKUP($D278,Fontes!$B:$B,Fontes!$H:$H))</f>
        <v>0</v>
      </c>
      <c r="K278" s="252">
        <f>IF($A278="M",0,_xlfn.XLOOKUP($D278,Fontes!$B:$B,Fontes!$I:$I))</f>
        <v>0</v>
      </c>
      <c r="L278" s="250">
        <f t="shared" si="45"/>
        <v>258.27</v>
      </c>
      <c r="M278" s="300">
        <f t="shared" si="43"/>
        <v>1162.22</v>
      </c>
      <c r="N278" s="243"/>
      <c r="O278" s="517">
        <f t="shared" ref="O278:O344" si="46">IF(D278&lt;&gt;0,M278,"")</f>
        <v>1162.22</v>
      </c>
      <c r="U278" s="540"/>
    </row>
    <row r="279" spans="1:21" outlineLevel="4" x14ac:dyDescent="0.3">
      <c r="A279" s="35" t="s">
        <v>7</v>
      </c>
      <c r="B279" s="36"/>
      <c r="C279" s="495" t="s">
        <v>9960</v>
      </c>
      <c r="D279" s="483" t="s">
        <v>2789</v>
      </c>
      <c r="E279" s="249" t="str">
        <f>UPPER(_xlfn.XLOOKUP($D279,Mercado!C:C,Mercado!E:E,_xlfn.XLOOKUP($D372,Fontes!$B:$B,Fontes!$C:$C)))</f>
        <v>MARKO</v>
      </c>
      <c r="F279" s="327" t="s">
        <v>3530</v>
      </c>
      <c r="G279" s="249" t="str">
        <f>UPPER(_xlfn.XLOOKUP(D279,Mercado!C:C,Mercado!G:G))</f>
        <v>M</v>
      </c>
      <c r="H279" s="440">
        <f>+Mercado!H25</f>
        <v>19.2</v>
      </c>
      <c r="I279" s="440">
        <f>IF($A279="M",_xlfn.XLOOKUP($D279,Mercado!$C:$C,Mercado!$I:$I),_xlfn.XLOOKUP($D279,Fontes!$B:$B,Fontes!$J:$J))</f>
        <v>181.87</v>
      </c>
      <c r="J279" s="252">
        <f>IF($A279="M",_xlfn.XLOOKUP($D279,Mercado!$C:$C,Mercado!$J:$J),_xlfn.XLOOKUP($D279,Fontes!$B:$B,Fontes!$H:$H))</f>
        <v>0</v>
      </c>
      <c r="K279" s="252">
        <f>IF($A279="M",0,_xlfn.XLOOKUP($D279,Fontes!$B:$B,Fontes!$I:$I))</f>
        <v>0</v>
      </c>
      <c r="L279" s="250">
        <f t="shared" si="45"/>
        <v>181.87</v>
      </c>
      <c r="M279" s="300">
        <f t="shared" si="43"/>
        <v>3491.9</v>
      </c>
      <c r="N279" s="243"/>
      <c r="O279" s="517">
        <f t="shared" si="46"/>
        <v>3491.9</v>
      </c>
      <c r="U279" s="540"/>
    </row>
    <row r="280" spans="1:21" outlineLevel="4" x14ac:dyDescent="0.3">
      <c r="A280" s="35" t="s">
        <v>7</v>
      </c>
      <c r="B280" s="36"/>
      <c r="C280" s="495" t="s">
        <v>9961</v>
      </c>
      <c r="D280" s="483" t="s">
        <v>2790</v>
      </c>
      <c r="E280" s="249" t="str">
        <f>UPPER(_xlfn.XLOOKUP($D280,Mercado!C:C,Mercado!E:E,_xlfn.XLOOKUP($D373,Fontes!$B:$B,Fontes!$C:$C)))</f>
        <v>MARKO</v>
      </c>
      <c r="F280" s="327" t="s">
        <v>3531</v>
      </c>
      <c r="G280" s="249" t="str">
        <f>UPPER(_xlfn.XLOOKUP(D280,Mercado!C:C,Mercado!G:G))</f>
        <v>M</v>
      </c>
      <c r="H280" s="440">
        <f>+Mercado!H26</f>
        <v>14.4</v>
      </c>
      <c r="I280" s="440">
        <f>IF($A280="M",_xlfn.XLOOKUP($D280,Mercado!$C:$C,Mercado!$I:$I),_xlfn.XLOOKUP($D280,Fontes!$B:$B,Fontes!$J:$J))</f>
        <v>1232.1600000000001</v>
      </c>
      <c r="J280" s="252">
        <f>IF($A280="M",_xlfn.XLOOKUP($D280,Mercado!$C:$C,Mercado!$J:$J),_xlfn.XLOOKUP($D280,Fontes!$B:$B,Fontes!$H:$H))</f>
        <v>0</v>
      </c>
      <c r="K280" s="252">
        <f>IF($A280="M",0,_xlfn.XLOOKUP($D280,Fontes!$B:$B,Fontes!$I:$I))</f>
        <v>0</v>
      </c>
      <c r="L280" s="250">
        <f t="shared" si="45"/>
        <v>1232.1600000000001</v>
      </c>
      <c r="M280" s="300">
        <f t="shared" si="43"/>
        <v>17743.099999999999</v>
      </c>
      <c r="N280" s="243"/>
      <c r="O280" s="517">
        <f t="shared" si="46"/>
        <v>17743.099999999999</v>
      </c>
      <c r="U280" s="540"/>
    </row>
    <row r="281" spans="1:21" outlineLevel="4" x14ac:dyDescent="0.3">
      <c r="A281" s="35" t="s">
        <v>7</v>
      </c>
      <c r="B281" s="36"/>
      <c r="C281" s="495" t="s">
        <v>9962</v>
      </c>
      <c r="D281" s="483" t="s">
        <v>2791</v>
      </c>
      <c r="E281" s="249" t="str">
        <f>UPPER(_xlfn.XLOOKUP($D281,Mercado!C:C,Mercado!E:E,_xlfn.XLOOKUP($D374,Fontes!$B:$B,Fontes!$C:$C)))</f>
        <v>MARKO</v>
      </c>
      <c r="F281" s="327" t="s">
        <v>3532</v>
      </c>
      <c r="G281" s="249" t="str">
        <f>UPPER(_xlfn.XLOOKUP(D281,Mercado!C:C,Mercado!G:G))</f>
        <v>M</v>
      </c>
      <c r="H281" s="440">
        <f>+Mercado!H27</f>
        <v>73.599999999999994</v>
      </c>
      <c r="I281" s="440">
        <f>IF($A281="M",_xlfn.XLOOKUP($D281,Mercado!$C:$C,Mercado!$I:$I),_xlfn.XLOOKUP($D281,Fontes!$B:$B,Fontes!$J:$J))</f>
        <v>812.46</v>
      </c>
      <c r="J281" s="252">
        <f>IF($A281="M",_xlfn.XLOOKUP($D281,Mercado!$C:$C,Mercado!$J:$J),_xlfn.XLOOKUP($D281,Fontes!$B:$B,Fontes!$H:$H))</f>
        <v>0</v>
      </c>
      <c r="K281" s="252">
        <f>IF($A281="M",0,_xlfn.XLOOKUP($D281,Fontes!$B:$B,Fontes!$I:$I))</f>
        <v>0</v>
      </c>
      <c r="L281" s="250">
        <f t="shared" si="45"/>
        <v>812.46</v>
      </c>
      <c r="M281" s="300">
        <f t="shared" si="43"/>
        <v>59797.06</v>
      </c>
      <c r="N281" s="243"/>
      <c r="O281" s="517">
        <f t="shared" si="46"/>
        <v>59797.06</v>
      </c>
      <c r="U281" s="540"/>
    </row>
    <row r="282" spans="1:21" outlineLevel="4" x14ac:dyDescent="0.3">
      <c r="A282" s="35" t="s">
        <v>7</v>
      </c>
      <c r="B282" s="36"/>
      <c r="C282" s="495" t="s">
        <v>9963</v>
      </c>
      <c r="D282" s="483" t="s">
        <v>2792</v>
      </c>
      <c r="E282" s="249" t="str">
        <f>UPPER(_xlfn.XLOOKUP($D282,Mercado!C:C,Mercado!E:E,_xlfn.XLOOKUP($D375,Fontes!$B:$B,Fontes!$C:$C)))</f>
        <v>MARKO</v>
      </c>
      <c r="F282" s="327" t="s">
        <v>3533</v>
      </c>
      <c r="G282" s="249" t="str">
        <f>UPPER(_xlfn.XLOOKUP(D282,Mercado!C:C,Mercado!G:G))</f>
        <v>M</v>
      </c>
      <c r="H282" s="440">
        <f>+Mercado!H28</f>
        <v>61.2</v>
      </c>
      <c r="I282" s="440">
        <f>IF($A282="M",_xlfn.XLOOKUP($D282,Mercado!$C:$C,Mercado!$I:$I),_xlfn.XLOOKUP($D282,Fontes!$B:$B,Fontes!$J:$J))</f>
        <v>526.15</v>
      </c>
      <c r="J282" s="252">
        <f>IF($A282="M",_xlfn.XLOOKUP($D282,Mercado!$C:$C,Mercado!$J:$J),_xlfn.XLOOKUP($D282,Fontes!$B:$B,Fontes!$H:$H))</f>
        <v>0</v>
      </c>
      <c r="K282" s="252">
        <f>IF($A282="M",0,_xlfn.XLOOKUP($D282,Fontes!$B:$B,Fontes!$I:$I))</f>
        <v>0</v>
      </c>
      <c r="L282" s="250">
        <f t="shared" si="45"/>
        <v>526.15</v>
      </c>
      <c r="M282" s="300">
        <f t="shared" si="43"/>
        <v>32200.38</v>
      </c>
      <c r="N282" s="243"/>
      <c r="O282" s="517">
        <f t="shared" si="46"/>
        <v>32200.38</v>
      </c>
      <c r="U282" s="540"/>
    </row>
    <row r="283" spans="1:21" outlineLevel="4" x14ac:dyDescent="0.3">
      <c r="A283" s="35" t="s">
        <v>7</v>
      </c>
      <c r="B283" s="36"/>
      <c r="C283" s="495" t="s">
        <v>9964</v>
      </c>
      <c r="D283" s="483" t="s">
        <v>2793</v>
      </c>
      <c r="E283" s="249" t="str">
        <f>UPPER(_xlfn.XLOOKUP($D283,Mercado!C:C,Mercado!E:E,_xlfn.XLOOKUP($D376,Fontes!$B:$B,Fontes!$C:$C)))</f>
        <v>MARKO</v>
      </c>
      <c r="F283" s="327" t="s">
        <v>3534</v>
      </c>
      <c r="G283" s="249" t="str">
        <f>UPPER(_xlfn.XLOOKUP(D283,Mercado!C:C,Mercado!G:G))</f>
        <v>M2</v>
      </c>
      <c r="H283" s="440">
        <f>+Mercado!H29</f>
        <v>2147.06</v>
      </c>
      <c r="I283" s="440">
        <f>IF($A283="M",_xlfn.XLOOKUP($D283,Mercado!$C:$C,Mercado!$I:$I),_xlfn.XLOOKUP($D283,Fontes!$B:$B,Fontes!$J:$J))</f>
        <v>94.27</v>
      </c>
      <c r="J283" s="252">
        <f>IF($A283="M",_xlfn.XLOOKUP($D283,Mercado!$C:$C,Mercado!$J:$J),_xlfn.XLOOKUP($D283,Fontes!$B:$B,Fontes!$H:$H))</f>
        <v>0</v>
      </c>
      <c r="K283" s="252">
        <f>IF($A283="M",0,_xlfn.XLOOKUP($D283,Fontes!$B:$B,Fontes!$I:$I))</f>
        <v>0</v>
      </c>
      <c r="L283" s="250">
        <f t="shared" si="45"/>
        <v>94.27</v>
      </c>
      <c r="M283" s="300">
        <f t="shared" si="43"/>
        <v>202403.35</v>
      </c>
      <c r="N283" s="243"/>
      <c r="O283" s="517">
        <f t="shared" si="46"/>
        <v>202403.35</v>
      </c>
      <c r="U283" s="540"/>
    </row>
    <row r="284" spans="1:21" outlineLevel="4" x14ac:dyDescent="0.3">
      <c r="A284" s="35" t="s">
        <v>7</v>
      </c>
      <c r="B284" s="36"/>
      <c r="C284" s="495" t="s">
        <v>9965</v>
      </c>
      <c r="D284" s="483" t="s">
        <v>2794</v>
      </c>
      <c r="E284" s="249" t="str">
        <f>UPPER(_xlfn.XLOOKUP($D284,Mercado!C:C,Mercado!E:E,_xlfn.XLOOKUP($D377,Fontes!$B:$B,Fontes!$C:$C)))</f>
        <v>MARKO</v>
      </c>
      <c r="F284" s="327" t="s">
        <v>3535</v>
      </c>
      <c r="G284" s="249" t="str">
        <f>UPPER(_xlfn.XLOOKUP(D284,Mercado!C:C,Mercado!G:G))</f>
        <v>M</v>
      </c>
      <c r="H284" s="440">
        <f>+Mercado!H30</f>
        <v>41.6</v>
      </c>
      <c r="I284" s="440">
        <f>IF($A284="M",_xlfn.XLOOKUP($D284,Mercado!$C:$C,Mercado!$I:$I),_xlfn.XLOOKUP($D284,Fontes!$B:$B,Fontes!$J:$J))</f>
        <v>140.24</v>
      </c>
      <c r="J284" s="252">
        <f>IF($A284="M",_xlfn.XLOOKUP($D284,Mercado!$C:$C,Mercado!$J:$J),_xlfn.XLOOKUP($D284,Fontes!$B:$B,Fontes!$H:$H))</f>
        <v>0</v>
      </c>
      <c r="K284" s="252">
        <f>IF($A284="M",0,_xlfn.XLOOKUP($D284,Fontes!$B:$B,Fontes!$I:$I))</f>
        <v>0</v>
      </c>
      <c r="L284" s="250">
        <f t="shared" si="45"/>
        <v>140.24</v>
      </c>
      <c r="M284" s="300">
        <f t="shared" si="43"/>
        <v>5833.98</v>
      </c>
      <c r="N284" s="243"/>
      <c r="O284" s="517">
        <f t="shared" si="46"/>
        <v>5833.98</v>
      </c>
      <c r="U284" s="540"/>
    </row>
    <row r="285" spans="1:21" outlineLevel="4" x14ac:dyDescent="0.3">
      <c r="A285" s="35" t="s">
        <v>7</v>
      </c>
      <c r="B285" s="36"/>
      <c r="C285" s="495" t="s">
        <v>9966</v>
      </c>
      <c r="D285" s="483" t="s">
        <v>2795</v>
      </c>
      <c r="E285" s="249" t="str">
        <f>UPPER(_xlfn.XLOOKUP($D285,Mercado!C:C,Mercado!E:E,_xlfn.XLOOKUP($D378,Fontes!$B:$B,Fontes!$C:$C)))</f>
        <v>MARKO</v>
      </c>
      <c r="F285" s="327" t="s">
        <v>3536</v>
      </c>
      <c r="G285" s="249" t="str">
        <f>UPPER(_xlfn.XLOOKUP(D285,Mercado!C:C,Mercado!G:G))</f>
        <v>M</v>
      </c>
      <c r="H285" s="440">
        <f>+Mercado!H31</f>
        <v>41.6</v>
      </c>
      <c r="I285" s="440">
        <f>IF($A285="M",_xlfn.XLOOKUP($D285,Mercado!$C:$C,Mercado!$I:$I),_xlfn.XLOOKUP($D285,Fontes!$B:$B,Fontes!$J:$J))</f>
        <v>36.270000000000003</v>
      </c>
      <c r="J285" s="252">
        <f>IF($A285="M",_xlfn.XLOOKUP($D285,Mercado!$C:$C,Mercado!$J:$J),_xlfn.XLOOKUP($D285,Fontes!$B:$B,Fontes!$H:$H))</f>
        <v>0</v>
      </c>
      <c r="K285" s="252">
        <f>IF($A285="M",0,_xlfn.XLOOKUP($D285,Fontes!$B:$B,Fontes!$I:$I))</f>
        <v>0</v>
      </c>
      <c r="L285" s="250">
        <f t="shared" si="45"/>
        <v>36.270000000000003</v>
      </c>
      <c r="M285" s="300">
        <f t="shared" si="43"/>
        <v>1508.83</v>
      </c>
      <c r="N285" s="243"/>
      <c r="O285" s="517">
        <f t="shared" si="46"/>
        <v>1508.83</v>
      </c>
      <c r="U285" s="540"/>
    </row>
    <row r="286" spans="1:21" outlineLevel="4" x14ac:dyDescent="0.3">
      <c r="A286" s="35" t="s">
        <v>7</v>
      </c>
      <c r="B286" s="36"/>
      <c r="C286" s="495" t="s">
        <v>9967</v>
      </c>
      <c r="D286" s="483" t="s">
        <v>2796</v>
      </c>
      <c r="E286" s="249" t="str">
        <f>UPPER(_xlfn.XLOOKUP($D286,Mercado!C:C,Mercado!E:E,_xlfn.XLOOKUP($D379,Fontes!$B:$B,Fontes!$C:$C)))</f>
        <v>MARKO</v>
      </c>
      <c r="F286" s="327" t="s">
        <v>3537</v>
      </c>
      <c r="G286" s="249" t="str">
        <f>UPPER(_xlfn.XLOOKUP(D286,Mercado!C:C,Mercado!G:G))</f>
        <v>VG</v>
      </c>
      <c r="H286" s="440">
        <f>+Mercado!H32</f>
        <v>2</v>
      </c>
      <c r="I286" s="440">
        <f>IF($A286="M",_xlfn.XLOOKUP($D286,Mercado!$C:$C,Mercado!$I:$I),_xlfn.XLOOKUP($D286,Fontes!$B:$B,Fontes!$J:$J))</f>
        <v>2500</v>
      </c>
      <c r="J286" s="252">
        <f>IF($A286="M",_xlfn.XLOOKUP($D286,Mercado!$C:$C,Mercado!$J:$J),_xlfn.XLOOKUP($D286,Fontes!$B:$B,Fontes!$H:$H))</f>
        <v>0</v>
      </c>
      <c r="K286" s="252">
        <f>IF($A286="M",0,_xlfn.XLOOKUP($D286,Fontes!$B:$B,Fontes!$I:$I))</f>
        <v>0</v>
      </c>
      <c r="L286" s="250">
        <f t="shared" si="45"/>
        <v>2500</v>
      </c>
      <c r="M286" s="300">
        <f t="shared" si="43"/>
        <v>5000</v>
      </c>
      <c r="N286" s="243"/>
      <c r="O286" s="517">
        <f t="shared" si="46"/>
        <v>5000</v>
      </c>
      <c r="U286" s="540"/>
    </row>
    <row r="287" spans="1:21" outlineLevel="4" x14ac:dyDescent="0.3">
      <c r="A287" s="35" t="s">
        <v>7</v>
      </c>
      <c r="B287" s="36"/>
      <c r="C287" s="495" t="s">
        <v>9968</v>
      </c>
      <c r="D287" s="483" t="s">
        <v>2797</v>
      </c>
      <c r="E287" s="249" t="str">
        <f>UPPER(_xlfn.XLOOKUP($D287,Mercado!C:C,Mercado!E:E,_xlfn.XLOOKUP($D380,Fontes!$B:$B,Fontes!$C:$C)))</f>
        <v>MARKO</v>
      </c>
      <c r="F287" s="327" t="s">
        <v>3538</v>
      </c>
      <c r="G287" s="249" t="str">
        <f>UPPER(_xlfn.XLOOKUP(D287,Mercado!C:C,Mercado!G:G))</f>
        <v>M</v>
      </c>
      <c r="H287" s="440">
        <f>+Mercado!H33</f>
        <v>19.2</v>
      </c>
      <c r="I287" s="440">
        <f>IF($A287="M",_xlfn.XLOOKUP($D287,Mercado!$C:$C,Mercado!$I:$I),_xlfn.XLOOKUP($D287,Fontes!$B:$B,Fontes!$J:$J))</f>
        <v>375</v>
      </c>
      <c r="J287" s="252">
        <f>IF($A287="M",_xlfn.XLOOKUP($D287,Mercado!$C:$C,Mercado!$J:$J),_xlfn.XLOOKUP($D287,Fontes!$B:$B,Fontes!$H:$H))</f>
        <v>0</v>
      </c>
      <c r="K287" s="252">
        <f>IF($A287="M",0,_xlfn.XLOOKUP($D287,Fontes!$B:$B,Fontes!$I:$I))</f>
        <v>0</v>
      </c>
      <c r="L287" s="250">
        <f t="shared" si="45"/>
        <v>375</v>
      </c>
      <c r="M287" s="300">
        <f t="shared" si="43"/>
        <v>7200</v>
      </c>
      <c r="N287" s="243"/>
      <c r="O287" s="517">
        <f t="shared" si="46"/>
        <v>7200</v>
      </c>
      <c r="U287" s="540"/>
    </row>
    <row r="288" spans="1:21" outlineLevel="3" x14ac:dyDescent="0.3">
      <c r="A288" s="36" t="s">
        <v>7</v>
      </c>
      <c r="B288" s="36"/>
      <c r="C288" s="495" t="s">
        <v>781</v>
      </c>
      <c r="D288" s="249"/>
      <c r="E288" s="249" t="str">
        <f>UPPER(IF($D288=0,"",IF($A288=4,_xlfn.XLOOKUP($D288,Mercado!$C:$C,Mercado!$E:$E),_xlfn.XLOOKUP($D288,Fontes!$B:$B,Fontes!$C:$C))))</f>
        <v/>
      </c>
      <c r="F288" s="327" t="s">
        <v>781</v>
      </c>
      <c r="G288" s="249"/>
      <c r="H288" s="439"/>
      <c r="I288" s="439">
        <f>IF($A288="M",_xlfn.XLOOKUP($D288,Mercado!$C:$C,Mercado!$I:$I),_xlfn.XLOOKUP($D288,Fontes!$B:$B,Fontes!$J:$J))</f>
        <v>0</v>
      </c>
      <c r="J288" s="252">
        <f>IF($A288="M",_xlfn.XLOOKUP($D288,Mercado!$C:$C,Mercado!$J:$J),_xlfn.XLOOKUP($D288,Fontes!$B:$B,Fontes!$H:$H))</f>
        <v>0</v>
      </c>
      <c r="K288" s="252">
        <f>IF($A288="M",0,_xlfn.XLOOKUP($D288,Fontes!$B:$B,Fontes!$I:$I))</f>
        <v>0</v>
      </c>
      <c r="L288" s="250">
        <f t="shared" si="45"/>
        <v>0</v>
      </c>
      <c r="M288" s="300">
        <f t="shared" si="43"/>
        <v>0</v>
      </c>
      <c r="O288" s="517" t="str">
        <f t="shared" si="46"/>
        <v/>
      </c>
      <c r="U288" s="540"/>
    </row>
    <row r="289" spans="1:21" outlineLevel="2" x14ac:dyDescent="0.3">
      <c r="A289" s="36" t="s">
        <v>7</v>
      </c>
      <c r="B289" s="36"/>
      <c r="C289" s="496" t="s">
        <v>9969</v>
      </c>
      <c r="D289" s="253"/>
      <c r="E289" s="253" t="str">
        <f>UPPER(IF($D289=0,"",IF($A289=4,_xlfn.XLOOKUP($D289,Mercado!$C:$C,Mercado!$E:$E),_xlfn.XLOOKUP($D289,Fontes!$B:$B,Fontes!$C:$C))))</f>
        <v/>
      </c>
      <c r="F289" s="329" t="s">
        <v>375</v>
      </c>
      <c r="G289" s="253"/>
      <c r="H289" s="254"/>
      <c r="I289" s="254">
        <f>IF($A289="M",_xlfn.XLOOKUP($D289,Mercado!$C:$C,Mercado!$I:$I),_xlfn.XLOOKUP($D289,Fontes!$B:$B,Fontes!$J:$J))</f>
        <v>0</v>
      </c>
      <c r="J289" s="254">
        <f>IF($A289="M",_xlfn.XLOOKUP($D289,Mercado!$C:$C,Mercado!$J:$J),_xlfn.XLOOKUP($D289,Fontes!$B:$B,Fontes!$H:$H))</f>
        <v>0</v>
      </c>
      <c r="K289" s="254">
        <f>IF($A289="M",0,_xlfn.XLOOKUP($D289,Fontes!$B:$B,Fontes!$I:$I))</f>
        <v>0</v>
      </c>
      <c r="L289" s="254">
        <f t="shared" si="45"/>
        <v>0</v>
      </c>
      <c r="M289" s="497">
        <f>SUBTOTAL(9,M290:M295)</f>
        <v>9161.76</v>
      </c>
      <c r="O289" s="517" t="str">
        <f t="shared" si="46"/>
        <v/>
      </c>
      <c r="U289" s="540"/>
    </row>
    <row r="290" spans="1:21" ht="76.8" outlineLevel="4" x14ac:dyDescent="0.3">
      <c r="A290" s="35"/>
      <c r="B290" s="36"/>
      <c r="C290" s="495" t="s">
        <v>9970</v>
      </c>
      <c r="D290" s="249">
        <v>86932</v>
      </c>
      <c r="E290" s="249" t="str">
        <f>UPPER(IF($D290=0,"",IF($A290=4,_xlfn.XLOOKUP($D290,Mercado!$C:$C,Mercado!$E:$E),_xlfn.XLOOKUP($D290,Fontes!$B:$B,Fontes!$C:$C))))</f>
        <v>SINAPI</v>
      </c>
      <c r="F290" s="327" t="s">
        <v>213</v>
      </c>
      <c r="G290" s="249" t="str">
        <f>UPPER(IF($D290=0,"",IF($A290=4,_xlfn.XLOOKUP($D290,Mercado!$C:$C,Mercado!$G:$G),_xlfn.XLOOKUP($D290,Fontes!$B:$B,Fontes!$E:$E))))</f>
        <v>UN</v>
      </c>
      <c r="H290" s="252">
        <v>3</v>
      </c>
      <c r="I290" s="252">
        <f>IF($A290="M",_xlfn.XLOOKUP($D290,Mercado!$C:$C,Mercado!$I:$I),_xlfn.XLOOKUP($D290,Fontes!$B:$B,Fontes!$J:$J))</f>
        <v>567.07000000000005</v>
      </c>
      <c r="J290" s="252">
        <f>IF($A290="M",_xlfn.XLOOKUP($D290,Mercado!$C:$C,Mercado!$J:$J),_xlfn.XLOOKUP($D290,Fontes!$B:$B,Fontes!$H:$H))</f>
        <v>45.39</v>
      </c>
      <c r="K290" s="252">
        <f>IF($A290="M",0,_xlfn.XLOOKUP($D290,Fontes!$B:$B,Fontes!$I:$I))</f>
        <v>3.38</v>
      </c>
      <c r="L290" s="250">
        <f t="shared" si="45"/>
        <v>615.84</v>
      </c>
      <c r="M290" s="300">
        <f t="shared" ref="M290:M295" si="47">ROUND(H290*L290,2)</f>
        <v>1847.52</v>
      </c>
      <c r="N290" s="243"/>
      <c r="O290" s="517">
        <f t="shared" si="46"/>
        <v>1847.52</v>
      </c>
      <c r="U290" s="540"/>
    </row>
    <row r="291" spans="1:21" ht="38.4" outlineLevel="4" x14ac:dyDescent="0.3">
      <c r="A291" s="35"/>
      <c r="B291" s="36"/>
      <c r="C291" s="495" t="s">
        <v>9971</v>
      </c>
      <c r="D291" s="249">
        <v>202314</v>
      </c>
      <c r="E291" s="249" t="str">
        <f>UPPER(IF($D291=0,"",IF($A291=4,_xlfn.XLOOKUP($D291,Mercado!$C:$C,Mercado!$E:$E),_xlfn.XLOOKUP($D291,Fontes!$B:$B,Fontes!$C:$C))))</f>
        <v>SBC</v>
      </c>
      <c r="F291" s="327" t="s">
        <v>1730</v>
      </c>
      <c r="G291" s="249" t="str">
        <f>UPPER(IF($D291=0,"",IF($A291=4,_xlfn.XLOOKUP($D291,Mercado!$C:$C,Mercado!$G:$G),_xlfn.XLOOKUP($D291,Fontes!$B:$B,Fontes!$E:$E))))</f>
        <v>UN</v>
      </c>
      <c r="H291" s="252">
        <v>1</v>
      </c>
      <c r="I291" s="252">
        <f>IF($A291="M",_xlfn.XLOOKUP($D291,Mercado!$C:$C,Mercado!$I:$I),_xlfn.XLOOKUP($D291,Fontes!$B:$B,Fontes!$J:$J))</f>
        <v>1520.59</v>
      </c>
      <c r="J291" s="252">
        <f>IF($A291="M",_xlfn.XLOOKUP($D291,Mercado!$C:$C,Mercado!$J:$J),_xlfn.XLOOKUP($D291,Fontes!$B:$B,Fontes!$H:$H))</f>
        <v>6.48</v>
      </c>
      <c r="K291" s="252">
        <f>IF($A291="M",0,_xlfn.XLOOKUP($D291,Fontes!$B:$B,Fontes!$I:$I))</f>
        <v>0</v>
      </c>
      <c r="L291" s="250">
        <f t="shared" si="45"/>
        <v>1527.07</v>
      </c>
      <c r="M291" s="300">
        <f t="shared" si="47"/>
        <v>1527.07</v>
      </c>
      <c r="N291" s="243"/>
      <c r="O291" s="517">
        <f t="shared" si="46"/>
        <v>1527.07</v>
      </c>
      <c r="U291" s="540"/>
    </row>
    <row r="292" spans="1:21" outlineLevel="4" x14ac:dyDescent="0.3">
      <c r="A292" s="35"/>
      <c r="B292" s="36"/>
      <c r="C292" s="495" t="s">
        <v>9972</v>
      </c>
      <c r="D292" s="249">
        <v>190454</v>
      </c>
      <c r="E292" s="249" t="str">
        <f>UPPER(IF($D292=0,"",IF($A292=4,_xlfn.XLOOKUP($D292,Mercado!$C:$C,Mercado!$E:$E),_xlfn.XLOOKUP($D292,Fontes!$B:$B,Fontes!$C:$C))))</f>
        <v>SBC</v>
      </c>
      <c r="F292" s="327" t="s">
        <v>384</v>
      </c>
      <c r="G292" s="249" t="str">
        <f>UPPER(IF($D292=0,"",IF($A292=4,_xlfn.XLOOKUP($D292,Mercado!$C:$C,Mercado!$G:$G),_xlfn.XLOOKUP($D292,Fontes!$B:$B,Fontes!$E:$E))))</f>
        <v>UN</v>
      </c>
      <c r="H292" s="252">
        <v>1</v>
      </c>
      <c r="I292" s="252">
        <f>IF($A292="M",_xlfn.XLOOKUP($D292,Mercado!$C:$C,Mercado!$I:$I),_xlfn.XLOOKUP($D292,Fontes!$B:$B,Fontes!$J:$J))</f>
        <v>267.31</v>
      </c>
      <c r="J292" s="252">
        <f>IF($A292="M",_xlfn.XLOOKUP($D292,Mercado!$C:$C,Mercado!$J:$J),_xlfn.XLOOKUP($D292,Fontes!$B:$B,Fontes!$H:$H))</f>
        <v>116.76</v>
      </c>
      <c r="K292" s="252">
        <f>IF($A292="M",0,_xlfn.XLOOKUP($D292,Fontes!$B:$B,Fontes!$I:$I))</f>
        <v>0</v>
      </c>
      <c r="L292" s="250">
        <f t="shared" si="45"/>
        <v>384.07</v>
      </c>
      <c r="M292" s="300">
        <f t="shared" si="47"/>
        <v>384.07</v>
      </c>
      <c r="N292" s="243"/>
      <c r="O292" s="517">
        <f t="shared" si="46"/>
        <v>384.07</v>
      </c>
      <c r="U292" s="540"/>
    </row>
    <row r="293" spans="1:21" ht="76.8" outlineLevel="4" x14ac:dyDescent="0.3">
      <c r="A293" s="35"/>
      <c r="B293" s="36"/>
      <c r="C293" s="495" t="s">
        <v>9973</v>
      </c>
      <c r="D293" s="249">
        <v>12437</v>
      </c>
      <c r="E293" s="249" t="str">
        <f>UPPER(IF($D293=0,"",IF($A293=4,_xlfn.XLOOKUP($D293,Mercado!$C:$C,Mercado!$E:$E),_xlfn.XLOOKUP($D293,Fontes!$B:$B,Fontes!$C:$C))))</f>
        <v>ORSE</v>
      </c>
      <c r="F293" s="327" t="s">
        <v>3539</v>
      </c>
      <c r="G293" s="249" t="str">
        <f>UPPER(IF($D293=0,"",IF($A293=4,_xlfn.XLOOKUP($D293,Mercado!$C:$C,Mercado!$G:$G),_xlfn.XLOOKUP($D293,Fontes!$B:$B,Fontes!$E:$E))))</f>
        <v>UN</v>
      </c>
      <c r="H293" s="252">
        <v>3</v>
      </c>
      <c r="I293" s="252">
        <f>IF($A293="M",_xlfn.XLOOKUP($D293,Mercado!$C:$C,Mercado!$I:$I),_xlfn.XLOOKUP($D293,Fontes!$B:$B,Fontes!$J:$J))</f>
        <v>1331.74</v>
      </c>
      <c r="J293" s="252">
        <f>IF($A293="M",_xlfn.XLOOKUP($D293,Mercado!$C:$C,Mercado!$J:$J),_xlfn.XLOOKUP($D293,Fontes!$B:$B,Fontes!$H:$H))</f>
        <v>54.07</v>
      </c>
      <c r="K293" s="252">
        <f>IF($A293="M",0,_xlfn.XLOOKUP($D293,Fontes!$B:$B,Fontes!$I:$I))</f>
        <v>0</v>
      </c>
      <c r="L293" s="250">
        <f t="shared" si="45"/>
        <v>1385.81</v>
      </c>
      <c r="M293" s="300">
        <f t="shared" si="47"/>
        <v>4157.43</v>
      </c>
      <c r="N293" s="243"/>
      <c r="O293" s="517">
        <f t="shared" si="46"/>
        <v>4157.43</v>
      </c>
      <c r="U293" s="540"/>
    </row>
    <row r="294" spans="1:21" ht="38.4" outlineLevel="4" x14ac:dyDescent="0.3">
      <c r="A294" s="35"/>
      <c r="B294" s="36"/>
      <c r="C294" s="495" t="s">
        <v>9974</v>
      </c>
      <c r="D294" s="249">
        <v>190213</v>
      </c>
      <c r="E294" s="249" t="str">
        <f>UPPER(IF($D294=0,"",IF($A294=4,_xlfn.XLOOKUP($D294,Mercado!$C:$C,Mercado!$E:$E),_xlfn.XLOOKUP($D294,Fontes!$B:$B,Fontes!$C:$C))))</f>
        <v>SBC</v>
      </c>
      <c r="F294" s="327" t="s">
        <v>3540</v>
      </c>
      <c r="G294" s="249" t="str">
        <f>UPPER(IF($D294=0,"",IF($A294=4,_xlfn.XLOOKUP($D294,Mercado!$C:$C,Mercado!$G:$G),_xlfn.XLOOKUP($D294,Fontes!$B:$B,Fontes!$E:$E))))</f>
        <v>UN</v>
      </c>
      <c r="H294" s="252">
        <v>1</v>
      </c>
      <c r="I294" s="252">
        <f>IF($A294="M",_xlfn.XLOOKUP($D294,Mercado!$C:$C,Mercado!$I:$I),_xlfn.XLOOKUP($D294,Fontes!$B:$B,Fontes!$J:$J))</f>
        <v>1155.78</v>
      </c>
      <c r="J294" s="252">
        <f>IF($A294="M",_xlfn.XLOOKUP($D294,Mercado!$C:$C,Mercado!$J:$J),_xlfn.XLOOKUP($D294,Fontes!$B:$B,Fontes!$H:$H))</f>
        <v>89.89</v>
      </c>
      <c r="K294" s="252">
        <f>IF($A294="M",0,_xlfn.XLOOKUP($D294,Fontes!$B:$B,Fontes!$I:$I))</f>
        <v>0</v>
      </c>
      <c r="L294" s="250">
        <f t="shared" si="45"/>
        <v>1245.67</v>
      </c>
      <c r="M294" s="300">
        <f t="shared" si="47"/>
        <v>1245.67</v>
      </c>
      <c r="N294" s="243"/>
      <c r="O294" s="517">
        <f t="shared" si="46"/>
        <v>1245.67</v>
      </c>
      <c r="U294" s="540"/>
    </row>
    <row r="295" spans="1:21" outlineLevel="3" x14ac:dyDescent="0.3">
      <c r="A295" s="36" t="s">
        <v>7</v>
      </c>
      <c r="B295" s="36"/>
      <c r="C295" s="495" t="s">
        <v>781</v>
      </c>
      <c r="D295" s="249"/>
      <c r="E295" s="249" t="str">
        <f>UPPER(IF($D295=0,"",IF($A295=4,_xlfn.XLOOKUP($D295,Mercado!$C:$C,Mercado!$E:$E),_xlfn.XLOOKUP($D295,Fontes!$B:$B,Fontes!$C:$C))))</f>
        <v/>
      </c>
      <c r="F295" s="327" t="s">
        <v>781</v>
      </c>
      <c r="G295" s="249"/>
      <c r="H295" s="252"/>
      <c r="I295" s="252">
        <f>IF($A295="M",_xlfn.XLOOKUP($D295,Mercado!$C:$C,Mercado!$I:$I),_xlfn.XLOOKUP($D295,Fontes!$B:$B,Fontes!$J:$J))</f>
        <v>0</v>
      </c>
      <c r="J295" s="252">
        <f>IF($A295="M",_xlfn.XLOOKUP($D295,Mercado!$C:$C,Mercado!$J:$J),_xlfn.XLOOKUP($D295,Fontes!$B:$B,Fontes!$H:$H))</f>
        <v>0</v>
      </c>
      <c r="K295" s="252">
        <f>IF($A295="M",0,_xlfn.XLOOKUP($D295,Fontes!$B:$B,Fontes!$I:$I))</f>
        <v>0</v>
      </c>
      <c r="L295" s="250">
        <f t="shared" si="45"/>
        <v>0</v>
      </c>
      <c r="M295" s="300">
        <f t="shared" si="47"/>
        <v>0</v>
      </c>
      <c r="O295" s="517" t="str">
        <f t="shared" si="46"/>
        <v/>
      </c>
      <c r="U295" s="540"/>
    </row>
    <row r="296" spans="1:21" outlineLevel="2" x14ac:dyDescent="0.3">
      <c r="A296" s="36" t="s">
        <v>7</v>
      </c>
      <c r="B296" s="36"/>
      <c r="C296" s="496" t="s">
        <v>9975</v>
      </c>
      <c r="D296" s="253"/>
      <c r="E296" s="253" t="str">
        <f>UPPER(IF($D296=0,"",IF($A296=4,_xlfn.XLOOKUP($D296,Mercado!$C:$C,Mercado!$E:$E),_xlfn.XLOOKUP($D296,Fontes!$B:$B,Fontes!$C:$C))))</f>
        <v/>
      </c>
      <c r="F296" s="329" t="s">
        <v>374</v>
      </c>
      <c r="G296" s="253"/>
      <c r="H296" s="254"/>
      <c r="I296" s="254">
        <f>IF($A296="M",_xlfn.XLOOKUP($D296,Mercado!$C:$C,Mercado!$I:$I),_xlfn.XLOOKUP($D296,Fontes!$B:$B,Fontes!$J:$J))</f>
        <v>0</v>
      </c>
      <c r="J296" s="254">
        <f>IF($A296="M",_xlfn.XLOOKUP($D296,Mercado!$C:$C,Mercado!$J:$J),_xlfn.XLOOKUP($D296,Fontes!$B:$B,Fontes!$H:$H))</f>
        <v>0</v>
      </c>
      <c r="K296" s="254">
        <f>IF($A296="M",0,_xlfn.XLOOKUP($D296,Fontes!$B:$B,Fontes!$I:$I))</f>
        <v>0</v>
      </c>
      <c r="L296" s="254">
        <f t="shared" si="45"/>
        <v>0</v>
      </c>
      <c r="M296" s="497">
        <f>SUBTOTAL(9,M297:M300)</f>
        <v>4052.05</v>
      </c>
      <c r="O296" s="517" t="str">
        <f t="shared" si="46"/>
        <v/>
      </c>
      <c r="U296" s="540"/>
    </row>
    <row r="297" spans="1:21" ht="46.8" outlineLevel="4" x14ac:dyDescent="0.3">
      <c r="A297" s="35"/>
      <c r="B297" s="36"/>
      <c r="C297" s="495" t="s">
        <v>9976</v>
      </c>
      <c r="D297" s="249">
        <v>374</v>
      </c>
      <c r="E297" s="249" t="str">
        <f>UPPER(IF($D297=0,"",IF($A297=4,_xlfn.XLOOKUP($D297,Mercado!$C:$C,Mercado!$E:$E),_xlfn.XLOOKUP($D297,Fontes!$B:$B,Fontes!$C:$C))))</f>
        <v>PRÓPRIO</v>
      </c>
      <c r="F297" s="502" t="s">
        <v>9725</v>
      </c>
      <c r="G297" s="249" t="str">
        <f>UPPER(IF($D297=0,"",IF($A297=4,_xlfn.XLOOKUP($D297,Mercado!$C:$C,Mercado!$G:$G),_xlfn.XLOOKUP($D297,Fontes!$B:$B,Fontes!$E:$E))))</f>
        <v>UN</v>
      </c>
      <c r="H297" s="252">
        <v>2</v>
      </c>
      <c r="I297" s="252">
        <f>IF($A297="M",_xlfn.XLOOKUP($D297,Mercado!$C:$C,Mercado!$I:$I),_xlfn.XLOOKUP($D297,Fontes!$B:$B,Fontes!$J:$J))</f>
        <v>649.95000000000005</v>
      </c>
      <c r="J297" s="252">
        <f>IF($A297="M",_xlfn.XLOOKUP($D297,Mercado!$C:$C,Mercado!$J:$J),_xlfn.XLOOKUP($D297,Fontes!$B:$B,Fontes!$H:$H))</f>
        <v>69.319999999999993</v>
      </c>
      <c r="K297" s="252">
        <f>IF($A297="M",0,_xlfn.XLOOKUP($D297,Fontes!$B:$B,Fontes!$I:$I))</f>
        <v>6.82</v>
      </c>
      <c r="L297" s="252">
        <f t="shared" si="45"/>
        <v>726.09</v>
      </c>
      <c r="M297" s="300">
        <f t="shared" ref="M297:M300" si="48">ROUND(H297*L297,2)</f>
        <v>1452.18</v>
      </c>
      <c r="N297" s="243"/>
      <c r="O297" s="517">
        <f t="shared" si="46"/>
        <v>1452.18</v>
      </c>
      <c r="U297" s="540"/>
    </row>
    <row r="298" spans="1:21" ht="46.8" outlineLevel="4" x14ac:dyDescent="0.3">
      <c r="A298" s="35"/>
      <c r="B298" s="36"/>
      <c r="C298" s="495" t="s">
        <v>9977</v>
      </c>
      <c r="D298" s="249">
        <v>375</v>
      </c>
      <c r="E298" s="249" t="str">
        <f>UPPER(IF($D298=0,"",IF($A298=4,_xlfn.XLOOKUP($D298,Mercado!$C:$C,Mercado!$E:$E),_xlfn.XLOOKUP($D298,Fontes!$B:$B,Fontes!$C:$C))))</f>
        <v>PRÓPRIO</v>
      </c>
      <c r="F298" s="502" t="s">
        <v>9726</v>
      </c>
      <c r="G298" s="249" t="str">
        <f>UPPER(IF($D298=0,"",IF($A298=4,_xlfn.XLOOKUP($D298,Mercado!$C:$C,Mercado!$G:$G),_xlfn.XLOOKUP($D298,Fontes!$B:$B,Fontes!$E:$E))))</f>
        <v>UN</v>
      </c>
      <c r="H298" s="252">
        <v>1</v>
      </c>
      <c r="I298" s="252">
        <f>IF($A298="M",_xlfn.XLOOKUP($D298,Mercado!$C:$C,Mercado!$I:$I),_xlfn.XLOOKUP($D298,Fontes!$B:$B,Fontes!$J:$J))</f>
        <v>668.96</v>
      </c>
      <c r="J298" s="252">
        <f>IF($A298="M",_xlfn.XLOOKUP($D298,Mercado!$C:$C,Mercado!$J:$J),_xlfn.XLOOKUP($D298,Fontes!$B:$B,Fontes!$H:$H))</f>
        <v>81.12</v>
      </c>
      <c r="K298" s="252">
        <f>IF($A298="M",0,_xlfn.XLOOKUP($D298,Fontes!$B:$B,Fontes!$I:$I))</f>
        <v>7.99</v>
      </c>
      <c r="L298" s="252">
        <f t="shared" si="45"/>
        <v>758.07</v>
      </c>
      <c r="M298" s="300">
        <f t="shared" si="48"/>
        <v>758.07</v>
      </c>
      <c r="N298" s="243"/>
      <c r="O298" s="517">
        <f t="shared" si="46"/>
        <v>758.07</v>
      </c>
      <c r="U298" s="540"/>
    </row>
    <row r="299" spans="1:21" ht="62.4" outlineLevel="4" x14ac:dyDescent="0.3">
      <c r="A299" s="35"/>
      <c r="B299" s="36"/>
      <c r="C299" s="495" t="s">
        <v>9978</v>
      </c>
      <c r="D299" s="249">
        <v>376</v>
      </c>
      <c r="E299" s="249" t="str">
        <f>UPPER(IF($D299=0,"",IF($A299=4,_xlfn.XLOOKUP($D299,Mercado!$C:$C,Mercado!$E:$E),_xlfn.XLOOKUP($D299,Fontes!$B:$B,Fontes!$C:$C))))</f>
        <v>PRÓPRIO</v>
      </c>
      <c r="F299" s="502" t="s">
        <v>9727</v>
      </c>
      <c r="G299" s="249" t="str">
        <f>UPPER(IF($D299=0,"",IF($A299=4,_xlfn.XLOOKUP($D299,Mercado!$C:$C,Mercado!$G:$G),_xlfn.XLOOKUP($D299,Fontes!$B:$B,Fontes!$E:$E))))</f>
        <v>UN</v>
      </c>
      <c r="H299" s="252">
        <v>1</v>
      </c>
      <c r="I299" s="252">
        <f>IF($A299="M",_xlfn.XLOOKUP($D299,Mercado!$C:$C,Mercado!$I:$I),_xlfn.XLOOKUP($D299,Fontes!$B:$B,Fontes!$J:$J))</f>
        <v>1702.75</v>
      </c>
      <c r="J299" s="252">
        <f>IF($A299="M",_xlfn.XLOOKUP($D299,Mercado!$C:$C,Mercado!$J:$J),_xlfn.XLOOKUP($D299,Fontes!$B:$B,Fontes!$H:$H))</f>
        <v>126.59</v>
      </c>
      <c r="K299" s="252">
        <f>IF($A299="M",0,_xlfn.XLOOKUP($D299,Fontes!$B:$B,Fontes!$I:$I))</f>
        <v>12.46</v>
      </c>
      <c r="L299" s="252">
        <f t="shared" si="45"/>
        <v>1841.8</v>
      </c>
      <c r="M299" s="300">
        <f t="shared" si="48"/>
        <v>1841.8</v>
      </c>
      <c r="N299" s="243"/>
      <c r="O299" s="517">
        <f t="shared" si="46"/>
        <v>1841.8</v>
      </c>
      <c r="U299" s="540"/>
    </row>
    <row r="300" spans="1:21" outlineLevel="3" x14ac:dyDescent="0.3">
      <c r="A300" s="36" t="s">
        <v>7</v>
      </c>
      <c r="B300" s="36"/>
      <c r="C300" s="495" t="s">
        <v>781</v>
      </c>
      <c r="D300" s="249"/>
      <c r="E300" s="249" t="str">
        <f>UPPER(IF($D300=0,"",IF($A300=4,_xlfn.XLOOKUP($D300,Mercado!$C:$C,Mercado!$E:$E),_xlfn.XLOOKUP($D300,Fontes!$B:$B,Fontes!$C:$C))))</f>
        <v/>
      </c>
      <c r="F300" s="327" t="s">
        <v>781</v>
      </c>
      <c r="G300" s="249"/>
      <c r="H300" s="252"/>
      <c r="I300" s="252">
        <f>IF($A300="M",_xlfn.XLOOKUP($D300,Mercado!$C:$C,Mercado!$I:$I),_xlfn.XLOOKUP($D300,Fontes!$B:$B,Fontes!$J:$J))</f>
        <v>0</v>
      </c>
      <c r="J300" s="252">
        <f>IF($A300="M",_xlfn.XLOOKUP($D300,Mercado!$C:$C,Mercado!$J:$J),_xlfn.XLOOKUP($D300,Fontes!$B:$B,Fontes!$H:$H))</f>
        <v>0</v>
      </c>
      <c r="K300" s="252">
        <f>IF($A300="M",0,_xlfn.XLOOKUP($D300,Fontes!$B:$B,Fontes!$I:$I))</f>
        <v>0</v>
      </c>
      <c r="L300" s="250">
        <f t="shared" si="45"/>
        <v>0</v>
      </c>
      <c r="M300" s="300">
        <f t="shared" si="48"/>
        <v>0</v>
      </c>
      <c r="O300" s="517" t="str">
        <f t="shared" si="46"/>
        <v/>
      </c>
      <c r="U300" s="540"/>
    </row>
    <row r="301" spans="1:21" outlineLevel="2" x14ac:dyDescent="0.3">
      <c r="A301" s="36" t="s">
        <v>7</v>
      </c>
      <c r="B301" s="36"/>
      <c r="C301" s="496" t="s">
        <v>9979</v>
      </c>
      <c r="D301" s="253"/>
      <c r="E301" s="253" t="str">
        <f>UPPER(IF($D301=0,"",IF($A301=4,_xlfn.XLOOKUP($D301,Mercado!$C:$C,Mercado!$E:$E),_xlfn.XLOOKUP($D301,Fontes!$B:$B,Fontes!$C:$C))))</f>
        <v/>
      </c>
      <c r="F301" s="329" t="s">
        <v>299</v>
      </c>
      <c r="G301" s="253"/>
      <c r="H301" s="254"/>
      <c r="I301" s="254">
        <f>IF($A301="M",_xlfn.XLOOKUP($D301,Mercado!$C:$C,Mercado!$I:$I),_xlfn.XLOOKUP($D301,Fontes!$B:$B,Fontes!$J:$J))</f>
        <v>0</v>
      </c>
      <c r="J301" s="254">
        <f>IF($A301="M",_xlfn.XLOOKUP($D301,Mercado!$C:$C,Mercado!$J:$J),_xlfn.XLOOKUP($D301,Fontes!$B:$B,Fontes!$H:$H))</f>
        <v>0</v>
      </c>
      <c r="K301" s="254">
        <f>IF($A301="M",0,_xlfn.XLOOKUP($D301,Fontes!$B:$B,Fontes!$I:$I))</f>
        <v>0</v>
      </c>
      <c r="L301" s="254">
        <f t="shared" si="45"/>
        <v>0</v>
      </c>
      <c r="M301" s="497">
        <f>SUBTOTAL(9,M302:M324)</f>
        <v>20478.820000000003</v>
      </c>
      <c r="O301" s="517" t="str">
        <f t="shared" si="46"/>
        <v/>
      </c>
      <c r="U301" s="540"/>
    </row>
    <row r="302" spans="1:21" ht="18.600000000000001" customHeight="1" outlineLevel="4" x14ac:dyDescent="0.3">
      <c r="A302" s="35"/>
      <c r="B302" s="36"/>
      <c r="C302" s="495" t="s">
        <v>9980</v>
      </c>
      <c r="D302" s="249" t="s">
        <v>719</v>
      </c>
      <c r="E302" s="249" t="str">
        <f>UPPER(IF($D302=0,"",IF($A302=4,_xlfn.XLOOKUP($D302,Mercado!$C:$C,Mercado!$E:$E),_xlfn.XLOOKUP($D302,Fontes!$B:$B,Fontes!$C:$C))))</f>
        <v>CPOS/CDHU</v>
      </c>
      <c r="F302" s="327" t="s">
        <v>9721</v>
      </c>
      <c r="G302" s="249" t="str">
        <f>UPPER(IF($D302=0,"",IF($A302=4,_xlfn.XLOOKUP($D302,Mercado!$C:$C,Mercado!$G:$G),_xlfn.XLOOKUP($D302,Fontes!$B:$B,Fontes!$E:$E))))</f>
        <v>UN</v>
      </c>
      <c r="H302" s="252">
        <v>10</v>
      </c>
      <c r="I302" s="252">
        <f>IF($A302="M",_xlfn.XLOOKUP($D302,Mercado!$C:$C,Mercado!$I:$I),_xlfn.XLOOKUP($D302,Fontes!$B:$B,Fontes!$J:$J))</f>
        <v>60.66</v>
      </c>
      <c r="J302" s="252">
        <f>IF($A302="M",_xlfn.XLOOKUP($D302,Mercado!$C:$C,Mercado!$J:$J),_xlfn.XLOOKUP($D302,Fontes!$B:$B,Fontes!$H:$H))</f>
        <v>6.91</v>
      </c>
      <c r="K302" s="252">
        <f>IF($A302="M",0,_xlfn.XLOOKUP($D302,Fontes!$B:$B,Fontes!$I:$I))</f>
        <v>0</v>
      </c>
      <c r="L302" s="252">
        <f t="shared" si="45"/>
        <v>67.569999999999993</v>
      </c>
      <c r="M302" s="300">
        <f t="shared" ref="M302:M324" si="49">ROUND(H302*L302,2)</f>
        <v>675.7</v>
      </c>
      <c r="N302" s="243"/>
      <c r="O302" s="517">
        <f t="shared" si="46"/>
        <v>675.7</v>
      </c>
      <c r="U302" s="540"/>
    </row>
    <row r="303" spans="1:21" ht="38.4" outlineLevel="4" x14ac:dyDescent="0.3">
      <c r="A303" s="35"/>
      <c r="B303" s="36"/>
      <c r="C303" s="495" t="s">
        <v>9981</v>
      </c>
      <c r="D303" s="249">
        <v>656</v>
      </c>
      <c r="E303" s="249" t="str">
        <f>UPPER(IF($D303=0,"",IF($A303=4,_xlfn.XLOOKUP($D303,Mercado!$C:$C,Mercado!$E:$E),_xlfn.XLOOKUP($D303,Fontes!$B:$B,Fontes!$C:$C))))</f>
        <v>PRÓPRIO</v>
      </c>
      <c r="F303" s="327" t="s">
        <v>2103</v>
      </c>
      <c r="G303" s="249" t="str">
        <f>UPPER(IF($D303=0,"",IF($A303=4,_xlfn.XLOOKUP($D303,Mercado!$C:$C,Mercado!$G:$G),_xlfn.XLOOKUP($D303,Fontes!$B:$B,Fontes!$E:$E))))</f>
        <v>UN</v>
      </c>
      <c r="H303" s="252">
        <v>4</v>
      </c>
      <c r="I303" s="252">
        <f>IF($A303="M",_xlfn.XLOOKUP($D303,Mercado!$C:$C,Mercado!$I:$I),_xlfn.XLOOKUP($D303,Fontes!$B:$B,Fontes!$J:$J))</f>
        <v>235.86</v>
      </c>
      <c r="J303" s="252">
        <f>IF($A303="M",_xlfn.XLOOKUP($D303,Mercado!$C:$C,Mercado!$J:$J),_xlfn.XLOOKUP($D303,Fontes!$B:$B,Fontes!$H:$H))</f>
        <v>6.91</v>
      </c>
      <c r="K303" s="252">
        <f>IF($A303="M",0,_xlfn.XLOOKUP($D303,Fontes!$B:$B,Fontes!$I:$I))</f>
        <v>0</v>
      </c>
      <c r="L303" s="252">
        <f t="shared" si="45"/>
        <v>242.77</v>
      </c>
      <c r="M303" s="300">
        <f t="shared" si="49"/>
        <v>971.08</v>
      </c>
      <c r="N303" s="243"/>
      <c r="O303" s="517">
        <f t="shared" si="46"/>
        <v>971.08</v>
      </c>
      <c r="U303" s="540"/>
    </row>
    <row r="304" spans="1:21" ht="38.4" outlineLevel="4" x14ac:dyDescent="0.3">
      <c r="A304" s="35"/>
      <c r="B304" s="36"/>
      <c r="C304" s="495" t="s">
        <v>9982</v>
      </c>
      <c r="D304" s="249">
        <v>370</v>
      </c>
      <c r="E304" s="249" t="str">
        <f>UPPER(IF($D304=0,"",IF($A304=4,_xlfn.XLOOKUP($D304,Mercado!$C:$C,Mercado!$E:$E),_xlfn.XLOOKUP($D304,Fontes!$B:$B,Fontes!$C:$C))))</f>
        <v>PRÓPRIO</v>
      </c>
      <c r="F304" s="327" t="s">
        <v>1742</v>
      </c>
      <c r="G304" s="249" t="str">
        <f>UPPER(IF($D304=0,"",IF($A304=4,_xlfn.XLOOKUP($D304,Mercado!$C:$C,Mercado!$G:$G),_xlfn.XLOOKUP($D304,Fontes!$B:$B,Fontes!$E:$E))))</f>
        <v>UN</v>
      </c>
      <c r="H304" s="252">
        <v>4</v>
      </c>
      <c r="I304" s="252">
        <f>IF($A304="M",_xlfn.XLOOKUP($D304,Mercado!$C:$C,Mercado!$I:$I),_xlfn.XLOOKUP($D304,Fontes!$B:$B,Fontes!$J:$J))</f>
        <v>119.98</v>
      </c>
      <c r="J304" s="252">
        <f>IF($A304="M",_xlfn.XLOOKUP($D304,Mercado!$C:$C,Mercado!$J:$J),_xlfn.XLOOKUP($D304,Fontes!$B:$B,Fontes!$H:$H))</f>
        <v>6.91</v>
      </c>
      <c r="K304" s="252">
        <f>IF($A304="M",0,_xlfn.XLOOKUP($D304,Fontes!$B:$B,Fontes!$I:$I))</f>
        <v>0</v>
      </c>
      <c r="L304" s="252">
        <f t="shared" si="45"/>
        <v>126.89</v>
      </c>
      <c r="M304" s="300">
        <f t="shared" si="49"/>
        <v>507.56</v>
      </c>
      <c r="N304" s="243"/>
      <c r="O304" s="517">
        <f t="shared" si="46"/>
        <v>507.56</v>
      </c>
      <c r="U304" s="540"/>
    </row>
    <row r="305" spans="1:21" ht="38.4" outlineLevel="4" x14ac:dyDescent="0.3">
      <c r="A305" s="35"/>
      <c r="B305" s="36"/>
      <c r="C305" s="495" t="s">
        <v>9983</v>
      </c>
      <c r="D305" s="249">
        <v>371</v>
      </c>
      <c r="E305" s="249" t="str">
        <f>UPPER(IF($D305=0,"",IF($A305=4,_xlfn.XLOOKUP($D305,Mercado!$C:$C,Mercado!$E:$E),_xlfn.XLOOKUP($D305,Fontes!$B:$B,Fontes!$C:$C))))</f>
        <v>PRÓPRIO</v>
      </c>
      <c r="F305" s="327" t="s">
        <v>1744</v>
      </c>
      <c r="G305" s="249" t="str">
        <f>UPPER(IF($D305=0,"",IF($A305=4,_xlfn.XLOOKUP($D305,Mercado!$C:$C,Mercado!$G:$G),_xlfn.XLOOKUP($D305,Fontes!$B:$B,Fontes!$E:$E))))</f>
        <v>UN</v>
      </c>
      <c r="H305" s="252">
        <v>3</v>
      </c>
      <c r="I305" s="252">
        <f>IF($A305="M",_xlfn.XLOOKUP($D305,Mercado!$C:$C,Mercado!$I:$I),_xlfn.XLOOKUP($D305,Fontes!$B:$B,Fontes!$J:$J))</f>
        <v>146</v>
      </c>
      <c r="J305" s="252">
        <f>IF($A305="M",_xlfn.XLOOKUP($D305,Mercado!$C:$C,Mercado!$J:$J),_xlfn.XLOOKUP($D305,Fontes!$B:$B,Fontes!$H:$H))</f>
        <v>6.91</v>
      </c>
      <c r="K305" s="252">
        <f>IF($A305="M",0,_xlfn.XLOOKUP($D305,Fontes!$B:$B,Fontes!$I:$I))</f>
        <v>0</v>
      </c>
      <c r="L305" s="252">
        <f t="shared" si="45"/>
        <v>152.91</v>
      </c>
      <c r="M305" s="300">
        <f t="shared" si="49"/>
        <v>458.73</v>
      </c>
      <c r="N305" s="243"/>
      <c r="O305" s="517">
        <f t="shared" si="46"/>
        <v>458.73</v>
      </c>
      <c r="U305" s="540"/>
    </row>
    <row r="306" spans="1:21" ht="38.4" outlineLevel="4" x14ac:dyDescent="0.3">
      <c r="A306" s="35"/>
      <c r="B306" s="36"/>
      <c r="C306" s="495" t="s">
        <v>9984</v>
      </c>
      <c r="D306" s="249">
        <v>372</v>
      </c>
      <c r="E306" s="249" t="str">
        <f>UPPER(IF($D306=0,"",IF($A306=4,_xlfn.XLOOKUP($D306,Mercado!$C:$C,Mercado!$E:$E),_xlfn.XLOOKUP($D306,Fontes!$B:$B,Fontes!$C:$C))))</f>
        <v>PRÓPRIO</v>
      </c>
      <c r="F306" s="327" t="s">
        <v>1746</v>
      </c>
      <c r="G306" s="249" t="str">
        <f>UPPER(IF($D306=0,"",IF($A306=4,_xlfn.XLOOKUP($D306,Mercado!$C:$C,Mercado!$G:$G),_xlfn.XLOOKUP($D306,Fontes!$B:$B,Fontes!$E:$E))))</f>
        <v>UN</v>
      </c>
      <c r="H306" s="252">
        <v>9</v>
      </c>
      <c r="I306" s="252">
        <f>IF($A306="M",_xlfn.XLOOKUP($D306,Mercado!$C:$C,Mercado!$I:$I),_xlfn.XLOOKUP($D306,Fontes!$B:$B,Fontes!$J:$J))</f>
        <v>223.91</v>
      </c>
      <c r="J306" s="252">
        <f>IF($A306="M",_xlfn.XLOOKUP($D306,Mercado!$C:$C,Mercado!$J:$J),_xlfn.XLOOKUP($D306,Fontes!$B:$B,Fontes!$H:$H))</f>
        <v>15.02</v>
      </c>
      <c r="K306" s="252">
        <f>IF($A306="M",0,_xlfn.XLOOKUP($D306,Fontes!$B:$B,Fontes!$I:$I))</f>
        <v>0</v>
      </c>
      <c r="L306" s="252">
        <f t="shared" si="45"/>
        <v>238.93</v>
      </c>
      <c r="M306" s="300">
        <f t="shared" si="49"/>
        <v>2150.37</v>
      </c>
      <c r="N306" s="243"/>
      <c r="O306" s="517">
        <f t="shared" si="46"/>
        <v>2150.37</v>
      </c>
      <c r="U306" s="540"/>
    </row>
    <row r="307" spans="1:21" ht="38.4" outlineLevel="4" x14ac:dyDescent="0.3">
      <c r="A307" s="35"/>
      <c r="B307" s="36"/>
      <c r="C307" s="495" t="s">
        <v>9985</v>
      </c>
      <c r="D307" s="249" t="s">
        <v>1728</v>
      </c>
      <c r="E307" s="249" t="str">
        <f>UPPER(IF($D307=0,"",IF($A307=4,_xlfn.XLOOKUP($D307,Mercado!$C:$C,Mercado!$E:$E),_xlfn.XLOOKUP($D307,Fontes!$B:$B,Fontes!$C:$C))))</f>
        <v>CPOS/CDHU</v>
      </c>
      <c r="F307" s="327" t="s">
        <v>3541</v>
      </c>
      <c r="G307" s="249" t="str">
        <f>UPPER(IF($D307=0,"",IF($A307=4,_xlfn.XLOOKUP($D307,Mercado!$C:$C,Mercado!$G:$G),_xlfn.XLOOKUP($D307,Fontes!$B:$B,Fontes!$E:$E))))</f>
        <v>UN</v>
      </c>
      <c r="H307" s="252">
        <v>9</v>
      </c>
      <c r="I307" s="252">
        <f>IF($A307="M",_xlfn.XLOOKUP($D307,Mercado!$C:$C,Mercado!$I:$I),_xlfn.XLOOKUP($D307,Fontes!$B:$B,Fontes!$J:$J))</f>
        <v>70.55</v>
      </c>
      <c r="J307" s="252">
        <f>IF($A307="M",_xlfn.XLOOKUP($D307,Mercado!$C:$C,Mercado!$J:$J),_xlfn.XLOOKUP($D307,Fontes!$B:$B,Fontes!$H:$H))</f>
        <v>6.91</v>
      </c>
      <c r="K307" s="252">
        <f>IF($A307="M",0,_xlfn.XLOOKUP($D307,Fontes!$B:$B,Fontes!$I:$I))</f>
        <v>0</v>
      </c>
      <c r="L307" s="252">
        <f t="shared" si="45"/>
        <v>77.459999999999994</v>
      </c>
      <c r="M307" s="300">
        <f t="shared" si="49"/>
        <v>697.14</v>
      </c>
      <c r="N307" s="243"/>
      <c r="O307" s="517">
        <f t="shared" si="46"/>
        <v>697.14</v>
      </c>
      <c r="U307" s="540"/>
    </row>
    <row r="308" spans="1:21" ht="38.4" outlineLevel="4" x14ac:dyDescent="0.3">
      <c r="A308" s="35"/>
      <c r="B308" s="36"/>
      <c r="C308" s="495" t="s">
        <v>9986</v>
      </c>
      <c r="D308" s="249">
        <v>202351</v>
      </c>
      <c r="E308" s="249" t="str">
        <f>UPPER(IF($D308=0,"",IF($A308=4,_xlfn.XLOOKUP($D308,Mercado!$C:$C,Mercado!$E:$E),_xlfn.XLOOKUP($D308,Fontes!$B:$B,Fontes!$C:$C))))</f>
        <v>SBC</v>
      </c>
      <c r="F308" s="327" t="s">
        <v>1732</v>
      </c>
      <c r="G308" s="249" t="str">
        <f>UPPER(IF($D308=0,"",IF($A308=4,_xlfn.XLOOKUP($D308,Mercado!$C:$C,Mercado!$G:$G),_xlfn.XLOOKUP($D308,Fontes!$B:$B,Fontes!$E:$E))))</f>
        <v>UN</v>
      </c>
      <c r="H308" s="252">
        <v>4</v>
      </c>
      <c r="I308" s="252">
        <f>IF($A308="M",_xlfn.XLOOKUP($D308,Mercado!$C:$C,Mercado!$I:$I),_xlfn.XLOOKUP($D308,Fontes!$B:$B,Fontes!$J:$J))</f>
        <v>664.99</v>
      </c>
      <c r="J308" s="252">
        <f>IF($A308="M",_xlfn.XLOOKUP($D308,Mercado!$C:$C,Mercado!$J:$J),_xlfn.XLOOKUP($D308,Fontes!$B:$B,Fontes!$H:$H))</f>
        <v>18.39</v>
      </c>
      <c r="K308" s="252">
        <f>IF($A308="M",0,_xlfn.XLOOKUP($D308,Fontes!$B:$B,Fontes!$I:$I))</f>
        <v>0</v>
      </c>
      <c r="L308" s="252">
        <f t="shared" si="45"/>
        <v>683.38</v>
      </c>
      <c r="M308" s="300">
        <f t="shared" si="49"/>
        <v>2733.52</v>
      </c>
      <c r="N308" s="243"/>
      <c r="O308" s="517">
        <f t="shared" si="46"/>
        <v>2733.52</v>
      </c>
      <c r="U308" s="540"/>
    </row>
    <row r="309" spans="1:21" outlineLevel="4" x14ac:dyDescent="0.3">
      <c r="A309" s="35"/>
      <c r="B309" s="36"/>
      <c r="C309" s="495" t="s">
        <v>9987</v>
      </c>
      <c r="D309" s="249" t="s">
        <v>1726</v>
      </c>
      <c r="E309" s="249" t="str">
        <f>UPPER(IF($D309=0,"",IF($A309=4,_xlfn.XLOOKUP($D309,Mercado!$C:$C,Mercado!$E:$E),_xlfn.XLOOKUP($D309,Fontes!$B:$B,Fontes!$C:$C))))</f>
        <v>CPOS/CDHU</v>
      </c>
      <c r="F309" s="327" t="s">
        <v>3542</v>
      </c>
      <c r="G309" s="249" t="str">
        <f>UPPER(IF($D309=0,"",IF($A309=4,_xlfn.XLOOKUP($D309,Mercado!$C:$C,Mercado!$G:$G),_xlfn.XLOOKUP($D309,Fontes!$B:$B,Fontes!$E:$E))))</f>
        <v>UN</v>
      </c>
      <c r="H309" s="252">
        <v>4</v>
      </c>
      <c r="I309" s="252">
        <f>IF($A309="M",_xlfn.XLOOKUP($D309,Mercado!$C:$C,Mercado!$I:$I),_xlfn.XLOOKUP($D309,Fontes!$B:$B,Fontes!$J:$J))</f>
        <v>474.57</v>
      </c>
      <c r="J309" s="252">
        <f>IF($A309="M",_xlfn.XLOOKUP($D309,Mercado!$C:$C,Mercado!$J:$J),_xlfn.XLOOKUP($D309,Fontes!$B:$B,Fontes!$H:$H))</f>
        <v>27.92</v>
      </c>
      <c r="K309" s="252">
        <f>IF($A309="M",0,_xlfn.XLOOKUP($D309,Fontes!$B:$B,Fontes!$I:$I))</f>
        <v>0</v>
      </c>
      <c r="L309" s="252">
        <f t="shared" si="45"/>
        <v>502.49</v>
      </c>
      <c r="M309" s="300">
        <f t="shared" si="49"/>
        <v>2009.96</v>
      </c>
      <c r="N309" s="243"/>
      <c r="O309" s="517">
        <f t="shared" si="46"/>
        <v>2009.96</v>
      </c>
      <c r="U309" s="540"/>
    </row>
    <row r="310" spans="1:21" ht="57.6" outlineLevel="4" x14ac:dyDescent="0.3">
      <c r="A310" s="35"/>
      <c r="B310" s="36"/>
      <c r="C310" s="495" t="s">
        <v>9988</v>
      </c>
      <c r="D310" s="249">
        <v>100868</v>
      </c>
      <c r="E310" s="249" t="str">
        <f>UPPER(IF($D310=0,"",IF($A310=4,_xlfn.XLOOKUP($D310,Mercado!$C:$C,Mercado!$E:$E),_xlfn.XLOOKUP($D310,Fontes!$B:$B,Fontes!$C:$C))))</f>
        <v>SINAPI</v>
      </c>
      <c r="F310" s="327" t="s">
        <v>216</v>
      </c>
      <c r="G310" s="249" t="str">
        <f>UPPER(IF($D310=0,"",IF($A310=4,_xlfn.XLOOKUP($D310,Mercado!$C:$C,Mercado!$G:$G),_xlfn.XLOOKUP($D310,Fontes!$B:$B,Fontes!$E:$E))))</f>
        <v>UN</v>
      </c>
      <c r="H310" s="252">
        <v>2</v>
      </c>
      <c r="I310" s="252">
        <f>IF($A310="M",_xlfn.XLOOKUP($D310,Mercado!$C:$C,Mercado!$I:$I),_xlfn.XLOOKUP($D310,Fontes!$B:$B,Fontes!$J:$J))</f>
        <v>250.25</v>
      </c>
      <c r="J310" s="252">
        <f>IF($A310="M",_xlfn.XLOOKUP($D310,Mercado!$C:$C,Mercado!$J:$J),_xlfn.XLOOKUP($D310,Fontes!$B:$B,Fontes!$H:$H))</f>
        <v>44.3</v>
      </c>
      <c r="K310" s="252">
        <f>IF($A310="M",0,_xlfn.XLOOKUP($D310,Fontes!$B:$B,Fontes!$I:$I))</f>
        <v>3.12</v>
      </c>
      <c r="L310" s="252">
        <f t="shared" si="45"/>
        <v>297.67</v>
      </c>
      <c r="M310" s="300">
        <f t="shared" si="49"/>
        <v>595.34</v>
      </c>
      <c r="N310" s="243"/>
      <c r="O310" s="517">
        <f t="shared" si="46"/>
        <v>595.34</v>
      </c>
      <c r="U310" s="540"/>
    </row>
    <row r="311" spans="1:21" ht="57.6" outlineLevel="4" x14ac:dyDescent="0.3">
      <c r="A311" s="35"/>
      <c r="B311" s="36"/>
      <c r="C311" s="495" t="s">
        <v>9989</v>
      </c>
      <c r="D311" s="249" t="s">
        <v>1727</v>
      </c>
      <c r="E311" s="249" t="str">
        <f>UPPER(IF($D311=0,"",IF($A311=4,_xlfn.XLOOKUP($D311,Mercado!$C:$C,Mercado!$E:$E),_xlfn.XLOOKUP($D311,Fontes!$B:$B,Fontes!$C:$C))))</f>
        <v>CPOS/CDHU</v>
      </c>
      <c r="F311" s="327" t="s">
        <v>3543</v>
      </c>
      <c r="G311" s="249" t="str">
        <f>UPPER(IF($D311=0,"",IF($A311=4,_xlfn.XLOOKUP($D311,Mercado!$C:$C,Mercado!$G:$G),_xlfn.XLOOKUP($D311,Fontes!$B:$B,Fontes!$E:$E))))</f>
        <v>UN</v>
      </c>
      <c r="H311" s="252">
        <v>1</v>
      </c>
      <c r="I311" s="252">
        <f>IF($A311="M",_xlfn.XLOOKUP($D311,Mercado!$C:$C,Mercado!$I:$I),_xlfn.XLOOKUP($D311,Fontes!$B:$B,Fontes!$J:$J))</f>
        <v>172.32</v>
      </c>
      <c r="J311" s="252">
        <f>IF($A311="M",_xlfn.XLOOKUP($D311,Mercado!$C:$C,Mercado!$J:$J),_xlfn.XLOOKUP($D311,Fontes!$B:$B,Fontes!$H:$H))</f>
        <v>15.1</v>
      </c>
      <c r="K311" s="252">
        <f>IF($A311="M",0,_xlfn.XLOOKUP($D311,Fontes!$B:$B,Fontes!$I:$I))</f>
        <v>0</v>
      </c>
      <c r="L311" s="252">
        <f t="shared" si="45"/>
        <v>187.42</v>
      </c>
      <c r="M311" s="300">
        <f t="shared" si="49"/>
        <v>187.42</v>
      </c>
      <c r="N311" s="243"/>
      <c r="O311" s="517">
        <f t="shared" si="46"/>
        <v>187.42</v>
      </c>
      <c r="U311" s="540"/>
    </row>
    <row r="312" spans="1:21" ht="57.6" outlineLevel="4" x14ac:dyDescent="0.3">
      <c r="A312" s="35"/>
      <c r="B312" s="36"/>
      <c r="C312" s="495" t="s">
        <v>9990</v>
      </c>
      <c r="D312" s="249">
        <v>100865</v>
      </c>
      <c r="E312" s="249" t="str">
        <f>UPPER(IF($D312=0,"",IF($A312=4,_xlfn.XLOOKUP($D312,Mercado!$C:$C,Mercado!$E:$E),_xlfn.XLOOKUP($D312,Fontes!$B:$B,Fontes!$C:$C))))</f>
        <v>SINAPI</v>
      </c>
      <c r="F312" s="327" t="s">
        <v>215</v>
      </c>
      <c r="G312" s="249" t="str">
        <f>UPPER(IF($D312=0,"",IF($A312=4,_xlfn.XLOOKUP($D312,Mercado!$C:$C,Mercado!$G:$G),_xlfn.XLOOKUP($D312,Fontes!$B:$B,Fontes!$E:$E))))</f>
        <v>UN</v>
      </c>
      <c r="H312" s="252">
        <v>1</v>
      </c>
      <c r="I312" s="252">
        <f>IF($A312="M",_xlfn.XLOOKUP($D312,Mercado!$C:$C,Mercado!$I:$I),_xlfn.XLOOKUP($D312,Fontes!$B:$B,Fontes!$J:$J))</f>
        <v>376.07</v>
      </c>
      <c r="J312" s="252">
        <f>IF($A312="M",_xlfn.XLOOKUP($D312,Mercado!$C:$C,Mercado!$J:$J),_xlfn.XLOOKUP($D312,Fontes!$B:$B,Fontes!$H:$H))</f>
        <v>29.53</v>
      </c>
      <c r="K312" s="252">
        <f>IF($A312="M",0,_xlfn.XLOOKUP($D312,Fontes!$B:$B,Fontes!$I:$I))</f>
        <v>2.08</v>
      </c>
      <c r="L312" s="252">
        <f t="shared" si="45"/>
        <v>407.68</v>
      </c>
      <c r="M312" s="300">
        <f t="shared" si="49"/>
        <v>407.68</v>
      </c>
      <c r="N312" s="243"/>
      <c r="O312" s="517">
        <f t="shared" si="46"/>
        <v>407.68</v>
      </c>
      <c r="U312" s="540"/>
    </row>
    <row r="313" spans="1:21" outlineLevel="4" x14ac:dyDescent="0.3">
      <c r="A313" s="35"/>
      <c r="B313" s="36"/>
      <c r="C313" s="495" t="s">
        <v>9991</v>
      </c>
      <c r="D313" s="249">
        <v>190535</v>
      </c>
      <c r="E313" s="249" t="str">
        <f>UPPER(IF($D313=0,"",IF($A313=4,_xlfn.XLOOKUP($D313,Mercado!$C:$C,Mercado!$E:$E),_xlfn.XLOOKUP($D313,Fontes!$B:$B,Fontes!$C:$C))))</f>
        <v>SBC</v>
      </c>
      <c r="F313" s="327" t="s">
        <v>1735</v>
      </c>
      <c r="G313" s="249" t="str">
        <f>UPPER(IF($D313=0,"",IF($A313=4,_xlfn.XLOOKUP($D313,Mercado!$C:$C,Mercado!$G:$G),_xlfn.XLOOKUP($D313,Fontes!$B:$B,Fontes!$E:$E))))</f>
        <v>UN</v>
      </c>
      <c r="H313" s="252">
        <v>3</v>
      </c>
      <c r="I313" s="252">
        <f>IF($A313="M",_xlfn.XLOOKUP($D313,Mercado!$C:$C,Mercado!$I:$I),_xlfn.XLOOKUP($D313,Fontes!$B:$B,Fontes!$J:$J))</f>
        <v>124.96</v>
      </c>
      <c r="J313" s="252">
        <f>IF($A313="M",_xlfn.XLOOKUP($D313,Mercado!$C:$C,Mercado!$J:$J),_xlfn.XLOOKUP($D313,Fontes!$B:$B,Fontes!$H:$H))</f>
        <v>20.98</v>
      </c>
      <c r="K313" s="252">
        <f>IF($A313="M",0,_xlfn.XLOOKUP($D313,Fontes!$B:$B,Fontes!$I:$I))</f>
        <v>0</v>
      </c>
      <c r="L313" s="252">
        <f t="shared" si="45"/>
        <v>145.94</v>
      </c>
      <c r="M313" s="300">
        <f t="shared" si="49"/>
        <v>437.82</v>
      </c>
      <c r="N313" s="243"/>
      <c r="O313" s="517">
        <f t="shared" si="46"/>
        <v>437.82</v>
      </c>
      <c r="U313" s="540"/>
    </row>
    <row r="314" spans="1:21" ht="57.6" outlineLevel="4" x14ac:dyDescent="0.3">
      <c r="A314" s="35"/>
      <c r="B314" s="36"/>
      <c r="C314" s="495" t="s">
        <v>9992</v>
      </c>
      <c r="D314" s="249">
        <v>86877</v>
      </c>
      <c r="E314" s="249" t="str">
        <f>UPPER(IF($D314=0,"",IF($A314=4,_xlfn.XLOOKUP($D314,Mercado!$C:$C,Mercado!$E:$E),_xlfn.XLOOKUP($D314,Fontes!$B:$B,Fontes!$C:$C))))</f>
        <v>SINAPI</v>
      </c>
      <c r="F314" s="327" t="s">
        <v>210</v>
      </c>
      <c r="G314" s="249" t="str">
        <f>UPPER(IF($D314=0,"",IF($A314=4,_xlfn.XLOOKUP($D314,Mercado!$C:$C,Mercado!$G:$G),_xlfn.XLOOKUP($D314,Fontes!$B:$B,Fontes!$E:$E))))</f>
        <v>UN</v>
      </c>
      <c r="H314" s="252">
        <v>4</v>
      </c>
      <c r="I314" s="252">
        <f>IF($A314="M",_xlfn.XLOOKUP($D314,Mercado!$C:$C,Mercado!$I:$I),_xlfn.XLOOKUP($D314,Fontes!$B:$B,Fontes!$J:$J))</f>
        <v>70.430000000000007</v>
      </c>
      <c r="J314" s="252">
        <f>IF($A314="M",_xlfn.XLOOKUP($D314,Mercado!$C:$C,Mercado!$J:$J),_xlfn.XLOOKUP($D314,Fontes!$B:$B,Fontes!$H:$H))</f>
        <v>7.03</v>
      </c>
      <c r="K314" s="252">
        <f>IF($A314="M",0,_xlfn.XLOOKUP($D314,Fontes!$B:$B,Fontes!$I:$I))</f>
        <v>0.49</v>
      </c>
      <c r="L314" s="250">
        <f t="shared" si="45"/>
        <v>77.95</v>
      </c>
      <c r="M314" s="300">
        <f t="shared" si="49"/>
        <v>311.8</v>
      </c>
      <c r="N314" s="243"/>
      <c r="O314" s="517">
        <f t="shared" si="46"/>
        <v>311.8</v>
      </c>
      <c r="U314" s="540"/>
    </row>
    <row r="315" spans="1:21" ht="57.6" outlineLevel="4" x14ac:dyDescent="0.3">
      <c r="A315" s="35"/>
      <c r="B315" s="36"/>
      <c r="C315" s="495" t="s">
        <v>9993</v>
      </c>
      <c r="D315" s="249">
        <v>89985</v>
      </c>
      <c r="E315" s="249" t="str">
        <f>UPPER(IF($D315=0,"",IF($A315=4,_xlfn.XLOOKUP($D315,Mercado!$C:$C,Mercado!$E:$E),_xlfn.XLOOKUP($D315,Fontes!$B:$B,Fontes!$C:$C))))</f>
        <v>SINAPI</v>
      </c>
      <c r="F315" s="327" t="s">
        <v>352</v>
      </c>
      <c r="G315" s="249" t="str">
        <f>UPPER(IF($D315=0,"",IF($A315=4,_xlfn.XLOOKUP($D315,Mercado!$C:$C,Mercado!$G:$G),_xlfn.XLOOKUP($D315,Fontes!$B:$B,Fontes!$E:$E))))</f>
        <v>UN</v>
      </c>
      <c r="H315" s="252">
        <v>3</v>
      </c>
      <c r="I315" s="252">
        <f>IF($A315="M",_xlfn.XLOOKUP($D315,Mercado!$C:$C,Mercado!$I:$I),_xlfn.XLOOKUP($D315,Fontes!$B:$B,Fontes!$J:$J))</f>
        <v>63.08</v>
      </c>
      <c r="J315" s="252">
        <f>IF($A315="M",_xlfn.XLOOKUP($D315,Mercado!$C:$C,Mercado!$J:$J),_xlfn.XLOOKUP($D315,Fontes!$B:$B,Fontes!$H:$H))</f>
        <v>12.01</v>
      </c>
      <c r="K315" s="252">
        <f>IF($A315="M",0,_xlfn.XLOOKUP($D315,Fontes!$B:$B,Fontes!$I:$I))</f>
        <v>0.82</v>
      </c>
      <c r="L315" s="250">
        <f t="shared" si="45"/>
        <v>75.91</v>
      </c>
      <c r="M315" s="300">
        <f t="shared" si="49"/>
        <v>227.73</v>
      </c>
      <c r="N315" s="243"/>
      <c r="O315" s="517">
        <f t="shared" si="46"/>
        <v>227.73</v>
      </c>
      <c r="U315" s="540"/>
    </row>
    <row r="316" spans="1:21" ht="57.6" outlineLevel="4" x14ac:dyDescent="0.3">
      <c r="A316" s="35"/>
      <c r="B316" s="36"/>
      <c r="C316" s="495" t="s">
        <v>9994</v>
      </c>
      <c r="D316" s="249">
        <v>89987</v>
      </c>
      <c r="E316" s="249" t="str">
        <f>UPPER(IF($D316=0,"",IF($A316=4,_xlfn.XLOOKUP($D316,Mercado!$C:$C,Mercado!$E:$E),_xlfn.XLOOKUP($D316,Fontes!$B:$B,Fontes!$C:$C))))</f>
        <v>SINAPI</v>
      </c>
      <c r="F316" s="327" t="s">
        <v>353</v>
      </c>
      <c r="G316" s="249" t="str">
        <f>UPPER(IF($D316=0,"",IF($A316=4,_xlfn.XLOOKUP($D316,Mercado!$C:$C,Mercado!$G:$G),_xlfn.XLOOKUP($D316,Fontes!$B:$B,Fontes!$E:$E))))</f>
        <v>UN</v>
      </c>
      <c r="H316" s="252">
        <v>9</v>
      </c>
      <c r="I316" s="252">
        <f>IF($A316="M",_xlfn.XLOOKUP($D316,Mercado!$C:$C,Mercado!$I:$I),_xlfn.XLOOKUP($D316,Fontes!$B:$B,Fontes!$J:$J))</f>
        <v>66.66</v>
      </c>
      <c r="J316" s="252">
        <f>IF($A316="M",_xlfn.XLOOKUP($D316,Mercado!$C:$C,Mercado!$J:$J),_xlfn.XLOOKUP($D316,Fontes!$B:$B,Fontes!$H:$H))</f>
        <v>12.01</v>
      </c>
      <c r="K316" s="252">
        <f>IF($A316="M",0,_xlfn.XLOOKUP($D316,Fontes!$B:$B,Fontes!$I:$I))</f>
        <v>0.82</v>
      </c>
      <c r="L316" s="250">
        <f t="shared" si="45"/>
        <v>79.489999999999995</v>
      </c>
      <c r="M316" s="300">
        <f t="shared" si="49"/>
        <v>715.41</v>
      </c>
      <c r="N316" s="243"/>
      <c r="O316" s="517">
        <f t="shared" si="46"/>
        <v>715.41</v>
      </c>
      <c r="U316" s="540"/>
    </row>
    <row r="317" spans="1:21" ht="38.4" outlineLevel="4" x14ac:dyDescent="0.3">
      <c r="A317" s="35"/>
      <c r="B317" s="36"/>
      <c r="C317" s="495" t="s">
        <v>9995</v>
      </c>
      <c r="D317" s="249">
        <v>3708</v>
      </c>
      <c r="E317" s="249" t="str">
        <f>UPPER(IF($D317=0,"",IF($A317=4,_xlfn.XLOOKUP($D317,Mercado!$C:$C,Mercado!$E:$E),_xlfn.XLOOKUP($D317,Fontes!$B:$B,Fontes!$C:$C))))</f>
        <v>ORSE</v>
      </c>
      <c r="F317" s="327" t="s">
        <v>3544</v>
      </c>
      <c r="G317" s="249" t="str">
        <f>UPPER(IF($D317=0,"",IF($A317=4,_xlfn.XLOOKUP($D317,Mercado!$C:$C,Mercado!$G:$G),_xlfn.XLOOKUP($D317,Fontes!$B:$B,Fontes!$E:$E))))</f>
        <v>UN</v>
      </c>
      <c r="H317" s="252">
        <v>4</v>
      </c>
      <c r="I317" s="252">
        <f>IF($A317="M",_xlfn.XLOOKUP($D317,Mercado!$C:$C,Mercado!$I:$I),_xlfn.XLOOKUP($D317,Fontes!$B:$B,Fontes!$J:$J))</f>
        <v>102.6</v>
      </c>
      <c r="J317" s="252">
        <f>IF($A317="M",_xlfn.XLOOKUP($D317,Mercado!$C:$C,Mercado!$J:$J),_xlfn.XLOOKUP($D317,Fontes!$B:$B,Fontes!$H:$H))</f>
        <v>14.32</v>
      </c>
      <c r="K317" s="252">
        <f>IF($A317="M",0,_xlfn.XLOOKUP($D317,Fontes!$B:$B,Fontes!$I:$I))</f>
        <v>0</v>
      </c>
      <c r="L317" s="250">
        <f t="shared" si="45"/>
        <v>116.91999999999999</v>
      </c>
      <c r="M317" s="300">
        <f t="shared" si="49"/>
        <v>467.68</v>
      </c>
      <c r="N317" s="243"/>
      <c r="O317" s="517">
        <f t="shared" si="46"/>
        <v>467.68</v>
      </c>
      <c r="U317" s="540"/>
    </row>
    <row r="318" spans="1:21" ht="38.4" outlineLevel="4" x14ac:dyDescent="0.3">
      <c r="A318" s="35"/>
      <c r="B318" s="36"/>
      <c r="C318" s="495" t="s">
        <v>9996</v>
      </c>
      <c r="D318" s="249">
        <v>7347</v>
      </c>
      <c r="E318" s="249" t="str">
        <f>UPPER(IF($D318=0,"",IF($A318=4,_xlfn.XLOOKUP($D318,Mercado!$C:$C,Mercado!$E:$E),_xlfn.XLOOKUP($D318,Fontes!$B:$B,Fontes!$C:$C))))</f>
        <v>ORSE</v>
      </c>
      <c r="F318" s="327" t="s">
        <v>3545</v>
      </c>
      <c r="G318" s="249" t="str">
        <f>UPPER(IF($D318=0,"",IF($A318=4,_xlfn.XLOOKUP($D318,Mercado!$C:$C,Mercado!$G:$G),_xlfn.XLOOKUP($D318,Fontes!$B:$B,Fontes!$E:$E))))</f>
        <v>UN</v>
      </c>
      <c r="H318" s="252">
        <v>4</v>
      </c>
      <c r="I318" s="252">
        <f>IF($A318="M",_xlfn.XLOOKUP($D318,Mercado!$C:$C,Mercado!$I:$I),_xlfn.XLOOKUP($D318,Fontes!$B:$B,Fontes!$J:$J))</f>
        <v>328.57</v>
      </c>
      <c r="J318" s="252">
        <f>IF($A318="M",_xlfn.XLOOKUP($D318,Mercado!$C:$C,Mercado!$J:$J),_xlfn.XLOOKUP($D318,Fontes!$B:$B,Fontes!$H:$H))</f>
        <v>0</v>
      </c>
      <c r="K318" s="252">
        <f>IF($A318="M",0,_xlfn.XLOOKUP($D318,Fontes!$B:$B,Fontes!$I:$I))</f>
        <v>0</v>
      </c>
      <c r="L318" s="250">
        <f t="shared" si="45"/>
        <v>328.57</v>
      </c>
      <c r="M318" s="300">
        <f t="shared" si="49"/>
        <v>1314.28</v>
      </c>
      <c r="N318" s="243"/>
      <c r="O318" s="517">
        <f t="shared" si="46"/>
        <v>1314.28</v>
      </c>
      <c r="U318" s="540"/>
    </row>
    <row r="319" spans="1:21" outlineLevel="4" x14ac:dyDescent="0.3">
      <c r="A319" s="35"/>
      <c r="B319" s="36"/>
      <c r="C319" s="495" t="s">
        <v>9997</v>
      </c>
      <c r="D319" s="249">
        <v>200123</v>
      </c>
      <c r="E319" s="249" t="str">
        <f>UPPER(IF($D319=0,"",IF($A319=4,_xlfn.XLOOKUP($D319,Mercado!$C:$C,Mercado!$E:$E),_xlfn.XLOOKUP($D319,Fontes!$B:$B,Fontes!$C:$C))))</f>
        <v>SBC</v>
      </c>
      <c r="F319" s="327" t="s">
        <v>3546</v>
      </c>
      <c r="G319" s="249" t="str">
        <f>UPPER(IF($D319=0,"",IF($A319=4,_xlfn.XLOOKUP($D319,Mercado!$C:$C,Mercado!$G:$G),_xlfn.XLOOKUP($D319,Fontes!$B:$B,Fontes!$E:$E))))</f>
        <v>M²</v>
      </c>
      <c r="H319" s="252">
        <v>4</v>
      </c>
      <c r="I319" s="252">
        <f>IF($A319="M",_xlfn.XLOOKUP($D319,Mercado!$C:$C,Mercado!$I:$I),_xlfn.XLOOKUP($D319,Fontes!$B:$B,Fontes!$J:$J))</f>
        <v>403.24</v>
      </c>
      <c r="J319" s="252">
        <f>IF($A319="M",_xlfn.XLOOKUP($D319,Mercado!$C:$C,Mercado!$J:$J),_xlfn.XLOOKUP($D319,Fontes!$B:$B,Fontes!$H:$H))</f>
        <v>34.96</v>
      </c>
      <c r="K319" s="252">
        <f>IF($A319="M",0,_xlfn.XLOOKUP($D319,Fontes!$B:$B,Fontes!$I:$I))</f>
        <v>0</v>
      </c>
      <c r="L319" s="250">
        <f t="shared" si="45"/>
        <v>438.2</v>
      </c>
      <c r="M319" s="300">
        <f t="shared" si="49"/>
        <v>1752.8</v>
      </c>
      <c r="N319" s="243"/>
      <c r="O319" s="517">
        <f t="shared" si="46"/>
        <v>1752.8</v>
      </c>
      <c r="U319" s="540"/>
    </row>
    <row r="320" spans="1:21" outlineLevel="4" x14ac:dyDescent="0.3">
      <c r="A320" s="35"/>
      <c r="B320" s="36"/>
      <c r="C320" s="495" t="s">
        <v>9998</v>
      </c>
      <c r="D320" s="249" t="s">
        <v>720</v>
      </c>
      <c r="E320" s="249" t="str">
        <f>UPPER(IF($D320=0,"",IF($A320=4,_xlfn.XLOOKUP($D320,Mercado!$C:$C,Mercado!$E:$E),_xlfn.XLOOKUP($D320,Fontes!$B:$B,Fontes!$C:$C))))</f>
        <v>CPOS/CDHU</v>
      </c>
      <c r="F320" s="327" t="s">
        <v>3547</v>
      </c>
      <c r="G320" s="249" t="str">
        <f>UPPER(IF($D320=0,"",IF($A320=4,_xlfn.XLOOKUP($D320,Mercado!$C:$C,Mercado!$G:$G),_xlfn.XLOOKUP($D320,Fontes!$B:$B,Fontes!$E:$E))))</f>
        <v>UN</v>
      </c>
      <c r="H320" s="252">
        <v>7</v>
      </c>
      <c r="I320" s="252">
        <f>IF($A320="M",_xlfn.XLOOKUP($D320,Mercado!$C:$C,Mercado!$I:$I),_xlfn.XLOOKUP($D320,Fontes!$B:$B,Fontes!$J:$J))</f>
        <v>167.28</v>
      </c>
      <c r="J320" s="252">
        <f>IF($A320="M",_xlfn.XLOOKUP($D320,Mercado!$C:$C,Mercado!$J:$J),_xlfn.XLOOKUP($D320,Fontes!$B:$B,Fontes!$H:$H))</f>
        <v>27.92</v>
      </c>
      <c r="K320" s="252">
        <f>IF($A320="M",0,_xlfn.XLOOKUP($D320,Fontes!$B:$B,Fontes!$I:$I))</f>
        <v>0</v>
      </c>
      <c r="L320" s="250">
        <f t="shared" si="45"/>
        <v>195.2</v>
      </c>
      <c r="M320" s="300">
        <f t="shared" si="49"/>
        <v>1366.4</v>
      </c>
      <c r="N320" s="243"/>
      <c r="O320" s="517">
        <f t="shared" si="46"/>
        <v>1366.4</v>
      </c>
      <c r="U320" s="540"/>
    </row>
    <row r="321" spans="1:21" outlineLevel="4" x14ac:dyDescent="0.3">
      <c r="A321" s="35"/>
      <c r="B321" s="36"/>
      <c r="C321" s="495" t="s">
        <v>9999</v>
      </c>
      <c r="D321" s="249" t="s">
        <v>721</v>
      </c>
      <c r="E321" s="249" t="str">
        <f>UPPER(IF($D321=0,"",IF($A321=4,_xlfn.XLOOKUP($D321,Mercado!$C:$C,Mercado!$E:$E),_xlfn.XLOOKUP($D321,Fontes!$B:$B,Fontes!$C:$C))))</f>
        <v>CPOS/CDHU</v>
      </c>
      <c r="F321" s="327" t="s">
        <v>3548</v>
      </c>
      <c r="G321" s="249" t="str">
        <f>UPPER(IF($D321=0,"",IF($A321=4,_xlfn.XLOOKUP($D321,Mercado!$C:$C,Mercado!$G:$G),_xlfn.XLOOKUP($D321,Fontes!$B:$B,Fontes!$E:$E))))</f>
        <v>UN</v>
      </c>
      <c r="H321" s="252">
        <v>1</v>
      </c>
      <c r="I321" s="252">
        <f>IF($A321="M",_xlfn.XLOOKUP($D321,Mercado!$C:$C,Mercado!$I:$I),_xlfn.XLOOKUP($D321,Fontes!$B:$B,Fontes!$J:$J))</f>
        <v>124.56</v>
      </c>
      <c r="J321" s="252">
        <f>IF($A321="M",_xlfn.XLOOKUP($D321,Mercado!$C:$C,Mercado!$J:$J),_xlfn.XLOOKUP($D321,Fontes!$B:$B,Fontes!$H:$H))</f>
        <v>27.92</v>
      </c>
      <c r="K321" s="252">
        <f>IF($A321="M",0,_xlfn.XLOOKUP($D321,Fontes!$B:$B,Fontes!$I:$I))</f>
        <v>0</v>
      </c>
      <c r="L321" s="250">
        <f t="shared" si="45"/>
        <v>152.48000000000002</v>
      </c>
      <c r="M321" s="300">
        <f t="shared" si="49"/>
        <v>152.47999999999999</v>
      </c>
      <c r="N321" s="243"/>
      <c r="O321" s="517">
        <f t="shared" si="46"/>
        <v>152.47999999999999</v>
      </c>
      <c r="U321" s="540"/>
    </row>
    <row r="322" spans="1:21" ht="38.4" outlineLevel="4" x14ac:dyDescent="0.3">
      <c r="A322" s="35"/>
      <c r="B322" s="36"/>
      <c r="C322" s="495" t="s">
        <v>10000</v>
      </c>
      <c r="D322" s="249">
        <v>100854</v>
      </c>
      <c r="E322" s="249" t="str">
        <f>UPPER(IF($D322=0,"",IF($A322=4,_xlfn.XLOOKUP($D322,Mercado!$C:$C,Mercado!$E:$E),_xlfn.XLOOKUP($D322,Fontes!$B:$B,Fontes!$C:$C))))</f>
        <v>SINAPI</v>
      </c>
      <c r="F322" s="327" t="s">
        <v>214</v>
      </c>
      <c r="G322" s="249" t="str">
        <f>UPPER(IF($D322=0,"",IF($A322=4,_xlfn.XLOOKUP($D322,Mercado!$C:$C,Mercado!$G:$G),_xlfn.XLOOKUP($D322,Fontes!$B:$B,Fontes!$E:$E))))</f>
        <v>UN</v>
      </c>
      <c r="H322" s="252">
        <v>1</v>
      </c>
      <c r="I322" s="252">
        <f>IF($A322="M",_xlfn.XLOOKUP($D322,Mercado!$C:$C,Mercado!$I:$I),_xlfn.XLOOKUP($D322,Fontes!$B:$B,Fontes!$J:$J))</f>
        <v>2081.35</v>
      </c>
      <c r="J322" s="252">
        <f>IF($A322="M",_xlfn.XLOOKUP($D322,Mercado!$C:$C,Mercado!$J:$J),_xlfn.XLOOKUP($D322,Fontes!$B:$B,Fontes!$H:$H))</f>
        <v>19.14</v>
      </c>
      <c r="K322" s="252">
        <f>IF($A322="M",0,_xlfn.XLOOKUP($D322,Fontes!$B:$B,Fontes!$I:$I))</f>
        <v>1.35</v>
      </c>
      <c r="L322" s="250">
        <f t="shared" si="45"/>
        <v>2101.8399999999997</v>
      </c>
      <c r="M322" s="300">
        <f t="shared" si="49"/>
        <v>2101.84</v>
      </c>
      <c r="N322" s="243"/>
      <c r="O322" s="517">
        <f t="shared" si="46"/>
        <v>2101.84</v>
      </c>
      <c r="U322" s="540"/>
    </row>
    <row r="323" spans="1:21" ht="38.4" outlineLevel="4" x14ac:dyDescent="0.3">
      <c r="A323" s="35"/>
      <c r="B323" s="36"/>
      <c r="C323" s="495" t="s">
        <v>10001</v>
      </c>
      <c r="D323" s="249">
        <v>86914</v>
      </c>
      <c r="E323" s="249" t="str">
        <f>UPPER(IF($D323=0,"",IF($A323=4,_xlfn.XLOOKUP($D323,Mercado!$C:$C,Mercado!$E:$E),_xlfn.XLOOKUP($D323,Fontes!$B:$B,Fontes!$C:$C))))</f>
        <v>SINAPI</v>
      </c>
      <c r="F323" s="327" t="s">
        <v>212</v>
      </c>
      <c r="G323" s="249" t="str">
        <f>UPPER(IF($D323=0,"",IF($A323=4,_xlfn.XLOOKUP($D323,Mercado!$C:$C,Mercado!$G:$G),_xlfn.XLOOKUP($D323,Fontes!$B:$B,Fontes!$E:$E))))</f>
        <v>UN</v>
      </c>
      <c r="H323" s="252">
        <v>2</v>
      </c>
      <c r="I323" s="252">
        <f>IF($A323="M",_xlfn.XLOOKUP($D323,Mercado!$C:$C,Mercado!$I:$I),_xlfn.XLOOKUP($D323,Fontes!$B:$B,Fontes!$J:$J))</f>
        <v>111.24</v>
      </c>
      <c r="J323" s="252">
        <f>IF($A323="M",_xlfn.XLOOKUP($D323,Mercado!$C:$C,Mercado!$J:$J),_xlfn.XLOOKUP($D323,Fontes!$B:$B,Fontes!$H:$H))</f>
        <v>6.35</v>
      </c>
      <c r="K323" s="252">
        <f>IF($A323="M",0,_xlfn.XLOOKUP($D323,Fontes!$B:$B,Fontes!$I:$I))</f>
        <v>0.45</v>
      </c>
      <c r="L323" s="250">
        <f t="shared" si="45"/>
        <v>118.03999999999999</v>
      </c>
      <c r="M323" s="300">
        <f t="shared" si="49"/>
        <v>236.08</v>
      </c>
      <c r="N323" s="243"/>
      <c r="O323" s="517">
        <f t="shared" si="46"/>
        <v>236.08</v>
      </c>
      <c r="U323" s="540"/>
    </row>
    <row r="324" spans="1:21" outlineLevel="3" x14ac:dyDescent="0.3">
      <c r="A324" s="36" t="s">
        <v>7</v>
      </c>
      <c r="B324" s="36"/>
      <c r="C324" s="495"/>
      <c r="D324" s="249"/>
      <c r="E324" s="249" t="str">
        <f>UPPER(IF($D324=0,"",IF($A324=4,_xlfn.XLOOKUP($D324,Mercado!$C:$C,Mercado!$E:$E),_xlfn.XLOOKUP($D324,Fontes!$B:$B,Fontes!$C:$C))))</f>
        <v/>
      </c>
      <c r="F324" s="327" t="s">
        <v>781</v>
      </c>
      <c r="G324" s="249"/>
      <c r="H324" s="252"/>
      <c r="I324" s="252">
        <f>IF($A324="M",_xlfn.XLOOKUP($D324,Mercado!$C:$C,Mercado!$I:$I),_xlfn.XLOOKUP($D324,Fontes!$B:$B,Fontes!$J:$J))</f>
        <v>0</v>
      </c>
      <c r="J324" s="252">
        <f>IF($A324="M",_xlfn.XLOOKUP($D324,Mercado!$C:$C,Mercado!$J:$J),_xlfn.XLOOKUP($D324,Fontes!$B:$B,Fontes!$H:$H))</f>
        <v>0</v>
      </c>
      <c r="K324" s="252">
        <f>IF($A324="M",0,_xlfn.XLOOKUP($D324,Fontes!$B:$B,Fontes!$I:$I))</f>
        <v>0</v>
      </c>
      <c r="L324" s="250">
        <f t="shared" si="45"/>
        <v>0</v>
      </c>
      <c r="M324" s="300">
        <f t="shared" si="49"/>
        <v>0</v>
      </c>
      <c r="O324" s="517" t="str">
        <f t="shared" si="46"/>
        <v/>
      </c>
      <c r="U324" s="540"/>
    </row>
    <row r="325" spans="1:21" outlineLevel="2" x14ac:dyDescent="0.3">
      <c r="A325" s="36" t="s">
        <v>7</v>
      </c>
      <c r="B325" s="36"/>
      <c r="C325" s="496" t="s">
        <v>10002</v>
      </c>
      <c r="D325" s="253"/>
      <c r="E325" s="253" t="str">
        <f>UPPER(IF($D325=0,"",IF($A325=4,_xlfn.XLOOKUP($D325,Mercado!$C:$C,Mercado!$E:$E),_xlfn.XLOOKUP($D325,Fontes!$B:$B,Fontes!$C:$C))))</f>
        <v/>
      </c>
      <c r="F325" s="329" t="s">
        <v>169</v>
      </c>
      <c r="G325" s="253"/>
      <c r="H325" s="254"/>
      <c r="I325" s="254">
        <f>IF($A325="M",_xlfn.XLOOKUP($D325,Mercado!$C:$C,Mercado!$I:$I),_xlfn.XLOOKUP($D325,Fontes!$B:$B,Fontes!$J:$J))</f>
        <v>0</v>
      </c>
      <c r="J325" s="254">
        <f>IF($A325="M",_xlfn.XLOOKUP($D325,Mercado!$C:$C,Mercado!$J:$J),_xlfn.XLOOKUP($D325,Fontes!$B:$B,Fontes!$H:$H))</f>
        <v>0</v>
      </c>
      <c r="K325" s="254">
        <f>IF($A325="M",0,_xlfn.XLOOKUP($D325,Fontes!$B:$B,Fontes!$I:$I))</f>
        <v>0</v>
      </c>
      <c r="L325" s="254">
        <f t="shared" si="45"/>
        <v>0</v>
      </c>
      <c r="M325" s="497">
        <f>SUBTOTAL(9,M326:M404)</f>
        <v>904006.61000000034</v>
      </c>
      <c r="O325" s="517" t="str">
        <f t="shared" si="46"/>
        <v/>
      </c>
      <c r="U325" s="540"/>
    </row>
    <row r="326" spans="1:21" outlineLevel="3" x14ac:dyDescent="0.3">
      <c r="A326" s="36" t="s">
        <v>7</v>
      </c>
      <c r="B326" s="36"/>
      <c r="C326" s="495" t="s">
        <v>10003</v>
      </c>
      <c r="D326" s="249"/>
      <c r="E326" s="249" t="str">
        <f>UPPER(IF($D326=0,"",IF($A326=4,_xlfn.XLOOKUP($D326,Mercado!$C:$C,Mercado!$E:$E),_xlfn.XLOOKUP($D326,Fontes!$B:$B,Fontes!$C:$C))))</f>
        <v/>
      </c>
      <c r="F326" s="330" t="s">
        <v>170</v>
      </c>
      <c r="G326" s="249"/>
      <c r="H326" s="252"/>
      <c r="I326" s="252">
        <f>IF($A326="M",_xlfn.XLOOKUP($D326,Mercado!$C:$C,Mercado!$I:$I),_xlfn.XLOOKUP($D326,Fontes!$B:$B,Fontes!$J:$J))</f>
        <v>0</v>
      </c>
      <c r="J326" s="252">
        <f>IF($A326="M",_xlfn.XLOOKUP($D326,Mercado!$C:$C,Mercado!$J:$J),_xlfn.XLOOKUP($D326,Fontes!$B:$B,Fontes!$H:$H))</f>
        <v>0</v>
      </c>
      <c r="K326" s="252">
        <f>IF($A326="M",0,_xlfn.XLOOKUP($D326,Fontes!$B:$B,Fontes!$I:$I))</f>
        <v>0</v>
      </c>
      <c r="L326" s="250">
        <f t="shared" si="45"/>
        <v>0</v>
      </c>
      <c r="M326" s="500">
        <f t="shared" ref="M326:M357" si="50">ROUND(H326*L326,2)</f>
        <v>0</v>
      </c>
      <c r="O326" s="517" t="str">
        <f t="shared" si="46"/>
        <v/>
      </c>
      <c r="U326" s="540"/>
    </row>
    <row r="327" spans="1:21" ht="38.4" outlineLevel="4" x14ac:dyDescent="0.3">
      <c r="A327" s="35"/>
      <c r="B327" s="36"/>
      <c r="C327" s="495" t="s">
        <v>10004</v>
      </c>
      <c r="D327" s="249">
        <v>354</v>
      </c>
      <c r="E327" s="249" t="str">
        <f>UPPER(IF($D327=0,"",IF($A327=4,_xlfn.XLOOKUP($D327,Mercado!$C:$C,Mercado!$E:$E),_xlfn.XLOOKUP($D327,Fontes!$B:$B,Fontes!$C:$C))))</f>
        <v>PRÓPRIO</v>
      </c>
      <c r="F327" s="328" t="s">
        <v>1690</v>
      </c>
      <c r="G327" s="248" t="str">
        <f>UPPER(IF($D327=0,"",IF($A327=4,_xlfn.XLOOKUP($D327,Mercado!$C:$C,Mercado!$G:$G),_xlfn.XLOOKUP($D327,Fontes!$B:$B,Fontes!$E:$E))))</f>
        <v>UN</v>
      </c>
      <c r="H327" s="439">
        <v>3</v>
      </c>
      <c r="I327" s="439">
        <f>IF($A327="M",_xlfn.XLOOKUP($D327,Mercado!$C:$C,Mercado!$I:$I),_xlfn.XLOOKUP($D327,Fontes!$B:$B,Fontes!$J:$J))</f>
        <v>996.45</v>
      </c>
      <c r="J327" s="439">
        <f>IF($A327="M",_xlfn.XLOOKUP($D327,Mercado!$C:$C,Mercado!$J:$J),_xlfn.XLOOKUP($D327,Fontes!$B:$B,Fontes!$H:$H))</f>
        <v>890.15</v>
      </c>
      <c r="K327" s="439">
        <f>IF($A327="M",0,_xlfn.XLOOKUP($D327,Fontes!$B:$B,Fontes!$I:$I))</f>
        <v>60.21</v>
      </c>
      <c r="L327" s="250">
        <f t="shared" si="45"/>
        <v>1946.81</v>
      </c>
      <c r="M327" s="300">
        <f t="shared" si="50"/>
        <v>5840.43</v>
      </c>
      <c r="N327" s="243"/>
      <c r="O327" s="517">
        <f t="shared" si="46"/>
        <v>5840.43</v>
      </c>
      <c r="U327" s="540"/>
    </row>
    <row r="328" spans="1:21" ht="38.4" outlineLevel="4" x14ac:dyDescent="0.3">
      <c r="A328" s="35"/>
      <c r="B328" s="36"/>
      <c r="C328" s="495" t="s">
        <v>10005</v>
      </c>
      <c r="D328" s="249">
        <v>355</v>
      </c>
      <c r="E328" s="249" t="str">
        <f>UPPER(IF($D328=0,"",IF($A328=4,_xlfn.XLOOKUP($D328,Mercado!$C:$C,Mercado!$E:$E),_xlfn.XLOOKUP($D328,Fontes!$B:$B,Fontes!$C:$C))))</f>
        <v>PRÓPRIO</v>
      </c>
      <c r="F328" s="328" t="s">
        <v>1692</v>
      </c>
      <c r="G328" s="248" t="str">
        <f>UPPER(IF($D328=0,"",IF($A328=4,_xlfn.XLOOKUP($D328,Mercado!$C:$C,Mercado!$G:$G),_xlfn.XLOOKUP($D328,Fontes!$B:$B,Fontes!$E:$E))))</f>
        <v>UN</v>
      </c>
      <c r="H328" s="439">
        <v>2</v>
      </c>
      <c r="I328" s="439">
        <f>IF($A328="M",_xlfn.XLOOKUP($D328,Mercado!$C:$C,Mercado!$I:$I),_xlfn.XLOOKUP($D328,Fontes!$B:$B,Fontes!$J:$J))</f>
        <v>1563.48</v>
      </c>
      <c r="J328" s="439">
        <f>IF($A328="M",_xlfn.XLOOKUP($D328,Mercado!$C:$C,Mercado!$J:$J),_xlfn.XLOOKUP($D328,Fontes!$B:$B,Fontes!$H:$H))</f>
        <v>955.86</v>
      </c>
      <c r="K328" s="439">
        <f>IF($A328="M",0,_xlfn.XLOOKUP($D328,Fontes!$B:$B,Fontes!$I:$I))</f>
        <v>62.03</v>
      </c>
      <c r="L328" s="250">
        <f t="shared" si="45"/>
        <v>2581.3700000000003</v>
      </c>
      <c r="M328" s="300">
        <f t="shared" si="50"/>
        <v>5162.74</v>
      </c>
      <c r="N328" s="243"/>
      <c r="O328" s="517">
        <f t="shared" si="46"/>
        <v>5162.74</v>
      </c>
      <c r="U328" s="540"/>
    </row>
    <row r="329" spans="1:21" ht="38.4" outlineLevel="4" x14ac:dyDescent="0.3">
      <c r="A329" s="35"/>
      <c r="B329" s="36"/>
      <c r="C329" s="495" t="s">
        <v>10006</v>
      </c>
      <c r="D329" s="249">
        <v>361</v>
      </c>
      <c r="E329" s="249" t="str">
        <f>UPPER(IF($D329=0,"",IF($A329=4,_xlfn.XLOOKUP($D329,Mercado!$C:$C,Mercado!$E:$E),_xlfn.XLOOKUP($D329,Fontes!$B:$B,Fontes!$C:$C))))</f>
        <v>PRÓPRIO</v>
      </c>
      <c r="F329" s="328" t="s">
        <v>1694</v>
      </c>
      <c r="G329" s="248" t="str">
        <f>UPPER(IF($D329=0,"",IF($A329=4,_xlfn.XLOOKUP($D329,Mercado!$C:$C,Mercado!$G:$G),_xlfn.XLOOKUP($D329,Fontes!$B:$B,Fontes!$E:$E))))</f>
        <v>UN</v>
      </c>
      <c r="H329" s="439">
        <v>1</v>
      </c>
      <c r="I329" s="439">
        <f>IF($A329="M",_xlfn.XLOOKUP($D329,Mercado!$C:$C,Mercado!$I:$I),_xlfn.XLOOKUP($D329,Fontes!$B:$B,Fontes!$J:$J))</f>
        <v>1796.89</v>
      </c>
      <c r="J329" s="439">
        <f>IF($A329="M",_xlfn.XLOOKUP($D329,Mercado!$C:$C,Mercado!$J:$J),_xlfn.XLOOKUP($D329,Fontes!$B:$B,Fontes!$H:$H))</f>
        <v>1324.37</v>
      </c>
      <c r="K329" s="439">
        <f>IF($A329="M",0,_xlfn.XLOOKUP($D329,Fontes!$B:$B,Fontes!$I:$I))</f>
        <v>86.08</v>
      </c>
      <c r="L329" s="250">
        <f t="shared" si="45"/>
        <v>3207.34</v>
      </c>
      <c r="M329" s="300">
        <f t="shared" si="50"/>
        <v>3207.34</v>
      </c>
      <c r="N329" s="243"/>
      <c r="O329" s="517">
        <f t="shared" si="46"/>
        <v>3207.34</v>
      </c>
      <c r="U329" s="540"/>
    </row>
    <row r="330" spans="1:21" ht="38.4" outlineLevel="4" x14ac:dyDescent="0.3">
      <c r="A330" s="35"/>
      <c r="B330" s="36"/>
      <c r="C330" s="495" t="s">
        <v>10007</v>
      </c>
      <c r="D330" s="249">
        <v>362</v>
      </c>
      <c r="E330" s="249" t="str">
        <f>UPPER(IF($D330=0,"",IF($A330=4,_xlfn.XLOOKUP($D330,Mercado!$C:$C,Mercado!$E:$E),_xlfn.XLOOKUP($D330,Fontes!$B:$B,Fontes!$C:$C))))</f>
        <v>PRÓPRIO</v>
      </c>
      <c r="F330" s="328" t="s">
        <v>1696</v>
      </c>
      <c r="G330" s="248" t="str">
        <f>UPPER(IF($D330=0,"",IF($A330=4,_xlfn.XLOOKUP($D330,Mercado!$C:$C,Mercado!$G:$G),_xlfn.XLOOKUP($D330,Fontes!$B:$B,Fontes!$E:$E))))</f>
        <v>UN</v>
      </c>
      <c r="H330" s="439">
        <v>1</v>
      </c>
      <c r="I330" s="439">
        <f>IF($A330="M",_xlfn.XLOOKUP($D330,Mercado!$C:$C,Mercado!$I:$I),_xlfn.XLOOKUP($D330,Fontes!$B:$B,Fontes!$J:$J))</f>
        <v>1037.07</v>
      </c>
      <c r="J330" s="439">
        <f>IF($A330="M",_xlfn.XLOOKUP($D330,Mercado!$C:$C,Mercado!$J:$J),_xlfn.XLOOKUP($D330,Fontes!$B:$B,Fontes!$H:$H))</f>
        <v>890.15</v>
      </c>
      <c r="K330" s="439">
        <f>IF($A330="M",0,_xlfn.XLOOKUP($D330,Fontes!$B:$B,Fontes!$I:$I))</f>
        <v>60.21</v>
      </c>
      <c r="L330" s="250">
        <f t="shared" si="45"/>
        <v>1987.4299999999998</v>
      </c>
      <c r="M330" s="300">
        <f t="shared" si="50"/>
        <v>1987.43</v>
      </c>
      <c r="N330" s="243"/>
      <c r="O330" s="517">
        <f t="shared" si="46"/>
        <v>1987.43</v>
      </c>
      <c r="U330" s="540"/>
    </row>
    <row r="331" spans="1:21" ht="57.6" outlineLevel="4" x14ac:dyDescent="0.3">
      <c r="A331" s="35"/>
      <c r="B331" s="36"/>
      <c r="C331" s="495" t="s">
        <v>10008</v>
      </c>
      <c r="D331" s="249">
        <v>363</v>
      </c>
      <c r="E331" s="249" t="str">
        <f>UPPER(IF($D331=0,"",IF($A331=4,_xlfn.XLOOKUP($D331,Mercado!$C:$C,Mercado!$E:$E),_xlfn.XLOOKUP($D331,Fontes!$B:$B,Fontes!$C:$C))))</f>
        <v>PRÓPRIO</v>
      </c>
      <c r="F331" s="328" t="s">
        <v>8456</v>
      </c>
      <c r="G331" s="248" t="str">
        <f>UPPER(IF($D331=0,"",IF($A331=4,_xlfn.XLOOKUP($D331,Mercado!$C:$C,Mercado!$G:$G),_xlfn.XLOOKUP($D331,Fontes!$B:$B,Fontes!$E:$E))))</f>
        <v>UN</v>
      </c>
      <c r="H331" s="439">
        <v>1</v>
      </c>
      <c r="I331" s="439">
        <f>IF($A331="M",_xlfn.XLOOKUP($D331,Mercado!$C:$C,Mercado!$I:$I),_xlfn.XLOOKUP($D331,Fontes!$B:$B,Fontes!$J:$J))</f>
        <v>1014.49</v>
      </c>
      <c r="J331" s="439">
        <f>IF($A331="M",_xlfn.XLOOKUP($D331,Mercado!$C:$C,Mercado!$J:$J),_xlfn.XLOOKUP($D331,Fontes!$B:$B,Fontes!$H:$H))</f>
        <v>998.18</v>
      </c>
      <c r="K331" s="439">
        <f>IF($A331="M",0,_xlfn.XLOOKUP($D331,Fontes!$B:$B,Fontes!$I:$I))</f>
        <v>66.040000000000006</v>
      </c>
      <c r="L331" s="250">
        <f t="shared" si="45"/>
        <v>2078.71</v>
      </c>
      <c r="M331" s="300">
        <f t="shared" si="50"/>
        <v>2078.71</v>
      </c>
      <c r="N331" s="243"/>
      <c r="O331" s="517">
        <f t="shared" si="46"/>
        <v>2078.71</v>
      </c>
      <c r="U331" s="540"/>
    </row>
    <row r="332" spans="1:21" ht="96" outlineLevel="4" x14ac:dyDescent="0.3">
      <c r="A332" s="35"/>
      <c r="B332" s="36"/>
      <c r="C332" s="495" t="s">
        <v>10009</v>
      </c>
      <c r="D332" s="249">
        <v>359</v>
      </c>
      <c r="E332" s="249" t="str">
        <f>UPPER(IF($D332=0,"",IF($A332=4,_xlfn.XLOOKUP($D332,Mercado!$C:$C,Mercado!$E:$E),_xlfn.XLOOKUP($D332,Fontes!$B:$B,Fontes!$C:$C))))</f>
        <v>PRÓPRIO</v>
      </c>
      <c r="F332" s="328" t="s">
        <v>8455</v>
      </c>
      <c r="G332" s="248" t="str">
        <f>UPPER(IF($D332=0,"",IF($A332=4,_xlfn.XLOOKUP($D332,Mercado!$C:$C,Mercado!$G:$G),_xlfn.XLOOKUP($D332,Fontes!$B:$B,Fontes!$E:$E))))</f>
        <v>UN</v>
      </c>
      <c r="H332" s="439">
        <v>9</v>
      </c>
      <c r="I332" s="439">
        <f>IF($A332="M",_xlfn.XLOOKUP($D332,Mercado!$C:$C,Mercado!$I:$I),_xlfn.XLOOKUP($D332,Fontes!$B:$B,Fontes!$J:$J))</f>
        <v>2339.3000000000002</v>
      </c>
      <c r="J332" s="439">
        <f>IF($A332="M",_xlfn.XLOOKUP($D332,Mercado!$C:$C,Mercado!$J:$J),_xlfn.XLOOKUP($D332,Fontes!$B:$B,Fontes!$H:$H))</f>
        <v>1366.19</v>
      </c>
      <c r="K332" s="439">
        <f>IF($A332="M",0,_xlfn.XLOOKUP($D332,Fontes!$B:$B,Fontes!$I:$I))</f>
        <v>89.63</v>
      </c>
      <c r="L332" s="250">
        <f t="shared" si="45"/>
        <v>3795.1200000000003</v>
      </c>
      <c r="M332" s="300">
        <f t="shared" si="50"/>
        <v>34156.080000000002</v>
      </c>
      <c r="N332" s="243"/>
      <c r="O332" s="517">
        <f t="shared" si="46"/>
        <v>34156.080000000002</v>
      </c>
      <c r="U332" s="540"/>
    </row>
    <row r="333" spans="1:21" ht="38.4" outlineLevel="4" x14ac:dyDescent="0.3">
      <c r="A333" s="35"/>
      <c r="B333" s="36"/>
      <c r="C333" s="495" t="s">
        <v>10010</v>
      </c>
      <c r="D333" s="249">
        <v>364</v>
      </c>
      <c r="E333" s="249" t="str">
        <f>UPPER(IF($D333=0,"",IF($A333=4,_xlfn.XLOOKUP($D333,Mercado!$C:$C,Mercado!$E:$E),_xlfn.XLOOKUP($D333,Fontes!$B:$B,Fontes!$C:$C))))</f>
        <v>PRÓPRIO</v>
      </c>
      <c r="F333" s="328" t="s">
        <v>8546</v>
      </c>
      <c r="G333" s="248" t="str">
        <f>UPPER(IF($D333=0,"",IF($A333=4,_xlfn.XLOOKUP($D333,Mercado!$C:$C,Mercado!$G:$G),_xlfn.XLOOKUP($D333,Fontes!$B:$B,Fontes!$E:$E))))</f>
        <v>UN</v>
      </c>
      <c r="H333" s="439">
        <v>2</v>
      </c>
      <c r="I333" s="439">
        <f>IF($A333="M",_xlfn.XLOOKUP($D333,Mercado!$C:$C,Mercado!$I:$I),_xlfn.XLOOKUP($D333,Fontes!$B:$B,Fontes!$J:$J))</f>
        <v>1318.24</v>
      </c>
      <c r="J333" s="439">
        <f>IF($A333="M",_xlfn.XLOOKUP($D333,Mercado!$C:$C,Mercado!$J:$J),_xlfn.XLOOKUP($D333,Fontes!$B:$B,Fontes!$H:$H))</f>
        <v>890.15</v>
      </c>
      <c r="K333" s="439">
        <f>IF($A333="M",0,_xlfn.XLOOKUP($D333,Fontes!$B:$B,Fontes!$I:$I))</f>
        <v>60.21</v>
      </c>
      <c r="L333" s="250">
        <f t="shared" si="45"/>
        <v>2268.6</v>
      </c>
      <c r="M333" s="300">
        <f t="shared" si="50"/>
        <v>4537.2</v>
      </c>
      <c r="N333" s="243"/>
      <c r="O333" s="517">
        <f t="shared" si="46"/>
        <v>4537.2</v>
      </c>
      <c r="U333" s="540"/>
    </row>
    <row r="334" spans="1:21" ht="38.4" outlineLevel="4" x14ac:dyDescent="0.3">
      <c r="A334" s="35"/>
      <c r="B334" s="36"/>
      <c r="C334" s="495" t="s">
        <v>10011</v>
      </c>
      <c r="D334" s="249">
        <v>365</v>
      </c>
      <c r="E334" s="249" t="str">
        <f>UPPER(IF($D334=0,"",IF($A334=4,_xlfn.XLOOKUP($D334,Mercado!$C:$C,Mercado!$E:$E),_xlfn.XLOOKUP($D334,Fontes!$B:$B,Fontes!$C:$C))))</f>
        <v>PRÓPRIO</v>
      </c>
      <c r="F334" s="328" t="s">
        <v>1701</v>
      </c>
      <c r="G334" s="248" t="str">
        <f>UPPER(IF($D334=0,"",IF($A334=4,_xlfn.XLOOKUP($D334,Mercado!$C:$C,Mercado!$G:$G),_xlfn.XLOOKUP($D334,Fontes!$B:$B,Fontes!$E:$E))))</f>
        <v>UN</v>
      </c>
      <c r="H334" s="439">
        <v>19</v>
      </c>
      <c r="I334" s="439">
        <f>IF($A334="M",_xlfn.XLOOKUP($D334,Mercado!$C:$C,Mercado!$I:$I),_xlfn.XLOOKUP($D334,Fontes!$B:$B,Fontes!$J:$J))</f>
        <v>295.24</v>
      </c>
      <c r="J334" s="439">
        <f>IF($A334="M",_xlfn.XLOOKUP($D334,Mercado!$C:$C,Mercado!$J:$J),_xlfn.XLOOKUP($D334,Fontes!$B:$B,Fontes!$H:$H))</f>
        <v>35.39</v>
      </c>
      <c r="K334" s="439">
        <f>IF($A334="M",0,_xlfn.XLOOKUP($D334,Fontes!$B:$B,Fontes!$I:$I))</f>
        <v>2.4</v>
      </c>
      <c r="L334" s="250">
        <f t="shared" ref="L334:L397" si="51">SUM(I334:K334)</f>
        <v>333.03</v>
      </c>
      <c r="M334" s="300">
        <f t="shared" si="50"/>
        <v>6327.57</v>
      </c>
      <c r="N334" s="243"/>
      <c r="O334" s="517">
        <f t="shared" si="46"/>
        <v>6327.57</v>
      </c>
      <c r="U334" s="540"/>
    </row>
    <row r="335" spans="1:21" outlineLevel="4" x14ac:dyDescent="0.3">
      <c r="A335" s="35"/>
      <c r="B335" s="36"/>
      <c r="C335" s="495" t="s">
        <v>10012</v>
      </c>
      <c r="D335" s="249">
        <v>366</v>
      </c>
      <c r="E335" s="249" t="str">
        <f>UPPER(IF($D335=0,"",IF($A335=4,_xlfn.XLOOKUP($D335,Mercado!$C:$C,Mercado!$E:$E),_xlfn.XLOOKUP($D335,Fontes!$B:$B,Fontes!$C:$C))))</f>
        <v>PRÓPRIO</v>
      </c>
      <c r="F335" s="328" t="s">
        <v>3549</v>
      </c>
      <c r="G335" s="248" t="str">
        <f>UPPER(IF($D335=0,"",IF($A335=4,_xlfn.XLOOKUP($D335,Mercado!$C:$C,Mercado!$G:$G),_xlfn.XLOOKUP($D335,Fontes!$B:$B,Fontes!$E:$E))))</f>
        <v>UN</v>
      </c>
      <c r="H335" s="439">
        <v>84</v>
      </c>
      <c r="I335" s="439">
        <f>IF($A335="M",_xlfn.XLOOKUP($D335,Mercado!$C:$C,Mercado!$I:$I),_xlfn.XLOOKUP($D335,Fontes!$B:$B,Fontes!$J:$J))</f>
        <v>227.98</v>
      </c>
      <c r="J335" s="439">
        <f>IF($A335="M",_xlfn.XLOOKUP($D335,Mercado!$C:$C,Mercado!$J:$J),_xlfn.XLOOKUP($D335,Fontes!$B:$B,Fontes!$H:$H))</f>
        <v>9.9700000000000006</v>
      </c>
      <c r="K335" s="439">
        <f>IF($A335="M",0,_xlfn.XLOOKUP($D335,Fontes!$B:$B,Fontes!$I:$I))</f>
        <v>0.76</v>
      </c>
      <c r="L335" s="250">
        <f t="shared" si="51"/>
        <v>238.70999999999998</v>
      </c>
      <c r="M335" s="300">
        <f t="shared" si="50"/>
        <v>20051.64</v>
      </c>
      <c r="N335" s="243"/>
      <c r="O335" s="517">
        <f t="shared" si="46"/>
        <v>20051.64</v>
      </c>
      <c r="U335" s="540"/>
    </row>
    <row r="336" spans="1:21" outlineLevel="4" x14ac:dyDescent="0.3">
      <c r="A336" s="35"/>
      <c r="B336" s="36"/>
      <c r="C336" s="495" t="s">
        <v>10013</v>
      </c>
      <c r="D336" s="249">
        <v>367</v>
      </c>
      <c r="E336" s="249" t="str">
        <f>UPPER(IF($D336=0,"",IF($A336=4,_xlfn.XLOOKUP($D336,Mercado!$C:$C,Mercado!$E:$E),_xlfn.XLOOKUP($D336,Fontes!$B:$B,Fontes!$C:$C))))</f>
        <v>PRÓPRIO</v>
      </c>
      <c r="F336" s="328" t="s">
        <v>1705</v>
      </c>
      <c r="G336" s="248" t="str">
        <f>UPPER(IF($D336=0,"",IF($A336=4,_xlfn.XLOOKUP($D336,Mercado!$C:$C,Mercado!$G:$G),_xlfn.XLOOKUP($D336,Fontes!$B:$B,Fontes!$E:$E))))</f>
        <v>UN</v>
      </c>
      <c r="H336" s="439">
        <v>5</v>
      </c>
      <c r="I336" s="439">
        <f>IF($A336="M",_xlfn.XLOOKUP($D336,Mercado!$C:$C,Mercado!$I:$I),_xlfn.XLOOKUP($D336,Fontes!$B:$B,Fontes!$J:$J))</f>
        <v>910.03</v>
      </c>
      <c r="J336" s="439">
        <f>IF($A336="M",_xlfn.XLOOKUP($D336,Mercado!$C:$C,Mercado!$J:$J),_xlfn.XLOOKUP($D336,Fontes!$B:$B,Fontes!$H:$H))</f>
        <v>59.49</v>
      </c>
      <c r="K336" s="439">
        <f>IF($A336="M",0,_xlfn.XLOOKUP($D336,Fontes!$B:$B,Fontes!$I:$I))</f>
        <v>3.75</v>
      </c>
      <c r="L336" s="250">
        <f t="shared" si="51"/>
        <v>973.27</v>
      </c>
      <c r="M336" s="300">
        <f t="shared" si="50"/>
        <v>4866.3500000000004</v>
      </c>
      <c r="N336" s="243"/>
      <c r="O336" s="517">
        <f t="shared" si="46"/>
        <v>4866.3500000000004</v>
      </c>
      <c r="U336" s="540"/>
    </row>
    <row r="337" spans="1:21" ht="38.4" outlineLevel="4" x14ac:dyDescent="0.3">
      <c r="A337" s="35"/>
      <c r="B337" s="36"/>
      <c r="C337" s="495" t="s">
        <v>10014</v>
      </c>
      <c r="D337" s="249">
        <v>382</v>
      </c>
      <c r="E337" s="249" t="str">
        <f>UPPER(IF($D337=0,"",IF($A337=4,_xlfn.XLOOKUP($D337,Mercado!$C:$C,Mercado!$E:$E),_xlfn.XLOOKUP($D337,Fontes!$B:$B,Fontes!$C:$C))))</f>
        <v>PRÓPRIO</v>
      </c>
      <c r="F337" s="328" t="s">
        <v>3550</v>
      </c>
      <c r="G337" s="248" t="str">
        <f>UPPER(IF($D337=0,"",IF($A337=4,_xlfn.XLOOKUP($D337,Mercado!$C:$C,Mercado!$G:$G),_xlfn.XLOOKUP($D337,Fontes!$B:$B,Fontes!$E:$E))))</f>
        <v>UN</v>
      </c>
      <c r="H337" s="439">
        <v>9</v>
      </c>
      <c r="I337" s="439">
        <f>IF($A337="M",_xlfn.XLOOKUP($D337,Mercado!$C:$C,Mercado!$I:$I),_xlfn.XLOOKUP($D337,Fontes!$B:$B,Fontes!$J:$J))</f>
        <v>211.44</v>
      </c>
      <c r="J337" s="439">
        <f>IF($A337="M",_xlfn.XLOOKUP($D337,Mercado!$C:$C,Mercado!$J:$J),_xlfn.XLOOKUP($D337,Fontes!$B:$B,Fontes!$H:$H))</f>
        <v>46.78</v>
      </c>
      <c r="K337" s="439">
        <f>IF($A337="M",0,_xlfn.XLOOKUP($D337,Fontes!$B:$B,Fontes!$I:$I))</f>
        <v>3.14</v>
      </c>
      <c r="L337" s="250">
        <f t="shared" si="51"/>
        <v>261.36</v>
      </c>
      <c r="M337" s="300">
        <f t="shared" si="50"/>
        <v>2352.2399999999998</v>
      </c>
      <c r="N337" s="243"/>
      <c r="O337" s="517">
        <f t="shared" si="46"/>
        <v>2352.2399999999998</v>
      </c>
      <c r="U337" s="540"/>
    </row>
    <row r="338" spans="1:21" ht="38.4" outlineLevel="4" x14ac:dyDescent="0.3">
      <c r="A338" s="35"/>
      <c r="B338" s="36"/>
      <c r="C338" s="495" t="s">
        <v>10015</v>
      </c>
      <c r="D338" s="249">
        <v>383</v>
      </c>
      <c r="E338" s="249" t="str">
        <f>UPPER(IF($D338=0,"",IF($A338=4,_xlfn.XLOOKUP($D338,Mercado!$C:$C,Mercado!$E:$E),_xlfn.XLOOKUP($D338,Fontes!$B:$B,Fontes!$C:$C))))</f>
        <v>PRÓPRIO</v>
      </c>
      <c r="F338" s="328" t="s">
        <v>3551</v>
      </c>
      <c r="G338" s="248" t="str">
        <f>UPPER(IF($D338=0,"",IF($A338=4,_xlfn.XLOOKUP($D338,Mercado!$C:$C,Mercado!$G:$G),_xlfn.XLOOKUP($D338,Fontes!$B:$B,Fontes!$E:$E))))</f>
        <v>UN</v>
      </c>
      <c r="H338" s="439">
        <v>9</v>
      </c>
      <c r="I338" s="439">
        <f>IF($A338="M",_xlfn.XLOOKUP($D338,Mercado!$C:$C,Mercado!$I:$I),_xlfn.XLOOKUP($D338,Fontes!$B:$B,Fontes!$J:$J))</f>
        <v>211.44</v>
      </c>
      <c r="J338" s="439">
        <f>IF($A338="M",_xlfn.XLOOKUP($D338,Mercado!$C:$C,Mercado!$J:$J),_xlfn.XLOOKUP($D338,Fontes!$B:$B,Fontes!$H:$H))</f>
        <v>46.78</v>
      </c>
      <c r="K338" s="439">
        <f>IF($A338="M",0,_xlfn.XLOOKUP($D338,Fontes!$B:$B,Fontes!$I:$I))</f>
        <v>3.14</v>
      </c>
      <c r="L338" s="250">
        <f t="shared" si="51"/>
        <v>261.36</v>
      </c>
      <c r="M338" s="300">
        <f t="shared" si="50"/>
        <v>2352.2399999999998</v>
      </c>
      <c r="N338" s="243"/>
      <c r="O338" s="517">
        <f t="shared" si="46"/>
        <v>2352.2399999999998</v>
      </c>
      <c r="U338" s="540"/>
    </row>
    <row r="339" spans="1:21" outlineLevel="4" x14ac:dyDescent="0.3">
      <c r="A339" s="36" t="s">
        <v>7</v>
      </c>
      <c r="B339" s="36"/>
      <c r="C339" s="495"/>
      <c r="D339" s="249"/>
      <c r="E339" s="249" t="str">
        <f>UPPER(IF($D339=0,"",IF($A339=4,_xlfn.XLOOKUP($D339,Mercado!$C:$C,Mercado!$E:$E),_xlfn.XLOOKUP($D339,Fontes!$B:$B,Fontes!$C:$C))))</f>
        <v/>
      </c>
      <c r="F339" s="327" t="s">
        <v>781</v>
      </c>
      <c r="G339" s="249"/>
      <c r="H339" s="252"/>
      <c r="I339" s="252">
        <f>IF($A339="M",_xlfn.XLOOKUP($D339,Mercado!$C:$C,Mercado!$I:$I),_xlfn.XLOOKUP($D339,Fontes!$B:$B,Fontes!$J:$J))</f>
        <v>0</v>
      </c>
      <c r="J339" s="252">
        <f>IF($A339="M",_xlfn.XLOOKUP($D339,Mercado!$C:$C,Mercado!$J:$J),_xlfn.XLOOKUP($D339,Fontes!$B:$B,Fontes!$H:$H))</f>
        <v>0</v>
      </c>
      <c r="K339" s="252">
        <f>IF($A339="M",0,_xlfn.XLOOKUP($D339,Fontes!$B:$B,Fontes!$I:$I))</f>
        <v>0</v>
      </c>
      <c r="L339" s="250">
        <f t="shared" si="51"/>
        <v>0</v>
      </c>
      <c r="M339" s="300">
        <f t="shared" si="50"/>
        <v>0</v>
      </c>
      <c r="N339" s="243"/>
      <c r="O339" s="517" t="str">
        <f t="shared" si="46"/>
        <v/>
      </c>
      <c r="U339" s="540"/>
    </row>
    <row r="340" spans="1:21" outlineLevel="3" x14ac:dyDescent="0.3">
      <c r="A340" s="36" t="s">
        <v>7</v>
      </c>
      <c r="B340" s="36"/>
      <c r="C340" s="495" t="s">
        <v>10016</v>
      </c>
      <c r="D340" s="249"/>
      <c r="E340" s="249" t="str">
        <f>UPPER(IF($D340=0,"",IF($A340=4,_xlfn.XLOOKUP($D340,Mercado!$C:$C,Mercado!$E:$E),_xlfn.XLOOKUP($D340,Fontes!$B:$B,Fontes!$C:$C))))</f>
        <v/>
      </c>
      <c r="F340" s="330" t="s">
        <v>1670</v>
      </c>
      <c r="G340" s="249"/>
      <c r="H340" s="252"/>
      <c r="I340" s="252">
        <f>IF($A340="M",_xlfn.XLOOKUP($D340,Mercado!$C:$C,Mercado!$I:$I),_xlfn.XLOOKUP($D340,Fontes!$B:$B,Fontes!$J:$J))</f>
        <v>0</v>
      </c>
      <c r="J340" s="252">
        <f>IF($A340="M",_xlfn.XLOOKUP($D340,Mercado!$C:$C,Mercado!$J:$J),_xlfn.XLOOKUP($D340,Fontes!$B:$B,Fontes!$H:$H))</f>
        <v>0</v>
      </c>
      <c r="K340" s="252">
        <f>IF($A340="M",0,_xlfn.XLOOKUP($D340,Fontes!$B:$B,Fontes!$I:$I))</f>
        <v>0</v>
      </c>
      <c r="L340" s="250">
        <f t="shared" si="51"/>
        <v>0</v>
      </c>
      <c r="M340" s="500">
        <f t="shared" si="50"/>
        <v>0</v>
      </c>
      <c r="O340" s="517" t="str">
        <f t="shared" si="46"/>
        <v/>
      </c>
      <c r="U340" s="540"/>
    </row>
    <row r="341" spans="1:21" ht="76.8" outlineLevel="4" x14ac:dyDescent="0.3">
      <c r="A341" s="35"/>
      <c r="B341" s="36"/>
      <c r="C341" s="495" t="s">
        <v>10017</v>
      </c>
      <c r="D341" s="249">
        <v>94569</v>
      </c>
      <c r="E341" s="249" t="str">
        <f>UPPER(IF($D341=0,"",IF($A341=4,_xlfn.XLOOKUP($D341,Mercado!$C:$C,Mercado!$E:$E),_xlfn.XLOOKUP($D341,Fontes!$B:$B,Fontes!$C:$C))))</f>
        <v>SINAPI</v>
      </c>
      <c r="F341" s="328" t="s">
        <v>8471</v>
      </c>
      <c r="G341" s="248" t="str">
        <f>UPPER(IF($D341=0,"",IF($A341=4,_xlfn.XLOOKUP($D341,Mercado!$C:$C,Mercado!$G:$G),_xlfn.XLOOKUP($D341,Fontes!$B:$B,Fontes!$E:$E))))</f>
        <v>M²</v>
      </c>
      <c r="H341" s="439">
        <f>1.24*0.8*2</f>
        <v>1.984</v>
      </c>
      <c r="I341" s="252">
        <f>IF($A341="M",_xlfn.XLOOKUP($D341,Mercado!$C:$C,Mercado!$I:$I),_xlfn.XLOOKUP($D341,Fontes!$B:$B,Fontes!$J:$J))</f>
        <v>1214.8499999999999</v>
      </c>
      <c r="J341" s="252">
        <f>IF($A341="M",_xlfn.XLOOKUP($D341,Mercado!$C:$C,Mercado!$J:$J),_xlfn.XLOOKUP($D341,Fontes!$B:$B,Fontes!$H:$H))</f>
        <v>43.6</v>
      </c>
      <c r="K341" s="252">
        <f>IF($A341="M",0,_xlfn.XLOOKUP($D341,Fontes!$B:$B,Fontes!$I:$I))</f>
        <v>3.56</v>
      </c>
      <c r="L341" s="250">
        <f t="shared" si="51"/>
        <v>1262.0099999999998</v>
      </c>
      <c r="M341" s="300">
        <f t="shared" si="50"/>
        <v>2503.83</v>
      </c>
      <c r="N341" s="243"/>
      <c r="O341" s="517">
        <f>IF(D341&lt;&gt;0,M341,"")</f>
        <v>2503.83</v>
      </c>
      <c r="U341" s="540"/>
    </row>
    <row r="342" spans="1:21" ht="76.8" outlineLevel="4" x14ac:dyDescent="0.3">
      <c r="A342" s="35"/>
      <c r="B342" s="36"/>
      <c r="C342" s="495" t="s">
        <v>10018</v>
      </c>
      <c r="D342" s="249">
        <v>94569</v>
      </c>
      <c r="E342" s="249" t="str">
        <f>UPPER(IF($D342=0,"",IF($A342=4,_xlfn.XLOOKUP($D342,Mercado!$C:$C,Mercado!$E:$E),_xlfn.XLOOKUP($D342,Fontes!$B:$B,Fontes!$C:$C))))</f>
        <v>SINAPI</v>
      </c>
      <c r="F342" s="328" t="s">
        <v>8474</v>
      </c>
      <c r="G342" s="248" t="str">
        <f>UPPER(IF($D342=0,"",IF($A342=4,_xlfn.XLOOKUP($D342,Mercado!$C:$C,Mercado!$G:$G),_xlfn.XLOOKUP($D342,Fontes!$B:$B,Fontes!$E:$E))))</f>
        <v>M²</v>
      </c>
      <c r="H342" s="439">
        <f>0.8*1.24*4</f>
        <v>3.968</v>
      </c>
      <c r="I342" s="252">
        <f>IF($A342="M",_xlfn.XLOOKUP($D342,Mercado!$C:$C,Mercado!$I:$I),_xlfn.XLOOKUP($D342,Fontes!$B:$B,Fontes!$J:$J))</f>
        <v>1214.8499999999999</v>
      </c>
      <c r="J342" s="252">
        <f>IF($A342="M",_xlfn.XLOOKUP($D342,Mercado!$C:$C,Mercado!$J:$J),_xlfn.XLOOKUP($D342,Fontes!$B:$B,Fontes!$H:$H))</f>
        <v>43.6</v>
      </c>
      <c r="K342" s="252">
        <f>IF($A342="M",0,_xlfn.XLOOKUP($D342,Fontes!$B:$B,Fontes!$I:$I))</f>
        <v>3.56</v>
      </c>
      <c r="L342" s="250">
        <f t="shared" si="51"/>
        <v>1262.0099999999998</v>
      </c>
      <c r="M342" s="300">
        <f t="shared" si="50"/>
        <v>5007.66</v>
      </c>
      <c r="N342" s="243"/>
      <c r="O342" s="517">
        <f>IF(D342&lt;&gt;0,M342,"")</f>
        <v>5007.66</v>
      </c>
      <c r="U342" s="540"/>
    </row>
    <row r="343" spans="1:21" ht="76.8" outlineLevel="4" x14ac:dyDescent="0.3">
      <c r="A343" s="35"/>
      <c r="B343" s="36"/>
      <c r="C343" s="495" t="s">
        <v>10019</v>
      </c>
      <c r="D343" s="249">
        <v>94569</v>
      </c>
      <c r="E343" s="249" t="str">
        <f>UPPER(IF($D343=0,"",IF($A343=4,_xlfn.XLOOKUP($D343,Mercado!$C:$C,Mercado!$E:$E),_xlfn.XLOOKUP($D343,Fontes!$B:$B,Fontes!$C:$C))))</f>
        <v>SINAPI</v>
      </c>
      <c r="F343" s="328" t="s">
        <v>8446</v>
      </c>
      <c r="G343" s="248" t="str">
        <f>UPPER(IF($D343=0,"",IF($A343=4,_xlfn.XLOOKUP($D343,Mercado!$C:$C,Mercado!$G:$G),_xlfn.XLOOKUP($D343,Fontes!$B:$B,Fontes!$E:$E))))</f>
        <v>M²</v>
      </c>
      <c r="H343" s="439">
        <f>2.38*0.8</f>
        <v>1.9039999999999999</v>
      </c>
      <c r="I343" s="252">
        <f>IF($A343="M",_xlfn.XLOOKUP($D343,Mercado!$C:$C,Mercado!$I:$I),_xlfn.XLOOKUP($D343,Fontes!$B:$B,Fontes!$J:$J))</f>
        <v>1214.8499999999999</v>
      </c>
      <c r="J343" s="252">
        <f>IF($A343="M",_xlfn.XLOOKUP($D343,Mercado!$C:$C,Mercado!$J:$J),_xlfn.XLOOKUP($D343,Fontes!$B:$B,Fontes!$H:$H))</f>
        <v>43.6</v>
      </c>
      <c r="K343" s="252">
        <f>IF($A343="M",0,_xlfn.XLOOKUP($D343,Fontes!$B:$B,Fontes!$I:$I))</f>
        <v>3.56</v>
      </c>
      <c r="L343" s="250">
        <f t="shared" si="51"/>
        <v>1262.0099999999998</v>
      </c>
      <c r="M343" s="300">
        <f t="shared" si="50"/>
        <v>2402.87</v>
      </c>
      <c r="N343" s="243"/>
      <c r="O343" s="517">
        <f>IF(D343&lt;&gt;0,M343,"")</f>
        <v>2402.87</v>
      </c>
      <c r="U343" s="540"/>
    </row>
    <row r="344" spans="1:21" ht="76.8" outlineLevel="4" x14ac:dyDescent="0.3">
      <c r="A344" s="35"/>
      <c r="B344" s="36"/>
      <c r="C344" s="495" t="s">
        <v>10020</v>
      </c>
      <c r="D344" s="249">
        <v>94569</v>
      </c>
      <c r="E344" s="249" t="str">
        <f>UPPER(IF($D344=0,"",IF($A344=4,_xlfn.XLOOKUP($D344,Mercado!$C:$C,Mercado!$E:$E),_xlfn.XLOOKUP($D344,Fontes!$B:$B,Fontes!$C:$C))))</f>
        <v>SINAPI</v>
      </c>
      <c r="F344" s="328" t="s">
        <v>8447</v>
      </c>
      <c r="G344" s="248" t="str">
        <f>UPPER(IF($D344=0,"",IF($A344=4,_xlfn.XLOOKUP($D344,Mercado!$C:$C,Mercado!$G:$G),_xlfn.XLOOKUP($D344,Fontes!$B:$B,Fontes!$E:$E))))</f>
        <v>M²</v>
      </c>
      <c r="H344" s="439">
        <f>3.57*0.8</f>
        <v>2.8559999999999999</v>
      </c>
      <c r="I344" s="252">
        <f>IF($A344="M",_xlfn.XLOOKUP($D344,Mercado!$C:$C,Mercado!$I:$I),_xlfn.XLOOKUP($D344,Fontes!$B:$B,Fontes!$J:$J))</f>
        <v>1214.8499999999999</v>
      </c>
      <c r="J344" s="252">
        <f>IF($A344="M",_xlfn.XLOOKUP($D344,Mercado!$C:$C,Mercado!$J:$J),_xlfn.XLOOKUP($D344,Fontes!$B:$B,Fontes!$H:$H))</f>
        <v>43.6</v>
      </c>
      <c r="K344" s="252">
        <f>IF($A344="M",0,_xlfn.XLOOKUP($D344,Fontes!$B:$B,Fontes!$I:$I))</f>
        <v>3.56</v>
      </c>
      <c r="L344" s="250">
        <f t="shared" si="51"/>
        <v>1262.0099999999998</v>
      </c>
      <c r="M344" s="300">
        <f t="shared" si="50"/>
        <v>3604.3</v>
      </c>
      <c r="N344" s="243"/>
      <c r="O344" s="517">
        <f t="shared" si="46"/>
        <v>3604.3</v>
      </c>
      <c r="U344" s="540"/>
    </row>
    <row r="345" spans="1:21" ht="76.8" outlineLevel="4" x14ac:dyDescent="0.3">
      <c r="A345" s="35"/>
      <c r="B345" s="36"/>
      <c r="C345" s="495" t="s">
        <v>10021</v>
      </c>
      <c r="D345" s="249">
        <v>94569</v>
      </c>
      <c r="E345" s="249" t="str">
        <f>UPPER(IF($D345=0,"",IF($A345=4,_xlfn.XLOOKUP($D345,Mercado!$C:$C,Mercado!$E:$E),_xlfn.XLOOKUP($D345,Fontes!$B:$B,Fontes!$C:$C))))</f>
        <v>SINAPI</v>
      </c>
      <c r="F345" s="328" t="s">
        <v>8475</v>
      </c>
      <c r="G345" s="248" t="str">
        <f>UPPER(IF($D345=0,"",IF($A345=4,_xlfn.XLOOKUP($D345,Mercado!$C:$C,Mercado!$G:$G),_xlfn.XLOOKUP($D345,Fontes!$B:$B,Fontes!$E:$E))))</f>
        <v>M²</v>
      </c>
      <c r="H345" s="439">
        <f>4.17*0.8*2</f>
        <v>6.6720000000000006</v>
      </c>
      <c r="I345" s="252">
        <f>IF($A345="M",_xlfn.XLOOKUP($D345,Mercado!$C:$C,Mercado!$I:$I),_xlfn.XLOOKUP($D345,Fontes!$B:$B,Fontes!$J:$J))</f>
        <v>1214.8499999999999</v>
      </c>
      <c r="J345" s="252">
        <f>IF($A345="M",_xlfn.XLOOKUP($D345,Mercado!$C:$C,Mercado!$J:$J),_xlfn.XLOOKUP($D345,Fontes!$B:$B,Fontes!$H:$H))</f>
        <v>43.6</v>
      </c>
      <c r="K345" s="252">
        <f>IF($A345="M",0,_xlfn.XLOOKUP($D345,Fontes!$B:$B,Fontes!$I:$I))</f>
        <v>3.56</v>
      </c>
      <c r="L345" s="250">
        <f t="shared" si="51"/>
        <v>1262.0099999999998</v>
      </c>
      <c r="M345" s="300">
        <f t="shared" si="50"/>
        <v>8420.1299999999992</v>
      </c>
      <c r="N345" s="243"/>
      <c r="O345" s="517">
        <f t="shared" ref="O345:O415" si="52">IF(D345&lt;&gt;0,M345,"")</f>
        <v>8420.1299999999992</v>
      </c>
      <c r="U345" s="540"/>
    </row>
    <row r="346" spans="1:21" ht="76.8" outlineLevel="4" x14ac:dyDescent="0.3">
      <c r="A346" s="35"/>
      <c r="B346" s="36"/>
      <c r="C346" s="495" t="s">
        <v>10022</v>
      </c>
      <c r="D346" s="249">
        <v>94569</v>
      </c>
      <c r="E346" s="249" t="str">
        <f>UPPER(IF($D346=0,"",IF($A346=4,_xlfn.XLOOKUP($D346,Mercado!$C:$C,Mercado!$E:$E),_xlfn.XLOOKUP($D346,Fontes!$B:$B,Fontes!$C:$C))))</f>
        <v>SINAPI</v>
      </c>
      <c r="F346" s="328" t="s">
        <v>8472</v>
      </c>
      <c r="G346" s="248" t="str">
        <f>UPPER(IF($D346=0,"",IF($A346=4,_xlfn.XLOOKUP($D346,Mercado!$C:$C,Mercado!$G:$G),_xlfn.XLOOKUP($D346,Fontes!$B:$B,Fontes!$E:$E))))</f>
        <v>M²</v>
      </c>
      <c r="H346" s="439">
        <f>3.66+1.24*3</f>
        <v>7.38</v>
      </c>
      <c r="I346" s="252">
        <f>IF($A346="M",_xlfn.XLOOKUP($D346,Mercado!$C:$C,Mercado!$I:$I),_xlfn.XLOOKUP($D346,Fontes!$B:$B,Fontes!$J:$J))</f>
        <v>1214.8499999999999</v>
      </c>
      <c r="J346" s="252">
        <f>IF($A346="M",_xlfn.XLOOKUP($D346,Mercado!$C:$C,Mercado!$J:$J),_xlfn.XLOOKUP($D346,Fontes!$B:$B,Fontes!$H:$H))</f>
        <v>43.6</v>
      </c>
      <c r="K346" s="252">
        <f>IF($A346="M",0,_xlfn.XLOOKUP($D346,Fontes!$B:$B,Fontes!$I:$I))</f>
        <v>3.56</v>
      </c>
      <c r="L346" s="250">
        <f t="shared" si="51"/>
        <v>1262.0099999999998</v>
      </c>
      <c r="M346" s="300">
        <f t="shared" si="50"/>
        <v>9313.6299999999992</v>
      </c>
      <c r="N346" s="243"/>
      <c r="O346" s="517">
        <f t="shared" si="52"/>
        <v>9313.6299999999992</v>
      </c>
      <c r="U346" s="540"/>
    </row>
    <row r="347" spans="1:21" outlineLevel="3" x14ac:dyDescent="0.3">
      <c r="A347" s="36" t="s">
        <v>7</v>
      </c>
      <c r="B347" s="36"/>
      <c r="C347" s="495" t="s">
        <v>781</v>
      </c>
      <c r="D347" s="249"/>
      <c r="E347" s="249" t="str">
        <f>UPPER(IF($D347=0,"",IF($A347=4,_xlfn.XLOOKUP($D347,Mercado!$C:$C,Mercado!$E:$E),_xlfn.XLOOKUP($D347,Fontes!$B:$B,Fontes!$C:$C))))</f>
        <v/>
      </c>
      <c r="F347" s="327" t="s">
        <v>781</v>
      </c>
      <c r="G347" s="249"/>
      <c r="H347" s="252"/>
      <c r="I347" s="252">
        <f>IF($A347="M",_xlfn.XLOOKUP($D347,Mercado!$C:$C,Mercado!$I:$I),_xlfn.XLOOKUP($D347,Fontes!$B:$B,Fontes!$J:$J))</f>
        <v>0</v>
      </c>
      <c r="J347" s="252">
        <f>IF($A347="M",_xlfn.XLOOKUP($D347,Mercado!$C:$C,Mercado!$J:$J),_xlfn.XLOOKUP($D347,Fontes!$B:$B,Fontes!$H:$H))</f>
        <v>0</v>
      </c>
      <c r="K347" s="252">
        <f>IF($A347="M",0,_xlfn.XLOOKUP($D347,Fontes!$B:$B,Fontes!$I:$I))</f>
        <v>0</v>
      </c>
      <c r="L347" s="250">
        <f t="shared" si="51"/>
        <v>0</v>
      </c>
      <c r="M347" s="300">
        <f t="shared" si="50"/>
        <v>0</v>
      </c>
      <c r="N347" s="243"/>
      <c r="O347" s="517" t="str">
        <f t="shared" si="52"/>
        <v/>
      </c>
      <c r="U347" s="540"/>
    </row>
    <row r="348" spans="1:21" outlineLevel="3" x14ac:dyDescent="0.3">
      <c r="A348" s="36" t="s">
        <v>7</v>
      </c>
      <c r="B348" s="36"/>
      <c r="C348" s="495" t="s">
        <v>10023</v>
      </c>
      <c r="D348" s="249"/>
      <c r="E348" s="249" t="str">
        <f>UPPER(IF($D348=0,"",IF($A348=4,_xlfn.XLOOKUP($D348,Mercado!$C:$C,Mercado!$E:$E),_xlfn.XLOOKUP($D348,Fontes!$B:$B,Fontes!$C:$C))))</f>
        <v/>
      </c>
      <c r="F348" s="330" t="s">
        <v>1670</v>
      </c>
      <c r="G348" s="249"/>
      <c r="H348" s="252"/>
      <c r="I348" s="252">
        <f>IF($A348="M",_xlfn.XLOOKUP($D348,Mercado!$C:$C,Mercado!$I:$I),_xlfn.XLOOKUP($D348,Fontes!$B:$B,Fontes!$J:$J))</f>
        <v>0</v>
      </c>
      <c r="J348" s="252">
        <f>IF($A348="M",_xlfn.XLOOKUP($D348,Mercado!$C:$C,Mercado!$J:$J),_xlfn.XLOOKUP($D348,Fontes!$B:$B,Fontes!$H:$H))</f>
        <v>0</v>
      </c>
      <c r="K348" s="252">
        <f>IF($A348="M",0,_xlfn.XLOOKUP($D348,Fontes!$B:$B,Fontes!$I:$I))</f>
        <v>0</v>
      </c>
      <c r="L348" s="250">
        <f t="shared" si="51"/>
        <v>0</v>
      </c>
      <c r="M348" s="500">
        <f t="shared" si="50"/>
        <v>0</v>
      </c>
      <c r="O348" s="517" t="str">
        <f t="shared" si="52"/>
        <v/>
      </c>
      <c r="U348" s="540"/>
    </row>
    <row r="349" spans="1:21" ht="38.4" outlineLevel="4" x14ac:dyDescent="0.3">
      <c r="A349" s="35"/>
      <c r="B349" s="36"/>
      <c r="C349" s="495" t="s">
        <v>10024</v>
      </c>
      <c r="D349" s="249">
        <v>91341</v>
      </c>
      <c r="E349" s="249" t="str">
        <f>UPPER(IF($D349=0,"",IF($A349=4,_xlfn.XLOOKUP($D349,Mercado!$C:$C,Mercado!$E:$E),_xlfn.XLOOKUP($D349,Fontes!$B:$B,Fontes!$C:$C))))</f>
        <v>SINAPI</v>
      </c>
      <c r="F349" s="437" t="s">
        <v>9713</v>
      </c>
      <c r="G349" s="249" t="str">
        <f>UPPER(IF($D349=0,"",IF($A349=4,_xlfn.XLOOKUP($D349,Mercado!$C:$C,Mercado!$G:$G),_xlfn.XLOOKUP($D349,Fontes!$B:$B,Fontes!$E:$E))))</f>
        <v>M²</v>
      </c>
      <c r="H349" s="252">
        <v>3.7800000000000002</v>
      </c>
      <c r="I349" s="252">
        <f>IF($A349="M",_xlfn.XLOOKUP($D349,Mercado!$C:$C,Mercado!$I:$I),_xlfn.XLOOKUP($D349,Fontes!$B:$B,Fontes!$J:$J))</f>
        <v>875.96</v>
      </c>
      <c r="J349" s="252">
        <f>IF($A349="M",_xlfn.XLOOKUP($D349,Mercado!$C:$C,Mercado!$J:$J),_xlfn.XLOOKUP($D349,Fontes!$B:$B,Fontes!$H:$H))</f>
        <v>21.22</v>
      </c>
      <c r="K349" s="252">
        <f>IF($A349="M",0,_xlfn.XLOOKUP($D349,Fontes!$B:$B,Fontes!$I:$I))</f>
        <v>1.67</v>
      </c>
      <c r="L349" s="250">
        <f t="shared" si="51"/>
        <v>898.85</v>
      </c>
      <c r="M349" s="300">
        <f t="shared" si="50"/>
        <v>3397.65</v>
      </c>
      <c r="N349" s="243"/>
      <c r="O349" s="517">
        <f t="shared" si="52"/>
        <v>3397.65</v>
      </c>
      <c r="U349" s="540"/>
    </row>
    <row r="350" spans="1:21" ht="38.4" outlineLevel="4" x14ac:dyDescent="0.3">
      <c r="A350" s="35"/>
      <c r="B350" s="36"/>
      <c r="C350" s="495" t="s">
        <v>10025</v>
      </c>
      <c r="D350" s="249">
        <v>91341</v>
      </c>
      <c r="E350" s="249" t="str">
        <f>UPPER(IF($D350=0,"",IF($A350=4,_xlfn.XLOOKUP($D350,Mercado!$C:$C,Mercado!$E:$E),_xlfn.XLOOKUP($D350,Fontes!$B:$B,Fontes!$C:$C))))</f>
        <v>SINAPI</v>
      </c>
      <c r="F350" s="327" t="s">
        <v>1671</v>
      </c>
      <c r="G350" s="249" t="str">
        <f>UPPER(IF($D350=0,"",IF($A350=4,_xlfn.XLOOKUP($D350,Mercado!$C:$C,Mercado!$G:$G),_xlfn.XLOOKUP($D350,Fontes!$B:$B,Fontes!$E:$E))))</f>
        <v>M²</v>
      </c>
      <c r="H350" s="252">
        <v>3.6017999999999999</v>
      </c>
      <c r="I350" s="252">
        <f>IF($A350="M",_xlfn.XLOOKUP($D350,Mercado!$C:$C,Mercado!$I:$I),_xlfn.XLOOKUP($D350,Fontes!$B:$B,Fontes!$J:$J))</f>
        <v>875.96</v>
      </c>
      <c r="J350" s="252">
        <f>IF($A350="M",_xlfn.XLOOKUP($D350,Mercado!$C:$C,Mercado!$J:$J),_xlfn.XLOOKUP($D350,Fontes!$B:$B,Fontes!$H:$H))</f>
        <v>21.22</v>
      </c>
      <c r="K350" s="252">
        <f>IF($A350="M",0,_xlfn.XLOOKUP($D350,Fontes!$B:$B,Fontes!$I:$I))</f>
        <v>1.67</v>
      </c>
      <c r="L350" s="250">
        <f t="shared" si="51"/>
        <v>898.85</v>
      </c>
      <c r="M350" s="300">
        <f t="shared" si="50"/>
        <v>3237.48</v>
      </c>
      <c r="N350" s="243"/>
      <c r="O350" s="517">
        <f t="shared" si="52"/>
        <v>3237.48</v>
      </c>
      <c r="U350" s="540"/>
    </row>
    <row r="351" spans="1:21" outlineLevel="3" x14ac:dyDescent="0.3">
      <c r="A351" s="36" t="s">
        <v>7</v>
      </c>
      <c r="B351" s="36"/>
      <c r="C351" s="495" t="s">
        <v>781</v>
      </c>
      <c r="D351" s="249"/>
      <c r="E351" s="249" t="str">
        <f>UPPER(IF($D351=0,"",IF($A351=4,_xlfn.XLOOKUP($D351,Mercado!$C:$C,Mercado!$E:$E),_xlfn.XLOOKUP($D351,Fontes!$B:$B,Fontes!$C:$C))))</f>
        <v/>
      </c>
      <c r="F351" s="327" t="s">
        <v>781</v>
      </c>
      <c r="G351" s="249"/>
      <c r="H351" s="252"/>
      <c r="I351" s="252">
        <f>IF($A351="M",_xlfn.XLOOKUP($D351,Mercado!$C:$C,Mercado!$I:$I),_xlfn.XLOOKUP($D351,Fontes!$B:$B,Fontes!$J:$J))</f>
        <v>0</v>
      </c>
      <c r="J351" s="252">
        <f>IF($A351="M",_xlfn.XLOOKUP($D351,Mercado!$C:$C,Mercado!$J:$J),_xlfn.XLOOKUP($D351,Fontes!$B:$B,Fontes!$H:$H))</f>
        <v>0</v>
      </c>
      <c r="K351" s="252">
        <f>IF($A351="M",0,_xlfn.XLOOKUP($D351,Fontes!$B:$B,Fontes!$I:$I))</f>
        <v>0</v>
      </c>
      <c r="L351" s="250">
        <f t="shared" si="51"/>
        <v>0</v>
      </c>
      <c r="M351" s="300">
        <f t="shared" si="50"/>
        <v>0</v>
      </c>
      <c r="N351" s="243"/>
      <c r="O351" s="517" t="str">
        <f t="shared" si="52"/>
        <v/>
      </c>
      <c r="U351" s="540"/>
    </row>
    <row r="352" spans="1:21" outlineLevel="3" x14ac:dyDescent="0.3">
      <c r="A352" s="36" t="s">
        <v>7</v>
      </c>
      <c r="B352" s="36"/>
      <c r="C352" s="495" t="s">
        <v>10026</v>
      </c>
      <c r="D352" s="249"/>
      <c r="E352" s="249" t="str">
        <f>UPPER(IF($D352=0,"",IF($A352=4,_xlfn.XLOOKUP($D352,Mercado!$C:$C,Mercado!$E:$E),_xlfn.XLOOKUP($D352,Fontes!$B:$B,Fontes!$C:$C))))</f>
        <v/>
      </c>
      <c r="F352" s="330" t="s">
        <v>1669</v>
      </c>
      <c r="G352" s="249"/>
      <c r="H352" s="252"/>
      <c r="I352" s="252">
        <f>IF($A352="M",_xlfn.XLOOKUP($D352,Mercado!$C:$C,Mercado!$I:$I),_xlfn.XLOOKUP($D352,Fontes!$B:$B,Fontes!$J:$J))</f>
        <v>0</v>
      </c>
      <c r="J352" s="252">
        <f>IF($A352="M",_xlfn.XLOOKUP($D352,Mercado!$C:$C,Mercado!$J:$J),_xlfn.XLOOKUP($D352,Fontes!$B:$B,Fontes!$H:$H))</f>
        <v>0</v>
      </c>
      <c r="K352" s="252">
        <f>IF($A352="M",0,_xlfn.XLOOKUP($D352,Fontes!$B:$B,Fontes!$I:$I))</f>
        <v>0</v>
      </c>
      <c r="L352" s="250">
        <f t="shared" si="51"/>
        <v>0</v>
      </c>
      <c r="M352" s="500">
        <f t="shared" si="50"/>
        <v>0</v>
      </c>
      <c r="O352" s="517" t="str">
        <f t="shared" si="52"/>
        <v/>
      </c>
      <c r="U352" s="540"/>
    </row>
    <row r="353" spans="1:21" ht="57.6" outlineLevel="4" x14ac:dyDescent="0.3">
      <c r="A353" s="35"/>
      <c r="B353" s="36"/>
      <c r="C353" s="495" t="s">
        <v>10027</v>
      </c>
      <c r="D353" s="249">
        <v>102180</v>
      </c>
      <c r="E353" s="249" t="str">
        <f>UPPER(IF($D353=0,"",IF($A353=4,_xlfn.XLOOKUP($D353,Mercado!$C:$C,Mercado!$E:$E),_xlfn.XLOOKUP($D353,Fontes!$B:$B,Fontes!$C:$C))))</f>
        <v>SINAPI</v>
      </c>
      <c r="F353" s="328" t="s">
        <v>8459</v>
      </c>
      <c r="G353" s="248" t="str">
        <f>UPPER(IF($D353=0,"",IF($A353=4,_xlfn.XLOOKUP($D353,Mercado!$C:$C,Mercado!$G:$G),_xlfn.XLOOKUP($D353,Fontes!$B:$B,Fontes!$E:$E))))</f>
        <v>M²</v>
      </c>
      <c r="H353" s="439">
        <v>5.49</v>
      </c>
      <c r="I353" s="252">
        <f>IF($A353="M",_xlfn.XLOOKUP($D353,Mercado!$C:$C,Mercado!$I:$I),_xlfn.XLOOKUP($D353,Fontes!$B:$B,Fontes!$J:$J))</f>
        <v>497.15</v>
      </c>
      <c r="J353" s="252">
        <f>IF($A353="M",_xlfn.XLOOKUP($D353,Mercado!$C:$C,Mercado!$J:$J),_xlfn.XLOOKUP($D353,Fontes!$B:$B,Fontes!$H:$H))</f>
        <v>57.3</v>
      </c>
      <c r="K353" s="252">
        <f>IF($A353="M",0,_xlfn.XLOOKUP($D353,Fontes!$B:$B,Fontes!$I:$I))</f>
        <v>5.35</v>
      </c>
      <c r="L353" s="250">
        <f t="shared" si="51"/>
        <v>559.79999999999995</v>
      </c>
      <c r="M353" s="300">
        <f t="shared" si="50"/>
        <v>3073.3</v>
      </c>
      <c r="N353" s="243"/>
      <c r="O353" s="517">
        <f t="shared" si="52"/>
        <v>3073.3</v>
      </c>
      <c r="U353" s="540"/>
    </row>
    <row r="354" spans="1:21" ht="57.6" outlineLevel="4" x14ac:dyDescent="0.3">
      <c r="A354" s="35"/>
      <c r="B354" s="36"/>
      <c r="C354" s="495" t="s">
        <v>10028</v>
      </c>
      <c r="D354" s="249">
        <v>102180</v>
      </c>
      <c r="E354" s="249" t="str">
        <f>UPPER(IF($D354=0,"",IF($A354=4,_xlfn.XLOOKUP($D354,Mercado!$C:$C,Mercado!$E:$E),_xlfn.XLOOKUP($D354,Fontes!$B:$B,Fontes!$C:$C))))</f>
        <v>SINAPI</v>
      </c>
      <c r="F354" s="328" t="s">
        <v>8460</v>
      </c>
      <c r="G354" s="248" t="str">
        <f>UPPER(IF($D354=0,"",IF($A354=4,_xlfn.XLOOKUP($D354,Mercado!$C:$C,Mercado!$G:$G),_xlfn.XLOOKUP($D354,Fontes!$B:$B,Fontes!$E:$E))))</f>
        <v>M²</v>
      </c>
      <c r="H354" s="439">
        <v>5.49</v>
      </c>
      <c r="I354" s="252">
        <f>IF($A354="M",_xlfn.XLOOKUP($D354,Mercado!$C:$C,Mercado!$I:$I),_xlfn.XLOOKUP($D354,Fontes!$B:$B,Fontes!$J:$J))</f>
        <v>497.15</v>
      </c>
      <c r="J354" s="252">
        <f>IF($A354="M",_xlfn.XLOOKUP($D354,Mercado!$C:$C,Mercado!$J:$J),_xlfn.XLOOKUP($D354,Fontes!$B:$B,Fontes!$H:$H))</f>
        <v>57.3</v>
      </c>
      <c r="K354" s="252">
        <f>IF($A354="M",0,_xlfn.XLOOKUP($D354,Fontes!$B:$B,Fontes!$I:$I))</f>
        <v>5.35</v>
      </c>
      <c r="L354" s="250">
        <f t="shared" si="51"/>
        <v>559.79999999999995</v>
      </c>
      <c r="M354" s="300">
        <f t="shared" si="50"/>
        <v>3073.3</v>
      </c>
      <c r="N354" s="243"/>
      <c r="O354" s="517">
        <f t="shared" si="52"/>
        <v>3073.3</v>
      </c>
      <c r="U354" s="540"/>
    </row>
    <row r="355" spans="1:21" ht="57.6" outlineLevel="4" x14ac:dyDescent="0.3">
      <c r="A355" s="35"/>
      <c r="B355" s="36"/>
      <c r="C355" s="495" t="s">
        <v>10029</v>
      </c>
      <c r="D355" s="249">
        <v>102180</v>
      </c>
      <c r="E355" s="249" t="str">
        <f>UPPER(IF($D355=0,"",IF($A355=4,_xlfn.XLOOKUP($D355,Mercado!$C:$C,Mercado!$E:$E),_xlfn.XLOOKUP($D355,Fontes!$B:$B,Fontes!$C:$C))))</f>
        <v>SINAPI</v>
      </c>
      <c r="F355" s="328" t="s">
        <v>8461</v>
      </c>
      <c r="G355" s="248" t="str">
        <f>UPPER(IF($D355=0,"",IF($A355=4,_xlfn.XLOOKUP($D355,Mercado!$C:$C,Mercado!$G:$G),_xlfn.XLOOKUP($D355,Fontes!$B:$B,Fontes!$E:$E))))</f>
        <v>M²</v>
      </c>
      <c r="H355" s="439">
        <v>5.82</v>
      </c>
      <c r="I355" s="252">
        <f>IF($A355="M",_xlfn.XLOOKUP($D355,Mercado!$C:$C,Mercado!$I:$I),_xlfn.XLOOKUP($D355,Fontes!$B:$B,Fontes!$J:$J))</f>
        <v>497.15</v>
      </c>
      <c r="J355" s="252">
        <f>IF($A355="M",_xlfn.XLOOKUP($D355,Mercado!$C:$C,Mercado!$J:$J),_xlfn.XLOOKUP($D355,Fontes!$B:$B,Fontes!$H:$H))</f>
        <v>57.3</v>
      </c>
      <c r="K355" s="252">
        <f>IF($A355="M",0,_xlfn.XLOOKUP($D355,Fontes!$B:$B,Fontes!$I:$I))</f>
        <v>5.35</v>
      </c>
      <c r="L355" s="250">
        <f t="shared" si="51"/>
        <v>559.79999999999995</v>
      </c>
      <c r="M355" s="300">
        <f t="shared" si="50"/>
        <v>3258.04</v>
      </c>
      <c r="N355" s="243"/>
      <c r="O355" s="517">
        <f t="shared" si="52"/>
        <v>3258.04</v>
      </c>
      <c r="U355" s="540"/>
    </row>
    <row r="356" spans="1:21" ht="57.6" outlineLevel="4" x14ac:dyDescent="0.3">
      <c r="A356" s="35"/>
      <c r="B356" s="36"/>
      <c r="C356" s="495" t="s">
        <v>10030</v>
      </c>
      <c r="D356" s="249">
        <v>102180</v>
      </c>
      <c r="E356" s="249" t="str">
        <f>UPPER(IF($D356=0,"",IF($A356=4,_xlfn.XLOOKUP($D356,Mercado!$C:$C,Mercado!$E:$E),_xlfn.XLOOKUP($D356,Fontes!$B:$B,Fontes!$C:$C))))</f>
        <v>SINAPI</v>
      </c>
      <c r="F356" s="328" t="s">
        <v>8462</v>
      </c>
      <c r="G356" s="248" t="str">
        <f>UPPER(IF($D356=0,"",IF($A356=4,_xlfn.XLOOKUP($D356,Mercado!$C:$C,Mercado!$G:$G),_xlfn.XLOOKUP($D356,Fontes!$B:$B,Fontes!$E:$E))))</f>
        <v>M²</v>
      </c>
      <c r="H356" s="439">
        <v>6.8</v>
      </c>
      <c r="I356" s="252">
        <f>IF($A356="M",_xlfn.XLOOKUP($D356,Mercado!$C:$C,Mercado!$I:$I),_xlfn.XLOOKUP($D356,Fontes!$B:$B,Fontes!$J:$J))</f>
        <v>497.15</v>
      </c>
      <c r="J356" s="252">
        <f>IF($A356="M",_xlfn.XLOOKUP($D356,Mercado!$C:$C,Mercado!$J:$J),_xlfn.XLOOKUP($D356,Fontes!$B:$B,Fontes!$H:$H))</f>
        <v>57.3</v>
      </c>
      <c r="K356" s="252">
        <f>IF($A356="M",0,_xlfn.XLOOKUP($D356,Fontes!$B:$B,Fontes!$I:$I))</f>
        <v>5.35</v>
      </c>
      <c r="L356" s="250">
        <f t="shared" si="51"/>
        <v>559.79999999999995</v>
      </c>
      <c r="M356" s="300">
        <f t="shared" si="50"/>
        <v>3806.64</v>
      </c>
      <c r="N356" s="243"/>
      <c r="O356" s="517">
        <f t="shared" si="52"/>
        <v>3806.64</v>
      </c>
      <c r="U356" s="540"/>
    </row>
    <row r="357" spans="1:21" ht="57.6" outlineLevel="4" x14ac:dyDescent="0.3">
      <c r="A357" s="35"/>
      <c r="B357" s="36"/>
      <c r="C357" s="495" t="s">
        <v>10031</v>
      </c>
      <c r="D357" s="249">
        <v>102180</v>
      </c>
      <c r="E357" s="249" t="str">
        <f>UPPER(IF($D357=0,"",IF($A357=4,_xlfn.XLOOKUP($D357,Mercado!$C:$C,Mercado!$E:$E),_xlfn.XLOOKUP($D357,Fontes!$B:$B,Fontes!$C:$C))))</f>
        <v>SINAPI</v>
      </c>
      <c r="F357" s="328" t="s">
        <v>8463</v>
      </c>
      <c r="G357" s="248" t="str">
        <f>UPPER(IF($D357=0,"",IF($A357=4,_xlfn.XLOOKUP($D357,Mercado!$C:$C,Mercado!$G:$G),_xlfn.XLOOKUP($D357,Fontes!$B:$B,Fontes!$E:$E))))</f>
        <v>M²</v>
      </c>
      <c r="H357" s="439">
        <v>10.75</v>
      </c>
      <c r="I357" s="252">
        <f>IF($A357="M",_xlfn.XLOOKUP($D357,Mercado!$C:$C,Mercado!$I:$I),_xlfn.XLOOKUP($D357,Fontes!$B:$B,Fontes!$J:$J))</f>
        <v>497.15</v>
      </c>
      <c r="J357" s="252">
        <f>IF($A357="M",_xlfn.XLOOKUP($D357,Mercado!$C:$C,Mercado!$J:$J),_xlfn.XLOOKUP($D357,Fontes!$B:$B,Fontes!$H:$H))</f>
        <v>57.3</v>
      </c>
      <c r="K357" s="252">
        <f>IF($A357="M",0,_xlfn.XLOOKUP($D357,Fontes!$B:$B,Fontes!$I:$I))</f>
        <v>5.35</v>
      </c>
      <c r="L357" s="250">
        <f t="shared" si="51"/>
        <v>559.79999999999995</v>
      </c>
      <c r="M357" s="300">
        <f t="shared" si="50"/>
        <v>6017.85</v>
      </c>
      <c r="N357" s="243"/>
      <c r="O357" s="517">
        <f t="shared" si="52"/>
        <v>6017.85</v>
      </c>
      <c r="U357" s="540"/>
    </row>
    <row r="358" spans="1:21" ht="57.6" outlineLevel="4" x14ac:dyDescent="0.3">
      <c r="A358" s="35"/>
      <c r="B358" s="36"/>
      <c r="C358" s="495" t="s">
        <v>10032</v>
      </c>
      <c r="D358" s="249">
        <v>102180</v>
      </c>
      <c r="E358" s="249" t="str">
        <f>UPPER(IF($D358=0,"",IF($A358=4,_xlfn.XLOOKUP($D358,Mercado!$C:$C,Mercado!$E:$E),_xlfn.XLOOKUP($D358,Fontes!$B:$B,Fontes!$C:$C))))</f>
        <v>SINAPI</v>
      </c>
      <c r="F358" s="328" t="s">
        <v>8464</v>
      </c>
      <c r="G358" s="248" t="str">
        <f>UPPER(IF($D358=0,"",IF($A358=4,_xlfn.XLOOKUP($D358,Mercado!$C:$C,Mercado!$G:$G),_xlfn.XLOOKUP($D358,Fontes!$B:$B,Fontes!$E:$E))))</f>
        <v>M²</v>
      </c>
      <c r="H358" s="439">
        <v>11.72</v>
      </c>
      <c r="I358" s="252">
        <f>IF($A358="M",_xlfn.XLOOKUP($D358,Mercado!$C:$C,Mercado!$I:$I),_xlfn.XLOOKUP($D358,Fontes!$B:$B,Fontes!$J:$J))</f>
        <v>497.15</v>
      </c>
      <c r="J358" s="252">
        <f>IF($A358="M",_xlfn.XLOOKUP($D358,Mercado!$C:$C,Mercado!$J:$J),_xlfn.XLOOKUP($D358,Fontes!$B:$B,Fontes!$H:$H))</f>
        <v>57.3</v>
      </c>
      <c r="K358" s="252">
        <f>IF($A358="M",0,_xlfn.XLOOKUP($D358,Fontes!$B:$B,Fontes!$I:$I))</f>
        <v>5.35</v>
      </c>
      <c r="L358" s="250">
        <f t="shared" si="51"/>
        <v>559.79999999999995</v>
      </c>
      <c r="M358" s="300">
        <f t="shared" ref="M358:M389" si="53">ROUND(H358*L358,2)</f>
        <v>6560.86</v>
      </c>
      <c r="N358" s="243"/>
      <c r="O358" s="517">
        <f t="shared" ref="O358" si="54">IF(D358&lt;&gt;0,M358,"")</f>
        <v>6560.86</v>
      </c>
      <c r="U358" s="540"/>
    </row>
    <row r="359" spans="1:21" ht="57.6" outlineLevel="4" x14ac:dyDescent="0.3">
      <c r="A359" s="35"/>
      <c r="B359" s="36"/>
      <c r="C359" s="495" t="s">
        <v>10033</v>
      </c>
      <c r="D359" s="249">
        <v>102180</v>
      </c>
      <c r="E359" s="249" t="str">
        <f>UPPER(IF($D359=0,"",IF($A359=4,_xlfn.XLOOKUP($D359,Mercado!$C:$C,Mercado!$E:$E),_xlfn.XLOOKUP($D359,Fontes!$B:$B,Fontes!$C:$C))))</f>
        <v>SINAPI</v>
      </c>
      <c r="F359" s="328" t="s">
        <v>8465</v>
      </c>
      <c r="G359" s="248" t="str">
        <f>UPPER(IF($D359=0,"",IF($A359=4,_xlfn.XLOOKUP($D359,Mercado!$C:$C,Mercado!$G:$G),_xlfn.XLOOKUP($D359,Fontes!$B:$B,Fontes!$E:$E))))</f>
        <v>M²</v>
      </c>
      <c r="H359" s="439">
        <v>11.75</v>
      </c>
      <c r="I359" s="252">
        <f>IF($A359="M",_xlfn.XLOOKUP($D359,Mercado!$C:$C,Mercado!$I:$I),_xlfn.XLOOKUP($D359,Fontes!$B:$B,Fontes!$J:$J))</f>
        <v>497.15</v>
      </c>
      <c r="J359" s="252">
        <f>IF($A359="M",_xlfn.XLOOKUP($D359,Mercado!$C:$C,Mercado!$J:$J),_xlfn.XLOOKUP($D359,Fontes!$B:$B,Fontes!$H:$H))</f>
        <v>57.3</v>
      </c>
      <c r="K359" s="252">
        <f>IF($A359="M",0,_xlfn.XLOOKUP($D359,Fontes!$B:$B,Fontes!$I:$I))</f>
        <v>5.35</v>
      </c>
      <c r="L359" s="250">
        <f t="shared" si="51"/>
        <v>559.79999999999995</v>
      </c>
      <c r="M359" s="300">
        <f t="shared" si="53"/>
        <v>6577.65</v>
      </c>
      <c r="N359" s="243"/>
      <c r="O359" s="517">
        <f t="shared" si="52"/>
        <v>6577.65</v>
      </c>
      <c r="U359" s="540"/>
    </row>
    <row r="360" spans="1:21" outlineLevel="3" x14ac:dyDescent="0.3">
      <c r="A360" s="36" t="s">
        <v>7</v>
      </c>
      <c r="B360" s="36"/>
      <c r="C360" s="495" t="s">
        <v>781</v>
      </c>
      <c r="D360" s="249"/>
      <c r="E360" s="249" t="str">
        <f>UPPER(IF($D360=0,"",IF($A360=4,_xlfn.XLOOKUP($D360,Mercado!$C:$C,Mercado!$E:$E),_xlfn.XLOOKUP($D360,Fontes!$B:$B,Fontes!$C:$C))))</f>
        <v/>
      </c>
      <c r="F360" s="327" t="s">
        <v>781</v>
      </c>
      <c r="G360" s="249"/>
      <c r="H360" s="252"/>
      <c r="I360" s="252">
        <f>IF($A360="M",_xlfn.XLOOKUP($D360,Mercado!$C:$C,Mercado!$I:$I),_xlfn.XLOOKUP($D360,Fontes!$B:$B,Fontes!$J:$J))</f>
        <v>0</v>
      </c>
      <c r="J360" s="252">
        <f>IF($A360="M",_xlfn.XLOOKUP($D360,Mercado!$C:$C,Mercado!$J:$J),_xlfn.XLOOKUP($D360,Fontes!$B:$B,Fontes!$H:$H))</f>
        <v>0</v>
      </c>
      <c r="K360" s="252">
        <f>IF($A360="M",0,_xlfn.XLOOKUP($D360,Fontes!$B:$B,Fontes!$I:$I))</f>
        <v>0</v>
      </c>
      <c r="L360" s="250">
        <f t="shared" si="51"/>
        <v>0</v>
      </c>
      <c r="M360" s="300">
        <f t="shared" si="53"/>
        <v>0</v>
      </c>
      <c r="N360" s="243"/>
      <c r="O360" s="517" t="str">
        <f t="shared" si="52"/>
        <v/>
      </c>
      <c r="U360" s="540"/>
    </row>
    <row r="361" spans="1:21" outlineLevel="3" x14ac:dyDescent="0.3">
      <c r="A361" s="36" t="s">
        <v>7</v>
      </c>
      <c r="B361" s="36"/>
      <c r="C361" s="495" t="s">
        <v>10034</v>
      </c>
      <c r="D361" s="249"/>
      <c r="E361" s="249" t="str">
        <f>UPPER(IF($D361=0,"",IF($A361=4,_xlfn.XLOOKUP($D361,Mercado!$C:$C,Mercado!$E:$E),_xlfn.XLOOKUP($D361,Fontes!$B:$B,Fontes!$C:$C))))</f>
        <v/>
      </c>
      <c r="F361" s="330" t="s">
        <v>1675</v>
      </c>
      <c r="G361" s="249"/>
      <c r="H361" s="252"/>
      <c r="I361" s="252">
        <f>IF($A361="M",_xlfn.XLOOKUP($D361,Mercado!$C:$C,Mercado!$I:$I),_xlfn.XLOOKUP($D361,Fontes!$B:$B,Fontes!$J:$J))</f>
        <v>0</v>
      </c>
      <c r="J361" s="252">
        <f>IF($A361="M",_xlfn.XLOOKUP($D361,Mercado!$C:$C,Mercado!$J:$J),_xlfn.XLOOKUP($D361,Fontes!$B:$B,Fontes!$H:$H))</f>
        <v>0</v>
      </c>
      <c r="K361" s="252">
        <f>IF($A361="M",0,_xlfn.XLOOKUP($D361,Fontes!$B:$B,Fontes!$I:$I))</f>
        <v>0</v>
      </c>
      <c r="L361" s="250">
        <f t="shared" si="51"/>
        <v>0</v>
      </c>
      <c r="M361" s="500">
        <f t="shared" si="53"/>
        <v>0</v>
      </c>
      <c r="O361" s="517" t="str">
        <f t="shared" si="52"/>
        <v/>
      </c>
      <c r="U361" s="540"/>
    </row>
    <row r="362" spans="1:21" ht="72" outlineLevel="4" x14ac:dyDescent="0.3">
      <c r="A362" s="35" t="s">
        <v>7</v>
      </c>
      <c r="B362" s="36"/>
      <c r="C362" s="495" t="s">
        <v>10035</v>
      </c>
      <c r="D362" s="249" t="s">
        <v>2802</v>
      </c>
      <c r="E362" s="249" t="str">
        <f>UPPER(_xlfn.XLOOKUP($D362,Mercado!C:C,Mercado!E:E,_xlfn.XLOOKUP($D455,Fontes!$B:$B,Fontes!$C:$C)))</f>
        <v>PSA</v>
      </c>
      <c r="F362" s="505" t="s">
        <v>8553</v>
      </c>
      <c r="G362" s="249" t="str">
        <f>UPPER(_xlfn.XLOOKUP(D362,Mercado!C:C,Mercado!G:G))</f>
        <v>M2</v>
      </c>
      <c r="H362" s="506">
        <v>9.18</v>
      </c>
      <c r="I362" s="439">
        <f>IF($A362="M",_xlfn.XLOOKUP($D362,Mercado!$C:$C,Mercado!$I:$I),_xlfn.XLOOKUP($D362,Fontes!$B:$B,Fontes!$J:$J))</f>
        <v>1203.76</v>
      </c>
      <c r="J362" s="439">
        <f>IF($A362="M",_xlfn.XLOOKUP($D362,Mercado!$C:$C,Mercado!$J:$J),_xlfn.XLOOKUP($D362,Fontes!$B:$B,Fontes!$H:$H))</f>
        <v>350</v>
      </c>
      <c r="K362" s="252">
        <f>IF($A362="M",0,_xlfn.XLOOKUP($D362,Fontes!$B:$B,Fontes!$I:$I))</f>
        <v>0</v>
      </c>
      <c r="L362" s="250">
        <f t="shared" si="51"/>
        <v>1553.76</v>
      </c>
      <c r="M362" s="300">
        <f t="shared" si="53"/>
        <v>14263.52</v>
      </c>
      <c r="N362" s="243"/>
      <c r="O362" s="517">
        <f t="shared" si="52"/>
        <v>14263.52</v>
      </c>
      <c r="U362" s="540"/>
    </row>
    <row r="363" spans="1:21" ht="72" outlineLevel="4" x14ac:dyDescent="0.3">
      <c r="A363" s="35" t="s">
        <v>7</v>
      </c>
      <c r="B363" s="36"/>
      <c r="C363" s="495" t="s">
        <v>10036</v>
      </c>
      <c r="D363" s="249" t="s">
        <v>2803</v>
      </c>
      <c r="E363" s="249" t="str">
        <f>UPPER(_xlfn.XLOOKUP($D363,Mercado!C:C,Mercado!E:E,_xlfn.XLOOKUP($D456,Fontes!$B:$B,Fontes!$C:$C)))</f>
        <v>PSA</v>
      </c>
      <c r="F363" s="505" t="s">
        <v>8569</v>
      </c>
      <c r="G363" s="249" t="str">
        <f>UPPER(_xlfn.XLOOKUP(D363,Mercado!C:C,Mercado!G:G))</f>
        <v>M2</v>
      </c>
      <c r="H363" s="506">
        <v>109.44</v>
      </c>
      <c r="I363" s="439">
        <f>IF($A363="M",_xlfn.XLOOKUP($D363,Mercado!$C:$C,Mercado!$I:$I),_xlfn.XLOOKUP($D363,Fontes!$B:$B,Fontes!$J:$J))</f>
        <v>1203.76</v>
      </c>
      <c r="J363" s="439">
        <f>IF($A363="M",_xlfn.XLOOKUP($D363,Mercado!$C:$C,Mercado!$J:$J),_xlfn.XLOOKUP($D363,Fontes!$B:$B,Fontes!$H:$H))</f>
        <v>350</v>
      </c>
      <c r="K363" s="252">
        <f>IF($A363="M",0,_xlfn.XLOOKUP($D363,Fontes!$B:$B,Fontes!$I:$I))</f>
        <v>0</v>
      </c>
      <c r="L363" s="250">
        <f t="shared" si="51"/>
        <v>1553.76</v>
      </c>
      <c r="M363" s="300">
        <f t="shared" si="53"/>
        <v>170043.49</v>
      </c>
      <c r="N363" s="243"/>
      <c r="O363" s="517">
        <f t="shared" si="52"/>
        <v>170043.49</v>
      </c>
      <c r="U363" s="540"/>
    </row>
    <row r="364" spans="1:21" ht="72" outlineLevel="4" x14ac:dyDescent="0.3">
      <c r="A364" s="35" t="s">
        <v>7</v>
      </c>
      <c r="B364" s="36"/>
      <c r="C364" s="495" t="s">
        <v>10037</v>
      </c>
      <c r="D364" s="249" t="s">
        <v>2804</v>
      </c>
      <c r="E364" s="249" t="str">
        <f>UPPER(_xlfn.XLOOKUP($D364,Mercado!C:C,Mercado!E:E,_xlfn.XLOOKUP($D457,Fontes!$B:$B,Fontes!$C:$C)))</f>
        <v>PSA</v>
      </c>
      <c r="F364" s="505" t="s">
        <v>8570</v>
      </c>
      <c r="G364" s="249" t="str">
        <f>UPPER(_xlfn.XLOOKUP(D364,Mercado!C:C,Mercado!G:G))</f>
        <v>M2</v>
      </c>
      <c r="H364" s="506">
        <v>1.1100000000000001</v>
      </c>
      <c r="I364" s="439">
        <f>IF($A364="M",_xlfn.XLOOKUP($D364,Mercado!$C:$C,Mercado!$I:$I),_xlfn.XLOOKUP($D364,Fontes!$B:$B,Fontes!$J:$J))</f>
        <v>1203.76</v>
      </c>
      <c r="J364" s="439">
        <f>IF($A364="M",_xlfn.XLOOKUP($D364,Mercado!$C:$C,Mercado!$J:$J),_xlfn.XLOOKUP($D364,Fontes!$B:$B,Fontes!$H:$H))</f>
        <v>350</v>
      </c>
      <c r="K364" s="252">
        <f>IF($A364="M",0,_xlfn.XLOOKUP($D364,Fontes!$B:$B,Fontes!$I:$I))</f>
        <v>0</v>
      </c>
      <c r="L364" s="250">
        <f t="shared" si="51"/>
        <v>1553.76</v>
      </c>
      <c r="M364" s="300">
        <f t="shared" si="53"/>
        <v>1724.67</v>
      </c>
      <c r="N364" s="243"/>
      <c r="O364" s="517">
        <f t="shared" si="52"/>
        <v>1724.67</v>
      </c>
      <c r="U364" s="540"/>
    </row>
    <row r="365" spans="1:21" ht="72" outlineLevel="4" x14ac:dyDescent="0.3">
      <c r="A365" s="35" t="s">
        <v>7</v>
      </c>
      <c r="B365" s="36"/>
      <c r="C365" s="495" t="s">
        <v>10038</v>
      </c>
      <c r="D365" s="249" t="s">
        <v>2805</v>
      </c>
      <c r="E365" s="249" t="str">
        <f>UPPER(_xlfn.XLOOKUP($D365,Mercado!C:C,Mercado!E:E,_xlfn.XLOOKUP($D458,Fontes!$B:$B,Fontes!$C:$C)))</f>
        <v>PSA</v>
      </c>
      <c r="F365" s="505" t="s">
        <v>8571</v>
      </c>
      <c r="G365" s="249" t="str">
        <f>UPPER(_xlfn.XLOOKUP(D365,Mercado!C:C,Mercado!G:G))</f>
        <v>M2</v>
      </c>
      <c r="H365" s="506">
        <v>124.42</v>
      </c>
      <c r="I365" s="439">
        <f>IF($A365="M",_xlfn.XLOOKUP($D365,Mercado!$C:$C,Mercado!$I:$I),_xlfn.XLOOKUP($D365,Fontes!$B:$B,Fontes!$J:$J))</f>
        <v>1203.76</v>
      </c>
      <c r="J365" s="439">
        <f>IF($A365="M",_xlfn.XLOOKUP($D365,Mercado!$C:$C,Mercado!$J:$J),_xlfn.XLOOKUP($D365,Fontes!$B:$B,Fontes!$H:$H))</f>
        <v>350</v>
      </c>
      <c r="K365" s="252">
        <f>IF($A365="M",0,_xlfn.XLOOKUP($D365,Fontes!$B:$B,Fontes!$I:$I))</f>
        <v>0</v>
      </c>
      <c r="L365" s="250">
        <f t="shared" si="51"/>
        <v>1553.76</v>
      </c>
      <c r="M365" s="300">
        <f t="shared" si="53"/>
        <v>193318.82</v>
      </c>
      <c r="N365" s="243"/>
      <c r="O365" s="517">
        <f t="shared" si="52"/>
        <v>193318.82</v>
      </c>
      <c r="U365" s="540"/>
    </row>
    <row r="366" spans="1:21" ht="72" outlineLevel="4" x14ac:dyDescent="0.3">
      <c r="A366" s="35" t="s">
        <v>7</v>
      </c>
      <c r="B366" s="36"/>
      <c r="C366" s="495" t="s">
        <v>10039</v>
      </c>
      <c r="D366" s="249" t="s">
        <v>2806</v>
      </c>
      <c r="E366" s="249" t="str">
        <f>UPPER(_xlfn.XLOOKUP($D366,Mercado!C:C,Mercado!E:E,_xlfn.XLOOKUP($D459,Fontes!$B:$B,Fontes!$C:$C)))</f>
        <v>PSA</v>
      </c>
      <c r="F366" s="505" t="s">
        <v>8572</v>
      </c>
      <c r="G366" s="249" t="str">
        <f>UPPER(_xlfn.XLOOKUP(D366,Mercado!C:C,Mercado!G:G))</f>
        <v>M2</v>
      </c>
      <c r="H366" s="506">
        <v>0.94</v>
      </c>
      <c r="I366" s="439">
        <f>IF($A366="M",_xlfn.XLOOKUP($D366,Mercado!$C:$C,Mercado!$I:$I),_xlfn.XLOOKUP($D366,Fontes!$B:$B,Fontes!$J:$J))</f>
        <v>1203.76</v>
      </c>
      <c r="J366" s="439">
        <f>IF($A366="M",_xlfn.XLOOKUP($D366,Mercado!$C:$C,Mercado!$J:$J),_xlfn.XLOOKUP($D366,Fontes!$B:$B,Fontes!$H:$H))</f>
        <v>350</v>
      </c>
      <c r="K366" s="252">
        <f>IF($A366="M",0,_xlfn.XLOOKUP($D366,Fontes!$B:$B,Fontes!$I:$I))</f>
        <v>0</v>
      </c>
      <c r="L366" s="250">
        <f t="shared" si="51"/>
        <v>1553.76</v>
      </c>
      <c r="M366" s="300">
        <f t="shared" si="53"/>
        <v>1460.53</v>
      </c>
      <c r="N366" s="243"/>
      <c r="O366" s="517">
        <f t="shared" si="52"/>
        <v>1460.53</v>
      </c>
      <c r="U366" s="540"/>
    </row>
    <row r="367" spans="1:21" ht="72" outlineLevel="4" x14ac:dyDescent="0.3">
      <c r="A367" s="35" t="s">
        <v>7</v>
      </c>
      <c r="B367" s="36"/>
      <c r="C367" s="495" t="s">
        <v>10040</v>
      </c>
      <c r="D367" s="249" t="s">
        <v>2807</v>
      </c>
      <c r="E367" s="249" t="str">
        <f>UPPER(_xlfn.XLOOKUP($D367,Mercado!C:C,Mercado!E:E,_xlfn.XLOOKUP($D460,Fontes!$B:$B,Fontes!$C:$C)))</f>
        <v>PSA</v>
      </c>
      <c r="F367" s="505" t="s">
        <v>8573</v>
      </c>
      <c r="G367" s="249" t="str">
        <f>UPPER(_xlfn.XLOOKUP(D367,Mercado!C:C,Mercado!G:G))</f>
        <v>M2</v>
      </c>
      <c r="H367" s="506">
        <v>1.1100000000000001</v>
      </c>
      <c r="I367" s="439">
        <f>IF($A367="M",_xlfn.XLOOKUP($D367,Mercado!$C:$C,Mercado!$I:$I),_xlfn.XLOOKUP($D367,Fontes!$B:$B,Fontes!$J:$J))</f>
        <v>1203.76</v>
      </c>
      <c r="J367" s="439">
        <f>IF($A367="M",_xlfn.XLOOKUP($D367,Mercado!$C:$C,Mercado!$J:$J),_xlfn.XLOOKUP($D367,Fontes!$B:$B,Fontes!$H:$H))</f>
        <v>350</v>
      </c>
      <c r="K367" s="252">
        <f>IF($A367="M",0,_xlfn.XLOOKUP($D367,Fontes!$B:$B,Fontes!$I:$I))</f>
        <v>0</v>
      </c>
      <c r="L367" s="250">
        <f t="shared" si="51"/>
        <v>1553.76</v>
      </c>
      <c r="M367" s="300">
        <f t="shared" si="53"/>
        <v>1724.67</v>
      </c>
      <c r="N367" s="243"/>
      <c r="O367" s="517">
        <f t="shared" si="52"/>
        <v>1724.67</v>
      </c>
      <c r="U367" s="540"/>
    </row>
    <row r="368" spans="1:21" ht="72" outlineLevel="4" x14ac:dyDescent="0.3">
      <c r="A368" s="35" t="s">
        <v>7</v>
      </c>
      <c r="B368" s="36"/>
      <c r="C368" s="495" t="s">
        <v>10041</v>
      </c>
      <c r="D368" s="249" t="s">
        <v>2808</v>
      </c>
      <c r="E368" s="249" t="str">
        <f>UPPER(_xlfn.XLOOKUP($D368,Mercado!C:C,Mercado!E:E,_xlfn.XLOOKUP($D461,Fontes!$B:$B,Fontes!$C:$C)))</f>
        <v>PSA</v>
      </c>
      <c r="F368" s="505" t="s">
        <v>8574</v>
      </c>
      <c r="G368" s="249" t="str">
        <f>UPPER(_xlfn.XLOOKUP(D368,Mercado!C:C,Mercado!G:G))</f>
        <v>M2</v>
      </c>
      <c r="H368" s="506">
        <v>25.76</v>
      </c>
      <c r="I368" s="439">
        <f>IF($A368="M",_xlfn.XLOOKUP($D368,Mercado!$C:$C,Mercado!$I:$I),_xlfn.XLOOKUP($D368,Fontes!$B:$B,Fontes!$J:$J))</f>
        <v>1203.76</v>
      </c>
      <c r="J368" s="439">
        <f>IF($A368="M",_xlfn.XLOOKUP($D368,Mercado!$C:$C,Mercado!$J:$J),_xlfn.XLOOKUP($D368,Fontes!$B:$B,Fontes!$H:$H))</f>
        <v>350</v>
      </c>
      <c r="K368" s="252">
        <f>IF($A368="M",0,_xlfn.XLOOKUP($D368,Fontes!$B:$B,Fontes!$I:$I))</f>
        <v>0</v>
      </c>
      <c r="L368" s="250">
        <f t="shared" si="51"/>
        <v>1553.76</v>
      </c>
      <c r="M368" s="300">
        <f t="shared" si="53"/>
        <v>40024.86</v>
      </c>
      <c r="N368" s="243"/>
      <c r="O368" s="517">
        <f t="shared" si="52"/>
        <v>40024.86</v>
      </c>
      <c r="U368" s="540"/>
    </row>
    <row r="369" spans="1:21" ht="72" outlineLevel="4" x14ac:dyDescent="0.3">
      <c r="A369" s="35" t="s">
        <v>7</v>
      </c>
      <c r="B369" s="36"/>
      <c r="C369" s="495" t="s">
        <v>10042</v>
      </c>
      <c r="D369" s="249" t="s">
        <v>2809</v>
      </c>
      <c r="E369" s="249" t="str">
        <f>UPPER(_xlfn.XLOOKUP($D369,Mercado!C:C,Mercado!E:E,_xlfn.XLOOKUP($D462,Fontes!$B:$B,Fontes!$C:$C)))</f>
        <v>PSA</v>
      </c>
      <c r="F369" s="505" t="s">
        <v>8575</v>
      </c>
      <c r="G369" s="249" t="str">
        <f>UPPER(_xlfn.XLOOKUP(D369,Mercado!C:C,Mercado!G:G))</f>
        <v>M2</v>
      </c>
      <c r="H369" s="506">
        <v>0.82</v>
      </c>
      <c r="I369" s="439">
        <f>IF($A369="M",_xlfn.XLOOKUP($D369,Mercado!$C:$C,Mercado!$I:$I),_xlfn.XLOOKUP($D369,Fontes!$B:$B,Fontes!$J:$J))</f>
        <v>1203.76</v>
      </c>
      <c r="J369" s="439">
        <f>IF($A369="M",_xlfn.XLOOKUP($D369,Mercado!$C:$C,Mercado!$J:$J),_xlfn.XLOOKUP($D369,Fontes!$B:$B,Fontes!$H:$H))</f>
        <v>350</v>
      </c>
      <c r="K369" s="252">
        <f>IF($A369="M",0,_xlfn.XLOOKUP($D369,Fontes!$B:$B,Fontes!$I:$I))</f>
        <v>0</v>
      </c>
      <c r="L369" s="250">
        <f t="shared" si="51"/>
        <v>1553.76</v>
      </c>
      <c r="M369" s="300">
        <f t="shared" si="53"/>
        <v>1274.08</v>
      </c>
      <c r="N369" s="243"/>
      <c r="O369" s="517">
        <f t="shared" si="52"/>
        <v>1274.08</v>
      </c>
      <c r="U369" s="540"/>
    </row>
    <row r="370" spans="1:21" ht="72" outlineLevel="4" x14ac:dyDescent="0.3">
      <c r="A370" s="35" t="s">
        <v>7</v>
      </c>
      <c r="B370" s="36"/>
      <c r="C370" s="495" t="s">
        <v>10043</v>
      </c>
      <c r="D370" s="249" t="s">
        <v>2810</v>
      </c>
      <c r="E370" s="249" t="str">
        <f>UPPER(_xlfn.XLOOKUP($D370,Mercado!C:C,Mercado!E:E,_xlfn.XLOOKUP($D463,Fontes!$B:$B,Fontes!$C:$C)))</f>
        <v>PSA</v>
      </c>
      <c r="F370" s="505" t="s">
        <v>8576</v>
      </c>
      <c r="G370" s="249" t="str">
        <f>UPPER(_xlfn.XLOOKUP(D370,Mercado!C:C,Mercado!G:G))</f>
        <v>M2</v>
      </c>
      <c r="H370" s="506">
        <v>21.62</v>
      </c>
      <c r="I370" s="439">
        <f>IF($A370="M",_xlfn.XLOOKUP($D370,Mercado!$C:$C,Mercado!$I:$I),_xlfn.XLOOKUP($D370,Fontes!$B:$B,Fontes!$J:$J))</f>
        <v>1203.76</v>
      </c>
      <c r="J370" s="439">
        <f>IF($A370="M",_xlfn.XLOOKUP($D370,Mercado!$C:$C,Mercado!$J:$J),_xlfn.XLOOKUP($D370,Fontes!$B:$B,Fontes!$H:$H))</f>
        <v>350</v>
      </c>
      <c r="K370" s="252">
        <f>IF($A370="M",0,_xlfn.XLOOKUP($D370,Fontes!$B:$B,Fontes!$I:$I))</f>
        <v>0</v>
      </c>
      <c r="L370" s="250">
        <f t="shared" si="51"/>
        <v>1553.76</v>
      </c>
      <c r="M370" s="300">
        <f t="shared" si="53"/>
        <v>33592.29</v>
      </c>
      <c r="N370" s="243"/>
      <c r="O370" s="517">
        <f t="shared" si="52"/>
        <v>33592.29</v>
      </c>
      <c r="U370" s="540"/>
    </row>
    <row r="371" spans="1:21" ht="72" outlineLevel="4" x14ac:dyDescent="0.3">
      <c r="A371" s="35" t="s">
        <v>7</v>
      </c>
      <c r="B371" s="36"/>
      <c r="C371" s="495" t="s">
        <v>10044</v>
      </c>
      <c r="D371" s="249" t="s">
        <v>2811</v>
      </c>
      <c r="E371" s="249" t="str">
        <f>UPPER(_xlfn.XLOOKUP($D371,Mercado!C:C,Mercado!E:E,_xlfn.XLOOKUP($D464,Fontes!$B:$B,Fontes!$C:$C)))</f>
        <v>PSA</v>
      </c>
      <c r="F371" s="505" t="s">
        <v>8577</v>
      </c>
      <c r="G371" s="249" t="str">
        <f>UPPER(_xlfn.XLOOKUP(D371,Mercado!C:C,Mercado!G:G))</f>
        <v>M2</v>
      </c>
      <c r="H371" s="506">
        <v>3.38</v>
      </c>
      <c r="I371" s="439">
        <f>IF($A371="M",_xlfn.XLOOKUP($D371,Mercado!$C:$C,Mercado!$I:$I),_xlfn.XLOOKUP($D371,Fontes!$B:$B,Fontes!$J:$J))</f>
        <v>1203.76</v>
      </c>
      <c r="J371" s="439">
        <f>IF($A371="M",_xlfn.XLOOKUP($D371,Mercado!$C:$C,Mercado!$J:$J),_xlfn.XLOOKUP($D371,Fontes!$B:$B,Fontes!$H:$H))</f>
        <v>350</v>
      </c>
      <c r="K371" s="252">
        <f>IF($A371="M",0,_xlfn.XLOOKUP($D371,Fontes!$B:$B,Fontes!$I:$I))</f>
        <v>0</v>
      </c>
      <c r="L371" s="250">
        <f t="shared" si="51"/>
        <v>1553.76</v>
      </c>
      <c r="M371" s="300">
        <f t="shared" si="53"/>
        <v>5251.71</v>
      </c>
      <c r="N371" s="243"/>
      <c r="O371" s="517">
        <f t="shared" si="52"/>
        <v>5251.71</v>
      </c>
      <c r="U371" s="540"/>
    </row>
    <row r="372" spans="1:21" ht="72" outlineLevel="4" x14ac:dyDescent="0.3">
      <c r="A372" s="35" t="s">
        <v>7</v>
      </c>
      <c r="B372" s="36"/>
      <c r="C372" s="495" t="s">
        <v>10045</v>
      </c>
      <c r="D372" s="249" t="s">
        <v>2812</v>
      </c>
      <c r="E372" s="249" t="str">
        <f>UPPER(_xlfn.XLOOKUP($D372,Mercado!C:C,Mercado!E:E,_xlfn.XLOOKUP($D465,Fontes!$B:$B,Fontes!$C:$C)))</f>
        <v>PSA</v>
      </c>
      <c r="F372" s="505" t="s">
        <v>8578</v>
      </c>
      <c r="G372" s="249" t="str">
        <f>UPPER(_xlfn.XLOOKUP(D372,Mercado!C:C,Mercado!G:G))</f>
        <v>M2</v>
      </c>
      <c r="H372" s="506">
        <v>36.58</v>
      </c>
      <c r="I372" s="439">
        <f>IF($A372="M",_xlfn.XLOOKUP($D372,Mercado!$C:$C,Mercado!$I:$I),_xlfn.XLOOKUP($D372,Fontes!$B:$B,Fontes!$J:$J))</f>
        <v>1203.76</v>
      </c>
      <c r="J372" s="439">
        <f>IF($A372="M",_xlfn.XLOOKUP($D372,Mercado!$C:$C,Mercado!$J:$J),_xlfn.XLOOKUP($D372,Fontes!$B:$B,Fontes!$H:$H))</f>
        <v>350</v>
      </c>
      <c r="K372" s="252">
        <f>IF($A372="M",0,_xlfn.XLOOKUP($D372,Fontes!$B:$B,Fontes!$I:$I))</f>
        <v>0</v>
      </c>
      <c r="L372" s="250">
        <f t="shared" si="51"/>
        <v>1553.76</v>
      </c>
      <c r="M372" s="300">
        <f t="shared" si="53"/>
        <v>56836.54</v>
      </c>
      <c r="N372" s="243"/>
      <c r="O372" s="517">
        <f t="shared" si="52"/>
        <v>56836.54</v>
      </c>
      <c r="U372" s="540"/>
    </row>
    <row r="373" spans="1:21" ht="72" outlineLevel="4" x14ac:dyDescent="0.3">
      <c r="A373" s="35" t="s">
        <v>7</v>
      </c>
      <c r="B373" s="36"/>
      <c r="C373" s="495" t="s">
        <v>10046</v>
      </c>
      <c r="D373" s="249" t="s">
        <v>2813</v>
      </c>
      <c r="E373" s="249" t="str">
        <f>UPPER(_xlfn.XLOOKUP($D373,Mercado!C:C,Mercado!E:E,_xlfn.XLOOKUP($D466,Fontes!$B:$B,Fontes!$C:$C)))</f>
        <v>PSA</v>
      </c>
      <c r="F373" s="505" t="s">
        <v>8579</v>
      </c>
      <c r="G373" s="249" t="str">
        <f>UPPER(_xlfn.XLOOKUP(D373,Mercado!C:C,Mercado!G:G))</f>
        <v>M2</v>
      </c>
      <c r="H373" s="506">
        <v>61.16</v>
      </c>
      <c r="I373" s="439">
        <f>IF($A373="M",_xlfn.XLOOKUP($D373,Mercado!$C:$C,Mercado!$I:$I),_xlfn.XLOOKUP($D373,Fontes!$B:$B,Fontes!$J:$J))</f>
        <v>1203.76</v>
      </c>
      <c r="J373" s="439">
        <f>IF($A373="M",_xlfn.XLOOKUP($D373,Mercado!$C:$C,Mercado!$J:$J),_xlfn.XLOOKUP($D373,Fontes!$B:$B,Fontes!$H:$H))</f>
        <v>350</v>
      </c>
      <c r="K373" s="252">
        <f>IF($A373="M",0,_xlfn.XLOOKUP($D373,Fontes!$B:$B,Fontes!$I:$I))</f>
        <v>0</v>
      </c>
      <c r="L373" s="250">
        <f t="shared" si="51"/>
        <v>1553.76</v>
      </c>
      <c r="M373" s="300">
        <f t="shared" si="53"/>
        <v>95027.96</v>
      </c>
      <c r="N373" s="243"/>
      <c r="O373" s="517">
        <f t="shared" si="52"/>
        <v>95027.96</v>
      </c>
      <c r="U373" s="540"/>
    </row>
    <row r="374" spans="1:21" ht="72" outlineLevel="4" x14ac:dyDescent="0.3">
      <c r="A374" s="35" t="s">
        <v>7</v>
      </c>
      <c r="B374" s="36"/>
      <c r="C374" s="495" t="s">
        <v>10047</v>
      </c>
      <c r="D374" s="249" t="s">
        <v>2814</v>
      </c>
      <c r="E374" s="249" t="str">
        <f>UPPER(_xlfn.XLOOKUP($D374,Mercado!C:C,Mercado!E:E,_xlfn.XLOOKUP($D467,Fontes!$B:$B,Fontes!$C:$C)))</f>
        <v>PSA</v>
      </c>
      <c r="F374" s="505" t="s">
        <v>8580</v>
      </c>
      <c r="G374" s="249" t="str">
        <f>UPPER(_xlfn.XLOOKUP(D374,Mercado!C:C,Mercado!G:G))</f>
        <v>M2</v>
      </c>
      <c r="H374" s="506">
        <v>1.87</v>
      </c>
      <c r="I374" s="439">
        <f>IF($A374="M",_xlfn.XLOOKUP($D374,Mercado!$C:$C,Mercado!$I:$I),_xlfn.XLOOKUP($D374,Fontes!$B:$B,Fontes!$J:$J))</f>
        <v>1203.76</v>
      </c>
      <c r="J374" s="439">
        <f>IF($A374="M",_xlfn.XLOOKUP($D374,Mercado!$C:$C,Mercado!$J:$J),_xlfn.XLOOKUP($D374,Fontes!$B:$B,Fontes!$H:$H))</f>
        <v>350</v>
      </c>
      <c r="K374" s="252">
        <f>IF($A374="M",0,_xlfn.XLOOKUP($D374,Fontes!$B:$B,Fontes!$I:$I))</f>
        <v>0</v>
      </c>
      <c r="L374" s="250">
        <f t="shared" si="51"/>
        <v>1553.76</v>
      </c>
      <c r="M374" s="300">
        <f t="shared" si="53"/>
        <v>2905.53</v>
      </c>
      <c r="N374" s="243"/>
      <c r="O374" s="517">
        <f t="shared" si="52"/>
        <v>2905.53</v>
      </c>
      <c r="U374" s="540"/>
    </row>
    <row r="375" spans="1:21" ht="72" outlineLevel="4" x14ac:dyDescent="0.3">
      <c r="A375" s="35" t="s">
        <v>7</v>
      </c>
      <c r="B375" s="36"/>
      <c r="C375" s="495" t="s">
        <v>10048</v>
      </c>
      <c r="D375" s="249" t="s">
        <v>2815</v>
      </c>
      <c r="E375" s="249" t="str">
        <f>UPPER(_xlfn.XLOOKUP($D375,Mercado!C:C,Mercado!E:E,_xlfn.XLOOKUP($D468,Fontes!$B:$B,Fontes!$C:$C)))</f>
        <v>PSA</v>
      </c>
      <c r="F375" s="505" t="s">
        <v>8581</v>
      </c>
      <c r="G375" s="249" t="str">
        <f>UPPER(_xlfn.XLOOKUP(D375,Mercado!C:C,Mercado!G:G))</f>
        <v>M2</v>
      </c>
      <c r="H375" s="506">
        <v>1.67</v>
      </c>
      <c r="I375" s="439">
        <f>IF($A375="M",_xlfn.XLOOKUP($D375,Mercado!$C:$C,Mercado!$I:$I),_xlfn.XLOOKUP($D375,Fontes!$B:$B,Fontes!$J:$J))</f>
        <v>1203.76</v>
      </c>
      <c r="J375" s="439">
        <f>IF($A375="M",_xlfn.XLOOKUP($D375,Mercado!$C:$C,Mercado!$J:$J),_xlfn.XLOOKUP($D375,Fontes!$B:$B,Fontes!$H:$H))</f>
        <v>350</v>
      </c>
      <c r="K375" s="252">
        <f>IF($A375="M",0,_xlfn.XLOOKUP($D375,Fontes!$B:$B,Fontes!$I:$I))</f>
        <v>0</v>
      </c>
      <c r="L375" s="250">
        <f t="shared" si="51"/>
        <v>1553.76</v>
      </c>
      <c r="M375" s="300">
        <f t="shared" si="53"/>
        <v>2594.7800000000002</v>
      </c>
      <c r="N375" s="243"/>
      <c r="O375" s="517">
        <f t="shared" si="52"/>
        <v>2594.7800000000002</v>
      </c>
      <c r="U375" s="540"/>
    </row>
    <row r="376" spans="1:21" ht="72" outlineLevel="4" x14ac:dyDescent="0.3">
      <c r="A376" s="35" t="s">
        <v>7</v>
      </c>
      <c r="B376" s="36"/>
      <c r="C376" s="495" t="s">
        <v>10049</v>
      </c>
      <c r="D376" s="249" t="s">
        <v>2816</v>
      </c>
      <c r="E376" s="249" t="str">
        <f>UPPER(_xlfn.XLOOKUP($D376,Mercado!C:C,Mercado!E:E,_xlfn.XLOOKUP($D469,Fontes!$B:$B,Fontes!$C:$C)))</f>
        <v>PSA</v>
      </c>
      <c r="F376" s="505" t="s">
        <v>8582</v>
      </c>
      <c r="G376" s="249" t="str">
        <f>UPPER(_xlfn.XLOOKUP(D376,Mercado!C:C,Mercado!G:G))</f>
        <v>M2</v>
      </c>
      <c r="H376" s="506">
        <v>0.33</v>
      </c>
      <c r="I376" s="439">
        <f>IF($A376="M",_xlfn.XLOOKUP($D376,Mercado!$C:$C,Mercado!$I:$I),_xlfn.XLOOKUP($D376,Fontes!$B:$B,Fontes!$J:$J))</f>
        <v>1203.76</v>
      </c>
      <c r="J376" s="439">
        <f>IF($A376="M",_xlfn.XLOOKUP($D376,Mercado!$C:$C,Mercado!$J:$J),_xlfn.XLOOKUP($D376,Fontes!$B:$B,Fontes!$H:$H))</f>
        <v>350</v>
      </c>
      <c r="K376" s="252">
        <f>IF($A376="M",0,_xlfn.XLOOKUP($D376,Fontes!$B:$B,Fontes!$I:$I))</f>
        <v>0</v>
      </c>
      <c r="L376" s="250">
        <f t="shared" si="51"/>
        <v>1553.76</v>
      </c>
      <c r="M376" s="300">
        <f t="shared" si="53"/>
        <v>512.74</v>
      </c>
      <c r="N376" s="243"/>
      <c r="O376" s="517">
        <f t="shared" si="52"/>
        <v>512.74</v>
      </c>
      <c r="U376" s="540"/>
    </row>
    <row r="377" spans="1:21" ht="72" outlineLevel="4" x14ac:dyDescent="0.3">
      <c r="A377" s="35" t="s">
        <v>7</v>
      </c>
      <c r="B377" s="36"/>
      <c r="C377" s="495" t="s">
        <v>10050</v>
      </c>
      <c r="D377" s="249" t="s">
        <v>2817</v>
      </c>
      <c r="E377" s="249" t="str">
        <f>UPPER(_xlfn.XLOOKUP($D377,Mercado!C:C,Mercado!E:E,_xlfn.XLOOKUP($D470,Fontes!$B:$B,Fontes!$C:$C)))</f>
        <v>PSA</v>
      </c>
      <c r="F377" s="505" t="s">
        <v>8583</v>
      </c>
      <c r="G377" s="249" t="str">
        <f>UPPER(_xlfn.XLOOKUP(D377,Mercado!C:C,Mercado!G:G))</f>
        <v>M2</v>
      </c>
      <c r="H377" s="506">
        <v>0.23</v>
      </c>
      <c r="I377" s="439">
        <f>IF($A377="M",_xlfn.XLOOKUP($D377,Mercado!$C:$C,Mercado!$I:$I),_xlfn.XLOOKUP($D377,Fontes!$B:$B,Fontes!$J:$J))</f>
        <v>1203.76</v>
      </c>
      <c r="J377" s="439">
        <f>IF($A377="M",_xlfn.XLOOKUP($D377,Mercado!$C:$C,Mercado!$J:$J),_xlfn.XLOOKUP($D377,Fontes!$B:$B,Fontes!$H:$H))</f>
        <v>350</v>
      </c>
      <c r="K377" s="252">
        <f>IF($A377="M",0,_xlfn.XLOOKUP($D377,Fontes!$B:$B,Fontes!$I:$I))</f>
        <v>0</v>
      </c>
      <c r="L377" s="250">
        <f t="shared" si="51"/>
        <v>1553.76</v>
      </c>
      <c r="M377" s="300">
        <f t="shared" si="53"/>
        <v>357.36</v>
      </c>
      <c r="N377" s="243"/>
      <c r="O377" s="517">
        <f t="shared" si="52"/>
        <v>357.36</v>
      </c>
      <c r="U377" s="540"/>
    </row>
    <row r="378" spans="1:21" ht="72" outlineLevel="4" x14ac:dyDescent="0.3">
      <c r="A378" s="35" t="s">
        <v>7</v>
      </c>
      <c r="B378" s="36"/>
      <c r="C378" s="495" t="s">
        <v>10051</v>
      </c>
      <c r="D378" s="249" t="s">
        <v>2818</v>
      </c>
      <c r="E378" s="249" t="str">
        <f>UPPER(_xlfn.XLOOKUP($D378,Mercado!C:C,Mercado!E:E,_xlfn.XLOOKUP($D471,Fontes!$B:$B,Fontes!$C:$C)))</f>
        <v>PSA</v>
      </c>
      <c r="F378" s="505" t="s">
        <v>8584</v>
      </c>
      <c r="G378" s="249" t="str">
        <f>UPPER(_xlfn.XLOOKUP(D378,Mercado!C:C,Mercado!G:G))</f>
        <v>M2</v>
      </c>
      <c r="H378" s="506">
        <v>1.1399999999999999</v>
      </c>
      <c r="I378" s="439">
        <f>IF($A378="M",_xlfn.XLOOKUP($D378,Mercado!$C:$C,Mercado!$I:$I),_xlfn.XLOOKUP($D378,Fontes!$B:$B,Fontes!$J:$J))</f>
        <v>1203.76</v>
      </c>
      <c r="J378" s="439">
        <f>IF($A378="M",_xlfn.XLOOKUP($D378,Mercado!$C:$C,Mercado!$J:$J),_xlfn.XLOOKUP($D378,Fontes!$B:$B,Fontes!$H:$H))</f>
        <v>350</v>
      </c>
      <c r="K378" s="252">
        <f>IF($A378="M",0,_xlfn.XLOOKUP($D378,Fontes!$B:$B,Fontes!$I:$I))</f>
        <v>0</v>
      </c>
      <c r="L378" s="250">
        <f t="shared" si="51"/>
        <v>1553.76</v>
      </c>
      <c r="M378" s="300">
        <f t="shared" si="53"/>
        <v>1771.29</v>
      </c>
      <c r="N378" s="243"/>
      <c r="O378" s="517">
        <f t="shared" si="52"/>
        <v>1771.29</v>
      </c>
      <c r="U378" s="540"/>
    </row>
    <row r="379" spans="1:21" ht="72" outlineLevel="4" x14ac:dyDescent="0.3">
      <c r="A379" s="35" t="s">
        <v>7</v>
      </c>
      <c r="B379" s="36"/>
      <c r="C379" s="495" t="s">
        <v>10052</v>
      </c>
      <c r="D379" s="249" t="s">
        <v>2819</v>
      </c>
      <c r="E379" s="249" t="str">
        <f>UPPER(_xlfn.XLOOKUP($D379,Mercado!C:C,Mercado!E:E,_xlfn.XLOOKUP($D472,Fontes!$B:$B,Fontes!$C:$C)))</f>
        <v>PSA</v>
      </c>
      <c r="F379" s="505" t="s">
        <v>8585</v>
      </c>
      <c r="G379" s="249" t="str">
        <f>UPPER(_xlfn.XLOOKUP(D379,Mercado!C:C,Mercado!G:G))</f>
        <v>M2</v>
      </c>
      <c r="H379" s="506">
        <v>0.25</v>
      </c>
      <c r="I379" s="439">
        <f>IF($A379="M",_xlfn.XLOOKUP($D379,Mercado!$C:$C,Mercado!$I:$I),_xlfn.XLOOKUP($D379,Fontes!$B:$B,Fontes!$J:$J))</f>
        <v>1203.76</v>
      </c>
      <c r="J379" s="439">
        <f>IF($A379="M",_xlfn.XLOOKUP($D379,Mercado!$C:$C,Mercado!$J:$J),_xlfn.XLOOKUP($D379,Fontes!$B:$B,Fontes!$H:$H))</f>
        <v>350</v>
      </c>
      <c r="K379" s="252">
        <f>IF($A379="M",0,_xlfn.XLOOKUP($D379,Fontes!$B:$B,Fontes!$I:$I))</f>
        <v>0</v>
      </c>
      <c r="L379" s="250">
        <f t="shared" si="51"/>
        <v>1553.76</v>
      </c>
      <c r="M379" s="300">
        <f t="shared" si="53"/>
        <v>388.44</v>
      </c>
      <c r="N379" s="243"/>
      <c r="O379" s="517">
        <f t="shared" ref="O379:O394" si="55">IF(D379&lt;&gt;0,M379,"")</f>
        <v>388.44</v>
      </c>
      <c r="U379" s="540"/>
    </row>
    <row r="380" spans="1:21" ht="72" outlineLevel="4" x14ac:dyDescent="0.3">
      <c r="A380" s="35" t="s">
        <v>7</v>
      </c>
      <c r="B380" s="36"/>
      <c r="C380" s="495" t="s">
        <v>10053</v>
      </c>
      <c r="D380" s="249" t="s">
        <v>2820</v>
      </c>
      <c r="E380" s="249" t="str">
        <f>UPPER(_xlfn.XLOOKUP($D380,Mercado!C:C,Mercado!E:E,_xlfn.XLOOKUP($D473,Fontes!$B:$B,Fontes!$C:$C)))</f>
        <v>PSA</v>
      </c>
      <c r="F380" s="505" t="s">
        <v>8586</v>
      </c>
      <c r="G380" s="249" t="str">
        <f>UPPER(_xlfn.XLOOKUP(D380,Mercado!C:C,Mercado!G:G))</f>
        <v>M2</v>
      </c>
      <c r="H380" s="506">
        <v>0.23</v>
      </c>
      <c r="I380" s="439">
        <f>IF($A380="M",_xlfn.XLOOKUP($D380,Mercado!$C:$C,Mercado!$I:$I),_xlfn.XLOOKUP($D380,Fontes!$B:$B,Fontes!$J:$J))</f>
        <v>1203.76</v>
      </c>
      <c r="J380" s="439">
        <f>IF($A380="M",_xlfn.XLOOKUP($D380,Mercado!$C:$C,Mercado!$J:$J),_xlfn.XLOOKUP($D380,Fontes!$B:$B,Fontes!$H:$H))</f>
        <v>350</v>
      </c>
      <c r="K380" s="252">
        <f>IF($A380="M",0,_xlfn.XLOOKUP($D380,Fontes!$B:$B,Fontes!$I:$I))</f>
        <v>0</v>
      </c>
      <c r="L380" s="250">
        <f t="shared" si="51"/>
        <v>1553.76</v>
      </c>
      <c r="M380" s="300">
        <f t="shared" si="53"/>
        <v>357.36</v>
      </c>
      <c r="N380" s="243"/>
      <c r="O380" s="517">
        <f t="shared" si="55"/>
        <v>357.36</v>
      </c>
      <c r="U380" s="540"/>
    </row>
    <row r="381" spans="1:21" ht="72" outlineLevel="4" x14ac:dyDescent="0.3">
      <c r="A381" s="35" t="s">
        <v>7</v>
      </c>
      <c r="B381" s="36"/>
      <c r="C381" s="495" t="s">
        <v>10054</v>
      </c>
      <c r="D381" s="249" t="s">
        <v>8554</v>
      </c>
      <c r="E381" s="249" t="str">
        <f>UPPER(_xlfn.XLOOKUP($D381,Mercado!C:C,Mercado!E:E,_xlfn.XLOOKUP($D474,Fontes!$B:$B,Fontes!$C:$C)))</f>
        <v>PSA</v>
      </c>
      <c r="F381" s="505" t="s">
        <v>8587</v>
      </c>
      <c r="G381" s="249" t="str">
        <f>UPPER(_xlfn.XLOOKUP(D381,Mercado!C:C,Mercado!G:G))</f>
        <v>M2</v>
      </c>
      <c r="H381" s="506">
        <v>1.1100000000000001</v>
      </c>
      <c r="I381" s="439">
        <f>IF($A381="M",_xlfn.XLOOKUP($D381,Mercado!$C:$C,Mercado!$I:$I),_xlfn.XLOOKUP($D381,Fontes!$B:$B,Fontes!$J:$J))</f>
        <v>1203.76</v>
      </c>
      <c r="J381" s="439">
        <f>IF($A381="M",_xlfn.XLOOKUP($D381,Mercado!$C:$C,Mercado!$J:$J),_xlfn.XLOOKUP($D381,Fontes!$B:$B,Fontes!$H:$H))</f>
        <v>350</v>
      </c>
      <c r="K381" s="252">
        <f>IF($A381="M",0,_xlfn.XLOOKUP($D381,Fontes!$B:$B,Fontes!$I:$I))</f>
        <v>0</v>
      </c>
      <c r="L381" s="250">
        <f t="shared" si="51"/>
        <v>1553.76</v>
      </c>
      <c r="M381" s="300">
        <f t="shared" si="53"/>
        <v>1724.67</v>
      </c>
      <c r="N381" s="243"/>
      <c r="O381" s="517">
        <f t="shared" si="55"/>
        <v>1724.67</v>
      </c>
      <c r="U381" s="540"/>
    </row>
    <row r="382" spans="1:21" ht="72" outlineLevel="4" x14ac:dyDescent="0.3">
      <c r="A382" s="35" t="s">
        <v>7</v>
      </c>
      <c r="B382" s="36"/>
      <c r="C382" s="495" t="s">
        <v>10055</v>
      </c>
      <c r="D382" s="249" t="s">
        <v>8555</v>
      </c>
      <c r="E382" s="249" t="str">
        <f>UPPER(_xlfn.XLOOKUP($D382,Mercado!C:C,Mercado!E:E,_xlfn.XLOOKUP($D475,Fontes!$B:$B,Fontes!$C:$C)))</f>
        <v>PSA</v>
      </c>
      <c r="F382" s="505" t="s">
        <v>8588</v>
      </c>
      <c r="G382" s="249" t="str">
        <f>UPPER(_xlfn.XLOOKUP(D382,Mercado!C:C,Mercado!G:G))</f>
        <v>M2</v>
      </c>
      <c r="H382" s="506">
        <v>0.22</v>
      </c>
      <c r="I382" s="439">
        <f>IF($A382="M",_xlfn.XLOOKUP($D382,Mercado!$C:$C,Mercado!$I:$I),_xlfn.XLOOKUP($D382,Fontes!$B:$B,Fontes!$J:$J))</f>
        <v>1203.76</v>
      </c>
      <c r="J382" s="439">
        <f>IF($A382="M",_xlfn.XLOOKUP($D382,Mercado!$C:$C,Mercado!$J:$J),_xlfn.XLOOKUP($D382,Fontes!$B:$B,Fontes!$H:$H))</f>
        <v>350</v>
      </c>
      <c r="K382" s="252">
        <f>IF($A382="M",0,_xlfn.XLOOKUP($D382,Fontes!$B:$B,Fontes!$I:$I))</f>
        <v>0</v>
      </c>
      <c r="L382" s="250">
        <f t="shared" si="51"/>
        <v>1553.76</v>
      </c>
      <c r="M382" s="300">
        <f t="shared" si="53"/>
        <v>341.83</v>
      </c>
      <c r="N382" s="243"/>
      <c r="O382" s="517">
        <f t="shared" si="55"/>
        <v>341.83</v>
      </c>
      <c r="U382" s="540"/>
    </row>
    <row r="383" spans="1:21" ht="72" outlineLevel="4" x14ac:dyDescent="0.3">
      <c r="A383" s="35" t="s">
        <v>7</v>
      </c>
      <c r="B383" s="36"/>
      <c r="C383" s="495" t="s">
        <v>10056</v>
      </c>
      <c r="D383" s="249" t="s">
        <v>8556</v>
      </c>
      <c r="E383" s="249" t="str">
        <f>UPPER(_xlfn.XLOOKUP($D383,Mercado!C:C,Mercado!E:E,_xlfn.XLOOKUP($D476,Fontes!$B:$B,Fontes!$C:$C)))</f>
        <v>PSA</v>
      </c>
      <c r="F383" s="505" t="s">
        <v>8589</v>
      </c>
      <c r="G383" s="249" t="str">
        <f>UPPER(_xlfn.XLOOKUP(D383,Mercado!C:C,Mercado!G:G))</f>
        <v>M2</v>
      </c>
      <c r="H383" s="506">
        <v>0.78</v>
      </c>
      <c r="I383" s="439">
        <f>IF($A383="M",_xlfn.XLOOKUP($D383,Mercado!$C:$C,Mercado!$I:$I),_xlfn.XLOOKUP($D383,Fontes!$B:$B,Fontes!$J:$J))</f>
        <v>1203.76</v>
      </c>
      <c r="J383" s="439">
        <f>IF($A383="M",_xlfn.XLOOKUP($D383,Mercado!$C:$C,Mercado!$J:$J),_xlfn.XLOOKUP($D383,Fontes!$B:$B,Fontes!$H:$H))</f>
        <v>350</v>
      </c>
      <c r="K383" s="252">
        <f>IF($A383="M",0,_xlfn.XLOOKUP($D383,Fontes!$B:$B,Fontes!$I:$I))</f>
        <v>0</v>
      </c>
      <c r="L383" s="250">
        <f t="shared" si="51"/>
        <v>1553.76</v>
      </c>
      <c r="M383" s="300">
        <f t="shared" si="53"/>
        <v>1211.93</v>
      </c>
      <c r="N383" s="243"/>
      <c r="O383" s="517">
        <f t="shared" si="55"/>
        <v>1211.93</v>
      </c>
      <c r="U383" s="540"/>
    </row>
    <row r="384" spans="1:21" ht="72" outlineLevel="4" x14ac:dyDescent="0.3">
      <c r="A384" s="35" t="s">
        <v>7</v>
      </c>
      <c r="B384" s="36"/>
      <c r="C384" s="495" t="s">
        <v>10057</v>
      </c>
      <c r="D384" s="249" t="s">
        <v>8557</v>
      </c>
      <c r="E384" s="249" t="str">
        <f>UPPER(_xlfn.XLOOKUP($D384,Mercado!C:C,Mercado!E:E,_xlfn.XLOOKUP($D477,Fontes!$B:$B,Fontes!$C:$C)))</f>
        <v>PSA</v>
      </c>
      <c r="F384" s="505" t="s">
        <v>8590</v>
      </c>
      <c r="G384" s="249" t="str">
        <f>UPPER(_xlfn.XLOOKUP(D384,Mercado!C:C,Mercado!G:G))</f>
        <v>M2</v>
      </c>
      <c r="H384" s="506">
        <v>1.67</v>
      </c>
      <c r="I384" s="439">
        <f>IF($A384="M",_xlfn.XLOOKUP($D384,Mercado!$C:$C,Mercado!$I:$I),_xlfn.XLOOKUP($D384,Fontes!$B:$B,Fontes!$J:$J))</f>
        <v>1203.76</v>
      </c>
      <c r="J384" s="439">
        <f>IF($A384="M",_xlfn.XLOOKUP($D384,Mercado!$C:$C,Mercado!$J:$J),_xlfn.XLOOKUP($D384,Fontes!$B:$B,Fontes!$H:$H))</f>
        <v>350</v>
      </c>
      <c r="K384" s="252">
        <f>IF($A384="M",0,_xlfn.XLOOKUP($D384,Fontes!$B:$B,Fontes!$I:$I))</f>
        <v>0</v>
      </c>
      <c r="L384" s="250">
        <f t="shared" si="51"/>
        <v>1553.76</v>
      </c>
      <c r="M384" s="300">
        <f t="shared" si="53"/>
        <v>2594.7800000000002</v>
      </c>
      <c r="N384" s="243"/>
      <c r="O384" s="517">
        <f t="shared" si="55"/>
        <v>2594.7800000000002</v>
      </c>
      <c r="U384" s="540"/>
    </row>
    <row r="385" spans="1:21" ht="72" outlineLevel="4" x14ac:dyDescent="0.3">
      <c r="A385" s="35" t="s">
        <v>7</v>
      </c>
      <c r="B385" s="36"/>
      <c r="C385" s="495" t="s">
        <v>10058</v>
      </c>
      <c r="D385" s="249" t="s">
        <v>8558</v>
      </c>
      <c r="E385" s="249" t="str">
        <f>UPPER(_xlfn.XLOOKUP($D385,Mercado!C:C,Mercado!E:E,_xlfn.XLOOKUP($D478,Fontes!$B:$B,Fontes!$C:$C)))</f>
        <v>PSA</v>
      </c>
      <c r="F385" s="505" t="s">
        <v>8591</v>
      </c>
      <c r="G385" s="249" t="str">
        <f>UPPER(_xlfn.XLOOKUP(D385,Mercado!C:C,Mercado!G:G))</f>
        <v>M2</v>
      </c>
      <c r="H385" s="506">
        <v>1.67</v>
      </c>
      <c r="I385" s="439">
        <f>IF($A385="M",_xlfn.XLOOKUP($D385,Mercado!$C:$C,Mercado!$I:$I),_xlfn.XLOOKUP($D385,Fontes!$B:$B,Fontes!$J:$J))</f>
        <v>1203.76</v>
      </c>
      <c r="J385" s="439">
        <f>IF($A385="M",_xlfn.XLOOKUP($D385,Mercado!$C:$C,Mercado!$J:$J),_xlfn.XLOOKUP($D385,Fontes!$B:$B,Fontes!$H:$H))</f>
        <v>350</v>
      </c>
      <c r="K385" s="252">
        <f>IF($A385="M",0,_xlfn.XLOOKUP($D385,Fontes!$B:$B,Fontes!$I:$I))</f>
        <v>0</v>
      </c>
      <c r="L385" s="250">
        <f t="shared" si="51"/>
        <v>1553.76</v>
      </c>
      <c r="M385" s="300">
        <f t="shared" si="53"/>
        <v>2594.7800000000002</v>
      </c>
      <c r="N385" s="243"/>
      <c r="O385" s="517">
        <f t="shared" si="55"/>
        <v>2594.7800000000002</v>
      </c>
      <c r="U385" s="540"/>
    </row>
    <row r="386" spans="1:21" ht="72" outlineLevel="4" x14ac:dyDescent="0.3">
      <c r="A386" s="35" t="s">
        <v>7</v>
      </c>
      <c r="B386" s="36"/>
      <c r="C386" s="495" t="s">
        <v>10059</v>
      </c>
      <c r="D386" s="249" t="s">
        <v>8559</v>
      </c>
      <c r="E386" s="249" t="str">
        <f>UPPER(_xlfn.XLOOKUP($D386,Mercado!C:C,Mercado!E:E,_xlfn.XLOOKUP($D479,Fontes!$B:$B,Fontes!$C:$C)))</f>
        <v>PSA</v>
      </c>
      <c r="F386" s="505" t="s">
        <v>8592</v>
      </c>
      <c r="G386" s="249" t="str">
        <f>UPPER(_xlfn.XLOOKUP(D386,Mercado!C:C,Mercado!G:G))</f>
        <v>M2</v>
      </c>
      <c r="H386" s="506">
        <v>0.33</v>
      </c>
      <c r="I386" s="439">
        <f>IF($A386="M",_xlfn.XLOOKUP($D386,Mercado!$C:$C,Mercado!$I:$I),_xlfn.XLOOKUP($D386,Fontes!$B:$B,Fontes!$J:$J))</f>
        <v>1203.76</v>
      </c>
      <c r="J386" s="439">
        <f>IF($A386="M",_xlfn.XLOOKUP($D386,Mercado!$C:$C,Mercado!$J:$J),_xlfn.XLOOKUP($D386,Fontes!$B:$B,Fontes!$H:$H))</f>
        <v>350</v>
      </c>
      <c r="K386" s="252">
        <f>IF($A386="M",0,_xlfn.XLOOKUP($D386,Fontes!$B:$B,Fontes!$I:$I))</f>
        <v>0</v>
      </c>
      <c r="L386" s="250">
        <f t="shared" si="51"/>
        <v>1553.76</v>
      </c>
      <c r="M386" s="300">
        <f t="shared" si="53"/>
        <v>512.74</v>
      </c>
      <c r="N386" s="243"/>
      <c r="O386" s="517">
        <f t="shared" si="55"/>
        <v>512.74</v>
      </c>
      <c r="U386" s="540"/>
    </row>
    <row r="387" spans="1:21" ht="72" outlineLevel="4" x14ac:dyDescent="0.3">
      <c r="A387" s="35" t="s">
        <v>7</v>
      </c>
      <c r="B387" s="36"/>
      <c r="C387" s="495" t="s">
        <v>10060</v>
      </c>
      <c r="D387" s="249" t="s">
        <v>8560</v>
      </c>
      <c r="E387" s="249" t="str">
        <f>UPPER(_xlfn.XLOOKUP($D387,Mercado!C:C,Mercado!E:E,_xlfn.XLOOKUP($D480,Fontes!$B:$B,Fontes!$C:$C)))</f>
        <v>PSA</v>
      </c>
      <c r="F387" s="505" t="s">
        <v>8593</v>
      </c>
      <c r="G387" s="249" t="str">
        <f>UPPER(_xlfn.XLOOKUP(D387,Mercado!C:C,Mercado!G:G))</f>
        <v>M2</v>
      </c>
      <c r="H387" s="506">
        <v>0.34</v>
      </c>
      <c r="I387" s="439">
        <f>IF($A387="M",_xlfn.XLOOKUP($D387,Mercado!$C:$C,Mercado!$I:$I),_xlfn.XLOOKUP($D387,Fontes!$B:$B,Fontes!$J:$J))</f>
        <v>1203.76</v>
      </c>
      <c r="J387" s="439">
        <f>IF($A387="M",_xlfn.XLOOKUP($D387,Mercado!$C:$C,Mercado!$J:$J),_xlfn.XLOOKUP($D387,Fontes!$B:$B,Fontes!$H:$H))</f>
        <v>350</v>
      </c>
      <c r="K387" s="252">
        <f>IF($A387="M",0,_xlfn.XLOOKUP($D387,Fontes!$B:$B,Fontes!$I:$I))</f>
        <v>0</v>
      </c>
      <c r="L387" s="250">
        <f t="shared" si="51"/>
        <v>1553.76</v>
      </c>
      <c r="M387" s="300">
        <f t="shared" si="53"/>
        <v>528.28</v>
      </c>
      <c r="N387" s="243"/>
      <c r="O387" s="517">
        <f t="shared" si="55"/>
        <v>528.28</v>
      </c>
      <c r="U387" s="540"/>
    </row>
    <row r="388" spans="1:21" ht="72" outlineLevel="4" x14ac:dyDescent="0.3">
      <c r="A388" s="35" t="s">
        <v>7</v>
      </c>
      <c r="B388" s="36"/>
      <c r="C388" s="495" t="s">
        <v>10061</v>
      </c>
      <c r="D388" s="249" t="s">
        <v>8561</v>
      </c>
      <c r="E388" s="249" t="str">
        <f>UPPER(_xlfn.XLOOKUP($D388,Mercado!C:C,Mercado!E:E,_xlfn.XLOOKUP($D481,Fontes!$B:$B,Fontes!$C:$C)))</f>
        <v>PSA</v>
      </c>
      <c r="F388" s="505" t="s">
        <v>8594</v>
      </c>
      <c r="G388" s="249" t="str">
        <f>UPPER(_xlfn.XLOOKUP(D388,Mercado!C:C,Mercado!G:G))</f>
        <v>M2</v>
      </c>
      <c r="H388" s="506">
        <v>0.78</v>
      </c>
      <c r="I388" s="439">
        <f>IF($A388="M",_xlfn.XLOOKUP($D388,Mercado!$C:$C,Mercado!$I:$I),_xlfn.XLOOKUP($D388,Fontes!$B:$B,Fontes!$J:$J))</f>
        <v>1203.76</v>
      </c>
      <c r="J388" s="439">
        <f>IF($A388="M",_xlfn.XLOOKUP($D388,Mercado!$C:$C,Mercado!$J:$J),_xlfn.XLOOKUP($D388,Fontes!$B:$B,Fontes!$H:$H))</f>
        <v>350</v>
      </c>
      <c r="K388" s="252">
        <f>IF($A388="M",0,_xlfn.XLOOKUP($D388,Fontes!$B:$B,Fontes!$I:$I))</f>
        <v>0</v>
      </c>
      <c r="L388" s="250">
        <f t="shared" si="51"/>
        <v>1553.76</v>
      </c>
      <c r="M388" s="300">
        <f t="shared" si="53"/>
        <v>1211.93</v>
      </c>
      <c r="N388" s="243"/>
      <c r="O388" s="517">
        <f t="shared" si="55"/>
        <v>1211.93</v>
      </c>
      <c r="U388" s="540"/>
    </row>
    <row r="389" spans="1:21" ht="72" outlineLevel="4" x14ac:dyDescent="0.3">
      <c r="A389" s="35" t="s">
        <v>7</v>
      </c>
      <c r="B389" s="36"/>
      <c r="C389" s="495" t="s">
        <v>10062</v>
      </c>
      <c r="D389" s="249" t="s">
        <v>8562</v>
      </c>
      <c r="E389" s="249" t="str">
        <f>UPPER(_xlfn.XLOOKUP($D389,Mercado!C:C,Mercado!E:E,_xlfn.XLOOKUP($D482,Fontes!$B:$B,Fontes!$C:$C)))</f>
        <v>PSA</v>
      </c>
      <c r="F389" s="505" t="s">
        <v>8595</v>
      </c>
      <c r="G389" s="249" t="str">
        <f>UPPER(_xlfn.XLOOKUP(D389,Mercado!C:C,Mercado!G:G))</f>
        <v>M2</v>
      </c>
      <c r="H389" s="506">
        <v>0.21</v>
      </c>
      <c r="I389" s="439">
        <f>IF($A389="M",_xlfn.XLOOKUP($D389,Mercado!$C:$C,Mercado!$I:$I),_xlfn.XLOOKUP($D389,Fontes!$B:$B,Fontes!$J:$J))</f>
        <v>1203.76</v>
      </c>
      <c r="J389" s="439">
        <f>IF($A389="M",_xlfn.XLOOKUP($D389,Mercado!$C:$C,Mercado!$J:$J),_xlfn.XLOOKUP($D389,Fontes!$B:$B,Fontes!$H:$H))</f>
        <v>350</v>
      </c>
      <c r="K389" s="252">
        <f>IF($A389="M",0,_xlfn.XLOOKUP($D389,Fontes!$B:$B,Fontes!$I:$I))</f>
        <v>0</v>
      </c>
      <c r="L389" s="250">
        <f t="shared" si="51"/>
        <v>1553.76</v>
      </c>
      <c r="M389" s="300">
        <f t="shared" si="53"/>
        <v>326.29000000000002</v>
      </c>
      <c r="N389" s="243"/>
      <c r="O389" s="517">
        <f t="shared" si="55"/>
        <v>326.29000000000002</v>
      </c>
      <c r="U389" s="540"/>
    </row>
    <row r="390" spans="1:21" ht="72" outlineLevel="4" x14ac:dyDescent="0.3">
      <c r="A390" s="35" t="s">
        <v>7</v>
      </c>
      <c r="B390" s="36"/>
      <c r="C390" s="495" t="s">
        <v>10063</v>
      </c>
      <c r="D390" s="249" t="s">
        <v>8563</v>
      </c>
      <c r="E390" s="249" t="str">
        <f>UPPER(_xlfn.XLOOKUP($D390,Mercado!C:C,Mercado!E:E,_xlfn.XLOOKUP($D483,Fontes!$B:$B,Fontes!$C:$C)))</f>
        <v>PSA</v>
      </c>
      <c r="F390" s="505" t="s">
        <v>8596</v>
      </c>
      <c r="G390" s="249" t="str">
        <f>UPPER(_xlfn.XLOOKUP(D390,Mercado!C:C,Mercado!G:G))</f>
        <v>M2</v>
      </c>
      <c r="H390" s="506">
        <v>1.1000000000000001</v>
      </c>
      <c r="I390" s="439">
        <f>IF($A390="M",_xlfn.XLOOKUP($D390,Mercado!$C:$C,Mercado!$I:$I),_xlfn.XLOOKUP($D390,Fontes!$B:$B,Fontes!$J:$J))</f>
        <v>1203.76</v>
      </c>
      <c r="J390" s="439">
        <f>IF($A390="M",_xlfn.XLOOKUP($D390,Mercado!$C:$C,Mercado!$J:$J),_xlfn.XLOOKUP($D390,Fontes!$B:$B,Fontes!$H:$H))</f>
        <v>350</v>
      </c>
      <c r="K390" s="252">
        <f>IF($A390="M",0,_xlfn.XLOOKUP($D390,Fontes!$B:$B,Fontes!$I:$I))</f>
        <v>0</v>
      </c>
      <c r="L390" s="250">
        <f t="shared" si="51"/>
        <v>1553.76</v>
      </c>
      <c r="M390" s="300">
        <f t="shared" ref="M390:M404" si="56">ROUND(H390*L390,2)</f>
        <v>1709.14</v>
      </c>
      <c r="N390" s="243"/>
      <c r="O390" s="517">
        <f t="shared" si="55"/>
        <v>1709.14</v>
      </c>
      <c r="U390" s="540"/>
    </row>
    <row r="391" spans="1:21" ht="72" outlineLevel="4" x14ac:dyDescent="0.3">
      <c r="A391" s="35" t="s">
        <v>7</v>
      </c>
      <c r="B391" s="36"/>
      <c r="C391" s="495" t="s">
        <v>10064</v>
      </c>
      <c r="D391" s="249" t="s">
        <v>8564</v>
      </c>
      <c r="E391" s="249" t="str">
        <f>UPPER(_xlfn.XLOOKUP($D391,Mercado!C:C,Mercado!E:E,_xlfn.XLOOKUP($D484,Fontes!$B:$B,Fontes!$C:$C)))</f>
        <v>PSA</v>
      </c>
      <c r="F391" s="505" t="s">
        <v>8597</v>
      </c>
      <c r="G391" s="249" t="str">
        <f>UPPER(_xlfn.XLOOKUP(D391,Mercado!C:C,Mercado!G:G))</f>
        <v>M2</v>
      </c>
      <c r="H391" s="506">
        <v>0.23</v>
      </c>
      <c r="I391" s="439">
        <f>IF($A391="M",_xlfn.XLOOKUP($D391,Mercado!$C:$C,Mercado!$I:$I),_xlfn.XLOOKUP($D391,Fontes!$B:$B,Fontes!$J:$J))</f>
        <v>1203.76</v>
      </c>
      <c r="J391" s="439">
        <f>IF($A391="M",_xlfn.XLOOKUP($D391,Mercado!$C:$C,Mercado!$J:$J),_xlfn.XLOOKUP($D391,Fontes!$B:$B,Fontes!$H:$H))</f>
        <v>350</v>
      </c>
      <c r="K391" s="252">
        <f>IF($A391="M",0,_xlfn.XLOOKUP($D391,Fontes!$B:$B,Fontes!$I:$I))</f>
        <v>0</v>
      </c>
      <c r="L391" s="250">
        <f t="shared" si="51"/>
        <v>1553.76</v>
      </c>
      <c r="M391" s="300">
        <f t="shared" si="56"/>
        <v>357.36</v>
      </c>
      <c r="N391" s="243"/>
      <c r="O391" s="517">
        <f t="shared" si="55"/>
        <v>357.36</v>
      </c>
      <c r="U391" s="540"/>
    </row>
    <row r="392" spans="1:21" ht="72" outlineLevel="4" x14ac:dyDescent="0.3">
      <c r="A392" s="35" t="s">
        <v>7</v>
      </c>
      <c r="B392" s="36"/>
      <c r="C392" s="495" t="s">
        <v>10065</v>
      </c>
      <c r="D392" s="249" t="s">
        <v>8565</v>
      </c>
      <c r="E392" s="249" t="str">
        <f>UPPER(_xlfn.XLOOKUP($D392,Mercado!C:C,Mercado!E:E,_xlfn.XLOOKUP($D485,Fontes!$B:$B,Fontes!$C:$C)))</f>
        <v>PSA</v>
      </c>
      <c r="F392" s="505" t="s">
        <v>8598</v>
      </c>
      <c r="G392" s="249" t="str">
        <f>UPPER(_xlfn.XLOOKUP(D392,Mercado!C:C,Mercado!G:G))</f>
        <v>M2</v>
      </c>
      <c r="H392" s="506">
        <v>0.78</v>
      </c>
      <c r="I392" s="439">
        <f>IF($A392="M",_xlfn.XLOOKUP($D392,Mercado!$C:$C,Mercado!$I:$I),_xlfn.XLOOKUP($D392,Fontes!$B:$B,Fontes!$J:$J))</f>
        <v>1203.76</v>
      </c>
      <c r="J392" s="439">
        <f>IF($A392="M",_xlfn.XLOOKUP($D392,Mercado!$C:$C,Mercado!$J:$J),_xlfn.XLOOKUP($D392,Fontes!$B:$B,Fontes!$H:$H))</f>
        <v>350</v>
      </c>
      <c r="K392" s="252">
        <f>IF($A392="M",0,_xlfn.XLOOKUP($D392,Fontes!$B:$B,Fontes!$I:$I))</f>
        <v>0</v>
      </c>
      <c r="L392" s="250">
        <f t="shared" si="51"/>
        <v>1553.76</v>
      </c>
      <c r="M392" s="300">
        <f t="shared" si="56"/>
        <v>1211.93</v>
      </c>
      <c r="N392" s="243"/>
      <c r="O392" s="517">
        <f t="shared" si="55"/>
        <v>1211.93</v>
      </c>
      <c r="U392" s="540"/>
    </row>
    <row r="393" spans="1:21" ht="72" outlineLevel="4" x14ac:dyDescent="0.3">
      <c r="A393" s="35" t="s">
        <v>7</v>
      </c>
      <c r="B393" s="36"/>
      <c r="C393" s="495" t="s">
        <v>10066</v>
      </c>
      <c r="D393" s="249" t="s">
        <v>8566</v>
      </c>
      <c r="E393" s="249" t="str">
        <f>UPPER(_xlfn.XLOOKUP($D393,Mercado!C:C,Mercado!E:E,_xlfn.XLOOKUP($D486,Fontes!$B:$B,Fontes!$C:$C)))</f>
        <v>PSA</v>
      </c>
      <c r="F393" s="505" t="s">
        <v>8599</v>
      </c>
      <c r="G393" s="249" t="str">
        <f>UPPER(_xlfn.XLOOKUP(D393,Mercado!C:C,Mercado!G:G))</f>
        <v>M2</v>
      </c>
      <c r="H393" s="506">
        <v>1.67</v>
      </c>
      <c r="I393" s="439">
        <f>IF($A393="M",_xlfn.XLOOKUP($D393,Mercado!$C:$C,Mercado!$I:$I),_xlfn.XLOOKUP($D393,Fontes!$B:$B,Fontes!$J:$J))</f>
        <v>1203.76</v>
      </c>
      <c r="J393" s="439">
        <f>IF($A393="M",_xlfn.XLOOKUP($D393,Mercado!$C:$C,Mercado!$J:$J),_xlfn.XLOOKUP($D393,Fontes!$B:$B,Fontes!$H:$H))</f>
        <v>350</v>
      </c>
      <c r="K393" s="252">
        <f>IF($A393="M",0,_xlfn.XLOOKUP($D393,Fontes!$B:$B,Fontes!$I:$I))</f>
        <v>0</v>
      </c>
      <c r="L393" s="250">
        <f t="shared" si="51"/>
        <v>1553.76</v>
      </c>
      <c r="M393" s="300">
        <f t="shared" si="56"/>
        <v>2594.7800000000002</v>
      </c>
      <c r="N393" s="243"/>
      <c r="O393" s="517">
        <f t="shared" si="55"/>
        <v>2594.7800000000002</v>
      </c>
      <c r="U393" s="540"/>
    </row>
    <row r="394" spans="1:21" ht="72" outlineLevel="4" x14ac:dyDescent="0.3">
      <c r="A394" s="35" t="s">
        <v>7</v>
      </c>
      <c r="B394" s="36"/>
      <c r="C394" s="495" t="s">
        <v>10067</v>
      </c>
      <c r="D394" s="249" t="s">
        <v>8567</v>
      </c>
      <c r="E394" s="249" t="str">
        <f>UPPER(_xlfn.XLOOKUP($D394,Mercado!C:C,Mercado!E:E,_xlfn.XLOOKUP($D487,Fontes!$B:$B,Fontes!$C:$C)))</f>
        <v>PSA</v>
      </c>
      <c r="F394" s="505" t="s">
        <v>8600</v>
      </c>
      <c r="G394" s="249" t="str">
        <f>UPPER(_xlfn.XLOOKUP(D394,Mercado!C:C,Mercado!G:G))</f>
        <v>M2</v>
      </c>
      <c r="H394" s="506">
        <v>0.78</v>
      </c>
      <c r="I394" s="439">
        <f>IF($A394="M",_xlfn.XLOOKUP($D394,Mercado!$C:$C,Mercado!$I:$I),_xlfn.XLOOKUP($D394,Fontes!$B:$B,Fontes!$J:$J))</f>
        <v>1203.76</v>
      </c>
      <c r="J394" s="439">
        <f>IF($A394="M",_xlfn.XLOOKUP($D394,Mercado!$C:$C,Mercado!$J:$J),_xlfn.XLOOKUP($D394,Fontes!$B:$B,Fontes!$H:$H))</f>
        <v>350</v>
      </c>
      <c r="K394" s="252">
        <f>IF($A394="M",0,_xlfn.XLOOKUP($D394,Fontes!$B:$B,Fontes!$I:$I))</f>
        <v>0</v>
      </c>
      <c r="L394" s="250">
        <f t="shared" si="51"/>
        <v>1553.76</v>
      </c>
      <c r="M394" s="300">
        <f t="shared" si="56"/>
        <v>1211.93</v>
      </c>
      <c r="N394" s="243"/>
      <c r="O394" s="517">
        <f t="shared" si="55"/>
        <v>1211.93</v>
      </c>
      <c r="U394" s="540"/>
    </row>
    <row r="395" spans="1:21" ht="72" outlineLevel="4" x14ac:dyDescent="0.3">
      <c r="A395" s="35" t="s">
        <v>7</v>
      </c>
      <c r="B395" s="36"/>
      <c r="C395" s="495" t="s">
        <v>10068</v>
      </c>
      <c r="D395" s="249" t="s">
        <v>8568</v>
      </c>
      <c r="E395" s="249" t="str">
        <f>UPPER(_xlfn.XLOOKUP($D395,Mercado!C:C,Mercado!E:E,_xlfn.XLOOKUP($D488,Fontes!$B:$B,Fontes!$C:$C)))</f>
        <v>PSA</v>
      </c>
      <c r="F395" s="505" t="s">
        <v>8601</v>
      </c>
      <c r="G395" s="249" t="str">
        <f>UPPER(_xlfn.XLOOKUP(D395,Mercado!C:C,Mercado!G:G))</f>
        <v>M2</v>
      </c>
      <c r="H395" s="506">
        <v>0.34</v>
      </c>
      <c r="I395" s="439">
        <f>IF($A395="M",_xlfn.XLOOKUP($D395,Mercado!$C:$C,Mercado!$I:$I),_xlfn.XLOOKUP($D395,Fontes!$B:$B,Fontes!$J:$J))</f>
        <v>1203.76</v>
      </c>
      <c r="J395" s="439">
        <f>IF($A395="M",_xlfn.XLOOKUP($D395,Mercado!$C:$C,Mercado!$J:$J),_xlfn.XLOOKUP($D395,Fontes!$B:$B,Fontes!$H:$H))</f>
        <v>350</v>
      </c>
      <c r="K395" s="252">
        <f>IF($A395="M",0,_xlfn.XLOOKUP($D395,Fontes!$B:$B,Fontes!$I:$I))</f>
        <v>0</v>
      </c>
      <c r="L395" s="250">
        <f t="shared" si="51"/>
        <v>1553.76</v>
      </c>
      <c r="M395" s="300">
        <f t="shared" si="56"/>
        <v>528.28</v>
      </c>
      <c r="N395" s="243"/>
      <c r="O395" s="517">
        <f t="shared" ref="O395" si="57">IF(D395&lt;&gt;0,M395,"")</f>
        <v>528.28</v>
      </c>
      <c r="U395" s="540"/>
    </row>
    <row r="396" spans="1:21" outlineLevel="3" x14ac:dyDescent="0.3">
      <c r="A396" s="36" t="s">
        <v>7</v>
      </c>
      <c r="B396" s="36"/>
      <c r="C396" s="495" t="s">
        <v>781</v>
      </c>
      <c r="D396" s="249"/>
      <c r="E396" s="249" t="str">
        <f>UPPER(IF($D396=0,"",IF($A396=4,_xlfn.XLOOKUP($D396,Mercado!$C:$C,Mercado!$E:$E),_xlfn.XLOOKUP($D396,Fontes!$B:$B,Fontes!$C:$C))))</f>
        <v/>
      </c>
      <c r="F396" s="327" t="s">
        <v>781</v>
      </c>
      <c r="G396" s="249"/>
      <c r="H396" s="252"/>
      <c r="I396" s="252">
        <f>IF($A396="M",_xlfn.XLOOKUP($D396,Mercado!$C:$C,Mercado!$I:$I),_xlfn.XLOOKUP($D396,Fontes!$B:$B,Fontes!$J:$J))</f>
        <v>0</v>
      </c>
      <c r="J396" s="252">
        <f>IF($A396="M",_xlfn.XLOOKUP($D396,Mercado!$C:$C,Mercado!$J:$J),_xlfn.XLOOKUP($D396,Fontes!$B:$B,Fontes!$H:$H))</f>
        <v>0</v>
      </c>
      <c r="K396" s="252">
        <f>IF($A396="M",0,_xlfn.XLOOKUP($D396,Fontes!$B:$B,Fontes!$I:$I))</f>
        <v>0</v>
      </c>
      <c r="L396" s="250">
        <f t="shared" si="51"/>
        <v>0</v>
      </c>
      <c r="M396" s="300">
        <f t="shared" si="56"/>
        <v>0</v>
      </c>
      <c r="N396" s="243"/>
      <c r="O396" s="517" t="str">
        <f t="shared" si="52"/>
        <v/>
      </c>
      <c r="U396" s="540"/>
    </row>
    <row r="397" spans="1:21" outlineLevel="3" x14ac:dyDescent="0.3">
      <c r="A397" s="36" t="s">
        <v>7</v>
      </c>
      <c r="B397" s="36"/>
      <c r="C397" s="499" t="s">
        <v>10069</v>
      </c>
      <c r="D397" s="249"/>
      <c r="E397" s="249" t="str">
        <f>UPPER(IF($D397=0,"",IF($A397=4,_xlfn.XLOOKUP($D397,Mercado!$C:$C,Mercado!$E:$E),_xlfn.XLOOKUP($D397,Fontes!$B:$B,Fontes!$C:$C))))</f>
        <v/>
      </c>
      <c r="F397" s="330" t="s">
        <v>1667</v>
      </c>
      <c r="G397" s="249"/>
      <c r="H397" s="252"/>
      <c r="I397" s="252">
        <f>IF($A397="M",_xlfn.XLOOKUP($D397,Mercado!$C:$C,Mercado!$I:$I),_xlfn.XLOOKUP($D397,Fontes!$B:$B,Fontes!$J:$J))</f>
        <v>0</v>
      </c>
      <c r="J397" s="252">
        <f>IF($A397="M",_xlfn.XLOOKUP($D397,Mercado!$C:$C,Mercado!$J:$J),_xlfn.XLOOKUP($D397,Fontes!$B:$B,Fontes!$H:$H))</f>
        <v>0</v>
      </c>
      <c r="K397" s="252">
        <f>IF($A397="M",0,_xlfn.XLOOKUP($D397,Fontes!$B:$B,Fontes!$I:$I))</f>
        <v>0</v>
      </c>
      <c r="L397" s="250">
        <f t="shared" si="51"/>
        <v>0</v>
      </c>
      <c r="M397" s="500">
        <f t="shared" si="56"/>
        <v>0</v>
      </c>
      <c r="O397" s="517" t="str">
        <f t="shared" si="52"/>
        <v/>
      </c>
      <c r="U397" s="540"/>
    </row>
    <row r="398" spans="1:21" ht="57.6" outlineLevel="4" x14ac:dyDescent="0.3">
      <c r="A398" s="35" t="s">
        <v>7</v>
      </c>
      <c r="B398" s="36"/>
      <c r="C398" s="495" t="s">
        <v>10070</v>
      </c>
      <c r="D398" s="249" t="s">
        <v>2821</v>
      </c>
      <c r="E398" s="249" t="str">
        <f>UPPER(_xlfn.XLOOKUP($D398,Mercado!C:C,Mercado!E:E,_xlfn.XLOOKUP($D491,Fontes!$B:$B,Fontes!$C:$C)))</f>
        <v xml:space="preserve">REFAX </v>
      </c>
      <c r="F398" s="437" t="s">
        <v>1663</v>
      </c>
      <c r="G398" s="249" t="str">
        <f>_xlfn.XLOOKUP(D398,Mercado!C:C,Mercado!G:G)</f>
        <v>M2</v>
      </c>
      <c r="H398" s="444">
        <v>44</v>
      </c>
      <c r="I398" s="440">
        <f>IF($A398="M",_xlfn.XLOOKUP($D398,Mercado!$C:$C,Mercado!$I:$I),_xlfn.XLOOKUP($D398,Fontes!$B:$B,Fontes!$J:$J))</f>
        <v>250</v>
      </c>
      <c r="J398" s="440">
        <f>IF($A398="M",_xlfn.XLOOKUP($D398,Mercado!$C:$C,Mercado!$J:$J),_xlfn.XLOOKUP($D398,Fontes!$B:$B,Fontes!$H:$H))</f>
        <v>0</v>
      </c>
      <c r="K398" s="252">
        <f>IF($A398="M",0,_xlfn.XLOOKUP($D398,Fontes!$B:$B,Fontes!$I:$I))</f>
        <v>0</v>
      </c>
      <c r="L398" s="250">
        <f t="shared" ref="L398:L461" si="58">SUM(I398:K398)</f>
        <v>250</v>
      </c>
      <c r="M398" s="300">
        <f t="shared" si="56"/>
        <v>11000</v>
      </c>
      <c r="N398" s="243"/>
      <c r="O398" s="517">
        <f t="shared" si="52"/>
        <v>11000</v>
      </c>
      <c r="U398" s="540"/>
    </row>
    <row r="399" spans="1:21" ht="57.6" outlineLevel="4" x14ac:dyDescent="0.3">
      <c r="A399" s="35" t="s">
        <v>7</v>
      </c>
      <c r="B399" s="36"/>
      <c r="C399" s="495" t="s">
        <v>10071</v>
      </c>
      <c r="D399" s="249" t="s">
        <v>2822</v>
      </c>
      <c r="E399" s="249" t="str">
        <f>UPPER(_xlfn.XLOOKUP($D399,Mercado!C:C,Mercado!E:E,_xlfn.XLOOKUP($D492,Fontes!$B:$B,Fontes!$C:$C)))</f>
        <v xml:space="preserve">REFAX </v>
      </c>
      <c r="F399" s="437" t="s">
        <v>1664</v>
      </c>
      <c r="G399" s="249" t="str">
        <f>_xlfn.XLOOKUP(D399,Mercado!C:C,Mercado!G:G)</f>
        <v>M2</v>
      </c>
      <c r="H399" s="444">
        <v>15</v>
      </c>
      <c r="I399" s="440">
        <f>IF($A399="M",_xlfn.XLOOKUP($D399,Mercado!$C:$C,Mercado!$I:$I),_xlfn.XLOOKUP($D399,Fontes!$B:$B,Fontes!$J:$J))</f>
        <v>240</v>
      </c>
      <c r="J399" s="440">
        <f>IF($A399="M",_xlfn.XLOOKUP($D399,Mercado!$C:$C,Mercado!$J:$J),_xlfn.XLOOKUP($D399,Fontes!$B:$B,Fontes!$H:$H))</f>
        <v>0</v>
      </c>
      <c r="K399" s="252">
        <f>IF($A399="M",0,_xlfn.XLOOKUP($D399,Fontes!$B:$B,Fontes!$I:$I))</f>
        <v>0</v>
      </c>
      <c r="L399" s="250">
        <f t="shared" si="58"/>
        <v>240</v>
      </c>
      <c r="M399" s="300">
        <f t="shared" si="56"/>
        <v>3600</v>
      </c>
      <c r="N399" s="243"/>
      <c r="O399" s="517">
        <f t="shared" si="52"/>
        <v>3600</v>
      </c>
      <c r="U399" s="540"/>
    </row>
    <row r="400" spans="1:21" ht="57.6" outlineLevel="4" x14ac:dyDescent="0.3">
      <c r="A400" s="35" t="s">
        <v>7</v>
      </c>
      <c r="B400" s="36"/>
      <c r="C400" s="495" t="s">
        <v>10072</v>
      </c>
      <c r="D400" s="249" t="s">
        <v>2823</v>
      </c>
      <c r="E400" s="249" t="str">
        <f>UPPER(_xlfn.XLOOKUP($D400,Mercado!C:C,Mercado!E:E,_xlfn.XLOOKUP($D493,Fontes!$B:$B,Fontes!$C:$C)))</f>
        <v xml:space="preserve">REFAX </v>
      </c>
      <c r="F400" s="437" t="s">
        <v>1665</v>
      </c>
      <c r="G400" s="249" t="str">
        <f>_xlfn.XLOOKUP(D400,Mercado!C:C,Mercado!G:G)</f>
        <v>M2</v>
      </c>
      <c r="H400" s="444">
        <v>26</v>
      </c>
      <c r="I400" s="440">
        <f>IF($A400="M",_xlfn.XLOOKUP($D400,Mercado!$C:$C,Mercado!$I:$I),_xlfn.XLOOKUP($D400,Fontes!$B:$B,Fontes!$J:$J))</f>
        <v>230</v>
      </c>
      <c r="J400" s="440">
        <f>IF($A400="M",_xlfn.XLOOKUP($D400,Mercado!$C:$C,Mercado!$J:$J),_xlfn.XLOOKUP($D400,Fontes!$B:$B,Fontes!$H:$H))</f>
        <v>0</v>
      </c>
      <c r="K400" s="252">
        <f>IF($A400="M",0,_xlfn.XLOOKUP($D400,Fontes!$B:$B,Fontes!$I:$I))</f>
        <v>0</v>
      </c>
      <c r="L400" s="250">
        <f t="shared" si="58"/>
        <v>230</v>
      </c>
      <c r="M400" s="300">
        <f t="shared" si="56"/>
        <v>5980</v>
      </c>
      <c r="N400" s="243"/>
      <c r="O400" s="517">
        <f t="shared" si="52"/>
        <v>5980</v>
      </c>
      <c r="U400" s="540"/>
    </row>
    <row r="401" spans="1:21" ht="57.6" outlineLevel="4" x14ac:dyDescent="0.3">
      <c r="A401" s="35" t="s">
        <v>7</v>
      </c>
      <c r="B401" s="36"/>
      <c r="C401" s="495" t="s">
        <v>10073</v>
      </c>
      <c r="D401" s="249" t="s">
        <v>2824</v>
      </c>
      <c r="E401" s="249" t="str">
        <f>UPPER(_xlfn.XLOOKUP($D401,Mercado!C:C,Mercado!E:E,_xlfn.XLOOKUP($D494,Fontes!$B:$B,Fontes!$C:$C)))</f>
        <v xml:space="preserve">REFAX </v>
      </c>
      <c r="F401" s="437" t="s">
        <v>1666</v>
      </c>
      <c r="G401" s="249" t="str">
        <f>_xlfn.XLOOKUP(D401,Mercado!C:C,Mercado!G:G)</f>
        <v>M2</v>
      </c>
      <c r="H401" s="444">
        <v>43</v>
      </c>
      <c r="I401" s="440">
        <f>IF($A401="M",_xlfn.XLOOKUP($D401,Mercado!$C:$C,Mercado!$I:$I),_xlfn.XLOOKUP($D401,Fontes!$B:$B,Fontes!$J:$J))</f>
        <v>220</v>
      </c>
      <c r="J401" s="440">
        <f>IF($A401="M",_xlfn.XLOOKUP($D401,Mercado!$C:$C,Mercado!$J:$J),_xlfn.XLOOKUP($D401,Fontes!$B:$B,Fontes!$H:$H))</f>
        <v>0</v>
      </c>
      <c r="K401" s="252">
        <f>IF($A401="M",0,_xlfn.XLOOKUP($D401,Fontes!$B:$B,Fontes!$I:$I))</f>
        <v>0</v>
      </c>
      <c r="L401" s="250">
        <f t="shared" si="58"/>
        <v>220</v>
      </c>
      <c r="M401" s="300">
        <f t="shared" si="56"/>
        <v>9460</v>
      </c>
      <c r="N401" s="243"/>
      <c r="O401" s="517">
        <f t="shared" si="52"/>
        <v>9460</v>
      </c>
      <c r="U401" s="540"/>
    </row>
    <row r="402" spans="1:21" ht="38.4" outlineLevel="4" x14ac:dyDescent="0.3">
      <c r="A402" s="35" t="s">
        <v>7</v>
      </c>
      <c r="B402" s="36"/>
      <c r="C402" s="495" t="s">
        <v>10074</v>
      </c>
      <c r="D402" s="249" t="s">
        <v>2825</v>
      </c>
      <c r="E402" s="249" t="str">
        <f>UPPER(_xlfn.XLOOKUP($D402,Mercado!C:C,Mercado!E:E,_xlfn.XLOOKUP($D495,Fontes!$B:$B,Fontes!$C:$C)))</f>
        <v>LOFT</v>
      </c>
      <c r="F402" s="441" t="s">
        <v>8398</v>
      </c>
      <c r="G402" s="249" t="str">
        <f>_xlfn.XLOOKUP(D402,Mercado!C:C,Mercado!G:G)</f>
        <v>M2</v>
      </c>
      <c r="H402" s="444">
        <v>128</v>
      </c>
      <c r="I402" s="440">
        <f>IF($A402="M",_xlfn.XLOOKUP($D402,Mercado!$C:$C,Mercado!$I:$I),_xlfn.XLOOKUP($D402,Fontes!$B:$B,Fontes!$J:$J))</f>
        <v>360</v>
      </c>
      <c r="J402" s="440">
        <f>IF($A402="M",_xlfn.XLOOKUP($D402,Mercado!$C:$C,Mercado!$J:$J),_xlfn.XLOOKUP($D402,Fontes!$B:$B,Fontes!$H:$H))</f>
        <v>0</v>
      </c>
      <c r="K402" s="252">
        <f>IF($A402="M",0,_xlfn.XLOOKUP($D402,Fontes!$B:$B,Fontes!$I:$I))</f>
        <v>0</v>
      </c>
      <c r="L402" s="250">
        <f t="shared" si="58"/>
        <v>360</v>
      </c>
      <c r="M402" s="300">
        <f t="shared" si="56"/>
        <v>46080</v>
      </c>
      <c r="N402" s="243"/>
      <c r="O402" s="517">
        <f t="shared" si="52"/>
        <v>46080</v>
      </c>
      <c r="U402" s="540"/>
    </row>
    <row r="403" spans="1:21" ht="96" outlineLevel="4" x14ac:dyDescent="0.3">
      <c r="A403" s="35"/>
      <c r="B403" s="36"/>
      <c r="C403" s="495" t="s">
        <v>10075</v>
      </c>
      <c r="D403" s="507" t="s">
        <v>8395</v>
      </c>
      <c r="E403" s="249" t="str">
        <f>UPPER(IF($D403=0,"",IF($A403=4,_xlfn.XLOOKUP($D403,Mercado!$C:$C,Mercado!$E:$E),_xlfn.XLOOKUP($D403,Fontes!$B:$B,Fontes!$C:$C))))</f>
        <v>SCO</v>
      </c>
      <c r="F403" s="437" t="s">
        <v>8396</v>
      </c>
      <c r="G403" s="438" t="str">
        <f>UPPER(IF($D403=0,"",IF($A403=4,_xlfn.XLOOKUP($D403,Mercado!$C:$C,Mercado!$G:$G),_xlfn.XLOOKUP($D403,Fontes!$B:$B,Fontes!$E:$E))))</f>
        <v>M²</v>
      </c>
      <c r="H403" s="444">
        <f>SUM(H396:H402)*2</f>
        <v>512</v>
      </c>
      <c r="I403" s="440">
        <f>IF($A403="M",_xlfn.XLOOKUP($D403,Mercado!$C:$C,Mercado!$I:$I),_xlfn.XLOOKUP($D403,Fontes!$B:$B,Fontes!$J:$J))</f>
        <v>22.16</v>
      </c>
      <c r="J403" s="440">
        <f>IF($A403="M",_xlfn.XLOOKUP($D403,Mercado!$C:$C,Mercado!$J:$J),_xlfn.XLOOKUP($D403,Fontes!$B:$B,Fontes!$H:$H))</f>
        <v>22.02</v>
      </c>
      <c r="K403" s="252">
        <f>IF($A403="M",0,_xlfn.XLOOKUP($D403,Fontes!$B:$B,Fontes!$I:$I))</f>
        <v>0</v>
      </c>
      <c r="L403" s="250">
        <f t="shared" si="58"/>
        <v>44.18</v>
      </c>
      <c r="M403" s="300">
        <f t="shared" si="56"/>
        <v>22620.16</v>
      </c>
      <c r="N403" s="243"/>
      <c r="O403" s="517">
        <f t="shared" si="52"/>
        <v>22620.16</v>
      </c>
      <c r="U403" s="540"/>
    </row>
    <row r="404" spans="1:21" outlineLevel="3" x14ac:dyDescent="0.3">
      <c r="A404" s="36" t="s">
        <v>7</v>
      </c>
      <c r="B404" s="36"/>
      <c r="C404" s="495" t="s">
        <v>781</v>
      </c>
      <c r="D404" s="249"/>
      <c r="E404" s="249" t="str">
        <f>UPPER(IF($D404=0,"",IF($A404=4,_xlfn.XLOOKUP($D404,Mercado!$C:$C,Mercado!$E:$E),_xlfn.XLOOKUP($D404,Fontes!$B:$B,Fontes!$C:$C))))</f>
        <v/>
      </c>
      <c r="F404" s="327" t="s">
        <v>781</v>
      </c>
      <c r="G404" s="249"/>
      <c r="H404" s="252"/>
      <c r="I404" s="252">
        <f>IF($A404="M",_xlfn.XLOOKUP($D404,Mercado!$C:$C,Mercado!$I:$I),_xlfn.XLOOKUP($D404,Fontes!$B:$B,Fontes!$J:$J))</f>
        <v>0</v>
      </c>
      <c r="J404" s="252">
        <f>IF($A404="M",_xlfn.XLOOKUP($D404,Mercado!$C:$C,Mercado!$J:$J),_xlfn.XLOOKUP($D404,Fontes!$B:$B,Fontes!$H:$H))</f>
        <v>0</v>
      </c>
      <c r="K404" s="252">
        <f>IF($A404="M",0,_xlfn.XLOOKUP($D404,Fontes!$B:$B,Fontes!$I:$I))</f>
        <v>0</v>
      </c>
      <c r="L404" s="250">
        <f t="shared" si="58"/>
        <v>0</v>
      </c>
      <c r="M404" s="300">
        <f t="shared" si="56"/>
        <v>0</v>
      </c>
      <c r="O404" s="517" t="str">
        <f t="shared" si="52"/>
        <v/>
      </c>
      <c r="U404" s="540"/>
    </row>
    <row r="405" spans="1:21" outlineLevel="2" x14ac:dyDescent="0.3">
      <c r="A405" s="36" t="s">
        <v>7</v>
      </c>
      <c r="B405" s="36"/>
      <c r="C405" s="496" t="s">
        <v>10076</v>
      </c>
      <c r="D405" s="253"/>
      <c r="E405" s="253" t="str">
        <f>UPPER(IF($D405=0,"",IF($A405=4,_xlfn.XLOOKUP($D405,Mercado!$C:$C,Mercado!$E:$E),_xlfn.XLOOKUP($D405,Fontes!$B:$B,Fontes!$C:$C))))</f>
        <v/>
      </c>
      <c r="F405" s="329" t="s">
        <v>2389</v>
      </c>
      <c r="G405" s="253"/>
      <c r="H405" s="254"/>
      <c r="I405" s="254">
        <f>IF($A405="M",_xlfn.XLOOKUP($D405,Mercado!$C:$C,Mercado!$I:$I),_xlfn.XLOOKUP($D405,Fontes!$B:$B,Fontes!$J:$J))</f>
        <v>0</v>
      </c>
      <c r="J405" s="254">
        <f>IF($A405="M",_xlfn.XLOOKUP($D405,Mercado!$C:$C,Mercado!$J:$J),_xlfn.XLOOKUP($D405,Fontes!$B:$B,Fontes!$H:$H))</f>
        <v>0</v>
      </c>
      <c r="K405" s="254">
        <f>IF($A405="M",0,_xlfn.XLOOKUP($D405,Fontes!$B:$B,Fontes!$I:$I))</f>
        <v>0</v>
      </c>
      <c r="L405" s="254">
        <f t="shared" si="58"/>
        <v>0</v>
      </c>
      <c r="M405" s="497">
        <f>SUBTOTAL(9,M406:M411)</f>
        <v>147129.63</v>
      </c>
      <c r="O405" s="517" t="str">
        <f t="shared" si="52"/>
        <v/>
      </c>
      <c r="U405" s="540"/>
    </row>
    <row r="406" spans="1:21" ht="57.6" outlineLevel="4" x14ac:dyDescent="0.3">
      <c r="A406" s="35"/>
      <c r="B406" s="36"/>
      <c r="C406" s="495" t="s">
        <v>10077</v>
      </c>
      <c r="D406" s="438" t="s">
        <v>8450</v>
      </c>
      <c r="E406" s="438" t="str">
        <f>UPPER(IF($D406=0,"",IF($A406=4,_xlfn.XLOOKUP($D406,Mercado!$C:$C,Mercado!$E:$E),_xlfn.XLOOKUP($D406,Fontes!$B:$B,Fontes!$C:$C))))</f>
        <v>CPOS/CDHU</v>
      </c>
      <c r="F406" s="437" t="s">
        <v>8448</v>
      </c>
      <c r="G406" s="438" t="str">
        <f>UPPER(IF($D406=0,"",IF($A406=4,_xlfn.XLOOKUP($D406,Mercado!$C:$C,Mercado!$G:$G),_xlfn.XLOOKUP($D406,Fontes!$B:$B,Fontes!$E:$E))))</f>
        <v>UN</v>
      </c>
      <c r="H406" s="440">
        <v>3</v>
      </c>
      <c r="I406" s="252">
        <f>IF($A406="M",_xlfn.XLOOKUP($D406,Mercado!$C:$C,Mercado!$I:$I),_xlfn.XLOOKUP($D406,Fontes!$B:$B,Fontes!$J:$J))</f>
        <v>1426.68</v>
      </c>
      <c r="J406" s="252">
        <f>IF($A406="M",_xlfn.XLOOKUP($D406,Mercado!$C:$C,Mercado!$J:$J),_xlfn.XLOOKUP($D406,Fontes!$B:$B,Fontes!$H:$H))</f>
        <v>168.83</v>
      </c>
      <c r="K406" s="252">
        <f>IF($A406="M",0,_xlfn.XLOOKUP($D406,Fontes!$B:$B,Fontes!$I:$I))</f>
        <v>0</v>
      </c>
      <c r="L406" s="250">
        <f t="shared" si="58"/>
        <v>1595.51</v>
      </c>
      <c r="M406" s="300">
        <f t="shared" ref="M406:M411" si="59">ROUND(H406*L406,2)</f>
        <v>4786.53</v>
      </c>
      <c r="N406" s="243"/>
      <c r="O406" s="517">
        <f t="shared" si="52"/>
        <v>4786.53</v>
      </c>
      <c r="U406" s="540"/>
    </row>
    <row r="407" spans="1:21" ht="57.6" outlineLevel="4" x14ac:dyDescent="0.3">
      <c r="A407" s="35"/>
      <c r="B407" s="36"/>
      <c r="C407" s="495" t="s">
        <v>10078</v>
      </c>
      <c r="D407" s="438" t="s">
        <v>8451</v>
      </c>
      <c r="E407" s="438" t="str">
        <f>UPPER(IF($D407=0,"",IF($A407=4,_xlfn.XLOOKUP($D407,Mercado!$C:$C,Mercado!$E:$E),_xlfn.XLOOKUP($D407,Fontes!$B:$B,Fontes!$C:$C))))</f>
        <v>CPOS/CDHU</v>
      </c>
      <c r="F407" s="437" t="s">
        <v>8449</v>
      </c>
      <c r="G407" s="438" t="str">
        <f>UPPER(IF($D407=0,"",IF($A407=4,_xlfn.XLOOKUP($D407,Mercado!$C:$C,Mercado!$G:$G),_xlfn.XLOOKUP($D407,Fontes!$B:$B,Fontes!$E:$E))))</f>
        <v>UN</v>
      </c>
      <c r="H407" s="440">
        <v>1</v>
      </c>
      <c r="I407" s="252">
        <f>IF($A407="M",_xlfn.XLOOKUP($D407,Mercado!$C:$C,Mercado!$I:$I),_xlfn.XLOOKUP($D407,Fontes!$B:$B,Fontes!$J:$J))</f>
        <v>2578.87</v>
      </c>
      <c r="J407" s="252">
        <f>IF($A407="M",_xlfn.XLOOKUP($D407,Mercado!$C:$C,Mercado!$J:$J),_xlfn.XLOOKUP($D407,Fontes!$B:$B,Fontes!$H:$H))</f>
        <v>168.83</v>
      </c>
      <c r="K407" s="252">
        <f>IF($A407="M",0,_xlfn.XLOOKUP($D407,Fontes!$B:$B,Fontes!$I:$I))</f>
        <v>0</v>
      </c>
      <c r="L407" s="250">
        <f t="shared" si="58"/>
        <v>2747.7</v>
      </c>
      <c r="M407" s="300">
        <f t="shared" si="59"/>
        <v>2747.7</v>
      </c>
      <c r="N407" s="243"/>
      <c r="O407" s="517">
        <f t="shared" si="52"/>
        <v>2747.7</v>
      </c>
      <c r="U407" s="540"/>
    </row>
    <row r="408" spans="1:21" ht="211.2" outlineLevel="4" x14ac:dyDescent="0.3">
      <c r="A408" s="35"/>
      <c r="B408" s="36"/>
      <c r="C408" s="495" t="s">
        <v>10079</v>
      </c>
      <c r="D408" s="438">
        <v>336</v>
      </c>
      <c r="E408" s="438" t="str">
        <f>UPPER(IF($D408=0,"",IF($A408=4,_xlfn.XLOOKUP($D408,Mercado!$C:$C,Mercado!$E:$E),_xlfn.XLOOKUP($D408,Fontes!$B:$B,Fontes!$C:$C))))</f>
        <v>PRÓPRIO</v>
      </c>
      <c r="F408" s="437" t="s">
        <v>8473</v>
      </c>
      <c r="G408" s="438" t="str">
        <f>UPPER(IF($D408=0,"",IF($A408=4,_xlfn.XLOOKUP($D408,Mercado!$C:$C,Mercado!$G:$G),_xlfn.XLOOKUP($D408,Fontes!$B:$B,Fontes!$E:$E))))</f>
        <v>UN</v>
      </c>
      <c r="H408" s="440">
        <v>1</v>
      </c>
      <c r="I408" s="439">
        <f>IF($A408="M",_xlfn.XLOOKUP($D408,Mercado!$C:$C,Mercado!$I:$I),_xlfn.XLOOKUP($D408,Fontes!$B:$B,Fontes!$J:$J))</f>
        <v>4225.2</v>
      </c>
      <c r="J408" s="252">
        <f>IF($A408="M",_xlfn.XLOOKUP($D408,Mercado!$C:$C,Mercado!$J:$J),_xlfn.XLOOKUP($D408,Fontes!$B:$B,Fontes!$H:$H))</f>
        <v>0</v>
      </c>
      <c r="K408" s="252">
        <f>IF($A408="M",0,_xlfn.XLOOKUP($D408,Fontes!$B:$B,Fontes!$I:$I))</f>
        <v>0</v>
      </c>
      <c r="L408" s="250">
        <f t="shared" si="58"/>
        <v>4225.2</v>
      </c>
      <c r="M408" s="300">
        <f t="shared" si="59"/>
        <v>4225.2</v>
      </c>
      <c r="N408" s="243"/>
      <c r="O408" s="517">
        <f t="shared" si="52"/>
        <v>4225.2</v>
      </c>
      <c r="U408" s="540"/>
    </row>
    <row r="409" spans="1:21" ht="46.8" outlineLevel="4" x14ac:dyDescent="0.3">
      <c r="A409" s="35"/>
      <c r="B409" s="36"/>
      <c r="C409" s="495" t="s">
        <v>10080</v>
      </c>
      <c r="D409" s="438" t="s">
        <v>599</v>
      </c>
      <c r="E409" s="438" t="str">
        <f>UPPER(IF($D409=0,"",IF($A409=4,_xlfn.XLOOKUP($D409,Mercado!$C:$C,Mercado!$E:$E),_xlfn.XLOOKUP($D409,Fontes!$B:$B,Fontes!$C:$C))))</f>
        <v>CPOS/CDHU</v>
      </c>
      <c r="F409" s="508" t="s">
        <v>8547</v>
      </c>
      <c r="G409" s="438" t="str">
        <f>UPPER(IF($D409=0,"",IF($A409=4,_xlfn.XLOOKUP($D409,Mercado!$C:$C,Mercado!$G:$G),_xlfn.XLOOKUP($D409,Fontes!$B:$B,Fontes!$E:$E))))</f>
        <v>M²</v>
      </c>
      <c r="H409" s="440">
        <f>0.95*2.1*2</f>
        <v>3.9899999999999998</v>
      </c>
      <c r="I409" s="252">
        <f>IF($A409="M",_xlfn.XLOOKUP($D409,Mercado!$C:$C,Mercado!$I:$I),_xlfn.XLOOKUP($D409,Fontes!$B:$B,Fontes!$J:$J))</f>
        <v>861.89</v>
      </c>
      <c r="J409" s="252">
        <f>IF($A409="M",_xlfn.XLOOKUP($D409,Mercado!$C:$C,Mercado!$J:$J),_xlfn.XLOOKUP($D409,Fontes!$B:$B,Fontes!$H:$H))</f>
        <v>95.77</v>
      </c>
      <c r="K409" s="252">
        <f>IF($A409="M",0,_xlfn.XLOOKUP($D409,Fontes!$B:$B,Fontes!$I:$I))</f>
        <v>0</v>
      </c>
      <c r="L409" s="250">
        <f t="shared" si="58"/>
        <v>957.66</v>
      </c>
      <c r="M409" s="300">
        <f t="shared" si="59"/>
        <v>3821.06</v>
      </c>
      <c r="N409" s="243"/>
      <c r="O409" s="517">
        <f t="shared" si="52"/>
        <v>3821.06</v>
      </c>
      <c r="U409" s="540"/>
    </row>
    <row r="410" spans="1:21" ht="46.8" outlineLevel="4" x14ac:dyDescent="0.3">
      <c r="A410" s="35"/>
      <c r="B410" s="36"/>
      <c r="C410" s="495" t="s">
        <v>10081</v>
      </c>
      <c r="D410" s="438" t="s">
        <v>803</v>
      </c>
      <c r="E410" s="438" t="str">
        <f>UPPER(IF($D410=0,"",IF($A410=4,_xlfn.XLOOKUP($D410,Mercado!$C:$C,Mercado!$E:$E),_xlfn.XLOOKUP($D410,Fontes!$B:$B,Fontes!$C:$C))))</f>
        <v>CPOS/CDHU</v>
      </c>
      <c r="F410" s="508" t="s">
        <v>8548</v>
      </c>
      <c r="G410" s="438" t="str">
        <f>UPPER(IF($D410=0,"",IF($A410=4,_xlfn.XLOOKUP($D410,Mercado!$C:$C,Mercado!$G:$G),_xlfn.XLOOKUP($D410,Fontes!$B:$B,Fontes!$E:$E))))</f>
        <v>M</v>
      </c>
      <c r="H410" s="440">
        <v>178.66</v>
      </c>
      <c r="I410" s="252">
        <f>IF($A410="M",_xlfn.XLOOKUP($D410,Mercado!$C:$C,Mercado!$I:$I),_xlfn.XLOOKUP($D410,Fontes!$B:$B,Fontes!$J:$J))</f>
        <v>675.89</v>
      </c>
      <c r="J410" s="252">
        <f>IF($A410="M",_xlfn.XLOOKUP($D410,Mercado!$C:$C,Mercado!$J:$J),_xlfn.XLOOKUP($D410,Fontes!$B:$B,Fontes!$H:$H))</f>
        <v>60.42</v>
      </c>
      <c r="K410" s="252">
        <f>IF($A410="M",0,_xlfn.XLOOKUP($D410,Fontes!$B:$B,Fontes!$I:$I))</f>
        <v>0</v>
      </c>
      <c r="L410" s="250">
        <f t="shared" si="58"/>
        <v>736.31</v>
      </c>
      <c r="M410" s="300">
        <f t="shared" si="59"/>
        <v>131549.14000000001</v>
      </c>
      <c r="N410" s="243"/>
      <c r="O410" s="517">
        <f t="shared" si="52"/>
        <v>131549.14000000001</v>
      </c>
      <c r="U410" s="540"/>
    </row>
    <row r="411" spans="1:21" outlineLevel="3" x14ac:dyDescent="0.3">
      <c r="A411" s="36" t="s">
        <v>7</v>
      </c>
      <c r="B411" s="36"/>
      <c r="C411" s="495" t="s">
        <v>781</v>
      </c>
      <c r="D411" s="249"/>
      <c r="E411" s="249" t="str">
        <f>UPPER(IF($D411=0,"",IF($A411=4,_xlfn.XLOOKUP($D411,Mercado!$C:$C,Mercado!$E:$E),_xlfn.XLOOKUP($D411,Fontes!$B:$B,Fontes!$C:$C))))</f>
        <v/>
      </c>
      <c r="F411" s="327" t="s">
        <v>781</v>
      </c>
      <c r="G411" s="249"/>
      <c r="H411" s="252"/>
      <c r="I411" s="252">
        <f>IF($A411="M",_xlfn.XLOOKUP($D411,Mercado!$C:$C,Mercado!$I:$I),_xlfn.XLOOKUP($D411,Fontes!$B:$B,Fontes!$J:$J))</f>
        <v>0</v>
      </c>
      <c r="J411" s="252">
        <f>IF($A411="M",_xlfn.XLOOKUP($D411,Mercado!$C:$C,Mercado!$J:$J),_xlfn.XLOOKUP($D411,Fontes!$B:$B,Fontes!$H:$H))</f>
        <v>0</v>
      </c>
      <c r="K411" s="252">
        <f>IF($A411="M",0,_xlfn.XLOOKUP($D411,Fontes!$B:$B,Fontes!$I:$I))</f>
        <v>0</v>
      </c>
      <c r="L411" s="250">
        <f t="shared" si="58"/>
        <v>0</v>
      </c>
      <c r="M411" s="300">
        <f t="shared" si="59"/>
        <v>0</v>
      </c>
      <c r="O411" s="517" t="str">
        <f t="shared" si="52"/>
        <v/>
      </c>
      <c r="U411" s="540"/>
    </row>
    <row r="412" spans="1:21" outlineLevel="2" x14ac:dyDescent="0.3">
      <c r="A412" s="36" t="s">
        <v>7</v>
      </c>
      <c r="B412" s="36"/>
      <c r="C412" s="496" t="s">
        <v>10082</v>
      </c>
      <c r="D412" s="253"/>
      <c r="E412" s="253" t="str">
        <f>UPPER(IF($D412=0,"",IF($A412=4,_xlfn.XLOOKUP($D412,Mercado!$C:$C,Mercado!$E:$E),_xlfn.XLOOKUP($D412,Fontes!$B:$B,Fontes!$C:$C))))</f>
        <v/>
      </c>
      <c r="F412" s="329" t="s">
        <v>1674</v>
      </c>
      <c r="G412" s="253"/>
      <c r="H412" s="254"/>
      <c r="I412" s="254">
        <f>IF($A412="M",_xlfn.XLOOKUP($D412,Mercado!$C:$C,Mercado!$I:$I),_xlfn.XLOOKUP($D412,Fontes!$B:$B,Fontes!$J:$J))</f>
        <v>0</v>
      </c>
      <c r="J412" s="254">
        <f>IF($A412="M",_xlfn.XLOOKUP($D412,Mercado!$C:$C,Mercado!$J:$J),_xlfn.XLOOKUP($D412,Fontes!$B:$B,Fontes!$H:$H))</f>
        <v>0</v>
      </c>
      <c r="K412" s="254">
        <f>IF($A412="M",0,_xlfn.XLOOKUP($D412,Fontes!$B:$B,Fontes!$I:$I))</f>
        <v>0</v>
      </c>
      <c r="L412" s="254">
        <f t="shared" si="58"/>
        <v>0</v>
      </c>
      <c r="M412" s="497">
        <f>SUBTOTAL(9,M413:M440)</f>
        <v>544815.69999999995</v>
      </c>
      <c r="O412" s="517" t="str">
        <f t="shared" si="52"/>
        <v/>
      </c>
      <c r="U412" s="540"/>
    </row>
    <row r="413" spans="1:21" ht="408.6" customHeight="1" outlineLevel="4" x14ac:dyDescent="0.3">
      <c r="A413" s="35" t="s">
        <v>7</v>
      </c>
      <c r="B413" s="36"/>
      <c r="C413" s="495" t="s">
        <v>10083</v>
      </c>
      <c r="D413" s="206" t="s">
        <v>2827</v>
      </c>
      <c r="E413" s="249" t="str">
        <f>UPPER(_xlfn.XLOOKUP($D413,Mercado!C:C,Mercado!E:E,_xlfn.XLOOKUP($D506,Fontes!$B:$B,Fontes!$C:$C)))</f>
        <v>LABLINEA</v>
      </c>
      <c r="F413" s="333" t="s">
        <v>9692</v>
      </c>
      <c r="G413" s="249" t="str">
        <f>UPPER(_xlfn.XLOOKUP(D413,Mercado!C:C,Mercado!G:G))</f>
        <v>UN</v>
      </c>
      <c r="H413" s="443">
        <v>1</v>
      </c>
      <c r="I413" s="252">
        <f>IF($A413="M",_xlfn.XLOOKUP($D413,Mercado!$C:$C,Mercado!$I:$I),_xlfn.XLOOKUP($D413,Fontes!$B:$B,Fontes!$J:$J))</f>
        <v>19548.04</v>
      </c>
      <c r="J413" s="252">
        <f>IF($A413="M",_xlfn.XLOOKUP($D413,Mercado!$C:$C,Mercado!$J:$J),_xlfn.XLOOKUP($D413,Fontes!$B:$B,Fontes!$H:$H))</f>
        <v>0</v>
      </c>
      <c r="K413" s="252">
        <f>IF($A413="M",0,_xlfn.XLOOKUP($D413,Fontes!$B:$B,Fontes!$I:$I))</f>
        <v>0</v>
      </c>
      <c r="L413" s="250">
        <f t="shared" si="58"/>
        <v>19548.04</v>
      </c>
      <c r="M413" s="300">
        <f t="shared" ref="M413:M440" si="60">ROUND(H413*L413,2)</f>
        <v>19548.04</v>
      </c>
      <c r="N413" s="243"/>
      <c r="O413" s="517">
        <f t="shared" si="52"/>
        <v>19548.04</v>
      </c>
    </row>
    <row r="414" spans="1:21" ht="409.6" outlineLevel="4" x14ac:dyDescent="0.3">
      <c r="A414" s="35" t="s">
        <v>7</v>
      </c>
      <c r="B414" s="36"/>
      <c r="C414" s="495" t="s">
        <v>10084</v>
      </c>
      <c r="D414" s="206" t="s">
        <v>2828</v>
      </c>
      <c r="E414" s="249" t="str">
        <f>UPPER(_xlfn.XLOOKUP($D414,Mercado!C:C,Mercado!E:E,_xlfn.XLOOKUP($D507,Fontes!$B:$B,Fontes!$C:$C)))</f>
        <v>LABLINEA</v>
      </c>
      <c r="F414" s="333" t="s">
        <v>9717</v>
      </c>
      <c r="G414" s="249" t="str">
        <f>UPPER(_xlfn.XLOOKUP(D414,Mercado!C:C,Mercado!G:G))</f>
        <v>UN</v>
      </c>
      <c r="H414" s="443">
        <v>1</v>
      </c>
      <c r="I414" s="252">
        <f>IF($A414="M",_xlfn.XLOOKUP($D414,Mercado!$C:$C,Mercado!$I:$I),_xlfn.XLOOKUP($D414,Fontes!$B:$B,Fontes!$J:$J))</f>
        <v>92034.43</v>
      </c>
      <c r="J414" s="252">
        <f>IF($A414="M",_xlfn.XLOOKUP($D414,Mercado!$C:$C,Mercado!$J:$J),_xlfn.XLOOKUP($D414,Fontes!$B:$B,Fontes!$H:$H))</f>
        <v>0</v>
      </c>
      <c r="K414" s="252">
        <f>IF($A414="M",0,_xlfn.XLOOKUP($D414,Fontes!$B:$B,Fontes!$I:$I))</f>
        <v>0</v>
      </c>
      <c r="L414" s="250">
        <f t="shared" si="58"/>
        <v>92034.43</v>
      </c>
      <c r="M414" s="300">
        <f t="shared" si="60"/>
        <v>92034.43</v>
      </c>
      <c r="N414" s="243"/>
      <c r="O414" s="517">
        <f t="shared" si="52"/>
        <v>92034.43</v>
      </c>
    </row>
    <row r="415" spans="1:21" ht="134.4" outlineLevel="4" x14ac:dyDescent="0.3">
      <c r="A415" s="35" t="s">
        <v>7</v>
      </c>
      <c r="B415" s="36"/>
      <c r="C415" s="495" t="s">
        <v>10085</v>
      </c>
      <c r="D415" s="206" t="s">
        <v>2829</v>
      </c>
      <c r="E415" s="249" t="str">
        <f>UPPER(_xlfn.XLOOKUP($D415,Mercado!C:C,Mercado!E:E,_xlfn.XLOOKUP($D508,Fontes!$B:$B,Fontes!$C:$C)))</f>
        <v>LABLINEA</v>
      </c>
      <c r="F415" s="333" t="s">
        <v>8466</v>
      </c>
      <c r="G415" s="249" t="str">
        <f>UPPER(_xlfn.XLOOKUP(D415,Mercado!C:C,Mercado!G:G))</f>
        <v>UN</v>
      </c>
      <c r="H415" s="443">
        <v>1</v>
      </c>
      <c r="I415" s="252">
        <f>IF($A415="M",_xlfn.XLOOKUP($D415,Mercado!$C:$C,Mercado!$I:$I),_xlfn.XLOOKUP($D415,Fontes!$B:$B,Fontes!$J:$J))</f>
        <v>3669.11</v>
      </c>
      <c r="J415" s="252">
        <f>IF($A415="M",_xlfn.XLOOKUP($D415,Mercado!$C:$C,Mercado!$J:$J),_xlfn.XLOOKUP($D415,Fontes!$B:$B,Fontes!$H:$H))</f>
        <v>0</v>
      </c>
      <c r="K415" s="252">
        <f>IF($A415="M",0,_xlfn.XLOOKUP($D415,Fontes!$B:$B,Fontes!$I:$I))</f>
        <v>0</v>
      </c>
      <c r="L415" s="250">
        <f t="shared" si="58"/>
        <v>3669.11</v>
      </c>
      <c r="M415" s="300">
        <f t="shared" si="60"/>
        <v>3669.11</v>
      </c>
      <c r="N415" s="243"/>
      <c r="O415" s="517">
        <f t="shared" si="52"/>
        <v>3669.11</v>
      </c>
    </row>
    <row r="416" spans="1:21" ht="364.8" outlineLevel="4" x14ac:dyDescent="0.3">
      <c r="A416" s="35" t="s">
        <v>7</v>
      </c>
      <c r="B416" s="36"/>
      <c r="C416" s="495" t="s">
        <v>10086</v>
      </c>
      <c r="D416" s="206" t="s">
        <v>2830</v>
      </c>
      <c r="E416" s="249" t="str">
        <f>UPPER(_xlfn.XLOOKUP($D416,Mercado!C:C,Mercado!E:E,_xlfn.XLOOKUP($D509,Fontes!$B:$B,Fontes!$C:$C)))</f>
        <v>LABLINEA</v>
      </c>
      <c r="F416" s="333" t="s">
        <v>9693</v>
      </c>
      <c r="G416" s="249" t="str">
        <f>UPPER(_xlfn.XLOOKUP(D416,Mercado!C:C,Mercado!G:G))</f>
        <v>UN</v>
      </c>
      <c r="H416" s="443">
        <v>1</v>
      </c>
      <c r="I416" s="252">
        <f>IF($A416="M",_xlfn.XLOOKUP($D416,Mercado!$C:$C,Mercado!$I:$I),_xlfn.XLOOKUP($D416,Fontes!$B:$B,Fontes!$J:$J))</f>
        <v>19530.11</v>
      </c>
      <c r="J416" s="252">
        <f>IF($A416="M",_xlfn.XLOOKUP($D416,Mercado!$C:$C,Mercado!$J:$J),_xlfn.XLOOKUP($D416,Fontes!$B:$B,Fontes!$H:$H))</f>
        <v>0</v>
      </c>
      <c r="K416" s="252">
        <f>IF($A416="M",0,_xlfn.XLOOKUP($D416,Fontes!$B:$B,Fontes!$I:$I))</f>
        <v>0</v>
      </c>
      <c r="L416" s="250">
        <f t="shared" si="58"/>
        <v>19530.11</v>
      </c>
      <c r="M416" s="300">
        <f t="shared" si="60"/>
        <v>19530.11</v>
      </c>
      <c r="N416" s="243"/>
      <c r="O416" s="517">
        <f t="shared" ref="O416:O477" si="61">IF(D416&lt;&gt;0,M416,"")</f>
        <v>19530.11</v>
      </c>
    </row>
    <row r="417" spans="1:15" ht="38.4" outlineLevel="4" x14ac:dyDescent="0.3">
      <c r="A417" s="35" t="s">
        <v>7</v>
      </c>
      <c r="B417" s="36"/>
      <c r="C417" s="495" t="s">
        <v>10087</v>
      </c>
      <c r="D417" s="206" t="s">
        <v>2831</v>
      </c>
      <c r="E417" s="249" t="str">
        <f>UPPER(_xlfn.XLOOKUP($D417,Mercado!C:C,Mercado!E:E,_xlfn.XLOOKUP($D510,Fontes!$B:$B,Fontes!$C:$C)))</f>
        <v>LABLINEA</v>
      </c>
      <c r="F417" s="333" t="s">
        <v>8388</v>
      </c>
      <c r="G417" s="249" t="str">
        <f>UPPER(_xlfn.XLOOKUP(D417,Mercado!C:C,Mercado!G:G))</f>
        <v>UN</v>
      </c>
      <c r="H417" s="443">
        <v>2</v>
      </c>
      <c r="I417" s="252">
        <f>IF($A417="M",_xlfn.XLOOKUP($D417,Mercado!$C:$C,Mercado!$I:$I),_xlfn.XLOOKUP($D417,Fontes!$B:$B,Fontes!$J:$J))</f>
        <v>3520.5</v>
      </c>
      <c r="J417" s="252">
        <f>IF($A417="M",_xlfn.XLOOKUP($D417,Mercado!$C:$C,Mercado!$J:$J),_xlfn.XLOOKUP($D417,Fontes!$B:$B,Fontes!$H:$H))</f>
        <v>0</v>
      </c>
      <c r="K417" s="252">
        <f>IF($A417="M",0,_xlfn.XLOOKUP($D417,Fontes!$B:$B,Fontes!$I:$I))</f>
        <v>0</v>
      </c>
      <c r="L417" s="250">
        <f t="shared" si="58"/>
        <v>3520.5</v>
      </c>
      <c r="M417" s="300">
        <f t="shared" si="60"/>
        <v>7041</v>
      </c>
      <c r="N417" s="243"/>
      <c r="O417" s="517">
        <f t="shared" si="61"/>
        <v>7041</v>
      </c>
    </row>
    <row r="418" spans="1:15" ht="409.6" outlineLevel="4" x14ac:dyDescent="0.3">
      <c r="A418" s="35" t="s">
        <v>7</v>
      </c>
      <c r="B418" s="36"/>
      <c r="C418" s="495" t="s">
        <v>10088</v>
      </c>
      <c r="D418" s="206" t="s">
        <v>2832</v>
      </c>
      <c r="E418" s="249" t="str">
        <f>UPPER(_xlfn.XLOOKUP($D418,Mercado!C:C,Mercado!E:E,_xlfn.XLOOKUP($D511,Fontes!$B:$B,Fontes!$C:$C)))</f>
        <v>LABLINEA</v>
      </c>
      <c r="F418" s="333" t="s">
        <v>9694</v>
      </c>
      <c r="G418" s="249" t="str">
        <f>UPPER(_xlfn.XLOOKUP(D418,Mercado!C:C,Mercado!G:G))</f>
        <v>UN</v>
      </c>
      <c r="H418" s="443">
        <v>1</v>
      </c>
      <c r="I418" s="252">
        <f>IF($A418="M",_xlfn.XLOOKUP($D418,Mercado!$C:$C,Mercado!$I:$I),_xlfn.XLOOKUP($D418,Fontes!$B:$B,Fontes!$J:$J))</f>
        <v>32585.55</v>
      </c>
      <c r="J418" s="252">
        <f>IF($A418="M",_xlfn.XLOOKUP($D418,Mercado!$C:$C,Mercado!$J:$J),_xlfn.XLOOKUP($D418,Fontes!$B:$B,Fontes!$H:$H))</f>
        <v>0</v>
      </c>
      <c r="K418" s="252">
        <f>IF($A418="M",0,_xlfn.XLOOKUP($D418,Fontes!$B:$B,Fontes!$I:$I))</f>
        <v>0</v>
      </c>
      <c r="L418" s="250">
        <f t="shared" si="58"/>
        <v>32585.55</v>
      </c>
      <c r="M418" s="300">
        <f t="shared" si="60"/>
        <v>32585.55</v>
      </c>
      <c r="N418" s="243"/>
      <c r="O418" s="517">
        <f t="shared" si="61"/>
        <v>32585.55</v>
      </c>
    </row>
    <row r="419" spans="1:15" ht="230.4" outlineLevel="4" x14ac:dyDescent="0.3">
      <c r="A419" s="35" t="s">
        <v>7</v>
      </c>
      <c r="B419" s="36"/>
      <c r="C419" s="495" t="s">
        <v>10089</v>
      </c>
      <c r="D419" s="206" t="s">
        <v>2833</v>
      </c>
      <c r="E419" s="249" t="str">
        <f>UPPER(_xlfn.XLOOKUP($D419,Mercado!C:C,Mercado!E:E,_xlfn.XLOOKUP($D512,Fontes!$B:$B,Fontes!$C:$C)))</f>
        <v>LABLINEA</v>
      </c>
      <c r="F419" s="333" t="s">
        <v>9695</v>
      </c>
      <c r="G419" s="249" t="str">
        <f>UPPER(_xlfn.XLOOKUP(D419,Mercado!C:C,Mercado!G:G))</f>
        <v>UN</v>
      </c>
      <c r="H419" s="443">
        <v>1</v>
      </c>
      <c r="I419" s="252">
        <f>IF($A419="M",_xlfn.XLOOKUP($D419,Mercado!$C:$C,Mercado!$I:$I),_xlfn.XLOOKUP($D419,Fontes!$B:$B,Fontes!$J:$J))</f>
        <v>27714.51</v>
      </c>
      <c r="J419" s="252">
        <f>IF($A419="M",_xlfn.XLOOKUP($D419,Mercado!$C:$C,Mercado!$J:$J),_xlfn.XLOOKUP($D419,Fontes!$B:$B,Fontes!$H:$H))</f>
        <v>0</v>
      </c>
      <c r="K419" s="252">
        <f>IF($A419="M",0,_xlfn.XLOOKUP($D419,Fontes!$B:$B,Fontes!$I:$I))</f>
        <v>0</v>
      </c>
      <c r="L419" s="250">
        <f t="shared" si="58"/>
        <v>27714.51</v>
      </c>
      <c r="M419" s="300">
        <f t="shared" si="60"/>
        <v>27714.51</v>
      </c>
      <c r="N419" s="243"/>
      <c r="O419" s="517">
        <f t="shared" si="61"/>
        <v>27714.51</v>
      </c>
    </row>
    <row r="420" spans="1:15" ht="268.8" outlineLevel="4" x14ac:dyDescent="0.3">
      <c r="A420" s="35" t="s">
        <v>7</v>
      </c>
      <c r="B420" s="36"/>
      <c r="C420" s="495" t="s">
        <v>10090</v>
      </c>
      <c r="D420" s="206" t="s">
        <v>2834</v>
      </c>
      <c r="E420" s="249" t="str">
        <f>UPPER(_xlfn.XLOOKUP($D420,Mercado!C:C,Mercado!E:E,_xlfn.XLOOKUP($D513,Fontes!$B:$B,Fontes!$C:$C)))</f>
        <v>LABLINEA</v>
      </c>
      <c r="F420" s="333" t="s">
        <v>9696</v>
      </c>
      <c r="G420" s="249" t="str">
        <f>UPPER(_xlfn.XLOOKUP(D420,Mercado!C:C,Mercado!G:G))</f>
        <v>UN</v>
      </c>
      <c r="H420" s="443">
        <v>1</v>
      </c>
      <c r="I420" s="252">
        <f>IF($A420="M",_xlfn.XLOOKUP($D420,Mercado!$C:$C,Mercado!$I:$I),_xlfn.XLOOKUP($D420,Fontes!$B:$B,Fontes!$J:$J))</f>
        <v>4670.7</v>
      </c>
      <c r="J420" s="252">
        <f>IF($A420="M",_xlfn.XLOOKUP($D420,Mercado!$C:$C,Mercado!$J:$J),_xlfn.XLOOKUP($D420,Fontes!$B:$B,Fontes!$H:$H))</f>
        <v>0</v>
      </c>
      <c r="K420" s="252">
        <f>IF($A420="M",0,_xlfn.XLOOKUP($D420,Fontes!$B:$B,Fontes!$I:$I))</f>
        <v>0</v>
      </c>
      <c r="L420" s="250">
        <f t="shared" si="58"/>
        <v>4670.7</v>
      </c>
      <c r="M420" s="300">
        <f t="shared" si="60"/>
        <v>4670.7</v>
      </c>
      <c r="N420" s="243"/>
      <c r="O420" s="517">
        <f t="shared" si="61"/>
        <v>4670.7</v>
      </c>
    </row>
    <row r="421" spans="1:15" ht="153.6" outlineLevel="4" x14ac:dyDescent="0.3">
      <c r="A421" s="35" t="s">
        <v>7</v>
      </c>
      <c r="B421" s="36"/>
      <c r="C421" s="495" t="s">
        <v>10091</v>
      </c>
      <c r="D421" s="206" t="s">
        <v>2835</v>
      </c>
      <c r="E421" s="249" t="str">
        <f>UPPER(_xlfn.XLOOKUP($D421,Mercado!C:C,Mercado!E:E,_xlfn.XLOOKUP($D514,Fontes!$B:$B,Fontes!$C:$C)))</f>
        <v>LABLINEA</v>
      </c>
      <c r="F421" s="333" t="s">
        <v>9697</v>
      </c>
      <c r="G421" s="249" t="str">
        <f>UPPER(_xlfn.XLOOKUP(D421,Mercado!C:C,Mercado!G:G))</f>
        <v>UN</v>
      </c>
      <c r="H421" s="443">
        <v>1.35</v>
      </c>
      <c r="I421" s="252">
        <f>IF($A421="M",_xlfn.XLOOKUP($D421,Mercado!$C:$C,Mercado!$I:$I),_xlfn.XLOOKUP($D421,Fontes!$B:$B,Fontes!$J:$J))</f>
        <v>457.30370370370366</v>
      </c>
      <c r="J421" s="252">
        <f>IF($A421="M",_xlfn.XLOOKUP($D421,Mercado!$C:$C,Mercado!$J:$J),_xlfn.XLOOKUP($D421,Fontes!$B:$B,Fontes!$H:$H))</f>
        <v>0</v>
      </c>
      <c r="K421" s="252">
        <f>IF($A421="M",0,_xlfn.XLOOKUP($D421,Fontes!$B:$B,Fontes!$I:$I))</f>
        <v>0</v>
      </c>
      <c r="L421" s="250">
        <f t="shared" si="58"/>
        <v>457.30370370370366</v>
      </c>
      <c r="M421" s="300">
        <f t="shared" si="60"/>
        <v>617.36</v>
      </c>
      <c r="N421" s="243"/>
      <c r="O421" s="517">
        <f t="shared" si="61"/>
        <v>617.36</v>
      </c>
    </row>
    <row r="422" spans="1:15" ht="76.8" outlineLevel="4" x14ac:dyDescent="0.3">
      <c r="A422" s="35" t="s">
        <v>7</v>
      </c>
      <c r="B422" s="36"/>
      <c r="C422" s="495" t="s">
        <v>10092</v>
      </c>
      <c r="D422" s="206" t="s">
        <v>2836</v>
      </c>
      <c r="E422" s="249" t="str">
        <f>UPPER(_xlfn.XLOOKUP($D422,Mercado!C:C,Mercado!E:E,_xlfn.XLOOKUP($D515,Fontes!$B:$B,Fontes!$C:$C)))</f>
        <v>LABLINEA</v>
      </c>
      <c r="F422" s="333" t="s">
        <v>9698</v>
      </c>
      <c r="G422" s="249" t="str">
        <f>UPPER(_xlfn.XLOOKUP(D422,Mercado!C:C,Mercado!G:G))</f>
        <v>UN</v>
      </c>
      <c r="H422" s="443">
        <v>1.35</v>
      </c>
      <c r="I422" s="252">
        <f>IF($A422="M",_xlfn.XLOOKUP($D422,Mercado!$C:$C,Mercado!$I:$I),_xlfn.XLOOKUP($D422,Fontes!$B:$B,Fontes!$J:$J))</f>
        <v>457.30370370370366</v>
      </c>
      <c r="J422" s="252">
        <f>IF($A422="M",_xlfn.XLOOKUP($D422,Mercado!$C:$C,Mercado!$J:$J),_xlfn.XLOOKUP($D422,Fontes!$B:$B,Fontes!$H:$H))</f>
        <v>0</v>
      </c>
      <c r="K422" s="252">
        <f>IF($A422="M",0,_xlfn.XLOOKUP($D422,Fontes!$B:$B,Fontes!$I:$I))</f>
        <v>0</v>
      </c>
      <c r="L422" s="250">
        <f t="shared" si="58"/>
        <v>457.30370370370366</v>
      </c>
      <c r="M422" s="300">
        <f t="shared" si="60"/>
        <v>617.36</v>
      </c>
      <c r="N422" s="243"/>
      <c r="O422" s="517">
        <f t="shared" si="61"/>
        <v>617.36</v>
      </c>
    </row>
    <row r="423" spans="1:15" ht="57.6" outlineLevel="4" x14ac:dyDescent="0.3">
      <c r="A423" s="35" t="s">
        <v>7</v>
      </c>
      <c r="B423" s="36"/>
      <c r="C423" s="495" t="s">
        <v>10093</v>
      </c>
      <c r="D423" s="206" t="s">
        <v>2837</v>
      </c>
      <c r="E423" s="249" t="str">
        <f>UPPER(_xlfn.XLOOKUP($D423,Mercado!C:C,Mercado!E:E,_xlfn.XLOOKUP($D516,Fontes!$B:$B,Fontes!$C:$C)))</f>
        <v>LABLINEA</v>
      </c>
      <c r="F423" s="333" t="s">
        <v>9718</v>
      </c>
      <c r="G423" s="249" t="str">
        <f>UPPER(_xlfn.XLOOKUP(D423,Mercado!C:C,Mercado!G:G))</f>
        <v>UN</v>
      </c>
      <c r="H423" s="443">
        <v>1</v>
      </c>
      <c r="I423" s="252">
        <f>IF($A423="M",_xlfn.XLOOKUP($D423,Mercado!$C:$C,Mercado!$I:$I),_xlfn.XLOOKUP($D423,Fontes!$B:$B,Fontes!$J:$J))</f>
        <v>3520.52</v>
      </c>
      <c r="J423" s="252">
        <f>IF($A423="M",_xlfn.XLOOKUP($D423,Mercado!$C:$C,Mercado!$J:$J),_xlfn.XLOOKUP($D423,Fontes!$B:$B,Fontes!$H:$H))</f>
        <v>0</v>
      </c>
      <c r="K423" s="252">
        <f>IF($A423="M",0,_xlfn.XLOOKUP($D423,Fontes!$B:$B,Fontes!$I:$I))</f>
        <v>0</v>
      </c>
      <c r="L423" s="250">
        <f t="shared" si="58"/>
        <v>3520.52</v>
      </c>
      <c r="M423" s="300">
        <f t="shared" si="60"/>
        <v>3520.52</v>
      </c>
      <c r="N423" s="243"/>
      <c r="O423" s="517">
        <f t="shared" si="61"/>
        <v>3520.52</v>
      </c>
    </row>
    <row r="424" spans="1:15" ht="192" outlineLevel="4" x14ac:dyDescent="0.3">
      <c r="A424" s="35" t="s">
        <v>7</v>
      </c>
      <c r="B424" s="36"/>
      <c r="C424" s="495" t="s">
        <v>10094</v>
      </c>
      <c r="D424" s="206" t="s">
        <v>2838</v>
      </c>
      <c r="E424" s="249" t="str">
        <f>UPPER(_xlfn.XLOOKUP($D424,Mercado!C:C,Mercado!E:E,_xlfn.XLOOKUP($D517,Fontes!$B:$B,Fontes!$C:$C)))</f>
        <v>LABLINEA</v>
      </c>
      <c r="F424" s="333" t="s">
        <v>9699</v>
      </c>
      <c r="G424" s="249" t="str">
        <f>UPPER(_xlfn.XLOOKUP(D424,Mercado!C:C,Mercado!G:G))</f>
        <v>UN</v>
      </c>
      <c r="H424" s="443">
        <v>1</v>
      </c>
      <c r="I424" s="252">
        <f>IF($A424="M",_xlfn.XLOOKUP($D424,Mercado!$C:$C,Mercado!$I:$I),_xlfn.XLOOKUP($D424,Fontes!$B:$B,Fontes!$J:$J))</f>
        <v>9813.7800000000007</v>
      </c>
      <c r="J424" s="252">
        <f>IF($A424="M",_xlfn.XLOOKUP($D424,Mercado!$C:$C,Mercado!$J:$J),_xlfn.XLOOKUP($D424,Fontes!$B:$B,Fontes!$H:$H))</f>
        <v>0</v>
      </c>
      <c r="K424" s="252">
        <f>IF($A424="M",0,_xlfn.XLOOKUP($D424,Fontes!$B:$B,Fontes!$I:$I))</f>
        <v>0</v>
      </c>
      <c r="L424" s="250">
        <f t="shared" si="58"/>
        <v>9813.7800000000007</v>
      </c>
      <c r="M424" s="300">
        <f t="shared" si="60"/>
        <v>9813.7800000000007</v>
      </c>
      <c r="N424" s="243"/>
      <c r="O424" s="517">
        <f t="shared" si="61"/>
        <v>9813.7800000000007</v>
      </c>
    </row>
    <row r="425" spans="1:15" ht="38.4" outlineLevel="4" x14ac:dyDescent="0.3">
      <c r="A425" s="35" t="s">
        <v>7</v>
      </c>
      <c r="B425" s="36"/>
      <c r="C425" s="495" t="s">
        <v>10095</v>
      </c>
      <c r="D425" s="206" t="s">
        <v>2839</v>
      </c>
      <c r="E425" s="249" t="str">
        <f>UPPER(_xlfn.XLOOKUP($D425,Mercado!C:C,Mercado!E:E,_xlfn.XLOOKUP($D518,Fontes!$B:$B,Fontes!$C:$C)))</f>
        <v>LABLINEA</v>
      </c>
      <c r="F425" s="333" t="s">
        <v>8389</v>
      </c>
      <c r="G425" s="249" t="str">
        <f>UPPER(_xlfn.XLOOKUP(D425,Mercado!C:C,Mercado!G:G))</f>
        <v>UN</v>
      </c>
      <c r="H425" s="444">
        <v>3</v>
      </c>
      <c r="I425" s="252">
        <f>IF($A425="M",_xlfn.XLOOKUP($D425,Mercado!$C:$C,Mercado!$I:$I),_xlfn.XLOOKUP($D425,Fontes!$B:$B,Fontes!$J:$J))</f>
        <v>1407.54</v>
      </c>
      <c r="J425" s="252">
        <f>IF($A425="M",_xlfn.XLOOKUP($D425,Mercado!$C:$C,Mercado!$J:$J),_xlfn.XLOOKUP($D425,Fontes!$B:$B,Fontes!$H:$H))</f>
        <v>0</v>
      </c>
      <c r="K425" s="252">
        <f>IF($A425="M",0,_xlfn.XLOOKUP($D425,Fontes!$B:$B,Fontes!$I:$I))</f>
        <v>0</v>
      </c>
      <c r="L425" s="250">
        <f t="shared" si="58"/>
        <v>1407.54</v>
      </c>
      <c r="M425" s="300">
        <f t="shared" si="60"/>
        <v>4222.62</v>
      </c>
      <c r="N425" s="243"/>
      <c r="O425" s="517">
        <f t="shared" si="61"/>
        <v>4222.62</v>
      </c>
    </row>
    <row r="426" spans="1:15" ht="288" outlineLevel="4" x14ac:dyDescent="0.3">
      <c r="A426" s="35" t="s">
        <v>7</v>
      </c>
      <c r="B426" s="36"/>
      <c r="C426" s="495" t="s">
        <v>10096</v>
      </c>
      <c r="D426" s="206" t="s">
        <v>2840</v>
      </c>
      <c r="E426" s="249" t="str">
        <f>UPPER(_xlfn.XLOOKUP($D426,Mercado!C:C,Mercado!E:E,_xlfn.XLOOKUP($D519,Fontes!$B:$B,Fontes!$C:$C)))</f>
        <v>LABLINEA</v>
      </c>
      <c r="F426" s="333" t="s">
        <v>9700</v>
      </c>
      <c r="G426" s="249" t="str">
        <f>UPPER(_xlfn.XLOOKUP(D426,Mercado!C:C,Mercado!G:G))</f>
        <v>UN</v>
      </c>
      <c r="H426" s="443">
        <v>1</v>
      </c>
      <c r="I426" s="252">
        <f>IF($A426="M",_xlfn.XLOOKUP($D426,Mercado!$C:$C,Mercado!$I:$I),_xlfn.XLOOKUP($D426,Fontes!$B:$B,Fontes!$J:$J))</f>
        <v>16670.89</v>
      </c>
      <c r="J426" s="252">
        <f>IF($A426="M",_xlfn.XLOOKUP($D426,Mercado!$C:$C,Mercado!$J:$J),_xlfn.XLOOKUP($D426,Fontes!$B:$B,Fontes!$H:$H))</f>
        <v>0</v>
      </c>
      <c r="K426" s="252">
        <f>IF($A426="M",0,_xlfn.XLOOKUP($D426,Fontes!$B:$B,Fontes!$I:$I))</f>
        <v>0</v>
      </c>
      <c r="L426" s="250">
        <f t="shared" si="58"/>
        <v>16670.89</v>
      </c>
      <c r="M426" s="300">
        <f t="shared" si="60"/>
        <v>16670.89</v>
      </c>
      <c r="N426" s="243"/>
      <c r="O426" s="517">
        <f t="shared" si="61"/>
        <v>16670.89</v>
      </c>
    </row>
    <row r="427" spans="1:15" ht="38.4" outlineLevel="4" x14ac:dyDescent="0.3">
      <c r="A427" s="35" t="s">
        <v>7</v>
      </c>
      <c r="B427" s="36"/>
      <c r="C427" s="495" t="s">
        <v>10097</v>
      </c>
      <c r="D427" s="206" t="s">
        <v>2841</v>
      </c>
      <c r="E427" s="249" t="str">
        <f>UPPER(_xlfn.XLOOKUP($D427,Mercado!C:C,Mercado!E:E,_xlfn.XLOOKUP($D520,Fontes!$B:$B,Fontes!$C:$C)))</f>
        <v>LABLINEA</v>
      </c>
      <c r="F427" s="333" t="s">
        <v>8390</v>
      </c>
      <c r="G427" s="249" t="str">
        <f>UPPER(_xlfn.XLOOKUP(D427,Mercado!C:C,Mercado!G:G))</f>
        <v>UN</v>
      </c>
      <c r="H427" s="443">
        <v>3</v>
      </c>
      <c r="I427" s="252">
        <f>IF($A427="M",_xlfn.XLOOKUP($D427,Mercado!$C:$C,Mercado!$I:$I),_xlfn.XLOOKUP($D427,Fontes!$B:$B,Fontes!$J:$J))</f>
        <v>3520.5033333333336</v>
      </c>
      <c r="J427" s="252">
        <f>IF($A427="M",_xlfn.XLOOKUP($D427,Mercado!$C:$C,Mercado!$J:$J),_xlfn.XLOOKUP($D427,Fontes!$B:$B,Fontes!$H:$H))</f>
        <v>0</v>
      </c>
      <c r="K427" s="252">
        <f>IF($A427="M",0,_xlfn.XLOOKUP($D427,Fontes!$B:$B,Fontes!$I:$I))</f>
        <v>0</v>
      </c>
      <c r="L427" s="250">
        <f t="shared" si="58"/>
        <v>3520.5033333333336</v>
      </c>
      <c r="M427" s="300">
        <f t="shared" si="60"/>
        <v>10561.51</v>
      </c>
      <c r="N427" s="243"/>
      <c r="O427" s="517">
        <f t="shared" si="61"/>
        <v>10561.51</v>
      </c>
    </row>
    <row r="428" spans="1:15" ht="249.6" outlineLevel="4" x14ac:dyDescent="0.3">
      <c r="A428" s="35" t="s">
        <v>7</v>
      </c>
      <c r="B428" s="36"/>
      <c r="C428" s="495" t="s">
        <v>10098</v>
      </c>
      <c r="D428" s="206" t="s">
        <v>2842</v>
      </c>
      <c r="E428" s="249" t="str">
        <f>UPPER(_xlfn.XLOOKUP($D428,Mercado!C:C,Mercado!E:E,_xlfn.XLOOKUP($D521,Fontes!$B:$B,Fontes!$C:$C)))</f>
        <v>LABLINEA</v>
      </c>
      <c r="F428" s="333" t="s">
        <v>9701</v>
      </c>
      <c r="G428" s="249" t="str">
        <f>UPPER(_xlfn.XLOOKUP(D428,Mercado!C:C,Mercado!G:G))</f>
        <v>UN</v>
      </c>
      <c r="H428" s="443">
        <v>1</v>
      </c>
      <c r="I428" s="252">
        <f>IF($A428="M",_xlfn.XLOOKUP($D428,Mercado!$C:$C,Mercado!$I:$I),_xlfn.XLOOKUP($D428,Fontes!$B:$B,Fontes!$J:$J))</f>
        <v>8908.82</v>
      </c>
      <c r="J428" s="252">
        <f>IF($A428="M",_xlfn.XLOOKUP($D428,Mercado!$C:$C,Mercado!$J:$J),_xlfn.XLOOKUP($D428,Fontes!$B:$B,Fontes!$H:$H))</f>
        <v>0</v>
      </c>
      <c r="K428" s="252">
        <f>IF($A428="M",0,_xlfn.XLOOKUP($D428,Fontes!$B:$B,Fontes!$I:$I))</f>
        <v>0</v>
      </c>
      <c r="L428" s="250">
        <f t="shared" si="58"/>
        <v>8908.82</v>
      </c>
      <c r="M428" s="300">
        <f t="shared" si="60"/>
        <v>8908.82</v>
      </c>
      <c r="N428" s="243"/>
      <c r="O428" s="517">
        <f t="shared" si="61"/>
        <v>8908.82</v>
      </c>
    </row>
    <row r="429" spans="1:15" ht="38.4" outlineLevel="4" x14ac:dyDescent="0.3">
      <c r="A429" s="35" t="s">
        <v>7</v>
      </c>
      <c r="B429" s="36"/>
      <c r="C429" s="495" t="s">
        <v>10099</v>
      </c>
      <c r="D429" s="206" t="s">
        <v>2843</v>
      </c>
      <c r="E429" s="249" t="str">
        <f>UPPER(_xlfn.XLOOKUP($D429,Mercado!C:C,Mercado!E:E,_xlfn.XLOOKUP($D522,Fontes!$B:$B,Fontes!$C:$C)))</f>
        <v>LABLINEA</v>
      </c>
      <c r="F429" s="333" t="s">
        <v>8385</v>
      </c>
      <c r="G429" s="249" t="str">
        <f>UPPER(_xlfn.XLOOKUP(D429,Mercado!C:C,Mercado!G:G))</f>
        <v>UN</v>
      </c>
      <c r="H429" s="443">
        <v>3</v>
      </c>
      <c r="I429" s="252">
        <f>IF($A429="M",_xlfn.XLOOKUP($D429,Mercado!$C:$C,Mercado!$I:$I),_xlfn.XLOOKUP($D429,Fontes!$B:$B,Fontes!$J:$J))</f>
        <v>3520.5033333333336</v>
      </c>
      <c r="J429" s="252">
        <f>IF($A429="M",_xlfn.XLOOKUP($D429,Mercado!$C:$C,Mercado!$J:$J),_xlfn.XLOOKUP($D429,Fontes!$B:$B,Fontes!$H:$H))</f>
        <v>0</v>
      </c>
      <c r="K429" s="252">
        <f>IF($A429="M",0,_xlfn.XLOOKUP($D429,Fontes!$B:$B,Fontes!$I:$I))</f>
        <v>0</v>
      </c>
      <c r="L429" s="250">
        <f t="shared" si="58"/>
        <v>3520.5033333333336</v>
      </c>
      <c r="M429" s="300">
        <f t="shared" si="60"/>
        <v>10561.51</v>
      </c>
      <c r="N429" s="243"/>
      <c r="O429" s="517">
        <f t="shared" si="61"/>
        <v>10561.51</v>
      </c>
    </row>
    <row r="430" spans="1:15" ht="230.4" outlineLevel="4" x14ac:dyDescent="0.3">
      <c r="A430" s="35" t="s">
        <v>7</v>
      </c>
      <c r="B430" s="36"/>
      <c r="C430" s="495" t="s">
        <v>10100</v>
      </c>
      <c r="D430" s="206" t="s">
        <v>2844</v>
      </c>
      <c r="E430" s="249" t="str">
        <f>UPPER(_xlfn.XLOOKUP($D430,Mercado!C:C,Mercado!E:E,_xlfn.XLOOKUP($D523,Fontes!$B:$B,Fontes!$C:$C)))</f>
        <v>LABLINEA</v>
      </c>
      <c r="F430" s="333" t="s">
        <v>9702</v>
      </c>
      <c r="G430" s="249" t="str">
        <f>UPPER(_xlfn.XLOOKUP(D430,Mercado!C:C,Mercado!G:G))</f>
        <v>UN</v>
      </c>
      <c r="H430" s="443">
        <v>1</v>
      </c>
      <c r="I430" s="252">
        <f>IF($A430="M",_xlfn.XLOOKUP($D430,Mercado!$C:$C,Mercado!$I:$I),_xlfn.XLOOKUP($D430,Fontes!$B:$B,Fontes!$J:$J))</f>
        <v>5728.42</v>
      </c>
      <c r="J430" s="252">
        <f>IF($A430="M",_xlfn.XLOOKUP($D430,Mercado!$C:$C,Mercado!$J:$J),_xlfn.XLOOKUP($D430,Fontes!$B:$B,Fontes!$H:$H))</f>
        <v>0</v>
      </c>
      <c r="K430" s="252">
        <f>IF($A430="M",0,_xlfn.XLOOKUP($D430,Fontes!$B:$B,Fontes!$I:$I))</f>
        <v>0</v>
      </c>
      <c r="L430" s="250">
        <f t="shared" si="58"/>
        <v>5728.42</v>
      </c>
      <c r="M430" s="300">
        <f t="shared" si="60"/>
        <v>5728.42</v>
      </c>
      <c r="N430" s="243"/>
      <c r="O430" s="517">
        <f t="shared" si="61"/>
        <v>5728.42</v>
      </c>
    </row>
    <row r="431" spans="1:15" ht="38.4" outlineLevel="4" x14ac:dyDescent="0.3">
      <c r="A431" s="35" t="s">
        <v>7</v>
      </c>
      <c r="B431" s="36"/>
      <c r="C431" s="495" t="s">
        <v>10101</v>
      </c>
      <c r="D431" s="206" t="s">
        <v>2845</v>
      </c>
      <c r="E431" s="249" t="str">
        <f>UPPER(_xlfn.XLOOKUP($D431,Mercado!C:C,Mercado!E:E,_xlfn.XLOOKUP($D524,Fontes!$B:$B,Fontes!$C:$C)))</f>
        <v>LABLINEA</v>
      </c>
      <c r="F431" s="333" t="s">
        <v>8386</v>
      </c>
      <c r="G431" s="249" t="str">
        <f>UPPER(_xlfn.XLOOKUP(D431,Mercado!C:C,Mercado!G:G))</f>
        <v>UN</v>
      </c>
      <c r="H431" s="444">
        <v>3</v>
      </c>
      <c r="I431" s="252">
        <f>IF($A431="M",_xlfn.XLOOKUP($D431,Mercado!$C:$C,Mercado!$I:$I),_xlfn.XLOOKUP($D431,Fontes!$B:$B,Fontes!$J:$J))</f>
        <v>1407.5350000000001</v>
      </c>
      <c r="J431" s="252">
        <f>IF($A431="M",_xlfn.XLOOKUP($D431,Mercado!$C:$C,Mercado!$J:$J),_xlfn.XLOOKUP($D431,Fontes!$B:$B,Fontes!$H:$H))</f>
        <v>0</v>
      </c>
      <c r="K431" s="252">
        <f>IF($A431="M",0,_xlfn.XLOOKUP($D431,Fontes!$B:$B,Fontes!$I:$I))</f>
        <v>0</v>
      </c>
      <c r="L431" s="250">
        <f t="shared" si="58"/>
        <v>1407.5350000000001</v>
      </c>
      <c r="M431" s="300">
        <f t="shared" si="60"/>
        <v>4222.6099999999997</v>
      </c>
      <c r="N431" s="243"/>
      <c r="O431" s="517">
        <f t="shared" si="61"/>
        <v>4222.6099999999997</v>
      </c>
    </row>
    <row r="432" spans="1:15" ht="57.6" outlineLevel="4" x14ac:dyDescent="0.3">
      <c r="A432" s="35" t="s">
        <v>7</v>
      </c>
      <c r="B432" s="36"/>
      <c r="C432" s="495" t="s">
        <v>10102</v>
      </c>
      <c r="D432" s="206" t="s">
        <v>2846</v>
      </c>
      <c r="E432" s="249" t="str">
        <f>UPPER(_xlfn.XLOOKUP($D432,Mercado!C:C,Mercado!E:E,_xlfn.XLOOKUP($D525,Fontes!$B:$B,Fontes!$C:$C)))</f>
        <v>LABLINEA</v>
      </c>
      <c r="F432" s="333" t="s">
        <v>8391</v>
      </c>
      <c r="G432" s="249" t="str">
        <f>UPPER(_xlfn.XLOOKUP(D432,Mercado!C:C,Mercado!G:G))</f>
        <v>UN</v>
      </c>
      <c r="H432" s="443">
        <v>1</v>
      </c>
      <c r="I432" s="252">
        <f>IF($A432="M",_xlfn.XLOOKUP($D432,Mercado!$C:$C,Mercado!$I:$I),_xlfn.XLOOKUP($D432,Fontes!$B:$B,Fontes!$J:$J))</f>
        <v>785.37</v>
      </c>
      <c r="J432" s="252">
        <f>IF($A432="M",_xlfn.XLOOKUP($D432,Mercado!$C:$C,Mercado!$J:$J),_xlfn.XLOOKUP($D432,Fontes!$B:$B,Fontes!$H:$H))</f>
        <v>0</v>
      </c>
      <c r="K432" s="252">
        <f>IF($A432="M",0,_xlfn.XLOOKUP($D432,Fontes!$B:$B,Fontes!$I:$I))</f>
        <v>0</v>
      </c>
      <c r="L432" s="250">
        <f t="shared" si="58"/>
        <v>785.37</v>
      </c>
      <c r="M432" s="300">
        <f t="shared" si="60"/>
        <v>785.37</v>
      </c>
      <c r="N432" s="243"/>
      <c r="O432" s="517">
        <f t="shared" si="61"/>
        <v>785.37</v>
      </c>
    </row>
    <row r="433" spans="1:15" ht="409.6" outlineLevel="4" x14ac:dyDescent="0.3">
      <c r="A433" s="35" t="s">
        <v>7</v>
      </c>
      <c r="B433" s="36"/>
      <c r="C433" s="495" t="s">
        <v>10103</v>
      </c>
      <c r="D433" s="206" t="s">
        <v>2847</v>
      </c>
      <c r="E433" s="249" t="str">
        <f>UPPER(_xlfn.XLOOKUP($D433,Mercado!C:C,Mercado!E:E,_xlfn.XLOOKUP($D526,Fontes!$B:$B,Fontes!$C:$C)))</f>
        <v>LABLINEA</v>
      </c>
      <c r="F433" s="333" t="s">
        <v>9703</v>
      </c>
      <c r="G433" s="249" t="str">
        <f>UPPER(_xlfn.XLOOKUP(D433,Mercado!C:C,Mercado!G:G))</f>
        <v>UN</v>
      </c>
      <c r="H433" s="443">
        <v>1</v>
      </c>
      <c r="I433" s="252">
        <f>IF($A433="M",_xlfn.XLOOKUP($D433,Mercado!$C:$C,Mercado!$I:$I),_xlfn.XLOOKUP($D433,Fontes!$B:$B,Fontes!$J:$J))</f>
        <v>20076.45</v>
      </c>
      <c r="J433" s="252">
        <f>IF($A433="M",_xlfn.XLOOKUP($D433,Mercado!$C:$C,Mercado!$J:$J),_xlfn.XLOOKUP($D433,Fontes!$B:$B,Fontes!$H:$H))</f>
        <v>0</v>
      </c>
      <c r="K433" s="252">
        <f>IF($A433="M",0,_xlfn.XLOOKUP($D433,Fontes!$B:$B,Fontes!$I:$I))</f>
        <v>0</v>
      </c>
      <c r="L433" s="250">
        <f t="shared" si="58"/>
        <v>20076.45</v>
      </c>
      <c r="M433" s="300">
        <f t="shared" si="60"/>
        <v>20076.45</v>
      </c>
      <c r="N433" s="243"/>
      <c r="O433" s="517">
        <f t="shared" si="61"/>
        <v>20076.45</v>
      </c>
    </row>
    <row r="434" spans="1:15" ht="409.6" outlineLevel="4" x14ac:dyDescent="0.3">
      <c r="A434" s="35" t="s">
        <v>7</v>
      </c>
      <c r="B434" s="36"/>
      <c r="C434" s="495" t="s">
        <v>10104</v>
      </c>
      <c r="D434" s="206" t="s">
        <v>2848</v>
      </c>
      <c r="E434" s="249" t="str">
        <f>UPPER(_xlfn.XLOOKUP($D434,Mercado!C:C,Mercado!E:E,_xlfn.XLOOKUP($D527,Fontes!$B:$B,Fontes!$C:$C)))</f>
        <v>LABLINEA</v>
      </c>
      <c r="F434" s="333" t="s">
        <v>9719</v>
      </c>
      <c r="G434" s="249" t="str">
        <f>UPPER(_xlfn.XLOOKUP(D434,Mercado!C:C,Mercado!G:G))</f>
        <v>UN</v>
      </c>
      <c r="H434" s="443">
        <v>1</v>
      </c>
      <c r="I434" s="252">
        <f>IF($A434="M",_xlfn.XLOOKUP($D434,Mercado!$C:$C,Mercado!$I:$I),_xlfn.XLOOKUP($D434,Fontes!$B:$B,Fontes!$J:$J))</f>
        <v>92034.43</v>
      </c>
      <c r="J434" s="252">
        <f>IF($A434="M",_xlfn.XLOOKUP($D434,Mercado!$C:$C,Mercado!$J:$J),_xlfn.XLOOKUP($D434,Fontes!$B:$B,Fontes!$H:$H))</f>
        <v>0</v>
      </c>
      <c r="K434" s="252">
        <f>IF($A434="M",0,_xlfn.XLOOKUP($D434,Fontes!$B:$B,Fontes!$I:$I))</f>
        <v>0</v>
      </c>
      <c r="L434" s="250">
        <f t="shared" si="58"/>
        <v>92034.43</v>
      </c>
      <c r="M434" s="300">
        <f t="shared" si="60"/>
        <v>92034.43</v>
      </c>
      <c r="N434" s="243"/>
      <c r="O434" s="517">
        <f t="shared" si="61"/>
        <v>92034.43</v>
      </c>
    </row>
    <row r="435" spans="1:15" ht="134.4" outlineLevel="4" x14ac:dyDescent="0.3">
      <c r="A435" s="35" t="s">
        <v>7</v>
      </c>
      <c r="B435" s="36"/>
      <c r="C435" s="495" t="s">
        <v>10105</v>
      </c>
      <c r="D435" s="206" t="s">
        <v>2849</v>
      </c>
      <c r="E435" s="249" t="str">
        <f>UPPER(_xlfn.XLOOKUP($D435,Mercado!C:C,Mercado!E:E,_xlfn.XLOOKUP($D528,Fontes!$B:$B,Fontes!$C:$C)))</f>
        <v>LABLINEA</v>
      </c>
      <c r="F435" s="333" t="s">
        <v>8468</v>
      </c>
      <c r="G435" s="249" t="str">
        <f>UPPER(_xlfn.XLOOKUP(D435,Mercado!C:C,Mercado!G:G))</f>
        <v>UN</v>
      </c>
      <c r="H435" s="443">
        <v>1</v>
      </c>
      <c r="I435" s="252">
        <f>IF($A435="M",_xlfn.XLOOKUP($D435,Mercado!$C:$C,Mercado!$I:$I),_xlfn.XLOOKUP($D435,Fontes!$B:$B,Fontes!$J:$J))</f>
        <v>3669.11</v>
      </c>
      <c r="J435" s="252">
        <f>IF($A435="M",_xlfn.XLOOKUP($D435,Mercado!$C:$C,Mercado!$J:$J),_xlfn.XLOOKUP($D435,Fontes!$B:$B,Fontes!$H:$H))</f>
        <v>0</v>
      </c>
      <c r="K435" s="252">
        <f>IF($A435="M",0,_xlfn.XLOOKUP($D435,Fontes!$B:$B,Fontes!$I:$I))</f>
        <v>0</v>
      </c>
      <c r="L435" s="250">
        <f t="shared" si="58"/>
        <v>3669.11</v>
      </c>
      <c r="M435" s="300">
        <f t="shared" si="60"/>
        <v>3669.11</v>
      </c>
      <c r="N435" s="243"/>
      <c r="O435" s="517">
        <f t="shared" si="61"/>
        <v>3669.11</v>
      </c>
    </row>
    <row r="436" spans="1:15" ht="364.8" outlineLevel="4" x14ac:dyDescent="0.3">
      <c r="A436" s="35" t="s">
        <v>7</v>
      </c>
      <c r="B436" s="36"/>
      <c r="C436" s="495" t="s">
        <v>10106</v>
      </c>
      <c r="D436" s="206" t="s">
        <v>2850</v>
      </c>
      <c r="E436" s="249" t="str">
        <f>UPPER(_xlfn.XLOOKUP($D436,Mercado!C:C,Mercado!E:E,_xlfn.XLOOKUP($D529,Fontes!$B:$B,Fontes!$C:$C)))</f>
        <v>LABLINEA</v>
      </c>
      <c r="F436" s="333" t="s">
        <v>9704</v>
      </c>
      <c r="G436" s="249" t="str">
        <f>UPPER(_xlfn.XLOOKUP(D436,Mercado!C:C,Mercado!G:G))</f>
        <v>UN</v>
      </c>
      <c r="H436" s="443">
        <v>1</v>
      </c>
      <c r="I436" s="252">
        <f>IF($A436="M",_xlfn.XLOOKUP($D436,Mercado!$C:$C,Mercado!$I:$I),_xlfn.XLOOKUP($D436,Fontes!$B:$B,Fontes!$J:$J))</f>
        <v>18015.87</v>
      </c>
      <c r="J436" s="252">
        <f>IF($A436="M",_xlfn.XLOOKUP($D436,Mercado!$C:$C,Mercado!$J:$J),_xlfn.XLOOKUP($D436,Fontes!$B:$B,Fontes!$H:$H))</f>
        <v>0</v>
      </c>
      <c r="K436" s="252">
        <f>IF($A436="M",0,_xlfn.XLOOKUP($D436,Fontes!$B:$B,Fontes!$I:$I))</f>
        <v>0</v>
      </c>
      <c r="L436" s="250">
        <f t="shared" si="58"/>
        <v>18015.87</v>
      </c>
      <c r="M436" s="300">
        <f t="shared" si="60"/>
        <v>18015.87</v>
      </c>
      <c r="N436" s="243"/>
      <c r="O436" s="517">
        <f t="shared" si="61"/>
        <v>18015.87</v>
      </c>
    </row>
    <row r="437" spans="1:15" ht="326.39999999999998" outlineLevel="4" x14ac:dyDescent="0.3">
      <c r="A437" s="35" t="s">
        <v>7</v>
      </c>
      <c r="B437" s="36"/>
      <c r="C437" s="495" t="s">
        <v>10107</v>
      </c>
      <c r="D437" s="206" t="s">
        <v>2851</v>
      </c>
      <c r="E437" s="249" t="str">
        <f>UPPER(_xlfn.XLOOKUP($D437,Mercado!C:C,Mercado!E:E,_xlfn.XLOOKUP($D530,Fontes!$B:$B,Fontes!$C:$C)))</f>
        <v>LABLINEA</v>
      </c>
      <c r="F437" s="333" t="s">
        <v>9720</v>
      </c>
      <c r="G437" s="249" t="str">
        <f>UPPER(_xlfn.XLOOKUP(D437,Mercado!C:C,Mercado!G:G))</f>
        <v>UN</v>
      </c>
      <c r="H437" s="443">
        <v>1</v>
      </c>
      <c r="I437" s="252">
        <f>IF($A437="M",_xlfn.XLOOKUP($D437,Mercado!$C:$C,Mercado!$I:$I),_xlfn.XLOOKUP($D437,Fontes!$B:$B,Fontes!$J:$J))</f>
        <v>104141.14</v>
      </c>
      <c r="J437" s="252">
        <f>IF($A437="M",_xlfn.XLOOKUP($D437,Mercado!$C:$C,Mercado!$J:$J),_xlfn.XLOOKUP($D437,Fontes!$B:$B,Fontes!$H:$H))</f>
        <v>0</v>
      </c>
      <c r="K437" s="252">
        <f>IF($A437="M",0,_xlfn.XLOOKUP($D437,Fontes!$B:$B,Fontes!$I:$I))</f>
        <v>0</v>
      </c>
      <c r="L437" s="250">
        <f t="shared" si="58"/>
        <v>104141.14</v>
      </c>
      <c r="M437" s="300">
        <f t="shared" si="60"/>
        <v>104141.14</v>
      </c>
      <c r="N437" s="243"/>
      <c r="O437" s="517">
        <f t="shared" si="61"/>
        <v>104141.14</v>
      </c>
    </row>
    <row r="438" spans="1:15" ht="409.6" outlineLevel="4" x14ac:dyDescent="0.3">
      <c r="A438" s="35" t="s">
        <v>7</v>
      </c>
      <c r="B438" s="36"/>
      <c r="C438" s="495" t="s">
        <v>10108</v>
      </c>
      <c r="D438" s="206" t="s">
        <v>2852</v>
      </c>
      <c r="E438" s="249" t="str">
        <f>UPPER(_xlfn.XLOOKUP($D438,Mercado!C:C,Mercado!E:E,_xlfn.XLOOKUP($D531,Fontes!$B:$B,Fontes!$C:$C)))</f>
        <v>LABLINEA</v>
      </c>
      <c r="F438" s="333" t="s">
        <v>9705</v>
      </c>
      <c r="G438" s="249" t="str">
        <f>UPPER(_xlfn.XLOOKUP(D438,Mercado!C:C,Mercado!G:G))</f>
        <v>UN</v>
      </c>
      <c r="H438" s="443">
        <v>1</v>
      </c>
      <c r="I438" s="252">
        <f>IF($A438="M",_xlfn.XLOOKUP($D438,Mercado!$C:$C,Mercado!$I:$I),_xlfn.XLOOKUP($D438,Fontes!$B:$B,Fontes!$J:$J))</f>
        <v>16607.14</v>
      </c>
      <c r="J438" s="252">
        <f>IF($A438="M",_xlfn.XLOOKUP($D438,Mercado!$C:$C,Mercado!$J:$J),_xlfn.XLOOKUP($D438,Fontes!$B:$B,Fontes!$H:$H))</f>
        <v>0</v>
      </c>
      <c r="K438" s="252">
        <f>IF($A438="M",0,_xlfn.XLOOKUP($D438,Fontes!$B:$B,Fontes!$I:$I))</f>
        <v>0</v>
      </c>
      <c r="L438" s="250">
        <f t="shared" si="58"/>
        <v>16607.14</v>
      </c>
      <c r="M438" s="300">
        <f t="shared" si="60"/>
        <v>16607.14</v>
      </c>
      <c r="N438" s="243"/>
      <c r="O438" s="517">
        <f t="shared" si="61"/>
        <v>16607.14</v>
      </c>
    </row>
    <row r="439" spans="1:15" ht="192" outlineLevel="4" x14ac:dyDescent="0.3">
      <c r="A439" s="35" t="s">
        <v>7</v>
      </c>
      <c r="B439" s="36"/>
      <c r="C439" s="495" t="s">
        <v>10109</v>
      </c>
      <c r="D439" s="206" t="s">
        <v>2853</v>
      </c>
      <c r="E439" s="249" t="str">
        <f>UPPER(_xlfn.XLOOKUP($D439,Mercado!C:C,Mercado!E:E,_xlfn.XLOOKUP($D532,Fontes!$B:$B,Fontes!$C:$C)))</f>
        <v>LABLINEA</v>
      </c>
      <c r="F439" s="333" t="s">
        <v>9706</v>
      </c>
      <c r="G439" s="249" t="str">
        <f>UPPER(_xlfn.XLOOKUP(D439,Mercado!C:C,Mercado!G:G))</f>
        <v>UN</v>
      </c>
      <c r="H439" s="443">
        <v>1</v>
      </c>
      <c r="I439" s="252">
        <f>IF($A439="M",_xlfn.XLOOKUP($D439,Mercado!$C:$C,Mercado!$I:$I),_xlfn.XLOOKUP($D439,Fontes!$B:$B,Fontes!$J:$J))</f>
        <v>7247.34</v>
      </c>
      <c r="J439" s="252">
        <f>IF($A439="M",_xlfn.XLOOKUP($D439,Mercado!$C:$C,Mercado!$J:$J),_xlfn.XLOOKUP($D439,Fontes!$B:$B,Fontes!$H:$H))</f>
        <v>0</v>
      </c>
      <c r="K439" s="252">
        <f>IF($A439="M",0,_xlfn.XLOOKUP($D439,Fontes!$B:$B,Fontes!$I:$I))</f>
        <v>0</v>
      </c>
      <c r="L439" s="250">
        <f t="shared" si="58"/>
        <v>7247.34</v>
      </c>
      <c r="M439" s="300">
        <f t="shared" si="60"/>
        <v>7247.34</v>
      </c>
      <c r="N439" s="243"/>
      <c r="O439" s="517">
        <f t="shared" si="61"/>
        <v>7247.34</v>
      </c>
    </row>
    <row r="440" spans="1:15" outlineLevel="3" x14ac:dyDescent="0.3">
      <c r="A440" s="36" t="s">
        <v>7</v>
      </c>
      <c r="B440" s="36"/>
      <c r="C440" s="495" t="s">
        <v>781</v>
      </c>
      <c r="D440" s="249"/>
      <c r="E440" s="249" t="str">
        <f>UPPER(IF($D440=0,"",IF($A440=4,_xlfn.XLOOKUP($D440,Mercado!$C:$C,Mercado!$E:$E),_xlfn.XLOOKUP($D440,Fontes!$B:$B,Fontes!$C:$C))))</f>
        <v/>
      </c>
      <c r="F440" s="327" t="s">
        <v>781</v>
      </c>
      <c r="G440" s="249" t="str">
        <f>UPPER(_xlfn.XLOOKUP(D440,Mercado!C:C,Mercado!G:G))</f>
        <v/>
      </c>
      <c r="H440" s="252"/>
      <c r="I440" s="252">
        <f>IF($A440="M",_xlfn.XLOOKUP($D440,Mercado!$C:$C,Mercado!$I:$I),_xlfn.XLOOKUP($D440,Fontes!$B:$B,Fontes!$J:$J))</f>
        <v>0</v>
      </c>
      <c r="J440" s="252">
        <f>IF($A440="M",_xlfn.XLOOKUP($D440,Mercado!$C:$C,Mercado!$J:$J),_xlfn.XLOOKUP($D440,Fontes!$B:$B,Fontes!$H:$H))</f>
        <v>0</v>
      </c>
      <c r="K440" s="252">
        <f>IF($A440="M",0,_xlfn.XLOOKUP($D440,Fontes!$B:$B,Fontes!$I:$I))</f>
        <v>0</v>
      </c>
      <c r="L440" s="250">
        <f t="shared" si="58"/>
        <v>0</v>
      </c>
      <c r="M440" s="300">
        <f t="shared" si="60"/>
        <v>0</v>
      </c>
      <c r="O440" s="517" t="str">
        <f t="shared" si="61"/>
        <v/>
      </c>
    </row>
    <row r="441" spans="1:15" outlineLevel="1" x14ac:dyDescent="0.3">
      <c r="A441" s="36"/>
      <c r="B441" s="36"/>
      <c r="C441" s="530" t="s">
        <v>3752</v>
      </c>
      <c r="D441" s="531"/>
      <c r="E441" s="531" t="str">
        <f>UPPER(IF($D441=0,"",IF($A441=4,_xlfn.XLOOKUP($D441,Mercado!$C:$C,Mercado!$E:$E),_xlfn.XLOOKUP($D441,Fontes!$B:$B,Fontes!$C:$C))))</f>
        <v/>
      </c>
      <c r="F441" s="532" t="s">
        <v>390</v>
      </c>
      <c r="G441" s="531"/>
      <c r="H441" s="535"/>
      <c r="I441" s="535">
        <f>IF($A441="M",_xlfn.XLOOKUP($D441,Mercado!$C:$C,Mercado!$I:$I),_xlfn.XLOOKUP($D441,Fontes!$B:$B,Fontes!$J:$J))</f>
        <v>0</v>
      </c>
      <c r="J441" s="535">
        <f>IF($A441="M",_xlfn.XLOOKUP($D441,Mercado!$C:$C,Mercado!$J:$J),_xlfn.XLOOKUP($D441,Fontes!$B:$B,Fontes!$H:$H))</f>
        <v>0</v>
      </c>
      <c r="K441" s="535">
        <f>IF($A441="M",0,_xlfn.XLOOKUP($D441,Fontes!$B:$B,Fontes!$I:$I))</f>
        <v>0</v>
      </c>
      <c r="L441" s="535">
        <f t="shared" si="58"/>
        <v>0</v>
      </c>
      <c r="M441" s="536">
        <f>SUBTOTAL(9,M442:M867)</f>
        <v>1176389.71</v>
      </c>
      <c r="O441" s="517" t="str">
        <f t="shared" si="61"/>
        <v/>
      </c>
    </row>
    <row r="442" spans="1:15" outlineLevel="2" x14ac:dyDescent="0.3">
      <c r="A442" s="36" t="s">
        <v>7</v>
      </c>
      <c r="B442" s="36"/>
      <c r="C442" s="496" t="s">
        <v>10110</v>
      </c>
      <c r="D442" s="253"/>
      <c r="E442" s="253" t="str">
        <f>UPPER(IF($D442=0,"",IF($A442=4,_xlfn.XLOOKUP($D442,Mercado!$C:$C,Mercado!$E:$E),_xlfn.XLOOKUP($D442,Fontes!$B:$B,Fontes!$C:$C))))</f>
        <v/>
      </c>
      <c r="F442" s="329" t="s">
        <v>2018</v>
      </c>
      <c r="G442" s="253"/>
      <c r="H442" s="254"/>
      <c r="I442" s="254">
        <f>IF($A442="M",_xlfn.XLOOKUP($D442,Mercado!$C:$C,Mercado!$I:$I),_xlfn.XLOOKUP($D442,Fontes!$B:$B,Fontes!$J:$J))</f>
        <v>0</v>
      </c>
      <c r="J442" s="254">
        <f>IF($A442="M",_xlfn.XLOOKUP($D442,Mercado!$C:$C,Mercado!$J:$J),_xlfn.XLOOKUP($D442,Fontes!$B:$B,Fontes!$H:$H))</f>
        <v>0</v>
      </c>
      <c r="K442" s="254">
        <f>IF($A442="M",0,_xlfn.XLOOKUP($D442,Fontes!$B:$B,Fontes!$I:$I))</f>
        <v>0</v>
      </c>
      <c r="L442" s="254">
        <f t="shared" si="58"/>
        <v>0</v>
      </c>
      <c r="M442" s="497">
        <f>SUBTOTAL(9,M443:M450)</f>
        <v>45844.490000000005</v>
      </c>
      <c r="O442" s="517" t="str">
        <f t="shared" si="61"/>
        <v/>
      </c>
    </row>
    <row r="443" spans="1:15" outlineLevel="3" x14ac:dyDescent="0.3">
      <c r="A443" s="35" t="s">
        <v>7</v>
      </c>
      <c r="B443" s="36"/>
      <c r="C443" s="495" t="s">
        <v>10111</v>
      </c>
      <c r="D443" s="483" t="s">
        <v>2859</v>
      </c>
      <c r="E443" s="249" t="str">
        <f>UPPER(_xlfn.XLOOKUP($D443,Mercado!C:C,Mercado!E:E,_xlfn.XLOOKUP($D536,Fontes!$B:$B,Fontes!$C:$C)))</f>
        <v>LEDVANCE</v>
      </c>
      <c r="F443" s="327" t="s">
        <v>2775</v>
      </c>
      <c r="G443" s="249" t="str">
        <f>UPPER(_xlfn.XLOOKUP(D443,Mercado!C:C,Mercado!G:G))</f>
        <v>UN</v>
      </c>
      <c r="H443" s="252">
        <v>70</v>
      </c>
      <c r="I443" s="252">
        <f>IF($A443="M",_xlfn.XLOOKUP($D443,Mercado!$C:$C,Mercado!$I:$I),_xlfn.XLOOKUP($D443,Fontes!$B:$B,Fontes!$J:$J))</f>
        <v>380.29471428571429</v>
      </c>
      <c r="J443" s="252">
        <f>IF($A443="M",_xlfn.XLOOKUP($D443,Mercado!$C:$C,Mercado!$J:$J),_xlfn.XLOOKUP($D443,Fontes!$B:$B,Fontes!$H:$H))</f>
        <v>0</v>
      </c>
      <c r="K443" s="252">
        <f>IF($A443="M",0,_xlfn.XLOOKUP($D443,Fontes!$B:$B,Fontes!$I:$I))</f>
        <v>0</v>
      </c>
      <c r="L443" s="250">
        <f t="shared" si="58"/>
        <v>380.29471428571429</v>
      </c>
      <c r="M443" s="300">
        <f t="shared" ref="M443:M450" si="62">ROUND(H443*L443,2)</f>
        <v>26620.63</v>
      </c>
      <c r="O443" s="517">
        <f t="shared" si="61"/>
        <v>26620.63</v>
      </c>
    </row>
    <row r="444" spans="1:15" outlineLevel="3" x14ac:dyDescent="0.3">
      <c r="A444" s="35" t="s">
        <v>7</v>
      </c>
      <c r="B444" s="36"/>
      <c r="C444" s="495" t="s">
        <v>10112</v>
      </c>
      <c r="D444" s="483" t="s">
        <v>2860</v>
      </c>
      <c r="E444" s="249" t="str">
        <f>UPPER(_xlfn.XLOOKUP($D444,Mercado!C:C,Mercado!E:E,_xlfn.XLOOKUP($D537,Fontes!$B:$B,Fontes!$C:$C)))</f>
        <v>LEDVANCE</v>
      </c>
      <c r="F444" s="327" t="s">
        <v>2019</v>
      </c>
      <c r="G444" s="249" t="str">
        <f>UPPER(_xlfn.XLOOKUP(D444,Mercado!C:C,Mercado!G:G))</f>
        <v>UN</v>
      </c>
      <c r="H444" s="252">
        <v>4</v>
      </c>
      <c r="I444" s="252">
        <f>IF($A444="M",_xlfn.XLOOKUP($D444,Mercado!$C:$C,Mercado!$I:$I),_xlfn.XLOOKUP($D444,Fontes!$B:$B,Fontes!$J:$J))</f>
        <v>161.16749999999999</v>
      </c>
      <c r="J444" s="252">
        <f>IF($A444="M",_xlfn.XLOOKUP($D444,Mercado!$C:$C,Mercado!$J:$J),_xlfn.XLOOKUP($D444,Fontes!$B:$B,Fontes!$H:$H))</f>
        <v>0</v>
      </c>
      <c r="K444" s="252">
        <f>IF($A444="M",0,_xlfn.XLOOKUP($D444,Fontes!$B:$B,Fontes!$I:$I))</f>
        <v>0</v>
      </c>
      <c r="L444" s="250">
        <f t="shared" si="58"/>
        <v>161.16749999999999</v>
      </c>
      <c r="M444" s="300">
        <f t="shared" si="62"/>
        <v>644.66999999999996</v>
      </c>
      <c r="O444" s="517">
        <f t="shared" si="61"/>
        <v>644.66999999999996</v>
      </c>
    </row>
    <row r="445" spans="1:15" outlineLevel="3" x14ac:dyDescent="0.3">
      <c r="A445" s="35" t="s">
        <v>7</v>
      </c>
      <c r="B445" s="36"/>
      <c r="C445" s="495" t="s">
        <v>10113</v>
      </c>
      <c r="D445" s="483" t="s">
        <v>2861</v>
      </c>
      <c r="E445" s="249" t="str">
        <f>UPPER(_xlfn.XLOOKUP($D445,Mercado!C:C,Mercado!E:E,_xlfn.XLOOKUP($D538,Fontes!$B:$B,Fontes!$C:$C)))</f>
        <v>LEDVANCE</v>
      </c>
      <c r="F445" s="327" t="s">
        <v>2022</v>
      </c>
      <c r="G445" s="249" t="str">
        <f>UPPER(_xlfn.XLOOKUP(D445,Mercado!C:C,Mercado!G:G))</f>
        <v>UN</v>
      </c>
      <c r="H445" s="252">
        <v>50</v>
      </c>
      <c r="I445" s="252">
        <f>IF($A445="M",_xlfn.XLOOKUP($D445,Mercado!$C:$C,Mercado!$I:$I),_xlfn.XLOOKUP($D445,Fontes!$B:$B,Fontes!$J:$J))</f>
        <v>230.60679999999999</v>
      </c>
      <c r="J445" s="252">
        <f>IF($A445="M",_xlfn.XLOOKUP($D445,Mercado!$C:$C,Mercado!$J:$J),_xlfn.XLOOKUP($D445,Fontes!$B:$B,Fontes!$H:$H))</f>
        <v>0</v>
      </c>
      <c r="K445" s="252">
        <f>IF($A445="M",0,_xlfn.XLOOKUP($D445,Fontes!$B:$B,Fontes!$I:$I))</f>
        <v>0</v>
      </c>
      <c r="L445" s="250">
        <f t="shared" si="58"/>
        <v>230.60679999999999</v>
      </c>
      <c r="M445" s="300">
        <f t="shared" si="62"/>
        <v>11530.34</v>
      </c>
      <c r="O445" s="517">
        <f t="shared" si="61"/>
        <v>11530.34</v>
      </c>
    </row>
    <row r="446" spans="1:15" outlineLevel="3" x14ac:dyDescent="0.3">
      <c r="A446" s="35" t="s">
        <v>7</v>
      </c>
      <c r="B446" s="36"/>
      <c r="C446" s="495" t="s">
        <v>10114</v>
      </c>
      <c r="D446" s="483" t="s">
        <v>2862</v>
      </c>
      <c r="E446" s="249" t="str">
        <f>UPPER(_xlfn.XLOOKUP($D446,Mercado!C:C,Mercado!E:E,_xlfn.XLOOKUP($D539,Fontes!$B:$B,Fontes!$C:$C)))</f>
        <v>LEDVANCE</v>
      </c>
      <c r="F446" s="327" t="s">
        <v>2020</v>
      </c>
      <c r="G446" s="249" t="str">
        <f>UPPER(_xlfn.XLOOKUP(D446,Mercado!C:C,Mercado!G:G))</f>
        <v>UN</v>
      </c>
      <c r="H446" s="252">
        <v>10</v>
      </c>
      <c r="I446" s="252">
        <f>IF($A446="M",_xlfn.XLOOKUP($D446,Mercado!$C:$C,Mercado!$I:$I),_xlfn.XLOOKUP($D446,Fontes!$B:$B,Fontes!$J:$J))</f>
        <v>92.069000000000003</v>
      </c>
      <c r="J446" s="252">
        <f>IF($A446="M",_xlfn.XLOOKUP($D446,Mercado!$C:$C,Mercado!$J:$J),_xlfn.XLOOKUP($D446,Fontes!$B:$B,Fontes!$H:$H))</f>
        <v>0</v>
      </c>
      <c r="K446" s="252">
        <f>IF($A446="M",0,_xlfn.XLOOKUP($D446,Fontes!$B:$B,Fontes!$I:$I))</f>
        <v>0</v>
      </c>
      <c r="L446" s="250">
        <f t="shared" si="58"/>
        <v>92.069000000000003</v>
      </c>
      <c r="M446" s="300">
        <f t="shared" si="62"/>
        <v>920.69</v>
      </c>
      <c r="O446" s="517">
        <f t="shared" si="61"/>
        <v>920.69</v>
      </c>
    </row>
    <row r="447" spans="1:15" outlineLevel="3" x14ac:dyDescent="0.3">
      <c r="A447" s="35" t="s">
        <v>7</v>
      </c>
      <c r="B447" s="36"/>
      <c r="C447" s="495" t="s">
        <v>10115</v>
      </c>
      <c r="D447" s="483" t="s">
        <v>2863</v>
      </c>
      <c r="E447" s="249" t="str">
        <f>UPPER(_xlfn.XLOOKUP($D447,Mercado!C:C,Mercado!E:E,_xlfn.XLOOKUP($D540,Fontes!$B:$B,Fontes!$C:$C)))</f>
        <v>LEDVANCE</v>
      </c>
      <c r="F447" s="327" t="s">
        <v>2021</v>
      </c>
      <c r="G447" s="249" t="str">
        <f>UPPER(_xlfn.XLOOKUP(D447,Mercado!C:C,Mercado!G:G))</f>
        <v>UN</v>
      </c>
      <c r="H447" s="252">
        <v>10</v>
      </c>
      <c r="I447" s="252">
        <f>IF($A447="M",_xlfn.XLOOKUP($D447,Mercado!$C:$C,Mercado!$I:$I),_xlfn.XLOOKUP($D447,Fontes!$B:$B,Fontes!$J:$J))</f>
        <v>167.215</v>
      </c>
      <c r="J447" s="252">
        <f>IF($A447="M",_xlfn.XLOOKUP($D447,Mercado!$C:$C,Mercado!$J:$J),_xlfn.XLOOKUP($D447,Fontes!$B:$B,Fontes!$H:$H))</f>
        <v>0</v>
      </c>
      <c r="K447" s="252">
        <f>IF($A447="M",0,_xlfn.XLOOKUP($D447,Fontes!$B:$B,Fontes!$I:$I))</f>
        <v>0</v>
      </c>
      <c r="L447" s="250">
        <f t="shared" si="58"/>
        <v>167.215</v>
      </c>
      <c r="M447" s="300">
        <f t="shared" si="62"/>
        <v>1672.15</v>
      </c>
      <c r="O447" s="517">
        <f t="shared" si="61"/>
        <v>1672.15</v>
      </c>
    </row>
    <row r="448" spans="1:15" outlineLevel="3" x14ac:dyDescent="0.3">
      <c r="A448" s="35" t="s">
        <v>7</v>
      </c>
      <c r="B448" s="36"/>
      <c r="C448" s="495" t="s">
        <v>10116</v>
      </c>
      <c r="D448" s="483" t="s">
        <v>2864</v>
      </c>
      <c r="E448" s="249" t="str">
        <f>UPPER(_xlfn.XLOOKUP($D448,Mercado!C:C,Mercado!E:E,_xlfn.XLOOKUP($D541,Fontes!$B:$B,Fontes!$C:$C)))</f>
        <v>LEDVANCE</v>
      </c>
      <c r="F448" s="327" t="s">
        <v>2021</v>
      </c>
      <c r="G448" s="249" t="str">
        <f>UPPER(_xlfn.XLOOKUP(D448,Mercado!C:C,Mercado!G:G))</f>
        <v>UN</v>
      </c>
      <c r="H448" s="252">
        <v>2</v>
      </c>
      <c r="I448" s="252">
        <f>IF($A448="M",_xlfn.XLOOKUP($D448,Mercado!$C:$C,Mercado!$I:$I),_xlfn.XLOOKUP($D448,Fontes!$B:$B,Fontes!$J:$J))</f>
        <v>167.215</v>
      </c>
      <c r="J448" s="252">
        <f>IF($A448="M",_xlfn.XLOOKUP($D448,Mercado!$C:$C,Mercado!$J:$J),_xlfn.XLOOKUP($D448,Fontes!$B:$B,Fontes!$H:$H))</f>
        <v>0</v>
      </c>
      <c r="K448" s="252">
        <f>IF($A448="M",0,_xlfn.XLOOKUP($D448,Fontes!$B:$B,Fontes!$I:$I))</f>
        <v>0</v>
      </c>
      <c r="L448" s="250">
        <f t="shared" si="58"/>
        <v>167.215</v>
      </c>
      <c r="M448" s="300">
        <f t="shared" si="62"/>
        <v>334.43</v>
      </c>
      <c r="O448" s="517">
        <f t="shared" si="61"/>
        <v>334.43</v>
      </c>
    </row>
    <row r="449" spans="1:15" outlineLevel="3" x14ac:dyDescent="0.3">
      <c r="A449" s="35"/>
      <c r="B449" s="36"/>
      <c r="C449" s="495" t="s">
        <v>10117</v>
      </c>
      <c r="D449" s="249">
        <v>693</v>
      </c>
      <c r="E449" s="249" t="str">
        <f>UPPER(_xlfn.XLOOKUP($D449,Mercado!C:C,Mercado!E:E,_xlfn.XLOOKUP($D542,Fontes!$B:$B,Fontes!$C:$C)))</f>
        <v>SETOP</v>
      </c>
      <c r="F449" s="327" t="s">
        <v>2777</v>
      </c>
      <c r="G449" s="249" t="str">
        <f>UPPER(IF($D449=0,"",IF($A449=4,_xlfn.XLOOKUP($D449,Mercado!$C:$C,Mercado!$G:$G),_xlfn.XLOOKUP($D449,Fontes!$B:$B,Fontes!$E:$E))))</f>
        <v>UN</v>
      </c>
      <c r="H449" s="252">
        <f>SUM(H443:H448)</f>
        <v>146</v>
      </c>
      <c r="I449" s="252">
        <f>IF($A449="M",_xlfn.XLOOKUP($D449,Mercado!$C:$C,Mercado!$I:$I),_xlfn.XLOOKUP($D449,Fontes!$B:$B,Fontes!$J:$J))</f>
        <v>5.81</v>
      </c>
      <c r="J449" s="252">
        <f>IF($A449="M",_xlfn.XLOOKUP($D449,Mercado!$C:$C,Mercado!$J:$J),_xlfn.XLOOKUP($D449,Fontes!$B:$B,Fontes!$H:$H))</f>
        <v>20.6</v>
      </c>
      <c r="K449" s="252">
        <f>IF($A449="M",0,_xlfn.XLOOKUP($D449,Fontes!$B:$B,Fontes!$I:$I))</f>
        <v>1.82</v>
      </c>
      <c r="L449" s="250">
        <f t="shared" si="58"/>
        <v>28.23</v>
      </c>
      <c r="M449" s="300">
        <f t="shared" si="62"/>
        <v>4121.58</v>
      </c>
      <c r="O449" s="517">
        <f t="shared" si="61"/>
        <v>4121.58</v>
      </c>
    </row>
    <row r="450" spans="1:15" outlineLevel="3" x14ac:dyDescent="0.3">
      <c r="A450" s="36" t="s">
        <v>7</v>
      </c>
      <c r="B450" s="36"/>
      <c r="C450" s="495" t="s">
        <v>781</v>
      </c>
      <c r="D450" s="249"/>
      <c r="E450" s="249" t="str">
        <f>UPPER(IF($D450=0,"",IF($A450=4,_xlfn.XLOOKUP($D450,Mercado!$C:$C,Mercado!$E:$E),_xlfn.XLOOKUP($D450,Fontes!$B:$B,Fontes!$C:$C))))</f>
        <v/>
      </c>
      <c r="F450" s="327" t="s">
        <v>781</v>
      </c>
      <c r="G450" s="249"/>
      <c r="H450" s="252"/>
      <c r="I450" s="252">
        <f>IF($A450="M",_xlfn.XLOOKUP($D450,Mercado!$C:$C,Mercado!$I:$I),_xlfn.XLOOKUP($D450,Fontes!$B:$B,Fontes!$J:$J))</f>
        <v>0</v>
      </c>
      <c r="J450" s="252">
        <f>IF($A450="M",_xlfn.XLOOKUP($D450,Mercado!$C:$C,Mercado!$J:$J),_xlfn.XLOOKUP($D450,Fontes!$B:$B,Fontes!$H:$H))</f>
        <v>0</v>
      </c>
      <c r="K450" s="252">
        <f>IF($A450="M",0,_xlfn.XLOOKUP($D450,Fontes!$B:$B,Fontes!$I:$I))</f>
        <v>0</v>
      </c>
      <c r="L450" s="250">
        <f t="shared" si="58"/>
        <v>0</v>
      </c>
      <c r="M450" s="300">
        <f t="shared" si="62"/>
        <v>0</v>
      </c>
      <c r="N450" s="243"/>
      <c r="O450" s="517" t="str">
        <f t="shared" si="61"/>
        <v/>
      </c>
    </row>
    <row r="451" spans="1:15" outlineLevel="2" x14ac:dyDescent="0.3">
      <c r="A451" s="36" t="s">
        <v>7</v>
      </c>
      <c r="B451" s="36"/>
      <c r="C451" s="496" t="s">
        <v>10118</v>
      </c>
      <c r="D451" s="253"/>
      <c r="E451" s="253" t="str">
        <f>UPPER(IF($D451=0,"",IF($A451=4,_xlfn.XLOOKUP($D451,Mercado!$C:$C,Mercado!$E:$E),_xlfn.XLOOKUP($D451,Fontes!$B:$B,Fontes!$C:$C))))</f>
        <v/>
      </c>
      <c r="F451" s="329" t="s">
        <v>590</v>
      </c>
      <c r="G451" s="253"/>
      <c r="H451" s="254"/>
      <c r="I451" s="254">
        <f>IF($A451="M",_xlfn.XLOOKUP($D451,Mercado!$C:$C,Mercado!$I:$I),_xlfn.XLOOKUP($D451,Fontes!$B:$B,Fontes!$J:$J))</f>
        <v>0</v>
      </c>
      <c r="J451" s="254">
        <f>IF($A451="M",_xlfn.XLOOKUP($D451,Mercado!$C:$C,Mercado!$J:$J),_xlfn.XLOOKUP($D451,Fontes!$B:$B,Fontes!$H:$H))</f>
        <v>0</v>
      </c>
      <c r="K451" s="254">
        <f>IF($A451="M",0,_xlfn.XLOOKUP($D451,Fontes!$B:$B,Fontes!$I:$I))</f>
        <v>0</v>
      </c>
      <c r="L451" s="254">
        <f t="shared" si="58"/>
        <v>0</v>
      </c>
      <c r="M451" s="497">
        <f>SUBTOTAL(9,M452:M492)</f>
        <v>196906.57</v>
      </c>
      <c r="O451" s="517" t="str">
        <f t="shared" si="61"/>
        <v/>
      </c>
    </row>
    <row r="452" spans="1:15" ht="38.4" outlineLevel="3" x14ac:dyDescent="0.3">
      <c r="A452" s="36" t="s">
        <v>7</v>
      </c>
      <c r="B452" s="36"/>
      <c r="C452" s="504" t="s">
        <v>10119</v>
      </c>
      <c r="D452" s="266"/>
      <c r="E452" s="266" t="str">
        <f>UPPER(IF($D452=0,"",IF($A452=4,_xlfn.XLOOKUP($D452,Mercado!$C:$C,Mercado!$E:$E),_xlfn.XLOOKUP($D452,Fontes!$B:$B,Fontes!$C:$C))))</f>
        <v/>
      </c>
      <c r="F452" s="332" t="s">
        <v>598</v>
      </c>
      <c r="G452" s="266"/>
      <c r="H452" s="267"/>
      <c r="I452" s="267">
        <f>IF($A452="M",_xlfn.XLOOKUP($D452,Mercado!$C:$C,Mercado!$I:$I),_xlfn.XLOOKUP($D452,Fontes!$B:$B,Fontes!$J:$J))</f>
        <v>0</v>
      </c>
      <c r="J452" s="267">
        <f>IF($A452="M",_xlfn.XLOOKUP($D452,Mercado!$C:$C,Mercado!$J:$J),_xlfn.XLOOKUP($D452,Fontes!$B:$B,Fontes!$H:$H))</f>
        <v>0</v>
      </c>
      <c r="K452" s="267">
        <f>IF($A452="M",0,_xlfn.XLOOKUP($D452,Fontes!$B:$B,Fontes!$I:$I))</f>
        <v>0</v>
      </c>
      <c r="L452" s="267">
        <f t="shared" si="58"/>
        <v>0</v>
      </c>
      <c r="M452" s="500">
        <f t="shared" ref="M452:M492" si="63">ROUND(H452*L452,2)</f>
        <v>0</v>
      </c>
      <c r="O452" s="517" t="str">
        <f t="shared" si="61"/>
        <v/>
      </c>
    </row>
    <row r="453" spans="1:15" ht="57.6" outlineLevel="4" x14ac:dyDescent="0.3">
      <c r="A453" s="35"/>
      <c r="B453" s="36"/>
      <c r="C453" s="495" t="s">
        <v>10120</v>
      </c>
      <c r="D453" s="479">
        <v>91941</v>
      </c>
      <c r="E453" s="249" t="str">
        <f>UPPER(IF($D453=0,"",IF($A453=4,_xlfn.XLOOKUP($D453,Mercado!$C:$C,Mercado!$E:$E),_xlfn.XLOOKUP($D453,Fontes!$B:$B,Fontes!$C:$C))))</f>
        <v>SINAPI</v>
      </c>
      <c r="F453" s="327" t="s">
        <v>29</v>
      </c>
      <c r="G453" s="249" t="str">
        <f>UPPER(IF($D453=0,"",IF($A453=4,_xlfn.XLOOKUP($D453,Mercado!$C:$C,Mercado!$G:$G),_xlfn.XLOOKUP($D453,Fontes!$B:$B,Fontes!$E:$E))))</f>
        <v>UN</v>
      </c>
      <c r="H453" s="252">
        <v>4</v>
      </c>
      <c r="I453" s="252">
        <f>IF($A453="M",_xlfn.XLOOKUP($D453,Mercado!$C:$C,Mercado!$I:$I),_xlfn.XLOOKUP($D453,Fontes!$B:$B,Fontes!$J:$J))</f>
        <v>6.29</v>
      </c>
      <c r="J453" s="252">
        <f>IF($A453="M",_xlfn.XLOOKUP($D453,Mercado!$C:$C,Mercado!$J:$J),_xlfn.XLOOKUP($D453,Fontes!$B:$B,Fontes!$H:$H))</f>
        <v>9.3000000000000007</v>
      </c>
      <c r="K453" s="252">
        <f>IF($A453="M",0,_xlfn.XLOOKUP($D453,Fontes!$B:$B,Fontes!$I:$I))</f>
        <v>0.82</v>
      </c>
      <c r="L453" s="250">
        <f t="shared" si="58"/>
        <v>16.41</v>
      </c>
      <c r="M453" s="300">
        <f t="shared" si="63"/>
        <v>65.64</v>
      </c>
      <c r="O453" s="517">
        <f t="shared" si="61"/>
        <v>65.64</v>
      </c>
    </row>
    <row r="454" spans="1:15" ht="57.6" outlineLevel="4" x14ac:dyDescent="0.3">
      <c r="A454" s="35"/>
      <c r="B454" s="36"/>
      <c r="C454" s="495" t="s">
        <v>10121</v>
      </c>
      <c r="D454" s="479">
        <v>91944</v>
      </c>
      <c r="E454" s="249" t="str">
        <f>UPPER(IF($D454=0,"",IF($A454=4,_xlfn.XLOOKUP($D454,Mercado!$C:$C,Mercado!$E:$E),_xlfn.XLOOKUP($D454,Fontes!$B:$B,Fontes!$C:$C))))</f>
        <v>SINAPI</v>
      </c>
      <c r="F454" s="327" t="s">
        <v>30</v>
      </c>
      <c r="G454" s="249" t="str">
        <f>UPPER(IF($D454=0,"",IF($A454=4,_xlfn.XLOOKUP($D454,Mercado!$C:$C,Mercado!$G:$G),_xlfn.XLOOKUP($D454,Fontes!$B:$B,Fontes!$E:$E))))</f>
        <v>UN</v>
      </c>
      <c r="H454" s="252">
        <v>127</v>
      </c>
      <c r="I454" s="252">
        <f>IF($A454="M",_xlfn.XLOOKUP($D454,Mercado!$C:$C,Mercado!$I:$I),_xlfn.XLOOKUP($D454,Fontes!$B:$B,Fontes!$J:$J))</f>
        <v>9.6999999999999993</v>
      </c>
      <c r="J454" s="252">
        <f>IF($A454="M",_xlfn.XLOOKUP($D454,Mercado!$C:$C,Mercado!$J:$J),_xlfn.XLOOKUP($D454,Fontes!$B:$B,Fontes!$H:$H))</f>
        <v>9.64</v>
      </c>
      <c r="K454" s="252">
        <f>IF($A454="M",0,_xlfn.XLOOKUP($D454,Fontes!$B:$B,Fontes!$I:$I))</f>
        <v>0.86</v>
      </c>
      <c r="L454" s="250">
        <f t="shared" si="58"/>
        <v>20.2</v>
      </c>
      <c r="M454" s="300">
        <f t="shared" si="63"/>
        <v>2565.4</v>
      </c>
      <c r="O454" s="517">
        <f t="shared" si="61"/>
        <v>2565.4</v>
      </c>
    </row>
    <row r="455" spans="1:15" outlineLevel="4" x14ac:dyDescent="0.3">
      <c r="A455" s="35"/>
      <c r="B455" s="36"/>
      <c r="C455" s="495" t="s">
        <v>10122</v>
      </c>
      <c r="D455" s="479" t="s">
        <v>489</v>
      </c>
      <c r="E455" s="249" t="str">
        <f>UPPER(IF($D455=0,"",IF($A455=4,_xlfn.XLOOKUP($D455,Mercado!$C:$C,Mercado!$E:$E),_xlfn.XLOOKUP($D455,Fontes!$B:$B,Fontes!$C:$C))))</f>
        <v>FDE</v>
      </c>
      <c r="F455" s="327" t="s">
        <v>3552</v>
      </c>
      <c r="G455" s="249" t="str">
        <f>UPPER(IF($D455=0,"",IF($A455=4,_xlfn.XLOOKUP($D455,Mercado!$C:$C,Mercado!$G:$G),_xlfn.XLOOKUP($D455,Fontes!$B:$B,Fontes!$E:$E))))</f>
        <v>UN</v>
      </c>
      <c r="H455" s="252">
        <v>3</v>
      </c>
      <c r="I455" s="252">
        <f>IF($A455="M",_xlfn.XLOOKUP($D455,Mercado!$C:$C,Mercado!$I:$I),_xlfn.XLOOKUP($D455,Fontes!$B:$B,Fontes!$J:$J))</f>
        <v>20.47</v>
      </c>
      <c r="J455" s="252">
        <f>IF($A455="M",_xlfn.XLOOKUP($D455,Mercado!$C:$C,Mercado!$J:$J),_xlfn.XLOOKUP($D455,Fontes!$B:$B,Fontes!$H:$H))</f>
        <v>49.15</v>
      </c>
      <c r="K455" s="252">
        <f>IF($A455="M",0,_xlfn.XLOOKUP($D455,Fontes!$B:$B,Fontes!$I:$I))</f>
        <v>0</v>
      </c>
      <c r="L455" s="250">
        <f t="shared" si="58"/>
        <v>69.62</v>
      </c>
      <c r="M455" s="300">
        <f t="shared" si="63"/>
        <v>208.86</v>
      </c>
      <c r="O455" s="517">
        <f t="shared" si="61"/>
        <v>208.86</v>
      </c>
    </row>
    <row r="456" spans="1:15" ht="57.6" outlineLevel="4" x14ac:dyDescent="0.3">
      <c r="A456" s="35"/>
      <c r="B456" s="36"/>
      <c r="C456" s="495" t="s">
        <v>10123</v>
      </c>
      <c r="D456" s="479">
        <v>95795</v>
      </c>
      <c r="E456" s="249" t="str">
        <f>UPPER(IF($D456=0,"",IF($A456=4,_xlfn.XLOOKUP($D456,Mercado!$C:$C,Mercado!$E:$E),_xlfn.XLOOKUP($D456,Fontes!$B:$B,Fontes!$C:$C))))</f>
        <v>SINAPI</v>
      </c>
      <c r="F456" s="327" t="s">
        <v>32</v>
      </c>
      <c r="G456" s="249" t="str">
        <f>UPPER(IF($D456=0,"",IF($A456=4,_xlfn.XLOOKUP($D456,Mercado!$C:$C,Mercado!$G:$G),_xlfn.XLOOKUP($D456,Fontes!$B:$B,Fontes!$E:$E))))</f>
        <v>UN</v>
      </c>
      <c r="H456" s="252">
        <v>2</v>
      </c>
      <c r="I456" s="252">
        <f>IF($A456="M",_xlfn.XLOOKUP($D456,Mercado!$C:$C,Mercado!$I:$I),_xlfn.XLOOKUP($D456,Fontes!$B:$B,Fontes!$J:$J))</f>
        <v>19.79</v>
      </c>
      <c r="J456" s="252">
        <f>IF($A456="M",_xlfn.XLOOKUP($D456,Mercado!$C:$C,Mercado!$J:$J),_xlfn.XLOOKUP($D456,Fontes!$B:$B,Fontes!$H:$H))</f>
        <v>20.85</v>
      </c>
      <c r="K456" s="252">
        <f>IF($A456="M",0,_xlfn.XLOOKUP($D456,Fontes!$B:$B,Fontes!$I:$I))</f>
        <v>1.77</v>
      </c>
      <c r="L456" s="250">
        <f t="shared" si="58"/>
        <v>42.410000000000004</v>
      </c>
      <c r="M456" s="300">
        <f t="shared" si="63"/>
        <v>84.82</v>
      </c>
      <c r="O456" s="517">
        <f t="shared" si="61"/>
        <v>84.82</v>
      </c>
    </row>
    <row r="457" spans="1:15" ht="57.6" outlineLevel="4" x14ac:dyDescent="0.3">
      <c r="A457" s="35"/>
      <c r="B457" s="36"/>
      <c r="C457" s="495" t="s">
        <v>10124</v>
      </c>
      <c r="D457" s="479">
        <v>597</v>
      </c>
      <c r="E457" s="249" t="str">
        <f>UPPER(IF($D457=0,"",IF($A457=4,_xlfn.XLOOKUP($D457,Mercado!$C:$C,Mercado!$E:$E),_xlfn.XLOOKUP($D457,Fontes!$B:$B,Fontes!$C:$C))))</f>
        <v>PRÓPRIO</v>
      </c>
      <c r="F457" s="327" t="s">
        <v>1816</v>
      </c>
      <c r="G457" s="249" t="str">
        <f>UPPER(IF($D457=0,"",IF($A457=4,_xlfn.XLOOKUP($D457,Mercado!$C:$C,Mercado!$G:$G),_xlfn.XLOOKUP($D457,Fontes!$B:$B,Fontes!$E:$E))))</f>
        <v>UN</v>
      </c>
      <c r="H457" s="252">
        <v>44</v>
      </c>
      <c r="I457" s="252">
        <f>IF($A457="M",_xlfn.XLOOKUP($D457,Mercado!$C:$C,Mercado!$I:$I),_xlfn.XLOOKUP($D457,Fontes!$B:$B,Fontes!$J:$J))</f>
        <v>39.64</v>
      </c>
      <c r="J457" s="252">
        <f>IF($A457="M",_xlfn.XLOOKUP($D457,Mercado!$C:$C,Mercado!$J:$J),_xlfn.XLOOKUP($D457,Fontes!$B:$B,Fontes!$H:$H))</f>
        <v>20.98</v>
      </c>
      <c r="K457" s="252">
        <f>IF($A457="M",0,_xlfn.XLOOKUP($D457,Fontes!$B:$B,Fontes!$I:$I))</f>
        <v>1.86</v>
      </c>
      <c r="L457" s="250">
        <f t="shared" si="58"/>
        <v>62.480000000000004</v>
      </c>
      <c r="M457" s="300">
        <f t="shared" si="63"/>
        <v>2749.12</v>
      </c>
      <c r="O457" s="517">
        <f t="shared" si="61"/>
        <v>2749.12</v>
      </c>
    </row>
    <row r="458" spans="1:15" ht="57.6" outlineLevel="4" x14ac:dyDescent="0.3">
      <c r="A458" s="35"/>
      <c r="B458" s="36"/>
      <c r="C458" s="495" t="s">
        <v>10125</v>
      </c>
      <c r="D458" s="479">
        <v>95796</v>
      </c>
      <c r="E458" s="249" t="str">
        <f>UPPER(IF($D458=0,"",IF($A458=4,_xlfn.XLOOKUP($D458,Mercado!$C:$C,Mercado!$E:$E),_xlfn.XLOOKUP($D458,Fontes!$B:$B,Fontes!$C:$C))))</f>
        <v>SINAPI</v>
      </c>
      <c r="F458" s="327" t="s">
        <v>33</v>
      </c>
      <c r="G458" s="249" t="str">
        <f>UPPER(IF($D458=0,"",IF($A458=4,_xlfn.XLOOKUP($D458,Mercado!$C:$C,Mercado!$G:$G),_xlfn.XLOOKUP($D458,Fontes!$B:$B,Fontes!$E:$E))))</f>
        <v>UN</v>
      </c>
      <c r="H458" s="252">
        <v>2</v>
      </c>
      <c r="I458" s="252">
        <f>IF($A458="M",_xlfn.XLOOKUP($D458,Mercado!$C:$C,Mercado!$I:$I),_xlfn.XLOOKUP($D458,Fontes!$B:$B,Fontes!$J:$J))</f>
        <v>28.39</v>
      </c>
      <c r="J458" s="252">
        <f>IF($A458="M",_xlfn.XLOOKUP($D458,Mercado!$C:$C,Mercado!$J:$J),_xlfn.XLOOKUP($D458,Fontes!$B:$B,Fontes!$H:$H))</f>
        <v>21.49</v>
      </c>
      <c r="K458" s="252">
        <f>IF($A458="M",0,_xlfn.XLOOKUP($D458,Fontes!$B:$B,Fontes!$I:$I))</f>
        <v>1.82</v>
      </c>
      <c r="L458" s="250">
        <f t="shared" si="58"/>
        <v>51.699999999999996</v>
      </c>
      <c r="M458" s="300">
        <f t="shared" si="63"/>
        <v>103.4</v>
      </c>
      <c r="O458" s="517">
        <f t="shared" si="61"/>
        <v>103.4</v>
      </c>
    </row>
    <row r="459" spans="1:15" ht="57.6" outlineLevel="4" x14ac:dyDescent="0.3">
      <c r="A459" s="35"/>
      <c r="B459" s="36"/>
      <c r="C459" s="495" t="s">
        <v>10126</v>
      </c>
      <c r="D459" s="479">
        <v>598</v>
      </c>
      <c r="E459" s="249" t="str">
        <f>UPPER(IF($D459=0,"",IF($A459=4,_xlfn.XLOOKUP($D459,Mercado!$C:$C,Mercado!$E:$E),_xlfn.XLOOKUP($D459,Fontes!$B:$B,Fontes!$C:$C))))</f>
        <v>PRÓPRIO</v>
      </c>
      <c r="F459" s="327" t="s">
        <v>1817</v>
      </c>
      <c r="G459" s="249" t="str">
        <f>UPPER(IF($D459=0,"",IF($A459=4,_xlfn.XLOOKUP($D459,Mercado!$C:$C,Mercado!$G:$G),_xlfn.XLOOKUP($D459,Fontes!$B:$B,Fontes!$E:$E))))</f>
        <v>UN</v>
      </c>
      <c r="H459" s="252">
        <v>11</v>
      </c>
      <c r="I459" s="252">
        <f>IF($A459="M",_xlfn.XLOOKUP($D459,Mercado!$C:$C,Mercado!$I:$I),_xlfn.XLOOKUP($D459,Fontes!$B:$B,Fontes!$J:$J))</f>
        <v>61.73</v>
      </c>
      <c r="J459" s="252">
        <f>IF($A459="M",_xlfn.XLOOKUP($D459,Mercado!$C:$C,Mercado!$J:$J),_xlfn.XLOOKUP($D459,Fontes!$B:$B,Fontes!$H:$H))</f>
        <v>22.15</v>
      </c>
      <c r="K459" s="252">
        <f>IF($A459="M",0,_xlfn.XLOOKUP($D459,Fontes!$B:$B,Fontes!$I:$I))</f>
        <v>1.96</v>
      </c>
      <c r="L459" s="250">
        <f t="shared" si="58"/>
        <v>85.839999999999989</v>
      </c>
      <c r="M459" s="300">
        <f t="shared" si="63"/>
        <v>944.24</v>
      </c>
      <c r="O459" s="517">
        <f t="shared" si="61"/>
        <v>944.24</v>
      </c>
    </row>
    <row r="460" spans="1:15" outlineLevel="4" x14ac:dyDescent="0.3">
      <c r="A460" s="35"/>
      <c r="B460" s="36"/>
      <c r="C460" s="495" t="s">
        <v>10127</v>
      </c>
      <c r="D460" s="479" t="s">
        <v>409</v>
      </c>
      <c r="E460" s="249" t="str">
        <f>UPPER(IF($D460=0,"",IF($A460=4,_xlfn.XLOOKUP($D460,Mercado!$C:$C,Mercado!$E:$E),_xlfn.XLOOKUP($D460,Fontes!$B:$B,Fontes!$C:$C))))</f>
        <v>CPOS/CDHU</v>
      </c>
      <c r="F460" s="327" t="s">
        <v>3553</v>
      </c>
      <c r="G460" s="249" t="str">
        <f>UPPER(IF($D460=0,"",IF($A460=4,_xlfn.XLOOKUP($D460,Mercado!$C:$C,Mercado!$G:$G),_xlfn.XLOOKUP($D460,Fontes!$B:$B,Fontes!$E:$E))))</f>
        <v>CJ</v>
      </c>
      <c r="H460" s="252">
        <v>22</v>
      </c>
      <c r="I460" s="252">
        <f>IF($A460="M",_xlfn.XLOOKUP($D460,Mercado!$C:$C,Mercado!$I:$I),_xlfn.XLOOKUP($D460,Fontes!$B:$B,Fontes!$J:$J))</f>
        <v>14.5</v>
      </c>
      <c r="J460" s="252">
        <f>IF($A460="M",_xlfn.XLOOKUP($D460,Mercado!$C:$C,Mercado!$J:$J),_xlfn.XLOOKUP($D460,Fontes!$B:$B,Fontes!$H:$H))</f>
        <v>18.98</v>
      </c>
      <c r="K460" s="252">
        <f>IF($A460="M",0,_xlfn.XLOOKUP($D460,Fontes!$B:$B,Fontes!$I:$I))</f>
        <v>0</v>
      </c>
      <c r="L460" s="250">
        <f t="shared" si="58"/>
        <v>33.480000000000004</v>
      </c>
      <c r="M460" s="300">
        <f t="shared" si="63"/>
        <v>736.56</v>
      </c>
      <c r="O460" s="517">
        <f t="shared" si="61"/>
        <v>736.56</v>
      </c>
    </row>
    <row r="461" spans="1:15" outlineLevel="4" x14ac:dyDescent="0.3">
      <c r="A461" s="35"/>
      <c r="B461" s="36"/>
      <c r="C461" s="495" t="s">
        <v>10128</v>
      </c>
      <c r="D461" s="479" t="s">
        <v>410</v>
      </c>
      <c r="E461" s="249" t="str">
        <f>UPPER(IF($D461=0,"",IF($A461=4,_xlfn.XLOOKUP($D461,Mercado!$C:$C,Mercado!$E:$E),_xlfn.XLOOKUP($D461,Fontes!$B:$B,Fontes!$C:$C))))</f>
        <v>CPOS/CDHU</v>
      </c>
      <c r="F461" s="327" t="s">
        <v>3554</v>
      </c>
      <c r="G461" s="249" t="str">
        <f>UPPER(IF($D461=0,"",IF($A461=4,_xlfn.XLOOKUP($D461,Mercado!$C:$C,Mercado!$G:$G),_xlfn.XLOOKUP($D461,Fontes!$B:$B,Fontes!$E:$E))))</f>
        <v>CJ</v>
      </c>
      <c r="H461" s="252">
        <v>20</v>
      </c>
      <c r="I461" s="252">
        <f>IF($A461="M",_xlfn.XLOOKUP($D461,Mercado!$C:$C,Mercado!$I:$I),_xlfn.XLOOKUP($D461,Fontes!$B:$B,Fontes!$J:$J))</f>
        <v>18.760000000000002</v>
      </c>
      <c r="J461" s="252">
        <f>IF($A461="M",_xlfn.XLOOKUP($D461,Mercado!$C:$C,Mercado!$J:$J),_xlfn.XLOOKUP($D461,Fontes!$B:$B,Fontes!$H:$H))</f>
        <v>15.07</v>
      </c>
      <c r="K461" s="252">
        <f>IF($A461="M",0,_xlfn.XLOOKUP($D461,Fontes!$B:$B,Fontes!$I:$I))</f>
        <v>0</v>
      </c>
      <c r="L461" s="250">
        <f t="shared" si="58"/>
        <v>33.83</v>
      </c>
      <c r="M461" s="300">
        <f t="shared" si="63"/>
        <v>676.6</v>
      </c>
      <c r="O461" s="517">
        <f t="shared" si="61"/>
        <v>676.6</v>
      </c>
    </row>
    <row r="462" spans="1:15" ht="38.4" outlineLevel="4" x14ac:dyDescent="0.3">
      <c r="A462" s="35"/>
      <c r="B462" s="36"/>
      <c r="C462" s="495" t="s">
        <v>10129</v>
      </c>
      <c r="D462" s="479">
        <v>91990</v>
      </c>
      <c r="E462" s="249" t="str">
        <f>UPPER(IF($D462=0,"",IF($A462=4,_xlfn.XLOOKUP($D462,Mercado!$C:$C,Mercado!$E:$E),_xlfn.XLOOKUP($D462,Fontes!$B:$B,Fontes!$C:$C))))</f>
        <v>SINAPI</v>
      </c>
      <c r="F462" s="327" t="s">
        <v>34</v>
      </c>
      <c r="G462" s="249" t="str">
        <f>UPPER(IF($D462=0,"",IF($A462=4,_xlfn.XLOOKUP($D462,Mercado!$C:$C,Mercado!$G:$G),_xlfn.XLOOKUP($D462,Fontes!$B:$B,Fontes!$E:$E))))</f>
        <v>UN</v>
      </c>
      <c r="H462" s="252">
        <v>32</v>
      </c>
      <c r="I462" s="252">
        <f>IF($A462="M",_xlfn.XLOOKUP($D462,Mercado!$C:$C,Mercado!$I:$I),_xlfn.XLOOKUP($D462,Fontes!$B:$B,Fontes!$J:$J))</f>
        <v>14.49</v>
      </c>
      <c r="J462" s="252">
        <f>IF($A462="M",_xlfn.XLOOKUP($D462,Mercado!$C:$C,Mercado!$J:$J),_xlfn.XLOOKUP($D462,Fontes!$B:$B,Fontes!$H:$H))</f>
        <v>28.45</v>
      </c>
      <c r="K462" s="252">
        <f>IF($A462="M",0,_xlfn.XLOOKUP($D462,Fontes!$B:$B,Fontes!$I:$I))</f>
        <v>2.52</v>
      </c>
      <c r="L462" s="250">
        <f t="shared" ref="L462:L525" si="64">SUM(I462:K462)</f>
        <v>45.46</v>
      </c>
      <c r="M462" s="300">
        <f t="shared" si="63"/>
        <v>1454.72</v>
      </c>
      <c r="O462" s="517">
        <f t="shared" si="61"/>
        <v>1454.72</v>
      </c>
    </row>
    <row r="463" spans="1:15" ht="38.4" outlineLevel="4" x14ac:dyDescent="0.3">
      <c r="A463" s="35"/>
      <c r="B463" s="36"/>
      <c r="C463" s="495" t="s">
        <v>10130</v>
      </c>
      <c r="D463" s="479">
        <v>91991</v>
      </c>
      <c r="E463" s="249" t="str">
        <f>UPPER(IF($D463=0,"",IF($A463=4,_xlfn.XLOOKUP($D463,Mercado!$C:$C,Mercado!$E:$E),_xlfn.XLOOKUP($D463,Fontes!$B:$B,Fontes!$C:$C))))</f>
        <v>SINAPI</v>
      </c>
      <c r="F463" s="327" t="s">
        <v>35</v>
      </c>
      <c r="G463" s="249" t="str">
        <f>UPPER(IF($D463=0,"",IF($A463=4,_xlfn.XLOOKUP($D463,Mercado!$C:$C,Mercado!$G:$G),_xlfn.XLOOKUP($D463,Fontes!$B:$B,Fontes!$E:$E))))</f>
        <v>UN</v>
      </c>
      <c r="H463" s="252">
        <v>245</v>
      </c>
      <c r="I463" s="252">
        <f>IF($A463="M",_xlfn.XLOOKUP($D463,Mercado!$C:$C,Mercado!$I:$I),_xlfn.XLOOKUP($D463,Fontes!$B:$B,Fontes!$J:$J))</f>
        <v>16.29</v>
      </c>
      <c r="J463" s="252">
        <f>IF($A463="M",_xlfn.XLOOKUP($D463,Mercado!$C:$C,Mercado!$J:$J),_xlfn.XLOOKUP($D463,Fontes!$B:$B,Fontes!$H:$H))</f>
        <v>28.45</v>
      </c>
      <c r="K463" s="252">
        <f>IF($A463="M",0,_xlfn.XLOOKUP($D463,Fontes!$B:$B,Fontes!$I:$I))</f>
        <v>2.52</v>
      </c>
      <c r="L463" s="250">
        <f t="shared" si="64"/>
        <v>47.26</v>
      </c>
      <c r="M463" s="300">
        <f t="shared" si="63"/>
        <v>11578.7</v>
      </c>
      <c r="O463" s="517">
        <f t="shared" si="61"/>
        <v>11578.7</v>
      </c>
    </row>
    <row r="464" spans="1:15" outlineLevel="4" x14ac:dyDescent="0.3">
      <c r="A464" s="35"/>
      <c r="B464" s="36"/>
      <c r="C464" s="495" t="s">
        <v>10131</v>
      </c>
      <c r="D464" s="479">
        <v>61542</v>
      </c>
      <c r="E464" s="249" t="str">
        <f>UPPER(IF($D464=0,"",IF($A464=4,_xlfn.XLOOKUP($D464,Mercado!$C:$C,Mercado!$E:$E),_xlfn.XLOOKUP($D464,Fontes!$B:$B,Fontes!$C:$C))))</f>
        <v>SBC</v>
      </c>
      <c r="F464" s="327" t="s">
        <v>417</v>
      </c>
      <c r="G464" s="249" t="str">
        <f>UPPER(IF($D464=0,"",IF($A464=4,_xlfn.XLOOKUP($D464,Mercado!$C:$C,Mercado!$G:$G),_xlfn.XLOOKUP($D464,Fontes!$B:$B,Fontes!$E:$E))))</f>
        <v>UN</v>
      </c>
      <c r="H464" s="252">
        <v>56</v>
      </c>
      <c r="I464" s="252">
        <f>IF($A464="M",_xlfn.XLOOKUP($D464,Mercado!$C:$C,Mercado!$I:$I),_xlfn.XLOOKUP($D464,Fontes!$B:$B,Fontes!$J:$J))</f>
        <v>20.14</v>
      </c>
      <c r="J464" s="252">
        <f>IF($A464="M",_xlfn.XLOOKUP($D464,Mercado!$C:$C,Mercado!$J:$J),_xlfn.XLOOKUP($D464,Fontes!$B:$B,Fontes!$H:$H))</f>
        <v>14.43</v>
      </c>
      <c r="K464" s="252">
        <f>IF($A464="M",0,_xlfn.XLOOKUP($D464,Fontes!$B:$B,Fontes!$I:$I))</f>
        <v>0</v>
      </c>
      <c r="L464" s="250">
        <f t="shared" si="64"/>
        <v>34.57</v>
      </c>
      <c r="M464" s="300">
        <f t="shared" si="63"/>
        <v>1935.92</v>
      </c>
      <c r="O464" s="517">
        <f t="shared" si="61"/>
        <v>1935.92</v>
      </c>
    </row>
    <row r="465" spans="1:15" outlineLevel="4" x14ac:dyDescent="0.3">
      <c r="A465" s="35"/>
      <c r="B465" s="36"/>
      <c r="C465" s="495" t="s">
        <v>10132</v>
      </c>
      <c r="D465" s="479" t="s">
        <v>418</v>
      </c>
      <c r="E465" s="249" t="str">
        <f>UPPER(IF($D465=0,"",IF($A465=4,_xlfn.XLOOKUP($D465,Mercado!$C:$C,Mercado!$E:$E),_xlfn.XLOOKUP($D465,Fontes!$B:$B,Fontes!$C:$C))))</f>
        <v>CPOS/CDHU</v>
      </c>
      <c r="F465" s="327" t="s">
        <v>3555</v>
      </c>
      <c r="G465" s="249" t="str">
        <f>UPPER(IF($D465=0,"",IF($A465=4,_xlfn.XLOOKUP($D465,Mercado!$C:$C,Mercado!$G:$G),_xlfn.XLOOKUP($D465,Fontes!$B:$B,Fontes!$E:$E))))</f>
        <v>UN</v>
      </c>
      <c r="H465" s="252">
        <v>4</v>
      </c>
      <c r="I465" s="252">
        <f>IF($A465="M",_xlfn.XLOOKUP($D465,Mercado!$C:$C,Mercado!$I:$I),_xlfn.XLOOKUP($D465,Fontes!$B:$B,Fontes!$J:$J))</f>
        <v>42.76</v>
      </c>
      <c r="J465" s="252">
        <f>IF($A465="M",_xlfn.XLOOKUP($D465,Mercado!$C:$C,Mercado!$J:$J),_xlfn.XLOOKUP($D465,Fontes!$B:$B,Fontes!$H:$H))</f>
        <v>44.67</v>
      </c>
      <c r="K465" s="252">
        <f>IF($A465="M",0,_xlfn.XLOOKUP($D465,Fontes!$B:$B,Fontes!$I:$I))</f>
        <v>0</v>
      </c>
      <c r="L465" s="250">
        <f t="shared" si="64"/>
        <v>87.43</v>
      </c>
      <c r="M465" s="300">
        <f t="shared" si="63"/>
        <v>349.72</v>
      </c>
      <c r="O465" s="517">
        <f t="shared" si="61"/>
        <v>349.72</v>
      </c>
    </row>
    <row r="466" spans="1:15" ht="38.4" outlineLevel="4" x14ac:dyDescent="0.3">
      <c r="A466" s="35"/>
      <c r="B466" s="36"/>
      <c r="C466" s="495" t="s">
        <v>10133</v>
      </c>
      <c r="D466" s="479" t="s">
        <v>525</v>
      </c>
      <c r="E466" s="249" t="str">
        <f>UPPER(IF($D466=0,"",IF($A466=4,_xlfn.XLOOKUP($D466,Mercado!$C:$C,Mercado!$E:$E),_xlfn.XLOOKUP($D466,Fontes!$B:$B,Fontes!$C:$C))))</f>
        <v>CPOS/CDHU</v>
      </c>
      <c r="F466" s="327" t="s">
        <v>3556</v>
      </c>
      <c r="G466" s="249" t="str">
        <f>UPPER(IF($D466=0,"",IF($A466=4,_xlfn.XLOOKUP($D466,Mercado!$C:$C,Mercado!$G:$G),_xlfn.XLOOKUP($D466,Fontes!$B:$B,Fontes!$E:$E))))</f>
        <v>M</v>
      </c>
      <c r="H466" s="252">
        <v>87</v>
      </c>
      <c r="I466" s="252">
        <f>IF($A466="M",_xlfn.XLOOKUP($D466,Mercado!$C:$C,Mercado!$I:$I),_xlfn.XLOOKUP($D466,Fontes!$B:$B,Fontes!$J:$J))</f>
        <v>61.51</v>
      </c>
      <c r="J466" s="252">
        <f>IF($A466="M",_xlfn.XLOOKUP($D466,Mercado!$C:$C,Mercado!$J:$J),_xlfn.XLOOKUP($D466,Fontes!$B:$B,Fontes!$H:$H))</f>
        <v>27.92</v>
      </c>
      <c r="K466" s="252">
        <f>IF($A466="M",0,_xlfn.XLOOKUP($D466,Fontes!$B:$B,Fontes!$I:$I))</f>
        <v>0</v>
      </c>
      <c r="L466" s="250">
        <f t="shared" si="64"/>
        <v>89.43</v>
      </c>
      <c r="M466" s="300">
        <f t="shared" si="63"/>
        <v>7780.41</v>
      </c>
      <c r="O466" s="517">
        <f t="shared" si="61"/>
        <v>7780.41</v>
      </c>
    </row>
    <row r="467" spans="1:15" ht="38.4" outlineLevel="4" x14ac:dyDescent="0.3">
      <c r="A467" s="35"/>
      <c r="B467" s="36"/>
      <c r="C467" s="495" t="s">
        <v>10134</v>
      </c>
      <c r="D467" s="479" t="s">
        <v>526</v>
      </c>
      <c r="E467" s="249" t="str">
        <f>UPPER(IF($D467=0,"",IF($A467=4,_xlfn.XLOOKUP($D467,Mercado!$C:$C,Mercado!$E:$E),_xlfn.XLOOKUP($D467,Fontes!$B:$B,Fontes!$C:$C))))</f>
        <v>CPOS/CDHU</v>
      </c>
      <c r="F467" s="327" t="s">
        <v>3557</v>
      </c>
      <c r="G467" s="249" t="str">
        <f>UPPER(IF($D467=0,"",IF($A467=4,_xlfn.XLOOKUP($D467,Mercado!$C:$C,Mercado!$G:$G),_xlfn.XLOOKUP($D467,Fontes!$B:$B,Fontes!$E:$E))))</f>
        <v>M</v>
      </c>
      <c r="H467" s="252">
        <v>42</v>
      </c>
      <c r="I467" s="252">
        <f>IF($A467="M",_xlfn.XLOOKUP($D467,Mercado!$C:$C,Mercado!$I:$I),_xlfn.XLOOKUP($D467,Fontes!$B:$B,Fontes!$J:$J))</f>
        <v>102.49</v>
      </c>
      <c r="J467" s="252">
        <f>IF($A467="M",_xlfn.XLOOKUP($D467,Mercado!$C:$C,Mercado!$J:$J),_xlfn.XLOOKUP($D467,Fontes!$B:$B,Fontes!$H:$H))</f>
        <v>41.87</v>
      </c>
      <c r="K467" s="252">
        <f>IF($A467="M",0,_xlfn.XLOOKUP($D467,Fontes!$B:$B,Fontes!$I:$I))</f>
        <v>0</v>
      </c>
      <c r="L467" s="250">
        <f t="shared" si="64"/>
        <v>144.35999999999999</v>
      </c>
      <c r="M467" s="300">
        <f t="shared" si="63"/>
        <v>6063.12</v>
      </c>
      <c r="O467" s="517">
        <f t="shared" si="61"/>
        <v>6063.12</v>
      </c>
    </row>
    <row r="468" spans="1:15" ht="38.4" outlineLevel="4" x14ac:dyDescent="0.3">
      <c r="A468" s="35"/>
      <c r="B468" s="36"/>
      <c r="C468" s="495" t="s">
        <v>10135</v>
      </c>
      <c r="D468" s="479">
        <v>11548</v>
      </c>
      <c r="E468" s="249" t="str">
        <f>UPPER(IF($D468=0,"",IF($A468=4,_xlfn.XLOOKUP($D468,Mercado!$C:$C,Mercado!$E:$E),_xlfn.XLOOKUP($D468,Fontes!$B:$B,Fontes!$C:$C))))</f>
        <v>ORSE</v>
      </c>
      <c r="F468" s="327" t="s">
        <v>3558</v>
      </c>
      <c r="G468" s="249" t="str">
        <f>UPPER(IF($D468=0,"",IF($A468=4,_xlfn.XLOOKUP($D468,Mercado!$C:$C,Mercado!$G:$G),_xlfn.XLOOKUP($D468,Fontes!$B:$B,Fontes!$E:$E))))</f>
        <v>UN</v>
      </c>
      <c r="H468" s="252">
        <v>1</v>
      </c>
      <c r="I468" s="252">
        <f>IF($A468="M",_xlfn.XLOOKUP($D468,Mercado!$C:$C,Mercado!$I:$I),_xlfn.XLOOKUP($D468,Fontes!$B:$B,Fontes!$J:$J))</f>
        <v>31.5</v>
      </c>
      <c r="J468" s="252">
        <f>IF($A468="M",_xlfn.XLOOKUP($D468,Mercado!$C:$C,Mercado!$J:$J),_xlfn.XLOOKUP($D468,Fontes!$B:$B,Fontes!$H:$H))</f>
        <v>7.21</v>
      </c>
      <c r="K468" s="252">
        <f>IF($A468="M",0,_xlfn.XLOOKUP($D468,Fontes!$B:$B,Fontes!$I:$I))</f>
        <v>0</v>
      </c>
      <c r="L468" s="250">
        <f t="shared" si="64"/>
        <v>38.71</v>
      </c>
      <c r="M468" s="300">
        <f t="shared" si="63"/>
        <v>38.71</v>
      </c>
      <c r="O468" s="517">
        <f t="shared" si="61"/>
        <v>38.71</v>
      </c>
    </row>
    <row r="469" spans="1:15" ht="38.4" outlineLevel="4" x14ac:dyDescent="0.3">
      <c r="A469" s="35"/>
      <c r="B469" s="36"/>
      <c r="C469" s="495" t="s">
        <v>10136</v>
      </c>
      <c r="D469" s="479">
        <v>11549</v>
      </c>
      <c r="E469" s="249" t="str">
        <f>UPPER(IF($D469=0,"",IF($A469=4,_xlfn.XLOOKUP($D469,Mercado!$C:$C,Mercado!$E:$E),_xlfn.XLOOKUP($D469,Fontes!$B:$B,Fontes!$C:$C))))</f>
        <v>ORSE</v>
      </c>
      <c r="F469" s="327" t="s">
        <v>3559</v>
      </c>
      <c r="G469" s="249" t="str">
        <f>UPPER(IF($D469=0,"",IF($A469=4,_xlfn.XLOOKUP($D469,Mercado!$C:$C,Mercado!$G:$G),_xlfn.XLOOKUP($D469,Fontes!$B:$B,Fontes!$E:$E))))</f>
        <v>UN</v>
      </c>
      <c r="H469" s="252">
        <v>1</v>
      </c>
      <c r="I469" s="252">
        <f>IF($A469="M",_xlfn.XLOOKUP($D469,Mercado!$C:$C,Mercado!$I:$I),_xlfn.XLOOKUP($D469,Fontes!$B:$B,Fontes!$J:$J))</f>
        <v>19.55</v>
      </c>
      <c r="J469" s="252">
        <f>IF($A469="M",_xlfn.XLOOKUP($D469,Mercado!$C:$C,Mercado!$J:$J),_xlfn.XLOOKUP($D469,Fontes!$B:$B,Fontes!$H:$H))</f>
        <v>7.21</v>
      </c>
      <c r="K469" s="252">
        <f>IF($A469="M",0,_xlfn.XLOOKUP($D469,Fontes!$B:$B,Fontes!$I:$I))</f>
        <v>0</v>
      </c>
      <c r="L469" s="250">
        <f t="shared" si="64"/>
        <v>26.76</v>
      </c>
      <c r="M469" s="300">
        <f t="shared" si="63"/>
        <v>26.76</v>
      </c>
      <c r="O469" s="517">
        <f t="shared" si="61"/>
        <v>26.76</v>
      </c>
    </row>
    <row r="470" spans="1:15" outlineLevel="4" x14ac:dyDescent="0.3">
      <c r="A470" s="35"/>
      <c r="B470" s="36"/>
      <c r="C470" s="495" t="s">
        <v>10137</v>
      </c>
      <c r="D470" s="479">
        <v>63756</v>
      </c>
      <c r="E470" s="249" t="str">
        <f>UPPER(IF($D470=0,"",IF($A470=4,_xlfn.XLOOKUP($D470,Mercado!$C:$C,Mercado!$E:$E),_xlfn.XLOOKUP($D470,Fontes!$B:$B,Fontes!$C:$C))))</f>
        <v>SBC</v>
      </c>
      <c r="F470" s="327" t="s">
        <v>424</v>
      </c>
      <c r="G470" s="249" t="str">
        <f>UPPER(IF($D470=0,"",IF($A470=4,_xlfn.XLOOKUP($D470,Mercado!$C:$C,Mercado!$G:$G),_xlfn.XLOOKUP($D470,Fontes!$B:$B,Fontes!$E:$E))))</f>
        <v>UN</v>
      </c>
      <c r="H470" s="252">
        <v>39</v>
      </c>
      <c r="I470" s="252">
        <f>IF($A470="M",_xlfn.XLOOKUP($D470,Mercado!$C:$C,Mercado!$I:$I),_xlfn.XLOOKUP($D470,Fontes!$B:$B,Fontes!$J:$J))</f>
        <v>6.27</v>
      </c>
      <c r="J470" s="252">
        <f>IF($A470="M",_xlfn.XLOOKUP($D470,Mercado!$C:$C,Mercado!$J:$J),_xlfn.XLOOKUP($D470,Fontes!$B:$B,Fontes!$H:$H))</f>
        <v>7.5</v>
      </c>
      <c r="K470" s="252">
        <f>IF($A470="M",0,_xlfn.XLOOKUP($D470,Fontes!$B:$B,Fontes!$I:$I))</f>
        <v>0</v>
      </c>
      <c r="L470" s="250">
        <f t="shared" si="64"/>
        <v>13.77</v>
      </c>
      <c r="M470" s="300">
        <f t="shared" si="63"/>
        <v>537.03</v>
      </c>
      <c r="O470" s="517">
        <f t="shared" si="61"/>
        <v>537.03</v>
      </c>
    </row>
    <row r="471" spans="1:15" outlineLevel="4" x14ac:dyDescent="0.3">
      <c r="A471" s="35"/>
      <c r="B471" s="36"/>
      <c r="C471" s="495" t="s">
        <v>10138</v>
      </c>
      <c r="D471" s="479">
        <v>63754</v>
      </c>
      <c r="E471" s="249" t="str">
        <f>UPPER(IF($D471=0,"",IF($A471=4,_xlfn.XLOOKUP($D471,Mercado!$C:$C,Mercado!$E:$E),_xlfn.XLOOKUP($D471,Fontes!$B:$B,Fontes!$C:$C))))</f>
        <v>SBC</v>
      </c>
      <c r="F471" s="327" t="s">
        <v>425</v>
      </c>
      <c r="G471" s="249" t="str">
        <f>UPPER(IF($D471=0,"",IF($A471=4,_xlfn.XLOOKUP($D471,Mercado!$C:$C,Mercado!$G:$G),_xlfn.XLOOKUP($D471,Fontes!$B:$B,Fontes!$E:$E))))</f>
        <v>UN</v>
      </c>
      <c r="H471" s="252">
        <v>19</v>
      </c>
      <c r="I471" s="252">
        <f>IF($A471="M",_xlfn.XLOOKUP($D471,Mercado!$C:$C,Mercado!$I:$I),_xlfn.XLOOKUP($D471,Fontes!$B:$B,Fontes!$J:$J))</f>
        <v>6.27</v>
      </c>
      <c r="J471" s="252">
        <f>IF($A471="M",_xlfn.XLOOKUP($D471,Mercado!$C:$C,Mercado!$J:$J),_xlfn.XLOOKUP($D471,Fontes!$B:$B,Fontes!$H:$H))</f>
        <v>7.5</v>
      </c>
      <c r="K471" s="252">
        <f>IF($A471="M",0,_xlfn.XLOOKUP($D471,Fontes!$B:$B,Fontes!$I:$I))</f>
        <v>0</v>
      </c>
      <c r="L471" s="250">
        <f t="shared" si="64"/>
        <v>13.77</v>
      </c>
      <c r="M471" s="300">
        <f t="shared" si="63"/>
        <v>261.63</v>
      </c>
      <c r="O471" s="517">
        <f t="shared" si="61"/>
        <v>261.63</v>
      </c>
    </row>
    <row r="472" spans="1:15" outlineLevel="4" x14ac:dyDescent="0.3">
      <c r="A472" s="35"/>
      <c r="B472" s="36"/>
      <c r="C472" s="495" t="s">
        <v>10139</v>
      </c>
      <c r="D472" s="479">
        <v>60504</v>
      </c>
      <c r="E472" s="249" t="str">
        <f>UPPER(IF($D472=0,"",IF($A472=4,_xlfn.XLOOKUP($D472,Mercado!$C:$C,Mercado!$E:$E),_xlfn.XLOOKUP($D472,Fontes!$B:$B,Fontes!$C:$C))))</f>
        <v>SBC</v>
      </c>
      <c r="F472" s="327" t="s">
        <v>3560</v>
      </c>
      <c r="G472" s="249" t="str">
        <f>UPPER(IF($D472=0,"",IF($A472=4,_xlfn.XLOOKUP($D472,Mercado!$C:$C,Mercado!$G:$G),_xlfn.XLOOKUP($D472,Fontes!$B:$B,Fontes!$E:$E))))</f>
        <v>M</v>
      </c>
      <c r="H472" s="252">
        <v>387</v>
      </c>
      <c r="I472" s="252">
        <f>IF($A472="M",_xlfn.XLOOKUP($D472,Mercado!$C:$C,Mercado!$I:$I),_xlfn.XLOOKUP($D472,Fontes!$B:$B,Fontes!$J:$J))</f>
        <v>22.87</v>
      </c>
      <c r="J472" s="252">
        <f>IF($A472="M",_xlfn.XLOOKUP($D472,Mercado!$C:$C,Mercado!$J:$J),_xlfn.XLOOKUP($D472,Fontes!$B:$B,Fontes!$H:$H))</f>
        <v>50.88</v>
      </c>
      <c r="K472" s="252">
        <f>IF($A472="M",0,_xlfn.XLOOKUP($D472,Fontes!$B:$B,Fontes!$I:$I))</f>
        <v>4.5</v>
      </c>
      <c r="L472" s="250">
        <f t="shared" si="64"/>
        <v>78.25</v>
      </c>
      <c r="M472" s="300">
        <f t="shared" si="63"/>
        <v>30282.75</v>
      </c>
      <c r="O472" s="517">
        <f t="shared" si="61"/>
        <v>30282.75</v>
      </c>
    </row>
    <row r="473" spans="1:15" outlineLevel="4" x14ac:dyDescent="0.3">
      <c r="A473" s="35"/>
      <c r="B473" s="36"/>
      <c r="C473" s="495" t="s">
        <v>10140</v>
      </c>
      <c r="D473" s="479">
        <v>62572</v>
      </c>
      <c r="E473" s="249" t="str">
        <f>UPPER(IF($D473=0,"",IF($A473=4,_xlfn.XLOOKUP($D473,Mercado!$C:$C,Mercado!$E:$E),_xlfn.XLOOKUP($D473,Fontes!$B:$B,Fontes!$C:$C))))</f>
        <v>SBC</v>
      </c>
      <c r="F473" s="327" t="s">
        <v>427</v>
      </c>
      <c r="G473" s="249" t="str">
        <f>UPPER(IF($D473=0,"",IF($A473=4,_xlfn.XLOOKUP($D473,Mercado!$C:$C,Mercado!$G:$G),_xlfn.XLOOKUP($D473,Fontes!$B:$B,Fontes!$E:$E))))</f>
        <v>UN</v>
      </c>
      <c r="H473" s="252">
        <v>69</v>
      </c>
      <c r="I473" s="252">
        <f>IF($A473="M",_xlfn.XLOOKUP($D473,Mercado!$C:$C,Mercado!$I:$I),_xlfn.XLOOKUP($D473,Fontes!$B:$B,Fontes!$J:$J))</f>
        <v>10.43</v>
      </c>
      <c r="J473" s="252">
        <f>IF($A473="M",_xlfn.XLOOKUP($D473,Mercado!$C:$C,Mercado!$J:$J),_xlfn.XLOOKUP($D473,Fontes!$B:$B,Fontes!$H:$H))</f>
        <v>14.36</v>
      </c>
      <c r="K473" s="252">
        <f>IF($A473="M",0,_xlfn.XLOOKUP($D473,Fontes!$B:$B,Fontes!$I:$I))</f>
        <v>1.26</v>
      </c>
      <c r="L473" s="250">
        <f t="shared" si="64"/>
        <v>26.05</v>
      </c>
      <c r="M473" s="300">
        <f t="shared" si="63"/>
        <v>1797.45</v>
      </c>
      <c r="O473" s="517">
        <f t="shared" si="61"/>
        <v>1797.45</v>
      </c>
    </row>
    <row r="474" spans="1:15" outlineLevel="4" x14ac:dyDescent="0.3">
      <c r="A474" s="35"/>
      <c r="B474" s="36"/>
      <c r="C474" s="495" t="s">
        <v>10141</v>
      </c>
      <c r="D474" s="479">
        <v>62575</v>
      </c>
      <c r="E474" s="249" t="str">
        <f>UPPER(IF($D474=0,"",IF($A474=4,_xlfn.XLOOKUP($D474,Mercado!$C:$C,Mercado!$E:$E),_xlfn.XLOOKUP($D474,Fontes!$B:$B,Fontes!$C:$C))))</f>
        <v>SBC</v>
      </c>
      <c r="F474" s="327" t="s">
        <v>428</v>
      </c>
      <c r="G474" s="249" t="str">
        <f>UPPER(IF($D474=0,"",IF($A474=4,_xlfn.XLOOKUP($D474,Mercado!$C:$C,Mercado!$G:$G),_xlfn.XLOOKUP($D474,Fontes!$B:$B,Fontes!$E:$E))))</f>
        <v>UN</v>
      </c>
      <c r="H474" s="252">
        <v>2</v>
      </c>
      <c r="I474" s="252">
        <f>IF($A474="M",_xlfn.XLOOKUP($D474,Mercado!$C:$C,Mercado!$I:$I),_xlfn.XLOOKUP($D474,Fontes!$B:$B,Fontes!$J:$J))</f>
        <v>9.59</v>
      </c>
      <c r="J474" s="252">
        <f>IF($A474="M",_xlfn.XLOOKUP($D474,Mercado!$C:$C,Mercado!$J:$J),_xlfn.XLOOKUP($D474,Fontes!$B:$B,Fontes!$H:$H))</f>
        <v>11.47</v>
      </c>
      <c r="K474" s="252">
        <f>IF($A474="M",0,_xlfn.XLOOKUP($D474,Fontes!$B:$B,Fontes!$I:$I))</f>
        <v>1.02</v>
      </c>
      <c r="L474" s="250">
        <f t="shared" si="64"/>
        <v>22.080000000000002</v>
      </c>
      <c r="M474" s="300">
        <f t="shared" si="63"/>
        <v>44.16</v>
      </c>
      <c r="O474" s="517">
        <f t="shared" si="61"/>
        <v>44.16</v>
      </c>
    </row>
    <row r="475" spans="1:15" outlineLevel="4" x14ac:dyDescent="0.3">
      <c r="A475" s="35"/>
      <c r="B475" s="36"/>
      <c r="C475" s="495" t="s">
        <v>10142</v>
      </c>
      <c r="D475" s="479" t="s">
        <v>430</v>
      </c>
      <c r="E475" s="249" t="str">
        <f>UPPER(IF($D475=0,"",IF($A475=4,_xlfn.XLOOKUP($D475,Mercado!$C:$C,Mercado!$E:$E),_xlfn.XLOOKUP($D475,Fontes!$B:$B,Fontes!$C:$C))))</f>
        <v>SUDECAP</v>
      </c>
      <c r="F475" s="327" t="s">
        <v>432</v>
      </c>
      <c r="G475" s="249" t="str">
        <f>UPPER(IF($D475=0,"",IF($A475=4,_xlfn.XLOOKUP($D475,Mercado!$C:$C,Mercado!$G:$G),_xlfn.XLOOKUP($D475,Fontes!$B:$B,Fontes!$E:$E))))</f>
        <v>UN</v>
      </c>
      <c r="H475" s="252">
        <v>32</v>
      </c>
      <c r="I475" s="252">
        <f>IF($A475="M",_xlfn.XLOOKUP($D475,Mercado!$C:$C,Mercado!$I:$I),_xlfn.XLOOKUP($D475,Fontes!$B:$B,Fontes!$J:$J))</f>
        <v>6.94</v>
      </c>
      <c r="J475" s="252">
        <f>IF($A475="M",_xlfn.XLOOKUP($D475,Mercado!$C:$C,Mercado!$J:$J),_xlfn.XLOOKUP($D475,Fontes!$B:$B,Fontes!$H:$H))</f>
        <v>6.46</v>
      </c>
      <c r="K475" s="252">
        <f>IF($A475="M",0,_xlfn.XLOOKUP($D475,Fontes!$B:$B,Fontes!$I:$I))</f>
        <v>0</v>
      </c>
      <c r="L475" s="250">
        <f t="shared" si="64"/>
        <v>13.4</v>
      </c>
      <c r="M475" s="300">
        <f t="shared" si="63"/>
        <v>428.8</v>
      </c>
      <c r="O475" s="517">
        <f t="shared" si="61"/>
        <v>428.8</v>
      </c>
    </row>
    <row r="476" spans="1:15" outlineLevel="4" x14ac:dyDescent="0.3">
      <c r="A476" s="35"/>
      <c r="B476" s="36"/>
      <c r="C476" s="495" t="s">
        <v>10143</v>
      </c>
      <c r="D476" s="479">
        <v>63007</v>
      </c>
      <c r="E476" s="249" t="str">
        <f>UPPER(IF($D476=0,"",IF($A476=4,_xlfn.XLOOKUP($D476,Mercado!$C:$C,Mercado!$E:$E),_xlfn.XLOOKUP($D476,Fontes!$B:$B,Fontes!$C:$C))))</f>
        <v>SBC</v>
      </c>
      <c r="F476" s="327" t="s">
        <v>3561</v>
      </c>
      <c r="G476" s="249" t="str">
        <f>UPPER(IF($D476=0,"",IF($A476=4,_xlfn.XLOOKUP($D476,Mercado!$C:$C,Mercado!$G:$G),_xlfn.XLOOKUP($D476,Fontes!$B:$B,Fontes!$E:$E))))</f>
        <v>UN</v>
      </c>
      <c r="H476" s="252">
        <v>6</v>
      </c>
      <c r="I476" s="252">
        <f>IF($A476="M",_xlfn.XLOOKUP($D476,Mercado!$C:$C,Mercado!$I:$I),_xlfn.XLOOKUP($D476,Fontes!$B:$B,Fontes!$J:$J))</f>
        <v>23.87</v>
      </c>
      <c r="J476" s="252">
        <f>IF($A476="M",_xlfn.XLOOKUP($D476,Mercado!$C:$C,Mercado!$J:$J),_xlfn.XLOOKUP($D476,Fontes!$B:$B,Fontes!$H:$H))</f>
        <v>14.81</v>
      </c>
      <c r="K476" s="252">
        <f>IF($A476="M",0,_xlfn.XLOOKUP($D476,Fontes!$B:$B,Fontes!$I:$I))</f>
        <v>1.3</v>
      </c>
      <c r="L476" s="250">
        <f t="shared" si="64"/>
        <v>39.979999999999997</v>
      </c>
      <c r="M476" s="300">
        <f t="shared" si="63"/>
        <v>239.88</v>
      </c>
      <c r="O476" s="517">
        <f t="shared" si="61"/>
        <v>239.88</v>
      </c>
    </row>
    <row r="477" spans="1:15" outlineLevel="4" x14ac:dyDescent="0.3">
      <c r="A477" s="35"/>
      <c r="B477" s="36"/>
      <c r="C477" s="495" t="s">
        <v>10144</v>
      </c>
      <c r="D477" s="479">
        <v>63007</v>
      </c>
      <c r="E477" s="249" t="str">
        <f>UPPER(IF($D477=0,"",IF($A477=4,_xlfn.XLOOKUP($D477,Mercado!$C:$C,Mercado!$E:$E),_xlfn.XLOOKUP($D477,Fontes!$B:$B,Fontes!$C:$C))))</f>
        <v>SBC</v>
      </c>
      <c r="F477" s="327" t="s">
        <v>3562</v>
      </c>
      <c r="G477" s="249" t="str">
        <f>UPPER(IF($D477=0,"",IF($A477=4,_xlfn.XLOOKUP($D477,Mercado!$C:$C,Mercado!$G:$G),_xlfn.XLOOKUP($D477,Fontes!$B:$B,Fontes!$E:$E))))</f>
        <v>UN</v>
      </c>
      <c r="H477" s="252">
        <v>129</v>
      </c>
      <c r="I477" s="252">
        <f>IF($A477="M",_xlfn.XLOOKUP($D477,Mercado!$C:$C,Mercado!$I:$I),_xlfn.XLOOKUP($D477,Fontes!$B:$B,Fontes!$J:$J))</f>
        <v>23.87</v>
      </c>
      <c r="J477" s="252">
        <f>IF($A477="M",_xlfn.XLOOKUP($D477,Mercado!$C:$C,Mercado!$J:$J),_xlfn.XLOOKUP($D477,Fontes!$B:$B,Fontes!$H:$H))</f>
        <v>14.81</v>
      </c>
      <c r="K477" s="252">
        <f>IF($A477="M",0,_xlfn.XLOOKUP($D477,Fontes!$B:$B,Fontes!$I:$I))</f>
        <v>1.3</v>
      </c>
      <c r="L477" s="250">
        <f t="shared" si="64"/>
        <v>39.979999999999997</v>
      </c>
      <c r="M477" s="300">
        <f t="shared" si="63"/>
        <v>5157.42</v>
      </c>
      <c r="O477" s="517">
        <f t="shared" si="61"/>
        <v>5157.42</v>
      </c>
    </row>
    <row r="478" spans="1:15" ht="57.6" outlineLevel="4" x14ac:dyDescent="0.3">
      <c r="A478" s="35"/>
      <c r="B478" s="36"/>
      <c r="C478" s="495" t="s">
        <v>10145</v>
      </c>
      <c r="D478" s="479">
        <v>95745</v>
      </c>
      <c r="E478" s="249" t="str">
        <f>UPPER(IF($D478=0,"",IF($A478=4,_xlfn.XLOOKUP($D478,Mercado!$C:$C,Mercado!$E:$E),_xlfn.XLOOKUP($D478,Fontes!$B:$B,Fontes!$C:$C))))</f>
        <v>SINAPI</v>
      </c>
      <c r="F478" s="327" t="s">
        <v>21</v>
      </c>
      <c r="G478" s="249" t="str">
        <f>UPPER(IF($D478=0,"",IF($A478=4,_xlfn.XLOOKUP($D478,Mercado!$C:$C,Mercado!$G:$G),_xlfn.XLOOKUP($D478,Fontes!$B:$B,Fontes!$E:$E))))</f>
        <v>M</v>
      </c>
      <c r="H478" s="252">
        <v>429</v>
      </c>
      <c r="I478" s="252">
        <f>IF($A478="M",_xlfn.XLOOKUP($D478,Mercado!$C:$C,Mercado!$I:$I),_xlfn.XLOOKUP($D478,Fontes!$B:$B,Fontes!$J:$J))</f>
        <v>16.95</v>
      </c>
      <c r="J478" s="252">
        <f>IF($A478="M",_xlfn.XLOOKUP($D478,Mercado!$C:$C,Mercado!$J:$J),_xlfn.XLOOKUP($D478,Fontes!$B:$B,Fontes!$H:$H))</f>
        <v>14.14</v>
      </c>
      <c r="K478" s="252">
        <f>IF($A478="M",0,_xlfn.XLOOKUP($D478,Fontes!$B:$B,Fontes!$I:$I))</f>
        <v>1.05</v>
      </c>
      <c r="L478" s="250">
        <f t="shared" si="64"/>
        <v>32.14</v>
      </c>
      <c r="M478" s="300">
        <f t="shared" si="63"/>
        <v>13788.06</v>
      </c>
      <c r="O478" s="517">
        <f t="shared" ref="O478:O542" si="65">IF(D478&lt;&gt;0,M478,"")</f>
        <v>13788.06</v>
      </c>
    </row>
    <row r="479" spans="1:15" ht="57.6" outlineLevel="4" x14ac:dyDescent="0.3">
      <c r="A479" s="35"/>
      <c r="B479" s="36"/>
      <c r="C479" s="495" t="s">
        <v>10146</v>
      </c>
      <c r="D479" s="479">
        <v>95746</v>
      </c>
      <c r="E479" s="249" t="str">
        <f>UPPER(IF($D479=0,"",IF($A479=4,_xlfn.XLOOKUP($D479,Mercado!$C:$C,Mercado!$E:$E),_xlfn.XLOOKUP($D479,Fontes!$B:$B,Fontes!$C:$C))))</f>
        <v>SINAPI</v>
      </c>
      <c r="F479" s="327" t="s">
        <v>22</v>
      </c>
      <c r="G479" s="249" t="str">
        <f>UPPER(IF($D479=0,"",IF($A479=4,_xlfn.XLOOKUP($D479,Mercado!$C:$C,Mercado!$G:$G),_xlfn.XLOOKUP($D479,Fontes!$B:$B,Fontes!$E:$E))))</f>
        <v>M</v>
      </c>
      <c r="H479" s="252">
        <v>87</v>
      </c>
      <c r="I479" s="252">
        <f>IF($A479="M",_xlfn.XLOOKUP($D479,Mercado!$C:$C,Mercado!$I:$I),_xlfn.XLOOKUP($D479,Fontes!$B:$B,Fontes!$J:$J))</f>
        <v>31.48</v>
      </c>
      <c r="J479" s="252">
        <f>IF($A479="M",_xlfn.XLOOKUP($D479,Mercado!$C:$C,Mercado!$J:$J),_xlfn.XLOOKUP($D479,Fontes!$B:$B,Fontes!$H:$H))</f>
        <v>15.92</v>
      </c>
      <c r="K479" s="252">
        <f>IF($A479="M",0,_xlfn.XLOOKUP($D479,Fontes!$B:$B,Fontes!$I:$I))</f>
        <v>1.22</v>
      </c>
      <c r="L479" s="250">
        <f t="shared" si="64"/>
        <v>48.62</v>
      </c>
      <c r="M479" s="300">
        <f t="shared" si="63"/>
        <v>4229.9399999999996</v>
      </c>
      <c r="O479" s="517">
        <f t="shared" si="65"/>
        <v>4229.9399999999996</v>
      </c>
    </row>
    <row r="480" spans="1:15" ht="57.6" outlineLevel="4" x14ac:dyDescent="0.3">
      <c r="A480" s="35"/>
      <c r="B480" s="36"/>
      <c r="C480" s="495" t="s">
        <v>10147</v>
      </c>
      <c r="D480" s="479">
        <v>97549</v>
      </c>
      <c r="E480" s="249" t="str">
        <f>UPPER(IF($D480=0,"",IF($A480=4,_xlfn.XLOOKUP($D480,Mercado!$C:$C,Mercado!$E:$E),_xlfn.XLOOKUP($D480,Fontes!$B:$B,Fontes!$C:$C))))</f>
        <v>SINAPI</v>
      </c>
      <c r="F480" s="327" t="s">
        <v>335</v>
      </c>
      <c r="G480" s="249" t="str">
        <f>UPPER(IF($D480=0,"",IF($A480=4,_xlfn.XLOOKUP($D480,Mercado!$C:$C,Mercado!$G:$G),_xlfn.XLOOKUP($D480,Fontes!$B:$B,Fontes!$E:$E))))</f>
        <v>UN</v>
      </c>
      <c r="H480" s="252">
        <v>108</v>
      </c>
      <c r="I480" s="252">
        <f>IF($A480="M",_xlfn.XLOOKUP($D480,Mercado!$C:$C,Mercado!$I:$I),_xlfn.XLOOKUP($D480,Fontes!$B:$B,Fontes!$J:$J))</f>
        <v>34.56</v>
      </c>
      <c r="J480" s="252">
        <f>IF($A480="M",_xlfn.XLOOKUP($D480,Mercado!$C:$C,Mercado!$J:$J),_xlfn.XLOOKUP($D480,Fontes!$B:$B,Fontes!$H:$H))</f>
        <v>25.81</v>
      </c>
      <c r="K480" s="252">
        <f>IF($A480="M",0,_xlfn.XLOOKUP($D480,Fontes!$B:$B,Fontes!$I:$I))</f>
        <v>2.13</v>
      </c>
      <c r="L480" s="250">
        <f t="shared" si="64"/>
        <v>62.500000000000007</v>
      </c>
      <c r="M480" s="300">
        <f t="shared" si="63"/>
        <v>6750</v>
      </c>
      <c r="O480" s="517">
        <f t="shared" si="65"/>
        <v>6750</v>
      </c>
    </row>
    <row r="481" spans="1:15" ht="57.6" outlineLevel="4" x14ac:dyDescent="0.3">
      <c r="A481" s="35"/>
      <c r="B481" s="36"/>
      <c r="C481" s="495" t="s">
        <v>10148</v>
      </c>
      <c r="D481" s="479">
        <v>97551</v>
      </c>
      <c r="E481" s="249" t="str">
        <f>UPPER(IF($D481=0,"",IF($A481=4,_xlfn.XLOOKUP($D481,Mercado!$C:$C,Mercado!$E:$E),_xlfn.XLOOKUP($D481,Fontes!$B:$B,Fontes!$C:$C))))</f>
        <v>SINAPI</v>
      </c>
      <c r="F481" s="327" t="s">
        <v>336</v>
      </c>
      <c r="G481" s="249" t="str">
        <f>UPPER(IF($D481=0,"",IF($A481=4,_xlfn.XLOOKUP($D481,Mercado!$C:$C,Mercado!$G:$G),_xlfn.XLOOKUP($D481,Fontes!$B:$B,Fontes!$E:$E))))</f>
        <v>UN</v>
      </c>
      <c r="H481" s="252">
        <v>24</v>
      </c>
      <c r="I481" s="252">
        <f>IF($A481="M",_xlfn.XLOOKUP($D481,Mercado!$C:$C,Mercado!$I:$I),_xlfn.XLOOKUP($D481,Fontes!$B:$B,Fontes!$J:$J))</f>
        <v>52.55</v>
      </c>
      <c r="J481" s="252">
        <f>IF($A481="M",_xlfn.XLOOKUP($D481,Mercado!$C:$C,Mercado!$J:$J),_xlfn.XLOOKUP($D481,Fontes!$B:$B,Fontes!$H:$H))</f>
        <v>50.19</v>
      </c>
      <c r="K481" s="252">
        <f>IF($A481="M",0,_xlfn.XLOOKUP($D481,Fontes!$B:$B,Fontes!$I:$I))</f>
        <v>4.1100000000000003</v>
      </c>
      <c r="L481" s="250">
        <f t="shared" si="64"/>
        <v>106.85</v>
      </c>
      <c r="M481" s="300">
        <f t="shared" si="63"/>
        <v>2564.4</v>
      </c>
      <c r="O481" s="517">
        <f t="shared" si="65"/>
        <v>2564.4</v>
      </c>
    </row>
    <row r="482" spans="1:15" ht="38.4" outlineLevel="4" x14ac:dyDescent="0.3">
      <c r="A482" s="35"/>
      <c r="B482" s="36"/>
      <c r="C482" s="495" t="s">
        <v>10149</v>
      </c>
      <c r="D482" s="479">
        <v>95727</v>
      </c>
      <c r="E482" s="249" t="str">
        <f>UPPER(IF($D482=0,"",IF($A482=4,_xlfn.XLOOKUP($D482,Mercado!$C:$C,Mercado!$E:$E),_xlfn.XLOOKUP($D482,Fontes!$B:$B,Fontes!$C:$C))))</f>
        <v>SINAPI</v>
      </c>
      <c r="F482" s="327" t="s">
        <v>2594</v>
      </c>
      <c r="G482" s="249" t="str">
        <f>UPPER(IF($D482=0,"",IF($A482=4,_xlfn.XLOOKUP($D482,Mercado!$C:$C,Mercado!$G:$G),_xlfn.XLOOKUP($D482,Fontes!$B:$B,Fontes!$E:$E))))</f>
        <v>M</v>
      </c>
      <c r="H482" s="252">
        <v>230</v>
      </c>
      <c r="I482" s="252">
        <f>IF($A482="M",_xlfn.XLOOKUP($D482,Mercado!$C:$C,Mercado!$I:$I),_xlfn.XLOOKUP($D482,Fontes!$B:$B,Fontes!$J:$J))</f>
        <v>8.8800000000000008</v>
      </c>
      <c r="J482" s="252">
        <f>IF($A482="M",_xlfn.XLOOKUP($D482,Mercado!$C:$C,Mercado!$J:$J),_xlfn.XLOOKUP($D482,Fontes!$B:$B,Fontes!$H:$H))</f>
        <v>11.97</v>
      </c>
      <c r="K482" s="252">
        <f>IF($A482="M",0,_xlfn.XLOOKUP($D482,Fontes!$B:$B,Fontes!$I:$I))</f>
        <v>0.85</v>
      </c>
      <c r="L482" s="250">
        <f t="shared" si="64"/>
        <v>21.700000000000003</v>
      </c>
      <c r="M482" s="300">
        <f t="shared" si="63"/>
        <v>4991</v>
      </c>
      <c r="O482" s="517">
        <f t="shared" si="65"/>
        <v>4991</v>
      </c>
    </row>
    <row r="483" spans="1:15" ht="38.4" outlineLevel="4" x14ac:dyDescent="0.3">
      <c r="A483" s="35"/>
      <c r="B483" s="36"/>
      <c r="C483" s="495" t="s">
        <v>10150</v>
      </c>
      <c r="D483" s="479">
        <v>95728</v>
      </c>
      <c r="E483" s="249" t="str">
        <f>UPPER(IF($D483=0,"",IF($A483=4,_xlfn.XLOOKUP($D483,Mercado!$C:$C,Mercado!$E:$E),_xlfn.XLOOKUP($D483,Fontes!$B:$B,Fontes!$C:$C))))</f>
        <v>SINAPI</v>
      </c>
      <c r="F483" s="327" t="s">
        <v>2595</v>
      </c>
      <c r="G483" s="249" t="str">
        <f>UPPER(IF($D483=0,"",IF($A483=4,_xlfn.XLOOKUP($D483,Mercado!$C:$C,Mercado!$G:$G),_xlfn.XLOOKUP($D483,Fontes!$B:$B,Fontes!$E:$E))))</f>
        <v>M</v>
      </c>
      <c r="H483" s="252">
        <v>83</v>
      </c>
      <c r="I483" s="252">
        <f>IF($A483="M",_xlfn.XLOOKUP($D483,Mercado!$C:$C,Mercado!$I:$I),_xlfn.XLOOKUP($D483,Fontes!$B:$B,Fontes!$J:$J))</f>
        <v>10.55</v>
      </c>
      <c r="J483" s="252">
        <f>IF($A483="M",_xlfn.XLOOKUP($D483,Mercado!$C:$C,Mercado!$J:$J),_xlfn.XLOOKUP($D483,Fontes!$B:$B,Fontes!$H:$H))</f>
        <v>12.57</v>
      </c>
      <c r="K483" s="252">
        <f>IF($A483="M",0,_xlfn.XLOOKUP($D483,Fontes!$B:$B,Fontes!$I:$I))</f>
        <v>0.9</v>
      </c>
      <c r="L483" s="250">
        <f t="shared" si="64"/>
        <v>24.02</v>
      </c>
      <c r="M483" s="300">
        <f t="shared" si="63"/>
        <v>1993.66</v>
      </c>
      <c r="O483" s="517">
        <f t="shared" si="65"/>
        <v>1993.66</v>
      </c>
    </row>
    <row r="484" spans="1:15" outlineLevel="4" x14ac:dyDescent="0.3">
      <c r="A484" s="36" t="s">
        <v>7</v>
      </c>
      <c r="B484" s="36"/>
      <c r="C484" s="504" t="s">
        <v>10151</v>
      </c>
      <c r="D484" s="479"/>
      <c r="E484" s="249" t="str">
        <f>UPPER(IF($D484=0,"",IF($A484=4,_xlfn.XLOOKUP($D484,Mercado!$C:$C,Mercado!$E:$E),_xlfn.XLOOKUP($D484,Fontes!$B:$B,Fontes!$C:$C))))</f>
        <v/>
      </c>
      <c r="F484" s="334" t="s">
        <v>3563</v>
      </c>
      <c r="G484" s="249"/>
      <c r="H484" s="252"/>
      <c r="I484" s="252">
        <f>IF($A484="M",_xlfn.XLOOKUP($D484,Mercado!$C:$C,Mercado!$I:$I),_xlfn.XLOOKUP($D484,Fontes!$B:$B,Fontes!$J:$J))</f>
        <v>0</v>
      </c>
      <c r="J484" s="252">
        <f>IF($A484="M",_xlfn.XLOOKUP($D484,Mercado!$C:$C,Mercado!$J:$J),_xlfn.XLOOKUP($D484,Fontes!$B:$B,Fontes!$H:$H))</f>
        <v>0</v>
      </c>
      <c r="K484" s="252">
        <f>IF($A484="M",0,_xlfn.XLOOKUP($D484,Fontes!$B:$B,Fontes!$I:$I))</f>
        <v>0</v>
      </c>
      <c r="L484" s="250">
        <f t="shared" si="64"/>
        <v>0</v>
      </c>
      <c r="M484" s="500">
        <f t="shared" si="63"/>
        <v>0</v>
      </c>
      <c r="O484" s="517" t="str">
        <f t="shared" si="65"/>
        <v/>
      </c>
    </row>
    <row r="485" spans="1:15" ht="96" outlineLevel="4" x14ac:dyDescent="0.3">
      <c r="A485" s="35"/>
      <c r="B485" s="36"/>
      <c r="C485" s="495" t="s">
        <v>10152</v>
      </c>
      <c r="D485" s="479">
        <v>624</v>
      </c>
      <c r="E485" s="249" t="str">
        <f>UPPER(IF($D485=0,"",IF($A485=4,_xlfn.XLOOKUP($D485,Mercado!$C:$C,Mercado!$E:$E),_xlfn.XLOOKUP($D485,Fontes!$B:$B,Fontes!$C:$C))))</f>
        <v>PRÓPRIO</v>
      </c>
      <c r="F485" s="328" t="s">
        <v>3564</v>
      </c>
      <c r="G485" s="249" t="str">
        <f>UPPER(IF($D485=0,"",IF($A485=4,_xlfn.XLOOKUP($D485,Mercado!$C:$C,Mercado!$G:$G),_xlfn.XLOOKUP($D485,Fontes!$B:$B,Fontes!$E:$E))))</f>
        <v>UN</v>
      </c>
      <c r="H485" s="252">
        <v>28</v>
      </c>
      <c r="I485" s="252">
        <f>IF($A485="M",_xlfn.XLOOKUP($D485,Mercado!$C:$C,Mercado!$I:$I),_xlfn.XLOOKUP($D485,Fontes!$B:$B,Fontes!$J:$J))</f>
        <v>449.2</v>
      </c>
      <c r="J485" s="252">
        <f>IF($A485="M",_xlfn.XLOOKUP($D485,Mercado!$C:$C,Mercado!$J:$J),_xlfn.XLOOKUP($D485,Fontes!$B:$B,Fontes!$H:$H))</f>
        <v>63.88</v>
      </c>
      <c r="K485" s="252">
        <f>IF($A485="M",0,_xlfn.XLOOKUP($D485,Fontes!$B:$B,Fontes!$I:$I))</f>
        <v>5.58</v>
      </c>
      <c r="L485" s="250">
        <f t="shared" si="64"/>
        <v>518.66000000000008</v>
      </c>
      <c r="M485" s="300">
        <f t="shared" si="63"/>
        <v>14522.48</v>
      </c>
      <c r="O485" s="517">
        <f t="shared" si="65"/>
        <v>14522.48</v>
      </c>
    </row>
    <row r="486" spans="1:15" ht="96" outlineLevel="4" x14ac:dyDescent="0.3">
      <c r="A486" s="35"/>
      <c r="B486" s="36"/>
      <c r="C486" s="495" t="s">
        <v>10153</v>
      </c>
      <c r="D486" s="479">
        <v>625</v>
      </c>
      <c r="E486" s="249" t="str">
        <f>UPPER(IF($D486=0,"",IF($A486=4,_xlfn.XLOOKUP($D486,Mercado!$C:$C,Mercado!$E:$E),_xlfn.XLOOKUP($D486,Fontes!$B:$B,Fontes!$C:$C))))</f>
        <v>PRÓPRIO</v>
      </c>
      <c r="F486" s="328" t="s">
        <v>3565</v>
      </c>
      <c r="G486" s="249" t="str">
        <f>UPPER(IF($D486=0,"",IF($A486=4,_xlfn.XLOOKUP($D486,Mercado!$C:$C,Mercado!$G:$G),_xlfn.XLOOKUP($D486,Fontes!$B:$B,Fontes!$E:$E))))</f>
        <v>UN</v>
      </c>
      <c r="H486" s="252">
        <v>16</v>
      </c>
      <c r="I486" s="252">
        <f>IF($A486="M",_xlfn.XLOOKUP($D486,Mercado!$C:$C,Mercado!$I:$I),_xlfn.XLOOKUP($D486,Fontes!$B:$B,Fontes!$J:$J))</f>
        <v>469.05</v>
      </c>
      <c r="J486" s="252">
        <f>IF($A486="M",_xlfn.XLOOKUP($D486,Mercado!$C:$C,Mercado!$J:$J),_xlfn.XLOOKUP($D486,Fontes!$B:$B,Fontes!$H:$H))</f>
        <v>63.88</v>
      </c>
      <c r="K486" s="252">
        <f>IF($A486="M",0,_xlfn.XLOOKUP($D486,Fontes!$B:$B,Fontes!$I:$I))</f>
        <v>5.58</v>
      </c>
      <c r="L486" s="250">
        <f t="shared" si="64"/>
        <v>538.5100000000001</v>
      </c>
      <c r="M486" s="300">
        <f t="shared" si="63"/>
        <v>8616.16</v>
      </c>
      <c r="O486" s="517">
        <f t="shared" si="65"/>
        <v>8616.16</v>
      </c>
    </row>
    <row r="487" spans="1:15" outlineLevel="4" x14ac:dyDescent="0.3">
      <c r="A487" s="36" t="s">
        <v>7</v>
      </c>
      <c r="B487" s="36"/>
      <c r="C487" s="504" t="s">
        <v>10154</v>
      </c>
      <c r="D487" s="479"/>
      <c r="E487" s="249" t="str">
        <f>UPPER(IF($D487=0,"",IF($A487=4,_xlfn.XLOOKUP($D487,Mercado!$C:$C,Mercado!$E:$E),_xlfn.XLOOKUP($D487,Fontes!$B:$B,Fontes!$C:$C))))</f>
        <v/>
      </c>
      <c r="F487" s="334" t="s">
        <v>3005</v>
      </c>
      <c r="G487" s="249"/>
      <c r="H487" s="252"/>
      <c r="I487" s="252">
        <f>IF($A487="M",_xlfn.XLOOKUP($D487,Mercado!$C:$C,Mercado!$I:$I),_xlfn.XLOOKUP($D487,Fontes!$B:$B,Fontes!$J:$J))</f>
        <v>0</v>
      </c>
      <c r="J487" s="252">
        <f>IF($A487="M",_xlfn.XLOOKUP($D487,Mercado!$C:$C,Mercado!$J:$J),_xlfn.XLOOKUP($D487,Fontes!$B:$B,Fontes!$H:$H))</f>
        <v>0</v>
      </c>
      <c r="K487" s="252">
        <f>IF($A487="M",0,_xlfn.XLOOKUP($D487,Fontes!$B:$B,Fontes!$I:$I))</f>
        <v>0</v>
      </c>
      <c r="L487" s="250">
        <f t="shared" si="64"/>
        <v>0</v>
      </c>
      <c r="M487" s="500">
        <f t="shared" si="63"/>
        <v>0</v>
      </c>
      <c r="O487" s="517" t="str">
        <f t="shared" si="65"/>
        <v/>
      </c>
    </row>
    <row r="488" spans="1:15" outlineLevel="4" x14ac:dyDescent="0.3">
      <c r="A488" s="35"/>
      <c r="B488" s="36"/>
      <c r="C488" s="495" t="s">
        <v>10155</v>
      </c>
      <c r="D488" s="479">
        <v>63511</v>
      </c>
      <c r="E488" s="249" t="str">
        <f>UPPER(IF($D488=0,"",IF($A488=4,_xlfn.XLOOKUP($D488,Mercado!$C:$C,Mercado!$E:$E),_xlfn.XLOOKUP($D488,Fontes!$B:$B,Fontes!$C:$C))))</f>
        <v>SBC</v>
      </c>
      <c r="F488" s="327" t="s">
        <v>3566</v>
      </c>
      <c r="G488" s="249" t="str">
        <f>UPPER(IF($D488=0,"",IF($A488=4,_xlfn.XLOOKUP($D488,Mercado!$C:$C,Mercado!$G:$G),_xlfn.XLOOKUP($D488,Fontes!$B:$B,Fontes!$E:$E))))</f>
        <v>M</v>
      </c>
      <c r="H488" s="252">
        <v>180</v>
      </c>
      <c r="I488" s="252">
        <f>IF($A488="M",_xlfn.XLOOKUP($D488,Mercado!$C:$C,Mercado!$I:$I),_xlfn.XLOOKUP($D488,Fontes!$B:$B,Fontes!$J:$J))</f>
        <v>7.29</v>
      </c>
      <c r="J488" s="252">
        <f>IF($A488="M",_xlfn.XLOOKUP($D488,Mercado!$C:$C,Mercado!$J:$J),_xlfn.XLOOKUP($D488,Fontes!$B:$B,Fontes!$H:$H))</f>
        <v>4.9000000000000004</v>
      </c>
      <c r="K488" s="252">
        <f>IF($A488="M",0,_xlfn.XLOOKUP($D488,Fontes!$B:$B,Fontes!$I:$I))</f>
        <v>0</v>
      </c>
      <c r="L488" s="250">
        <f t="shared" si="64"/>
        <v>12.190000000000001</v>
      </c>
      <c r="M488" s="300">
        <f t="shared" si="63"/>
        <v>2194.1999999999998</v>
      </c>
      <c r="O488" s="517">
        <f t="shared" si="65"/>
        <v>2194.1999999999998</v>
      </c>
    </row>
    <row r="489" spans="1:15" ht="38.4" outlineLevel="4" x14ac:dyDescent="0.3">
      <c r="A489" s="35"/>
      <c r="B489" s="36"/>
      <c r="C489" s="495" t="s">
        <v>10156</v>
      </c>
      <c r="D489" s="479" t="s">
        <v>434</v>
      </c>
      <c r="E489" s="249" t="str">
        <f>UPPER(IF($D489=0,"",IF($A489=4,_xlfn.XLOOKUP($D489,Mercado!$C:$C,Mercado!$E:$E),_xlfn.XLOOKUP($D489,Fontes!$B:$B,Fontes!$C:$C))))</f>
        <v>CPOS/CDHU</v>
      </c>
      <c r="F489" s="327" t="s">
        <v>3567</v>
      </c>
      <c r="G489" s="249" t="str">
        <f>UPPER(IF($D489=0,"",IF($A489=4,_xlfn.XLOOKUP($D489,Mercado!$C:$C,Mercado!$G:$G),_xlfn.XLOOKUP($D489,Fontes!$B:$B,Fontes!$E:$E))))</f>
        <v>M</v>
      </c>
      <c r="H489" s="252">
        <v>10500</v>
      </c>
      <c r="I489" s="252">
        <f>IF($A489="M",_xlfn.XLOOKUP($D489,Mercado!$C:$C,Mercado!$I:$I),_xlfn.XLOOKUP($D489,Fontes!$B:$B,Fontes!$J:$J))</f>
        <v>2.63</v>
      </c>
      <c r="J489" s="252">
        <f>IF($A489="M",_xlfn.XLOOKUP($D489,Mercado!$C:$C,Mercado!$J:$J),_xlfn.XLOOKUP($D489,Fontes!$B:$B,Fontes!$H:$H))</f>
        <v>2.23</v>
      </c>
      <c r="K489" s="252">
        <f>IF($A489="M",0,_xlfn.XLOOKUP($D489,Fontes!$B:$B,Fontes!$I:$I))</f>
        <v>0</v>
      </c>
      <c r="L489" s="250">
        <f t="shared" si="64"/>
        <v>4.8599999999999994</v>
      </c>
      <c r="M489" s="300">
        <f t="shared" si="63"/>
        <v>51030</v>
      </c>
      <c r="O489" s="517">
        <f t="shared" si="65"/>
        <v>51030</v>
      </c>
    </row>
    <row r="490" spans="1:15" ht="38.4" outlineLevel="4" x14ac:dyDescent="0.3">
      <c r="A490" s="35"/>
      <c r="B490" s="36"/>
      <c r="C490" s="495" t="s">
        <v>10157</v>
      </c>
      <c r="D490" s="479" t="s">
        <v>1800</v>
      </c>
      <c r="E490" s="249" t="str">
        <f>UPPER(IF($D490=0,"",IF($A490=4,_xlfn.XLOOKUP($D490,Mercado!$C:$C,Mercado!$E:$E),_xlfn.XLOOKUP($D490,Fontes!$B:$B,Fontes!$C:$C))))</f>
        <v>CPOS/CDHU</v>
      </c>
      <c r="F490" s="327" t="s">
        <v>3568</v>
      </c>
      <c r="G490" s="249" t="str">
        <f>UPPER(IF($D490=0,"",IF($A490=4,_xlfn.XLOOKUP($D490,Mercado!$C:$C,Mercado!$G:$G),_xlfn.XLOOKUP($D490,Fontes!$B:$B,Fontes!$E:$E))))</f>
        <v>M</v>
      </c>
      <c r="H490" s="252">
        <v>105</v>
      </c>
      <c r="I490" s="252">
        <f>IF($A490="M",_xlfn.XLOOKUP($D490,Mercado!$C:$C,Mercado!$I:$I),_xlfn.XLOOKUP($D490,Fontes!$B:$B,Fontes!$J:$J))</f>
        <v>6.32</v>
      </c>
      <c r="J490" s="252">
        <f>IF($A490="M",_xlfn.XLOOKUP($D490,Mercado!$C:$C,Mercado!$J:$J),_xlfn.XLOOKUP($D490,Fontes!$B:$B,Fontes!$H:$H))</f>
        <v>3.91</v>
      </c>
      <c r="K490" s="252">
        <f>IF($A490="M",0,_xlfn.XLOOKUP($D490,Fontes!$B:$B,Fontes!$I:$I))</f>
        <v>0</v>
      </c>
      <c r="L490" s="250">
        <f t="shared" si="64"/>
        <v>10.23</v>
      </c>
      <c r="M490" s="300">
        <f t="shared" si="63"/>
        <v>1074.1500000000001</v>
      </c>
      <c r="O490" s="517">
        <f t="shared" si="65"/>
        <v>1074.1500000000001</v>
      </c>
    </row>
    <row r="491" spans="1:15" ht="38.4" outlineLevel="4" x14ac:dyDescent="0.3">
      <c r="A491" s="35"/>
      <c r="B491" s="36"/>
      <c r="C491" s="495" t="s">
        <v>10158</v>
      </c>
      <c r="D491" s="249">
        <v>611</v>
      </c>
      <c r="E491" s="249" t="str">
        <f>UPPER(IF($D491=0,"",IF($A491=4,_xlfn.XLOOKUP($D491,Mercado!$C:$C,Mercado!$E:$E),_xlfn.XLOOKUP($D491,Fontes!$B:$B,Fontes!$C:$C))))</f>
        <v>PRÓPRIO</v>
      </c>
      <c r="F491" s="335" t="s">
        <v>1840</v>
      </c>
      <c r="G491" s="249" t="str">
        <f>UPPER(IF($D491=0,"",IF($A491=4,_xlfn.XLOOKUP($D491,Mercado!$C:$C,Mercado!$G:$G),_xlfn.XLOOKUP($D491,Fontes!$B:$B,Fontes!$E:$E))))</f>
        <v>UN</v>
      </c>
      <c r="H491" s="439">
        <v>1</v>
      </c>
      <c r="I491" s="439">
        <f>IF($A491="M",_xlfn.XLOOKUP($D491,Mercado!$C:$C,Mercado!$I:$I),_xlfn.XLOOKUP($D491,Fontes!$B:$B,Fontes!$J:$J))</f>
        <v>9040.7000000000007</v>
      </c>
      <c r="J491" s="252">
        <f>IF($A491="M",_xlfn.XLOOKUP($D491,Mercado!$C:$C,Mercado!$J:$J),_xlfn.XLOOKUP($D491,Fontes!$B:$B,Fontes!$H:$H))</f>
        <v>0</v>
      </c>
      <c r="K491" s="252">
        <f>IF($A491="M",0,_xlfn.XLOOKUP($D491,Fontes!$B:$B,Fontes!$I:$I))</f>
        <v>0</v>
      </c>
      <c r="L491" s="250">
        <f t="shared" si="64"/>
        <v>9040.7000000000007</v>
      </c>
      <c r="M491" s="300">
        <f t="shared" si="63"/>
        <v>9040.7000000000007</v>
      </c>
      <c r="O491" s="517">
        <f t="shared" si="65"/>
        <v>9040.7000000000007</v>
      </c>
    </row>
    <row r="492" spans="1:15" outlineLevel="3" x14ac:dyDescent="0.3">
      <c r="A492" s="36" t="s">
        <v>7</v>
      </c>
      <c r="B492" s="36"/>
      <c r="C492" s="495" t="s">
        <v>781</v>
      </c>
      <c r="D492" s="249"/>
      <c r="E492" s="249" t="str">
        <f>UPPER(IF($D492=0,"",IF($A492=4,_xlfn.XLOOKUP($D492,Mercado!$C:$C,Mercado!$E:$E),_xlfn.XLOOKUP($D492,Fontes!$B:$B,Fontes!$C:$C))))</f>
        <v/>
      </c>
      <c r="F492" s="327" t="s">
        <v>781</v>
      </c>
      <c r="G492" s="249"/>
      <c r="H492" s="252"/>
      <c r="I492" s="252">
        <f>IF($A492="M",_xlfn.XLOOKUP($D492,Mercado!$C:$C,Mercado!$I:$I),_xlfn.XLOOKUP($D492,Fontes!$B:$B,Fontes!$J:$J))</f>
        <v>0</v>
      </c>
      <c r="J492" s="252">
        <f>IF($A492="M",_xlfn.XLOOKUP($D492,Mercado!$C:$C,Mercado!$J:$J),_xlfn.XLOOKUP($D492,Fontes!$B:$B,Fontes!$H:$H))</f>
        <v>0</v>
      </c>
      <c r="K492" s="252">
        <f>IF($A492="M",0,_xlfn.XLOOKUP($D492,Fontes!$B:$B,Fontes!$I:$I))</f>
        <v>0</v>
      </c>
      <c r="L492" s="250">
        <f t="shared" si="64"/>
        <v>0</v>
      </c>
      <c r="M492" s="300">
        <f t="shared" si="63"/>
        <v>0</v>
      </c>
      <c r="O492" s="517" t="str">
        <f t="shared" si="65"/>
        <v/>
      </c>
    </row>
    <row r="493" spans="1:15" outlineLevel="2" x14ac:dyDescent="0.3">
      <c r="A493" s="36" t="s">
        <v>7</v>
      </c>
      <c r="B493" s="36"/>
      <c r="C493" s="496" t="s">
        <v>10159</v>
      </c>
      <c r="D493" s="253"/>
      <c r="E493" s="253" t="str">
        <f>UPPER(IF($D493=0,"",IF($A493=4,_xlfn.XLOOKUP($D493,Mercado!$C:$C,Mercado!$E:$E),_xlfn.XLOOKUP($D493,Fontes!$B:$B,Fontes!$C:$C))))</f>
        <v/>
      </c>
      <c r="F493" s="329" t="s">
        <v>534</v>
      </c>
      <c r="G493" s="253"/>
      <c r="H493" s="254"/>
      <c r="I493" s="254">
        <f>IF($A493="M",_xlfn.XLOOKUP($D493,Mercado!$C:$C,Mercado!$I:$I),_xlfn.XLOOKUP($D493,Fontes!$B:$B,Fontes!$J:$J))</f>
        <v>0</v>
      </c>
      <c r="J493" s="254">
        <f>IF($A493="M",_xlfn.XLOOKUP($D493,Mercado!$C:$C,Mercado!$J:$J),_xlfn.XLOOKUP($D493,Fontes!$B:$B,Fontes!$H:$H))</f>
        <v>0</v>
      </c>
      <c r="K493" s="254">
        <f>IF($A493="M",0,_xlfn.XLOOKUP($D493,Fontes!$B:$B,Fontes!$I:$I))</f>
        <v>0</v>
      </c>
      <c r="L493" s="254">
        <f t="shared" si="64"/>
        <v>0</v>
      </c>
      <c r="M493" s="497">
        <f>SUBTOTAL(9,M494:M540)</f>
        <v>48924.030000000013</v>
      </c>
      <c r="O493" s="517" t="str">
        <f t="shared" si="65"/>
        <v/>
      </c>
    </row>
    <row r="494" spans="1:15" s="265" customFormat="1" outlineLevel="3" x14ac:dyDescent="0.3">
      <c r="A494" s="263" t="s">
        <v>7</v>
      </c>
      <c r="B494" s="263"/>
      <c r="C494" s="504" t="s">
        <v>10160</v>
      </c>
      <c r="D494" s="266"/>
      <c r="E494" s="266" t="str">
        <f>UPPER(IF($D494=0,"",IF($A494=4,_xlfn.XLOOKUP($D494,Mercado!$C:$C,Mercado!$E:$E),_xlfn.XLOOKUP($D494,Fontes!$B:$B,Fontes!$C:$C))))</f>
        <v/>
      </c>
      <c r="F494" s="332" t="s">
        <v>860</v>
      </c>
      <c r="G494" s="266"/>
      <c r="H494" s="267"/>
      <c r="I494" s="267">
        <f>IF($A494="M",_xlfn.XLOOKUP($D494,Mercado!$C:$C,Mercado!$I:$I),_xlfn.XLOOKUP($D494,Fontes!$B:$B,Fontes!$J:$J))</f>
        <v>0</v>
      </c>
      <c r="J494" s="267">
        <f>IF($A494="M",_xlfn.XLOOKUP($D494,Mercado!$C:$C,Mercado!$J:$J),_xlfn.XLOOKUP($D494,Fontes!$B:$B,Fontes!$H:$H))</f>
        <v>0</v>
      </c>
      <c r="K494" s="267">
        <f>IF($A494="M",0,_xlfn.XLOOKUP($D494,Fontes!$B:$B,Fontes!$I:$I))</f>
        <v>0</v>
      </c>
      <c r="L494" s="267">
        <f t="shared" si="64"/>
        <v>0</v>
      </c>
      <c r="M494" s="500">
        <f t="shared" ref="M494:M540" si="66">ROUND(H494*L494,2)</f>
        <v>0</v>
      </c>
      <c r="N494" s="264"/>
      <c r="O494" s="517" t="str">
        <f t="shared" si="65"/>
        <v/>
      </c>
    </row>
    <row r="495" spans="1:15" outlineLevel="4" x14ac:dyDescent="0.3">
      <c r="A495" s="35"/>
      <c r="B495" s="36"/>
      <c r="C495" s="495" t="s">
        <v>10161</v>
      </c>
      <c r="D495" s="479" t="s">
        <v>523</v>
      </c>
      <c r="E495" s="249" t="str">
        <f>UPPER(IF($D495=0,"",IF($A495=4,_xlfn.XLOOKUP($D495,Mercado!$C:$C,Mercado!$E:$E),_xlfn.XLOOKUP($D495,Fontes!$B:$B,Fontes!$C:$C))))</f>
        <v>CPOS/CDHU</v>
      </c>
      <c r="F495" s="327" t="s">
        <v>3569</v>
      </c>
      <c r="G495" s="249" t="str">
        <f>UPPER(IF($D495=0,"",IF($A495=4,_xlfn.XLOOKUP($D495,Mercado!$C:$C,Mercado!$G:$G),_xlfn.XLOOKUP($D495,Fontes!$B:$B,Fontes!$E:$E))))</f>
        <v>UN</v>
      </c>
      <c r="H495" s="252">
        <v>30</v>
      </c>
      <c r="I495" s="252">
        <f>IF($A495="M",_xlfn.XLOOKUP($D495,Mercado!$C:$C,Mercado!$I:$I),_xlfn.XLOOKUP($D495,Fontes!$B:$B,Fontes!$J:$J))</f>
        <v>9.68</v>
      </c>
      <c r="J495" s="252">
        <f>IF($A495="M",_xlfn.XLOOKUP($D495,Mercado!$C:$C,Mercado!$J:$J),_xlfn.XLOOKUP($D495,Fontes!$B:$B,Fontes!$H:$H))</f>
        <v>1.82</v>
      </c>
      <c r="K495" s="252">
        <f>IF($A495="M",0,_xlfn.XLOOKUP($D495,Fontes!$B:$B,Fontes!$I:$I))</f>
        <v>0</v>
      </c>
      <c r="L495" s="250">
        <f t="shared" si="64"/>
        <v>11.5</v>
      </c>
      <c r="M495" s="300">
        <f t="shared" si="66"/>
        <v>345</v>
      </c>
      <c r="O495" s="517">
        <f t="shared" si="65"/>
        <v>345</v>
      </c>
    </row>
    <row r="496" spans="1:15" ht="57.6" outlineLevel="4" x14ac:dyDescent="0.3">
      <c r="A496" s="35"/>
      <c r="B496" s="36"/>
      <c r="C496" s="495" t="s">
        <v>10162</v>
      </c>
      <c r="D496" s="479">
        <v>91944</v>
      </c>
      <c r="E496" s="249" t="str">
        <f>UPPER(IF($D496=0,"",IF($A496=4,_xlfn.XLOOKUP($D496,Mercado!$C:$C,Mercado!$E:$E),_xlfn.XLOOKUP($D496,Fontes!$B:$B,Fontes!$C:$C))))</f>
        <v>SINAPI</v>
      </c>
      <c r="F496" s="327" t="s">
        <v>30</v>
      </c>
      <c r="G496" s="249" t="str">
        <f>UPPER(IF($D496=0,"",IF($A496=4,_xlfn.XLOOKUP($D496,Mercado!$C:$C,Mercado!$G:$G),_xlfn.XLOOKUP($D496,Fontes!$B:$B,Fontes!$E:$E))))</f>
        <v>UN</v>
      </c>
      <c r="H496" s="252">
        <v>30</v>
      </c>
      <c r="I496" s="252">
        <f>IF($A496="M",_xlfn.XLOOKUP($D496,Mercado!$C:$C,Mercado!$I:$I),_xlfn.XLOOKUP($D496,Fontes!$B:$B,Fontes!$J:$J))</f>
        <v>9.6999999999999993</v>
      </c>
      <c r="J496" s="252">
        <f>IF($A496="M",_xlfn.XLOOKUP($D496,Mercado!$C:$C,Mercado!$J:$J),_xlfn.XLOOKUP($D496,Fontes!$B:$B,Fontes!$H:$H))</f>
        <v>9.64</v>
      </c>
      <c r="K496" s="252">
        <f>IF($A496="M",0,_xlfn.XLOOKUP($D496,Fontes!$B:$B,Fontes!$I:$I))</f>
        <v>0.86</v>
      </c>
      <c r="L496" s="250">
        <f t="shared" si="64"/>
        <v>20.2</v>
      </c>
      <c r="M496" s="300">
        <f t="shared" si="66"/>
        <v>606</v>
      </c>
      <c r="O496" s="517">
        <f t="shared" si="65"/>
        <v>606</v>
      </c>
    </row>
    <row r="497" spans="1:15" ht="57.6" outlineLevel="4" x14ac:dyDescent="0.3">
      <c r="A497" s="35"/>
      <c r="B497" s="36"/>
      <c r="C497" s="495" t="s">
        <v>10163</v>
      </c>
      <c r="D497" s="479">
        <v>91837</v>
      </c>
      <c r="E497" s="249" t="str">
        <f>UPPER(IF($D497=0,"",IF($A497=4,_xlfn.XLOOKUP($D497,Mercado!$C:$C,Mercado!$E:$E),_xlfn.XLOOKUP($D497,Fontes!$B:$B,Fontes!$C:$C))))</f>
        <v>SINAPI</v>
      </c>
      <c r="F497" s="327" t="s">
        <v>195</v>
      </c>
      <c r="G497" s="249" t="str">
        <f>UPPER(IF($D497=0,"",IF($A497=4,_xlfn.XLOOKUP($D497,Mercado!$C:$C,Mercado!$G:$G),_xlfn.XLOOKUP($D497,Fontes!$B:$B,Fontes!$E:$E))))</f>
        <v>M</v>
      </c>
      <c r="H497" s="252">
        <v>120</v>
      </c>
      <c r="I497" s="252">
        <f>IF($A497="M",_xlfn.XLOOKUP($D497,Mercado!$C:$C,Mercado!$I:$I),_xlfn.XLOOKUP($D497,Fontes!$B:$B,Fontes!$J:$J))</f>
        <v>14.21</v>
      </c>
      <c r="J497" s="252">
        <f>IF($A497="M",_xlfn.XLOOKUP($D497,Mercado!$C:$C,Mercado!$J:$J),_xlfn.XLOOKUP($D497,Fontes!$B:$B,Fontes!$H:$H))</f>
        <v>13.45</v>
      </c>
      <c r="K497" s="252">
        <f>IF($A497="M",0,_xlfn.XLOOKUP($D497,Fontes!$B:$B,Fontes!$I:$I))</f>
        <v>1</v>
      </c>
      <c r="L497" s="250">
        <f t="shared" si="64"/>
        <v>28.66</v>
      </c>
      <c r="M497" s="300">
        <f t="shared" si="66"/>
        <v>3439.2</v>
      </c>
      <c r="O497" s="517">
        <f t="shared" si="65"/>
        <v>3439.2</v>
      </c>
    </row>
    <row r="498" spans="1:15" ht="57.6" outlineLevel="4" x14ac:dyDescent="0.3">
      <c r="A498" s="35"/>
      <c r="B498" s="36"/>
      <c r="C498" s="495" t="s">
        <v>10164</v>
      </c>
      <c r="D498" s="487">
        <v>95758</v>
      </c>
      <c r="E498" s="249" t="str">
        <f>UPPER(IF($D498=0,"",IF($A498=4,_xlfn.XLOOKUP($D498,Mercado!$C:$C,Mercado!$E:$E),_xlfn.XLOOKUP($D498,Fontes!$B:$B,Fontes!$C:$C))))</f>
        <v>SINAPI</v>
      </c>
      <c r="F498" s="327" t="s">
        <v>25</v>
      </c>
      <c r="G498" s="249" t="str">
        <f>UPPER(IF($D498=0,"",IF($A498=4,_xlfn.XLOOKUP($D498,Mercado!$C:$C,Mercado!$G:$G),_xlfn.XLOOKUP($D498,Fontes!$B:$B,Fontes!$E:$E))))</f>
        <v>UN</v>
      </c>
      <c r="H498" s="252">
        <v>30</v>
      </c>
      <c r="I498" s="252">
        <f>IF($A498="M",_xlfn.XLOOKUP($D498,Mercado!$C:$C,Mercado!$I:$I),_xlfn.XLOOKUP($D498,Fontes!$B:$B,Fontes!$J:$J))</f>
        <v>5.15</v>
      </c>
      <c r="J498" s="252">
        <f>IF($A498="M",_xlfn.XLOOKUP($D498,Mercado!$C:$C,Mercado!$J:$J),_xlfn.XLOOKUP($D498,Fontes!$B:$B,Fontes!$H:$H))</f>
        <v>11.32</v>
      </c>
      <c r="K498" s="252">
        <f>IF($A498="M",0,_xlfn.XLOOKUP($D498,Fontes!$B:$B,Fontes!$I:$I))</f>
        <v>1</v>
      </c>
      <c r="L498" s="250">
        <f t="shared" si="64"/>
        <v>17.47</v>
      </c>
      <c r="M498" s="300">
        <f t="shared" si="66"/>
        <v>524.1</v>
      </c>
      <c r="O498" s="517">
        <f t="shared" si="65"/>
        <v>524.1</v>
      </c>
    </row>
    <row r="499" spans="1:15" ht="57.6" outlineLevel="4" x14ac:dyDescent="0.3">
      <c r="A499" s="35"/>
      <c r="B499" s="36"/>
      <c r="C499" s="495" t="s">
        <v>10165</v>
      </c>
      <c r="D499" s="479">
        <v>97551</v>
      </c>
      <c r="E499" s="249" t="str">
        <f>UPPER(IF($D499=0,"",IF($A499=4,_xlfn.XLOOKUP($D499,Mercado!$C:$C,Mercado!$E:$E),_xlfn.XLOOKUP($D499,Fontes!$B:$B,Fontes!$C:$C))))</f>
        <v>SINAPI</v>
      </c>
      <c r="F499" s="327" t="s">
        <v>336</v>
      </c>
      <c r="G499" s="249" t="str">
        <f>UPPER(IF($D499=0,"",IF($A499=4,_xlfn.XLOOKUP($D499,Mercado!$C:$C,Mercado!$G:$G),_xlfn.XLOOKUP($D499,Fontes!$B:$B,Fontes!$E:$E))))</f>
        <v>UN</v>
      </c>
      <c r="H499" s="252">
        <v>45</v>
      </c>
      <c r="I499" s="252">
        <f>IF($A499="M",_xlfn.XLOOKUP($D499,Mercado!$C:$C,Mercado!$I:$I),_xlfn.XLOOKUP($D499,Fontes!$B:$B,Fontes!$J:$J))</f>
        <v>52.55</v>
      </c>
      <c r="J499" s="252">
        <f>IF($A499="M",_xlfn.XLOOKUP($D499,Mercado!$C:$C,Mercado!$J:$J),_xlfn.XLOOKUP($D499,Fontes!$B:$B,Fontes!$H:$H))</f>
        <v>50.19</v>
      </c>
      <c r="K499" s="252">
        <f>IF($A499="M",0,_xlfn.XLOOKUP($D499,Fontes!$B:$B,Fontes!$I:$I))</f>
        <v>4.1100000000000003</v>
      </c>
      <c r="L499" s="250">
        <f t="shared" si="64"/>
        <v>106.85</v>
      </c>
      <c r="M499" s="300">
        <f t="shared" si="66"/>
        <v>4808.25</v>
      </c>
      <c r="O499" s="517">
        <f t="shared" si="65"/>
        <v>4808.25</v>
      </c>
    </row>
    <row r="500" spans="1:15" ht="57.6" outlineLevel="4" x14ac:dyDescent="0.3">
      <c r="A500" s="35"/>
      <c r="B500" s="36"/>
      <c r="C500" s="495" t="s">
        <v>10166</v>
      </c>
      <c r="D500" s="479">
        <v>95746</v>
      </c>
      <c r="E500" s="249" t="str">
        <f>UPPER(IF($D500=0,"",IF($A500=4,_xlfn.XLOOKUP($D500,Mercado!$C:$C,Mercado!$E:$E),_xlfn.XLOOKUP($D500,Fontes!$B:$B,Fontes!$C:$C))))</f>
        <v>SINAPI</v>
      </c>
      <c r="F500" s="327" t="s">
        <v>22</v>
      </c>
      <c r="G500" s="249" t="str">
        <f>UPPER(IF($D500=0,"",IF($A500=4,_xlfn.XLOOKUP($D500,Mercado!$C:$C,Mercado!$G:$G),_xlfn.XLOOKUP($D500,Fontes!$B:$B,Fontes!$E:$E))))</f>
        <v>M</v>
      </c>
      <c r="H500" s="252">
        <v>120</v>
      </c>
      <c r="I500" s="252">
        <f>IF($A500="M",_xlfn.XLOOKUP($D500,Mercado!$C:$C,Mercado!$I:$I),_xlfn.XLOOKUP($D500,Fontes!$B:$B,Fontes!$J:$J))</f>
        <v>31.48</v>
      </c>
      <c r="J500" s="252">
        <f>IF($A500="M",_xlfn.XLOOKUP($D500,Mercado!$C:$C,Mercado!$J:$J),_xlfn.XLOOKUP($D500,Fontes!$B:$B,Fontes!$H:$H))</f>
        <v>15.92</v>
      </c>
      <c r="K500" s="252">
        <f>IF($A500="M",0,_xlfn.XLOOKUP($D500,Fontes!$B:$B,Fontes!$I:$I))</f>
        <v>1.22</v>
      </c>
      <c r="L500" s="250">
        <f t="shared" si="64"/>
        <v>48.62</v>
      </c>
      <c r="M500" s="300">
        <f t="shared" si="66"/>
        <v>5834.4</v>
      </c>
      <c r="O500" s="517">
        <f t="shared" si="65"/>
        <v>5834.4</v>
      </c>
    </row>
    <row r="501" spans="1:15" ht="57.6" outlineLevel="4" x14ac:dyDescent="0.3">
      <c r="A501" s="35"/>
      <c r="B501" s="36"/>
      <c r="C501" s="495" t="s">
        <v>10167</v>
      </c>
      <c r="D501" s="479">
        <v>11303</v>
      </c>
      <c r="E501" s="249" t="str">
        <f>UPPER(IF($D501=0,"",IF($A501=4,_xlfn.XLOOKUP($D501,Mercado!$C:$C,Mercado!$E:$E),_xlfn.XLOOKUP($D501,Fontes!$B:$B,Fontes!$C:$C))))</f>
        <v>ORSE</v>
      </c>
      <c r="F501" s="327" t="s">
        <v>3570</v>
      </c>
      <c r="G501" s="249" t="str">
        <f>UPPER(IF($D501=0,"",IF($A501=4,_xlfn.XLOOKUP($D501,Mercado!$C:$C,Mercado!$G:$G),_xlfn.XLOOKUP($D501,Fontes!$B:$B,Fontes!$E:$E))))</f>
        <v>UN</v>
      </c>
      <c r="H501" s="252">
        <v>30</v>
      </c>
      <c r="I501" s="252">
        <f>IF($A501="M",_xlfn.XLOOKUP($D501,Mercado!$C:$C,Mercado!$I:$I),_xlfn.XLOOKUP($D501,Fontes!$B:$B,Fontes!$J:$J))</f>
        <v>5.85</v>
      </c>
      <c r="J501" s="252">
        <f>IF($A501="M",_xlfn.XLOOKUP($D501,Mercado!$C:$C,Mercado!$J:$J),_xlfn.XLOOKUP($D501,Fontes!$B:$B,Fontes!$H:$H))</f>
        <v>1.1499999999999999</v>
      </c>
      <c r="K501" s="252">
        <f>IF($A501="M",0,_xlfn.XLOOKUP($D501,Fontes!$B:$B,Fontes!$I:$I))</f>
        <v>0</v>
      </c>
      <c r="L501" s="250">
        <f t="shared" si="64"/>
        <v>7</v>
      </c>
      <c r="M501" s="300">
        <f t="shared" si="66"/>
        <v>210</v>
      </c>
      <c r="O501" s="517">
        <f t="shared" si="65"/>
        <v>210</v>
      </c>
    </row>
    <row r="502" spans="1:15" outlineLevel="4" x14ac:dyDescent="0.3">
      <c r="A502" s="35"/>
      <c r="B502" s="36"/>
      <c r="C502" s="495" t="s">
        <v>10168</v>
      </c>
      <c r="D502" s="479">
        <v>68020</v>
      </c>
      <c r="E502" s="249" t="str">
        <f>UPPER(IF($D502=0,"",IF($A502=4,_xlfn.XLOOKUP($D502,Mercado!$C:$C,Mercado!$E:$E),_xlfn.XLOOKUP($D502,Fontes!$B:$B,Fontes!$C:$C))))</f>
        <v>SBC</v>
      </c>
      <c r="F502" s="327" t="s">
        <v>595</v>
      </c>
      <c r="G502" s="249" t="str">
        <f>UPPER(IF($D502=0,"",IF($A502=4,_xlfn.XLOOKUP($D502,Mercado!$C:$C,Mercado!$G:$G),_xlfn.XLOOKUP($D502,Fontes!$B:$B,Fontes!$E:$E))))</f>
        <v>UN</v>
      </c>
      <c r="H502" s="252">
        <v>30</v>
      </c>
      <c r="I502" s="252">
        <f>IF($A502="M",_xlfn.XLOOKUP($D502,Mercado!$C:$C,Mercado!$I:$I),_xlfn.XLOOKUP($D502,Fontes!$B:$B,Fontes!$J:$J))</f>
        <v>3.01</v>
      </c>
      <c r="J502" s="252">
        <f>IF($A502="M",_xlfn.XLOOKUP($D502,Mercado!$C:$C,Mercado!$J:$J),_xlfn.XLOOKUP($D502,Fontes!$B:$B,Fontes!$H:$H))</f>
        <v>0.78</v>
      </c>
      <c r="K502" s="252">
        <f>IF($A502="M",0,_xlfn.XLOOKUP($D502,Fontes!$B:$B,Fontes!$I:$I))</f>
        <v>0</v>
      </c>
      <c r="L502" s="250">
        <f t="shared" si="64"/>
        <v>3.79</v>
      </c>
      <c r="M502" s="300">
        <f t="shared" si="66"/>
        <v>113.7</v>
      </c>
      <c r="O502" s="517">
        <f t="shared" si="65"/>
        <v>113.7</v>
      </c>
    </row>
    <row r="503" spans="1:15" ht="38.4" outlineLevel="4" x14ac:dyDescent="0.3">
      <c r="A503" s="35"/>
      <c r="B503" s="36"/>
      <c r="C503" s="495" t="s">
        <v>10169</v>
      </c>
      <c r="D503" s="479">
        <v>724</v>
      </c>
      <c r="E503" s="249" t="str">
        <f>UPPER(IF($D503=0,"",IF($A503=4,_xlfn.XLOOKUP($D503,Mercado!$C:$C,Mercado!$E:$E),_xlfn.XLOOKUP($D503,Fontes!$B:$B,Fontes!$C:$C))))</f>
        <v>ORSE</v>
      </c>
      <c r="F503" s="327" t="s">
        <v>3571</v>
      </c>
      <c r="G503" s="249" t="str">
        <f>UPPER(IF($D503=0,"",IF($A503=4,_xlfn.XLOOKUP($D503,Mercado!$C:$C,Mercado!$G:$G),_xlfn.XLOOKUP($D503,Fontes!$B:$B,Fontes!$E:$E))))</f>
        <v>UN</v>
      </c>
      <c r="H503" s="252">
        <v>30</v>
      </c>
      <c r="I503" s="252">
        <f>IF($A503="M",_xlfn.XLOOKUP($D503,Mercado!$C:$C,Mercado!$I:$I),_xlfn.XLOOKUP($D503,Fontes!$B:$B,Fontes!$J:$J))</f>
        <v>2.54</v>
      </c>
      <c r="J503" s="252">
        <f>IF($A503="M",_xlfn.XLOOKUP($D503,Mercado!$C:$C,Mercado!$J:$J),_xlfn.XLOOKUP($D503,Fontes!$B:$B,Fontes!$H:$H))</f>
        <v>4.32</v>
      </c>
      <c r="K503" s="252">
        <f>IF($A503="M",0,_xlfn.XLOOKUP($D503,Fontes!$B:$B,Fontes!$I:$I))</f>
        <v>0</v>
      </c>
      <c r="L503" s="250">
        <f t="shared" si="64"/>
        <v>6.86</v>
      </c>
      <c r="M503" s="300">
        <f t="shared" si="66"/>
        <v>205.8</v>
      </c>
      <c r="O503" s="517">
        <f t="shared" si="65"/>
        <v>205.8</v>
      </c>
    </row>
    <row r="504" spans="1:15" ht="38.4" outlineLevel="4" x14ac:dyDescent="0.3">
      <c r="A504" s="35"/>
      <c r="B504" s="36"/>
      <c r="C504" s="495" t="s">
        <v>10170</v>
      </c>
      <c r="D504" s="479">
        <v>8351</v>
      </c>
      <c r="E504" s="249" t="str">
        <f>UPPER(IF($D504=0,"",IF($A504=4,_xlfn.XLOOKUP($D504,Mercado!$C:$C,Mercado!$E:$E),_xlfn.XLOOKUP($D504,Fontes!$B:$B,Fontes!$C:$C))))</f>
        <v>ORSE</v>
      </c>
      <c r="F504" s="327" t="s">
        <v>3572</v>
      </c>
      <c r="G504" s="249" t="str">
        <f>UPPER(IF($D504=0,"",IF($A504=4,_xlfn.XLOOKUP($D504,Mercado!$C:$C,Mercado!$G:$G),_xlfn.XLOOKUP($D504,Fontes!$B:$B,Fontes!$E:$E))))</f>
        <v>UN</v>
      </c>
      <c r="H504" s="252">
        <v>60</v>
      </c>
      <c r="I504" s="252">
        <f>IF($A504="M",_xlfn.XLOOKUP($D504,Mercado!$C:$C,Mercado!$I:$I),_xlfn.XLOOKUP($D504,Fontes!$B:$B,Fontes!$J:$J))</f>
        <v>0.98</v>
      </c>
      <c r="J504" s="252">
        <f>IF($A504="M",_xlfn.XLOOKUP($D504,Mercado!$C:$C,Mercado!$J:$J),_xlfn.XLOOKUP($D504,Fontes!$B:$B,Fontes!$H:$H))</f>
        <v>3.61</v>
      </c>
      <c r="K504" s="252">
        <f>IF($A504="M",0,_xlfn.XLOOKUP($D504,Fontes!$B:$B,Fontes!$I:$I))</f>
        <v>0</v>
      </c>
      <c r="L504" s="250">
        <f t="shared" si="64"/>
        <v>4.59</v>
      </c>
      <c r="M504" s="300">
        <f t="shared" si="66"/>
        <v>275.39999999999998</v>
      </c>
      <c r="O504" s="517">
        <f t="shared" si="65"/>
        <v>275.39999999999998</v>
      </c>
    </row>
    <row r="505" spans="1:15" outlineLevel="4" x14ac:dyDescent="0.3">
      <c r="A505" s="35"/>
      <c r="B505" s="36"/>
      <c r="C505" s="495" t="s">
        <v>10171</v>
      </c>
      <c r="D505" s="479">
        <v>12495</v>
      </c>
      <c r="E505" s="249" t="str">
        <f>UPPER(IF($D505=0,"",IF($A505=4,_xlfn.XLOOKUP($D505,Mercado!$C:$C,Mercado!$E:$E),_xlfn.XLOOKUP($D505,Fontes!$B:$B,Fontes!$C:$C))))</f>
        <v>ORSE</v>
      </c>
      <c r="F505" s="327" t="s">
        <v>3573</v>
      </c>
      <c r="G505" s="249" t="str">
        <f>UPPER(IF($D505=0,"",IF($A505=4,_xlfn.XLOOKUP($D505,Mercado!$C:$C,Mercado!$G:$G),_xlfn.XLOOKUP($D505,Fontes!$B:$B,Fontes!$E:$E))))</f>
        <v>UN</v>
      </c>
      <c r="H505" s="252">
        <v>60</v>
      </c>
      <c r="I505" s="252">
        <f>IF($A505="M",_xlfn.XLOOKUP($D505,Mercado!$C:$C,Mercado!$I:$I),_xlfn.XLOOKUP($D505,Fontes!$B:$B,Fontes!$J:$J))</f>
        <v>1.77</v>
      </c>
      <c r="J505" s="252">
        <f>IF($A505="M",_xlfn.XLOOKUP($D505,Mercado!$C:$C,Mercado!$J:$J),_xlfn.XLOOKUP($D505,Fontes!$B:$B,Fontes!$H:$H))</f>
        <v>3.61</v>
      </c>
      <c r="K505" s="252">
        <f>IF($A505="M",0,_xlfn.XLOOKUP($D505,Fontes!$B:$B,Fontes!$I:$I))</f>
        <v>0</v>
      </c>
      <c r="L505" s="250">
        <f t="shared" si="64"/>
        <v>5.38</v>
      </c>
      <c r="M505" s="300">
        <f t="shared" si="66"/>
        <v>322.8</v>
      </c>
      <c r="O505" s="517">
        <f t="shared" si="65"/>
        <v>322.8</v>
      </c>
    </row>
    <row r="506" spans="1:15" outlineLevel="4" x14ac:dyDescent="0.3">
      <c r="A506" s="35"/>
      <c r="B506" s="36"/>
      <c r="C506" s="495" t="s">
        <v>10172</v>
      </c>
      <c r="D506" s="479">
        <v>12538</v>
      </c>
      <c r="E506" s="249" t="str">
        <f>UPPER(IF($D506=0,"",IF($A506=4,_xlfn.XLOOKUP($D506,Mercado!$C:$C,Mercado!$E:$E),_xlfn.XLOOKUP($D506,Fontes!$B:$B,Fontes!$C:$C))))</f>
        <v>ORSE</v>
      </c>
      <c r="F506" s="327" t="s">
        <v>3574</v>
      </c>
      <c r="G506" s="249" t="str">
        <f>UPPER(IF($D506=0,"",IF($A506=4,_xlfn.XLOOKUP($D506,Mercado!$C:$C,Mercado!$G:$G),_xlfn.XLOOKUP($D506,Fontes!$B:$B,Fontes!$E:$E))))</f>
        <v>UN</v>
      </c>
      <c r="H506" s="252">
        <v>60</v>
      </c>
      <c r="I506" s="252">
        <f>IF($A506="M",_xlfn.XLOOKUP($D506,Mercado!$C:$C,Mercado!$I:$I),_xlfn.XLOOKUP($D506,Fontes!$B:$B,Fontes!$J:$J))</f>
        <v>0.13</v>
      </c>
      <c r="J506" s="252">
        <f>IF($A506="M",_xlfn.XLOOKUP($D506,Mercado!$C:$C,Mercado!$J:$J),_xlfn.XLOOKUP($D506,Fontes!$B:$B,Fontes!$H:$H))</f>
        <v>0.36</v>
      </c>
      <c r="K506" s="252">
        <f>IF($A506="M",0,_xlfn.XLOOKUP($D506,Fontes!$B:$B,Fontes!$I:$I))</f>
        <v>0</v>
      </c>
      <c r="L506" s="250">
        <f t="shared" si="64"/>
        <v>0.49</v>
      </c>
      <c r="M506" s="300">
        <f t="shared" si="66"/>
        <v>29.4</v>
      </c>
      <c r="O506" s="517">
        <f t="shared" ref="O506" si="67">IF(D506&lt;&gt;0,M506,"")</f>
        <v>29.4</v>
      </c>
    </row>
    <row r="507" spans="1:15" outlineLevel="4" x14ac:dyDescent="0.3">
      <c r="A507" s="35"/>
      <c r="B507" s="36"/>
      <c r="C507" s="495" t="s">
        <v>10173</v>
      </c>
      <c r="D507" s="479">
        <v>9090038</v>
      </c>
      <c r="E507" s="249" t="str">
        <f>UPPER(IF($D507=0,"",IF($A507=4,_xlfn.XLOOKUP($D507,Mercado!$C:$C,Mercado!$E:$E),_xlfn.XLOOKUP($D507,Fontes!$B:$B,Fontes!$C:$C))))</f>
        <v>SIURB</v>
      </c>
      <c r="F507" s="251" t="s">
        <v>8622</v>
      </c>
      <c r="G507" s="249" t="str">
        <f>UPPER(IF($D507=0,"",IF($A507=4,_xlfn.XLOOKUP($D507,Mercado!$C:$C,Mercado!$G:$G),_xlfn.XLOOKUP($D507,Fontes!$B:$B,Fontes!$E:$E))))</f>
        <v>M</v>
      </c>
      <c r="H507" s="252">
        <v>480</v>
      </c>
      <c r="I507" s="252">
        <f>IF($A507="M",_xlfn.XLOOKUP($D507,Mercado!$C:$C,Mercado!$I:$I),_xlfn.XLOOKUP($D507,Fontes!$B:$B,Fontes!$J:$J))</f>
        <v>5.09</v>
      </c>
      <c r="J507" s="252">
        <f>IF($A507="M",_xlfn.XLOOKUP($D507,Mercado!$C:$C,Mercado!$J:$J),_xlfn.XLOOKUP($D507,Fontes!$B:$B,Fontes!$H:$H))</f>
        <v>0</v>
      </c>
      <c r="K507" s="252">
        <f>IF($A507="M",0,_xlfn.XLOOKUP($D507,Fontes!$B:$B,Fontes!$I:$I))</f>
        <v>0</v>
      </c>
      <c r="L507" s="250">
        <f t="shared" si="64"/>
        <v>5.09</v>
      </c>
      <c r="M507" s="300">
        <f t="shared" si="66"/>
        <v>2443.1999999999998</v>
      </c>
      <c r="O507" s="517">
        <f t="shared" si="65"/>
        <v>2443.1999999999998</v>
      </c>
    </row>
    <row r="508" spans="1:15" s="265" customFormat="1" outlineLevel="3" x14ac:dyDescent="0.3">
      <c r="A508" s="263" t="s">
        <v>7</v>
      </c>
      <c r="B508" s="263"/>
      <c r="C508" s="504" t="s">
        <v>10174</v>
      </c>
      <c r="D508" s="266"/>
      <c r="E508" s="249" t="str">
        <f>UPPER(IF($D508=0,"",IF($A508=4,_xlfn.XLOOKUP($D508,Mercado!$C:$C,Mercado!$E:$E),_xlfn.XLOOKUP($D508,Fontes!$B:$B,Fontes!$C:$C))))</f>
        <v/>
      </c>
      <c r="F508" s="332" t="s">
        <v>861</v>
      </c>
      <c r="G508" s="266"/>
      <c r="H508" s="267"/>
      <c r="I508" s="267">
        <f>IF($A508="M",_xlfn.XLOOKUP($D508,Mercado!$C:$C,Mercado!$I:$I),_xlfn.XLOOKUP($D508,Fontes!$B:$B,Fontes!$J:$J))</f>
        <v>0</v>
      </c>
      <c r="J508" s="267">
        <f>IF($A508="M",_xlfn.XLOOKUP($D508,Mercado!$C:$C,Mercado!$J:$J),_xlfn.XLOOKUP($D508,Fontes!$B:$B,Fontes!$H:$H))</f>
        <v>0</v>
      </c>
      <c r="K508" s="267">
        <f>IF($A508="M",0,_xlfn.XLOOKUP($D508,Fontes!$B:$B,Fontes!$I:$I))</f>
        <v>0</v>
      </c>
      <c r="L508" s="267">
        <f t="shared" si="64"/>
        <v>0</v>
      </c>
      <c r="M508" s="500">
        <f t="shared" si="66"/>
        <v>0</v>
      </c>
      <c r="N508" s="264"/>
      <c r="O508" s="517" t="str">
        <f t="shared" si="65"/>
        <v/>
      </c>
    </row>
    <row r="509" spans="1:15" outlineLevel="4" x14ac:dyDescent="0.3">
      <c r="A509" s="35"/>
      <c r="B509" s="36"/>
      <c r="C509" s="495" t="s">
        <v>10175</v>
      </c>
      <c r="D509" s="479" t="s">
        <v>523</v>
      </c>
      <c r="E509" s="249" t="str">
        <f>UPPER(IF($D509=0,"",IF($A509=4,_xlfn.XLOOKUP($D509,Mercado!$C:$C,Mercado!$E:$E),_xlfn.XLOOKUP($D509,Fontes!$B:$B,Fontes!$C:$C))))</f>
        <v>CPOS/CDHU</v>
      </c>
      <c r="F509" s="327" t="s">
        <v>3569</v>
      </c>
      <c r="G509" s="249" t="str">
        <f>UPPER(IF($D509=0,"",IF($A509=4,_xlfn.XLOOKUP($D509,Mercado!$C:$C,Mercado!$G:$G),_xlfn.XLOOKUP($D509,Fontes!$B:$B,Fontes!$E:$E))))</f>
        <v>UN</v>
      </c>
      <c r="H509" s="252">
        <v>1</v>
      </c>
      <c r="I509" s="252">
        <f>IF($A509="M",_xlfn.XLOOKUP($D509,Mercado!$C:$C,Mercado!$I:$I),_xlfn.XLOOKUP($D509,Fontes!$B:$B,Fontes!$J:$J))</f>
        <v>9.68</v>
      </c>
      <c r="J509" s="252">
        <f>IF($A509="M",_xlfn.XLOOKUP($D509,Mercado!$C:$C,Mercado!$J:$J),_xlfn.XLOOKUP($D509,Fontes!$B:$B,Fontes!$H:$H))</f>
        <v>1.82</v>
      </c>
      <c r="K509" s="252">
        <f>IF($A509="M",0,_xlfn.XLOOKUP($D509,Fontes!$B:$B,Fontes!$I:$I))</f>
        <v>0</v>
      </c>
      <c r="L509" s="250">
        <f t="shared" si="64"/>
        <v>11.5</v>
      </c>
      <c r="M509" s="300">
        <f t="shared" si="66"/>
        <v>11.5</v>
      </c>
      <c r="O509" s="517">
        <f t="shared" si="65"/>
        <v>11.5</v>
      </c>
    </row>
    <row r="510" spans="1:15" ht="57.6" outlineLevel="4" x14ac:dyDescent="0.3">
      <c r="A510" s="35"/>
      <c r="B510" s="36"/>
      <c r="C510" s="495" t="s">
        <v>10176</v>
      </c>
      <c r="D510" s="479">
        <v>91944</v>
      </c>
      <c r="E510" s="249" t="str">
        <f>UPPER(IF($D510=0,"",IF($A510=4,_xlfn.XLOOKUP($D510,Mercado!$C:$C,Mercado!$E:$E),_xlfn.XLOOKUP($D510,Fontes!$B:$B,Fontes!$C:$C))))</f>
        <v>SINAPI</v>
      </c>
      <c r="F510" s="327" t="s">
        <v>30</v>
      </c>
      <c r="G510" s="249" t="str">
        <f>UPPER(IF($D510=0,"",IF($A510=4,_xlfn.XLOOKUP($D510,Mercado!$C:$C,Mercado!$G:$G),_xlfn.XLOOKUP($D510,Fontes!$B:$B,Fontes!$E:$E))))</f>
        <v>UN</v>
      </c>
      <c r="H510" s="252">
        <v>1</v>
      </c>
      <c r="I510" s="252">
        <f>IF($A510="M",_xlfn.XLOOKUP($D510,Mercado!$C:$C,Mercado!$I:$I),_xlfn.XLOOKUP($D510,Fontes!$B:$B,Fontes!$J:$J))</f>
        <v>9.6999999999999993</v>
      </c>
      <c r="J510" s="252">
        <f>IF($A510="M",_xlfn.XLOOKUP($D510,Mercado!$C:$C,Mercado!$J:$J),_xlfn.XLOOKUP($D510,Fontes!$B:$B,Fontes!$H:$H))</f>
        <v>9.64</v>
      </c>
      <c r="K510" s="252">
        <f>IF($A510="M",0,_xlfn.XLOOKUP($D510,Fontes!$B:$B,Fontes!$I:$I))</f>
        <v>0.86</v>
      </c>
      <c r="L510" s="250">
        <f t="shared" si="64"/>
        <v>20.2</v>
      </c>
      <c r="M510" s="300">
        <f t="shared" si="66"/>
        <v>20.2</v>
      </c>
      <c r="O510" s="517">
        <f t="shared" si="65"/>
        <v>20.2</v>
      </c>
    </row>
    <row r="511" spans="1:15" ht="57.6" outlineLevel="4" x14ac:dyDescent="0.3">
      <c r="A511" s="35"/>
      <c r="B511" s="36"/>
      <c r="C511" s="495" t="s">
        <v>10177</v>
      </c>
      <c r="D511" s="479">
        <v>97551</v>
      </c>
      <c r="E511" s="249" t="str">
        <f>UPPER(IF($D511=0,"",IF($A511=4,_xlfn.XLOOKUP($D511,Mercado!$C:$C,Mercado!$E:$E),_xlfn.XLOOKUP($D511,Fontes!$B:$B,Fontes!$C:$C))))</f>
        <v>SINAPI</v>
      </c>
      <c r="F511" s="327" t="s">
        <v>336</v>
      </c>
      <c r="G511" s="249" t="str">
        <f>UPPER(IF($D511=0,"",IF($A511=4,_xlfn.XLOOKUP($D511,Mercado!$C:$C,Mercado!$G:$G),_xlfn.XLOOKUP($D511,Fontes!$B:$B,Fontes!$E:$E))))</f>
        <v>UN</v>
      </c>
      <c r="H511" s="252">
        <v>1</v>
      </c>
      <c r="I511" s="252">
        <f>IF($A511="M",_xlfn.XLOOKUP($D511,Mercado!$C:$C,Mercado!$I:$I),_xlfn.XLOOKUP($D511,Fontes!$B:$B,Fontes!$J:$J))</f>
        <v>52.55</v>
      </c>
      <c r="J511" s="252">
        <f>IF($A511="M",_xlfn.XLOOKUP($D511,Mercado!$C:$C,Mercado!$J:$J),_xlfn.XLOOKUP($D511,Fontes!$B:$B,Fontes!$H:$H))</f>
        <v>50.19</v>
      </c>
      <c r="K511" s="252">
        <f>IF($A511="M",0,_xlfn.XLOOKUP($D511,Fontes!$B:$B,Fontes!$I:$I))</f>
        <v>4.1100000000000003</v>
      </c>
      <c r="L511" s="250">
        <f t="shared" si="64"/>
        <v>106.85</v>
      </c>
      <c r="M511" s="300">
        <f t="shared" si="66"/>
        <v>106.85</v>
      </c>
      <c r="O511" s="517">
        <f t="shared" si="65"/>
        <v>106.85</v>
      </c>
    </row>
    <row r="512" spans="1:15" ht="57.6" outlineLevel="4" x14ac:dyDescent="0.3">
      <c r="A512" s="35"/>
      <c r="B512" s="36"/>
      <c r="C512" s="495" t="s">
        <v>10178</v>
      </c>
      <c r="D512" s="479">
        <v>95750</v>
      </c>
      <c r="E512" s="249" t="str">
        <f>UPPER(IF($D512=0,"",IF($A512=4,_xlfn.XLOOKUP($D512,Mercado!$C:$C,Mercado!$E:$E),_xlfn.XLOOKUP($D512,Fontes!$B:$B,Fontes!$C:$C))))</f>
        <v>SINAPI</v>
      </c>
      <c r="F512" s="327" t="s">
        <v>24</v>
      </c>
      <c r="G512" s="249" t="str">
        <f>UPPER(IF($D512=0,"",IF($A512=4,_xlfn.XLOOKUP($D512,Mercado!$C:$C,Mercado!$G:$G),_xlfn.XLOOKUP($D512,Fontes!$B:$B,Fontes!$E:$E))))</f>
        <v>M</v>
      </c>
      <c r="H512" s="252">
        <v>4</v>
      </c>
      <c r="I512" s="252">
        <f>IF($A512="M",_xlfn.XLOOKUP($D512,Mercado!$C:$C,Mercado!$I:$I),_xlfn.XLOOKUP($D512,Fontes!$B:$B,Fontes!$J:$J))</f>
        <v>32.380000000000003</v>
      </c>
      <c r="J512" s="252">
        <f>IF($A512="M",_xlfn.XLOOKUP($D512,Mercado!$C:$C,Mercado!$J:$J),_xlfn.XLOOKUP($D512,Fontes!$B:$B,Fontes!$H:$H))</f>
        <v>21.47</v>
      </c>
      <c r="K512" s="252">
        <f>IF($A512="M",0,_xlfn.XLOOKUP($D512,Fontes!$B:$B,Fontes!$I:$I))</f>
        <v>1.75</v>
      </c>
      <c r="L512" s="250">
        <f t="shared" si="64"/>
        <v>55.6</v>
      </c>
      <c r="M512" s="300">
        <f t="shared" si="66"/>
        <v>222.4</v>
      </c>
      <c r="O512" s="517">
        <f t="shared" si="65"/>
        <v>222.4</v>
      </c>
    </row>
    <row r="513" spans="1:15" ht="57.6" outlineLevel="4" x14ac:dyDescent="0.3">
      <c r="A513" s="35"/>
      <c r="B513" s="36"/>
      <c r="C513" s="495" t="s">
        <v>10179</v>
      </c>
      <c r="D513" s="479">
        <v>11303</v>
      </c>
      <c r="E513" s="249" t="str">
        <f>UPPER(IF($D513=0,"",IF($A513=4,_xlfn.XLOOKUP($D513,Mercado!$C:$C,Mercado!$E:$E),_xlfn.XLOOKUP($D513,Fontes!$B:$B,Fontes!$C:$C))))</f>
        <v>ORSE</v>
      </c>
      <c r="F513" s="327" t="s">
        <v>3570</v>
      </c>
      <c r="G513" s="249" t="str">
        <f>UPPER(IF($D513=0,"",IF($A513=4,_xlfn.XLOOKUP($D513,Mercado!$C:$C,Mercado!$G:$G),_xlfn.XLOOKUP($D513,Fontes!$B:$B,Fontes!$E:$E))))</f>
        <v>UN</v>
      </c>
      <c r="H513" s="252">
        <v>2</v>
      </c>
      <c r="I513" s="252">
        <f>IF($A513="M",_xlfn.XLOOKUP($D513,Mercado!$C:$C,Mercado!$I:$I),_xlfn.XLOOKUP($D513,Fontes!$B:$B,Fontes!$J:$J))</f>
        <v>5.85</v>
      </c>
      <c r="J513" s="252">
        <f>IF($A513="M",_xlfn.XLOOKUP($D513,Mercado!$C:$C,Mercado!$J:$J),_xlfn.XLOOKUP($D513,Fontes!$B:$B,Fontes!$H:$H))</f>
        <v>1.1499999999999999</v>
      </c>
      <c r="K513" s="252">
        <f>IF($A513="M",0,_xlfn.XLOOKUP($D513,Fontes!$B:$B,Fontes!$I:$I))</f>
        <v>0</v>
      </c>
      <c r="L513" s="250">
        <f t="shared" si="64"/>
        <v>7</v>
      </c>
      <c r="M513" s="300">
        <f t="shared" si="66"/>
        <v>14</v>
      </c>
      <c r="O513" s="517">
        <f t="shared" si="65"/>
        <v>14</v>
      </c>
    </row>
    <row r="514" spans="1:15" outlineLevel="4" x14ac:dyDescent="0.3">
      <c r="A514" s="35"/>
      <c r="B514" s="36"/>
      <c r="C514" s="495" t="s">
        <v>10180</v>
      </c>
      <c r="D514" s="479">
        <v>68020</v>
      </c>
      <c r="E514" s="249" t="str">
        <f>UPPER(IF($D514=0,"",IF($A514=4,_xlfn.XLOOKUP($D514,Mercado!$C:$C,Mercado!$E:$E),_xlfn.XLOOKUP($D514,Fontes!$B:$B,Fontes!$C:$C))))</f>
        <v>SBC</v>
      </c>
      <c r="F514" s="327" t="s">
        <v>595</v>
      </c>
      <c r="G514" s="249" t="str">
        <f>UPPER(IF($D514=0,"",IF($A514=4,_xlfn.XLOOKUP($D514,Mercado!$C:$C,Mercado!$G:$G),_xlfn.XLOOKUP($D514,Fontes!$B:$B,Fontes!$E:$E))))</f>
        <v>UN</v>
      </c>
      <c r="H514" s="252">
        <v>2</v>
      </c>
      <c r="I514" s="252">
        <f>IF($A514="M",_xlfn.XLOOKUP($D514,Mercado!$C:$C,Mercado!$I:$I),_xlfn.XLOOKUP($D514,Fontes!$B:$B,Fontes!$J:$J))</f>
        <v>3.01</v>
      </c>
      <c r="J514" s="252">
        <f>IF($A514="M",_xlfn.XLOOKUP($D514,Mercado!$C:$C,Mercado!$J:$J),_xlfn.XLOOKUP($D514,Fontes!$B:$B,Fontes!$H:$H))</f>
        <v>0.78</v>
      </c>
      <c r="K514" s="252">
        <f>IF($A514="M",0,_xlfn.XLOOKUP($D514,Fontes!$B:$B,Fontes!$I:$I))</f>
        <v>0</v>
      </c>
      <c r="L514" s="250">
        <f t="shared" si="64"/>
        <v>3.79</v>
      </c>
      <c r="M514" s="300">
        <f t="shared" si="66"/>
        <v>7.58</v>
      </c>
      <c r="O514" s="517">
        <f t="shared" si="65"/>
        <v>7.58</v>
      </c>
    </row>
    <row r="515" spans="1:15" ht="38.4" outlineLevel="4" x14ac:dyDescent="0.3">
      <c r="A515" s="35"/>
      <c r="B515" s="36"/>
      <c r="C515" s="495" t="s">
        <v>10181</v>
      </c>
      <c r="D515" s="479">
        <v>724</v>
      </c>
      <c r="E515" s="249" t="str">
        <f>UPPER(IF($D515=0,"",IF($A515=4,_xlfn.XLOOKUP($D515,Mercado!$C:$C,Mercado!$E:$E),_xlfn.XLOOKUP($D515,Fontes!$B:$B,Fontes!$C:$C))))</f>
        <v>ORSE</v>
      </c>
      <c r="F515" s="327" t="s">
        <v>3571</v>
      </c>
      <c r="G515" s="249" t="str">
        <f>UPPER(IF($D515=0,"",IF($A515=4,_xlfn.XLOOKUP($D515,Mercado!$C:$C,Mercado!$G:$G),_xlfn.XLOOKUP($D515,Fontes!$B:$B,Fontes!$E:$E))))</f>
        <v>UN</v>
      </c>
      <c r="H515" s="252">
        <v>1</v>
      </c>
      <c r="I515" s="252">
        <f>IF($A515="M",_xlfn.XLOOKUP($D515,Mercado!$C:$C,Mercado!$I:$I),_xlfn.XLOOKUP($D515,Fontes!$B:$B,Fontes!$J:$J))</f>
        <v>2.54</v>
      </c>
      <c r="J515" s="252">
        <f>IF($A515="M",_xlfn.XLOOKUP($D515,Mercado!$C:$C,Mercado!$J:$J),_xlfn.XLOOKUP($D515,Fontes!$B:$B,Fontes!$H:$H))</f>
        <v>4.32</v>
      </c>
      <c r="K515" s="252">
        <f>IF($A515="M",0,_xlfn.XLOOKUP($D515,Fontes!$B:$B,Fontes!$I:$I))</f>
        <v>0</v>
      </c>
      <c r="L515" s="250">
        <f t="shared" si="64"/>
        <v>6.86</v>
      </c>
      <c r="M515" s="300">
        <f t="shared" si="66"/>
        <v>6.86</v>
      </c>
      <c r="O515" s="517">
        <f t="shared" si="65"/>
        <v>6.86</v>
      </c>
    </row>
    <row r="516" spans="1:15" ht="38.4" outlineLevel="4" x14ac:dyDescent="0.3">
      <c r="A516" s="35"/>
      <c r="B516" s="36"/>
      <c r="C516" s="495" t="s">
        <v>10182</v>
      </c>
      <c r="D516" s="479">
        <v>8351</v>
      </c>
      <c r="E516" s="249" t="str">
        <f>UPPER(IF($D516=0,"",IF($A516=4,_xlfn.XLOOKUP($D516,Mercado!$C:$C,Mercado!$E:$E),_xlfn.XLOOKUP($D516,Fontes!$B:$B,Fontes!$C:$C))))</f>
        <v>ORSE</v>
      </c>
      <c r="F516" s="327" t="s">
        <v>3572</v>
      </c>
      <c r="G516" s="249" t="str">
        <f>UPPER(IF($D516=0,"",IF($A516=4,_xlfn.XLOOKUP($D516,Mercado!$C:$C,Mercado!$G:$G),_xlfn.XLOOKUP($D516,Fontes!$B:$B,Fontes!$E:$E))))</f>
        <v>UN</v>
      </c>
      <c r="H516" s="252">
        <v>2</v>
      </c>
      <c r="I516" s="252">
        <f>IF($A516="M",_xlfn.XLOOKUP($D516,Mercado!$C:$C,Mercado!$I:$I),_xlfn.XLOOKUP($D516,Fontes!$B:$B,Fontes!$J:$J))</f>
        <v>0.98</v>
      </c>
      <c r="J516" s="252">
        <f>IF($A516="M",_xlfn.XLOOKUP($D516,Mercado!$C:$C,Mercado!$J:$J),_xlfn.XLOOKUP($D516,Fontes!$B:$B,Fontes!$H:$H))</f>
        <v>3.61</v>
      </c>
      <c r="K516" s="252">
        <f>IF($A516="M",0,_xlfn.XLOOKUP($D516,Fontes!$B:$B,Fontes!$I:$I))</f>
        <v>0</v>
      </c>
      <c r="L516" s="250">
        <f t="shared" si="64"/>
        <v>4.59</v>
      </c>
      <c r="M516" s="300">
        <f t="shared" si="66"/>
        <v>9.18</v>
      </c>
      <c r="O516" s="517">
        <f t="shared" si="65"/>
        <v>9.18</v>
      </c>
    </row>
    <row r="517" spans="1:15" outlineLevel="4" x14ac:dyDescent="0.3">
      <c r="A517" s="35"/>
      <c r="B517" s="36"/>
      <c r="C517" s="495" t="s">
        <v>10183</v>
      </c>
      <c r="D517" s="479">
        <v>12495</v>
      </c>
      <c r="E517" s="249" t="str">
        <f>UPPER(IF($D517=0,"",IF($A517=4,_xlfn.XLOOKUP($D517,Mercado!$C:$C,Mercado!$E:$E),_xlfn.XLOOKUP($D517,Fontes!$B:$B,Fontes!$C:$C))))</f>
        <v>ORSE</v>
      </c>
      <c r="F517" s="327" t="s">
        <v>3573</v>
      </c>
      <c r="G517" s="249" t="str">
        <f>UPPER(IF($D517=0,"",IF($A517=4,_xlfn.XLOOKUP($D517,Mercado!$C:$C,Mercado!$G:$G),_xlfn.XLOOKUP($D517,Fontes!$B:$B,Fontes!$E:$E))))</f>
        <v>UN</v>
      </c>
      <c r="H517" s="252">
        <v>2</v>
      </c>
      <c r="I517" s="252">
        <f>IF($A517="M",_xlfn.XLOOKUP($D517,Mercado!$C:$C,Mercado!$I:$I),_xlfn.XLOOKUP($D517,Fontes!$B:$B,Fontes!$J:$J))</f>
        <v>1.77</v>
      </c>
      <c r="J517" s="252">
        <f>IF($A517="M",_xlfn.XLOOKUP($D517,Mercado!$C:$C,Mercado!$J:$J),_xlfn.XLOOKUP($D517,Fontes!$B:$B,Fontes!$H:$H))</f>
        <v>3.61</v>
      </c>
      <c r="K517" s="252">
        <f>IF($A517="M",0,_xlfn.XLOOKUP($D517,Fontes!$B:$B,Fontes!$I:$I))</f>
        <v>0</v>
      </c>
      <c r="L517" s="250">
        <f t="shared" si="64"/>
        <v>5.38</v>
      </c>
      <c r="M517" s="300">
        <f t="shared" si="66"/>
        <v>10.76</v>
      </c>
      <c r="O517" s="517">
        <f t="shared" si="65"/>
        <v>10.76</v>
      </c>
    </row>
    <row r="518" spans="1:15" outlineLevel="4" x14ac:dyDescent="0.3">
      <c r="A518" s="35"/>
      <c r="B518" s="36"/>
      <c r="C518" s="495" t="s">
        <v>10184</v>
      </c>
      <c r="D518" s="479">
        <v>12538</v>
      </c>
      <c r="E518" s="249" t="str">
        <f>UPPER(IF($D518=0,"",IF($A518=4,_xlfn.XLOOKUP($D518,Mercado!$C:$C,Mercado!$E:$E),_xlfn.XLOOKUP($D518,Fontes!$B:$B,Fontes!$C:$C))))</f>
        <v>ORSE</v>
      </c>
      <c r="F518" s="327" t="s">
        <v>3574</v>
      </c>
      <c r="G518" s="249" t="str">
        <f>UPPER(IF($D518=0,"",IF($A518=4,_xlfn.XLOOKUP($D518,Mercado!$C:$C,Mercado!$G:$G),_xlfn.XLOOKUP($D518,Fontes!$B:$B,Fontes!$E:$E))))</f>
        <v>UN</v>
      </c>
      <c r="H518" s="252">
        <v>2</v>
      </c>
      <c r="I518" s="252">
        <f>IF($A518="M",_xlfn.XLOOKUP($D518,Mercado!$C:$C,Mercado!$I:$I),_xlfn.XLOOKUP($D518,Fontes!$B:$B,Fontes!$J:$J))</f>
        <v>0.13</v>
      </c>
      <c r="J518" s="252">
        <f>IF($A518="M",_xlfn.XLOOKUP($D518,Mercado!$C:$C,Mercado!$J:$J),_xlfn.XLOOKUP($D518,Fontes!$B:$B,Fontes!$H:$H))</f>
        <v>0.36</v>
      </c>
      <c r="K518" s="252">
        <f>IF($A518="M",0,_xlfn.XLOOKUP($D518,Fontes!$B:$B,Fontes!$I:$I))</f>
        <v>0</v>
      </c>
      <c r="L518" s="250">
        <f t="shared" si="64"/>
        <v>0.49</v>
      </c>
      <c r="M518" s="300">
        <f t="shared" si="66"/>
        <v>0.98</v>
      </c>
      <c r="O518" s="517">
        <f t="shared" si="65"/>
        <v>0.98</v>
      </c>
    </row>
    <row r="519" spans="1:15" s="265" customFormat="1" outlineLevel="3" x14ac:dyDescent="0.3">
      <c r="A519" s="263" t="s">
        <v>7</v>
      </c>
      <c r="B519" s="263"/>
      <c r="C519" s="504" t="s">
        <v>10185</v>
      </c>
      <c r="D519" s="266"/>
      <c r="E519" s="249" t="str">
        <f>UPPER(IF($D519=0,"",IF($A519=4,_xlfn.XLOOKUP($D519,Mercado!$C:$C,Mercado!$E:$E),_xlfn.XLOOKUP($D519,Fontes!$B:$B,Fontes!$C:$C))))</f>
        <v/>
      </c>
      <c r="F519" s="332" t="s">
        <v>534</v>
      </c>
      <c r="G519" s="266"/>
      <c r="H519" s="267"/>
      <c r="I519" s="267">
        <f>IF($A519="M",_xlfn.XLOOKUP($D519,Mercado!$C:$C,Mercado!$I:$I),_xlfn.XLOOKUP($D519,Fontes!$B:$B,Fontes!$J:$J))</f>
        <v>0</v>
      </c>
      <c r="J519" s="267">
        <f>IF($A519="M",_xlfn.XLOOKUP($D519,Mercado!$C:$C,Mercado!$J:$J),_xlfn.XLOOKUP($D519,Fontes!$B:$B,Fontes!$H:$H))</f>
        <v>0</v>
      </c>
      <c r="K519" s="267">
        <f>IF($A519="M",0,_xlfn.XLOOKUP($D519,Fontes!$B:$B,Fontes!$I:$I))</f>
        <v>0</v>
      </c>
      <c r="L519" s="267">
        <f t="shared" si="64"/>
        <v>0</v>
      </c>
      <c r="M519" s="500">
        <f t="shared" si="66"/>
        <v>0</v>
      </c>
      <c r="N519" s="264"/>
      <c r="O519" s="517" t="str">
        <f t="shared" si="65"/>
        <v/>
      </c>
    </row>
    <row r="520" spans="1:15" ht="38.4" outlineLevel="4" x14ac:dyDescent="0.3">
      <c r="A520" s="35"/>
      <c r="B520" s="36"/>
      <c r="C520" s="495" t="s">
        <v>10186</v>
      </c>
      <c r="D520" s="479">
        <v>305</v>
      </c>
      <c r="E520" s="249" t="str">
        <f>UPPER(IF($D520=0,"",IF($A520=4,_xlfn.XLOOKUP($D520,Mercado!$C:$C,Mercado!$E:$E),_xlfn.XLOOKUP($D520,Fontes!$B:$B,Fontes!$C:$C))))</f>
        <v>PRÓPRIO</v>
      </c>
      <c r="F520" s="327" t="s">
        <v>3575</v>
      </c>
      <c r="G520" s="249" t="str">
        <f>UPPER(IF($D520=0,"",IF($A520=4,_xlfn.XLOOKUP($D520,Mercado!$C:$C,Mercado!$G:$G),_xlfn.XLOOKUP($D520,Fontes!$B:$B,Fontes!$E:$E))))</f>
        <v>UN</v>
      </c>
      <c r="H520" s="252">
        <v>1</v>
      </c>
      <c r="I520" s="252">
        <f>IF($A520="M",_xlfn.XLOOKUP($D520,Mercado!$C:$C,Mercado!$I:$I),_xlfn.XLOOKUP($D520,Fontes!$B:$B,Fontes!$J:$J))</f>
        <v>4363.7</v>
      </c>
      <c r="J520" s="252">
        <f>IF($A520="M",_xlfn.XLOOKUP($D520,Mercado!$C:$C,Mercado!$J:$J),_xlfn.XLOOKUP($D520,Fontes!$B:$B,Fontes!$H:$H))</f>
        <v>851.8</v>
      </c>
      <c r="K520" s="252">
        <f>IF($A520="M",0,_xlfn.XLOOKUP($D520,Fontes!$B:$B,Fontes!$I:$I))</f>
        <v>0</v>
      </c>
      <c r="L520" s="250">
        <f t="shared" si="64"/>
        <v>5215.5</v>
      </c>
      <c r="M520" s="300">
        <f t="shared" si="66"/>
        <v>5215.5</v>
      </c>
      <c r="O520" s="517">
        <f t="shared" si="65"/>
        <v>5215.5</v>
      </c>
    </row>
    <row r="521" spans="1:15" ht="38.4" outlineLevel="4" x14ac:dyDescent="0.3">
      <c r="A521" s="35"/>
      <c r="B521" s="36"/>
      <c r="C521" s="495" t="s">
        <v>10187</v>
      </c>
      <c r="D521" s="479" t="s">
        <v>526</v>
      </c>
      <c r="E521" s="249" t="str">
        <f>UPPER(IF($D521=0,"",IF($A521=4,_xlfn.XLOOKUP($D521,Mercado!$C:$C,Mercado!$E:$E),_xlfn.XLOOKUP($D521,Fontes!$B:$B,Fontes!$C:$C))))</f>
        <v>CPOS/CDHU</v>
      </c>
      <c r="F521" s="327" t="s">
        <v>3557</v>
      </c>
      <c r="G521" s="249" t="str">
        <f>UPPER(IF($D521=0,"",IF($A521=4,_xlfn.XLOOKUP($D521,Mercado!$C:$C,Mercado!$G:$G),_xlfn.XLOOKUP($D521,Fontes!$B:$B,Fontes!$E:$E))))</f>
        <v>M</v>
      </c>
      <c r="H521" s="252">
        <v>39</v>
      </c>
      <c r="I521" s="252">
        <f>IF($A521="M",_xlfn.XLOOKUP($D521,Mercado!$C:$C,Mercado!$I:$I),_xlfn.XLOOKUP($D521,Fontes!$B:$B,Fontes!$J:$J))</f>
        <v>102.49</v>
      </c>
      <c r="J521" s="252">
        <f>IF($A521="M",_xlfn.XLOOKUP($D521,Mercado!$C:$C,Mercado!$J:$J),_xlfn.XLOOKUP($D521,Fontes!$B:$B,Fontes!$H:$H))</f>
        <v>41.87</v>
      </c>
      <c r="K521" s="252">
        <f>IF($A521="M",0,_xlfn.XLOOKUP($D521,Fontes!$B:$B,Fontes!$I:$I))</f>
        <v>0</v>
      </c>
      <c r="L521" s="250">
        <f t="shared" si="64"/>
        <v>144.35999999999999</v>
      </c>
      <c r="M521" s="300">
        <f t="shared" si="66"/>
        <v>5630.04</v>
      </c>
      <c r="O521" s="517">
        <f t="shared" si="65"/>
        <v>5630.04</v>
      </c>
    </row>
    <row r="522" spans="1:15" ht="38.4" outlineLevel="4" x14ac:dyDescent="0.3">
      <c r="A522" s="35"/>
      <c r="B522" s="36"/>
      <c r="C522" s="495" t="s">
        <v>10188</v>
      </c>
      <c r="D522" s="479" t="s">
        <v>525</v>
      </c>
      <c r="E522" s="249" t="str">
        <f>UPPER(IF($D522=0,"",IF($A522=4,_xlfn.XLOOKUP($D522,Mercado!$C:$C,Mercado!$E:$E),_xlfn.XLOOKUP($D522,Fontes!$B:$B,Fontes!$C:$C))))</f>
        <v>CPOS/CDHU</v>
      </c>
      <c r="F522" s="327" t="s">
        <v>3556</v>
      </c>
      <c r="G522" s="249" t="str">
        <f>UPPER(IF($D522=0,"",IF($A522=4,_xlfn.XLOOKUP($D522,Mercado!$C:$C,Mercado!$G:$G),_xlfn.XLOOKUP($D522,Fontes!$B:$B,Fontes!$E:$E))))</f>
        <v>M</v>
      </c>
      <c r="H522" s="252">
        <v>75</v>
      </c>
      <c r="I522" s="252">
        <f>IF($A522="M",_xlfn.XLOOKUP($D522,Mercado!$C:$C,Mercado!$I:$I),_xlfn.XLOOKUP($D522,Fontes!$B:$B,Fontes!$J:$J))</f>
        <v>61.51</v>
      </c>
      <c r="J522" s="252">
        <f>IF($A522="M",_xlfn.XLOOKUP($D522,Mercado!$C:$C,Mercado!$J:$J),_xlfn.XLOOKUP($D522,Fontes!$B:$B,Fontes!$H:$H))</f>
        <v>27.92</v>
      </c>
      <c r="K522" s="252">
        <f>IF($A522="M",0,_xlfn.XLOOKUP($D522,Fontes!$B:$B,Fontes!$I:$I))</f>
        <v>0</v>
      </c>
      <c r="L522" s="250">
        <f t="shared" si="64"/>
        <v>89.43</v>
      </c>
      <c r="M522" s="300">
        <f t="shared" si="66"/>
        <v>6707.25</v>
      </c>
      <c r="O522" s="517">
        <f t="shared" si="65"/>
        <v>6707.25</v>
      </c>
    </row>
    <row r="523" spans="1:15" ht="38.4" outlineLevel="4" x14ac:dyDescent="0.3">
      <c r="A523" s="35"/>
      <c r="B523" s="36"/>
      <c r="C523" s="495" t="s">
        <v>10189</v>
      </c>
      <c r="D523" s="479">
        <v>11548</v>
      </c>
      <c r="E523" s="249" t="str">
        <f>UPPER(IF($D523=0,"",IF($A523=4,_xlfn.XLOOKUP($D523,Mercado!$C:$C,Mercado!$E:$E),_xlfn.XLOOKUP($D523,Fontes!$B:$B,Fontes!$C:$C))))</f>
        <v>ORSE</v>
      </c>
      <c r="F523" s="327" t="s">
        <v>3558</v>
      </c>
      <c r="G523" s="249" t="str">
        <f>UPPER(IF($D523=0,"",IF($A523=4,_xlfn.XLOOKUP($D523,Mercado!$C:$C,Mercado!$G:$G),_xlfn.XLOOKUP($D523,Fontes!$B:$B,Fontes!$E:$E))))</f>
        <v>UN</v>
      </c>
      <c r="H523" s="252">
        <v>1</v>
      </c>
      <c r="I523" s="252">
        <f>IF($A523="M",_xlfn.XLOOKUP($D523,Mercado!$C:$C,Mercado!$I:$I),_xlfn.XLOOKUP($D523,Fontes!$B:$B,Fontes!$J:$J))</f>
        <v>31.5</v>
      </c>
      <c r="J523" s="252">
        <f>IF($A523="M",_xlfn.XLOOKUP($D523,Mercado!$C:$C,Mercado!$J:$J),_xlfn.XLOOKUP($D523,Fontes!$B:$B,Fontes!$H:$H))</f>
        <v>7.21</v>
      </c>
      <c r="K523" s="252">
        <f>IF($A523="M",0,_xlfn.XLOOKUP($D523,Fontes!$B:$B,Fontes!$I:$I))</f>
        <v>0</v>
      </c>
      <c r="L523" s="250">
        <f t="shared" si="64"/>
        <v>38.71</v>
      </c>
      <c r="M523" s="300">
        <f t="shared" si="66"/>
        <v>38.71</v>
      </c>
      <c r="O523" s="517">
        <f t="shared" si="65"/>
        <v>38.71</v>
      </c>
    </row>
    <row r="524" spans="1:15" ht="38.4" outlineLevel="4" x14ac:dyDescent="0.3">
      <c r="A524" s="35"/>
      <c r="B524" s="36"/>
      <c r="C524" s="495" t="s">
        <v>10190</v>
      </c>
      <c r="D524" s="479">
        <v>11549</v>
      </c>
      <c r="E524" s="249" t="str">
        <f>UPPER(IF($D524=0,"",IF($A524=4,_xlfn.XLOOKUP($D524,Mercado!$C:$C,Mercado!$E:$E),_xlfn.XLOOKUP($D524,Fontes!$B:$B,Fontes!$C:$C))))</f>
        <v>ORSE</v>
      </c>
      <c r="F524" s="327" t="s">
        <v>3559</v>
      </c>
      <c r="G524" s="249" t="str">
        <f>UPPER(IF($D524=0,"",IF($A524=4,_xlfn.XLOOKUP($D524,Mercado!$C:$C,Mercado!$G:$G),_xlfn.XLOOKUP($D524,Fontes!$B:$B,Fontes!$E:$E))))</f>
        <v>UN</v>
      </c>
      <c r="H524" s="252">
        <v>1</v>
      </c>
      <c r="I524" s="252">
        <f>IF($A524="M",_xlfn.XLOOKUP($D524,Mercado!$C:$C,Mercado!$I:$I),_xlfn.XLOOKUP($D524,Fontes!$B:$B,Fontes!$J:$J))</f>
        <v>19.55</v>
      </c>
      <c r="J524" s="252">
        <f>IF($A524="M",_xlfn.XLOOKUP($D524,Mercado!$C:$C,Mercado!$J:$J),_xlfn.XLOOKUP($D524,Fontes!$B:$B,Fontes!$H:$H))</f>
        <v>7.21</v>
      </c>
      <c r="K524" s="252">
        <f>IF($A524="M",0,_xlfn.XLOOKUP($D524,Fontes!$B:$B,Fontes!$I:$I))</f>
        <v>0</v>
      </c>
      <c r="L524" s="250">
        <f t="shared" si="64"/>
        <v>26.76</v>
      </c>
      <c r="M524" s="300">
        <f t="shared" si="66"/>
        <v>26.76</v>
      </c>
      <c r="O524" s="517">
        <f t="shared" si="65"/>
        <v>26.76</v>
      </c>
    </row>
    <row r="525" spans="1:15" ht="38.4" outlineLevel="4" x14ac:dyDescent="0.3">
      <c r="A525" s="35"/>
      <c r="B525" s="36"/>
      <c r="C525" s="495" t="s">
        <v>10191</v>
      </c>
      <c r="D525" s="479">
        <v>11549</v>
      </c>
      <c r="E525" s="249" t="str">
        <f>UPPER(IF($D525=0,"",IF($A525=4,_xlfn.XLOOKUP($D525,Mercado!$C:$C,Mercado!$E:$E),_xlfn.XLOOKUP($D525,Fontes!$B:$B,Fontes!$C:$C))))</f>
        <v>ORSE</v>
      </c>
      <c r="F525" s="327" t="s">
        <v>3559</v>
      </c>
      <c r="G525" s="249" t="str">
        <f>UPPER(IF($D525=0,"",IF($A525=4,_xlfn.XLOOKUP($D525,Mercado!$C:$C,Mercado!$G:$G),_xlfn.XLOOKUP($D525,Fontes!$B:$B,Fontes!$E:$E))))</f>
        <v>UN</v>
      </c>
      <c r="H525" s="252">
        <v>1</v>
      </c>
      <c r="I525" s="252">
        <f>IF($A525="M",_xlfn.XLOOKUP($D525,Mercado!$C:$C,Mercado!$I:$I),_xlfn.XLOOKUP($D525,Fontes!$B:$B,Fontes!$J:$J))</f>
        <v>19.55</v>
      </c>
      <c r="J525" s="252">
        <f>IF($A525="M",_xlfn.XLOOKUP($D525,Mercado!$C:$C,Mercado!$J:$J),_xlfn.XLOOKUP($D525,Fontes!$B:$B,Fontes!$H:$H))</f>
        <v>7.21</v>
      </c>
      <c r="K525" s="252">
        <f>IF($A525="M",0,_xlfn.XLOOKUP($D525,Fontes!$B:$B,Fontes!$I:$I))</f>
        <v>0</v>
      </c>
      <c r="L525" s="250">
        <f t="shared" si="64"/>
        <v>26.76</v>
      </c>
      <c r="M525" s="300">
        <f t="shared" si="66"/>
        <v>26.76</v>
      </c>
      <c r="O525" s="517">
        <f t="shared" si="65"/>
        <v>26.76</v>
      </c>
    </row>
    <row r="526" spans="1:15" outlineLevel="4" x14ac:dyDescent="0.3">
      <c r="A526" s="35"/>
      <c r="B526" s="36"/>
      <c r="C526" s="495" t="s">
        <v>10192</v>
      </c>
      <c r="D526" s="479">
        <v>63754</v>
      </c>
      <c r="E526" s="249" t="str">
        <f>UPPER(IF($D526=0,"",IF($A526=4,_xlfn.XLOOKUP($D526,Mercado!$C:$C,Mercado!$E:$E),_xlfn.XLOOKUP($D526,Fontes!$B:$B,Fontes!$C:$C))))</f>
        <v>SBC</v>
      </c>
      <c r="F526" s="327" t="s">
        <v>425</v>
      </c>
      <c r="G526" s="249" t="str">
        <f>UPPER(IF($D526=0,"",IF($A526=4,_xlfn.XLOOKUP($D526,Mercado!$C:$C,Mercado!$G:$G),_xlfn.XLOOKUP($D526,Fontes!$B:$B,Fontes!$E:$E))))</f>
        <v>UN</v>
      </c>
      <c r="H526" s="252">
        <v>14</v>
      </c>
      <c r="I526" s="252">
        <f>IF($A526="M",_xlfn.XLOOKUP($D526,Mercado!$C:$C,Mercado!$I:$I),_xlfn.XLOOKUP($D526,Fontes!$B:$B,Fontes!$J:$J))</f>
        <v>6.27</v>
      </c>
      <c r="J526" s="252">
        <f>IF($A526="M",_xlfn.XLOOKUP($D526,Mercado!$C:$C,Mercado!$J:$J),_xlfn.XLOOKUP($D526,Fontes!$B:$B,Fontes!$H:$H))</f>
        <v>7.5</v>
      </c>
      <c r="K526" s="252">
        <f>IF($A526="M",0,_xlfn.XLOOKUP($D526,Fontes!$B:$B,Fontes!$I:$I))</f>
        <v>0</v>
      </c>
      <c r="L526" s="250">
        <f t="shared" ref="L526:L589" si="68">SUM(I526:K526)</f>
        <v>13.77</v>
      </c>
      <c r="M526" s="300">
        <f t="shared" si="66"/>
        <v>192.78</v>
      </c>
      <c r="O526" s="517">
        <f t="shared" si="65"/>
        <v>192.78</v>
      </c>
    </row>
    <row r="527" spans="1:15" outlineLevel="4" x14ac:dyDescent="0.3">
      <c r="A527" s="35"/>
      <c r="B527" s="36"/>
      <c r="C527" s="495" t="s">
        <v>10193</v>
      </c>
      <c r="D527" s="479">
        <v>63613</v>
      </c>
      <c r="E527" s="249" t="str">
        <f>UPPER(IF($D527=0,"",IF($A527=4,_xlfn.XLOOKUP($D527,Mercado!$C:$C,Mercado!$E:$E),_xlfn.XLOOKUP($D527,Fontes!$B:$B,Fontes!$C:$C))))</f>
        <v>SBC</v>
      </c>
      <c r="F527" s="327" t="s">
        <v>1819</v>
      </c>
      <c r="G527" s="249" t="str">
        <f>UPPER(IF($D527=0,"",IF($A527=4,_xlfn.XLOOKUP($D527,Mercado!$C:$C,Mercado!$G:$G),_xlfn.XLOOKUP($D527,Fontes!$B:$B,Fontes!$E:$E))))</f>
        <v>UN</v>
      </c>
      <c r="H527" s="252">
        <v>2</v>
      </c>
      <c r="I527" s="252">
        <f>IF($A527="M",_xlfn.XLOOKUP($D527,Mercado!$C:$C,Mercado!$I:$I),_xlfn.XLOOKUP($D527,Fontes!$B:$B,Fontes!$J:$J))</f>
        <v>6.27</v>
      </c>
      <c r="J527" s="252">
        <f>IF($A527="M",_xlfn.XLOOKUP($D527,Mercado!$C:$C,Mercado!$J:$J),_xlfn.XLOOKUP($D527,Fontes!$B:$B,Fontes!$H:$H))</f>
        <v>7.5</v>
      </c>
      <c r="K527" s="252">
        <f>IF($A527="M",0,_xlfn.XLOOKUP($D527,Fontes!$B:$B,Fontes!$I:$I))</f>
        <v>0</v>
      </c>
      <c r="L527" s="250">
        <f t="shared" si="68"/>
        <v>13.77</v>
      </c>
      <c r="M527" s="300">
        <f t="shared" si="66"/>
        <v>27.54</v>
      </c>
      <c r="O527" s="517">
        <f t="shared" si="65"/>
        <v>27.54</v>
      </c>
    </row>
    <row r="528" spans="1:15" ht="57.6" outlineLevel="4" x14ac:dyDescent="0.3">
      <c r="A528" s="35"/>
      <c r="B528" s="36"/>
      <c r="C528" s="495" t="s">
        <v>10194</v>
      </c>
      <c r="D528" s="479" t="s">
        <v>591</v>
      </c>
      <c r="E528" s="249" t="str">
        <f>UPPER(IF($D528=0,"",IF($A528=4,_xlfn.XLOOKUP($D528,Mercado!$C:$C,Mercado!$E:$E),_xlfn.XLOOKUP($D528,Fontes!$B:$B,Fontes!$C:$C))))</f>
        <v>SETOP</v>
      </c>
      <c r="F528" s="327" t="s">
        <v>596</v>
      </c>
      <c r="G528" s="249" t="str">
        <f>UPPER(IF($D528=0,"",IF($A528=4,_xlfn.XLOOKUP($D528,Mercado!$C:$C,Mercado!$G:$G),_xlfn.XLOOKUP($D528,Fontes!$B:$B,Fontes!$E:$E))))</f>
        <v>M</v>
      </c>
      <c r="H528" s="252">
        <v>18</v>
      </c>
      <c r="I528" s="252">
        <f>IF($A528="M",_xlfn.XLOOKUP($D528,Mercado!$C:$C,Mercado!$I:$I),_xlfn.XLOOKUP($D528,Fontes!$B:$B,Fontes!$J:$J))</f>
        <v>42.26</v>
      </c>
      <c r="J528" s="252">
        <f>IF($A528="M",_xlfn.XLOOKUP($D528,Mercado!$C:$C,Mercado!$J:$J),_xlfn.XLOOKUP($D528,Fontes!$B:$B,Fontes!$H:$H))</f>
        <v>23.6</v>
      </c>
      <c r="K528" s="252">
        <f>IF($A528="M",0,_xlfn.XLOOKUP($D528,Fontes!$B:$B,Fontes!$I:$I))</f>
        <v>0</v>
      </c>
      <c r="L528" s="250">
        <f t="shared" si="68"/>
        <v>65.86</v>
      </c>
      <c r="M528" s="300">
        <f t="shared" si="66"/>
        <v>1185.48</v>
      </c>
      <c r="O528" s="517">
        <f t="shared" si="65"/>
        <v>1185.48</v>
      </c>
    </row>
    <row r="529" spans="1:15" ht="38.4" outlineLevel="4" x14ac:dyDescent="0.3">
      <c r="A529" s="35"/>
      <c r="B529" s="36"/>
      <c r="C529" s="495" t="s">
        <v>10195</v>
      </c>
      <c r="D529" s="249" t="s">
        <v>1801</v>
      </c>
      <c r="E529" s="249" t="str">
        <f>UPPER(IF($D529=0,"",IF($A529=4,_xlfn.XLOOKUP($D529,Mercado!$C:$C,Mercado!$E:$E),_xlfn.XLOOKUP($D529,Fontes!$B:$B,Fontes!$C:$C))))</f>
        <v>CPOS/CDHU</v>
      </c>
      <c r="F529" s="327" t="s">
        <v>3576</v>
      </c>
      <c r="G529" s="249" t="str">
        <f>UPPER(IF($D529=0,"",IF($A529=4,_xlfn.XLOOKUP($D529,Mercado!$C:$C,Mercado!$G:$G),_xlfn.XLOOKUP($D529,Fontes!$B:$B,Fontes!$E:$E))))</f>
        <v>M</v>
      </c>
      <c r="H529" s="252">
        <v>15</v>
      </c>
      <c r="I529" s="252">
        <f>IF($A529="M",_xlfn.XLOOKUP($D529,Mercado!$C:$C,Mercado!$I:$I),_xlfn.XLOOKUP($D529,Fontes!$B:$B,Fontes!$J:$J))</f>
        <v>43.65</v>
      </c>
      <c r="J529" s="252">
        <f>IF($A529="M",_xlfn.XLOOKUP($D529,Mercado!$C:$C,Mercado!$J:$J),_xlfn.XLOOKUP($D529,Fontes!$B:$B,Fontes!$H:$H))</f>
        <v>55.83</v>
      </c>
      <c r="K529" s="252">
        <f>IF($A529="M",0,_xlfn.XLOOKUP($D529,Fontes!$B:$B,Fontes!$I:$I))</f>
        <v>0</v>
      </c>
      <c r="L529" s="250">
        <f t="shared" si="68"/>
        <v>99.47999999999999</v>
      </c>
      <c r="M529" s="300">
        <f t="shared" si="66"/>
        <v>1492.2</v>
      </c>
      <c r="O529" s="517">
        <f t="shared" si="65"/>
        <v>1492.2</v>
      </c>
    </row>
    <row r="530" spans="1:15" ht="38.4" outlineLevel="4" x14ac:dyDescent="0.3">
      <c r="A530" s="35"/>
      <c r="B530" s="36"/>
      <c r="C530" s="495" t="s">
        <v>10196</v>
      </c>
      <c r="D530" s="249" t="s">
        <v>1802</v>
      </c>
      <c r="E530" s="249" t="str">
        <f>UPPER(IF($D530=0,"",IF($A530=4,_xlfn.XLOOKUP($D530,Mercado!$C:$C,Mercado!$E:$E),_xlfn.XLOOKUP($D530,Fontes!$B:$B,Fontes!$C:$C))))</f>
        <v>CPOS/CDHU</v>
      </c>
      <c r="F530" s="327" t="s">
        <v>3577</v>
      </c>
      <c r="G530" s="249" t="str">
        <f>UPPER(IF($D530=0,"",IF($A530=4,_xlfn.XLOOKUP($D530,Mercado!$C:$C,Mercado!$G:$G),_xlfn.XLOOKUP($D530,Fontes!$B:$B,Fontes!$E:$E))))</f>
        <v>M</v>
      </c>
      <c r="H530" s="252">
        <v>3</v>
      </c>
      <c r="I530" s="252">
        <f>IF($A530="M",_xlfn.XLOOKUP($D530,Mercado!$C:$C,Mercado!$I:$I),_xlfn.XLOOKUP($D530,Fontes!$B:$B,Fontes!$J:$J))</f>
        <v>87.01</v>
      </c>
      <c r="J530" s="252">
        <f>IF($A530="M",_xlfn.XLOOKUP($D530,Mercado!$C:$C,Mercado!$J:$J),_xlfn.XLOOKUP($D530,Fontes!$B:$B,Fontes!$H:$H))</f>
        <v>100.5</v>
      </c>
      <c r="K530" s="252">
        <f>IF($A530="M",0,_xlfn.XLOOKUP($D530,Fontes!$B:$B,Fontes!$I:$I))</f>
        <v>0</v>
      </c>
      <c r="L530" s="250">
        <f t="shared" si="68"/>
        <v>187.51</v>
      </c>
      <c r="M530" s="300">
        <f t="shared" si="66"/>
        <v>562.53</v>
      </c>
      <c r="O530" s="517">
        <f t="shared" si="65"/>
        <v>562.53</v>
      </c>
    </row>
    <row r="531" spans="1:15" ht="57.6" outlineLevel="4" x14ac:dyDescent="0.3">
      <c r="A531" s="35"/>
      <c r="B531" s="36"/>
      <c r="C531" s="495" t="s">
        <v>10197</v>
      </c>
      <c r="D531" s="479">
        <v>91837</v>
      </c>
      <c r="E531" s="249" t="str">
        <f>UPPER(IF($D531=0,"",IF($A531=4,_xlfn.XLOOKUP($D531,Mercado!$C:$C,Mercado!$E:$E),_xlfn.XLOOKUP($D531,Fontes!$B:$B,Fontes!$C:$C))))</f>
        <v>SINAPI</v>
      </c>
      <c r="F531" s="327" t="s">
        <v>195</v>
      </c>
      <c r="G531" s="249" t="str">
        <f>UPPER(IF($D531=0,"",IF($A531=4,_xlfn.XLOOKUP($D531,Mercado!$C:$C,Mercado!$G:$G),_xlfn.XLOOKUP($D531,Fontes!$B:$B,Fontes!$E:$E))))</f>
        <v>M</v>
      </c>
      <c r="H531" s="252">
        <v>105</v>
      </c>
      <c r="I531" s="252">
        <f>IF($A531="M",_xlfn.XLOOKUP($D531,Mercado!$C:$C,Mercado!$I:$I),_xlfn.XLOOKUP($D531,Fontes!$B:$B,Fontes!$J:$J))</f>
        <v>14.21</v>
      </c>
      <c r="J531" s="252">
        <f>IF($A531="M",_xlfn.XLOOKUP($D531,Mercado!$C:$C,Mercado!$J:$J),_xlfn.XLOOKUP($D531,Fontes!$B:$B,Fontes!$H:$H))</f>
        <v>13.45</v>
      </c>
      <c r="K531" s="252">
        <f>IF($A531="M",0,_xlfn.XLOOKUP($D531,Fontes!$B:$B,Fontes!$I:$I))</f>
        <v>1</v>
      </c>
      <c r="L531" s="250">
        <f t="shared" si="68"/>
        <v>28.66</v>
      </c>
      <c r="M531" s="300">
        <f t="shared" si="66"/>
        <v>3009.3</v>
      </c>
      <c r="O531" s="517">
        <f t="shared" si="65"/>
        <v>3009.3</v>
      </c>
    </row>
    <row r="532" spans="1:15" outlineLevel="4" x14ac:dyDescent="0.3">
      <c r="A532" s="35"/>
      <c r="B532" s="36"/>
      <c r="C532" s="495" t="s">
        <v>10198</v>
      </c>
      <c r="D532" s="479">
        <v>61223</v>
      </c>
      <c r="E532" s="249" t="str">
        <f>UPPER(IF($D532=0,"",IF($A532=4,_xlfn.XLOOKUP($D532,Mercado!$C:$C,Mercado!$E:$E),_xlfn.XLOOKUP($D532,Fontes!$B:$B,Fontes!$C:$C))))</f>
        <v>SBC</v>
      </c>
      <c r="F532" s="327" t="s">
        <v>442</v>
      </c>
      <c r="G532" s="249" t="str">
        <f>UPPER(IF($D532=0,"",IF($A532=4,_xlfn.XLOOKUP($D532,Mercado!$C:$C,Mercado!$G:$G),_xlfn.XLOOKUP($D532,Fontes!$B:$B,Fontes!$E:$E))))</f>
        <v>UN</v>
      </c>
      <c r="H532" s="252">
        <v>11</v>
      </c>
      <c r="I532" s="252">
        <f>IF($A532="M",_xlfn.XLOOKUP($D532,Mercado!$C:$C,Mercado!$I:$I),_xlfn.XLOOKUP($D532,Fontes!$B:$B,Fontes!$J:$J))</f>
        <v>147.32</v>
      </c>
      <c r="J532" s="252">
        <f>IF($A532="M",_xlfn.XLOOKUP($D532,Mercado!$C:$C,Mercado!$J:$J),_xlfn.XLOOKUP($D532,Fontes!$B:$B,Fontes!$H:$H))</f>
        <v>59.87</v>
      </c>
      <c r="K532" s="252">
        <f>IF($A532="M",0,_xlfn.XLOOKUP($D532,Fontes!$B:$B,Fontes!$I:$I))</f>
        <v>0</v>
      </c>
      <c r="L532" s="250">
        <f t="shared" si="68"/>
        <v>207.19</v>
      </c>
      <c r="M532" s="300">
        <f t="shared" si="66"/>
        <v>2279.09</v>
      </c>
      <c r="O532" s="517">
        <f t="shared" si="65"/>
        <v>2279.09</v>
      </c>
    </row>
    <row r="533" spans="1:15" outlineLevel="4" x14ac:dyDescent="0.3">
      <c r="A533" s="35"/>
      <c r="B533" s="36"/>
      <c r="C533" s="495" t="s">
        <v>10199</v>
      </c>
      <c r="D533" s="479" t="s">
        <v>418</v>
      </c>
      <c r="E533" s="249" t="str">
        <f>UPPER(IF($D533=0,"",IF($A533=4,_xlfn.XLOOKUP($D533,Mercado!$C:$C,Mercado!$E:$E),_xlfn.XLOOKUP($D533,Fontes!$B:$B,Fontes!$C:$C))))</f>
        <v>CPOS/CDHU</v>
      </c>
      <c r="F533" s="327" t="s">
        <v>3555</v>
      </c>
      <c r="G533" s="249" t="str">
        <f>UPPER(IF($D533=0,"",IF($A533=4,_xlfn.XLOOKUP($D533,Mercado!$C:$C,Mercado!$G:$G),_xlfn.XLOOKUP($D533,Fontes!$B:$B,Fontes!$E:$E))))</f>
        <v>UN</v>
      </c>
      <c r="H533" s="252">
        <v>5</v>
      </c>
      <c r="I533" s="252">
        <f>IF($A533="M",_xlfn.XLOOKUP($D533,Mercado!$C:$C,Mercado!$I:$I),_xlfn.XLOOKUP($D533,Fontes!$B:$B,Fontes!$J:$J))</f>
        <v>42.76</v>
      </c>
      <c r="J533" s="252">
        <f>IF($A533="M",_xlfn.XLOOKUP($D533,Mercado!$C:$C,Mercado!$J:$J),_xlfn.XLOOKUP($D533,Fontes!$B:$B,Fontes!$H:$H))</f>
        <v>44.67</v>
      </c>
      <c r="K533" s="252">
        <f>IF($A533="M",0,_xlfn.XLOOKUP($D533,Fontes!$B:$B,Fontes!$I:$I))</f>
        <v>0</v>
      </c>
      <c r="L533" s="250">
        <f t="shared" si="68"/>
        <v>87.43</v>
      </c>
      <c r="M533" s="300">
        <f t="shared" si="66"/>
        <v>437.15</v>
      </c>
      <c r="O533" s="517">
        <f t="shared" si="65"/>
        <v>437.15</v>
      </c>
    </row>
    <row r="534" spans="1:15" ht="38.4" outlineLevel="4" x14ac:dyDescent="0.3">
      <c r="A534" s="35"/>
      <c r="B534" s="36"/>
      <c r="C534" s="495" t="s">
        <v>10200</v>
      </c>
      <c r="D534" s="479" t="s">
        <v>1805</v>
      </c>
      <c r="E534" s="249" t="str">
        <f>UPPER(IF($D534=0,"",IF($A534=4,_xlfn.XLOOKUP($D534,Mercado!$C:$C,Mercado!$E:$E),_xlfn.XLOOKUP($D534,Fontes!$B:$B,Fontes!$C:$C))))</f>
        <v>SETOP</v>
      </c>
      <c r="F534" s="327" t="s">
        <v>1822</v>
      </c>
      <c r="G534" s="249" t="str">
        <f>UPPER(IF($D534=0,"",IF($A534=4,_xlfn.XLOOKUP($D534,Mercado!$C:$C,Mercado!$G:$G),_xlfn.XLOOKUP($D534,Fontes!$B:$B,Fontes!$E:$E))))</f>
        <v>UN</v>
      </c>
      <c r="H534" s="252">
        <v>4</v>
      </c>
      <c r="I534" s="252">
        <f>IF($A534="M",_xlfn.XLOOKUP($D534,Mercado!$C:$C,Mercado!$I:$I),_xlfn.XLOOKUP($D534,Fontes!$B:$B,Fontes!$J:$J))</f>
        <v>94.08</v>
      </c>
      <c r="J534" s="252">
        <f>IF($A534="M",_xlfn.XLOOKUP($D534,Mercado!$C:$C,Mercado!$J:$J),_xlfn.XLOOKUP($D534,Fontes!$B:$B,Fontes!$H:$H))</f>
        <v>60.3</v>
      </c>
      <c r="K534" s="252">
        <f>IF($A534="M",0,_xlfn.XLOOKUP($D534,Fontes!$B:$B,Fontes!$I:$I))</f>
        <v>0.01</v>
      </c>
      <c r="L534" s="250">
        <f t="shared" si="68"/>
        <v>154.38999999999999</v>
      </c>
      <c r="M534" s="300">
        <f t="shared" si="66"/>
        <v>617.55999999999995</v>
      </c>
      <c r="O534" s="517">
        <f t="shared" si="65"/>
        <v>617.55999999999995</v>
      </c>
    </row>
    <row r="535" spans="1:15" ht="38.4" outlineLevel="4" x14ac:dyDescent="0.3">
      <c r="A535" s="35"/>
      <c r="B535" s="36"/>
      <c r="C535" s="495" t="s">
        <v>10201</v>
      </c>
      <c r="D535" s="479" t="s">
        <v>1806</v>
      </c>
      <c r="E535" s="249" t="str">
        <f>UPPER(IF($D535=0,"",IF($A535=4,_xlfn.XLOOKUP($D535,Mercado!$C:$C,Mercado!$E:$E),_xlfn.XLOOKUP($D535,Fontes!$B:$B,Fontes!$C:$C))))</f>
        <v>SETOP</v>
      </c>
      <c r="F535" s="327" t="s">
        <v>1823</v>
      </c>
      <c r="G535" s="249" t="str">
        <f>UPPER(IF($D535=0,"",IF($A535=4,_xlfn.XLOOKUP($D535,Mercado!$C:$C,Mercado!$G:$G),_xlfn.XLOOKUP($D535,Fontes!$B:$B,Fontes!$E:$E))))</f>
        <v>UN</v>
      </c>
      <c r="H535" s="252">
        <v>1</v>
      </c>
      <c r="I535" s="252">
        <f>IF($A535="M",_xlfn.XLOOKUP($D535,Mercado!$C:$C,Mercado!$I:$I),_xlfn.XLOOKUP($D535,Fontes!$B:$B,Fontes!$J:$J))</f>
        <v>158.25</v>
      </c>
      <c r="J535" s="252">
        <f>IF($A535="M",_xlfn.XLOOKUP($D535,Mercado!$C:$C,Mercado!$J:$J),_xlfn.XLOOKUP($D535,Fontes!$B:$B,Fontes!$H:$H))</f>
        <v>78.64</v>
      </c>
      <c r="K535" s="252">
        <f>IF($A535="M",0,_xlfn.XLOOKUP($D535,Fontes!$B:$B,Fontes!$I:$I))</f>
        <v>0.01</v>
      </c>
      <c r="L535" s="250">
        <f t="shared" si="68"/>
        <v>236.89999999999998</v>
      </c>
      <c r="M535" s="300">
        <f t="shared" si="66"/>
        <v>236.9</v>
      </c>
      <c r="O535" s="517">
        <f t="shared" si="65"/>
        <v>236.9</v>
      </c>
    </row>
    <row r="536" spans="1:15" ht="38.4" outlineLevel="4" x14ac:dyDescent="0.3">
      <c r="A536" s="35"/>
      <c r="B536" s="36"/>
      <c r="C536" s="495" t="s">
        <v>10202</v>
      </c>
      <c r="D536" s="249">
        <v>9425</v>
      </c>
      <c r="E536" s="249" t="str">
        <f>UPPER(IF($D536=0,"",IF($A536=4,_xlfn.XLOOKUP($D536,Mercado!$C:$C,Mercado!$E:$E),_xlfn.XLOOKUP($D536,Fontes!$B:$B,Fontes!$C:$C))))</f>
        <v>ORSE</v>
      </c>
      <c r="F536" s="327" t="s">
        <v>3578</v>
      </c>
      <c r="G536" s="249" t="str">
        <f>UPPER(IF($D536=0,"",IF($A536=4,_xlfn.XLOOKUP($D536,Mercado!$C:$C,Mercado!$G:$G),_xlfn.XLOOKUP($D536,Fontes!$B:$B,Fontes!$E:$E))))</f>
        <v>UN</v>
      </c>
      <c r="H536" s="252">
        <v>1</v>
      </c>
      <c r="I536" s="252">
        <f>IF($A536="M",_xlfn.XLOOKUP($D536,Mercado!$C:$C,Mercado!$I:$I),_xlfn.XLOOKUP($D536,Fontes!$B:$B,Fontes!$J:$J))</f>
        <v>85.67</v>
      </c>
      <c r="J536" s="252">
        <f>IF($A536="M",_xlfn.XLOOKUP($D536,Mercado!$C:$C,Mercado!$J:$J),_xlfn.XLOOKUP($D536,Fontes!$B:$B,Fontes!$H:$H))</f>
        <v>43.25</v>
      </c>
      <c r="K536" s="252">
        <f>IF($A536="M",0,_xlfn.XLOOKUP($D536,Fontes!$B:$B,Fontes!$I:$I))</f>
        <v>0</v>
      </c>
      <c r="L536" s="250">
        <f t="shared" si="68"/>
        <v>128.92000000000002</v>
      </c>
      <c r="M536" s="300">
        <f t="shared" si="66"/>
        <v>128.91999999999999</v>
      </c>
      <c r="O536" s="517">
        <f t="shared" si="65"/>
        <v>128.91999999999999</v>
      </c>
    </row>
    <row r="537" spans="1:15" s="265" customFormat="1" outlineLevel="3" x14ac:dyDescent="0.3">
      <c r="A537" s="263" t="s">
        <v>7</v>
      </c>
      <c r="B537" s="263"/>
      <c r="C537" s="504" t="s">
        <v>10203</v>
      </c>
      <c r="D537" s="266"/>
      <c r="E537" s="249" t="str">
        <f>UPPER(IF($D537=0,"",IF($A537=4,_xlfn.XLOOKUP($D537,Mercado!$C:$C,Mercado!$E:$E),_xlfn.XLOOKUP($D537,Fontes!$B:$B,Fontes!$C:$C))))</f>
        <v/>
      </c>
      <c r="F537" s="332" t="s">
        <v>1839</v>
      </c>
      <c r="G537" s="266"/>
      <c r="H537" s="267"/>
      <c r="I537" s="267">
        <f>IF($A537="M",_xlfn.XLOOKUP($D537,Mercado!$C:$C,Mercado!$I:$I),_xlfn.XLOOKUP($D537,Fontes!$B:$B,Fontes!$J:$J))</f>
        <v>0</v>
      </c>
      <c r="J537" s="267">
        <f>IF($A537="M",_xlfn.XLOOKUP($D537,Mercado!$C:$C,Mercado!$J:$J),_xlfn.XLOOKUP($D537,Fontes!$B:$B,Fontes!$H:$H))</f>
        <v>0</v>
      </c>
      <c r="K537" s="267">
        <f>IF($A537="M",0,_xlfn.XLOOKUP($D537,Fontes!$B:$B,Fontes!$I:$I))</f>
        <v>0</v>
      </c>
      <c r="L537" s="267">
        <f t="shared" si="68"/>
        <v>0</v>
      </c>
      <c r="M537" s="500">
        <f t="shared" si="66"/>
        <v>0</v>
      </c>
      <c r="N537" s="264"/>
      <c r="O537" s="517" t="str">
        <f t="shared" si="65"/>
        <v/>
      </c>
    </row>
    <row r="538" spans="1:15" ht="38.4" outlineLevel="4" x14ac:dyDescent="0.3">
      <c r="A538" s="35"/>
      <c r="B538" s="36"/>
      <c r="C538" s="495" t="s">
        <v>10204</v>
      </c>
      <c r="D538" s="487">
        <v>4869</v>
      </c>
      <c r="E538" s="249" t="str">
        <f>UPPER(IF($D538=0,"",IF($A538=4,_xlfn.XLOOKUP($D538,Mercado!$C:$C,Mercado!$E:$E),_xlfn.XLOOKUP($D538,Fontes!$B:$B,Fontes!$C:$C))))</f>
        <v>ORSE</v>
      </c>
      <c r="F538" s="327" t="s">
        <v>3579</v>
      </c>
      <c r="G538" s="249" t="str">
        <f>UPPER(IF($D538=0,"",IF($A538=4,_xlfn.XLOOKUP($D538,Mercado!$C:$C,Mercado!$G:$G),_xlfn.XLOOKUP($D538,Fontes!$B:$B,Fontes!$E:$E))))</f>
        <v>M</v>
      </c>
      <c r="H538" s="252">
        <v>40</v>
      </c>
      <c r="I538" s="252">
        <f>IF($A538="M",_xlfn.XLOOKUP($D538,Mercado!$C:$C,Mercado!$I:$I),_xlfn.XLOOKUP($D538,Fontes!$B:$B,Fontes!$J:$J))</f>
        <v>15.74</v>
      </c>
      <c r="J538" s="252">
        <f>IF($A538="M",_xlfn.XLOOKUP($D538,Mercado!$C:$C,Mercado!$J:$J),_xlfn.XLOOKUP($D538,Fontes!$B:$B,Fontes!$H:$H))</f>
        <v>19</v>
      </c>
      <c r="K538" s="252">
        <f>IF($A538="M",0,_xlfn.XLOOKUP($D538,Fontes!$B:$B,Fontes!$I:$I))</f>
        <v>0</v>
      </c>
      <c r="L538" s="250">
        <f t="shared" si="68"/>
        <v>34.74</v>
      </c>
      <c r="M538" s="300">
        <f t="shared" si="66"/>
        <v>1389.6</v>
      </c>
      <c r="O538" s="517">
        <f t="shared" si="65"/>
        <v>1389.6</v>
      </c>
    </row>
    <row r="539" spans="1:15" outlineLevel="4" x14ac:dyDescent="0.3">
      <c r="A539" s="35"/>
      <c r="B539" s="36"/>
      <c r="C539" s="495" t="s">
        <v>10205</v>
      </c>
      <c r="D539" s="487">
        <v>1536</v>
      </c>
      <c r="E539" s="249" t="str">
        <f>UPPER(IF($D539=0,"",IF($A539=4,_xlfn.XLOOKUP($D539,Mercado!$C:$C,Mercado!$E:$E),_xlfn.XLOOKUP($D539,Fontes!$B:$B,Fontes!$C:$C))))</f>
        <v>ORSE</v>
      </c>
      <c r="F539" s="327" t="s">
        <v>3580</v>
      </c>
      <c r="G539" s="249" t="str">
        <f>UPPER(IF($D539=0,"",IF($A539=4,_xlfn.XLOOKUP($D539,Mercado!$C:$C,Mercado!$G:$G),_xlfn.XLOOKUP($D539,Fontes!$B:$B,Fontes!$E:$E))))</f>
        <v>UN</v>
      </c>
      <c r="H539" s="252">
        <v>8</v>
      </c>
      <c r="I539" s="252">
        <f>IF($A539="M",_xlfn.XLOOKUP($D539,Mercado!$C:$C,Mercado!$I:$I),_xlfn.XLOOKUP($D539,Fontes!$B:$B,Fontes!$J:$J))</f>
        <v>14.73</v>
      </c>
      <c r="J539" s="252">
        <f>IF($A539="M",_xlfn.XLOOKUP($D539,Mercado!$C:$C,Mercado!$J:$J),_xlfn.XLOOKUP($D539,Fontes!$B:$B,Fontes!$H:$H))</f>
        <v>4.32</v>
      </c>
      <c r="K539" s="252">
        <f>IF($A539="M",0,_xlfn.XLOOKUP($D539,Fontes!$B:$B,Fontes!$I:$I))</f>
        <v>0</v>
      </c>
      <c r="L539" s="250">
        <f t="shared" si="68"/>
        <v>19.05</v>
      </c>
      <c r="M539" s="300">
        <f t="shared" si="66"/>
        <v>152.4</v>
      </c>
      <c r="O539" s="517">
        <f t="shared" si="65"/>
        <v>152.4</v>
      </c>
    </row>
    <row r="540" spans="1:15" outlineLevel="3" x14ac:dyDescent="0.3">
      <c r="A540" s="36" t="s">
        <v>7</v>
      </c>
      <c r="B540" s="36"/>
      <c r="C540" s="495" t="s">
        <v>781</v>
      </c>
      <c r="D540" s="249"/>
      <c r="E540" s="249" t="str">
        <f>UPPER(IF($D540=0,"",IF($A540=4,_xlfn.XLOOKUP($D540,Mercado!$C:$C,Mercado!$E:$E),_xlfn.XLOOKUP($D540,Fontes!$B:$B,Fontes!$C:$C))))</f>
        <v/>
      </c>
      <c r="F540" s="327" t="s">
        <v>781</v>
      </c>
      <c r="G540" s="249"/>
      <c r="H540" s="252"/>
      <c r="I540" s="252">
        <f>IF($A540="M",_xlfn.XLOOKUP($D540,Mercado!$C:$C,Mercado!$I:$I),_xlfn.XLOOKUP($D540,Fontes!$B:$B,Fontes!$J:$J))</f>
        <v>0</v>
      </c>
      <c r="J540" s="252">
        <f>IF($A540="M",_xlfn.XLOOKUP($D540,Mercado!$C:$C,Mercado!$J:$J),_xlfn.XLOOKUP($D540,Fontes!$B:$B,Fontes!$H:$H))</f>
        <v>0</v>
      </c>
      <c r="K540" s="252">
        <f>IF($A540="M",0,_xlfn.XLOOKUP($D540,Fontes!$B:$B,Fontes!$I:$I))</f>
        <v>0</v>
      </c>
      <c r="L540" s="250">
        <f t="shared" si="68"/>
        <v>0</v>
      </c>
      <c r="M540" s="300">
        <f t="shared" si="66"/>
        <v>0</v>
      </c>
      <c r="O540" s="517" t="str">
        <f t="shared" si="65"/>
        <v/>
      </c>
    </row>
    <row r="541" spans="1:15" outlineLevel="2" x14ac:dyDescent="0.3">
      <c r="A541" s="36" t="s">
        <v>7</v>
      </c>
      <c r="B541" s="36"/>
      <c r="C541" s="496" t="s">
        <v>10206</v>
      </c>
      <c r="D541" s="253"/>
      <c r="E541" s="253" t="str">
        <f>UPPER(IF($D541=0,"",IF($A541=4,_xlfn.XLOOKUP($D541,Mercado!$C:$C,Mercado!$E:$E),_xlfn.XLOOKUP($D541,Fontes!$B:$B,Fontes!$C:$C))))</f>
        <v/>
      </c>
      <c r="F541" s="329" t="s">
        <v>535</v>
      </c>
      <c r="G541" s="253"/>
      <c r="H541" s="254"/>
      <c r="I541" s="254">
        <f>IF($A541="M",_xlfn.XLOOKUP($D541,Mercado!$C:$C,Mercado!$I:$I),_xlfn.XLOOKUP($D541,Fontes!$B:$B,Fontes!$J:$J))</f>
        <v>0</v>
      </c>
      <c r="J541" s="254">
        <f>IF($A541="M",_xlfn.XLOOKUP($D541,Mercado!$C:$C,Mercado!$J:$J),_xlfn.XLOOKUP($D541,Fontes!$B:$B,Fontes!$H:$H))</f>
        <v>0</v>
      </c>
      <c r="K541" s="254">
        <f>IF($A541="M",0,_xlfn.XLOOKUP($D541,Fontes!$B:$B,Fontes!$I:$I))</f>
        <v>0</v>
      </c>
      <c r="L541" s="254">
        <f t="shared" si="68"/>
        <v>0</v>
      </c>
      <c r="M541" s="497">
        <f>SUBTOTAL(9,M542:M546)</f>
        <v>6406.88</v>
      </c>
      <c r="O541" s="517" t="str">
        <f t="shared" si="65"/>
        <v/>
      </c>
    </row>
    <row r="542" spans="1:15" ht="38.4" outlineLevel="3" x14ac:dyDescent="0.3">
      <c r="A542" s="35"/>
      <c r="B542" s="36"/>
      <c r="C542" s="495" t="s">
        <v>10207</v>
      </c>
      <c r="D542" s="479" t="s">
        <v>438</v>
      </c>
      <c r="E542" s="249" t="str">
        <f>UPPER(IF($D542=0,"",IF($A542=4,_xlfn.XLOOKUP($D542,Mercado!$C:$C,Mercado!$E:$E),_xlfn.XLOOKUP($D542,Fontes!$B:$B,Fontes!$C:$C))))</f>
        <v>SETOP</v>
      </c>
      <c r="F542" s="327" t="s">
        <v>440</v>
      </c>
      <c r="G542" s="249" t="str">
        <f>UPPER(IF($D542=0,"",IF($A542=4,_xlfn.XLOOKUP($D542,Mercado!$C:$C,Mercado!$G:$G),_xlfn.XLOOKUP($D542,Fontes!$B:$B,Fontes!$E:$E))))</f>
        <v>M</v>
      </c>
      <c r="H542" s="252">
        <v>6</v>
      </c>
      <c r="I542" s="252">
        <f>IF($A542="M",_xlfn.XLOOKUP($D542,Mercado!$C:$C,Mercado!$I:$I),_xlfn.XLOOKUP($D542,Fontes!$B:$B,Fontes!$J:$J))</f>
        <v>78.36</v>
      </c>
      <c r="J542" s="252">
        <f>IF($A542="M",_xlfn.XLOOKUP($D542,Mercado!$C:$C,Mercado!$J:$J),_xlfn.XLOOKUP($D542,Fontes!$B:$B,Fontes!$H:$H))</f>
        <v>45.86</v>
      </c>
      <c r="K542" s="252">
        <f>IF($A542="M",0,_xlfn.XLOOKUP($D542,Fontes!$B:$B,Fontes!$I:$I))</f>
        <v>0</v>
      </c>
      <c r="L542" s="250">
        <f t="shared" si="68"/>
        <v>124.22</v>
      </c>
      <c r="M542" s="300">
        <f t="shared" ref="M542:M546" si="69">ROUND(H542*L542,2)</f>
        <v>745.32</v>
      </c>
      <c r="O542" s="517">
        <f t="shared" si="65"/>
        <v>745.32</v>
      </c>
    </row>
    <row r="543" spans="1:15" outlineLevel="3" x14ac:dyDescent="0.3">
      <c r="A543" s="35"/>
      <c r="B543" s="36"/>
      <c r="C543" s="495" t="s">
        <v>10208</v>
      </c>
      <c r="D543" s="479">
        <v>52043</v>
      </c>
      <c r="E543" s="249" t="str">
        <f>UPPER(IF($D543=0,"",IF($A543=4,_xlfn.XLOOKUP($D543,Mercado!$C:$C,Mercado!$E:$E),_xlfn.XLOOKUP($D543,Fontes!$B:$B,Fontes!$C:$C))))</f>
        <v>SBC</v>
      </c>
      <c r="F543" s="327" t="s">
        <v>441</v>
      </c>
      <c r="G543" s="249" t="str">
        <f>UPPER(IF($D543=0,"",IF($A543=4,_xlfn.XLOOKUP($D543,Mercado!$C:$C,Mercado!$G:$G),_xlfn.XLOOKUP($D543,Fontes!$B:$B,Fontes!$E:$E))))</f>
        <v>UN</v>
      </c>
      <c r="H543" s="252">
        <v>2</v>
      </c>
      <c r="I543" s="252">
        <f>IF($A543="M",_xlfn.XLOOKUP($D543,Mercado!$C:$C,Mercado!$I:$I),_xlfn.XLOOKUP($D543,Fontes!$B:$B,Fontes!$J:$J))</f>
        <v>751.32</v>
      </c>
      <c r="J543" s="252">
        <f>IF($A543="M",_xlfn.XLOOKUP($D543,Mercado!$C:$C,Mercado!$J:$J),_xlfn.XLOOKUP($D543,Fontes!$B:$B,Fontes!$H:$H))</f>
        <v>35.409999999999997</v>
      </c>
      <c r="K543" s="252">
        <f>IF($A543="M",0,_xlfn.XLOOKUP($D543,Fontes!$B:$B,Fontes!$I:$I))</f>
        <v>0</v>
      </c>
      <c r="L543" s="250">
        <f t="shared" si="68"/>
        <v>786.73</v>
      </c>
      <c r="M543" s="300">
        <f t="shared" si="69"/>
        <v>1573.46</v>
      </c>
      <c r="O543" s="517">
        <f t="shared" ref="O543:O609" si="70">IF(D543&lt;&gt;0,M543,"")</f>
        <v>1573.46</v>
      </c>
    </row>
    <row r="544" spans="1:15" ht="38.4" outlineLevel="3" x14ac:dyDescent="0.3">
      <c r="A544" s="35"/>
      <c r="B544" s="36"/>
      <c r="C544" s="495" t="s">
        <v>10209</v>
      </c>
      <c r="D544" s="487">
        <v>4869</v>
      </c>
      <c r="E544" s="249" t="str">
        <f>UPPER(IF($D544=0,"",IF($A544=4,_xlfn.XLOOKUP($D544,Mercado!$C:$C,Mercado!$E:$E),_xlfn.XLOOKUP($D544,Fontes!$B:$B,Fontes!$C:$C))))</f>
        <v>ORSE</v>
      </c>
      <c r="F544" s="327" t="s">
        <v>3579</v>
      </c>
      <c r="G544" s="249" t="str">
        <f>UPPER(IF($D544=0,"",IF($A544=4,_xlfn.XLOOKUP($D544,Mercado!$C:$C,Mercado!$G:$G),_xlfn.XLOOKUP($D544,Fontes!$B:$B,Fontes!$E:$E))))</f>
        <v>M</v>
      </c>
      <c r="H544" s="252">
        <v>110</v>
      </c>
      <c r="I544" s="252">
        <f>IF($A544="M",_xlfn.XLOOKUP($D544,Mercado!$C:$C,Mercado!$I:$I),_xlfn.XLOOKUP($D544,Fontes!$B:$B,Fontes!$J:$J))</f>
        <v>15.74</v>
      </c>
      <c r="J544" s="252">
        <f>IF($A544="M",_xlfn.XLOOKUP($D544,Mercado!$C:$C,Mercado!$J:$J),_xlfn.XLOOKUP($D544,Fontes!$B:$B,Fontes!$H:$H))</f>
        <v>19</v>
      </c>
      <c r="K544" s="252">
        <f>IF($A544="M",0,_xlfn.XLOOKUP($D544,Fontes!$B:$B,Fontes!$I:$I))</f>
        <v>0</v>
      </c>
      <c r="L544" s="250">
        <f t="shared" si="68"/>
        <v>34.74</v>
      </c>
      <c r="M544" s="300">
        <f t="shared" si="69"/>
        <v>3821.4</v>
      </c>
      <c r="O544" s="517">
        <f t="shared" si="70"/>
        <v>3821.4</v>
      </c>
    </row>
    <row r="545" spans="1:15" outlineLevel="3" x14ac:dyDescent="0.3">
      <c r="A545" s="35"/>
      <c r="B545" s="36"/>
      <c r="C545" s="495" t="s">
        <v>10210</v>
      </c>
      <c r="D545" s="487">
        <v>1536</v>
      </c>
      <c r="E545" s="249" t="str">
        <f>UPPER(IF($D545=0,"",IF($A545=4,_xlfn.XLOOKUP($D545,Mercado!$C:$C,Mercado!$E:$E),_xlfn.XLOOKUP($D545,Fontes!$B:$B,Fontes!$C:$C))))</f>
        <v>ORSE</v>
      </c>
      <c r="F545" s="327" t="s">
        <v>3580</v>
      </c>
      <c r="G545" s="249" t="str">
        <f>UPPER(IF($D545=0,"",IF($A545=4,_xlfn.XLOOKUP($D545,Mercado!$C:$C,Mercado!$G:$G),_xlfn.XLOOKUP($D545,Fontes!$B:$B,Fontes!$E:$E))))</f>
        <v>UN</v>
      </c>
      <c r="H545" s="252">
        <v>14</v>
      </c>
      <c r="I545" s="252">
        <f>IF($A545="M",_xlfn.XLOOKUP($D545,Mercado!$C:$C,Mercado!$I:$I),_xlfn.XLOOKUP($D545,Fontes!$B:$B,Fontes!$J:$J))</f>
        <v>14.73</v>
      </c>
      <c r="J545" s="252">
        <f>IF($A545="M",_xlfn.XLOOKUP($D545,Mercado!$C:$C,Mercado!$J:$J),_xlfn.XLOOKUP($D545,Fontes!$B:$B,Fontes!$H:$H))</f>
        <v>4.32</v>
      </c>
      <c r="K545" s="252">
        <f>IF($A545="M",0,_xlfn.XLOOKUP($D545,Fontes!$B:$B,Fontes!$I:$I))</f>
        <v>0</v>
      </c>
      <c r="L545" s="250">
        <f t="shared" si="68"/>
        <v>19.05</v>
      </c>
      <c r="M545" s="300">
        <f t="shared" si="69"/>
        <v>266.7</v>
      </c>
      <c r="O545" s="517">
        <f t="shared" si="70"/>
        <v>266.7</v>
      </c>
    </row>
    <row r="546" spans="1:15" outlineLevel="3" x14ac:dyDescent="0.3">
      <c r="A546" s="36" t="s">
        <v>7</v>
      </c>
      <c r="B546" s="36"/>
      <c r="C546" s="495" t="s">
        <v>781</v>
      </c>
      <c r="D546" s="479"/>
      <c r="E546" s="249" t="str">
        <f>UPPER(IF($D546=0,"",IF($A546=4,_xlfn.XLOOKUP($D546,Mercado!$C:$C,Mercado!$E:$E),_xlfn.XLOOKUP($D546,Fontes!$B:$B,Fontes!$C:$C))))</f>
        <v/>
      </c>
      <c r="F546" s="327" t="s">
        <v>781</v>
      </c>
      <c r="G546" s="249"/>
      <c r="H546" s="252"/>
      <c r="I546" s="252">
        <f>IF($A546="M",_xlfn.XLOOKUP($D546,Mercado!$C:$C,Mercado!$I:$I),_xlfn.XLOOKUP($D546,Fontes!$B:$B,Fontes!$J:$J))</f>
        <v>0</v>
      </c>
      <c r="J546" s="252">
        <f>IF($A546="M",_xlfn.XLOOKUP($D546,Mercado!$C:$C,Mercado!$J:$J),_xlfn.XLOOKUP($D546,Fontes!$B:$B,Fontes!$H:$H))</f>
        <v>0</v>
      </c>
      <c r="K546" s="252">
        <f>IF($A546="M",0,_xlfn.XLOOKUP($D546,Fontes!$B:$B,Fontes!$I:$I))</f>
        <v>0</v>
      </c>
      <c r="L546" s="250">
        <f t="shared" si="68"/>
        <v>0</v>
      </c>
      <c r="M546" s="300">
        <f t="shared" si="69"/>
        <v>0</v>
      </c>
      <c r="O546" s="517" t="str">
        <f t="shared" si="70"/>
        <v/>
      </c>
    </row>
    <row r="547" spans="1:15" outlineLevel="2" x14ac:dyDescent="0.3">
      <c r="A547" s="36" t="s">
        <v>7</v>
      </c>
      <c r="B547" s="36"/>
      <c r="C547" s="496" t="s">
        <v>10211</v>
      </c>
      <c r="D547" s="253"/>
      <c r="E547" s="253" t="str">
        <f>UPPER(IF($D547=0,"",IF($A547=4,_xlfn.XLOOKUP($D547,Mercado!$C:$C,Mercado!$E:$E),_xlfn.XLOOKUP($D547,Fontes!$B:$B,Fontes!$C:$C))))</f>
        <v/>
      </c>
      <c r="F547" s="329" t="s">
        <v>536</v>
      </c>
      <c r="G547" s="253"/>
      <c r="H547" s="254"/>
      <c r="I547" s="254">
        <f>IF($A547="M",_xlfn.XLOOKUP($D547,Mercado!$C:$C,Mercado!$I:$I),_xlfn.XLOOKUP($D547,Fontes!$B:$B,Fontes!$J:$J))</f>
        <v>0</v>
      </c>
      <c r="J547" s="254">
        <f>IF($A547="M",_xlfn.XLOOKUP($D547,Mercado!$C:$C,Mercado!$J:$J),_xlfn.XLOOKUP($D547,Fontes!$B:$B,Fontes!$H:$H))</f>
        <v>0</v>
      </c>
      <c r="K547" s="254">
        <f>IF($A547="M",0,_xlfn.XLOOKUP($D547,Fontes!$B:$B,Fontes!$I:$I))</f>
        <v>0</v>
      </c>
      <c r="L547" s="254">
        <f t="shared" si="68"/>
        <v>0</v>
      </c>
      <c r="M547" s="497">
        <f>SUBTOTAL(9,M548:M555)</f>
        <v>581.1400000000001</v>
      </c>
      <c r="O547" s="517" t="str">
        <f t="shared" si="70"/>
        <v/>
      </c>
    </row>
    <row r="548" spans="1:15" ht="57.6" outlineLevel="3" x14ac:dyDescent="0.3">
      <c r="A548" s="35"/>
      <c r="B548" s="36"/>
      <c r="C548" s="495" t="s">
        <v>10212</v>
      </c>
      <c r="D548" s="479">
        <v>95749</v>
      </c>
      <c r="E548" s="249" t="str">
        <f>UPPER(IF($D548=0,"",IF($A548=4,_xlfn.XLOOKUP($D548,Mercado!$C:$C,Mercado!$E:$E),_xlfn.XLOOKUP($D548,Fontes!$B:$B,Fontes!$C:$C))))</f>
        <v>SINAPI</v>
      </c>
      <c r="F548" s="327" t="s">
        <v>23</v>
      </c>
      <c r="G548" s="249" t="str">
        <f>UPPER(IF($D548=0,"",IF($A548=4,_xlfn.XLOOKUP($D548,Mercado!$C:$C,Mercado!$G:$G),_xlfn.XLOOKUP($D548,Fontes!$B:$B,Fontes!$E:$E))))</f>
        <v>M</v>
      </c>
      <c r="H548" s="252">
        <v>6</v>
      </c>
      <c r="I548" s="252">
        <f>IF($A548="M",_xlfn.XLOOKUP($D548,Mercado!$C:$C,Mercado!$I:$I),_xlfn.XLOOKUP($D548,Fontes!$B:$B,Fontes!$J:$J))</f>
        <v>17.87</v>
      </c>
      <c r="J548" s="252">
        <f>IF($A548="M",_xlfn.XLOOKUP($D548,Mercado!$C:$C,Mercado!$J:$J),_xlfn.XLOOKUP($D548,Fontes!$B:$B,Fontes!$H:$H))</f>
        <v>19.87</v>
      </c>
      <c r="K548" s="252">
        <f>IF($A548="M",0,_xlfn.XLOOKUP($D548,Fontes!$B:$B,Fontes!$I:$I))</f>
        <v>1.62</v>
      </c>
      <c r="L548" s="250">
        <f t="shared" si="68"/>
        <v>39.36</v>
      </c>
      <c r="M548" s="300">
        <f t="shared" ref="M548:M555" si="71">ROUND(H548*L548,2)</f>
        <v>236.16</v>
      </c>
      <c r="O548" s="517">
        <f t="shared" si="70"/>
        <v>236.16</v>
      </c>
    </row>
    <row r="549" spans="1:15" ht="57.6" outlineLevel="4" x14ac:dyDescent="0.3">
      <c r="A549" s="35"/>
      <c r="B549" s="36"/>
      <c r="C549" s="495" t="s">
        <v>10213</v>
      </c>
      <c r="D549" s="479">
        <v>97549</v>
      </c>
      <c r="E549" s="249" t="str">
        <f>UPPER(IF($D549=0,"",IF($A549=4,_xlfn.XLOOKUP($D549,Mercado!$C:$C,Mercado!$E:$E),_xlfn.XLOOKUP($D549,Fontes!$B:$B,Fontes!$C:$C))))</f>
        <v>SINAPI</v>
      </c>
      <c r="F549" s="327" t="s">
        <v>335</v>
      </c>
      <c r="G549" s="249" t="str">
        <f>UPPER(IF($D549=0,"",IF($A549=4,_xlfn.XLOOKUP($D549,Mercado!$C:$C,Mercado!$G:$G),_xlfn.XLOOKUP($D549,Fontes!$B:$B,Fontes!$E:$E))))</f>
        <v>UN</v>
      </c>
      <c r="H549" s="252">
        <v>2</v>
      </c>
      <c r="I549" s="252">
        <f>IF($A549="M",_xlfn.XLOOKUP($D549,Mercado!$C:$C,Mercado!$I:$I),_xlfn.XLOOKUP($D549,Fontes!$B:$B,Fontes!$J:$J))</f>
        <v>34.56</v>
      </c>
      <c r="J549" s="252">
        <f>IF($A549="M",_xlfn.XLOOKUP($D549,Mercado!$C:$C,Mercado!$J:$J),_xlfn.XLOOKUP($D549,Fontes!$B:$B,Fontes!$H:$H))</f>
        <v>25.81</v>
      </c>
      <c r="K549" s="252">
        <f>IF($A549="M",0,_xlfn.XLOOKUP($D549,Fontes!$B:$B,Fontes!$I:$I))</f>
        <v>2.13</v>
      </c>
      <c r="L549" s="250">
        <f t="shared" si="68"/>
        <v>62.500000000000007</v>
      </c>
      <c r="M549" s="300">
        <f t="shared" si="71"/>
        <v>125</v>
      </c>
      <c r="O549" s="517">
        <f t="shared" si="70"/>
        <v>125</v>
      </c>
    </row>
    <row r="550" spans="1:15" ht="57.6" outlineLevel="4" x14ac:dyDescent="0.3">
      <c r="A550" s="35"/>
      <c r="B550" s="36"/>
      <c r="C550" s="495" t="s">
        <v>10214</v>
      </c>
      <c r="D550" s="479">
        <v>91835</v>
      </c>
      <c r="E550" s="249" t="str">
        <f>UPPER(IF($D550=0,"",IF($A550=4,_xlfn.XLOOKUP($D550,Mercado!$C:$C,Mercado!$E:$E),_xlfn.XLOOKUP($D550,Fontes!$B:$B,Fontes!$C:$C))))</f>
        <v>SINAPI</v>
      </c>
      <c r="F550" s="327" t="s">
        <v>194</v>
      </c>
      <c r="G550" s="249" t="str">
        <f>UPPER(IF($D550=0,"",IF($A550=4,_xlfn.XLOOKUP($D550,Mercado!$C:$C,Mercado!$G:$G),_xlfn.XLOOKUP($D550,Fontes!$B:$B,Fontes!$E:$E))))</f>
        <v>M</v>
      </c>
      <c r="H550" s="252">
        <v>6</v>
      </c>
      <c r="I550" s="252">
        <f>IF($A550="M",_xlfn.XLOOKUP($D550,Mercado!$C:$C,Mercado!$I:$I),_xlfn.XLOOKUP($D550,Fontes!$B:$B,Fontes!$J:$J))</f>
        <v>10.32</v>
      </c>
      <c r="J550" s="252">
        <f>IF($A550="M",_xlfn.XLOOKUP($D550,Mercado!$C:$C,Mercado!$J:$J),_xlfn.XLOOKUP($D550,Fontes!$B:$B,Fontes!$H:$H))</f>
        <v>12.67</v>
      </c>
      <c r="K550" s="252">
        <f>IF($A550="M",0,_xlfn.XLOOKUP($D550,Fontes!$B:$B,Fontes!$I:$I))</f>
        <v>0.92</v>
      </c>
      <c r="L550" s="250">
        <f t="shared" si="68"/>
        <v>23.910000000000004</v>
      </c>
      <c r="M550" s="300">
        <f t="shared" si="71"/>
        <v>143.46</v>
      </c>
      <c r="O550" s="517">
        <f t="shared" si="70"/>
        <v>143.46</v>
      </c>
    </row>
    <row r="551" spans="1:15" ht="57.6" outlineLevel="4" x14ac:dyDescent="0.3">
      <c r="A551" s="35"/>
      <c r="B551" s="36"/>
      <c r="C551" s="495" t="s">
        <v>10215</v>
      </c>
      <c r="D551" s="479">
        <v>91941</v>
      </c>
      <c r="E551" s="249" t="str">
        <f>UPPER(IF($D551=0,"",IF($A551=4,_xlfn.XLOOKUP($D551,Mercado!$C:$C,Mercado!$E:$E),_xlfn.XLOOKUP($D551,Fontes!$B:$B,Fontes!$C:$C))))</f>
        <v>SINAPI</v>
      </c>
      <c r="F551" s="327" t="s">
        <v>29</v>
      </c>
      <c r="G551" s="249" t="str">
        <f>UPPER(IF($D551=0,"",IF($A551=4,_xlfn.XLOOKUP($D551,Mercado!$C:$C,Mercado!$G:$G),_xlfn.XLOOKUP($D551,Fontes!$B:$B,Fontes!$E:$E))))</f>
        <v>UN</v>
      </c>
      <c r="H551" s="252">
        <v>2</v>
      </c>
      <c r="I551" s="252">
        <f>IF($A551="M",_xlfn.XLOOKUP($D551,Mercado!$C:$C,Mercado!$I:$I),_xlfn.XLOOKUP($D551,Fontes!$B:$B,Fontes!$J:$J))</f>
        <v>6.29</v>
      </c>
      <c r="J551" s="252">
        <f>IF($A551="M",_xlfn.XLOOKUP($D551,Mercado!$C:$C,Mercado!$J:$J),_xlfn.XLOOKUP($D551,Fontes!$B:$B,Fontes!$H:$H))</f>
        <v>9.3000000000000007</v>
      </c>
      <c r="K551" s="252">
        <f>IF($A551="M",0,_xlfn.XLOOKUP($D551,Fontes!$B:$B,Fontes!$I:$I))</f>
        <v>0.82</v>
      </c>
      <c r="L551" s="250">
        <f t="shared" si="68"/>
        <v>16.41</v>
      </c>
      <c r="M551" s="300">
        <f t="shared" si="71"/>
        <v>32.82</v>
      </c>
      <c r="O551" s="517">
        <f t="shared" si="70"/>
        <v>32.82</v>
      </c>
    </row>
    <row r="552" spans="1:15" ht="57.6" outlineLevel="4" x14ac:dyDescent="0.3">
      <c r="A552" s="35"/>
      <c r="B552" s="36"/>
      <c r="C552" s="495" t="s">
        <v>10216</v>
      </c>
      <c r="D552" s="479">
        <v>91944</v>
      </c>
      <c r="E552" s="249" t="str">
        <f>UPPER(IF($D552=0,"",IF($A552=4,_xlfn.XLOOKUP($D552,Mercado!$C:$C,Mercado!$E:$E),_xlfn.XLOOKUP($D552,Fontes!$B:$B,Fontes!$C:$C))))</f>
        <v>SINAPI</v>
      </c>
      <c r="F552" s="327" t="s">
        <v>30</v>
      </c>
      <c r="G552" s="249" t="str">
        <f>UPPER(IF($D552=0,"",IF($A552=4,_xlfn.XLOOKUP($D552,Mercado!$C:$C,Mercado!$G:$G),_xlfn.XLOOKUP($D552,Fontes!$B:$B,Fontes!$E:$E))))</f>
        <v>UN</v>
      </c>
      <c r="H552" s="252">
        <v>1</v>
      </c>
      <c r="I552" s="252">
        <f>IF($A552="M",_xlfn.XLOOKUP($D552,Mercado!$C:$C,Mercado!$I:$I),_xlfn.XLOOKUP($D552,Fontes!$B:$B,Fontes!$J:$J))</f>
        <v>9.6999999999999993</v>
      </c>
      <c r="J552" s="252">
        <f>IF($A552="M",_xlfn.XLOOKUP($D552,Mercado!$C:$C,Mercado!$J:$J),_xlfn.XLOOKUP($D552,Fontes!$B:$B,Fontes!$H:$H))</f>
        <v>9.64</v>
      </c>
      <c r="K552" s="252">
        <f>IF($A552="M",0,_xlfn.XLOOKUP($D552,Fontes!$B:$B,Fontes!$I:$I))</f>
        <v>0.86</v>
      </c>
      <c r="L552" s="250">
        <f t="shared" si="68"/>
        <v>20.2</v>
      </c>
      <c r="M552" s="300">
        <f t="shared" si="71"/>
        <v>20.2</v>
      </c>
      <c r="O552" s="517">
        <f t="shared" si="70"/>
        <v>20.2</v>
      </c>
    </row>
    <row r="553" spans="1:15" outlineLevel="4" x14ac:dyDescent="0.3">
      <c r="A553" s="35"/>
      <c r="B553" s="36"/>
      <c r="C553" s="495" t="s">
        <v>10217</v>
      </c>
      <c r="D553" s="479" t="s">
        <v>521</v>
      </c>
      <c r="E553" s="249" t="str">
        <f>UPPER(IF($D553=0,"",IF($A553=4,_xlfn.XLOOKUP($D553,Mercado!$C:$C,Mercado!$E:$E),_xlfn.XLOOKUP($D553,Fontes!$B:$B,Fontes!$C:$C))))</f>
        <v>CPOS/CDHU</v>
      </c>
      <c r="F553" s="327" t="s">
        <v>3581</v>
      </c>
      <c r="G553" s="249" t="str">
        <f>UPPER(IF($D553=0,"",IF($A553=4,_xlfn.XLOOKUP($D553,Mercado!$C:$C,Mercado!$G:$G),_xlfn.XLOOKUP($D553,Fontes!$B:$B,Fontes!$E:$E))))</f>
        <v>UN</v>
      </c>
      <c r="H553" s="252">
        <v>2</v>
      </c>
      <c r="I553" s="252">
        <f>IF($A553="M",_xlfn.XLOOKUP($D553,Mercado!$C:$C,Mercado!$I:$I),_xlfn.XLOOKUP($D553,Fontes!$B:$B,Fontes!$J:$J))</f>
        <v>4.18</v>
      </c>
      <c r="J553" s="252">
        <f>IF($A553="M",_xlfn.XLOOKUP($D553,Mercado!$C:$C,Mercado!$J:$J),_xlfn.XLOOKUP($D553,Fontes!$B:$B,Fontes!$H:$H))</f>
        <v>1.82</v>
      </c>
      <c r="K553" s="252">
        <f>IF($A553="M",0,_xlfn.XLOOKUP($D553,Fontes!$B:$B,Fontes!$I:$I))</f>
        <v>0</v>
      </c>
      <c r="L553" s="250">
        <f t="shared" si="68"/>
        <v>6</v>
      </c>
      <c r="M553" s="300">
        <f t="shared" si="71"/>
        <v>12</v>
      </c>
      <c r="O553" s="517">
        <f t="shared" si="70"/>
        <v>12</v>
      </c>
    </row>
    <row r="554" spans="1:15" outlineLevel="4" x14ac:dyDescent="0.3">
      <c r="A554" s="35"/>
      <c r="B554" s="36"/>
      <c r="C554" s="495" t="s">
        <v>10218</v>
      </c>
      <c r="D554" s="479" t="s">
        <v>523</v>
      </c>
      <c r="E554" s="249" t="str">
        <f>UPPER(IF($D554=0,"",IF($A554=4,_xlfn.XLOOKUP($D554,Mercado!$C:$C,Mercado!$E:$E),_xlfn.XLOOKUP($D554,Fontes!$B:$B,Fontes!$C:$C))))</f>
        <v>CPOS/CDHU</v>
      </c>
      <c r="F554" s="327" t="s">
        <v>3569</v>
      </c>
      <c r="G554" s="249" t="str">
        <f>UPPER(IF($D554=0,"",IF($A554=4,_xlfn.XLOOKUP($D554,Mercado!$C:$C,Mercado!$G:$G),_xlfn.XLOOKUP($D554,Fontes!$B:$B,Fontes!$E:$E))))</f>
        <v>UN</v>
      </c>
      <c r="H554" s="252">
        <v>1</v>
      </c>
      <c r="I554" s="252">
        <f>IF($A554="M",_xlfn.XLOOKUP($D554,Mercado!$C:$C,Mercado!$I:$I),_xlfn.XLOOKUP($D554,Fontes!$B:$B,Fontes!$J:$J))</f>
        <v>9.68</v>
      </c>
      <c r="J554" s="252">
        <f>IF($A554="M",_xlfn.XLOOKUP($D554,Mercado!$C:$C,Mercado!$J:$J),_xlfn.XLOOKUP($D554,Fontes!$B:$B,Fontes!$H:$H))</f>
        <v>1.82</v>
      </c>
      <c r="K554" s="252">
        <f>IF($A554="M",0,_xlfn.XLOOKUP($D554,Fontes!$B:$B,Fontes!$I:$I))</f>
        <v>0</v>
      </c>
      <c r="L554" s="250">
        <f t="shared" si="68"/>
        <v>11.5</v>
      </c>
      <c r="M554" s="300">
        <f t="shared" si="71"/>
        <v>11.5</v>
      </c>
      <c r="O554" s="517">
        <f t="shared" si="70"/>
        <v>11.5</v>
      </c>
    </row>
    <row r="555" spans="1:15" outlineLevel="3" x14ac:dyDescent="0.3">
      <c r="A555" s="36" t="s">
        <v>7</v>
      </c>
      <c r="B555" s="36"/>
      <c r="C555" s="495" t="s">
        <v>781</v>
      </c>
      <c r="D555" s="479"/>
      <c r="E555" s="249" t="str">
        <f>UPPER(IF($D555=0,"",IF($A555=4,_xlfn.XLOOKUP($D555,Mercado!$C:$C,Mercado!$E:$E),_xlfn.XLOOKUP($D555,Fontes!$B:$B,Fontes!$C:$C))))</f>
        <v/>
      </c>
      <c r="F555" s="327" t="s">
        <v>781</v>
      </c>
      <c r="G555" s="249"/>
      <c r="H555" s="252"/>
      <c r="I555" s="252">
        <f>IF($A555="M",_xlfn.XLOOKUP($D555,Mercado!$C:$C,Mercado!$I:$I),_xlfn.XLOOKUP($D555,Fontes!$B:$B,Fontes!$J:$J))</f>
        <v>0</v>
      </c>
      <c r="J555" s="252">
        <f>IF($A555="M",_xlfn.XLOOKUP($D555,Mercado!$C:$C,Mercado!$J:$J),_xlfn.XLOOKUP($D555,Fontes!$B:$B,Fontes!$H:$H))</f>
        <v>0</v>
      </c>
      <c r="K555" s="252">
        <f>IF($A555="M",0,_xlfn.XLOOKUP($D555,Fontes!$B:$B,Fontes!$I:$I))</f>
        <v>0</v>
      </c>
      <c r="L555" s="250">
        <f t="shared" si="68"/>
        <v>0</v>
      </c>
      <c r="M555" s="300">
        <f t="shared" si="71"/>
        <v>0</v>
      </c>
      <c r="O555" s="517" t="str">
        <f t="shared" si="70"/>
        <v/>
      </c>
    </row>
    <row r="556" spans="1:15" outlineLevel="2" x14ac:dyDescent="0.3">
      <c r="A556" s="36" t="s">
        <v>7</v>
      </c>
      <c r="B556" s="36"/>
      <c r="C556" s="496" t="s">
        <v>10219</v>
      </c>
      <c r="D556" s="253"/>
      <c r="E556" s="253" t="str">
        <f>UPPER(IF($D556=0,"",IF($A556=4,_xlfn.XLOOKUP($D556,Mercado!$C:$C,Mercado!$E:$E),_xlfn.XLOOKUP($D556,Fontes!$B:$B,Fontes!$C:$C))))</f>
        <v/>
      </c>
      <c r="F556" s="329" t="s">
        <v>537</v>
      </c>
      <c r="G556" s="253"/>
      <c r="H556" s="254"/>
      <c r="I556" s="254">
        <f>IF($A556="M",_xlfn.XLOOKUP($D556,Mercado!$C:$C,Mercado!$I:$I),_xlfn.XLOOKUP($D556,Fontes!$B:$B,Fontes!$J:$J))</f>
        <v>0</v>
      </c>
      <c r="J556" s="254">
        <f>IF($A556="M",_xlfn.XLOOKUP($D556,Mercado!$C:$C,Mercado!$J:$J),_xlfn.XLOOKUP($D556,Fontes!$B:$B,Fontes!$H:$H))</f>
        <v>0</v>
      </c>
      <c r="K556" s="254">
        <f>IF($A556="M",0,_xlfn.XLOOKUP($D556,Fontes!$B:$B,Fontes!$I:$I))</f>
        <v>0</v>
      </c>
      <c r="L556" s="254">
        <f t="shared" si="68"/>
        <v>0</v>
      </c>
      <c r="M556" s="497">
        <f>SUBTOTAL(9,M557:M573)</f>
        <v>56153.719999999987</v>
      </c>
      <c r="O556" s="517" t="str">
        <f t="shared" si="70"/>
        <v/>
      </c>
    </row>
    <row r="557" spans="1:15" outlineLevel="4" x14ac:dyDescent="0.3">
      <c r="A557" s="35"/>
      <c r="B557" s="36"/>
      <c r="C557" s="495" t="s">
        <v>10220</v>
      </c>
      <c r="D557" s="479">
        <v>63754</v>
      </c>
      <c r="E557" s="249" t="str">
        <f>UPPER(IF($D557=0,"",IF($A557=4,_xlfn.XLOOKUP($D557,Mercado!$C:$C,Mercado!$E:$E),_xlfn.XLOOKUP($D557,Fontes!$B:$B,Fontes!$C:$C))))</f>
        <v>SBC</v>
      </c>
      <c r="F557" s="327" t="s">
        <v>425</v>
      </c>
      <c r="G557" s="249" t="str">
        <f>UPPER(IF($D557=0,"",IF($A557=4,_xlfn.XLOOKUP($D557,Mercado!$C:$C,Mercado!$G:$G),_xlfn.XLOOKUP($D557,Fontes!$B:$B,Fontes!$E:$E))))</f>
        <v>UN</v>
      </c>
      <c r="H557" s="252">
        <v>34</v>
      </c>
      <c r="I557" s="252">
        <f>IF($A557="M",_xlfn.XLOOKUP($D557,Mercado!$C:$C,Mercado!$I:$I),_xlfn.XLOOKUP($D557,Fontes!$B:$B,Fontes!$J:$J))</f>
        <v>6.27</v>
      </c>
      <c r="J557" s="252">
        <f>IF($A557="M",_xlfn.XLOOKUP($D557,Mercado!$C:$C,Mercado!$J:$J),_xlfn.XLOOKUP($D557,Fontes!$B:$B,Fontes!$H:$H))</f>
        <v>7.5</v>
      </c>
      <c r="K557" s="252">
        <f>IF($A557="M",0,_xlfn.XLOOKUP($D557,Fontes!$B:$B,Fontes!$I:$I))</f>
        <v>0</v>
      </c>
      <c r="L557" s="250">
        <f t="shared" si="68"/>
        <v>13.77</v>
      </c>
      <c r="M557" s="300">
        <f t="shared" ref="M557:M573" si="72">ROUND(H557*L557,2)</f>
        <v>468.18</v>
      </c>
      <c r="O557" s="517">
        <f t="shared" si="70"/>
        <v>468.18</v>
      </c>
    </row>
    <row r="558" spans="1:15" ht="38.4" outlineLevel="4" x14ac:dyDescent="0.3">
      <c r="A558" s="35"/>
      <c r="B558" s="36"/>
      <c r="C558" s="495" t="s">
        <v>10221</v>
      </c>
      <c r="D558" s="479" t="s">
        <v>1841</v>
      </c>
      <c r="E558" s="249" t="str">
        <f>UPPER(IF($D558=0,"",IF($A558=4,_xlfn.XLOOKUP($D558,Mercado!$C:$C,Mercado!$E:$E),_xlfn.XLOOKUP($D558,Fontes!$B:$B,Fontes!$C:$C))))</f>
        <v>CPOS/CDHU</v>
      </c>
      <c r="F558" s="327" t="s">
        <v>3582</v>
      </c>
      <c r="G558" s="249" t="str">
        <f>UPPER(IF($D558=0,"",IF($A558=4,_xlfn.XLOOKUP($D558,Mercado!$C:$C,Mercado!$G:$G),_xlfn.XLOOKUP($D558,Fontes!$B:$B,Fontes!$E:$E))))</f>
        <v>M</v>
      </c>
      <c r="H558" s="252">
        <v>327</v>
      </c>
      <c r="I558" s="252">
        <f>IF($A558="M",_xlfn.XLOOKUP($D558,Mercado!$C:$C,Mercado!$I:$I),_xlfn.XLOOKUP($D558,Fontes!$B:$B,Fontes!$J:$J))</f>
        <v>18.260000000000002</v>
      </c>
      <c r="J558" s="252">
        <f>IF($A558="M",_xlfn.XLOOKUP($D558,Mercado!$C:$C,Mercado!$J:$J),_xlfn.XLOOKUP($D558,Fontes!$B:$B,Fontes!$H:$H))</f>
        <v>39.08</v>
      </c>
      <c r="K558" s="252">
        <f>IF($A558="M",0,_xlfn.XLOOKUP($D558,Fontes!$B:$B,Fontes!$I:$I))</f>
        <v>0</v>
      </c>
      <c r="L558" s="250">
        <f t="shared" si="68"/>
        <v>57.34</v>
      </c>
      <c r="M558" s="300">
        <f t="shared" si="72"/>
        <v>18750.18</v>
      </c>
      <c r="O558" s="517">
        <f t="shared" si="70"/>
        <v>18750.18</v>
      </c>
    </row>
    <row r="559" spans="1:15" ht="38.4" outlineLevel="4" x14ac:dyDescent="0.3">
      <c r="A559" s="35"/>
      <c r="B559" s="36"/>
      <c r="C559" s="495" t="s">
        <v>10222</v>
      </c>
      <c r="D559" s="479" t="s">
        <v>1801</v>
      </c>
      <c r="E559" s="249" t="str">
        <f>UPPER(IF($D559=0,"",IF($A559=4,_xlfn.XLOOKUP($D559,Mercado!$C:$C,Mercado!$E:$E),_xlfn.XLOOKUP($D559,Fontes!$B:$B,Fontes!$C:$C))))</f>
        <v>CPOS/CDHU</v>
      </c>
      <c r="F559" s="327" t="s">
        <v>3576</v>
      </c>
      <c r="G559" s="249" t="str">
        <f>UPPER(IF($D559=0,"",IF($A559=4,_xlfn.XLOOKUP($D559,Mercado!$C:$C,Mercado!$G:$G),_xlfn.XLOOKUP($D559,Fontes!$B:$B,Fontes!$E:$E))))</f>
        <v>M</v>
      </c>
      <c r="H559" s="252">
        <v>150</v>
      </c>
      <c r="I559" s="252">
        <f>IF($A559="M",_xlfn.XLOOKUP($D559,Mercado!$C:$C,Mercado!$I:$I),_xlfn.XLOOKUP($D559,Fontes!$B:$B,Fontes!$J:$J))</f>
        <v>43.65</v>
      </c>
      <c r="J559" s="252">
        <f>IF($A559="M",_xlfn.XLOOKUP($D559,Mercado!$C:$C,Mercado!$J:$J),_xlfn.XLOOKUP($D559,Fontes!$B:$B,Fontes!$H:$H))</f>
        <v>55.83</v>
      </c>
      <c r="K559" s="252">
        <f>IF($A559="M",0,_xlfn.XLOOKUP($D559,Fontes!$B:$B,Fontes!$I:$I))</f>
        <v>0</v>
      </c>
      <c r="L559" s="250">
        <f t="shared" si="68"/>
        <v>99.47999999999999</v>
      </c>
      <c r="M559" s="300">
        <f t="shared" si="72"/>
        <v>14922</v>
      </c>
      <c r="O559" s="517">
        <f t="shared" si="70"/>
        <v>14922</v>
      </c>
    </row>
    <row r="560" spans="1:15" ht="57.6" outlineLevel="4" x14ac:dyDescent="0.3">
      <c r="A560" s="35"/>
      <c r="B560" s="36"/>
      <c r="C560" s="495" t="s">
        <v>10223</v>
      </c>
      <c r="D560" s="479">
        <v>95796</v>
      </c>
      <c r="E560" s="249" t="str">
        <f>UPPER(IF($D560=0,"",IF($A560=4,_xlfn.XLOOKUP($D560,Mercado!$C:$C,Mercado!$E:$E),_xlfn.XLOOKUP($D560,Fontes!$B:$B,Fontes!$C:$C))))</f>
        <v>SINAPI</v>
      </c>
      <c r="F560" s="327" t="s">
        <v>33</v>
      </c>
      <c r="G560" s="249" t="str">
        <f>UPPER(IF($D560=0,"",IF($A560=4,_xlfn.XLOOKUP($D560,Mercado!$C:$C,Mercado!$G:$G),_xlfn.XLOOKUP($D560,Fontes!$B:$B,Fontes!$E:$E))))</f>
        <v>UN</v>
      </c>
      <c r="H560" s="252">
        <v>7</v>
      </c>
      <c r="I560" s="252">
        <f>IF($A560="M",_xlfn.XLOOKUP($D560,Mercado!$C:$C,Mercado!$I:$I),_xlfn.XLOOKUP($D560,Fontes!$B:$B,Fontes!$J:$J))</f>
        <v>28.39</v>
      </c>
      <c r="J560" s="252">
        <f>IF($A560="M",_xlfn.XLOOKUP($D560,Mercado!$C:$C,Mercado!$J:$J),_xlfn.XLOOKUP($D560,Fontes!$B:$B,Fontes!$H:$H))</f>
        <v>21.49</v>
      </c>
      <c r="K560" s="252">
        <f>IF($A560="M",0,_xlfn.XLOOKUP($D560,Fontes!$B:$B,Fontes!$I:$I))</f>
        <v>1.82</v>
      </c>
      <c r="L560" s="250">
        <f t="shared" si="68"/>
        <v>51.699999999999996</v>
      </c>
      <c r="M560" s="300">
        <f t="shared" si="72"/>
        <v>361.9</v>
      </c>
      <c r="O560" s="517">
        <f t="shared" si="70"/>
        <v>361.9</v>
      </c>
    </row>
    <row r="561" spans="1:15" ht="57.6" outlineLevel="4" x14ac:dyDescent="0.3">
      <c r="A561" s="35"/>
      <c r="B561" s="36"/>
      <c r="C561" s="495" t="s">
        <v>10224</v>
      </c>
      <c r="D561" s="479">
        <v>597</v>
      </c>
      <c r="E561" s="249" t="str">
        <f>UPPER(IF($D561=0,"",IF($A561=4,_xlfn.XLOOKUP($D561,Mercado!$C:$C,Mercado!$E:$E),_xlfn.XLOOKUP($D561,Fontes!$B:$B,Fontes!$C:$C))))</f>
        <v>PRÓPRIO</v>
      </c>
      <c r="F561" s="327" t="s">
        <v>1816</v>
      </c>
      <c r="G561" s="249" t="str">
        <f>UPPER(IF($D561=0,"",IF($A561=4,_xlfn.XLOOKUP($D561,Mercado!$C:$C,Mercado!$G:$G),_xlfn.XLOOKUP($D561,Fontes!$B:$B,Fontes!$E:$E))))</f>
        <v>UN</v>
      </c>
      <c r="H561" s="252">
        <v>37</v>
      </c>
      <c r="I561" s="252">
        <f>IF($A561="M",_xlfn.XLOOKUP($D561,Mercado!$C:$C,Mercado!$I:$I),_xlfn.XLOOKUP($D561,Fontes!$B:$B,Fontes!$J:$J))</f>
        <v>39.64</v>
      </c>
      <c r="J561" s="252">
        <f>IF($A561="M",_xlfn.XLOOKUP($D561,Mercado!$C:$C,Mercado!$J:$J),_xlfn.XLOOKUP($D561,Fontes!$B:$B,Fontes!$H:$H))</f>
        <v>20.98</v>
      </c>
      <c r="K561" s="252">
        <f>IF($A561="M",0,_xlfn.XLOOKUP($D561,Fontes!$B:$B,Fontes!$I:$I))</f>
        <v>1.86</v>
      </c>
      <c r="L561" s="250">
        <f t="shared" si="68"/>
        <v>62.480000000000004</v>
      </c>
      <c r="M561" s="300">
        <f t="shared" si="72"/>
        <v>2311.7600000000002</v>
      </c>
      <c r="O561" s="517">
        <f t="shared" si="70"/>
        <v>2311.7600000000002</v>
      </c>
    </row>
    <row r="562" spans="1:15" ht="57.6" outlineLevel="4" x14ac:dyDescent="0.3">
      <c r="A562" s="35"/>
      <c r="B562" s="36"/>
      <c r="C562" s="495" t="s">
        <v>10225</v>
      </c>
      <c r="D562" s="479">
        <v>95781</v>
      </c>
      <c r="E562" s="249" t="str">
        <f>UPPER(IF($D562=0,"",IF($A562=4,_xlfn.XLOOKUP($D562,Mercado!$C:$C,Mercado!$E:$E),_xlfn.XLOOKUP($D562,Fontes!$B:$B,Fontes!$C:$C))))</f>
        <v>SINAPI</v>
      </c>
      <c r="F562" s="327" t="s">
        <v>31</v>
      </c>
      <c r="G562" s="249" t="str">
        <f>UPPER(IF($D562=0,"",IF($A562=4,_xlfn.XLOOKUP($D562,Mercado!$C:$C,Mercado!$G:$G),_xlfn.XLOOKUP($D562,Fontes!$B:$B,Fontes!$E:$E))))</f>
        <v>UN</v>
      </c>
      <c r="H562" s="252">
        <v>29</v>
      </c>
      <c r="I562" s="252">
        <f>IF($A562="M",_xlfn.XLOOKUP($D562,Mercado!$C:$C,Mercado!$I:$I),_xlfn.XLOOKUP($D562,Fontes!$B:$B,Fontes!$J:$J))</f>
        <v>22.23</v>
      </c>
      <c r="J562" s="252">
        <f>IF($A562="M",_xlfn.XLOOKUP($D562,Mercado!$C:$C,Mercado!$J:$J),_xlfn.XLOOKUP($D562,Fontes!$B:$B,Fontes!$H:$H))</f>
        <v>14.82</v>
      </c>
      <c r="K562" s="252">
        <f>IF($A562="M",0,_xlfn.XLOOKUP($D562,Fontes!$B:$B,Fontes!$I:$I))</f>
        <v>1.26</v>
      </c>
      <c r="L562" s="250">
        <f t="shared" si="68"/>
        <v>38.309999999999995</v>
      </c>
      <c r="M562" s="300">
        <f t="shared" si="72"/>
        <v>1110.99</v>
      </c>
      <c r="O562" s="517">
        <f t="shared" si="70"/>
        <v>1110.99</v>
      </c>
    </row>
    <row r="563" spans="1:15" ht="57.6" outlineLevel="4" x14ac:dyDescent="0.3">
      <c r="A563" s="35"/>
      <c r="B563" s="36"/>
      <c r="C563" s="495" t="s">
        <v>10226</v>
      </c>
      <c r="D563" s="479">
        <v>95781</v>
      </c>
      <c r="E563" s="249" t="str">
        <f>UPPER(IF($D563=0,"",IF($A563=4,_xlfn.XLOOKUP($D563,Mercado!$C:$C,Mercado!$E:$E),_xlfn.XLOOKUP($D563,Fontes!$B:$B,Fontes!$C:$C))))</f>
        <v>SINAPI</v>
      </c>
      <c r="F563" s="327" t="s">
        <v>31</v>
      </c>
      <c r="G563" s="249" t="str">
        <f>UPPER(IF($D563=0,"",IF($A563=4,_xlfn.XLOOKUP($D563,Mercado!$C:$C,Mercado!$G:$G),_xlfn.XLOOKUP($D563,Fontes!$B:$B,Fontes!$E:$E))))</f>
        <v>UN</v>
      </c>
      <c r="H563" s="252">
        <v>29</v>
      </c>
      <c r="I563" s="252">
        <f>IF($A563="M",_xlfn.XLOOKUP($D563,Mercado!$C:$C,Mercado!$I:$I),_xlfn.XLOOKUP($D563,Fontes!$B:$B,Fontes!$J:$J))</f>
        <v>22.23</v>
      </c>
      <c r="J563" s="252">
        <f>IF($A563="M",_xlfn.XLOOKUP($D563,Mercado!$C:$C,Mercado!$J:$J),_xlfn.XLOOKUP($D563,Fontes!$B:$B,Fontes!$H:$H))</f>
        <v>14.82</v>
      </c>
      <c r="K563" s="252">
        <f>IF($A563="M",0,_xlfn.XLOOKUP($D563,Fontes!$B:$B,Fontes!$I:$I))</f>
        <v>1.26</v>
      </c>
      <c r="L563" s="250">
        <f t="shared" si="68"/>
        <v>38.309999999999995</v>
      </c>
      <c r="M563" s="300">
        <f t="shared" si="72"/>
        <v>1110.99</v>
      </c>
      <c r="O563" s="517">
        <f t="shared" si="70"/>
        <v>1110.99</v>
      </c>
    </row>
    <row r="564" spans="1:15" outlineLevel="4" x14ac:dyDescent="0.3">
      <c r="A564" s="35"/>
      <c r="B564" s="36"/>
      <c r="C564" s="495" t="s">
        <v>10227</v>
      </c>
      <c r="D564" s="479">
        <v>61223</v>
      </c>
      <c r="E564" s="249" t="str">
        <f>UPPER(IF($D564=0,"",IF($A564=4,_xlfn.XLOOKUP($D564,Mercado!$C:$C,Mercado!$E:$E),_xlfn.XLOOKUP($D564,Fontes!$B:$B,Fontes!$C:$C))))</f>
        <v>SBC</v>
      </c>
      <c r="F564" s="327" t="s">
        <v>442</v>
      </c>
      <c r="G564" s="249" t="str">
        <f>UPPER(IF($D564=0,"",IF($A564=4,_xlfn.XLOOKUP($D564,Mercado!$C:$C,Mercado!$G:$G),_xlfn.XLOOKUP($D564,Fontes!$B:$B,Fontes!$E:$E))))</f>
        <v>UN</v>
      </c>
      <c r="H564" s="252">
        <v>14</v>
      </c>
      <c r="I564" s="252">
        <f>IF($A564="M",_xlfn.XLOOKUP($D564,Mercado!$C:$C,Mercado!$I:$I),_xlfn.XLOOKUP($D564,Fontes!$B:$B,Fontes!$J:$J))</f>
        <v>147.32</v>
      </c>
      <c r="J564" s="252">
        <f>IF($A564="M",_xlfn.XLOOKUP($D564,Mercado!$C:$C,Mercado!$J:$J),_xlfn.XLOOKUP($D564,Fontes!$B:$B,Fontes!$H:$H))</f>
        <v>59.87</v>
      </c>
      <c r="K564" s="252">
        <f>IF($A564="M",0,_xlfn.XLOOKUP($D564,Fontes!$B:$B,Fontes!$I:$I))</f>
        <v>0</v>
      </c>
      <c r="L564" s="250">
        <f t="shared" si="68"/>
        <v>207.19</v>
      </c>
      <c r="M564" s="300">
        <f t="shared" si="72"/>
        <v>2900.66</v>
      </c>
      <c r="O564" s="517">
        <f t="shared" si="70"/>
        <v>2900.66</v>
      </c>
    </row>
    <row r="565" spans="1:15" outlineLevel="4" x14ac:dyDescent="0.3">
      <c r="A565" s="35"/>
      <c r="B565" s="36"/>
      <c r="C565" s="495" t="s">
        <v>10228</v>
      </c>
      <c r="D565" s="479">
        <v>599</v>
      </c>
      <c r="E565" s="249" t="str">
        <f>UPPER(IF($D565=0,"",IF($A565=4,_xlfn.XLOOKUP($D565,Mercado!$C:$C,Mercado!$E:$E),_xlfn.XLOOKUP($D565,Fontes!$B:$B,Fontes!$C:$C))))</f>
        <v>PRÓPRIO</v>
      </c>
      <c r="F565" s="327" t="s">
        <v>1825</v>
      </c>
      <c r="G565" s="249" t="str">
        <f>UPPER(IF($D565=0,"",IF($A565=4,_xlfn.XLOOKUP($D565,Mercado!$C:$C,Mercado!$G:$G),_xlfn.XLOOKUP($D565,Fontes!$B:$B,Fontes!$E:$E))))</f>
        <v>UN</v>
      </c>
      <c r="H565" s="252">
        <v>4</v>
      </c>
      <c r="I565" s="252">
        <f>IF($A565="M",_xlfn.XLOOKUP($D565,Mercado!$C:$C,Mercado!$I:$I),_xlfn.XLOOKUP($D565,Fontes!$B:$B,Fontes!$J:$J))</f>
        <v>93.58</v>
      </c>
      <c r="J565" s="252">
        <f>IF($A565="M",_xlfn.XLOOKUP($D565,Mercado!$C:$C,Mercado!$J:$J),_xlfn.XLOOKUP($D565,Fontes!$B:$B,Fontes!$H:$H))</f>
        <v>15.52</v>
      </c>
      <c r="K565" s="252">
        <f>IF($A565="M",0,_xlfn.XLOOKUP($D565,Fontes!$B:$B,Fontes!$I:$I))</f>
        <v>1.21</v>
      </c>
      <c r="L565" s="250">
        <f t="shared" si="68"/>
        <v>110.30999999999999</v>
      </c>
      <c r="M565" s="300">
        <f t="shared" si="72"/>
        <v>441.24</v>
      </c>
      <c r="O565" s="517">
        <f t="shared" si="70"/>
        <v>441.24</v>
      </c>
    </row>
    <row r="566" spans="1:15" outlineLevel="4" x14ac:dyDescent="0.3">
      <c r="A566" s="35"/>
      <c r="B566" s="36"/>
      <c r="C566" s="495" t="s">
        <v>10229</v>
      </c>
      <c r="D566" s="479">
        <v>11815</v>
      </c>
      <c r="E566" s="249" t="str">
        <f>UPPER(IF($D566=0,"",IF($A566=4,_xlfn.XLOOKUP($D566,Mercado!$C:$C,Mercado!$E:$E),_xlfn.XLOOKUP($D566,Fontes!$B:$B,Fontes!$C:$C))))</f>
        <v>ORSE</v>
      </c>
      <c r="F566" s="327" t="s">
        <v>3583</v>
      </c>
      <c r="G566" s="249" t="str">
        <f>UPPER(IF($D566=0,"",IF($A566=4,_xlfn.XLOOKUP($D566,Mercado!$C:$C,Mercado!$G:$G),_xlfn.XLOOKUP($D566,Fontes!$B:$B,Fontes!$E:$E))))</f>
        <v>UN</v>
      </c>
      <c r="H566" s="252">
        <v>8</v>
      </c>
      <c r="I566" s="252">
        <f>IF($A566="M",_xlfn.XLOOKUP($D566,Mercado!$C:$C,Mercado!$I:$I),_xlfn.XLOOKUP($D566,Fontes!$B:$B,Fontes!$J:$J))</f>
        <v>57.87</v>
      </c>
      <c r="J566" s="252">
        <f>IF($A566="M",_xlfn.XLOOKUP($D566,Mercado!$C:$C,Mercado!$J:$J),_xlfn.XLOOKUP($D566,Fontes!$B:$B,Fontes!$H:$H))</f>
        <v>13.34</v>
      </c>
      <c r="K566" s="252">
        <f>IF($A566="M",0,_xlfn.XLOOKUP($D566,Fontes!$B:$B,Fontes!$I:$I))</f>
        <v>0</v>
      </c>
      <c r="L566" s="250">
        <f t="shared" si="68"/>
        <v>71.209999999999994</v>
      </c>
      <c r="M566" s="300">
        <f t="shared" si="72"/>
        <v>569.67999999999995</v>
      </c>
      <c r="O566" s="517">
        <f t="shared" si="70"/>
        <v>569.67999999999995</v>
      </c>
    </row>
    <row r="567" spans="1:15" outlineLevel="4" x14ac:dyDescent="0.3">
      <c r="A567" s="35"/>
      <c r="B567" s="36"/>
      <c r="C567" s="495" t="s">
        <v>10230</v>
      </c>
      <c r="D567" s="479">
        <v>9139</v>
      </c>
      <c r="E567" s="249" t="str">
        <f>UPPER(IF($D567=0,"",IF($A567=4,_xlfn.XLOOKUP($D567,Mercado!$C:$C,Mercado!$E:$E),_xlfn.XLOOKUP($D567,Fontes!$B:$B,Fontes!$C:$C))))</f>
        <v>ORSE</v>
      </c>
      <c r="F567" s="327" t="s">
        <v>3584</v>
      </c>
      <c r="G567" s="249" t="str">
        <f>UPPER(IF($D567=0,"",IF($A567=4,_xlfn.XLOOKUP($D567,Mercado!$C:$C,Mercado!$G:$G),_xlfn.XLOOKUP($D567,Fontes!$B:$B,Fontes!$E:$E))))</f>
        <v>UN</v>
      </c>
      <c r="H567" s="252">
        <v>1</v>
      </c>
      <c r="I567" s="252">
        <f>IF($A567="M",_xlfn.XLOOKUP($D567,Mercado!$C:$C,Mercado!$I:$I),_xlfn.XLOOKUP($D567,Fontes!$B:$B,Fontes!$J:$J))</f>
        <v>33.32</v>
      </c>
      <c r="J567" s="252">
        <f>IF($A567="M",_xlfn.XLOOKUP($D567,Mercado!$C:$C,Mercado!$J:$J),_xlfn.XLOOKUP($D567,Fontes!$B:$B,Fontes!$H:$H))</f>
        <v>14.42</v>
      </c>
      <c r="K567" s="252">
        <f>IF($A567="M",0,_xlfn.XLOOKUP($D567,Fontes!$B:$B,Fontes!$I:$I))</f>
        <v>0</v>
      </c>
      <c r="L567" s="250">
        <f t="shared" si="68"/>
        <v>47.74</v>
      </c>
      <c r="M567" s="300">
        <f t="shared" si="72"/>
        <v>47.74</v>
      </c>
      <c r="O567" s="517">
        <f t="shared" si="70"/>
        <v>47.74</v>
      </c>
    </row>
    <row r="568" spans="1:15" outlineLevel="4" x14ac:dyDescent="0.3">
      <c r="A568" s="35"/>
      <c r="B568" s="36"/>
      <c r="C568" s="495" t="s">
        <v>10231</v>
      </c>
      <c r="D568" s="479">
        <v>8699</v>
      </c>
      <c r="E568" s="249" t="str">
        <f>UPPER(IF($D568=0,"",IF($A568=4,_xlfn.XLOOKUP($D568,Mercado!$C:$C,Mercado!$E:$E),_xlfn.XLOOKUP($D568,Fontes!$B:$B,Fontes!$C:$C))))</f>
        <v>ORSE</v>
      </c>
      <c r="F568" s="327" t="s">
        <v>3585</v>
      </c>
      <c r="G568" s="249" t="str">
        <f>UPPER(IF($D568=0,"",IF($A568=4,_xlfn.XLOOKUP($D568,Mercado!$C:$C,Mercado!$G:$G),_xlfn.XLOOKUP($D568,Fontes!$B:$B,Fontes!$E:$E))))</f>
        <v>UN</v>
      </c>
      <c r="H568" s="252">
        <v>1</v>
      </c>
      <c r="I568" s="252">
        <f>IF($A568="M",_xlfn.XLOOKUP($D568,Mercado!$C:$C,Mercado!$I:$I),_xlfn.XLOOKUP($D568,Fontes!$B:$B,Fontes!$J:$J))</f>
        <v>29.48</v>
      </c>
      <c r="J568" s="252">
        <f>IF($A568="M",_xlfn.XLOOKUP($D568,Mercado!$C:$C,Mercado!$J:$J),_xlfn.XLOOKUP($D568,Fontes!$B:$B,Fontes!$H:$H))</f>
        <v>16.22</v>
      </c>
      <c r="K568" s="252">
        <f>IF($A568="M",0,_xlfn.XLOOKUP($D568,Fontes!$B:$B,Fontes!$I:$I))</f>
        <v>0</v>
      </c>
      <c r="L568" s="250">
        <f t="shared" si="68"/>
        <v>45.7</v>
      </c>
      <c r="M568" s="300">
        <f t="shared" si="72"/>
        <v>45.7</v>
      </c>
      <c r="O568" s="517">
        <f t="shared" si="70"/>
        <v>45.7</v>
      </c>
    </row>
    <row r="569" spans="1:15" ht="57.6" outlineLevel="4" x14ac:dyDescent="0.3">
      <c r="A569" s="35"/>
      <c r="B569" s="36"/>
      <c r="C569" s="495" t="s">
        <v>10232</v>
      </c>
      <c r="D569" s="479">
        <v>91944</v>
      </c>
      <c r="E569" s="249" t="str">
        <f>UPPER(IF($D569=0,"",IF($A569=4,_xlfn.XLOOKUP($D569,Mercado!$C:$C,Mercado!$E:$E),_xlfn.XLOOKUP($D569,Fontes!$B:$B,Fontes!$C:$C))))</f>
        <v>SINAPI</v>
      </c>
      <c r="F569" s="327" t="s">
        <v>30</v>
      </c>
      <c r="G569" s="249" t="str">
        <f>UPPER(IF($D569=0,"",IF($A569=4,_xlfn.XLOOKUP($D569,Mercado!$C:$C,Mercado!$G:$G),_xlfn.XLOOKUP($D569,Fontes!$B:$B,Fontes!$E:$E))))</f>
        <v>UN</v>
      </c>
      <c r="H569" s="252">
        <v>1</v>
      </c>
      <c r="I569" s="252">
        <f>IF($A569="M",_xlfn.XLOOKUP($D569,Mercado!$C:$C,Mercado!$I:$I),_xlfn.XLOOKUP($D569,Fontes!$B:$B,Fontes!$J:$J))</f>
        <v>9.6999999999999993</v>
      </c>
      <c r="J569" s="252">
        <f>IF($A569="M",_xlfn.XLOOKUP($D569,Mercado!$C:$C,Mercado!$J:$J),_xlfn.XLOOKUP($D569,Fontes!$B:$B,Fontes!$H:$H))</f>
        <v>9.64</v>
      </c>
      <c r="K569" s="252">
        <f>IF($A569="M",0,_xlfn.XLOOKUP($D569,Fontes!$B:$B,Fontes!$I:$I))</f>
        <v>0.86</v>
      </c>
      <c r="L569" s="250">
        <f t="shared" si="68"/>
        <v>20.2</v>
      </c>
      <c r="M569" s="300">
        <f t="shared" si="72"/>
        <v>20.2</v>
      </c>
      <c r="O569" s="517">
        <f t="shared" si="70"/>
        <v>20.2</v>
      </c>
    </row>
    <row r="570" spans="1:15" outlineLevel="4" x14ac:dyDescent="0.3">
      <c r="A570" s="35"/>
      <c r="B570" s="36"/>
      <c r="C570" s="495" t="s">
        <v>10233</v>
      </c>
      <c r="D570" s="479" t="s">
        <v>523</v>
      </c>
      <c r="E570" s="249" t="str">
        <f>UPPER(IF($D570=0,"",IF($A570=4,_xlfn.XLOOKUP($D570,Mercado!$C:$C,Mercado!$E:$E),_xlfn.XLOOKUP($D570,Fontes!$B:$B,Fontes!$C:$C))))</f>
        <v>CPOS/CDHU</v>
      </c>
      <c r="F570" s="327" t="s">
        <v>3569</v>
      </c>
      <c r="G570" s="249" t="str">
        <f>UPPER(IF($D570=0,"",IF($A570=4,_xlfn.XLOOKUP($D570,Mercado!$C:$C,Mercado!$G:$G),_xlfn.XLOOKUP($D570,Fontes!$B:$B,Fontes!$E:$E))))</f>
        <v>UN</v>
      </c>
      <c r="H570" s="252">
        <v>1</v>
      </c>
      <c r="I570" s="252">
        <f>IF($A570="M",_xlfn.XLOOKUP($D570,Mercado!$C:$C,Mercado!$I:$I),_xlfn.XLOOKUP($D570,Fontes!$B:$B,Fontes!$J:$J))</f>
        <v>9.68</v>
      </c>
      <c r="J570" s="252">
        <f>IF($A570="M",_xlfn.XLOOKUP($D570,Mercado!$C:$C,Mercado!$J:$J),_xlfn.XLOOKUP($D570,Fontes!$B:$B,Fontes!$H:$H))</f>
        <v>1.82</v>
      </c>
      <c r="K570" s="252">
        <f>IF($A570="M",0,_xlfn.XLOOKUP($D570,Fontes!$B:$B,Fontes!$I:$I))</f>
        <v>0</v>
      </c>
      <c r="L570" s="250">
        <f t="shared" si="68"/>
        <v>11.5</v>
      </c>
      <c r="M570" s="300">
        <f t="shared" si="72"/>
        <v>11.5</v>
      </c>
      <c r="O570" s="517">
        <f t="shared" si="70"/>
        <v>11.5</v>
      </c>
    </row>
    <row r="571" spans="1:15" outlineLevel="4" x14ac:dyDescent="0.3">
      <c r="A571" s="35"/>
      <c r="B571" s="36"/>
      <c r="C571" s="495" t="s">
        <v>10234</v>
      </c>
      <c r="D571" s="479">
        <v>59400</v>
      </c>
      <c r="E571" s="249" t="str">
        <f>UPPER(IF($D571=0,"",IF($A571=4,_xlfn.XLOOKUP($D571,Mercado!$C:$C,Mercado!$E:$E),_xlfn.XLOOKUP($D571,Fontes!$B:$B,Fontes!$C:$C))))</f>
        <v>SBC</v>
      </c>
      <c r="F571" s="327" t="s">
        <v>445</v>
      </c>
      <c r="G571" s="249" t="str">
        <f>UPPER(IF($D571=0,"",IF($A571=4,_xlfn.XLOOKUP($D571,Mercado!$C:$C,Mercado!$G:$G),_xlfn.XLOOKUP($D571,Fontes!$B:$B,Fontes!$E:$E))))</f>
        <v>UN</v>
      </c>
      <c r="H571" s="252">
        <v>60</v>
      </c>
      <c r="I571" s="252">
        <f>IF($A571="M",_xlfn.XLOOKUP($D571,Mercado!$C:$C,Mercado!$I:$I),_xlfn.XLOOKUP($D571,Fontes!$B:$B,Fontes!$J:$J))</f>
        <v>61.24</v>
      </c>
      <c r="J571" s="252">
        <f>IF($A571="M",_xlfn.XLOOKUP($D571,Mercado!$C:$C,Mercado!$J:$J),_xlfn.XLOOKUP($D571,Fontes!$B:$B,Fontes!$H:$H))</f>
        <v>99.09</v>
      </c>
      <c r="K571" s="252">
        <f>IF($A571="M",0,_xlfn.XLOOKUP($D571,Fontes!$B:$B,Fontes!$I:$I))</f>
        <v>0</v>
      </c>
      <c r="L571" s="250">
        <f t="shared" si="68"/>
        <v>160.33000000000001</v>
      </c>
      <c r="M571" s="300">
        <f t="shared" si="72"/>
        <v>9619.7999999999993</v>
      </c>
      <c r="O571" s="517">
        <f t="shared" si="70"/>
        <v>9619.7999999999993</v>
      </c>
    </row>
    <row r="572" spans="1:15" outlineLevel="4" x14ac:dyDescent="0.3">
      <c r="A572" s="35"/>
      <c r="B572" s="36"/>
      <c r="C572" s="495" t="s">
        <v>10235</v>
      </c>
      <c r="D572" s="479">
        <v>9090038</v>
      </c>
      <c r="E572" s="249" t="str">
        <f>UPPER(IF($D572=0,"",IF($A572=4,_xlfn.XLOOKUP($D572,Mercado!$C:$C,Mercado!$E:$E),_xlfn.XLOOKUP($D572,Fontes!$B:$B,Fontes!$C:$C))))</f>
        <v>SIURB</v>
      </c>
      <c r="F572" s="251" t="s">
        <v>8622</v>
      </c>
      <c r="G572" s="249" t="str">
        <f>UPPER(IF($D572=0,"",IF($A572=4,_xlfn.XLOOKUP($D572,Mercado!$C:$C,Mercado!$G:$G),_xlfn.XLOOKUP($D572,Fontes!$B:$B,Fontes!$E:$E))))</f>
        <v>M</v>
      </c>
      <c r="H572" s="252">
        <v>680</v>
      </c>
      <c r="I572" s="252">
        <f>IF($A572="M",_xlfn.XLOOKUP($D572,Mercado!$C:$C,Mercado!$I:$I),_xlfn.XLOOKUP($D572,Fontes!$B:$B,Fontes!$J:$J))</f>
        <v>5.09</v>
      </c>
      <c r="J572" s="252">
        <f>IF($A572="M",_xlfn.XLOOKUP($D572,Mercado!$C:$C,Mercado!$J:$J),_xlfn.XLOOKUP($D572,Fontes!$B:$B,Fontes!$H:$H))</f>
        <v>0</v>
      </c>
      <c r="K572" s="252">
        <f>IF($A572="M",0,_xlfn.XLOOKUP($D572,Fontes!$B:$B,Fontes!$I:$I))</f>
        <v>0</v>
      </c>
      <c r="L572" s="250">
        <f t="shared" si="68"/>
        <v>5.09</v>
      </c>
      <c r="M572" s="300">
        <f t="shared" si="72"/>
        <v>3461.2</v>
      </c>
      <c r="O572" s="517">
        <f t="shared" si="70"/>
        <v>3461.2</v>
      </c>
    </row>
    <row r="573" spans="1:15" outlineLevel="3" x14ac:dyDescent="0.3">
      <c r="A573" s="36" t="s">
        <v>7</v>
      </c>
      <c r="B573" s="36"/>
      <c r="C573" s="495" t="s">
        <v>781</v>
      </c>
      <c r="D573" s="249"/>
      <c r="E573" s="249" t="str">
        <f>UPPER(IF($D573=0,"",IF($A573=4,_xlfn.XLOOKUP($D573,Mercado!$C:$C,Mercado!$E:$E),_xlfn.XLOOKUP($D573,Fontes!$B:$B,Fontes!$C:$C))))</f>
        <v/>
      </c>
      <c r="F573" s="327" t="s">
        <v>781</v>
      </c>
      <c r="G573" s="249"/>
      <c r="H573" s="252"/>
      <c r="I573" s="252">
        <f>IF($A573="M",_xlfn.XLOOKUP($D573,Mercado!$C:$C,Mercado!$I:$I),_xlfn.XLOOKUP($D573,Fontes!$B:$B,Fontes!$J:$J))</f>
        <v>0</v>
      </c>
      <c r="J573" s="252">
        <f>IF($A573="M",_xlfn.XLOOKUP($D573,Mercado!$C:$C,Mercado!$J:$J),_xlfn.XLOOKUP($D573,Fontes!$B:$B,Fontes!$H:$H))</f>
        <v>0</v>
      </c>
      <c r="K573" s="252">
        <f>IF($A573="M",0,_xlfn.XLOOKUP($D573,Fontes!$B:$B,Fontes!$I:$I))</f>
        <v>0</v>
      </c>
      <c r="L573" s="250">
        <f t="shared" si="68"/>
        <v>0</v>
      </c>
      <c r="M573" s="300">
        <f t="shared" si="72"/>
        <v>0</v>
      </c>
      <c r="O573" s="517" t="str">
        <f t="shared" si="70"/>
        <v/>
      </c>
    </row>
    <row r="574" spans="1:15" outlineLevel="2" x14ac:dyDescent="0.3">
      <c r="A574" s="36" t="s">
        <v>7</v>
      </c>
      <c r="B574" s="36"/>
      <c r="C574" s="496" t="s">
        <v>10236</v>
      </c>
      <c r="D574" s="253"/>
      <c r="E574" s="253" t="str">
        <f>UPPER(IF($D574=0,"",IF($A574=4,_xlfn.XLOOKUP($D574,Mercado!$C:$C,Mercado!$E:$E),_xlfn.XLOOKUP($D574,Fontes!$B:$B,Fontes!$C:$C))))</f>
        <v/>
      </c>
      <c r="F574" s="329" t="s">
        <v>538</v>
      </c>
      <c r="G574" s="253"/>
      <c r="H574" s="254"/>
      <c r="I574" s="254">
        <f>IF($A574="M",_xlfn.XLOOKUP($D574,Mercado!$C:$C,Mercado!$I:$I),_xlfn.XLOOKUP($D574,Fontes!$B:$B,Fontes!$J:$J))</f>
        <v>0</v>
      </c>
      <c r="J574" s="254">
        <f>IF($A574="M",_xlfn.XLOOKUP($D574,Mercado!$C:$C,Mercado!$J:$J),_xlfn.XLOOKUP($D574,Fontes!$B:$B,Fontes!$H:$H))</f>
        <v>0</v>
      </c>
      <c r="K574" s="254">
        <f>IF($A574="M",0,_xlfn.XLOOKUP($D574,Fontes!$B:$B,Fontes!$I:$I))</f>
        <v>0</v>
      </c>
      <c r="L574" s="254">
        <f t="shared" si="68"/>
        <v>0</v>
      </c>
      <c r="M574" s="497">
        <f>SUBTOTAL(9,M575:M585)</f>
        <v>3835.5699999999997</v>
      </c>
      <c r="O574" s="517" t="str">
        <f t="shared" si="70"/>
        <v/>
      </c>
    </row>
    <row r="575" spans="1:15" outlineLevel="4" x14ac:dyDescent="0.3">
      <c r="A575" s="35"/>
      <c r="B575" s="36"/>
      <c r="C575" s="495" t="s">
        <v>10237</v>
      </c>
      <c r="D575" s="479">
        <v>63754</v>
      </c>
      <c r="E575" s="249" t="str">
        <f>UPPER(IF($D575=0,"",IF($A575=4,_xlfn.XLOOKUP($D575,Mercado!$C:$C,Mercado!$E:$E),_xlfn.XLOOKUP($D575,Fontes!$B:$B,Fontes!$C:$C))))</f>
        <v>SBC</v>
      </c>
      <c r="F575" s="327" t="s">
        <v>425</v>
      </c>
      <c r="G575" s="249" t="str">
        <f>UPPER(IF($D575=0,"",IF($A575=4,_xlfn.XLOOKUP($D575,Mercado!$C:$C,Mercado!$G:$G),_xlfn.XLOOKUP($D575,Fontes!$B:$B,Fontes!$E:$E))))</f>
        <v>UN</v>
      </c>
      <c r="H575" s="252">
        <v>5</v>
      </c>
      <c r="I575" s="252">
        <f>IF($A575="M",_xlfn.XLOOKUP($D575,Mercado!$C:$C,Mercado!$I:$I),_xlfn.XLOOKUP($D575,Fontes!$B:$B,Fontes!$J:$J))</f>
        <v>6.27</v>
      </c>
      <c r="J575" s="252">
        <f>IF($A575="M",_xlfn.XLOOKUP($D575,Mercado!$C:$C,Mercado!$J:$J),_xlfn.XLOOKUP($D575,Fontes!$B:$B,Fontes!$H:$H))</f>
        <v>7.5</v>
      </c>
      <c r="K575" s="252">
        <f>IF($A575="M",0,_xlfn.XLOOKUP($D575,Fontes!$B:$B,Fontes!$I:$I))</f>
        <v>0</v>
      </c>
      <c r="L575" s="250">
        <f t="shared" si="68"/>
        <v>13.77</v>
      </c>
      <c r="M575" s="300">
        <f t="shared" ref="M575:M585" si="73">ROUND(H575*L575,2)</f>
        <v>68.849999999999994</v>
      </c>
      <c r="O575" s="517">
        <f t="shared" si="70"/>
        <v>68.849999999999994</v>
      </c>
    </row>
    <row r="576" spans="1:15" ht="57.6" outlineLevel="5" x14ac:dyDescent="0.3">
      <c r="A576" s="35"/>
      <c r="B576" s="36"/>
      <c r="C576" s="495" t="s">
        <v>10238</v>
      </c>
      <c r="D576" s="487">
        <v>95746</v>
      </c>
      <c r="E576" s="249" t="str">
        <f>UPPER(IF($D576=0,"",IF($A576=4,_xlfn.XLOOKUP($D576,Mercado!$C:$C,Mercado!$E:$E),_xlfn.XLOOKUP($D576,Fontes!$B:$B,Fontes!$C:$C))))</f>
        <v>SINAPI</v>
      </c>
      <c r="F576" s="327" t="s">
        <v>22</v>
      </c>
      <c r="G576" s="249" t="str">
        <f>UPPER(IF($D576=0,"",IF($A576=4,_xlfn.XLOOKUP($D576,Mercado!$C:$C,Mercado!$G:$G),_xlfn.XLOOKUP($D576,Fontes!$B:$B,Fontes!$E:$E))))</f>
        <v>M</v>
      </c>
      <c r="H576" s="252">
        <v>30</v>
      </c>
      <c r="I576" s="252">
        <f>IF($A576="M",_xlfn.XLOOKUP($D576,Mercado!$C:$C,Mercado!$I:$I),_xlfn.XLOOKUP($D576,Fontes!$B:$B,Fontes!$J:$J))</f>
        <v>31.48</v>
      </c>
      <c r="J576" s="252">
        <f>IF($A576="M",_xlfn.XLOOKUP($D576,Mercado!$C:$C,Mercado!$J:$J),_xlfn.XLOOKUP($D576,Fontes!$B:$B,Fontes!$H:$H))</f>
        <v>15.92</v>
      </c>
      <c r="K576" s="252">
        <f>IF($A576="M",0,_xlfn.XLOOKUP($D576,Fontes!$B:$B,Fontes!$I:$I))</f>
        <v>1.22</v>
      </c>
      <c r="L576" s="250">
        <f t="shared" si="68"/>
        <v>48.62</v>
      </c>
      <c r="M576" s="300">
        <f t="shared" si="73"/>
        <v>1458.6</v>
      </c>
      <c r="O576" s="517">
        <f t="shared" si="70"/>
        <v>1458.6</v>
      </c>
    </row>
    <row r="577" spans="1:15" ht="76.8" outlineLevel="5" x14ac:dyDescent="0.3">
      <c r="A577" s="35"/>
      <c r="B577" s="36"/>
      <c r="C577" s="495" t="s">
        <v>10239</v>
      </c>
      <c r="D577" s="479">
        <v>94743</v>
      </c>
      <c r="E577" s="249" t="str">
        <f>UPPER(IF($D577=0,"",IF($A577=4,_xlfn.XLOOKUP($D577,Mercado!$C:$C,Mercado!$E:$E),_xlfn.XLOOKUP($D577,Fontes!$B:$B,Fontes!$C:$C))))</f>
        <v>SINAPI</v>
      </c>
      <c r="F577" s="327" t="s">
        <v>111</v>
      </c>
      <c r="G577" s="249" t="str">
        <f>UPPER(IF($D577=0,"",IF($A577=4,_xlfn.XLOOKUP($D577,Mercado!$C:$C,Mercado!$G:$G),_xlfn.XLOOKUP($D577,Fontes!$B:$B,Fontes!$E:$E))))</f>
        <v>UN</v>
      </c>
      <c r="H577" s="252">
        <v>8</v>
      </c>
      <c r="I577" s="252">
        <f>IF($A577="M",_xlfn.XLOOKUP($D577,Mercado!$C:$C,Mercado!$I:$I),_xlfn.XLOOKUP($D577,Fontes!$B:$B,Fontes!$J:$J))</f>
        <v>21.38</v>
      </c>
      <c r="J577" s="252">
        <f>IF($A577="M",_xlfn.XLOOKUP($D577,Mercado!$C:$C,Mercado!$J:$J),_xlfn.XLOOKUP($D577,Fontes!$B:$B,Fontes!$H:$H))</f>
        <v>3.51</v>
      </c>
      <c r="K577" s="252">
        <f>IF($A577="M",0,_xlfn.XLOOKUP($D577,Fontes!$B:$B,Fontes!$I:$I))</f>
        <v>0.24</v>
      </c>
      <c r="L577" s="250">
        <f t="shared" si="68"/>
        <v>25.13</v>
      </c>
      <c r="M577" s="300">
        <f t="shared" si="73"/>
        <v>201.04</v>
      </c>
      <c r="O577" s="517">
        <f t="shared" si="70"/>
        <v>201.04</v>
      </c>
    </row>
    <row r="578" spans="1:15" ht="57.6" outlineLevel="5" x14ac:dyDescent="0.3">
      <c r="A578" s="35"/>
      <c r="B578" s="36"/>
      <c r="C578" s="495" t="s">
        <v>10240</v>
      </c>
      <c r="D578" s="479">
        <v>91837</v>
      </c>
      <c r="E578" s="249" t="str">
        <f>UPPER(IF($D578=0,"",IF($A578=4,_xlfn.XLOOKUP($D578,Mercado!$C:$C,Mercado!$E:$E),_xlfn.XLOOKUP($D578,Fontes!$B:$B,Fontes!$C:$C))))</f>
        <v>SINAPI</v>
      </c>
      <c r="F578" s="327" t="s">
        <v>195</v>
      </c>
      <c r="G578" s="249" t="str">
        <f>UPPER(IF($D578=0,"",IF($A578=4,_xlfn.XLOOKUP($D578,Mercado!$C:$C,Mercado!$G:$G),_xlfn.XLOOKUP($D578,Fontes!$B:$B,Fontes!$E:$E))))</f>
        <v>M</v>
      </c>
      <c r="H578" s="252">
        <v>12</v>
      </c>
      <c r="I578" s="252">
        <f>IF($A578="M",_xlfn.XLOOKUP($D578,Mercado!$C:$C,Mercado!$I:$I),_xlfn.XLOOKUP($D578,Fontes!$B:$B,Fontes!$J:$J))</f>
        <v>14.21</v>
      </c>
      <c r="J578" s="252">
        <f>IF($A578="M",_xlfn.XLOOKUP($D578,Mercado!$C:$C,Mercado!$J:$J),_xlfn.XLOOKUP($D578,Fontes!$B:$B,Fontes!$H:$H))</f>
        <v>13.45</v>
      </c>
      <c r="K578" s="252">
        <f>IF($A578="M",0,_xlfn.XLOOKUP($D578,Fontes!$B:$B,Fontes!$I:$I))</f>
        <v>1</v>
      </c>
      <c r="L578" s="250">
        <f t="shared" si="68"/>
        <v>28.66</v>
      </c>
      <c r="M578" s="300">
        <f t="shared" si="73"/>
        <v>343.92</v>
      </c>
      <c r="O578" s="517">
        <f t="shared" si="70"/>
        <v>343.92</v>
      </c>
    </row>
    <row r="579" spans="1:15" ht="57.6" outlineLevel="5" x14ac:dyDescent="0.3">
      <c r="A579" s="35"/>
      <c r="B579" s="36"/>
      <c r="C579" s="495" t="s">
        <v>10241</v>
      </c>
      <c r="D579" s="479">
        <v>91941</v>
      </c>
      <c r="E579" s="249" t="str">
        <f>UPPER(IF($D579=0,"",IF($A579=4,_xlfn.XLOOKUP($D579,Mercado!$C:$C,Mercado!$E:$E),_xlfn.XLOOKUP($D579,Fontes!$B:$B,Fontes!$C:$C))))</f>
        <v>SINAPI</v>
      </c>
      <c r="F579" s="327" t="s">
        <v>29</v>
      </c>
      <c r="G579" s="249" t="str">
        <f>UPPER(IF($D579=0,"",IF($A579=4,_xlfn.XLOOKUP($D579,Mercado!$C:$C,Mercado!$G:$G),_xlfn.XLOOKUP($D579,Fontes!$B:$B,Fontes!$E:$E))))</f>
        <v>UN</v>
      </c>
      <c r="H579" s="252">
        <v>17</v>
      </c>
      <c r="I579" s="252">
        <f>IF($A579="M",_xlfn.XLOOKUP($D579,Mercado!$C:$C,Mercado!$I:$I),_xlfn.XLOOKUP($D579,Fontes!$B:$B,Fontes!$J:$J))</f>
        <v>6.29</v>
      </c>
      <c r="J579" s="252">
        <f>IF($A579="M",_xlfn.XLOOKUP($D579,Mercado!$C:$C,Mercado!$J:$J),_xlfn.XLOOKUP($D579,Fontes!$B:$B,Fontes!$H:$H))</f>
        <v>9.3000000000000007</v>
      </c>
      <c r="K579" s="252">
        <f>IF($A579="M",0,_xlfn.XLOOKUP($D579,Fontes!$B:$B,Fontes!$I:$I))</f>
        <v>0.82</v>
      </c>
      <c r="L579" s="250">
        <f t="shared" si="68"/>
        <v>16.41</v>
      </c>
      <c r="M579" s="300">
        <f t="shared" si="73"/>
        <v>278.97000000000003</v>
      </c>
      <c r="O579" s="517">
        <f t="shared" si="70"/>
        <v>278.97000000000003</v>
      </c>
    </row>
    <row r="580" spans="1:15" outlineLevel="5" x14ac:dyDescent="0.3">
      <c r="A580" s="35"/>
      <c r="B580" s="36"/>
      <c r="C580" s="495" t="s">
        <v>10242</v>
      </c>
      <c r="D580" s="479" t="s">
        <v>418</v>
      </c>
      <c r="E580" s="249" t="str">
        <f>UPPER(IF($D580=0,"",IF($A580=4,_xlfn.XLOOKUP($D580,Mercado!$C:$C,Mercado!$E:$E),_xlfn.XLOOKUP($D580,Fontes!$B:$B,Fontes!$C:$C))))</f>
        <v>CPOS/CDHU</v>
      </c>
      <c r="F580" s="327" t="s">
        <v>3555</v>
      </c>
      <c r="G580" s="249" t="str">
        <f>UPPER(IF($D580=0,"",IF($A580=4,_xlfn.XLOOKUP($D580,Mercado!$C:$C,Mercado!$G:$G),_xlfn.XLOOKUP($D580,Fontes!$B:$B,Fontes!$E:$E))))</f>
        <v>UN</v>
      </c>
      <c r="H580" s="252">
        <v>3</v>
      </c>
      <c r="I580" s="252">
        <f>IF($A580="M",_xlfn.XLOOKUP($D580,Mercado!$C:$C,Mercado!$I:$I),_xlfn.XLOOKUP($D580,Fontes!$B:$B,Fontes!$J:$J))</f>
        <v>42.76</v>
      </c>
      <c r="J580" s="252">
        <f>IF($A580="M",_xlfn.XLOOKUP($D580,Mercado!$C:$C,Mercado!$J:$J),_xlfn.XLOOKUP($D580,Fontes!$B:$B,Fontes!$H:$H))</f>
        <v>44.67</v>
      </c>
      <c r="K580" s="252">
        <f>IF($A580="M",0,_xlfn.XLOOKUP($D580,Fontes!$B:$B,Fontes!$I:$I))</f>
        <v>0</v>
      </c>
      <c r="L580" s="250">
        <f t="shared" si="68"/>
        <v>87.43</v>
      </c>
      <c r="M580" s="300">
        <f t="shared" si="73"/>
        <v>262.29000000000002</v>
      </c>
      <c r="O580" s="517">
        <f t="shared" si="70"/>
        <v>262.29000000000002</v>
      </c>
    </row>
    <row r="581" spans="1:15" ht="38.4" outlineLevel="5" x14ac:dyDescent="0.3">
      <c r="A581" s="35"/>
      <c r="B581" s="36"/>
      <c r="C581" s="495" t="s">
        <v>10243</v>
      </c>
      <c r="D581" s="479">
        <v>11415</v>
      </c>
      <c r="E581" s="249" t="str">
        <f>UPPER(IF($D581=0,"",IF($A581=4,_xlfn.XLOOKUP($D581,Mercado!$C:$C,Mercado!$E:$E),_xlfn.XLOOKUP($D581,Fontes!$B:$B,Fontes!$C:$C))))</f>
        <v>ORSE</v>
      </c>
      <c r="F581" s="327" t="s">
        <v>3586</v>
      </c>
      <c r="G581" s="249" t="str">
        <f>UPPER(IF($D581=0,"",IF($A581=4,_xlfn.XLOOKUP($D581,Mercado!$C:$C,Mercado!$G:$G),_xlfn.XLOOKUP($D581,Fontes!$B:$B,Fontes!$E:$E))))</f>
        <v>UN</v>
      </c>
      <c r="H581" s="252">
        <v>5</v>
      </c>
      <c r="I581" s="252">
        <f>IF($A581="M",_xlfn.XLOOKUP($D581,Mercado!$C:$C,Mercado!$I:$I),_xlfn.XLOOKUP($D581,Fontes!$B:$B,Fontes!$J:$J))</f>
        <v>14.82</v>
      </c>
      <c r="J581" s="252">
        <f>IF($A581="M",_xlfn.XLOOKUP($D581,Mercado!$C:$C,Mercado!$J:$J),_xlfn.XLOOKUP($D581,Fontes!$B:$B,Fontes!$H:$H))</f>
        <v>10.82</v>
      </c>
      <c r="K581" s="252">
        <f>IF($A581="M",0,_xlfn.XLOOKUP($D581,Fontes!$B:$B,Fontes!$I:$I))</f>
        <v>0</v>
      </c>
      <c r="L581" s="250">
        <f t="shared" si="68"/>
        <v>25.64</v>
      </c>
      <c r="M581" s="300">
        <f t="shared" si="73"/>
        <v>128.19999999999999</v>
      </c>
      <c r="O581" s="517">
        <f t="shared" si="70"/>
        <v>128.19999999999999</v>
      </c>
    </row>
    <row r="582" spans="1:15" outlineLevel="5" x14ac:dyDescent="0.3">
      <c r="A582" s="35"/>
      <c r="B582" s="36"/>
      <c r="C582" s="495" t="s">
        <v>10244</v>
      </c>
      <c r="D582" s="479" t="s">
        <v>521</v>
      </c>
      <c r="E582" s="249" t="str">
        <f>UPPER(IF($D582=0,"",IF($A582=4,_xlfn.XLOOKUP($D582,Mercado!$C:$C,Mercado!$E:$E),_xlfn.XLOOKUP($D582,Fontes!$B:$B,Fontes!$C:$C))))</f>
        <v>CPOS/CDHU</v>
      </c>
      <c r="F582" s="327" t="s">
        <v>3581</v>
      </c>
      <c r="G582" s="249" t="str">
        <f>UPPER(IF($D582=0,"",IF($A582=4,_xlfn.XLOOKUP($D582,Mercado!$C:$C,Mercado!$G:$G),_xlfn.XLOOKUP($D582,Fontes!$B:$B,Fontes!$E:$E))))</f>
        <v>UN</v>
      </c>
      <c r="H582" s="252">
        <v>20</v>
      </c>
      <c r="I582" s="252">
        <f>IF($A582="M",_xlfn.XLOOKUP($D582,Mercado!$C:$C,Mercado!$I:$I),_xlfn.XLOOKUP($D582,Fontes!$B:$B,Fontes!$J:$J))</f>
        <v>4.18</v>
      </c>
      <c r="J582" s="252">
        <f>IF($A582="M",_xlfn.XLOOKUP($D582,Mercado!$C:$C,Mercado!$J:$J),_xlfn.XLOOKUP($D582,Fontes!$B:$B,Fontes!$H:$H))</f>
        <v>1.82</v>
      </c>
      <c r="K582" s="252">
        <f>IF($A582="M",0,_xlfn.XLOOKUP($D582,Fontes!$B:$B,Fontes!$I:$I))</f>
        <v>0</v>
      </c>
      <c r="L582" s="250">
        <f t="shared" si="68"/>
        <v>6</v>
      </c>
      <c r="M582" s="300">
        <f t="shared" si="73"/>
        <v>120</v>
      </c>
      <c r="O582" s="517">
        <f t="shared" si="70"/>
        <v>120</v>
      </c>
    </row>
    <row r="583" spans="1:15" ht="20.399999999999999" customHeight="1" outlineLevel="5" x14ac:dyDescent="0.3">
      <c r="A583" s="35"/>
      <c r="B583" s="36"/>
      <c r="C583" s="495" t="s">
        <v>10245</v>
      </c>
      <c r="D583" s="479" t="s">
        <v>523</v>
      </c>
      <c r="E583" s="249" t="str">
        <f>UPPER(IF($D583=0,"",IF($A583=4,_xlfn.XLOOKUP($D583,Mercado!$C:$C,Mercado!$E:$E),_xlfn.XLOOKUP($D583,Fontes!$B:$B,Fontes!$C:$C))))</f>
        <v>CPOS/CDHU</v>
      </c>
      <c r="F583" s="327" t="s">
        <v>3569</v>
      </c>
      <c r="G583" s="249" t="str">
        <f>UPPER(IF($D583=0,"",IF($A583=4,_xlfn.XLOOKUP($D583,Mercado!$C:$C,Mercado!$G:$G),_xlfn.XLOOKUP($D583,Fontes!$B:$B,Fontes!$E:$E))))</f>
        <v>UN</v>
      </c>
      <c r="H583" s="252">
        <v>5</v>
      </c>
      <c r="I583" s="252">
        <f>IF($A583="M",_xlfn.XLOOKUP($D583,Mercado!$C:$C,Mercado!$I:$I),_xlfn.XLOOKUP($D583,Fontes!$B:$B,Fontes!$J:$J))</f>
        <v>9.68</v>
      </c>
      <c r="J583" s="252">
        <f>IF($A583="M",_xlfn.XLOOKUP($D583,Mercado!$C:$C,Mercado!$J:$J),_xlfn.XLOOKUP($D583,Fontes!$B:$B,Fontes!$H:$H))</f>
        <v>1.82</v>
      </c>
      <c r="K583" s="252">
        <f>IF($A583="M",0,_xlfn.XLOOKUP($D583,Fontes!$B:$B,Fontes!$I:$I))</f>
        <v>0</v>
      </c>
      <c r="L583" s="250">
        <f t="shared" si="68"/>
        <v>11.5</v>
      </c>
      <c r="M583" s="300">
        <f t="shared" si="73"/>
        <v>57.5</v>
      </c>
      <c r="O583" s="517">
        <f t="shared" si="70"/>
        <v>57.5</v>
      </c>
    </row>
    <row r="584" spans="1:15" outlineLevel="5" x14ac:dyDescent="0.3">
      <c r="A584" s="35"/>
      <c r="B584" s="36"/>
      <c r="C584" s="495" t="s">
        <v>10246</v>
      </c>
      <c r="D584" s="479">
        <v>9090038</v>
      </c>
      <c r="E584" s="249" t="str">
        <f>UPPER(IF($D584=0,"",IF($A584=4,_xlfn.XLOOKUP($D584,Mercado!$C:$C,Mercado!$E:$E),_xlfn.XLOOKUP($D584,Fontes!$B:$B,Fontes!$C:$C))))</f>
        <v>SIURB</v>
      </c>
      <c r="F584" s="251" t="s">
        <v>8622</v>
      </c>
      <c r="G584" s="249" t="str">
        <f>UPPER(IF($D584=0,"",IF($A584=4,_xlfn.XLOOKUP($D584,Mercado!$C:$C,Mercado!$G:$G),_xlfn.XLOOKUP($D584,Fontes!$B:$B,Fontes!$E:$E))))</f>
        <v>M</v>
      </c>
      <c r="H584" s="252">
        <v>180</v>
      </c>
      <c r="I584" s="252">
        <f>IF($A584="M",_xlfn.XLOOKUP($D584,Mercado!$C:$C,Mercado!$I:$I),_xlfn.XLOOKUP($D584,Fontes!$B:$B,Fontes!$J:$J))</f>
        <v>5.09</v>
      </c>
      <c r="J584" s="252">
        <f>IF($A584="M",_xlfn.XLOOKUP($D584,Mercado!$C:$C,Mercado!$J:$J),_xlfn.XLOOKUP($D584,Fontes!$B:$B,Fontes!$H:$H))</f>
        <v>0</v>
      </c>
      <c r="K584" s="252">
        <f>IF($A584="M",0,_xlfn.XLOOKUP($D584,Fontes!$B:$B,Fontes!$I:$I))</f>
        <v>0</v>
      </c>
      <c r="L584" s="250">
        <f t="shared" si="68"/>
        <v>5.09</v>
      </c>
      <c r="M584" s="300">
        <f t="shared" si="73"/>
        <v>916.2</v>
      </c>
      <c r="O584" s="517">
        <f t="shared" ref="O584" si="74">IF(D584&lt;&gt;0,M584,"")</f>
        <v>916.2</v>
      </c>
    </row>
    <row r="585" spans="1:15" outlineLevel="3" x14ac:dyDescent="0.3">
      <c r="A585" s="36" t="s">
        <v>7</v>
      </c>
      <c r="B585" s="36"/>
      <c r="C585" s="495" t="s">
        <v>781</v>
      </c>
      <c r="D585" s="249"/>
      <c r="E585" s="249" t="str">
        <f>UPPER(IF($D585=0,"",IF($A585=4,_xlfn.XLOOKUP($D585,Mercado!$C:$C,Mercado!$E:$E),_xlfn.XLOOKUP($D585,Fontes!$B:$B,Fontes!$C:$C))))</f>
        <v/>
      </c>
      <c r="F585" s="327" t="s">
        <v>781</v>
      </c>
      <c r="G585" s="249"/>
      <c r="H585" s="252"/>
      <c r="I585" s="252">
        <f>IF($A585="M",_xlfn.XLOOKUP($D585,Mercado!$C:$C,Mercado!$I:$I),_xlfn.XLOOKUP($D585,Fontes!$B:$B,Fontes!$J:$J))</f>
        <v>0</v>
      </c>
      <c r="J585" s="252">
        <f>IF($A585="M",_xlfn.XLOOKUP($D585,Mercado!$C:$C,Mercado!$J:$J),_xlfn.XLOOKUP($D585,Fontes!$B:$B,Fontes!$H:$H))</f>
        <v>0</v>
      </c>
      <c r="K585" s="252">
        <f>IF($A585="M",0,_xlfn.XLOOKUP($D585,Fontes!$B:$B,Fontes!$I:$I))</f>
        <v>0</v>
      </c>
      <c r="L585" s="250">
        <f t="shared" si="68"/>
        <v>0</v>
      </c>
      <c r="M585" s="300">
        <f t="shared" si="73"/>
        <v>0</v>
      </c>
      <c r="O585" s="517" t="str">
        <f t="shared" si="70"/>
        <v/>
      </c>
    </row>
    <row r="586" spans="1:15" outlineLevel="2" x14ac:dyDescent="0.3">
      <c r="A586" s="36" t="s">
        <v>7</v>
      </c>
      <c r="B586" s="36"/>
      <c r="C586" s="496" t="s">
        <v>10247</v>
      </c>
      <c r="D586" s="253"/>
      <c r="E586" s="253" t="str">
        <f>UPPER(IF($D586=0,"",IF($A586=4,_xlfn.XLOOKUP($D586,Mercado!$C:$C,Mercado!$E:$E),_xlfn.XLOOKUP($D586,Fontes!$B:$B,Fontes!$C:$C))))</f>
        <v/>
      </c>
      <c r="F586" s="329" t="s">
        <v>3587</v>
      </c>
      <c r="G586" s="253"/>
      <c r="H586" s="254"/>
      <c r="I586" s="254">
        <f>IF($A586="M",_xlfn.XLOOKUP($D586,Mercado!$C:$C,Mercado!$I:$I),_xlfn.XLOOKUP($D586,Fontes!$B:$B,Fontes!$J:$J))</f>
        <v>0</v>
      </c>
      <c r="J586" s="254">
        <f>IF($A586="M",_xlfn.XLOOKUP($D586,Mercado!$C:$C,Mercado!$J:$J),_xlfn.XLOOKUP($D586,Fontes!$B:$B,Fontes!$H:$H))</f>
        <v>0</v>
      </c>
      <c r="K586" s="254">
        <f>IF($A586="M",0,_xlfn.XLOOKUP($D586,Fontes!$B:$B,Fontes!$I:$I))</f>
        <v>0</v>
      </c>
      <c r="L586" s="254">
        <f t="shared" si="68"/>
        <v>0</v>
      </c>
      <c r="M586" s="497">
        <f>SUBTOTAL(9,M587:M605)</f>
        <v>1542.13</v>
      </c>
      <c r="O586" s="517" t="str">
        <f t="shared" si="70"/>
        <v/>
      </c>
    </row>
    <row r="587" spans="1:15" outlineLevel="3" x14ac:dyDescent="0.3">
      <c r="A587" s="35"/>
      <c r="B587" s="36"/>
      <c r="C587" s="495" t="s">
        <v>10248</v>
      </c>
      <c r="D587" s="479" t="s">
        <v>523</v>
      </c>
      <c r="E587" s="249" t="str">
        <f>UPPER(IF($D587=0,"",IF($A587=4,_xlfn.XLOOKUP($D587,Mercado!$C:$C,Mercado!$E:$E),_xlfn.XLOOKUP($D587,Fontes!$B:$B,Fontes!$C:$C))))</f>
        <v>CPOS/CDHU</v>
      </c>
      <c r="F587" s="327" t="s">
        <v>3569</v>
      </c>
      <c r="G587" s="249" t="str">
        <f>UPPER(IF($D587=0,"",IF($A587=4,_xlfn.XLOOKUP($D587,Mercado!$C:$C,Mercado!$G:$G),_xlfn.XLOOKUP($D587,Fontes!$B:$B,Fontes!$E:$E))))</f>
        <v>UN</v>
      </c>
      <c r="H587" s="252">
        <v>2</v>
      </c>
      <c r="I587" s="252">
        <f>IF($A587="M",_xlfn.XLOOKUP($D587,Mercado!$C:$C,Mercado!$I:$I),_xlfn.XLOOKUP($D587,Fontes!$B:$B,Fontes!$J:$J))</f>
        <v>9.68</v>
      </c>
      <c r="J587" s="252">
        <f>IF($A587="M",_xlfn.XLOOKUP($D587,Mercado!$C:$C,Mercado!$J:$J),_xlfn.XLOOKUP($D587,Fontes!$B:$B,Fontes!$H:$H))</f>
        <v>1.82</v>
      </c>
      <c r="K587" s="252">
        <f>IF($A587="M",0,_xlfn.XLOOKUP($D587,Fontes!$B:$B,Fontes!$I:$I))</f>
        <v>0</v>
      </c>
      <c r="L587" s="250">
        <f t="shared" si="68"/>
        <v>11.5</v>
      </c>
      <c r="M587" s="300">
        <f t="shared" ref="M587:M605" si="75">ROUND(H587*L587,2)</f>
        <v>23</v>
      </c>
      <c r="O587" s="517">
        <f t="shared" si="70"/>
        <v>23</v>
      </c>
    </row>
    <row r="588" spans="1:15" ht="57.6" outlineLevel="3" x14ac:dyDescent="0.3">
      <c r="A588" s="35"/>
      <c r="B588" s="36"/>
      <c r="C588" s="495" t="s">
        <v>10249</v>
      </c>
      <c r="D588" s="479">
        <v>91944</v>
      </c>
      <c r="E588" s="249" t="str">
        <f>UPPER(IF($D588=0,"",IF($A588=4,_xlfn.XLOOKUP($D588,Mercado!$C:$C,Mercado!$E:$E),_xlfn.XLOOKUP($D588,Fontes!$B:$B,Fontes!$C:$C))))</f>
        <v>SINAPI</v>
      </c>
      <c r="F588" s="327" t="s">
        <v>30</v>
      </c>
      <c r="G588" s="249" t="str">
        <f>UPPER(IF($D588=0,"",IF($A588=4,_xlfn.XLOOKUP($D588,Mercado!$C:$C,Mercado!$G:$G),_xlfn.XLOOKUP($D588,Fontes!$B:$B,Fontes!$E:$E))))</f>
        <v>UN</v>
      </c>
      <c r="H588" s="252">
        <v>2</v>
      </c>
      <c r="I588" s="252">
        <f>IF($A588="M",_xlfn.XLOOKUP($D588,Mercado!$C:$C,Mercado!$I:$I),_xlfn.XLOOKUP($D588,Fontes!$B:$B,Fontes!$J:$J))</f>
        <v>9.6999999999999993</v>
      </c>
      <c r="J588" s="252">
        <f>IF($A588="M",_xlfn.XLOOKUP($D588,Mercado!$C:$C,Mercado!$J:$J),_xlfn.XLOOKUP($D588,Fontes!$B:$B,Fontes!$H:$H))</f>
        <v>9.64</v>
      </c>
      <c r="K588" s="252">
        <f>IF($A588="M",0,_xlfn.XLOOKUP($D588,Fontes!$B:$B,Fontes!$I:$I))</f>
        <v>0.86</v>
      </c>
      <c r="L588" s="250">
        <f t="shared" si="68"/>
        <v>20.2</v>
      </c>
      <c r="M588" s="300">
        <f t="shared" si="75"/>
        <v>40.4</v>
      </c>
      <c r="O588" s="517">
        <f t="shared" si="70"/>
        <v>40.4</v>
      </c>
    </row>
    <row r="589" spans="1:15" ht="57.6" outlineLevel="3" x14ac:dyDescent="0.3">
      <c r="A589" s="35"/>
      <c r="B589" s="36"/>
      <c r="C589" s="495" t="s">
        <v>10250</v>
      </c>
      <c r="D589" s="479">
        <v>91835</v>
      </c>
      <c r="E589" s="249" t="str">
        <f>UPPER(IF($D589=0,"",IF($A589=4,_xlfn.XLOOKUP($D589,Mercado!$C:$C,Mercado!$E:$E),_xlfn.XLOOKUP($D589,Fontes!$B:$B,Fontes!$C:$C))))</f>
        <v>SINAPI</v>
      </c>
      <c r="F589" s="327" t="s">
        <v>194</v>
      </c>
      <c r="G589" s="249" t="str">
        <f>UPPER(IF($D589=0,"",IF($A589=4,_xlfn.XLOOKUP($D589,Mercado!$C:$C,Mercado!$G:$G),_xlfn.XLOOKUP($D589,Fontes!$B:$B,Fontes!$E:$E))))</f>
        <v>M</v>
      </c>
      <c r="H589" s="252">
        <v>8</v>
      </c>
      <c r="I589" s="252">
        <f>IF($A589="M",_xlfn.XLOOKUP($D589,Mercado!$C:$C,Mercado!$I:$I),_xlfn.XLOOKUP($D589,Fontes!$B:$B,Fontes!$J:$J))</f>
        <v>10.32</v>
      </c>
      <c r="J589" s="252">
        <f>IF($A589="M",_xlfn.XLOOKUP($D589,Mercado!$C:$C,Mercado!$J:$J),_xlfn.XLOOKUP($D589,Fontes!$B:$B,Fontes!$H:$H))</f>
        <v>12.67</v>
      </c>
      <c r="K589" s="252">
        <f>IF($A589="M",0,_xlfn.XLOOKUP($D589,Fontes!$B:$B,Fontes!$I:$I))</f>
        <v>0.92</v>
      </c>
      <c r="L589" s="250">
        <f t="shared" si="68"/>
        <v>23.910000000000004</v>
      </c>
      <c r="M589" s="300">
        <f t="shared" si="75"/>
        <v>191.28</v>
      </c>
      <c r="O589" s="517">
        <f t="shared" si="70"/>
        <v>191.28</v>
      </c>
    </row>
    <row r="590" spans="1:15" outlineLevel="3" x14ac:dyDescent="0.3">
      <c r="A590" s="35"/>
      <c r="B590" s="36"/>
      <c r="C590" s="495" t="s">
        <v>10251</v>
      </c>
      <c r="D590" s="487">
        <v>612</v>
      </c>
      <c r="E590" s="249" t="str">
        <f>UPPER(IF($D590=0,"",IF($A590=4,_xlfn.XLOOKUP($D590,Mercado!$C:$C,Mercado!$E:$E),_xlfn.XLOOKUP($D590,Fontes!$B:$B,Fontes!$C:$C))))</f>
        <v>PRÓPRIO</v>
      </c>
      <c r="F590" s="335" t="s">
        <v>3588</v>
      </c>
      <c r="G590" s="249" t="str">
        <f>UPPER(IF($D590=0,"",IF($A590=4,_xlfn.XLOOKUP($D590,Mercado!$C:$C,Mercado!$G:$G),_xlfn.XLOOKUP($D590,Fontes!$B:$B,Fontes!$E:$E))))</f>
        <v>UN</v>
      </c>
      <c r="H590" s="439">
        <v>2</v>
      </c>
      <c r="I590" s="439">
        <f>IF($A590="M",_xlfn.XLOOKUP($D590,Mercado!$C:$C,Mercado!$I:$I),_xlfn.XLOOKUP($D590,Fontes!$B:$B,Fontes!$J:$J))</f>
        <v>18.809999999999999</v>
      </c>
      <c r="J590" s="252">
        <f>IF($A590="M",_xlfn.XLOOKUP($D590,Mercado!$C:$C,Mercado!$J:$J),_xlfn.XLOOKUP($D590,Fontes!$B:$B,Fontes!$H:$H))</f>
        <v>16.75</v>
      </c>
      <c r="K590" s="252">
        <f>IF($A590="M",0,_xlfn.XLOOKUP($D590,Fontes!$B:$B,Fontes!$I:$I))</f>
        <v>0</v>
      </c>
      <c r="L590" s="250">
        <f t="shared" ref="L590:L653" si="76">SUM(I590:K590)</f>
        <v>35.56</v>
      </c>
      <c r="M590" s="300">
        <f t="shared" si="75"/>
        <v>71.12</v>
      </c>
      <c r="O590" s="517">
        <f t="shared" si="70"/>
        <v>71.12</v>
      </c>
    </row>
    <row r="591" spans="1:15" ht="57.6" outlineLevel="3" x14ac:dyDescent="0.3">
      <c r="A591" s="35"/>
      <c r="B591" s="36"/>
      <c r="C591" s="495" t="s">
        <v>10252</v>
      </c>
      <c r="D591" s="479">
        <v>97549</v>
      </c>
      <c r="E591" s="249" t="str">
        <f>UPPER(IF($D591=0,"",IF($A591=4,_xlfn.XLOOKUP($D591,Mercado!$C:$C,Mercado!$E:$E),_xlfn.XLOOKUP($D591,Fontes!$B:$B,Fontes!$C:$C))))</f>
        <v>SINAPI</v>
      </c>
      <c r="F591" s="327" t="s">
        <v>335</v>
      </c>
      <c r="G591" s="249" t="str">
        <f>UPPER(IF($D591=0,"",IF($A591=4,_xlfn.XLOOKUP($D591,Mercado!$C:$C,Mercado!$G:$G),_xlfn.XLOOKUP($D591,Fontes!$B:$B,Fontes!$E:$E))))</f>
        <v>UN</v>
      </c>
      <c r="H591" s="252">
        <v>3</v>
      </c>
      <c r="I591" s="252">
        <f>IF($A591="M",_xlfn.XLOOKUP($D591,Mercado!$C:$C,Mercado!$I:$I),_xlfn.XLOOKUP($D591,Fontes!$B:$B,Fontes!$J:$J))</f>
        <v>34.56</v>
      </c>
      <c r="J591" s="252">
        <f>IF($A591="M",_xlfn.XLOOKUP($D591,Mercado!$C:$C,Mercado!$J:$J),_xlfn.XLOOKUP($D591,Fontes!$B:$B,Fontes!$H:$H))</f>
        <v>25.81</v>
      </c>
      <c r="K591" s="252">
        <f>IF($A591="M",0,_xlfn.XLOOKUP($D591,Fontes!$B:$B,Fontes!$I:$I))</f>
        <v>2.13</v>
      </c>
      <c r="L591" s="250">
        <f t="shared" si="76"/>
        <v>62.500000000000007</v>
      </c>
      <c r="M591" s="300">
        <f t="shared" si="75"/>
        <v>187.5</v>
      </c>
      <c r="O591" s="517">
        <f t="shared" si="70"/>
        <v>187.5</v>
      </c>
    </row>
    <row r="592" spans="1:15" ht="57.6" outlineLevel="3" x14ac:dyDescent="0.3">
      <c r="A592" s="35"/>
      <c r="B592" s="36"/>
      <c r="C592" s="495" t="s">
        <v>10253</v>
      </c>
      <c r="D592" s="479">
        <v>95745</v>
      </c>
      <c r="E592" s="249" t="str">
        <f>UPPER(IF($D592=0,"",IF($A592=4,_xlfn.XLOOKUP($D592,Mercado!$C:$C,Mercado!$E:$E),_xlfn.XLOOKUP($D592,Fontes!$B:$B,Fontes!$C:$C))))</f>
        <v>SINAPI</v>
      </c>
      <c r="F592" s="327" t="s">
        <v>21</v>
      </c>
      <c r="G592" s="249" t="str">
        <f>UPPER(IF($D592=0,"",IF($A592=4,_xlfn.XLOOKUP($D592,Mercado!$C:$C,Mercado!$G:$G),_xlfn.XLOOKUP($D592,Fontes!$B:$B,Fontes!$E:$E))))</f>
        <v>M</v>
      </c>
      <c r="H592" s="252">
        <v>8</v>
      </c>
      <c r="I592" s="252">
        <f>IF($A592="M",_xlfn.XLOOKUP($D592,Mercado!$C:$C,Mercado!$I:$I),_xlfn.XLOOKUP($D592,Fontes!$B:$B,Fontes!$J:$J))</f>
        <v>16.95</v>
      </c>
      <c r="J592" s="252">
        <f>IF($A592="M",_xlfn.XLOOKUP($D592,Mercado!$C:$C,Mercado!$J:$J),_xlfn.XLOOKUP($D592,Fontes!$B:$B,Fontes!$H:$H))</f>
        <v>14.14</v>
      </c>
      <c r="K592" s="252">
        <f>IF($A592="M",0,_xlfn.XLOOKUP($D592,Fontes!$B:$B,Fontes!$I:$I))</f>
        <v>1.05</v>
      </c>
      <c r="L592" s="250">
        <f t="shared" si="76"/>
        <v>32.14</v>
      </c>
      <c r="M592" s="300">
        <f t="shared" si="75"/>
        <v>257.12</v>
      </c>
      <c r="O592" s="517">
        <f t="shared" si="70"/>
        <v>257.12</v>
      </c>
    </row>
    <row r="593" spans="1:15" ht="57.6" outlineLevel="3" x14ac:dyDescent="0.3">
      <c r="A593" s="35"/>
      <c r="B593" s="36"/>
      <c r="C593" s="495" t="s">
        <v>10254</v>
      </c>
      <c r="D593" s="487">
        <v>11304</v>
      </c>
      <c r="E593" s="249" t="str">
        <f>UPPER(IF($D593=0,"",IF($A593=4,_xlfn.XLOOKUP($D593,Mercado!$C:$C,Mercado!$E:$E),_xlfn.XLOOKUP($D593,Fontes!$B:$B,Fontes!$C:$C))))</f>
        <v>ORSE</v>
      </c>
      <c r="F593" s="327" t="s">
        <v>3589</v>
      </c>
      <c r="G593" s="249" t="str">
        <f>UPPER(IF($D593=0,"",IF($A593=4,_xlfn.XLOOKUP($D593,Mercado!$C:$C,Mercado!$G:$G),_xlfn.XLOOKUP($D593,Fontes!$B:$B,Fontes!$E:$E))))</f>
        <v>UN</v>
      </c>
      <c r="H593" s="252">
        <v>2</v>
      </c>
      <c r="I593" s="252">
        <f>IF($A593="M",_xlfn.XLOOKUP($D593,Mercado!$C:$C,Mercado!$I:$I),_xlfn.XLOOKUP($D593,Fontes!$B:$B,Fontes!$J:$J))</f>
        <v>3.38</v>
      </c>
      <c r="J593" s="252">
        <f>IF($A593="M",_xlfn.XLOOKUP($D593,Mercado!$C:$C,Mercado!$J:$J),_xlfn.XLOOKUP($D593,Fontes!$B:$B,Fontes!$H:$H))</f>
        <v>1.1499999999999999</v>
      </c>
      <c r="K593" s="252">
        <f>IF($A593="M",0,_xlfn.XLOOKUP($D593,Fontes!$B:$B,Fontes!$I:$I))</f>
        <v>0</v>
      </c>
      <c r="L593" s="250">
        <f t="shared" si="76"/>
        <v>4.5299999999999994</v>
      </c>
      <c r="M593" s="300">
        <f t="shared" si="75"/>
        <v>9.06</v>
      </c>
      <c r="O593" s="517">
        <f t="shared" si="70"/>
        <v>9.06</v>
      </c>
    </row>
    <row r="594" spans="1:15" outlineLevel="3" x14ac:dyDescent="0.3">
      <c r="A594" s="35"/>
      <c r="B594" s="36"/>
      <c r="C594" s="495" t="s">
        <v>10255</v>
      </c>
      <c r="D594" s="479">
        <v>68156</v>
      </c>
      <c r="E594" s="249" t="str">
        <f>UPPER(IF($D594=0,"",IF($A594=4,_xlfn.XLOOKUP($D594,Mercado!$C:$C,Mercado!$E:$E),_xlfn.XLOOKUP($D594,Fontes!$B:$B,Fontes!$C:$C))))</f>
        <v>SBC</v>
      </c>
      <c r="F594" s="327" t="s">
        <v>446</v>
      </c>
      <c r="G594" s="249" t="str">
        <f>UPPER(IF($D594=0,"",IF($A594=4,_xlfn.XLOOKUP($D594,Mercado!$C:$C,Mercado!$G:$G),_xlfn.XLOOKUP($D594,Fontes!$B:$B,Fontes!$E:$E))))</f>
        <v>UN</v>
      </c>
      <c r="H594" s="252">
        <v>2</v>
      </c>
      <c r="I594" s="252">
        <f>IF($A594="M",_xlfn.XLOOKUP($D594,Mercado!$C:$C,Mercado!$I:$I),_xlfn.XLOOKUP($D594,Fontes!$B:$B,Fontes!$J:$J))</f>
        <v>2.21</v>
      </c>
      <c r="J594" s="252">
        <f>IF($A594="M",_xlfn.XLOOKUP($D594,Mercado!$C:$C,Mercado!$J:$J),_xlfn.XLOOKUP($D594,Fontes!$B:$B,Fontes!$H:$H))</f>
        <v>0.78</v>
      </c>
      <c r="K594" s="252">
        <f>IF($A594="M",0,_xlfn.XLOOKUP($D594,Fontes!$B:$B,Fontes!$I:$I))</f>
        <v>0</v>
      </c>
      <c r="L594" s="250">
        <f t="shared" si="76"/>
        <v>2.99</v>
      </c>
      <c r="M594" s="300">
        <f t="shared" si="75"/>
        <v>5.98</v>
      </c>
      <c r="O594" s="517">
        <f t="shared" si="70"/>
        <v>5.98</v>
      </c>
    </row>
    <row r="595" spans="1:15" outlineLevel="3" x14ac:dyDescent="0.3">
      <c r="A595" s="35"/>
      <c r="B595" s="36"/>
      <c r="C595" s="495" t="s">
        <v>10256</v>
      </c>
      <c r="D595" s="479">
        <v>62572</v>
      </c>
      <c r="E595" s="249" t="str">
        <f>UPPER(IF($D595=0,"",IF($A595=4,_xlfn.XLOOKUP($D595,Mercado!$C:$C,Mercado!$E:$E),_xlfn.XLOOKUP($D595,Fontes!$B:$B,Fontes!$C:$C))))</f>
        <v>SBC</v>
      </c>
      <c r="F595" s="327" t="s">
        <v>427</v>
      </c>
      <c r="G595" s="249" t="str">
        <f>UPPER(IF($D595=0,"",IF($A595=4,_xlfn.XLOOKUP($D595,Mercado!$C:$C,Mercado!$G:$G),_xlfn.XLOOKUP($D595,Fontes!$B:$B,Fontes!$E:$E))))</f>
        <v>UN</v>
      </c>
      <c r="H595" s="252">
        <v>2</v>
      </c>
      <c r="I595" s="252">
        <f>IF($A595="M",_xlfn.XLOOKUP($D595,Mercado!$C:$C,Mercado!$I:$I),_xlfn.XLOOKUP($D595,Fontes!$B:$B,Fontes!$J:$J))</f>
        <v>10.43</v>
      </c>
      <c r="J595" s="252">
        <f>IF($A595="M",_xlfn.XLOOKUP($D595,Mercado!$C:$C,Mercado!$J:$J),_xlfn.XLOOKUP($D595,Fontes!$B:$B,Fontes!$H:$H))</f>
        <v>14.36</v>
      </c>
      <c r="K595" s="252">
        <f>IF($A595="M",0,_xlfn.XLOOKUP($D595,Fontes!$B:$B,Fontes!$I:$I))</f>
        <v>1.26</v>
      </c>
      <c r="L595" s="250">
        <f t="shared" si="76"/>
        <v>26.05</v>
      </c>
      <c r="M595" s="300">
        <f t="shared" si="75"/>
        <v>52.1</v>
      </c>
      <c r="O595" s="517">
        <f t="shared" si="70"/>
        <v>52.1</v>
      </c>
    </row>
    <row r="596" spans="1:15" ht="38.4" outlineLevel="3" x14ac:dyDescent="0.3">
      <c r="A596" s="35"/>
      <c r="B596" s="36"/>
      <c r="C596" s="495" t="s">
        <v>10257</v>
      </c>
      <c r="D596" s="479">
        <v>8351</v>
      </c>
      <c r="E596" s="249" t="str">
        <f>UPPER(IF($D596=0,"",IF($A596=4,_xlfn.XLOOKUP($D596,Mercado!$C:$C,Mercado!$E:$E),_xlfn.XLOOKUP($D596,Fontes!$B:$B,Fontes!$C:$C))))</f>
        <v>ORSE</v>
      </c>
      <c r="F596" s="327" t="s">
        <v>3572</v>
      </c>
      <c r="G596" s="249" t="str">
        <f>UPPER(IF($D596=0,"",IF($A596=4,_xlfn.XLOOKUP($D596,Mercado!$C:$C,Mercado!$G:$G),_xlfn.XLOOKUP($D596,Fontes!$B:$B,Fontes!$E:$E))))</f>
        <v>UN</v>
      </c>
      <c r="H596" s="252">
        <v>4</v>
      </c>
      <c r="I596" s="252">
        <f>IF($A596="M",_xlfn.XLOOKUP($D596,Mercado!$C:$C,Mercado!$I:$I),_xlfn.XLOOKUP($D596,Fontes!$B:$B,Fontes!$J:$J))</f>
        <v>0.98</v>
      </c>
      <c r="J596" s="252">
        <f>IF($A596="M",_xlfn.XLOOKUP($D596,Mercado!$C:$C,Mercado!$J:$J),_xlfn.XLOOKUP($D596,Fontes!$B:$B,Fontes!$H:$H))</f>
        <v>3.61</v>
      </c>
      <c r="K596" s="252">
        <f>IF($A596="M",0,_xlfn.XLOOKUP($D596,Fontes!$B:$B,Fontes!$I:$I))</f>
        <v>0</v>
      </c>
      <c r="L596" s="250">
        <f t="shared" si="76"/>
        <v>4.59</v>
      </c>
      <c r="M596" s="300">
        <f t="shared" si="75"/>
        <v>18.36</v>
      </c>
      <c r="O596" s="517">
        <f t="shared" si="70"/>
        <v>18.36</v>
      </c>
    </row>
    <row r="597" spans="1:15" outlineLevel="3" x14ac:dyDescent="0.3">
      <c r="A597" s="35"/>
      <c r="B597" s="36"/>
      <c r="C597" s="495" t="s">
        <v>10258</v>
      </c>
      <c r="D597" s="479">
        <v>63445</v>
      </c>
      <c r="E597" s="249" t="str">
        <f>UPPER(IF($D597=0,"",IF($A597=4,_xlfn.XLOOKUP($D597,Mercado!$C:$C,Mercado!$E:$E),_xlfn.XLOOKUP($D597,Fontes!$B:$B,Fontes!$C:$C))))</f>
        <v>SBC</v>
      </c>
      <c r="F597" s="327" t="s">
        <v>447</v>
      </c>
      <c r="G597" s="249" t="str">
        <f>UPPER(IF($D597=0,"",IF($A597=4,_xlfn.XLOOKUP($D597,Mercado!$C:$C,Mercado!$G:$G),_xlfn.XLOOKUP($D597,Fontes!$B:$B,Fontes!$E:$E))))</f>
        <v>CJ</v>
      </c>
      <c r="H597" s="252">
        <v>4</v>
      </c>
      <c r="I597" s="252">
        <f>IF($A597="M",_xlfn.XLOOKUP($D597,Mercado!$C:$C,Mercado!$I:$I),_xlfn.XLOOKUP($D597,Fontes!$B:$B,Fontes!$J:$J))</f>
        <v>1.06</v>
      </c>
      <c r="J597" s="252">
        <f>IF($A597="M",_xlfn.XLOOKUP($D597,Mercado!$C:$C,Mercado!$J:$J),_xlfn.XLOOKUP($D597,Fontes!$B:$B,Fontes!$H:$H))</f>
        <v>3.24</v>
      </c>
      <c r="K597" s="252">
        <f>IF($A597="M",0,_xlfn.XLOOKUP($D597,Fontes!$B:$B,Fontes!$I:$I))</f>
        <v>0.25</v>
      </c>
      <c r="L597" s="250">
        <f t="shared" si="76"/>
        <v>4.5500000000000007</v>
      </c>
      <c r="M597" s="300">
        <f t="shared" si="75"/>
        <v>18.2</v>
      </c>
      <c r="O597" s="517">
        <f t="shared" si="70"/>
        <v>18.2</v>
      </c>
    </row>
    <row r="598" spans="1:15" ht="57.6" outlineLevel="3" x14ac:dyDescent="0.3">
      <c r="A598" s="35"/>
      <c r="B598" s="36"/>
      <c r="C598" s="495" t="s">
        <v>10259</v>
      </c>
      <c r="D598" s="479">
        <v>91835</v>
      </c>
      <c r="E598" s="249" t="str">
        <f>UPPER(IF($D598=0,"",IF($A598=4,_xlfn.XLOOKUP($D598,Mercado!$C:$C,Mercado!$E:$E),_xlfn.XLOOKUP($D598,Fontes!$B:$B,Fontes!$C:$C))))</f>
        <v>SINAPI</v>
      </c>
      <c r="F598" s="327" t="s">
        <v>194</v>
      </c>
      <c r="G598" s="249" t="str">
        <f>UPPER(IF($D598=0,"",IF($A598=4,_xlfn.XLOOKUP($D598,Mercado!$C:$C,Mercado!$G:$G),_xlfn.XLOOKUP($D598,Fontes!$B:$B,Fontes!$E:$E))))</f>
        <v>M</v>
      </c>
      <c r="H598" s="252">
        <v>6</v>
      </c>
      <c r="I598" s="252">
        <f>IF($A598="M",_xlfn.XLOOKUP($D598,Mercado!$C:$C,Mercado!$I:$I),_xlfn.XLOOKUP($D598,Fontes!$B:$B,Fontes!$J:$J))</f>
        <v>10.32</v>
      </c>
      <c r="J598" s="252">
        <f>IF($A598="M",_xlfn.XLOOKUP($D598,Mercado!$C:$C,Mercado!$J:$J),_xlfn.XLOOKUP($D598,Fontes!$B:$B,Fontes!$H:$H))</f>
        <v>12.67</v>
      </c>
      <c r="K598" s="252">
        <f>IF($A598="M",0,_xlfn.XLOOKUP($D598,Fontes!$B:$B,Fontes!$I:$I))</f>
        <v>0.92</v>
      </c>
      <c r="L598" s="250">
        <f t="shared" si="76"/>
        <v>23.910000000000004</v>
      </c>
      <c r="M598" s="300">
        <f t="shared" si="75"/>
        <v>143.46</v>
      </c>
      <c r="O598" s="517">
        <f t="shared" si="70"/>
        <v>143.46</v>
      </c>
    </row>
    <row r="599" spans="1:15" ht="57.6" outlineLevel="3" x14ac:dyDescent="0.3">
      <c r="A599" s="35"/>
      <c r="B599" s="36"/>
      <c r="C599" s="495" t="s">
        <v>10260</v>
      </c>
      <c r="D599" s="479">
        <v>97667</v>
      </c>
      <c r="E599" s="249" t="str">
        <f>UPPER(IF($D599=0,"",IF($A599=4,_xlfn.XLOOKUP($D599,Mercado!$C:$C,Mercado!$E:$E),_xlfn.XLOOKUP($D599,Fontes!$B:$B,Fontes!$C:$C))))</f>
        <v>SINAPI</v>
      </c>
      <c r="F599" s="327" t="s">
        <v>397</v>
      </c>
      <c r="G599" s="249" t="str">
        <f>UPPER(IF($D599=0,"",IF($A599=4,_xlfn.XLOOKUP($D599,Mercado!$C:$C,Mercado!$G:$G),_xlfn.XLOOKUP($D599,Fontes!$B:$B,Fontes!$E:$E))))</f>
        <v>M</v>
      </c>
      <c r="H599" s="252">
        <v>6</v>
      </c>
      <c r="I599" s="252">
        <f>IF($A599="M",_xlfn.XLOOKUP($D599,Mercado!$C:$C,Mercado!$I:$I),_xlfn.XLOOKUP($D599,Fontes!$B:$B,Fontes!$J:$J))</f>
        <v>6.14</v>
      </c>
      <c r="J599" s="252">
        <f>IF($A599="M",_xlfn.XLOOKUP($D599,Mercado!$C:$C,Mercado!$J:$J),_xlfn.XLOOKUP($D599,Fontes!$B:$B,Fontes!$H:$H))</f>
        <v>3.74</v>
      </c>
      <c r="K599" s="252">
        <f>IF($A599="M",0,_xlfn.XLOOKUP($D599,Fontes!$B:$B,Fontes!$I:$I))</f>
        <v>0.34</v>
      </c>
      <c r="L599" s="250">
        <f t="shared" si="76"/>
        <v>10.219999999999999</v>
      </c>
      <c r="M599" s="300">
        <f t="shared" si="75"/>
        <v>61.32</v>
      </c>
      <c r="O599" s="517">
        <f t="shared" si="70"/>
        <v>61.32</v>
      </c>
    </row>
    <row r="600" spans="1:15" ht="57.6" outlineLevel="3" x14ac:dyDescent="0.3">
      <c r="A600" s="35"/>
      <c r="B600" s="36"/>
      <c r="C600" s="495" t="s">
        <v>10261</v>
      </c>
      <c r="D600" s="479">
        <v>91944</v>
      </c>
      <c r="E600" s="249" t="str">
        <f>UPPER(IF($D600=0,"",IF($A600=4,_xlfn.XLOOKUP($D600,Mercado!$C:$C,Mercado!$E:$E),_xlfn.XLOOKUP($D600,Fontes!$B:$B,Fontes!$C:$C))))</f>
        <v>SINAPI</v>
      </c>
      <c r="F600" s="327" t="s">
        <v>30</v>
      </c>
      <c r="G600" s="249" t="str">
        <f>UPPER(IF($D600=0,"",IF($A600=4,_xlfn.XLOOKUP($D600,Mercado!$C:$C,Mercado!$G:$G),_xlfn.XLOOKUP($D600,Fontes!$B:$B,Fontes!$E:$E))))</f>
        <v>UN</v>
      </c>
      <c r="H600" s="252">
        <v>1</v>
      </c>
      <c r="I600" s="252">
        <f>IF($A600="M",_xlfn.XLOOKUP($D600,Mercado!$C:$C,Mercado!$I:$I),_xlfn.XLOOKUP($D600,Fontes!$B:$B,Fontes!$J:$J))</f>
        <v>9.6999999999999993</v>
      </c>
      <c r="J600" s="252">
        <f>IF($A600="M",_xlfn.XLOOKUP($D600,Mercado!$C:$C,Mercado!$J:$J),_xlfn.XLOOKUP($D600,Fontes!$B:$B,Fontes!$H:$H))</f>
        <v>9.64</v>
      </c>
      <c r="K600" s="252">
        <f>IF($A600="M",0,_xlfn.XLOOKUP($D600,Fontes!$B:$B,Fontes!$I:$I))</f>
        <v>0.86</v>
      </c>
      <c r="L600" s="250">
        <f t="shared" si="76"/>
        <v>20.2</v>
      </c>
      <c r="M600" s="300">
        <f t="shared" si="75"/>
        <v>20.2</v>
      </c>
      <c r="O600" s="517">
        <f t="shared" si="70"/>
        <v>20.2</v>
      </c>
    </row>
    <row r="601" spans="1:15" outlineLevel="3" x14ac:dyDescent="0.3">
      <c r="A601" s="35"/>
      <c r="B601" s="36"/>
      <c r="C601" s="495" t="s">
        <v>10262</v>
      </c>
      <c r="D601" s="479" t="s">
        <v>418</v>
      </c>
      <c r="E601" s="249" t="str">
        <f>UPPER(IF($D601=0,"",IF($A601=4,_xlfn.XLOOKUP($D601,Mercado!$C:$C,Mercado!$E:$E),_xlfn.XLOOKUP($D601,Fontes!$B:$B,Fontes!$C:$C))))</f>
        <v>CPOS/CDHU</v>
      </c>
      <c r="F601" s="327" t="s">
        <v>3555</v>
      </c>
      <c r="G601" s="249" t="str">
        <f>UPPER(IF($D601=0,"",IF($A601=4,_xlfn.XLOOKUP($D601,Mercado!$C:$C,Mercado!$G:$G),_xlfn.XLOOKUP($D601,Fontes!$B:$B,Fontes!$E:$E))))</f>
        <v>UN</v>
      </c>
      <c r="H601" s="252">
        <v>1</v>
      </c>
      <c r="I601" s="252">
        <f>IF($A601="M",_xlfn.XLOOKUP($D601,Mercado!$C:$C,Mercado!$I:$I),_xlfn.XLOOKUP($D601,Fontes!$B:$B,Fontes!$J:$J))</f>
        <v>42.76</v>
      </c>
      <c r="J601" s="252">
        <f>IF($A601="M",_xlfn.XLOOKUP($D601,Mercado!$C:$C,Mercado!$J:$J),_xlfn.XLOOKUP($D601,Fontes!$B:$B,Fontes!$H:$H))</f>
        <v>44.67</v>
      </c>
      <c r="K601" s="252">
        <f>IF($A601="M",0,_xlfn.XLOOKUP($D601,Fontes!$B:$B,Fontes!$I:$I))</f>
        <v>0</v>
      </c>
      <c r="L601" s="250">
        <f t="shared" si="76"/>
        <v>87.43</v>
      </c>
      <c r="M601" s="300">
        <f t="shared" si="75"/>
        <v>87.43</v>
      </c>
      <c r="O601" s="517">
        <f t="shared" si="70"/>
        <v>87.43</v>
      </c>
    </row>
    <row r="602" spans="1:15" outlineLevel="3" x14ac:dyDescent="0.3">
      <c r="A602" s="35"/>
      <c r="B602" s="36"/>
      <c r="C602" s="495" t="s">
        <v>10263</v>
      </c>
      <c r="D602" s="479" t="s">
        <v>523</v>
      </c>
      <c r="E602" s="249" t="str">
        <f>UPPER(IF($D602=0,"",IF($A602=4,_xlfn.XLOOKUP($D602,Mercado!$C:$C,Mercado!$E:$E),_xlfn.XLOOKUP($D602,Fontes!$B:$B,Fontes!$C:$C))))</f>
        <v>CPOS/CDHU</v>
      </c>
      <c r="F602" s="327" t="s">
        <v>3569</v>
      </c>
      <c r="G602" s="249" t="str">
        <f>UPPER(IF($D602=0,"",IF($A602=4,_xlfn.XLOOKUP($D602,Mercado!$C:$C,Mercado!$G:$G),_xlfn.XLOOKUP($D602,Fontes!$B:$B,Fontes!$E:$E))))</f>
        <v>UN</v>
      </c>
      <c r="H602" s="252">
        <v>1</v>
      </c>
      <c r="I602" s="252">
        <f>IF($A602="M",_xlfn.XLOOKUP($D602,Mercado!$C:$C,Mercado!$I:$I),_xlfn.XLOOKUP($D602,Fontes!$B:$B,Fontes!$J:$J))</f>
        <v>9.68</v>
      </c>
      <c r="J602" s="252">
        <f>IF($A602="M",_xlfn.XLOOKUP($D602,Mercado!$C:$C,Mercado!$J:$J),_xlfn.XLOOKUP($D602,Fontes!$B:$B,Fontes!$H:$H))</f>
        <v>1.82</v>
      </c>
      <c r="K602" s="252">
        <f>IF($A602="M",0,_xlfn.XLOOKUP($D602,Fontes!$B:$B,Fontes!$I:$I))</f>
        <v>0</v>
      </c>
      <c r="L602" s="250">
        <f t="shared" si="76"/>
        <v>11.5</v>
      </c>
      <c r="M602" s="300">
        <f t="shared" si="75"/>
        <v>11.5</v>
      </c>
      <c r="O602" s="517">
        <f t="shared" si="70"/>
        <v>11.5</v>
      </c>
    </row>
    <row r="603" spans="1:15" outlineLevel="3" x14ac:dyDescent="0.3">
      <c r="A603" s="35"/>
      <c r="B603" s="36"/>
      <c r="C603" s="495" t="s">
        <v>10264</v>
      </c>
      <c r="D603" s="479" t="s">
        <v>450</v>
      </c>
      <c r="E603" s="249" t="str">
        <f>UPPER(IF($D603=0,"",IF($A603=4,_xlfn.XLOOKUP($D603,Mercado!$C:$C,Mercado!$E:$E),_xlfn.XLOOKUP($D603,Fontes!$B:$B,Fontes!$C:$C))))</f>
        <v>CPOS/CDHU</v>
      </c>
      <c r="F603" s="327" t="s">
        <v>3590</v>
      </c>
      <c r="G603" s="249" t="str">
        <f>UPPER(IF($D603=0,"",IF($A603=4,_xlfn.XLOOKUP($D603,Mercado!$C:$C,Mercado!$G:$G),_xlfn.XLOOKUP($D603,Fontes!$B:$B,Fontes!$E:$E))))</f>
        <v>UN</v>
      </c>
      <c r="H603" s="252">
        <v>2</v>
      </c>
      <c r="I603" s="252">
        <f>IF($A603="M",_xlfn.XLOOKUP($D603,Mercado!$C:$C,Mercado!$I:$I),_xlfn.XLOOKUP($D603,Fontes!$B:$B,Fontes!$J:$J))</f>
        <v>8.19</v>
      </c>
      <c r="J603" s="252">
        <f>IF($A603="M",_xlfn.XLOOKUP($D603,Mercado!$C:$C,Mercado!$J:$J),_xlfn.XLOOKUP($D603,Fontes!$B:$B,Fontes!$H:$H))</f>
        <v>11.16</v>
      </c>
      <c r="K603" s="252">
        <f>IF($A603="M",0,_xlfn.XLOOKUP($D603,Fontes!$B:$B,Fontes!$I:$I))</f>
        <v>0</v>
      </c>
      <c r="L603" s="250">
        <f t="shared" si="76"/>
        <v>19.350000000000001</v>
      </c>
      <c r="M603" s="300">
        <f t="shared" si="75"/>
        <v>38.700000000000003</v>
      </c>
      <c r="O603" s="517">
        <f t="shared" si="70"/>
        <v>38.700000000000003</v>
      </c>
    </row>
    <row r="604" spans="1:15" outlineLevel="3" x14ac:dyDescent="0.3">
      <c r="A604" s="35"/>
      <c r="B604" s="36"/>
      <c r="C604" s="495" t="s">
        <v>10265</v>
      </c>
      <c r="D604" s="479">
        <v>9090038</v>
      </c>
      <c r="E604" s="249" t="str">
        <f>UPPER(IF($D604=0,"",IF($A604=4,_xlfn.XLOOKUP($D604,Mercado!$C:$C,Mercado!$E:$E),_xlfn.XLOOKUP($D604,Fontes!$B:$B,Fontes!$C:$C))))</f>
        <v>SIURB</v>
      </c>
      <c r="F604" s="251" t="s">
        <v>8622</v>
      </c>
      <c r="G604" s="249" t="str">
        <f>UPPER(IF($D604=0,"",IF($A604=4,_xlfn.XLOOKUP($D604,Mercado!$C:$C,Mercado!$G:$G),_xlfn.XLOOKUP($D604,Fontes!$B:$B,Fontes!$E:$E))))</f>
        <v>M</v>
      </c>
      <c r="H604" s="252">
        <v>60</v>
      </c>
      <c r="I604" s="252">
        <f>IF($A604="M",_xlfn.XLOOKUP($D604,Mercado!$C:$C,Mercado!$I:$I),_xlfn.XLOOKUP($D604,Fontes!$B:$B,Fontes!$J:$J))</f>
        <v>5.09</v>
      </c>
      <c r="J604" s="252">
        <f>IF($A604="M",_xlfn.XLOOKUP($D604,Mercado!$C:$C,Mercado!$J:$J),_xlfn.XLOOKUP($D604,Fontes!$B:$B,Fontes!$H:$H))</f>
        <v>0</v>
      </c>
      <c r="K604" s="252">
        <f>IF($A604="M",0,_xlfn.XLOOKUP($D604,Fontes!$B:$B,Fontes!$I:$I))</f>
        <v>0</v>
      </c>
      <c r="L604" s="250">
        <f t="shared" si="76"/>
        <v>5.09</v>
      </c>
      <c r="M604" s="300">
        <f t="shared" si="75"/>
        <v>305.39999999999998</v>
      </c>
      <c r="O604" s="517">
        <f t="shared" si="70"/>
        <v>305.39999999999998</v>
      </c>
    </row>
    <row r="605" spans="1:15" outlineLevel="3" x14ac:dyDescent="0.3">
      <c r="A605" s="36" t="s">
        <v>7</v>
      </c>
      <c r="B605" s="36"/>
      <c r="C605" s="495" t="s">
        <v>781</v>
      </c>
      <c r="D605" s="249"/>
      <c r="E605" s="249" t="str">
        <f>UPPER(IF($D605=0,"",IF($A605=4,_xlfn.XLOOKUP($D605,Mercado!$C:$C,Mercado!$E:$E),_xlfn.XLOOKUP($D605,Fontes!$B:$B,Fontes!$C:$C))))</f>
        <v/>
      </c>
      <c r="F605" s="327" t="s">
        <v>781</v>
      </c>
      <c r="G605" s="249"/>
      <c r="H605" s="252"/>
      <c r="I605" s="252">
        <f>IF($A605="M",_xlfn.XLOOKUP($D605,Mercado!$C:$C,Mercado!$I:$I),_xlfn.XLOOKUP($D605,Fontes!$B:$B,Fontes!$J:$J))</f>
        <v>0</v>
      </c>
      <c r="J605" s="252">
        <f>IF($A605="M",_xlfn.XLOOKUP($D605,Mercado!$C:$C,Mercado!$J:$J),_xlfn.XLOOKUP($D605,Fontes!$B:$B,Fontes!$H:$H))</f>
        <v>0</v>
      </c>
      <c r="K605" s="252">
        <f>IF($A605="M",0,_xlfn.XLOOKUP($D605,Fontes!$B:$B,Fontes!$I:$I))</f>
        <v>0</v>
      </c>
      <c r="L605" s="250">
        <f t="shared" si="76"/>
        <v>0</v>
      </c>
      <c r="M605" s="300">
        <f t="shared" si="75"/>
        <v>0</v>
      </c>
      <c r="O605" s="517" t="str">
        <f t="shared" si="70"/>
        <v/>
      </c>
    </row>
    <row r="606" spans="1:15" outlineLevel="2" x14ac:dyDescent="0.3">
      <c r="A606" s="36" t="s">
        <v>7</v>
      </c>
      <c r="B606" s="36"/>
      <c r="C606" s="496" t="s">
        <v>10266</v>
      </c>
      <c r="D606" s="253"/>
      <c r="E606" s="253" t="str">
        <f>UPPER(IF($D606=0,"",IF($A606=4,_xlfn.XLOOKUP($D606,Mercado!$C:$C,Mercado!$E:$E),_xlfn.XLOOKUP($D606,Fontes!$B:$B,Fontes!$C:$C))))</f>
        <v/>
      </c>
      <c r="F606" s="329" t="s">
        <v>3459</v>
      </c>
      <c r="G606" s="253"/>
      <c r="H606" s="254"/>
      <c r="I606" s="254">
        <f>IF($A606="M",_xlfn.XLOOKUP($D606,Mercado!$C:$C,Mercado!$I:$I),_xlfn.XLOOKUP($D606,Fontes!$B:$B,Fontes!$J:$J))</f>
        <v>0</v>
      </c>
      <c r="J606" s="254">
        <f>IF($A606="M",_xlfn.XLOOKUP($D606,Mercado!$C:$C,Mercado!$J:$J),_xlfn.XLOOKUP($D606,Fontes!$B:$B,Fontes!$H:$H))</f>
        <v>0</v>
      </c>
      <c r="K606" s="254">
        <f>IF($A606="M",0,_xlfn.XLOOKUP($D606,Fontes!$B:$B,Fontes!$I:$I))</f>
        <v>0</v>
      </c>
      <c r="L606" s="254">
        <f t="shared" si="76"/>
        <v>0</v>
      </c>
      <c r="M606" s="497">
        <f>SUBTOTAL(9,M607:M645)</f>
        <v>264025.47999999992</v>
      </c>
      <c r="O606" s="517" t="str">
        <f t="shared" si="70"/>
        <v/>
      </c>
    </row>
    <row r="607" spans="1:15" outlineLevel="3" x14ac:dyDescent="0.3">
      <c r="A607" s="35"/>
      <c r="B607" s="36"/>
      <c r="C607" s="495" t="s">
        <v>10267</v>
      </c>
      <c r="D607" s="479" t="s">
        <v>452</v>
      </c>
      <c r="E607" s="249" t="str">
        <f>UPPER(IF($D607=0,"",IF($A607=4,_xlfn.XLOOKUP($D607,Mercado!$C:$C,Mercado!$E:$E),_xlfn.XLOOKUP($D607,Fontes!$B:$B,Fontes!$C:$C))))</f>
        <v>CPOS/CDHU</v>
      </c>
      <c r="F607" s="327" t="s">
        <v>3591</v>
      </c>
      <c r="G607" s="249" t="str">
        <f>UPPER(IF($D607=0,"",IF($A607=4,_xlfn.XLOOKUP($D607,Mercado!$C:$C,Mercado!$G:$G),_xlfn.XLOOKUP($D607,Fontes!$B:$B,Fontes!$E:$E))))</f>
        <v>UN</v>
      </c>
      <c r="H607" s="252">
        <v>22</v>
      </c>
      <c r="I607" s="252">
        <f>IF($A607="M",_xlfn.XLOOKUP($D607,Mercado!$C:$C,Mercado!$I:$I),_xlfn.XLOOKUP($D607,Fontes!$B:$B,Fontes!$J:$J))</f>
        <v>188.26</v>
      </c>
      <c r="J607" s="252">
        <f>IF($A607="M",_xlfn.XLOOKUP($D607,Mercado!$C:$C,Mercado!$J:$J),_xlfn.XLOOKUP($D607,Fontes!$B:$B,Fontes!$H:$H))</f>
        <v>55.83</v>
      </c>
      <c r="K607" s="252">
        <f>IF($A607="M",0,_xlfn.XLOOKUP($D607,Fontes!$B:$B,Fontes!$I:$I))</f>
        <v>0</v>
      </c>
      <c r="L607" s="250">
        <f t="shared" si="76"/>
        <v>244.08999999999997</v>
      </c>
      <c r="M607" s="300">
        <f t="shared" ref="M607:M645" si="77">ROUND(H607*L607,2)</f>
        <v>5369.98</v>
      </c>
      <c r="O607" s="517">
        <f t="shared" si="70"/>
        <v>5369.98</v>
      </c>
    </row>
    <row r="608" spans="1:15" ht="38.4" outlineLevel="3" x14ac:dyDescent="0.3">
      <c r="A608" s="35"/>
      <c r="B608" s="36"/>
      <c r="C608" s="495" t="s">
        <v>10268</v>
      </c>
      <c r="D608" s="487">
        <v>12890</v>
      </c>
      <c r="E608" s="249" t="str">
        <f>UPPER(IF($D608=0,"",IF($A608=4,_xlfn.XLOOKUP($D608,Mercado!$C:$C,Mercado!$E:$E),_xlfn.XLOOKUP($D608,Fontes!$B:$B,Fontes!$C:$C))))</f>
        <v>ORSE</v>
      </c>
      <c r="F608" s="327" t="s">
        <v>3592</v>
      </c>
      <c r="G608" s="249" t="str">
        <f>UPPER(IF($D608=0,"",IF($A608=4,_xlfn.XLOOKUP($D608,Mercado!$C:$C,Mercado!$G:$G),_xlfn.XLOOKUP($D608,Fontes!$B:$B,Fontes!$E:$E))))</f>
        <v>UN</v>
      </c>
      <c r="H608" s="252">
        <v>22</v>
      </c>
      <c r="I608" s="252">
        <f>IF($A608="M",_xlfn.XLOOKUP($D608,Mercado!$C:$C,Mercado!$I:$I),_xlfn.XLOOKUP($D608,Fontes!$B:$B,Fontes!$J:$J))</f>
        <v>229.77</v>
      </c>
      <c r="J608" s="252">
        <f>IF($A608="M",_xlfn.XLOOKUP($D608,Mercado!$C:$C,Mercado!$J:$J),_xlfn.XLOOKUP($D608,Fontes!$B:$B,Fontes!$H:$H))</f>
        <v>10.82</v>
      </c>
      <c r="K608" s="252">
        <f>IF($A608="M",0,_xlfn.XLOOKUP($D608,Fontes!$B:$B,Fontes!$I:$I))</f>
        <v>0</v>
      </c>
      <c r="L608" s="250">
        <f t="shared" si="76"/>
        <v>240.59</v>
      </c>
      <c r="M608" s="300">
        <f t="shared" si="77"/>
        <v>5292.98</v>
      </c>
      <c r="O608" s="517">
        <f t="shared" si="70"/>
        <v>5292.98</v>
      </c>
    </row>
    <row r="609" spans="1:15" ht="38.4" outlineLevel="3" x14ac:dyDescent="0.3">
      <c r="A609" s="35"/>
      <c r="B609" s="36"/>
      <c r="C609" s="495" t="s">
        <v>10269</v>
      </c>
      <c r="D609" s="479" t="s">
        <v>454</v>
      </c>
      <c r="E609" s="249" t="str">
        <f>UPPER(IF($D609=0,"",IF($A609=4,_xlfn.XLOOKUP($D609,Mercado!$C:$C,Mercado!$E:$E),_xlfn.XLOOKUP($D609,Fontes!$B:$B,Fontes!$C:$C))))</f>
        <v>EMBASA</v>
      </c>
      <c r="F609" s="327" t="s">
        <v>456</v>
      </c>
      <c r="G609" s="249" t="str">
        <f>UPPER(IF($D609=0,"",IF($A609=4,_xlfn.XLOOKUP($D609,Mercado!$C:$C,Mercado!$G:$G),_xlfn.XLOOKUP($D609,Fontes!$B:$B,Fontes!$E:$E))))</f>
        <v>UN</v>
      </c>
      <c r="H609" s="252">
        <v>88</v>
      </c>
      <c r="I609" s="252">
        <f>IF($A609="M",_xlfn.XLOOKUP($D609,Mercado!$C:$C,Mercado!$I:$I),_xlfn.XLOOKUP($D609,Fontes!$B:$B,Fontes!$J:$J))</f>
        <v>0.01</v>
      </c>
      <c r="J609" s="252">
        <f>IF($A609="M",_xlfn.XLOOKUP($D609,Mercado!$C:$C,Mercado!$J:$J),_xlfn.XLOOKUP($D609,Fontes!$B:$B,Fontes!$H:$H))</f>
        <v>1.45</v>
      </c>
      <c r="K609" s="252">
        <f>IF($A609="M",0,_xlfn.XLOOKUP($D609,Fontes!$B:$B,Fontes!$I:$I))</f>
        <v>0</v>
      </c>
      <c r="L609" s="250">
        <f t="shared" si="76"/>
        <v>1.46</v>
      </c>
      <c r="M609" s="300">
        <f t="shared" si="77"/>
        <v>128.47999999999999</v>
      </c>
      <c r="O609" s="517">
        <f t="shared" si="70"/>
        <v>128.47999999999999</v>
      </c>
    </row>
    <row r="610" spans="1:15" ht="38.4" outlineLevel="3" x14ac:dyDescent="0.3">
      <c r="A610" s="35"/>
      <c r="B610" s="36"/>
      <c r="C610" s="495" t="s">
        <v>10270</v>
      </c>
      <c r="D610" s="479">
        <v>11749</v>
      </c>
      <c r="E610" s="249" t="str">
        <f>UPPER(IF($D610=0,"",IF($A610=4,_xlfn.XLOOKUP($D610,Mercado!$C:$C,Mercado!$E:$E),_xlfn.XLOOKUP($D610,Fontes!$B:$B,Fontes!$C:$C))))</f>
        <v>ORSE</v>
      </c>
      <c r="F610" s="327" t="s">
        <v>3593</v>
      </c>
      <c r="G610" s="249" t="str">
        <f>UPPER(IF($D610=0,"",IF($A610=4,_xlfn.XLOOKUP($D610,Mercado!$C:$C,Mercado!$G:$G),_xlfn.XLOOKUP($D610,Fontes!$B:$B,Fontes!$E:$E))))</f>
        <v>M</v>
      </c>
      <c r="H610" s="252">
        <v>55</v>
      </c>
      <c r="I610" s="252">
        <f>IF($A610="M",_xlfn.XLOOKUP($D610,Mercado!$C:$C,Mercado!$I:$I),_xlfn.XLOOKUP($D610,Fontes!$B:$B,Fontes!$J:$J))</f>
        <v>7.48</v>
      </c>
      <c r="J610" s="252">
        <f>IF($A610="M",_xlfn.XLOOKUP($D610,Mercado!$C:$C,Mercado!$J:$J),_xlfn.XLOOKUP($D610,Fontes!$B:$B,Fontes!$H:$H))</f>
        <v>3.61</v>
      </c>
      <c r="K610" s="252">
        <f>IF($A610="M",0,_xlfn.XLOOKUP($D610,Fontes!$B:$B,Fontes!$I:$I))</f>
        <v>0</v>
      </c>
      <c r="L610" s="250">
        <f t="shared" si="76"/>
        <v>11.09</v>
      </c>
      <c r="M610" s="300">
        <f t="shared" si="77"/>
        <v>609.95000000000005</v>
      </c>
      <c r="O610" s="517">
        <f t="shared" ref="O610:O673" si="78">IF(D610&lt;&gt;0,M610,"")</f>
        <v>609.95000000000005</v>
      </c>
    </row>
    <row r="611" spans="1:15" ht="57.6" outlineLevel="3" x14ac:dyDescent="0.3">
      <c r="A611" s="35"/>
      <c r="B611" s="36"/>
      <c r="C611" s="495" t="s">
        <v>10271</v>
      </c>
      <c r="D611" s="479">
        <v>95795</v>
      </c>
      <c r="E611" s="249" t="str">
        <f>UPPER(IF($D611=0,"",IF($A611=4,_xlfn.XLOOKUP($D611,Mercado!$C:$C,Mercado!$E:$E),_xlfn.XLOOKUP($D611,Fontes!$B:$B,Fontes!$C:$C))))</f>
        <v>SINAPI</v>
      </c>
      <c r="F611" s="327" t="s">
        <v>32</v>
      </c>
      <c r="G611" s="249" t="str">
        <f>UPPER(IF($D611=0,"",IF($A611=4,_xlfn.XLOOKUP($D611,Mercado!$C:$C,Mercado!$G:$G),_xlfn.XLOOKUP($D611,Fontes!$B:$B,Fontes!$E:$E))))</f>
        <v>UN</v>
      </c>
      <c r="H611" s="252">
        <v>22</v>
      </c>
      <c r="I611" s="252">
        <f>IF($A611="M",_xlfn.XLOOKUP($D611,Mercado!$C:$C,Mercado!$I:$I),_xlfn.XLOOKUP($D611,Fontes!$B:$B,Fontes!$J:$J))</f>
        <v>19.79</v>
      </c>
      <c r="J611" s="252">
        <f>IF($A611="M",_xlfn.XLOOKUP($D611,Mercado!$C:$C,Mercado!$J:$J),_xlfn.XLOOKUP($D611,Fontes!$B:$B,Fontes!$H:$H))</f>
        <v>20.85</v>
      </c>
      <c r="K611" s="252">
        <f>IF($A611="M",0,_xlfn.XLOOKUP($D611,Fontes!$B:$B,Fontes!$I:$I))</f>
        <v>1.77</v>
      </c>
      <c r="L611" s="250">
        <f t="shared" si="76"/>
        <v>42.410000000000004</v>
      </c>
      <c r="M611" s="300">
        <f t="shared" si="77"/>
        <v>933.02</v>
      </c>
      <c r="O611" s="517">
        <f t="shared" si="78"/>
        <v>933.02</v>
      </c>
    </row>
    <row r="612" spans="1:15" ht="57.6" outlineLevel="3" x14ac:dyDescent="0.3">
      <c r="A612" s="35"/>
      <c r="B612" s="36"/>
      <c r="C612" s="495" t="s">
        <v>10272</v>
      </c>
      <c r="D612" s="479">
        <v>95745</v>
      </c>
      <c r="E612" s="249" t="str">
        <f>UPPER(IF($D612=0,"",IF($A612=4,_xlfn.XLOOKUP($D612,Mercado!$C:$C,Mercado!$E:$E),_xlfn.XLOOKUP($D612,Fontes!$B:$B,Fontes!$C:$C))))</f>
        <v>SINAPI</v>
      </c>
      <c r="F612" s="327" t="s">
        <v>21</v>
      </c>
      <c r="G612" s="249" t="str">
        <f>UPPER(IF($D612=0,"",IF($A612=4,_xlfn.XLOOKUP($D612,Mercado!$C:$C,Mercado!$G:$G),_xlfn.XLOOKUP($D612,Fontes!$B:$B,Fontes!$E:$E))))</f>
        <v>M</v>
      </c>
      <c r="H612" s="252">
        <v>264</v>
      </c>
      <c r="I612" s="252">
        <f>IF($A612="M",_xlfn.XLOOKUP($D612,Mercado!$C:$C,Mercado!$I:$I),_xlfn.XLOOKUP($D612,Fontes!$B:$B,Fontes!$J:$J))</f>
        <v>16.95</v>
      </c>
      <c r="J612" s="252">
        <f>IF($A612="M",_xlfn.XLOOKUP($D612,Mercado!$C:$C,Mercado!$J:$J),_xlfn.XLOOKUP($D612,Fontes!$B:$B,Fontes!$H:$H))</f>
        <v>14.14</v>
      </c>
      <c r="K612" s="252">
        <f>IF($A612="M",0,_xlfn.XLOOKUP($D612,Fontes!$B:$B,Fontes!$I:$I))</f>
        <v>1.05</v>
      </c>
      <c r="L612" s="250">
        <f t="shared" si="76"/>
        <v>32.14</v>
      </c>
      <c r="M612" s="300">
        <f t="shared" si="77"/>
        <v>8484.9599999999991</v>
      </c>
      <c r="O612" s="517">
        <f t="shared" si="78"/>
        <v>8484.9599999999991</v>
      </c>
    </row>
    <row r="613" spans="1:15" ht="57.6" outlineLevel="3" x14ac:dyDescent="0.3">
      <c r="A613" s="35"/>
      <c r="B613" s="36"/>
      <c r="C613" s="495" t="s">
        <v>10273</v>
      </c>
      <c r="D613" s="479">
        <v>97549</v>
      </c>
      <c r="E613" s="249" t="str">
        <f>UPPER(IF($D613=0,"",IF($A613=4,_xlfn.XLOOKUP($D613,Mercado!$C:$C,Mercado!$E:$E),_xlfn.XLOOKUP($D613,Fontes!$B:$B,Fontes!$C:$C))))</f>
        <v>SINAPI</v>
      </c>
      <c r="F613" s="327" t="s">
        <v>335</v>
      </c>
      <c r="G613" s="249" t="str">
        <f>UPPER(IF($D613=0,"",IF($A613=4,_xlfn.XLOOKUP($D613,Mercado!$C:$C,Mercado!$G:$G),_xlfn.XLOOKUP($D613,Fontes!$B:$B,Fontes!$E:$E))))</f>
        <v>UN</v>
      </c>
      <c r="H613" s="252">
        <v>22</v>
      </c>
      <c r="I613" s="252">
        <f>IF($A613="M",_xlfn.XLOOKUP($D613,Mercado!$C:$C,Mercado!$I:$I),_xlfn.XLOOKUP($D613,Fontes!$B:$B,Fontes!$J:$J))</f>
        <v>34.56</v>
      </c>
      <c r="J613" s="252">
        <f>IF($A613="M",_xlfn.XLOOKUP($D613,Mercado!$C:$C,Mercado!$J:$J),_xlfn.XLOOKUP($D613,Fontes!$B:$B,Fontes!$H:$H))</f>
        <v>25.81</v>
      </c>
      <c r="K613" s="252">
        <f>IF($A613="M",0,_xlfn.XLOOKUP($D613,Fontes!$B:$B,Fontes!$I:$I))</f>
        <v>2.13</v>
      </c>
      <c r="L613" s="250">
        <f t="shared" si="76"/>
        <v>62.500000000000007</v>
      </c>
      <c r="M613" s="300">
        <f t="shared" si="77"/>
        <v>1375</v>
      </c>
      <c r="O613" s="517">
        <f t="shared" si="78"/>
        <v>1375</v>
      </c>
    </row>
    <row r="614" spans="1:15" outlineLevel="3" x14ac:dyDescent="0.3">
      <c r="A614" s="35"/>
      <c r="B614" s="36"/>
      <c r="C614" s="495" t="s">
        <v>10274</v>
      </c>
      <c r="D614" s="479">
        <v>58003</v>
      </c>
      <c r="E614" s="249" t="str">
        <f>UPPER(IF($D614=0,"",IF($A614=4,_xlfn.XLOOKUP($D614,Mercado!$C:$C,Mercado!$E:$E),_xlfn.XLOOKUP($D614,Fontes!$B:$B,Fontes!$C:$C))))</f>
        <v>SBC</v>
      </c>
      <c r="F614" s="327" t="s">
        <v>458</v>
      </c>
      <c r="G614" s="249" t="str">
        <f>UPPER(IF($D614=0,"",IF($A614=4,_xlfn.XLOOKUP($D614,Mercado!$C:$C,Mercado!$G:$G),_xlfn.XLOOKUP($D614,Fontes!$B:$B,Fontes!$E:$E))))</f>
        <v>UN</v>
      </c>
      <c r="H614" s="252">
        <v>6</v>
      </c>
      <c r="I614" s="252">
        <f>IF($A614="M",_xlfn.XLOOKUP($D614,Mercado!$C:$C,Mercado!$I:$I),_xlfn.XLOOKUP($D614,Fontes!$B:$B,Fontes!$J:$J))</f>
        <v>46.12</v>
      </c>
      <c r="J614" s="252">
        <f>IF($A614="M",_xlfn.XLOOKUP($D614,Mercado!$C:$C,Mercado!$J:$J),_xlfn.XLOOKUP($D614,Fontes!$B:$B,Fontes!$H:$H))</f>
        <v>33.35</v>
      </c>
      <c r="K614" s="252">
        <f>IF($A614="M",0,_xlfn.XLOOKUP($D614,Fontes!$B:$B,Fontes!$I:$I))</f>
        <v>0</v>
      </c>
      <c r="L614" s="250">
        <f t="shared" si="76"/>
        <v>79.47</v>
      </c>
      <c r="M614" s="300">
        <f t="shared" si="77"/>
        <v>476.82</v>
      </c>
      <c r="O614" s="517">
        <f t="shared" si="78"/>
        <v>476.82</v>
      </c>
    </row>
    <row r="615" spans="1:15" ht="57.6" outlineLevel="3" x14ac:dyDescent="0.3">
      <c r="A615" s="35"/>
      <c r="B615" s="36"/>
      <c r="C615" s="495" t="s">
        <v>10275</v>
      </c>
      <c r="D615" s="479" t="s">
        <v>460</v>
      </c>
      <c r="E615" s="249" t="str">
        <f>UPPER(IF($D615=0,"",IF($A615=4,_xlfn.XLOOKUP($D615,Mercado!$C:$C,Mercado!$E:$E),_xlfn.XLOOKUP($D615,Fontes!$B:$B,Fontes!$C:$C))))</f>
        <v>SETOP</v>
      </c>
      <c r="F615" s="327" t="s">
        <v>461</v>
      </c>
      <c r="G615" s="249" t="str">
        <f>UPPER(IF($D615=0,"",IF($A615=4,_xlfn.XLOOKUP($D615,Mercado!$C:$C,Mercado!$G:$G),_xlfn.XLOOKUP($D615,Fontes!$B:$B,Fontes!$E:$E))))</f>
        <v>UN</v>
      </c>
      <c r="H615" s="252">
        <v>6</v>
      </c>
      <c r="I615" s="252">
        <f>IF($A615="M",_xlfn.XLOOKUP($D615,Mercado!$C:$C,Mercado!$I:$I),_xlfn.XLOOKUP($D615,Fontes!$B:$B,Fontes!$J:$J))</f>
        <v>8.61</v>
      </c>
      <c r="J615" s="252">
        <f>IF($A615="M",_xlfn.XLOOKUP($D615,Mercado!$C:$C,Mercado!$J:$J),_xlfn.XLOOKUP($D615,Fontes!$B:$B,Fontes!$H:$H))</f>
        <v>9.0399999999999991</v>
      </c>
      <c r="K615" s="252">
        <f>IF($A615="M",0,_xlfn.XLOOKUP($D615,Fontes!$B:$B,Fontes!$I:$I))</f>
        <v>0</v>
      </c>
      <c r="L615" s="250">
        <f t="shared" si="76"/>
        <v>17.649999999999999</v>
      </c>
      <c r="M615" s="300">
        <f t="shared" si="77"/>
        <v>105.9</v>
      </c>
      <c r="O615" s="517">
        <f t="shared" si="78"/>
        <v>105.9</v>
      </c>
    </row>
    <row r="616" spans="1:15" ht="57.6" outlineLevel="3" x14ac:dyDescent="0.3">
      <c r="A616" s="35"/>
      <c r="B616" s="36"/>
      <c r="C616" s="495" t="s">
        <v>10276</v>
      </c>
      <c r="D616" s="479">
        <v>95745</v>
      </c>
      <c r="E616" s="249" t="str">
        <f>UPPER(IF($D616=0,"",IF($A616=4,_xlfn.XLOOKUP($D616,Mercado!$C:$C,Mercado!$E:$E),_xlfn.XLOOKUP($D616,Fontes!$B:$B,Fontes!$C:$C))))</f>
        <v>SINAPI</v>
      </c>
      <c r="F616" s="327" t="s">
        <v>21</v>
      </c>
      <c r="G616" s="249" t="str">
        <f>UPPER(IF($D616=0,"",IF($A616=4,_xlfn.XLOOKUP($D616,Mercado!$C:$C,Mercado!$G:$G),_xlfn.XLOOKUP($D616,Fontes!$B:$B,Fontes!$E:$E))))</f>
        <v>M</v>
      </c>
      <c r="H616" s="252">
        <v>18</v>
      </c>
      <c r="I616" s="252">
        <f>IF($A616="M",_xlfn.XLOOKUP($D616,Mercado!$C:$C,Mercado!$I:$I),_xlfn.XLOOKUP($D616,Fontes!$B:$B,Fontes!$J:$J))</f>
        <v>16.95</v>
      </c>
      <c r="J616" s="252">
        <f>IF($A616="M",_xlfn.XLOOKUP($D616,Mercado!$C:$C,Mercado!$J:$J),_xlfn.XLOOKUP($D616,Fontes!$B:$B,Fontes!$H:$H))</f>
        <v>14.14</v>
      </c>
      <c r="K616" s="252">
        <f>IF($A616="M",0,_xlfn.XLOOKUP($D616,Fontes!$B:$B,Fontes!$I:$I))</f>
        <v>1.05</v>
      </c>
      <c r="L616" s="250">
        <f t="shared" si="76"/>
        <v>32.14</v>
      </c>
      <c r="M616" s="300">
        <f t="shared" si="77"/>
        <v>578.52</v>
      </c>
      <c r="O616" s="517">
        <f t="shared" si="78"/>
        <v>578.52</v>
      </c>
    </row>
    <row r="617" spans="1:15" ht="38.4" outlineLevel="3" x14ac:dyDescent="0.3">
      <c r="A617" s="35"/>
      <c r="B617" s="36"/>
      <c r="C617" s="495" t="s">
        <v>10277</v>
      </c>
      <c r="D617" s="479" t="s">
        <v>454</v>
      </c>
      <c r="E617" s="249" t="str">
        <f>UPPER(IF($D617=0,"",IF($A617=4,_xlfn.XLOOKUP($D617,Mercado!$C:$C,Mercado!$E:$E),_xlfn.XLOOKUP($D617,Fontes!$B:$B,Fontes!$C:$C))))</f>
        <v>EMBASA</v>
      </c>
      <c r="F617" s="327" t="s">
        <v>456</v>
      </c>
      <c r="G617" s="249" t="str">
        <f>UPPER(IF($D617=0,"",IF($A617=4,_xlfn.XLOOKUP($D617,Mercado!$C:$C,Mercado!$G:$G),_xlfn.XLOOKUP($D617,Fontes!$B:$B,Fontes!$E:$E))))</f>
        <v>UN</v>
      </c>
      <c r="H617" s="252">
        <v>12</v>
      </c>
      <c r="I617" s="252">
        <f>IF($A617="M",_xlfn.XLOOKUP($D617,Mercado!$C:$C,Mercado!$I:$I),_xlfn.XLOOKUP($D617,Fontes!$B:$B,Fontes!$J:$J))</f>
        <v>0.01</v>
      </c>
      <c r="J617" s="252">
        <f>IF($A617="M",_xlfn.XLOOKUP($D617,Mercado!$C:$C,Mercado!$J:$J),_xlfn.XLOOKUP($D617,Fontes!$B:$B,Fontes!$H:$H))</f>
        <v>1.45</v>
      </c>
      <c r="K617" s="252">
        <f>IF($A617="M",0,_xlfn.XLOOKUP($D617,Fontes!$B:$B,Fontes!$I:$I))</f>
        <v>0</v>
      </c>
      <c r="L617" s="250">
        <f t="shared" si="76"/>
        <v>1.46</v>
      </c>
      <c r="M617" s="300">
        <f t="shared" si="77"/>
        <v>17.52</v>
      </c>
      <c r="O617" s="517">
        <f t="shared" si="78"/>
        <v>17.52</v>
      </c>
    </row>
    <row r="618" spans="1:15" outlineLevel="3" x14ac:dyDescent="0.3">
      <c r="A618" s="35"/>
      <c r="B618" s="36"/>
      <c r="C618" s="495" t="s">
        <v>10278</v>
      </c>
      <c r="D618" s="479">
        <v>61972</v>
      </c>
      <c r="E618" s="249" t="str">
        <f>UPPER(IF($D618=0,"",IF($A618=4,_xlfn.XLOOKUP($D618,Mercado!$C:$C,Mercado!$E:$E),_xlfn.XLOOKUP($D618,Fontes!$B:$B,Fontes!$C:$C))))</f>
        <v>SBC</v>
      </c>
      <c r="F618" s="327" t="s">
        <v>459</v>
      </c>
      <c r="G618" s="249" t="str">
        <f>UPPER(IF($D618=0,"",IF($A618=4,_xlfn.XLOOKUP($D618,Mercado!$C:$C,Mercado!$G:$G),_xlfn.XLOOKUP($D618,Fontes!$B:$B,Fontes!$E:$E))))</f>
        <v>UN</v>
      </c>
      <c r="H618" s="252">
        <v>6</v>
      </c>
      <c r="I618" s="252">
        <f>IF($A618="M",_xlfn.XLOOKUP($D618,Mercado!$C:$C,Mercado!$I:$I),_xlfn.XLOOKUP($D618,Fontes!$B:$B,Fontes!$J:$J))</f>
        <v>104.3</v>
      </c>
      <c r="J618" s="252">
        <f>IF($A618="M",_xlfn.XLOOKUP($D618,Mercado!$C:$C,Mercado!$J:$J),_xlfn.XLOOKUP($D618,Fontes!$B:$B,Fontes!$H:$H))</f>
        <v>86.13</v>
      </c>
      <c r="K618" s="252">
        <f>IF($A618="M",0,_xlfn.XLOOKUP($D618,Fontes!$B:$B,Fontes!$I:$I))</f>
        <v>7.62</v>
      </c>
      <c r="L618" s="250">
        <f t="shared" si="76"/>
        <v>198.05</v>
      </c>
      <c r="M618" s="300">
        <f t="shared" si="77"/>
        <v>1188.3</v>
      </c>
      <c r="O618" s="517">
        <f t="shared" si="78"/>
        <v>1188.3</v>
      </c>
    </row>
    <row r="619" spans="1:15" ht="57.6" outlineLevel="3" x14ac:dyDescent="0.3">
      <c r="A619" s="35"/>
      <c r="B619" s="36"/>
      <c r="C619" s="495" t="s">
        <v>10279</v>
      </c>
      <c r="D619" s="479" t="s">
        <v>460</v>
      </c>
      <c r="E619" s="249" t="str">
        <f>UPPER(IF($D619=0,"",IF($A619=4,_xlfn.XLOOKUP($D619,Mercado!$C:$C,Mercado!$E:$E),_xlfn.XLOOKUP($D619,Fontes!$B:$B,Fontes!$C:$C))))</f>
        <v>SETOP</v>
      </c>
      <c r="F619" s="327" t="s">
        <v>461</v>
      </c>
      <c r="G619" s="249" t="str">
        <f>UPPER(IF($D619=0,"",IF($A619=4,_xlfn.XLOOKUP($D619,Mercado!$C:$C,Mercado!$G:$G),_xlfn.XLOOKUP($D619,Fontes!$B:$B,Fontes!$E:$E))))</f>
        <v>UN</v>
      </c>
      <c r="H619" s="252">
        <v>6</v>
      </c>
      <c r="I619" s="252">
        <f>IF($A619="M",_xlfn.XLOOKUP($D619,Mercado!$C:$C,Mercado!$I:$I),_xlfn.XLOOKUP($D619,Fontes!$B:$B,Fontes!$J:$J))</f>
        <v>8.61</v>
      </c>
      <c r="J619" s="252">
        <f>IF($A619="M",_xlfn.XLOOKUP($D619,Mercado!$C:$C,Mercado!$J:$J),_xlfn.XLOOKUP($D619,Fontes!$B:$B,Fontes!$H:$H))</f>
        <v>9.0399999999999991</v>
      </c>
      <c r="K619" s="252">
        <f>IF($A619="M",0,_xlfn.XLOOKUP($D619,Fontes!$B:$B,Fontes!$I:$I))</f>
        <v>0</v>
      </c>
      <c r="L619" s="250">
        <f t="shared" si="76"/>
        <v>17.649999999999999</v>
      </c>
      <c r="M619" s="300">
        <f t="shared" si="77"/>
        <v>105.9</v>
      </c>
      <c r="O619" s="517">
        <f t="shared" si="78"/>
        <v>105.9</v>
      </c>
    </row>
    <row r="620" spans="1:15" ht="57.6" outlineLevel="3" x14ac:dyDescent="0.3">
      <c r="A620" s="35"/>
      <c r="B620" s="36"/>
      <c r="C620" s="495" t="s">
        <v>10280</v>
      </c>
      <c r="D620" s="479">
        <v>95745</v>
      </c>
      <c r="E620" s="249" t="str">
        <f>UPPER(IF($D620=0,"",IF($A620=4,_xlfn.XLOOKUP($D620,Mercado!$C:$C,Mercado!$E:$E),_xlfn.XLOOKUP($D620,Fontes!$B:$B,Fontes!$C:$C))))</f>
        <v>SINAPI</v>
      </c>
      <c r="F620" s="327" t="s">
        <v>21</v>
      </c>
      <c r="G620" s="249" t="str">
        <f>UPPER(IF($D620=0,"",IF($A620=4,_xlfn.XLOOKUP($D620,Mercado!$C:$C,Mercado!$G:$G),_xlfn.XLOOKUP($D620,Fontes!$B:$B,Fontes!$E:$E))))</f>
        <v>M</v>
      </c>
      <c r="H620" s="252">
        <v>144</v>
      </c>
      <c r="I620" s="252">
        <f>IF($A620="M",_xlfn.XLOOKUP($D620,Mercado!$C:$C,Mercado!$I:$I),_xlfn.XLOOKUP($D620,Fontes!$B:$B,Fontes!$J:$J))</f>
        <v>16.95</v>
      </c>
      <c r="J620" s="252">
        <f>IF($A620="M",_xlfn.XLOOKUP($D620,Mercado!$C:$C,Mercado!$J:$J),_xlfn.XLOOKUP($D620,Fontes!$B:$B,Fontes!$H:$H))</f>
        <v>14.14</v>
      </c>
      <c r="K620" s="252">
        <f>IF($A620="M",0,_xlfn.XLOOKUP($D620,Fontes!$B:$B,Fontes!$I:$I))</f>
        <v>1.05</v>
      </c>
      <c r="L620" s="250">
        <f t="shared" si="76"/>
        <v>32.14</v>
      </c>
      <c r="M620" s="300">
        <f t="shared" si="77"/>
        <v>4628.16</v>
      </c>
      <c r="O620" s="517">
        <f t="shared" si="78"/>
        <v>4628.16</v>
      </c>
    </row>
    <row r="621" spans="1:15" ht="38.4" outlineLevel="3" x14ac:dyDescent="0.3">
      <c r="A621" s="35"/>
      <c r="B621" s="36"/>
      <c r="C621" s="495" t="s">
        <v>10281</v>
      </c>
      <c r="D621" s="479" t="s">
        <v>454</v>
      </c>
      <c r="E621" s="249" t="str">
        <f>UPPER(IF($D621=0,"",IF($A621=4,_xlfn.XLOOKUP($D621,Mercado!$C:$C,Mercado!$E:$E),_xlfn.XLOOKUP($D621,Fontes!$B:$B,Fontes!$C:$C))))</f>
        <v>EMBASA</v>
      </c>
      <c r="F621" s="327" t="s">
        <v>456</v>
      </c>
      <c r="G621" s="249" t="str">
        <f>UPPER(IF($D621=0,"",IF($A621=4,_xlfn.XLOOKUP($D621,Mercado!$C:$C,Mercado!$G:$G),_xlfn.XLOOKUP($D621,Fontes!$B:$B,Fontes!$E:$E))))</f>
        <v>UN</v>
      </c>
      <c r="H621" s="252">
        <v>72</v>
      </c>
      <c r="I621" s="252">
        <f>IF($A621="M",_xlfn.XLOOKUP($D621,Mercado!$C:$C,Mercado!$I:$I),_xlfn.XLOOKUP($D621,Fontes!$B:$B,Fontes!$J:$J))</f>
        <v>0.01</v>
      </c>
      <c r="J621" s="252">
        <f>IF($A621="M",_xlfn.XLOOKUP($D621,Mercado!$C:$C,Mercado!$J:$J),_xlfn.XLOOKUP($D621,Fontes!$B:$B,Fontes!$H:$H))</f>
        <v>1.45</v>
      </c>
      <c r="K621" s="252">
        <f>IF($A621="M",0,_xlfn.XLOOKUP($D621,Fontes!$B:$B,Fontes!$I:$I))</f>
        <v>0</v>
      </c>
      <c r="L621" s="250">
        <f t="shared" si="76"/>
        <v>1.46</v>
      </c>
      <c r="M621" s="300">
        <f t="shared" si="77"/>
        <v>105.12</v>
      </c>
      <c r="O621" s="517">
        <f t="shared" si="78"/>
        <v>105.12</v>
      </c>
    </row>
    <row r="622" spans="1:15" outlineLevel="3" x14ac:dyDescent="0.3">
      <c r="A622" s="35"/>
      <c r="B622" s="36"/>
      <c r="C622" s="495" t="s">
        <v>10282</v>
      </c>
      <c r="D622" s="479" t="s">
        <v>1842</v>
      </c>
      <c r="E622" s="249" t="str">
        <f>UPPER(IF($D622=0,"",IF($A622=4,_xlfn.XLOOKUP($D622,Mercado!$C:$C,Mercado!$E:$E),_xlfn.XLOOKUP($D622,Fontes!$B:$B,Fontes!$C:$C))))</f>
        <v>CPOS/CDHU</v>
      </c>
      <c r="F622" s="327" t="s">
        <v>3594</v>
      </c>
      <c r="G622" s="249" t="str">
        <f>UPPER(IF($D622=0,"",IF($A622=4,_xlfn.XLOOKUP($D622,Mercado!$C:$C,Mercado!$G:$G),_xlfn.XLOOKUP($D622,Fontes!$B:$B,Fontes!$E:$E))))</f>
        <v>UN</v>
      </c>
      <c r="H622" s="252">
        <v>6</v>
      </c>
      <c r="I622" s="252">
        <f>IF($A622="M",_xlfn.XLOOKUP($D622,Mercado!$C:$C,Mercado!$I:$I),_xlfn.XLOOKUP($D622,Fontes!$B:$B,Fontes!$J:$J))</f>
        <v>457.28</v>
      </c>
      <c r="J622" s="252">
        <f>IF($A622="M",_xlfn.XLOOKUP($D622,Mercado!$C:$C,Mercado!$J:$J),_xlfn.XLOOKUP($D622,Fontes!$B:$B,Fontes!$H:$H))</f>
        <v>16.75</v>
      </c>
      <c r="K622" s="252">
        <f>IF($A622="M",0,_xlfn.XLOOKUP($D622,Fontes!$B:$B,Fontes!$I:$I))</f>
        <v>0</v>
      </c>
      <c r="L622" s="250">
        <f t="shared" si="76"/>
        <v>474.03</v>
      </c>
      <c r="M622" s="300">
        <f t="shared" si="77"/>
        <v>2844.18</v>
      </c>
      <c r="O622" s="517">
        <f t="shared" si="78"/>
        <v>2844.18</v>
      </c>
    </row>
    <row r="623" spans="1:15" outlineLevel="3" x14ac:dyDescent="0.3">
      <c r="A623" s="35"/>
      <c r="B623" s="36"/>
      <c r="C623" s="495" t="s">
        <v>10283</v>
      </c>
      <c r="D623" s="479">
        <v>9139</v>
      </c>
      <c r="E623" s="249" t="str">
        <f>UPPER(IF($D623=0,"",IF($A623=4,_xlfn.XLOOKUP($D623,Mercado!$C:$C,Mercado!$E:$E),_xlfn.XLOOKUP($D623,Fontes!$B:$B,Fontes!$C:$C))))</f>
        <v>ORSE</v>
      </c>
      <c r="F623" s="327" t="s">
        <v>3584</v>
      </c>
      <c r="G623" s="249" t="str">
        <f>UPPER(IF($D623=0,"",IF($A623=4,_xlfn.XLOOKUP($D623,Mercado!$C:$C,Mercado!$G:$G),_xlfn.XLOOKUP($D623,Fontes!$B:$B,Fontes!$E:$E))))</f>
        <v>UN</v>
      </c>
      <c r="H623" s="252">
        <v>6</v>
      </c>
      <c r="I623" s="252">
        <f>IF($A623="M",_xlfn.XLOOKUP($D623,Mercado!$C:$C,Mercado!$I:$I),_xlfn.XLOOKUP($D623,Fontes!$B:$B,Fontes!$J:$J))</f>
        <v>33.32</v>
      </c>
      <c r="J623" s="252">
        <f>IF($A623="M",_xlfn.XLOOKUP($D623,Mercado!$C:$C,Mercado!$J:$J),_xlfn.XLOOKUP($D623,Fontes!$B:$B,Fontes!$H:$H))</f>
        <v>14.42</v>
      </c>
      <c r="K623" s="252">
        <f>IF($A623="M",0,_xlfn.XLOOKUP($D623,Fontes!$B:$B,Fontes!$I:$I))</f>
        <v>0</v>
      </c>
      <c r="L623" s="250">
        <f t="shared" si="76"/>
        <v>47.74</v>
      </c>
      <c r="M623" s="300">
        <f t="shared" si="77"/>
        <v>286.44</v>
      </c>
      <c r="O623" s="517">
        <f t="shared" si="78"/>
        <v>286.44</v>
      </c>
    </row>
    <row r="624" spans="1:15" ht="57.6" outlineLevel="3" x14ac:dyDescent="0.3">
      <c r="A624" s="35"/>
      <c r="B624" s="36"/>
      <c r="C624" s="495" t="s">
        <v>10284</v>
      </c>
      <c r="D624" s="479">
        <v>97549</v>
      </c>
      <c r="E624" s="249" t="str">
        <f>UPPER(IF($D624=0,"",IF($A624=4,_xlfn.XLOOKUP($D624,Mercado!$C:$C,Mercado!$E:$E),_xlfn.XLOOKUP($D624,Fontes!$B:$B,Fontes!$C:$C))))</f>
        <v>SINAPI</v>
      </c>
      <c r="F624" s="327" t="s">
        <v>335</v>
      </c>
      <c r="G624" s="249" t="str">
        <f>UPPER(IF($D624=0,"",IF($A624=4,_xlfn.XLOOKUP($D624,Mercado!$C:$C,Mercado!$G:$G),_xlfn.XLOOKUP($D624,Fontes!$B:$B,Fontes!$E:$E))))</f>
        <v>UN</v>
      </c>
      <c r="H624" s="252">
        <v>12</v>
      </c>
      <c r="I624" s="252">
        <f>IF($A624="M",_xlfn.XLOOKUP($D624,Mercado!$C:$C,Mercado!$I:$I),_xlfn.XLOOKUP($D624,Fontes!$B:$B,Fontes!$J:$J))</f>
        <v>34.56</v>
      </c>
      <c r="J624" s="252">
        <f>IF($A624="M",_xlfn.XLOOKUP($D624,Mercado!$C:$C,Mercado!$J:$J),_xlfn.XLOOKUP($D624,Fontes!$B:$B,Fontes!$H:$H))</f>
        <v>25.81</v>
      </c>
      <c r="K624" s="252">
        <f>IF($A624="M",0,_xlfn.XLOOKUP($D624,Fontes!$B:$B,Fontes!$I:$I))</f>
        <v>2.13</v>
      </c>
      <c r="L624" s="250">
        <f t="shared" si="76"/>
        <v>62.500000000000007</v>
      </c>
      <c r="M624" s="300">
        <f t="shared" si="77"/>
        <v>750</v>
      </c>
      <c r="O624" s="517">
        <f t="shared" si="78"/>
        <v>750</v>
      </c>
    </row>
    <row r="625" spans="1:15" ht="57.6" outlineLevel="3" x14ac:dyDescent="0.3">
      <c r="A625" s="35"/>
      <c r="B625" s="36"/>
      <c r="C625" s="495" t="s">
        <v>10285</v>
      </c>
      <c r="D625" s="479">
        <v>95795</v>
      </c>
      <c r="E625" s="249" t="str">
        <f>UPPER(IF($D625=0,"",IF($A625=4,_xlfn.XLOOKUP($D625,Mercado!$C:$C,Mercado!$E:$E),_xlfn.XLOOKUP($D625,Fontes!$B:$B,Fontes!$C:$C))))</f>
        <v>SINAPI</v>
      </c>
      <c r="F625" s="327" t="s">
        <v>32</v>
      </c>
      <c r="G625" s="249" t="str">
        <f>UPPER(IF($D625=0,"",IF($A625=4,_xlfn.XLOOKUP($D625,Mercado!$C:$C,Mercado!$G:$G),_xlfn.XLOOKUP($D625,Fontes!$B:$B,Fontes!$E:$E))))</f>
        <v>UN</v>
      </c>
      <c r="H625" s="252">
        <v>12</v>
      </c>
      <c r="I625" s="252">
        <f>IF($A625="M",_xlfn.XLOOKUP($D625,Mercado!$C:$C,Mercado!$I:$I),_xlfn.XLOOKUP($D625,Fontes!$B:$B,Fontes!$J:$J))</f>
        <v>19.79</v>
      </c>
      <c r="J625" s="252">
        <f>IF($A625="M",_xlfn.XLOOKUP($D625,Mercado!$C:$C,Mercado!$J:$J),_xlfn.XLOOKUP($D625,Fontes!$B:$B,Fontes!$H:$H))</f>
        <v>20.85</v>
      </c>
      <c r="K625" s="252">
        <f>IF($A625="M",0,_xlfn.XLOOKUP($D625,Fontes!$B:$B,Fontes!$I:$I))</f>
        <v>1.77</v>
      </c>
      <c r="L625" s="250">
        <f t="shared" si="76"/>
        <v>42.410000000000004</v>
      </c>
      <c r="M625" s="300">
        <f t="shared" si="77"/>
        <v>508.92</v>
      </c>
      <c r="O625" s="517">
        <f t="shared" si="78"/>
        <v>508.92</v>
      </c>
    </row>
    <row r="626" spans="1:15" outlineLevel="3" x14ac:dyDescent="0.3">
      <c r="A626" s="35"/>
      <c r="B626" s="36"/>
      <c r="C626" s="495" t="s">
        <v>10286</v>
      </c>
      <c r="D626" s="479">
        <v>70938</v>
      </c>
      <c r="E626" s="249" t="str">
        <f>UPPER(IF($D626=0,"",IF($A626=4,_xlfn.XLOOKUP($D626,Mercado!$C:$C,Mercado!$E:$E),_xlfn.XLOOKUP($D626,Fontes!$B:$B,Fontes!$C:$C))))</f>
        <v>SBC</v>
      </c>
      <c r="F626" s="327" t="s">
        <v>462</v>
      </c>
      <c r="G626" s="249" t="str">
        <f>UPPER(IF($D626=0,"",IF($A626=4,_xlfn.XLOOKUP($D626,Mercado!$C:$C,Mercado!$G:$G),_xlfn.XLOOKUP($D626,Fontes!$B:$B,Fontes!$E:$E))))</f>
        <v>UN</v>
      </c>
      <c r="H626" s="252">
        <v>6</v>
      </c>
      <c r="I626" s="252">
        <f>IF($A626="M",_xlfn.XLOOKUP($D626,Mercado!$C:$C,Mercado!$I:$I),_xlfn.XLOOKUP($D626,Fontes!$B:$B,Fontes!$J:$J))</f>
        <v>32925.199999999997</v>
      </c>
      <c r="J626" s="252">
        <f>IF($A626="M",_xlfn.XLOOKUP($D626,Mercado!$C:$C,Mercado!$J:$J),_xlfn.XLOOKUP($D626,Fontes!$B:$B,Fontes!$H:$H))</f>
        <v>1948.45</v>
      </c>
      <c r="K626" s="252">
        <f>IF($A626="M",0,_xlfn.XLOOKUP($D626,Fontes!$B:$B,Fontes!$I:$I))</f>
        <v>172.2</v>
      </c>
      <c r="L626" s="250">
        <f t="shared" si="76"/>
        <v>35045.849999999991</v>
      </c>
      <c r="M626" s="300">
        <f t="shared" si="77"/>
        <v>210275.1</v>
      </c>
      <c r="O626" s="517">
        <f t="shared" si="78"/>
        <v>210275.1</v>
      </c>
    </row>
    <row r="627" spans="1:15" outlineLevel="3" x14ac:dyDescent="0.3">
      <c r="A627" s="35"/>
      <c r="B627" s="36"/>
      <c r="C627" s="495" t="s">
        <v>10287</v>
      </c>
      <c r="D627" s="479">
        <v>713</v>
      </c>
      <c r="E627" s="249" t="str">
        <f>UPPER(IF($D627=0,"",IF($A627=4,_xlfn.XLOOKUP($D627,Mercado!$C:$C,Mercado!$E:$E),_xlfn.XLOOKUP($D627,Fontes!$B:$B,Fontes!$C:$C))))</f>
        <v>PRÓPRIO</v>
      </c>
      <c r="F627" s="327" t="s">
        <v>3595</v>
      </c>
      <c r="G627" s="249" t="str">
        <f>UPPER(IF($D627=0,"",IF($A627=4,_xlfn.XLOOKUP($D627,Mercado!$C:$C,Mercado!$G:$G),_xlfn.XLOOKUP($D627,Fontes!$B:$B,Fontes!$E:$E))))</f>
        <v>UN</v>
      </c>
      <c r="H627" s="252">
        <v>5</v>
      </c>
      <c r="I627" s="252">
        <f>IF($A627="M",_xlfn.XLOOKUP($D627,Mercado!$C:$C,Mercado!$I:$I),_xlfn.XLOOKUP($D627,Fontes!$B:$B,Fontes!$J:$J))</f>
        <v>222.45</v>
      </c>
      <c r="J627" s="252">
        <f>IF($A627="M",_xlfn.XLOOKUP($D627,Mercado!$C:$C,Mercado!$J:$J),_xlfn.XLOOKUP($D627,Fontes!$B:$B,Fontes!$H:$H))</f>
        <v>257.08</v>
      </c>
      <c r="K627" s="252">
        <f>IF($A627="M",0,_xlfn.XLOOKUP($D627,Fontes!$B:$B,Fontes!$I:$I))</f>
        <v>0</v>
      </c>
      <c r="L627" s="250">
        <f t="shared" si="76"/>
        <v>479.53</v>
      </c>
      <c r="M627" s="300">
        <f t="shared" si="77"/>
        <v>2397.65</v>
      </c>
      <c r="O627" s="517">
        <f t="shared" si="78"/>
        <v>2397.65</v>
      </c>
    </row>
    <row r="628" spans="1:15" ht="38.4" outlineLevel="3" x14ac:dyDescent="0.3">
      <c r="A628" s="35"/>
      <c r="B628" s="36"/>
      <c r="C628" s="495" t="s">
        <v>10288</v>
      </c>
      <c r="D628" s="479" t="s">
        <v>1807</v>
      </c>
      <c r="E628" s="249" t="str">
        <f>UPPER(IF($D628=0,"",IF($A628=4,_xlfn.XLOOKUP($D628,Mercado!$C:$C,Mercado!$E:$E),_xlfn.XLOOKUP($D628,Fontes!$B:$B,Fontes!$C:$C))))</f>
        <v>CPOS/CDHU</v>
      </c>
      <c r="F628" s="327" t="s">
        <v>3596</v>
      </c>
      <c r="G628" s="249" t="str">
        <f>UPPER(IF($D628=0,"",IF($A628=4,_xlfn.XLOOKUP($D628,Mercado!$C:$C,Mercado!$G:$G),_xlfn.XLOOKUP($D628,Fontes!$B:$B,Fontes!$E:$E))))</f>
        <v>UN</v>
      </c>
      <c r="H628" s="252">
        <v>5</v>
      </c>
      <c r="I628" s="252">
        <f>IF($A628="M",_xlfn.XLOOKUP($D628,Mercado!$C:$C,Mercado!$I:$I),_xlfn.XLOOKUP($D628,Fontes!$B:$B,Fontes!$J:$J))</f>
        <v>80.900000000000006</v>
      </c>
      <c r="J628" s="252">
        <f>IF($A628="M",_xlfn.XLOOKUP($D628,Mercado!$C:$C,Mercado!$J:$J),_xlfn.XLOOKUP($D628,Fontes!$B:$B,Fontes!$H:$H))</f>
        <v>16.75</v>
      </c>
      <c r="K628" s="252">
        <f>IF($A628="M",0,_xlfn.XLOOKUP($D628,Fontes!$B:$B,Fontes!$I:$I))</f>
        <v>0</v>
      </c>
      <c r="L628" s="250">
        <f t="shared" si="76"/>
        <v>97.65</v>
      </c>
      <c r="M628" s="300">
        <f t="shared" si="77"/>
        <v>488.25</v>
      </c>
      <c r="O628" s="517">
        <f t="shared" si="78"/>
        <v>488.25</v>
      </c>
    </row>
    <row r="629" spans="1:15" ht="57.6" outlineLevel="3" x14ac:dyDescent="0.3">
      <c r="A629" s="35"/>
      <c r="B629" s="36"/>
      <c r="C629" s="495" t="s">
        <v>10289</v>
      </c>
      <c r="D629" s="479">
        <v>95745</v>
      </c>
      <c r="E629" s="249" t="str">
        <f>UPPER(IF($D629=0,"",IF($A629=4,_xlfn.XLOOKUP($D629,Mercado!$C:$C,Mercado!$E:$E),_xlfn.XLOOKUP($D629,Fontes!$B:$B,Fontes!$C:$C))))</f>
        <v>SINAPI</v>
      </c>
      <c r="F629" s="327" t="s">
        <v>21</v>
      </c>
      <c r="G629" s="249" t="str">
        <f>UPPER(IF($D629=0,"",IF($A629=4,_xlfn.XLOOKUP($D629,Mercado!$C:$C,Mercado!$G:$G),_xlfn.XLOOKUP($D629,Fontes!$B:$B,Fontes!$E:$E))))</f>
        <v>M</v>
      </c>
      <c r="H629" s="252">
        <v>60</v>
      </c>
      <c r="I629" s="252">
        <f>IF($A629="M",_xlfn.XLOOKUP($D629,Mercado!$C:$C,Mercado!$I:$I),_xlfn.XLOOKUP($D629,Fontes!$B:$B,Fontes!$J:$J))</f>
        <v>16.95</v>
      </c>
      <c r="J629" s="252">
        <f>IF($A629="M",_xlfn.XLOOKUP($D629,Mercado!$C:$C,Mercado!$J:$J),_xlfn.XLOOKUP($D629,Fontes!$B:$B,Fontes!$H:$H))</f>
        <v>14.14</v>
      </c>
      <c r="K629" s="252">
        <f>IF($A629="M",0,_xlfn.XLOOKUP($D629,Fontes!$B:$B,Fontes!$I:$I))</f>
        <v>1.05</v>
      </c>
      <c r="L629" s="250">
        <f t="shared" si="76"/>
        <v>32.14</v>
      </c>
      <c r="M629" s="300">
        <f t="shared" si="77"/>
        <v>1928.4</v>
      </c>
      <c r="O629" s="517">
        <f t="shared" si="78"/>
        <v>1928.4</v>
      </c>
    </row>
    <row r="630" spans="1:15" ht="57.6" outlineLevel="3" x14ac:dyDescent="0.3">
      <c r="A630" s="35"/>
      <c r="B630" s="36"/>
      <c r="C630" s="495" t="s">
        <v>10290</v>
      </c>
      <c r="D630" s="487">
        <v>11304</v>
      </c>
      <c r="E630" s="249" t="str">
        <f>UPPER(IF($D630=0,"",IF($A630=4,_xlfn.XLOOKUP($D630,Mercado!$C:$C,Mercado!$E:$E),_xlfn.XLOOKUP($D630,Fontes!$B:$B,Fontes!$C:$C))))</f>
        <v>ORSE</v>
      </c>
      <c r="F630" s="327" t="s">
        <v>3589</v>
      </c>
      <c r="G630" s="249" t="str">
        <f>UPPER(IF($D630=0,"",IF($A630=4,_xlfn.XLOOKUP($D630,Mercado!$C:$C,Mercado!$G:$G),_xlfn.XLOOKUP($D630,Fontes!$B:$B,Fontes!$E:$E))))</f>
        <v>UN</v>
      </c>
      <c r="H630" s="252">
        <v>55</v>
      </c>
      <c r="I630" s="252">
        <f>IF($A630="M",_xlfn.XLOOKUP($D630,Mercado!$C:$C,Mercado!$I:$I),_xlfn.XLOOKUP($D630,Fontes!$B:$B,Fontes!$J:$J))</f>
        <v>3.38</v>
      </c>
      <c r="J630" s="252">
        <f>IF($A630="M",_xlfn.XLOOKUP($D630,Mercado!$C:$C,Mercado!$J:$J),_xlfn.XLOOKUP($D630,Fontes!$B:$B,Fontes!$H:$H))</f>
        <v>1.1499999999999999</v>
      </c>
      <c r="K630" s="252">
        <f>IF($A630="M",0,_xlfn.XLOOKUP($D630,Fontes!$B:$B,Fontes!$I:$I))</f>
        <v>0</v>
      </c>
      <c r="L630" s="250">
        <f t="shared" si="76"/>
        <v>4.5299999999999994</v>
      </c>
      <c r="M630" s="300">
        <f t="shared" si="77"/>
        <v>249.15</v>
      </c>
      <c r="O630" s="517">
        <f t="shared" si="78"/>
        <v>249.15</v>
      </c>
    </row>
    <row r="631" spans="1:15" ht="57.6" outlineLevel="3" x14ac:dyDescent="0.3">
      <c r="A631" s="35"/>
      <c r="B631" s="36"/>
      <c r="C631" s="495" t="s">
        <v>10291</v>
      </c>
      <c r="D631" s="479">
        <v>97549</v>
      </c>
      <c r="E631" s="249" t="str">
        <f>UPPER(IF($D631=0,"",IF($A631=4,_xlfn.XLOOKUP($D631,Mercado!$C:$C,Mercado!$E:$E),_xlfn.XLOOKUP($D631,Fontes!$B:$B,Fontes!$C:$C))))</f>
        <v>SINAPI</v>
      </c>
      <c r="F631" s="327" t="s">
        <v>335</v>
      </c>
      <c r="G631" s="249" t="str">
        <f>UPPER(IF($D631=0,"",IF($A631=4,_xlfn.XLOOKUP($D631,Mercado!$C:$C,Mercado!$G:$G),_xlfn.XLOOKUP($D631,Fontes!$B:$B,Fontes!$E:$E))))</f>
        <v>UN</v>
      </c>
      <c r="H631" s="252">
        <v>5</v>
      </c>
      <c r="I631" s="252">
        <f>IF($A631="M",_xlfn.XLOOKUP($D631,Mercado!$C:$C,Mercado!$I:$I),_xlfn.XLOOKUP($D631,Fontes!$B:$B,Fontes!$J:$J))</f>
        <v>34.56</v>
      </c>
      <c r="J631" s="252">
        <f>IF($A631="M",_xlfn.XLOOKUP($D631,Mercado!$C:$C,Mercado!$J:$J),_xlfn.XLOOKUP($D631,Fontes!$B:$B,Fontes!$H:$H))</f>
        <v>25.81</v>
      </c>
      <c r="K631" s="252">
        <f>IF($A631="M",0,_xlfn.XLOOKUP($D631,Fontes!$B:$B,Fontes!$I:$I))</f>
        <v>2.13</v>
      </c>
      <c r="L631" s="250">
        <f t="shared" si="76"/>
        <v>62.500000000000007</v>
      </c>
      <c r="M631" s="300">
        <f t="shared" si="77"/>
        <v>312.5</v>
      </c>
      <c r="O631" s="517">
        <f t="shared" si="78"/>
        <v>312.5</v>
      </c>
    </row>
    <row r="632" spans="1:15" ht="57.6" outlineLevel="3" x14ac:dyDescent="0.3">
      <c r="A632" s="35"/>
      <c r="B632" s="36"/>
      <c r="C632" s="495" t="s">
        <v>10292</v>
      </c>
      <c r="D632" s="479">
        <v>95796</v>
      </c>
      <c r="E632" s="249" t="str">
        <f>UPPER(IF($D632=0,"",IF($A632=4,_xlfn.XLOOKUP($D632,Mercado!$C:$C,Mercado!$E:$E),_xlfn.XLOOKUP($D632,Fontes!$B:$B,Fontes!$C:$C))))</f>
        <v>SINAPI</v>
      </c>
      <c r="F632" s="327" t="s">
        <v>33</v>
      </c>
      <c r="G632" s="249" t="str">
        <f>UPPER(IF($D632=0,"",IF($A632=4,_xlfn.XLOOKUP($D632,Mercado!$C:$C,Mercado!$G:$G),_xlfn.XLOOKUP($D632,Fontes!$B:$B,Fontes!$E:$E))))</f>
        <v>UN</v>
      </c>
      <c r="H632" s="252">
        <v>15</v>
      </c>
      <c r="I632" s="252">
        <f>IF($A632="M",_xlfn.XLOOKUP($D632,Mercado!$C:$C,Mercado!$I:$I),_xlfn.XLOOKUP($D632,Fontes!$B:$B,Fontes!$J:$J))</f>
        <v>28.39</v>
      </c>
      <c r="J632" s="252">
        <f>IF($A632="M",_xlfn.XLOOKUP($D632,Mercado!$C:$C,Mercado!$J:$J),_xlfn.XLOOKUP($D632,Fontes!$B:$B,Fontes!$H:$H))</f>
        <v>21.49</v>
      </c>
      <c r="K632" s="252">
        <f>IF($A632="M",0,_xlfn.XLOOKUP($D632,Fontes!$B:$B,Fontes!$I:$I))</f>
        <v>1.82</v>
      </c>
      <c r="L632" s="250">
        <f t="shared" si="76"/>
        <v>51.699999999999996</v>
      </c>
      <c r="M632" s="300">
        <f t="shared" si="77"/>
        <v>775.5</v>
      </c>
      <c r="O632" s="517">
        <f t="shared" si="78"/>
        <v>775.5</v>
      </c>
    </row>
    <row r="633" spans="1:15" outlineLevel="3" x14ac:dyDescent="0.3">
      <c r="A633" s="35"/>
      <c r="B633" s="36"/>
      <c r="C633" s="495" t="s">
        <v>10293</v>
      </c>
      <c r="D633" s="479">
        <v>8466</v>
      </c>
      <c r="E633" s="249" t="str">
        <f>UPPER(IF($D633=0,"",IF($A633=4,_xlfn.XLOOKUP($D633,Mercado!$C:$C,Mercado!$E:$E),_xlfn.XLOOKUP($D633,Fontes!$B:$B,Fontes!$C:$C))))</f>
        <v>ORSE</v>
      </c>
      <c r="F633" s="327" t="s">
        <v>3597</v>
      </c>
      <c r="G633" s="249" t="str">
        <f>UPPER(IF($D633=0,"",IF($A633=4,_xlfn.XLOOKUP($D633,Mercado!$C:$C,Mercado!$G:$G),_xlfn.XLOOKUP($D633,Fontes!$B:$B,Fontes!$E:$E))))</f>
        <v>M</v>
      </c>
      <c r="H633" s="252">
        <v>15</v>
      </c>
      <c r="I633" s="252">
        <f>IF($A633="M",_xlfn.XLOOKUP($D633,Mercado!$C:$C,Mercado!$I:$I),_xlfn.XLOOKUP($D633,Fontes!$B:$B,Fontes!$J:$J))</f>
        <v>5.22</v>
      </c>
      <c r="J633" s="252">
        <f>IF($A633="M",_xlfn.XLOOKUP($D633,Mercado!$C:$C,Mercado!$J:$J),_xlfn.XLOOKUP($D633,Fontes!$B:$B,Fontes!$H:$H))</f>
        <v>4.32</v>
      </c>
      <c r="K633" s="252">
        <f>IF($A633="M",0,_xlfn.XLOOKUP($D633,Fontes!$B:$B,Fontes!$I:$I))</f>
        <v>0</v>
      </c>
      <c r="L633" s="250">
        <f t="shared" si="76"/>
        <v>9.5399999999999991</v>
      </c>
      <c r="M633" s="300">
        <f t="shared" si="77"/>
        <v>143.1</v>
      </c>
      <c r="O633" s="517">
        <f t="shared" si="78"/>
        <v>143.1</v>
      </c>
    </row>
    <row r="634" spans="1:15" outlineLevel="3" x14ac:dyDescent="0.3">
      <c r="A634" s="35"/>
      <c r="B634" s="36"/>
      <c r="C634" s="495" t="s">
        <v>10294</v>
      </c>
      <c r="D634" s="479">
        <v>4202</v>
      </c>
      <c r="E634" s="249" t="str">
        <f>UPPER(IF($D634=0,"",IF($A634=4,_xlfn.XLOOKUP($D634,Mercado!$C:$C,Mercado!$E:$E),_xlfn.XLOOKUP($D634,Fontes!$B:$B,Fontes!$C:$C))))</f>
        <v>ORSE</v>
      </c>
      <c r="F634" s="327" t="s">
        <v>3598</v>
      </c>
      <c r="G634" s="249" t="str">
        <f>UPPER(IF($D634=0,"",IF($A634=4,_xlfn.XLOOKUP($D634,Mercado!$C:$C,Mercado!$G:$G),_xlfn.XLOOKUP($D634,Fontes!$B:$B,Fontes!$E:$E))))</f>
        <v>UN</v>
      </c>
      <c r="H634" s="252">
        <v>10</v>
      </c>
      <c r="I634" s="252">
        <f>IF($A634="M",_xlfn.XLOOKUP($D634,Mercado!$C:$C,Mercado!$I:$I),_xlfn.XLOOKUP($D634,Fontes!$B:$B,Fontes!$J:$J))</f>
        <v>2.4</v>
      </c>
      <c r="J634" s="252">
        <f>IF($A634="M",_xlfn.XLOOKUP($D634,Mercado!$C:$C,Mercado!$J:$J),_xlfn.XLOOKUP($D634,Fontes!$B:$B,Fontes!$H:$H))</f>
        <v>0</v>
      </c>
      <c r="K634" s="252">
        <f>IF($A634="M",0,_xlfn.XLOOKUP($D634,Fontes!$B:$B,Fontes!$I:$I))</f>
        <v>0</v>
      </c>
      <c r="L634" s="250">
        <f t="shared" si="76"/>
        <v>2.4</v>
      </c>
      <c r="M634" s="300">
        <f t="shared" si="77"/>
        <v>24</v>
      </c>
      <c r="O634" s="517">
        <f t="shared" si="78"/>
        <v>24</v>
      </c>
    </row>
    <row r="635" spans="1:15" ht="38.4" outlineLevel="3" x14ac:dyDescent="0.3">
      <c r="A635" s="35"/>
      <c r="B635" s="36"/>
      <c r="C635" s="495" t="s">
        <v>10295</v>
      </c>
      <c r="D635" s="479">
        <v>58110</v>
      </c>
      <c r="E635" s="249" t="str">
        <f>UPPER(IF($D635=0,"",IF($A635=4,_xlfn.XLOOKUP($D635,Mercado!$C:$C,Mercado!$E:$E),_xlfn.XLOOKUP($D635,Fontes!$B:$B,Fontes!$C:$C))))</f>
        <v>SBC</v>
      </c>
      <c r="F635" s="327" t="s">
        <v>463</v>
      </c>
      <c r="G635" s="249" t="str">
        <f>UPPER(IF($D635=0,"",IF($A635=4,_xlfn.XLOOKUP($D635,Mercado!$C:$C,Mercado!$G:$G),_xlfn.XLOOKUP($D635,Fontes!$B:$B,Fontes!$E:$E))))</f>
        <v>UN</v>
      </c>
      <c r="H635" s="252">
        <v>1</v>
      </c>
      <c r="I635" s="252">
        <f>IF($A635="M",_xlfn.XLOOKUP($D635,Mercado!$C:$C,Mercado!$I:$I),_xlfn.XLOOKUP($D635,Fontes!$B:$B,Fontes!$J:$J))</f>
        <v>2019.99</v>
      </c>
      <c r="J635" s="252">
        <f>IF($A635="M",_xlfn.XLOOKUP($D635,Mercado!$C:$C,Mercado!$J:$J),_xlfn.XLOOKUP($D635,Fontes!$B:$B,Fontes!$H:$H))</f>
        <v>191.84</v>
      </c>
      <c r="K635" s="252">
        <f>IF($A635="M",0,_xlfn.XLOOKUP($D635,Fontes!$B:$B,Fontes!$I:$I))</f>
        <v>15.39</v>
      </c>
      <c r="L635" s="250">
        <f t="shared" si="76"/>
        <v>2227.2199999999998</v>
      </c>
      <c r="M635" s="300">
        <f t="shared" si="77"/>
        <v>2227.2199999999998</v>
      </c>
      <c r="O635" s="517">
        <f t="shared" si="78"/>
        <v>2227.2199999999998</v>
      </c>
    </row>
    <row r="636" spans="1:15" ht="57.6" outlineLevel="3" x14ac:dyDescent="0.3">
      <c r="A636" s="35"/>
      <c r="B636" s="36"/>
      <c r="C636" s="495" t="s">
        <v>10296</v>
      </c>
      <c r="D636" s="479">
        <v>95745</v>
      </c>
      <c r="E636" s="249" t="str">
        <f>UPPER(IF($D636=0,"",IF($A636=4,_xlfn.XLOOKUP($D636,Mercado!$C:$C,Mercado!$E:$E),_xlfn.XLOOKUP($D636,Fontes!$B:$B,Fontes!$C:$C))))</f>
        <v>SINAPI</v>
      </c>
      <c r="F636" s="327" t="s">
        <v>21</v>
      </c>
      <c r="G636" s="249" t="str">
        <f>UPPER(IF($D636=0,"",IF($A636=4,_xlfn.XLOOKUP($D636,Mercado!$C:$C,Mercado!$G:$G),_xlfn.XLOOKUP($D636,Fontes!$B:$B,Fontes!$E:$E))))</f>
        <v>M</v>
      </c>
      <c r="H636" s="252">
        <v>24</v>
      </c>
      <c r="I636" s="252">
        <f>IF($A636="M",_xlfn.XLOOKUP($D636,Mercado!$C:$C,Mercado!$I:$I),_xlfn.XLOOKUP($D636,Fontes!$B:$B,Fontes!$J:$J))</f>
        <v>16.95</v>
      </c>
      <c r="J636" s="252">
        <f>IF($A636="M",_xlfn.XLOOKUP($D636,Mercado!$C:$C,Mercado!$J:$J),_xlfn.XLOOKUP($D636,Fontes!$B:$B,Fontes!$H:$H))</f>
        <v>14.14</v>
      </c>
      <c r="K636" s="252">
        <f>IF($A636="M",0,_xlfn.XLOOKUP($D636,Fontes!$B:$B,Fontes!$I:$I))</f>
        <v>1.05</v>
      </c>
      <c r="L636" s="250">
        <f t="shared" si="76"/>
        <v>32.14</v>
      </c>
      <c r="M636" s="300">
        <f t="shared" si="77"/>
        <v>771.36</v>
      </c>
      <c r="O636" s="517">
        <f t="shared" si="78"/>
        <v>771.36</v>
      </c>
    </row>
    <row r="637" spans="1:15" ht="38.4" outlineLevel="3" x14ac:dyDescent="0.3">
      <c r="A637" s="35"/>
      <c r="B637" s="36"/>
      <c r="C637" s="495" t="s">
        <v>10297</v>
      </c>
      <c r="D637" s="479" t="s">
        <v>454</v>
      </c>
      <c r="E637" s="249" t="str">
        <f>UPPER(IF($D637=0,"",IF($A637=4,_xlfn.XLOOKUP($D637,Mercado!$C:$C,Mercado!$E:$E),_xlfn.XLOOKUP($D637,Fontes!$B:$B,Fontes!$C:$C))))</f>
        <v>EMBASA</v>
      </c>
      <c r="F637" s="327" t="s">
        <v>456</v>
      </c>
      <c r="G637" s="249" t="str">
        <f>UPPER(IF($D637=0,"",IF($A637=4,_xlfn.XLOOKUP($D637,Mercado!$C:$C,Mercado!$G:$G),_xlfn.XLOOKUP($D637,Fontes!$B:$B,Fontes!$E:$E))))</f>
        <v>UN</v>
      </c>
      <c r="H637" s="252">
        <v>5</v>
      </c>
      <c r="I637" s="252">
        <f>IF($A637="M",_xlfn.XLOOKUP($D637,Mercado!$C:$C,Mercado!$I:$I),_xlfn.XLOOKUP($D637,Fontes!$B:$B,Fontes!$J:$J))</f>
        <v>0.01</v>
      </c>
      <c r="J637" s="252">
        <f>IF($A637="M",_xlfn.XLOOKUP($D637,Mercado!$C:$C,Mercado!$J:$J),_xlfn.XLOOKUP($D637,Fontes!$B:$B,Fontes!$H:$H))</f>
        <v>1.45</v>
      </c>
      <c r="K637" s="252">
        <f>IF($A637="M",0,_xlfn.XLOOKUP($D637,Fontes!$B:$B,Fontes!$I:$I))</f>
        <v>0</v>
      </c>
      <c r="L637" s="250">
        <f t="shared" si="76"/>
        <v>1.46</v>
      </c>
      <c r="M637" s="300">
        <f t="shared" si="77"/>
        <v>7.3</v>
      </c>
      <c r="O637" s="517">
        <f t="shared" si="78"/>
        <v>7.3</v>
      </c>
    </row>
    <row r="638" spans="1:15" ht="57.6" outlineLevel="3" x14ac:dyDescent="0.3">
      <c r="A638" s="35"/>
      <c r="B638" s="36"/>
      <c r="C638" s="495" t="s">
        <v>10298</v>
      </c>
      <c r="D638" s="479">
        <v>97549</v>
      </c>
      <c r="E638" s="249" t="str">
        <f>UPPER(IF($D638=0,"",IF($A638=4,_xlfn.XLOOKUP($D638,Mercado!$C:$C,Mercado!$E:$E),_xlfn.XLOOKUP($D638,Fontes!$B:$B,Fontes!$C:$C))))</f>
        <v>SINAPI</v>
      </c>
      <c r="F638" s="327" t="s">
        <v>335</v>
      </c>
      <c r="G638" s="249" t="str">
        <f>UPPER(IF($D638=0,"",IF($A638=4,_xlfn.XLOOKUP($D638,Mercado!$C:$C,Mercado!$G:$G),_xlfn.XLOOKUP($D638,Fontes!$B:$B,Fontes!$E:$E))))</f>
        <v>UN</v>
      </c>
      <c r="H638" s="252">
        <v>10</v>
      </c>
      <c r="I638" s="252">
        <f>IF($A638="M",_xlfn.XLOOKUP($D638,Mercado!$C:$C,Mercado!$I:$I),_xlfn.XLOOKUP($D638,Fontes!$B:$B,Fontes!$J:$J))</f>
        <v>34.56</v>
      </c>
      <c r="J638" s="252">
        <f>IF($A638="M",_xlfn.XLOOKUP($D638,Mercado!$C:$C,Mercado!$J:$J),_xlfn.XLOOKUP($D638,Fontes!$B:$B,Fontes!$H:$H))</f>
        <v>25.81</v>
      </c>
      <c r="K638" s="252">
        <f>IF($A638="M",0,_xlfn.XLOOKUP($D638,Fontes!$B:$B,Fontes!$I:$I))</f>
        <v>2.13</v>
      </c>
      <c r="L638" s="250">
        <f t="shared" si="76"/>
        <v>62.500000000000007</v>
      </c>
      <c r="M638" s="300">
        <f t="shared" si="77"/>
        <v>625</v>
      </c>
      <c r="O638" s="517">
        <f t="shared" si="78"/>
        <v>625</v>
      </c>
    </row>
    <row r="639" spans="1:15" ht="38.4" outlineLevel="3" x14ac:dyDescent="0.3">
      <c r="A639" s="35"/>
      <c r="B639" s="36"/>
      <c r="C639" s="495" t="s">
        <v>10299</v>
      </c>
      <c r="D639" s="487">
        <v>10724</v>
      </c>
      <c r="E639" s="248" t="str">
        <f>UPPER(IF($D639=0,"",IF($A639=4,_xlfn.XLOOKUP($D639,Mercado!$C:$C,Mercado!$E:$E),_xlfn.XLOOKUP($D639,Fontes!$B:$B,Fontes!$C:$C))))</f>
        <v>ORSE</v>
      </c>
      <c r="F639" s="328" t="s">
        <v>3599</v>
      </c>
      <c r="G639" s="248" t="str">
        <f>UPPER(IF($D639=0,"",IF($A639=4,_xlfn.XLOOKUP($D639,Mercado!$C:$C,Mercado!$G:$G),_xlfn.XLOOKUP($D639,Fontes!$B:$B,Fontes!$E:$E))))</f>
        <v>UN</v>
      </c>
      <c r="H639" s="252">
        <v>1</v>
      </c>
      <c r="I639" s="252">
        <f>IF($A639="M",_xlfn.XLOOKUP($D639,Mercado!$C:$C,Mercado!$I:$I),_xlfn.XLOOKUP($D639,Fontes!$B:$B,Fontes!$J:$J))</f>
        <v>60.54</v>
      </c>
      <c r="J639" s="252">
        <f>IF($A639="M",_xlfn.XLOOKUP($D639,Mercado!$C:$C,Mercado!$J:$J),_xlfn.XLOOKUP($D639,Fontes!$B:$B,Fontes!$H:$H))</f>
        <v>20.45</v>
      </c>
      <c r="K639" s="252">
        <f>IF($A639="M",0,_xlfn.XLOOKUP($D639,Fontes!$B:$B,Fontes!$I:$I))</f>
        <v>0</v>
      </c>
      <c r="L639" s="250">
        <f t="shared" si="76"/>
        <v>80.989999999999995</v>
      </c>
      <c r="M639" s="300">
        <f t="shared" si="77"/>
        <v>80.989999999999995</v>
      </c>
      <c r="O639" s="517">
        <f t="shared" si="78"/>
        <v>80.989999999999995</v>
      </c>
    </row>
    <row r="640" spans="1:15" outlineLevel="3" x14ac:dyDescent="0.3">
      <c r="A640" s="35"/>
      <c r="B640" s="36"/>
      <c r="C640" s="495" t="s">
        <v>10300</v>
      </c>
      <c r="D640" s="487">
        <v>60316</v>
      </c>
      <c r="E640" s="248" t="str">
        <f>UPPER(IF($D640=0,"",IF($A640=4,_xlfn.XLOOKUP($D640,Mercado!$C:$C,Mercado!$E:$E),_xlfn.XLOOKUP($D640,Fontes!$B:$B,Fontes!$C:$C))))</f>
        <v>SBC</v>
      </c>
      <c r="F640" s="328" t="s">
        <v>527</v>
      </c>
      <c r="G640" s="248" t="str">
        <f>UPPER(IF($D640=0,"",IF($A640=4,_xlfn.XLOOKUP($D640,Mercado!$C:$C,Mercado!$G:$G),_xlfn.XLOOKUP($D640,Fontes!$B:$B,Fontes!$E:$E))))</f>
        <v>UN</v>
      </c>
      <c r="H640" s="252">
        <v>7</v>
      </c>
      <c r="I640" s="252">
        <f>IF($A640="M",_xlfn.XLOOKUP($D640,Mercado!$C:$C,Mercado!$I:$I),_xlfn.XLOOKUP($D640,Fontes!$B:$B,Fontes!$J:$J))</f>
        <v>237.45</v>
      </c>
      <c r="J640" s="252">
        <f>IF($A640="M",_xlfn.XLOOKUP($D640,Mercado!$C:$C,Mercado!$J:$J),_xlfn.XLOOKUP($D640,Fontes!$B:$B,Fontes!$H:$H))</f>
        <v>53.3</v>
      </c>
      <c r="K640" s="252">
        <f>IF($A640="M",0,_xlfn.XLOOKUP($D640,Fontes!$B:$B,Fontes!$I:$I))</f>
        <v>0</v>
      </c>
      <c r="L640" s="250">
        <f t="shared" si="76"/>
        <v>290.75</v>
      </c>
      <c r="M640" s="300">
        <f t="shared" si="77"/>
        <v>2035.25</v>
      </c>
      <c r="O640" s="517">
        <f t="shared" si="78"/>
        <v>2035.25</v>
      </c>
    </row>
    <row r="641" spans="1:15" outlineLevel="3" x14ac:dyDescent="0.3">
      <c r="A641" s="35"/>
      <c r="B641" s="36"/>
      <c r="C641" s="495" t="s">
        <v>10301</v>
      </c>
      <c r="D641" s="487">
        <v>58020</v>
      </c>
      <c r="E641" s="248" t="str">
        <f>UPPER(IF($D641=0,"",IF($A641=4,_xlfn.XLOOKUP($D641,Mercado!$C:$C,Mercado!$E:$E),_xlfn.XLOOKUP($D641,Fontes!$B:$B,Fontes!$C:$C))))</f>
        <v>SBC</v>
      </c>
      <c r="F641" s="328" t="s">
        <v>528</v>
      </c>
      <c r="G641" s="248" t="str">
        <f>UPPER(IF($D641=0,"",IF($A641=4,_xlfn.XLOOKUP($D641,Mercado!$C:$C,Mercado!$G:$G),_xlfn.XLOOKUP($D641,Fontes!$B:$B,Fontes!$E:$E))))</f>
        <v>UN</v>
      </c>
      <c r="H641" s="252">
        <v>7</v>
      </c>
      <c r="I641" s="252">
        <f>IF($A641="M",_xlfn.XLOOKUP($D641,Mercado!$C:$C,Mercado!$I:$I),_xlfn.XLOOKUP($D641,Fontes!$B:$B,Fontes!$J:$J))</f>
        <v>378.83</v>
      </c>
      <c r="J641" s="252">
        <f>IF($A641="M",_xlfn.XLOOKUP($D641,Mercado!$C:$C,Mercado!$J:$J),_xlfn.XLOOKUP($D641,Fontes!$B:$B,Fontes!$H:$H))</f>
        <v>33.35</v>
      </c>
      <c r="K641" s="252">
        <f>IF($A641="M",0,_xlfn.XLOOKUP($D641,Fontes!$B:$B,Fontes!$I:$I))</f>
        <v>0</v>
      </c>
      <c r="L641" s="250">
        <f t="shared" si="76"/>
        <v>412.18</v>
      </c>
      <c r="M641" s="300">
        <f t="shared" si="77"/>
        <v>2885.26</v>
      </c>
      <c r="O641" s="517">
        <f t="shared" si="78"/>
        <v>2885.26</v>
      </c>
    </row>
    <row r="642" spans="1:15" outlineLevel="3" x14ac:dyDescent="0.3">
      <c r="A642" s="35"/>
      <c r="B642" s="36"/>
      <c r="C642" s="495" t="s">
        <v>10302</v>
      </c>
      <c r="D642" s="479">
        <v>9090038</v>
      </c>
      <c r="E642" s="249" t="str">
        <f>UPPER(IF($D642=0,"",IF($A642=4,_xlfn.XLOOKUP($D642,Mercado!$C:$C,Mercado!$E:$E),_xlfn.XLOOKUP($D642,Fontes!$B:$B,Fontes!$C:$C))))</f>
        <v>SIURB</v>
      </c>
      <c r="F642" s="251" t="s">
        <v>8622</v>
      </c>
      <c r="G642" s="249" t="str">
        <f>UPPER(IF($D642=0,"",IF($A642=4,_xlfn.XLOOKUP($D642,Mercado!$C:$C,Mercado!$G:$G),_xlfn.XLOOKUP($D642,Fontes!$B:$B,Fontes!$E:$E))))</f>
        <v>M</v>
      </c>
      <c r="H642" s="252">
        <v>680</v>
      </c>
      <c r="I642" s="252">
        <f>IF($A642="M",_xlfn.XLOOKUP($D642,Mercado!$C:$C,Mercado!$I:$I),_xlfn.XLOOKUP($D642,Fontes!$B:$B,Fontes!$J:$J))</f>
        <v>5.09</v>
      </c>
      <c r="J642" s="252">
        <f>IF($A642="M",_xlfn.XLOOKUP($D642,Mercado!$C:$C,Mercado!$J:$J),_xlfn.XLOOKUP($D642,Fontes!$B:$B,Fontes!$H:$H))</f>
        <v>0</v>
      </c>
      <c r="K642" s="252">
        <f>IF($A642="M",0,_xlfn.XLOOKUP($D642,Fontes!$B:$B,Fontes!$I:$I))</f>
        <v>0</v>
      </c>
      <c r="L642" s="250">
        <f t="shared" si="76"/>
        <v>5.09</v>
      </c>
      <c r="M642" s="300">
        <f t="shared" si="77"/>
        <v>3461.2</v>
      </c>
      <c r="O642" s="517">
        <f t="shared" si="78"/>
        <v>3461.2</v>
      </c>
    </row>
    <row r="643" spans="1:15" ht="57.6" outlineLevel="3" x14ac:dyDescent="0.3">
      <c r="A643" s="35"/>
      <c r="B643" s="36"/>
      <c r="C643" s="495" t="s">
        <v>10303</v>
      </c>
      <c r="D643" s="479">
        <v>91927</v>
      </c>
      <c r="E643" s="249" t="str">
        <f>UPPER(IF($D643=0,"",IF($A643=4,_xlfn.XLOOKUP($D643,Mercado!$C:$C,Mercado!$E:$E),_xlfn.XLOOKUP($D643,Fontes!$B:$B,Fontes!$C:$C))))</f>
        <v>SINAPI</v>
      </c>
      <c r="F643" s="327" t="s">
        <v>27</v>
      </c>
      <c r="G643" s="249" t="str">
        <f>UPPER(IF($D643=0,"",IF($A643=4,_xlfn.XLOOKUP($D643,Mercado!$C:$C,Mercado!$G:$G),_xlfn.XLOOKUP($D643,Fontes!$B:$B,Fontes!$E:$E))))</f>
        <v>M</v>
      </c>
      <c r="H643" s="252">
        <v>200</v>
      </c>
      <c r="I643" s="252">
        <f>IF($A643="M",_xlfn.XLOOKUP($D643,Mercado!$C:$C,Mercado!$I:$I),_xlfn.XLOOKUP($D643,Fontes!$B:$B,Fontes!$J:$J))</f>
        <v>4.25</v>
      </c>
      <c r="J643" s="252">
        <f>IF($A643="M",_xlfn.XLOOKUP($D643,Mercado!$C:$C,Mercado!$J:$J),_xlfn.XLOOKUP($D643,Fontes!$B:$B,Fontes!$H:$H))</f>
        <v>1.61</v>
      </c>
      <c r="K643" s="252">
        <f>IF($A643="M",0,_xlfn.XLOOKUP($D643,Fontes!$B:$B,Fontes!$I:$I))</f>
        <v>0.14000000000000001</v>
      </c>
      <c r="L643" s="250">
        <f t="shared" si="76"/>
        <v>6</v>
      </c>
      <c r="M643" s="300">
        <f t="shared" si="77"/>
        <v>1200</v>
      </c>
      <c r="O643" s="517">
        <f t="shared" si="78"/>
        <v>1200</v>
      </c>
    </row>
    <row r="644" spans="1:15" ht="38.4" outlineLevel="3" x14ac:dyDescent="0.3">
      <c r="A644" s="35"/>
      <c r="B644" s="36"/>
      <c r="C644" s="495" t="s">
        <v>10304</v>
      </c>
      <c r="D644" s="479" t="s">
        <v>489</v>
      </c>
      <c r="E644" s="249" t="str">
        <f>UPPER(IF($D644=0,"",IF($A644=4,_xlfn.XLOOKUP($D644,Mercado!$C:$C,Mercado!$E:$E),_xlfn.XLOOKUP($D644,Fontes!$B:$B,Fontes!$C:$C))))</f>
        <v>FDE</v>
      </c>
      <c r="F644" s="327" t="s">
        <v>491</v>
      </c>
      <c r="G644" s="249" t="str">
        <f>UPPER(IF($D644=0,"",IF($A644=4,_xlfn.XLOOKUP($D644,Mercado!$C:$C,Mercado!$G:$G),_xlfn.XLOOKUP($D644,Fontes!$B:$B,Fontes!$E:$E))))</f>
        <v>UN</v>
      </c>
      <c r="H644" s="252">
        <v>5</v>
      </c>
      <c r="I644" s="252">
        <f>IF($A644="M",_xlfn.XLOOKUP($D644,Mercado!$C:$C,Mercado!$I:$I),_xlfn.XLOOKUP($D644,Fontes!$B:$B,Fontes!$J:$J))</f>
        <v>20.47</v>
      </c>
      <c r="J644" s="252">
        <f>IF($A644="M",_xlfn.XLOOKUP($D644,Mercado!$C:$C,Mercado!$J:$J),_xlfn.XLOOKUP($D644,Fontes!$B:$B,Fontes!$H:$H))</f>
        <v>49.15</v>
      </c>
      <c r="K644" s="252">
        <f>IF($A644="M",0,_xlfn.XLOOKUP($D644,Fontes!$B:$B,Fontes!$I:$I))</f>
        <v>0</v>
      </c>
      <c r="L644" s="250">
        <f t="shared" si="76"/>
        <v>69.62</v>
      </c>
      <c r="M644" s="300">
        <f t="shared" si="77"/>
        <v>348.1</v>
      </c>
      <c r="O644" s="517">
        <f t="shared" si="78"/>
        <v>348.1</v>
      </c>
    </row>
    <row r="645" spans="1:15" outlineLevel="3" x14ac:dyDescent="0.3">
      <c r="A645" s="36" t="s">
        <v>7</v>
      </c>
      <c r="B645" s="36"/>
      <c r="C645" s="495" t="s">
        <v>781</v>
      </c>
      <c r="D645" s="479"/>
      <c r="E645" s="249" t="str">
        <f>UPPER(IF($D645=0,"",IF($A645=4,_xlfn.XLOOKUP($D645,Mercado!$C:$C,Mercado!$E:$E),_xlfn.XLOOKUP($D645,Fontes!$B:$B,Fontes!$C:$C))))</f>
        <v/>
      </c>
      <c r="F645" s="327" t="s">
        <v>781</v>
      </c>
      <c r="G645" s="249"/>
      <c r="H645" s="252"/>
      <c r="I645" s="252">
        <f>IF($A645="M",_xlfn.XLOOKUP($D645,Mercado!$C:$C,Mercado!$I:$I),_xlfn.XLOOKUP($D645,Fontes!$B:$B,Fontes!$J:$J))</f>
        <v>0</v>
      </c>
      <c r="J645" s="252">
        <f>IF($A645="M",_xlfn.XLOOKUP($D645,Mercado!$C:$C,Mercado!$J:$J),_xlfn.XLOOKUP($D645,Fontes!$B:$B,Fontes!$H:$H))</f>
        <v>0</v>
      </c>
      <c r="K645" s="252">
        <f>IF($A645="M",0,_xlfn.XLOOKUP($D645,Fontes!$B:$B,Fontes!$I:$I))</f>
        <v>0</v>
      </c>
      <c r="L645" s="250">
        <f t="shared" si="76"/>
        <v>0</v>
      </c>
      <c r="M645" s="300">
        <f t="shared" si="77"/>
        <v>0</v>
      </c>
      <c r="O645" s="517" t="str">
        <f t="shared" si="78"/>
        <v/>
      </c>
    </row>
    <row r="646" spans="1:15" outlineLevel="2" x14ac:dyDescent="0.3">
      <c r="A646" s="36" t="s">
        <v>7</v>
      </c>
      <c r="B646" s="36"/>
      <c r="C646" s="496" t="s">
        <v>10305</v>
      </c>
      <c r="D646" s="253"/>
      <c r="E646" s="253" t="str">
        <f>UPPER(IF($D646=0,"",IF($A646=4,_xlfn.XLOOKUP($D646,Mercado!$C:$C,Mercado!$E:$E),_xlfn.XLOOKUP($D646,Fontes!$B:$B,Fontes!$C:$C))))</f>
        <v/>
      </c>
      <c r="F646" s="329" t="s">
        <v>539</v>
      </c>
      <c r="G646" s="253"/>
      <c r="H646" s="254"/>
      <c r="I646" s="254">
        <f>IF($A646="M",_xlfn.XLOOKUP($D646,Mercado!$C:$C,Mercado!$I:$I),_xlfn.XLOOKUP($D646,Fontes!$B:$B,Fontes!$J:$J))</f>
        <v>0</v>
      </c>
      <c r="J646" s="254">
        <f>IF($A646="M",_xlfn.XLOOKUP($D646,Mercado!$C:$C,Mercado!$J:$J),_xlfn.XLOOKUP($D646,Fontes!$B:$B,Fontes!$H:$H))</f>
        <v>0</v>
      </c>
      <c r="K646" s="254">
        <f>IF($A646="M",0,_xlfn.XLOOKUP($D646,Fontes!$B:$B,Fontes!$I:$I))</f>
        <v>0</v>
      </c>
      <c r="L646" s="254">
        <f t="shared" si="76"/>
        <v>0</v>
      </c>
      <c r="M646" s="497">
        <f>SUBTOTAL(9,M647:M666)</f>
        <v>37395.780000000006</v>
      </c>
      <c r="O646" s="517" t="str">
        <f t="shared" si="78"/>
        <v/>
      </c>
    </row>
    <row r="647" spans="1:15" s="265" customFormat="1" outlineLevel="3" x14ac:dyDescent="0.3">
      <c r="A647" s="263" t="s">
        <v>7</v>
      </c>
      <c r="B647" s="263"/>
      <c r="C647" s="504" t="s">
        <v>10306</v>
      </c>
      <c r="D647" s="266"/>
      <c r="E647" s="266" t="str">
        <f>UPPER(IF($D647=0,"",IF($A647=4,_xlfn.XLOOKUP($D647,Mercado!$C:$C,Mercado!$E:$E),_xlfn.XLOOKUP($D647,Fontes!$B:$B,Fontes!$C:$C))))</f>
        <v/>
      </c>
      <c r="F647" s="334" t="s">
        <v>862</v>
      </c>
      <c r="G647" s="266"/>
      <c r="H647" s="267"/>
      <c r="I647" s="267">
        <f>IF($A647="M",_xlfn.XLOOKUP($D647,Mercado!$C:$C,Mercado!$I:$I),_xlfn.XLOOKUP($D647,Fontes!$B:$B,Fontes!$J:$J))</f>
        <v>0</v>
      </c>
      <c r="J647" s="267">
        <f>IF($A647="M",_xlfn.XLOOKUP($D647,Mercado!$C:$C,Mercado!$J:$J),_xlfn.XLOOKUP($D647,Fontes!$B:$B,Fontes!$H:$H))</f>
        <v>0</v>
      </c>
      <c r="K647" s="267">
        <f>IF($A647="M",0,_xlfn.XLOOKUP($D647,Fontes!$B:$B,Fontes!$I:$I))</f>
        <v>0</v>
      </c>
      <c r="L647" s="267">
        <f t="shared" si="76"/>
        <v>0</v>
      </c>
      <c r="M647" s="500">
        <f t="shared" ref="M647:M666" si="79">ROUND(H647*L647,2)</f>
        <v>0</v>
      </c>
      <c r="N647" s="264"/>
      <c r="O647" s="517" t="str">
        <f t="shared" si="78"/>
        <v/>
      </c>
    </row>
    <row r="648" spans="1:15" ht="38.4" outlineLevel="4" x14ac:dyDescent="0.3">
      <c r="A648" s="35"/>
      <c r="B648" s="36"/>
      <c r="C648" s="495" t="s">
        <v>10307</v>
      </c>
      <c r="D648" s="479">
        <v>96989</v>
      </c>
      <c r="E648" s="249" t="str">
        <f>UPPER(IF($D648=0,"",IF($A648=4,_xlfn.XLOOKUP($D648,Mercado!$C:$C,Mercado!$E:$E),_xlfn.XLOOKUP($D648,Fontes!$B:$B,Fontes!$C:$C))))</f>
        <v>SINAPI</v>
      </c>
      <c r="F648" s="327" t="s">
        <v>197</v>
      </c>
      <c r="G648" s="249" t="str">
        <f>UPPER(IF($D648=0,"",IF($A648=4,_xlfn.XLOOKUP($D648,Mercado!$C:$C,Mercado!$G:$G),_xlfn.XLOOKUP($D648,Fontes!$B:$B,Fontes!$E:$E))))</f>
        <v>UN</v>
      </c>
      <c r="H648" s="252">
        <v>2</v>
      </c>
      <c r="I648" s="252">
        <f>IF($A648="M",_xlfn.XLOOKUP($D648,Mercado!$C:$C,Mercado!$I:$I),_xlfn.XLOOKUP($D648,Fontes!$B:$B,Fontes!$J:$J))</f>
        <v>124.62</v>
      </c>
      <c r="J648" s="252">
        <f>IF($A648="M",_xlfn.XLOOKUP($D648,Mercado!$C:$C,Mercado!$J:$J),_xlfn.XLOOKUP($D648,Fontes!$B:$B,Fontes!$H:$H))</f>
        <v>7.49</v>
      </c>
      <c r="K648" s="252">
        <f>IF($A648="M",0,_xlfn.XLOOKUP($D648,Fontes!$B:$B,Fontes!$I:$I))</f>
        <v>0.66</v>
      </c>
      <c r="L648" s="250">
        <f t="shared" si="76"/>
        <v>132.77000000000001</v>
      </c>
      <c r="M648" s="300">
        <f t="shared" si="79"/>
        <v>265.54000000000002</v>
      </c>
      <c r="O648" s="517">
        <f t="shared" si="78"/>
        <v>265.54000000000002</v>
      </c>
    </row>
    <row r="649" spans="1:15" outlineLevel="4" x14ac:dyDescent="0.3">
      <c r="A649" s="35"/>
      <c r="B649" s="36"/>
      <c r="C649" s="495" t="s">
        <v>10308</v>
      </c>
      <c r="D649" s="479">
        <v>78114</v>
      </c>
      <c r="E649" s="249" t="str">
        <f>UPPER(IF($D649=0,"",IF($A649=4,_xlfn.XLOOKUP($D649,Mercado!$C:$C,Mercado!$E:$E),_xlfn.XLOOKUP($D649,Fontes!$B:$B,Fontes!$C:$C))))</f>
        <v>SBC</v>
      </c>
      <c r="F649" s="327" t="s">
        <v>3600</v>
      </c>
      <c r="G649" s="249" t="str">
        <f>UPPER(IF($D649=0,"",IF($A649=4,_xlfn.XLOOKUP($D649,Mercado!$C:$C,Mercado!$G:$G),_xlfn.XLOOKUP($D649,Fontes!$B:$B,Fontes!$E:$E))))</f>
        <v>UN</v>
      </c>
      <c r="H649" s="252">
        <v>2</v>
      </c>
      <c r="I649" s="252">
        <f>IF($A649="M",_xlfn.XLOOKUP($D649,Mercado!$C:$C,Mercado!$I:$I),_xlfn.XLOOKUP($D649,Fontes!$B:$B,Fontes!$J:$J))</f>
        <v>188.34</v>
      </c>
      <c r="J649" s="252">
        <f>IF($A649="M",_xlfn.XLOOKUP($D649,Mercado!$C:$C,Mercado!$J:$J),_xlfn.XLOOKUP($D649,Fontes!$B:$B,Fontes!$H:$H))</f>
        <v>78.16</v>
      </c>
      <c r="K649" s="252">
        <f>IF($A649="M",0,_xlfn.XLOOKUP($D649,Fontes!$B:$B,Fontes!$I:$I))</f>
        <v>0</v>
      </c>
      <c r="L649" s="250">
        <f t="shared" si="76"/>
        <v>266.5</v>
      </c>
      <c r="M649" s="300">
        <f t="shared" si="79"/>
        <v>533</v>
      </c>
      <c r="O649" s="517">
        <f t="shared" si="78"/>
        <v>533</v>
      </c>
    </row>
    <row r="650" spans="1:15" outlineLevel="4" x14ac:dyDescent="0.3">
      <c r="A650" s="35"/>
      <c r="B650" s="36"/>
      <c r="C650" s="495" t="s">
        <v>10309</v>
      </c>
      <c r="D650" s="479" t="s">
        <v>465</v>
      </c>
      <c r="E650" s="249" t="str">
        <f>UPPER(IF($D650=0,"",IF($A650=4,_xlfn.XLOOKUP($D650,Mercado!$C:$C,Mercado!$E:$E),_xlfn.XLOOKUP($D650,Fontes!$B:$B,Fontes!$C:$C))))</f>
        <v>CPOS/CDHU</v>
      </c>
      <c r="F650" s="327" t="s">
        <v>3601</v>
      </c>
      <c r="G650" s="249" t="str">
        <f>UPPER(IF($D650=0,"",IF($A650=4,_xlfn.XLOOKUP($D650,Mercado!$C:$C,Mercado!$G:$G),_xlfn.XLOOKUP($D650,Fontes!$B:$B,Fontes!$E:$E))))</f>
        <v>UN</v>
      </c>
      <c r="H650" s="252">
        <v>2</v>
      </c>
      <c r="I650" s="252">
        <f>IF($A650="M",_xlfn.XLOOKUP($D650,Mercado!$C:$C,Mercado!$I:$I),_xlfn.XLOOKUP($D650,Fontes!$B:$B,Fontes!$J:$J))</f>
        <v>53.56</v>
      </c>
      <c r="J650" s="252">
        <f>IF($A650="M",_xlfn.XLOOKUP($D650,Mercado!$C:$C,Mercado!$J:$J),_xlfn.XLOOKUP($D650,Fontes!$B:$B,Fontes!$H:$H))</f>
        <v>13.96</v>
      </c>
      <c r="K650" s="252">
        <f>IF($A650="M",0,_xlfn.XLOOKUP($D650,Fontes!$B:$B,Fontes!$I:$I))</f>
        <v>0</v>
      </c>
      <c r="L650" s="250">
        <f t="shared" si="76"/>
        <v>67.52000000000001</v>
      </c>
      <c r="M650" s="300">
        <f t="shared" si="79"/>
        <v>135.04</v>
      </c>
      <c r="O650" s="517">
        <f t="shared" si="78"/>
        <v>135.04</v>
      </c>
    </row>
    <row r="651" spans="1:15" outlineLevel="4" x14ac:dyDescent="0.3">
      <c r="A651" s="35"/>
      <c r="B651" s="36"/>
      <c r="C651" s="495" t="s">
        <v>10310</v>
      </c>
      <c r="D651" s="479" t="s">
        <v>467</v>
      </c>
      <c r="E651" s="249" t="str">
        <f>UPPER(IF($D651=0,"",IF($A651=4,_xlfn.XLOOKUP($D651,Mercado!$C:$C,Mercado!$E:$E),_xlfn.XLOOKUP($D651,Fontes!$B:$B,Fontes!$C:$C))))</f>
        <v>CPOS/CDHU</v>
      </c>
      <c r="F651" s="327" t="s">
        <v>3602</v>
      </c>
      <c r="G651" s="249" t="str">
        <f>UPPER(IF($D651=0,"",IF($A651=4,_xlfn.XLOOKUP($D651,Mercado!$C:$C,Mercado!$G:$G),_xlfn.XLOOKUP($D651,Fontes!$B:$B,Fontes!$E:$E))))</f>
        <v>UN</v>
      </c>
      <c r="H651" s="252">
        <v>2</v>
      </c>
      <c r="I651" s="252">
        <f>IF($A651="M",_xlfn.XLOOKUP($D651,Mercado!$C:$C,Mercado!$I:$I),_xlfn.XLOOKUP($D651,Fontes!$B:$B,Fontes!$J:$J))</f>
        <v>145.81</v>
      </c>
      <c r="J651" s="252">
        <f>IF($A651="M",_xlfn.XLOOKUP($D651,Mercado!$C:$C,Mercado!$J:$J),_xlfn.XLOOKUP($D651,Fontes!$B:$B,Fontes!$H:$H))</f>
        <v>16.75</v>
      </c>
      <c r="K651" s="252">
        <f>IF($A651="M",0,_xlfn.XLOOKUP($D651,Fontes!$B:$B,Fontes!$I:$I))</f>
        <v>0</v>
      </c>
      <c r="L651" s="250">
        <f t="shared" si="76"/>
        <v>162.56</v>
      </c>
      <c r="M651" s="300">
        <f t="shared" si="79"/>
        <v>325.12</v>
      </c>
      <c r="O651" s="517">
        <f t="shared" si="78"/>
        <v>325.12</v>
      </c>
    </row>
    <row r="652" spans="1:15" ht="38.4" outlineLevel="4" x14ac:dyDescent="0.3">
      <c r="A652" s="35"/>
      <c r="B652" s="36"/>
      <c r="C652" s="495" t="s">
        <v>10311</v>
      </c>
      <c r="D652" s="479" t="s">
        <v>469</v>
      </c>
      <c r="E652" s="249" t="str">
        <f>UPPER(IF($D652=0,"",IF($A652=4,_xlfn.XLOOKUP($D652,Mercado!$C:$C,Mercado!$E:$E),_xlfn.XLOOKUP($D652,Fontes!$B:$B,Fontes!$C:$C))))</f>
        <v>CPOS/CDHU</v>
      </c>
      <c r="F652" s="327" t="s">
        <v>3603</v>
      </c>
      <c r="G652" s="249" t="str">
        <f>UPPER(IF($D652=0,"",IF($A652=4,_xlfn.XLOOKUP($D652,Mercado!$C:$C,Mercado!$G:$G),_xlfn.XLOOKUP($D652,Fontes!$B:$B,Fontes!$E:$E))))</f>
        <v>UN</v>
      </c>
      <c r="H652" s="252">
        <v>6</v>
      </c>
      <c r="I652" s="252">
        <f>IF($A652="M",_xlfn.XLOOKUP($D652,Mercado!$C:$C,Mercado!$I:$I),_xlfn.XLOOKUP($D652,Fontes!$B:$B,Fontes!$J:$J))</f>
        <v>19.559999999999999</v>
      </c>
      <c r="J652" s="252">
        <f>IF($A652="M",_xlfn.XLOOKUP($D652,Mercado!$C:$C,Mercado!$J:$J),_xlfn.XLOOKUP($D652,Fontes!$B:$B,Fontes!$H:$H))</f>
        <v>13.96</v>
      </c>
      <c r="K652" s="252">
        <f>IF($A652="M",0,_xlfn.XLOOKUP($D652,Fontes!$B:$B,Fontes!$I:$I))</f>
        <v>0</v>
      </c>
      <c r="L652" s="250">
        <f t="shared" si="76"/>
        <v>33.519999999999996</v>
      </c>
      <c r="M652" s="300">
        <f t="shared" si="79"/>
        <v>201.12</v>
      </c>
      <c r="O652" s="517">
        <f t="shared" si="78"/>
        <v>201.12</v>
      </c>
    </row>
    <row r="653" spans="1:15" s="265" customFormat="1" outlineLevel="3" x14ac:dyDescent="0.3">
      <c r="A653" s="263" t="s">
        <v>7</v>
      </c>
      <c r="B653" s="263"/>
      <c r="C653" s="504" t="s">
        <v>10312</v>
      </c>
      <c r="D653" s="266"/>
      <c r="E653" s="249" t="str">
        <f>UPPER(IF($D653=0,"",IF($A653=4,_xlfn.XLOOKUP($D653,Mercado!$C:$C,Mercado!$E:$E),_xlfn.XLOOKUP($D653,Fontes!$B:$B,Fontes!$C:$C))))</f>
        <v/>
      </c>
      <c r="F653" s="334" t="s">
        <v>863</v>
      </c>
      <c r="G653" s="266"/>
      <c r="H653" s="267"/>
      <c r="I653" s="267">
        <f>IF($A653="M",_xlfn.XLOOKUP($D653,Mercado!$C:$C,Mercado!$I:$I),_xlfn.XLOOKUP($D653,Fontes!$B:$B,Fontes!$J:$J))</f>
        <v>0</v>
      </c>
      <c r="J653" s="267">
        <f>IF($A653="M",_xlfn.XLOOKUP($D653,Mercado!$C:$C,Mercado!$J:$J),_xlfn.XLOOKUP($D653,Fontes!$B:$B,Fontes!$H:$H))</f>
        <v>0</v>
      </c>
      <c r="K653" s="267">
        <f>IF($A653="M",0,_xlfn.XLOOKUP($D653,Fontes!$B:$B,Fontes!$I:$I))</f>
        <v>0</v>
      </c>
      <c r="L653" s="267">
        <f t="shared" si="76"/>
        <v>0</v>
      </c>
      <c r="M653" s="500">
        <f t="shared" si="79"/>
        <v>0</v>
      </c>
      <c r="N653" s="264"/>
      <c r="O653" s="517" t="str">
        <f t="shared" si="78"/>
        <v/>
      </c>
    </row>
    <row r="654" spans="1:15" ht="38.4" outlineLevel="4" x14ac:dyDescent="0.3">
      <c r="A654" s="35"/>
      <c r="B654" s="36"/>
      <c r="C654" s="495" t="s">
        <v>10313</v>
      </c>
      <c r="D654" s="479" t="s">
        <v>471</v>
      </c>
      <c r="E654" s="249" t="str">
        <f>UPPER(IF($D654=0,"",IF($A654=4,_xlfn.XLOOKUP($D654,Mercado!$C:$C,Mercado!$E:$E),_xlfn.XLOOKUP($D654,Fontes!$B:$B,Fontes!$C:$C))))</f>
        <v>CPOS/CDHU</v>
      </c>
      <c r="F654" s="327" t="s">
        <v>3604</v>
      </c>
      <c r="G654" s="249" t="str">
        <f>UPPER(IF($D654=0,"",IF($A654=4,_xlfn.XLOOKUP($D654,Mercado!$C:$C,Mercado!$G:$G),_xlfn.XLOOKUP($D654,Fontes!$B:$B,Fontes!$E:$E))))</f>
        <v>M</v>
      </c>
      <c r="H654" s="252">
        <v>320</v>
      </c>
      <c r="I654" s="252">
        <f>IF($A654="M",_xlfn.XLOOKUP($D654,Mercado!$C:$C,Mercado!$I:$I),_xlfn.XLOOKUP($D654,Fontes!$B:$B,Fontes!$J:$J))</f>
        <v>9.35</v>
      </c>
      <c r="J654" s="252">
        <f>IF($A654="M",_xlfn.XLOOKUP($D654,Mercado!$C:$C,Mercado!$J:$J),_xlfn.XLOOKUP($D654,Fontes!$B:$B,Fontes!$H:$H))</f>
        <v>27.92</v>
      </c>
      <c r="K654" s="252">
        <f>IF($A654="M",0,_xlfn.XLOOKUP($D654,Fontes!$B:$B,Fontes!$I:$I))</f>
        <v>0</v>
      </c>
      <c r="L654" s="250">
        <f t="shared" ref="L654:L717" si="80">SUM(I654:K654)</f>
        <v>37.270000000000003</v>
      </c>
      <c r="M654" s="300">
        <f t="shared" si="79"/>
        <v>11926.4</v>
      </c>
      <c r="O654" s="517">
        <f t="shared" si="78"/>
        <v>11926.4</v>
      </c>
    </row>
    <row r="655" spans="1:15" outlineLevel="4" x14ac:dyDescent="0.3">
      <c r="A655" s="35"/>
      <c r="B655" s="36"/>
      <c r="C655" s="495" t="s">
        <v>10314</v>
      </c>
      <c r="D655" s="479">
        <v>63461</v>
      </c>
      <c r="E655" s="249" t="str">
        <f>UPPER(IF($D655=0,"",IF($A655=4,_xlfn.XLOOKUP($D655,Mercado!$C:$C,Mercado!$E:$E),_xlfn.XLOOKUP($D655,Fontes!$B:$B,Fontes!$C:$C))))</f>
        <v>SBC</v>
      </c>
      <c r="F655" s="327" t="s">
        <v>3605</v>
      </c>
      <c r="G655" s="249" t="str">
        <f>UPPER(IF($D655=0,"",IF($A655=4,_xlfn.XLOOKUP($D655,Mercado!$C:$C,Mercado!$G:$G),_xlfn.XLOOKUP($D655,Fontes!$B:$B,Fontes!$E:$E))))</f>
        <v>M</v>
      </c>
      <c r="H655" s="252">
        <v>60</v>
      </c>
      <c r="I655" s="252">
        <f>IF($A655="M",_xlfn.XLOOKUP($D655,Mercado!$C:$C,Mercado!$I:$I),_xlfn.XLOOKUP($D655,Fontes!$B:$B,Fontes!$J:$J))</f>
        <v>42.52</v>
      </c>
      <c r="J655" s="252">
        <f>IF($A655="M",_xlfn.XLOOKUP($D655,Mercado!$C:$C,Mercado!$J:$J),_xlfn.XLOOKUP($D655,Fontes!$B:$B,Fontes!$H:$H))</f>
        <v>10.79</v>
      </c>
      <c r="K655" s="252">
        <f>IF($A655="M",0,_xlfn.XLOOKUP($D655,Fontes!$B:$B,Fontes!$I:$I))</f>
        <v>0</v>
      </c>
      <c r="L655" s="250">
        <f t="shared" si="80"/>
        <v>53.31</v>
      </c>
      <c r="M655" s="300">
        <f t="shared" si="79"/>
        <v>3198.6</v>
      </c>
      <c r="O655" s="517">
        <f t="shared" si="78"/>
        <v>3198.6</v>
      </c>
    </row>
    <row r="656" spans="1:15" ht="38.4" outlineLevel="4" x14ac:dyDescent="0.3">
      <c r="A656" s="35"/>
      <c r="B656" s="36"/>
      <c r="C656" s="495" t="s">
        <v>10315</v>
      </c>
      <c r="D656" s="479" t="s">
        <v>473</v>
      </c>
      <c r="E656" s="249" t="str">
        <f>UPPER(IF($D656=0,"",IF($A656=4,_xlfn.XLOOKUP($D656,Mercado!$C:$C,Mercado!$E:$E),_xlfn.XLOOKUP($D656,Fontes!$B:$B,Fontes!$C:$C))))</f>
        <v>CPOS/CDHU</v>
      </c>
      <c r="F656" s="327" t="s">
        <v>3606</v>
      </c>
      <c r="G656" s="249" t="str">
        <f>UPPER(IF($D656=0,"",IF($A656=4,_xlfn.XLOOKUP($D656,Mercado!$C:$C,Mercado!$G:$G),_xlfn.XLOOKUP($D656,Fontes!$B:$B,Fontes!$E:$E))))</f>
        <v>UN</v>
      </c>
      <c r="H656" s="252">
        <v>12</v>
      </c>
      <c r="I656" s="252">
        <f>IF($A656="M",_xlfn.XLOOKUP($D656,Mercado!$C:$C,Mercado!$I:$I),_xlfn.XLOOKUP($D656,Fontes!$B:$B,Fontes!$J:$J))</f>
        <v>15.72</v>
      </c>
      <c r="J656" s="252">
        <f>IF($A656="M",_xlfn.XLOOKUP($D656,Mercado!$C:$C,Mercado!$J:$J),_xlfn.XLOOKUP($D656,Fontes!$B:$B,Fontes!$H:$H))</f>
        <v>5.58</v>
      </c>
      <c r="K656" s="252">
        <f>IF($A656="M",0,_xlfn.XLOOKUP($D656,Fontes!$B:$B,Fontes!$I:$I))</f>
        <v>0</v>
      </c>
      <c r="L656" s="250">
        <f t="shared" si="80"/>
        <v>21.3</v>
      </c>
      <c r="M656" s="300">
        <f t="shared" si="79"/>
        <v>255.6</v>
      </c>
      <c r="O656" s="517">
        <f t="shared" si="78"/>
        <v>255.6</v>
      </c>
    </row>
    <row r="657" spans="1:15" outlineLevel="4" x14ac:dyDescent="0.3">
      <c r="A657" s="35"/>
      <c r="B657" s="36"/>
      <c r="C657" s="495" t="s">
        <v>10316</v>
      </c>
      <c r="D657" s="479" t="s">
        <v>475</v>
      </c>
      <c r="E657" s="249" t="str">
        <f>UPPER(IF($D657=0,"",IF($A657=4,_xlfn.XLOOKUP($D657,Mercado!$C:$C,Mercado!$E:$E),_xlfn.XLOOKUP($D657,Fontes!$B:$B,Fontes!$C:$C))))</f>
        <v>CPOS/CDHU</v>
      </c>
      <c r="F657" s="327" t="s">
        <v>3607</v>
      </c>
      <c r="G657" s="249" t="str">
        <f>UPPER(IF($D657=0,"",IF($A657=4,_xlfn.XLOOKUP($D657,Mercado!$C:$C,Mercado!$G:$G),_xlfn.XLOOKUP($D657,Fontes!$B:$B,Fontes!$E:$E))))</f>
        <v>UN</v>
      </c>
      <c r="H657" s="252">
        <v>24</v>
      </c>
      <c r="I657" s="252">
        <f>IF($A657="M",_xlfn.XLOOKUP($D657,Mercado!$C:$C,Mercado!$I:$I),_xlfn.XLOOKUP($D657,Fontes!$B:$B,Fontes!$J:$J))</f>
        <v>9.57</v>
      </c>
      <c r="J657" s="252">
        <f>IF($A657="M",_xlfn.XLOOKUP($D657,Mercado!$C:$C,Mercado!$J:$J),_xlfn.XLOOKUP($D657,Fontes!$B:$B,Fontes!$H:$H))</f>
        <v>8.3800000000000008</v>
      </c>
      <c r="K657" s="252">
        <f>IF($A657="M",0,_xlfn.XLOOKUP($D657,Fontes!$B:$B,Fontes!$I:$I))</f>
        <v>0</v>
      </c>
      <c r="L657" s="250">
        <f t="shared" si="80"/>
        <v>17.950000000000003</v>
      </c>
      <c r="M657" s="300">
        <f t="shared" si="79"/>
        <v>430.8</v>
      </c>
      <c r="O657" s="517">
        <f t="shared" si="78"/>
        <v>430.8</v>
      </c>
    </row>
    <row r="658" spans="1:15" s="265" customFormat="1" outlineLevel="3" x14ac:dyDescent="0.3">
      <c r="A658" s="263" t="s">
        <v>7</v>
      </c>
      <c r="B658" s="263"/>
      <c r="C658" s="504" t="s">
        <v>10317</v>
      </c>
      <c r="D658" s="266"/>
      <c r="E658" s="249" t="str">
        <f>UPPER(IF($D658=0,"",IF($A658=4,_xlfn.XLOOKUP($D658,Mercado!$C:$C,Mercado!$E:$E),_xlfn.XLOOKUP($D658,Fontes!$B:$B,Fontes!$C:$C))))</f>
        <v/>
      </c>
      <c r="F658" s="334" t="s">
        <v>3608</v>
      </c>
      <c r="G658" s="266"/>
      <c r="H658" s="267"/>
      <c r="I658" s="267">
        <f>IF($A658="M",_xlfn.XLOOKUP($D658,Mercado!$C:$C,Mercado!$I:$I),_xlfn.XLOOKUP($D658,Fontes!$B:$B,Fontes!$J:$J))</f>
        <v>0</v>
      </c>
      <c r="J658" s="267">
        <f>IF($A658="M",_xlfn.XLOOKUP($D658,Mercado!$C:$C,Mercado!$J:$J),_xlfn.XLOOKUP($D658,Fontes!$B:$B,Fontes!$H:$H))</f>
        <v>0</v>
      </c>
      <c r="K658" s="267">
        <f>IF($A658="M",0,_xlfn.XLOOKUP($D658,Fontes!$B:$B,Fontes!$I:$I))</f>
        <v>0</v>
      </c>
      <c r="L658" s="267">
        <f t="shared" si="80"/>
        <v>0</v>
      </c>
      <c r="M658" s="500">
        <f t="shared" si="79"/>
        <v>0</v>
      </c>
      <c r="N658" s="264"/>
      <c r="O658" s="517" t="str">
        <f t="shared" si="78"/>
        <v/>
      </c>
    </row>
    <row r="659" spans="1:15" outlineLevel="4" x14ac:dyDescent="0.3">
      <c r="A659" s="35"/>
      <c r="B659" s="36"/>
      <c r="C659" s="495" t="s">
        <v>10318</v>
      </c>
      <c r="D659" s="479">
        <v>600</v>
      </c>
      <c r="E659" s="249" t="str">
        <f>UPPER(IF($D659=0,"",IF($A659=4,_xlfn.XLOOKUP($D659,Mercado!$C:$C,Mercado!$E:$E),_xlfn.XLOOKUP($D659,Fontes!$B:$B,Fontes!$C:$C))))</f>
        <v>PRÓPRIO</v>
      </c>
      <c r="F659" s="327" t="s">
        <v>1830</v>
      </c>
      <c r="G659" s="249" t="str">
        <f>UPPER(IF($D659=0,"",IF($A659=4,_xlfn.XLOOKUP($D659,Mercado!$C:$C,Mercado!$G:$G),_xlfn.XLOOKUP($D659,Fontes!$B:$B,Fontes!$E:$E))))</f>
        <v>M</v>
      </c>
      <c r="H659" s="252">
        <v>264</v>
      </c>
      <c r="I659" s="252">
        <f>IF($A659="M",_xlfn.XLOOKUP($D659,Mercado!$C:$C,Mercado!$I:$I),_xlfn.XLOOKUP($D659,Fontes!$B:$B,Fontes!$J:$J))</f>
        <v>26.55</v>
      </c>
      <c r="J659" s="252">
        <f>IF($A659="M",_xlfn.XLOOKUP($D659,Mercado!$C:$C,Mercado!$J:$J),_xlfn.XLOOKUP($D659,Fontes!$B:$B,Fontes!$H:$H))</f>
        <v>4.97</v>
      </c>
      <c r="K659" s="252">
        <f>IF($A659="M",0,_xlfn.XLOOKUP($D659,Fontes!$B:$B,Fontes!$I:$I))</f>
        <v>0</v>
      </c>
      <c r="L659" s="250">
        <f t="shared" si="80"/>
        <v>31.52</v>
      </c>
      <c r="M659" s="300">
        <f t="shared" si="79"/>
        <v>8321.2800000000007</v>
      </c>
      <c r="O659" s="517">
        <f t="shared" si="78"/>
        <v>8321.2800000000007</v>
      </c>
    </row>
    <row r="660" spans="1:15" s="265" customFormat="1" outlineLevel="3" x14ac:dyDescent="0.3">
      <c r="A660" s="263" t="s">
        <v>7</v>
      </c>
      <c r="B660" s="263"/>
      <c r="C660" s="504" t="s">
        <v>10319</v>
      </c>
      <c r="D660" s="266"/>
      <c r="E660" s="249" t="str">
        <f>UPPER(IF($D660=0,"",IF($A660=4,_xlfn.XLOOKUP($D660,Mercado!$C:$C,Mercado!$E:$E),_xlfn.XLOOKUP($D660,Fontes!$B:$B,Fontes!$C:$C))))</f>
        <v/>
      </c>
      <c r="F660" s="334" t="s">
        <v>864</v>
      </c>
      <c r="G660" s="266"/>
      <c r="H660" s="267"/>
      <c r="I660" s="267">
        <f>IF($A660="M",_xlfn.XLOOKUP($D660,Mercado!$C:$C,Mercado!$I:$I),_xlfn.XLOOKUP($D660,Fontes!$B:$B,Fontes!$J:$J))</f>
        <v>0</v>
      </c>
      <c r="J660" s="267">
        <f>IF($A660="M",_xlfn.XLOOKUP($D660,Mercado!$C:$C,Mercado!$J:$J),_xlfn.XLOOKUP($D660,Fontes!$B:$B,Fontes!$H:$H))</f>
        <v>0</v>
      </c>
      <c r="K660" s="267">
        <f>IF($A660="M",0,_xlfn.XLOOKUP($D660,Fontes!$B:$B,Fontes!$I:$I))</f>
        <v>0</v>
      </c>
      <c r="L660" s="267">
        <f t="shared" si="80"/>
        <v>0</v>
      </c>
      <c r="M660" s="500">
        <f t="shared" si="79"/>
        <v>0</v>
      </c>
      <c r="N660" s="264"/>
      <c r="O660" s="517" t="str">
        <f t="shared" si="78"/>
        <v/>
      </c>
    </row>
    <row r="661" spans="1:15" ht="38.4" outlineLevel="4" x14ac:dyDescent="0.3">
      <c r="A661" s="35"/>
      <c r="B661" s="36"/>
      <c r="C661" s="495" t="s">
        <v>10320</v>
      </c>
      <c r="D661" s="479">
        <v>96985</v>
      </c>
      <c r="E661" s="249" t="str">
        <f>UPPER(IF($D661=0,"",IF($A661=4,_xlfn.XLOOKUP($D661,Mercado!$C:$C,Mercado!$E:$E),_xlfn.XLOOKUP($D661,Fontes!$B:$B,Fontes!$C:$C))))</f>
        <v>SINAPI</v>
      </c>
      <c r="F661" s="327" t="s">
        <v>196</v>
      </c>
      <c r="G661" s="249" t="str">
        <f>UPPER(IF($D661=0,"",IF($A661=4,_xlfn.XLOOKUP($D661,Mercado!$C:$C,Mercado!$G:$G),_xlfn.XLOOKUP($D661,Fontes!$B:$B,Fontes!$E:$E))))</f>
        <v>UN</v>
      </c>
      <c r="H661" s="252">
        <v>14</v>
      </c>
      <c r="I661" s="252">
        <f>IF($A661="M",_xlfn.XLOOKUP($D661,Mercado!$C:$C,Mercado!$I:$I),_xlfn.XLOOKUP($D661,Fontes!$B:$B,Fontes!$J:$J))</f>
        <v>62.95</v>
      </c>
      <c r="J661" s="252">
        <f>IF($A661="M",_xlfn.XLOOKUP($D661,Mercado!$C:$C,Mercado!$J:$J),_xlfn.XLOOKUP($D661,Fontes!$B:$B,Fontes!$H:$H))</f>
        <v>13.83</v>
      </c>
      <c r="K661" s="252">
        <f>IF($A661="M",0,_xlfn.XLOOKUP($D661,Fontes!$B:$B,Fontes!$I:$I))</f>
        <v>1.22</v>
      </c>
      <c r="L661" s="250">
        <f t="shared" si="80"/>
        <v>78</v>
      </c>
      <c r="M661" s="300">
        <f t="shared" si="79"/>
        <v>1092</v>
      </c>
      <c r="O661" s="517">
        <f t="shared" si="78"/>
        <v>1092</v>
      </c>
    </row>
    <row r="662" spans="1:15" outlineLevel="4" x14ac:dyDescent="0.3">
      <c r="A662" s="35"/>
      <c r="B662" s="36"/>
      <c r="C662" s="495" t="s">
        <v>10321</v>
      </c>
      <c r="D662" s="479" t="s">
        <v>477</v>
      </c>
      <c r="E662" s="249" t="str">
        <f>UPPER(IF($D662=0,"",IF($A662=4,_xlfn.XLOOKUP($D662,Mercado!$C:$C,Mercado!$E:$E),_xlfn.XLOOKUP($D662,Fontes!$B:$B,Fontes!$C:$C))))</f>
        <v>CPOS/CDHU</v>
      </c>
      <c r="F662" s="327" t="s">
        <v>3609</v>
      </c>
      <c r="G662" s="249" t="str">
        <f>UPPER(IF($D662=0,"",IF($A662=4,_xlfn.XLOOKUP($D662,Mercado!$C:$C,Mercado!$G:$G),_xlfn.XLOOKUP($D662,Fontes!$B:$B,Fontes!$E:$E))))</f>
        <v>UN</v>
      </c>
      <c r="H662" s="252">
        <v>14</v>
      </c>
      <c r="I662" s="252">
        <f>IF($A662="M",_xlfn.XLOOKUP($D662,Mercado!$C:$C,Mercado!$I:$I),_xlfn.XLOOKUP($D662,Fontes!$B:$B,Fontes!$J:$J))</f>
        <v>3.83</v>
      </c>
      <c r="J662" s="252">
        <f>IF($A662="M",_xlfn.XLOOKUP($D662,Mercado!$C:$C,Mercado!$J:$J),_xlfn.XLOOKUP($D662,Fontes!$B:$B,Fontes!$H:$H))</f>
        <v>5.58</v>
      </c>
      <c r="K662" s="252">
        <f>IF($A662="M",0,_xlfn.XLOOKUP($D662,Fontes!$B:$B,Fontes!$I:$I))</f>
        <v>0</v>
      </c>
      <c r="L662" s="250">
        <f t="shared" si="80"/>
        <v>9.41</v>
      </c>
      <c r="M662" s="300">
        <f t="shared" si="79"/>
        <v>131.74</v>
      </c>
      <c r="O662" s="517">
        <f t="shared" si="78"/>
        <v>131.74</v>
      </c>
    </row>
    <row r="663" spans="1:15" outlineLevel="4" x14ac:dyDescent="0.3">
      <c r="A663" s="35"/>
      <c r="B663" s="36"/>
      <c r="C663" s="495" t="s">
        <v>10322</v>
      </c>
      <c r="D663" s="479" t="s">
        <v>481</v>
      </c>
      <c r="E663" s="249" t="str">
        <f>UPPER(IF($D663=0,"",IF($A663=4,_xlfn.XLOOKUP($D663,Mercado!$C:$C,Mercado!$E:$E),_xlfn.XLOOKUP($D663,Fontes!$B:$B,Fontes!$C:$C))))</f>
        <v>SUDECAP</v>
      </c>
      <c r="F663" s="327" t="s">
        <v>482</v>
      </c>
      <c r="G663" s="249" t="str">
        <f>UPPER(IF($D663=0,"",IF($A663=4,_xlfn.XLOOKUP($D663,Mercado!$C:$C,Mercado!$G:$G),_xlfn.XLOOKUP($D663,Fontes!$B:$B,Fontes!$E:$E))))</f>
        <v>M</v>
      </c>
      <c r="H663" s="252">
        <v>164</v>
      </c>
      <c r="I663" s="252">
        <f>IF($A663="M",_xlfn.XLOOKUP($D663,Mercado!$C:$C,Mercado!$I:$I),_xlfn.XLOOKUP($D663,Fontes!$B:$B,Fontes!$J:$J))</f>
        <v>47.72</v>
      </c>
      <c r="J663" s="252">
        <f>IF($A663="M",_xlfn.XLOOKUP($D663,Mercado!$C:$C,Mercado!$J:$J),_xlfn.XLOOKUP($D663,Fontes!$B:$B,Fontes!$H:$H))</f>
        <v>12.43</v>
      </c>
      <c r="K663" s="252">
        <f>IF($A663="M",0,_xlfn.XLOOKUP($D663,Fontes!$B:$B,Fontes!$I:$I))</f>
        <v>0</v>
      </c>
      <c r="L663" s="250">
        <f t="shared" si="80"/>
        <v>60.15</v>
      </c>
      <c r="M663" s="300">
        <f t="shared" si="79"/>
        <v>9864.6</v>
      </c>
      <c r="O663" s="517">
        <f t="shared" si="78"/>
        <v>9864.6</v>
      </c>
    </row>
    <row r="664" spans="1:15" ht="38.4" outlineLevel="4" x14ac:dyDescent="0.3">
      <c r="A664" s="35"/>
      <c r="B664" s="36"/>
      <c r="C664" s="495" t="s">
        <v>10323</v>
      </c>
      <c r="D664" s="479">
        <v>707</v>
      </c>
      <c r="E664" s="249" t="str">
        <f>UPPER(IF($D664=0,"",IF($A664=4,_xlfn.XLOOKUP($D664,Mercado!$C:$C,Mercado!$E:$E),_xlfn.XLOOKUP($D664,Fontes!$B:$B,Fontes!$C:$C))))</f>
        <v>ORSE</v>
      </c>
      <c r="F664" s="327" t="s">
        <v>3610</v>
      </c>
      <c r="G664" s="249" t="str">
        <f>UPPER(IF($D664=0,"",IF($A664=4,_xlfn.XLOOKUP($D664,Mercado!$C:$C,Mercado!$G:$G),_xlfn.XLOOKUP($D664,Fontes!$B:$B,Fontes!$E:$E))))</f>
        <v>UN</v>
      </c>
      <c r="H664" s="252">
        <v>2</v>
      </c>
      <c r="I664" s="252">
        <f>IF($A664="M",_xlfn.XLOOKUP($D664,Mercado!$C:$C,Mercado!$I:$I),_xlfn.XLOOKUP($D664,Fontes!$B:$B,Fontes!$J:$J))</f>
        <v>204.67</v>
      </c>
      <c r="J664" s="252">
        <f>IF($A664="M",_xlfn.XLOOKUP($D664,Mercado!$C:$C,Mercado!$J:$J),_xlfn.XLOOKUP($D664,Fontes!$B:$B,Fontes!$H:$H))</f>
        <v>21.62</v>
      </c>
      <c r="K664" s="252">
        <f>IF($A664="M",0,_xlfn.XLOOKUP($D664,Fontes!$B:$B,Fontes!$I:$I))</f>
        <v>0</v>
      </c>
      <c r="L664" s="250">
        <f t="shared" si="80"/>
        <v>226.29</v>
      </c>
      <c r="M664" s="300">
        <f t="shared" si="79"/>
        <v>452.58</v>
      </c>
      <c r="O664" s="517">
        <f t="shared" si="78"/>
        <v>452.58</v>
      </c>
    </row>
    <row r="665" spans="1:15" outlineLevel="4" x14ac:dyDescent="0.3">
      <c r="A665" s="35"/>
      <c r="B665" s="36"/>
      <c r="C665" s="495" t="s">
        <v>10324</v>
      </c>
      <c r="D665" s="479" t="s">
        <v>479</v>
      </c>
      <c r="E665" s="249" t="str">
        <f>UPPER(IF($D665=0,"",IF($A665=4,_xlfn.XLOOKUP($D665,Mercado!$C:$C,Mercado!$E:$E),_xlfn.XLOOKUP($D665,Fontes!$B:$B,Fontes!$C:$C))))</f>
        <v>CPOS/CDHU</v>
      </c>
      <c r="F665" s="327" t="s">
        <v>3611</v>
      </c>
      <c r="G665" s="249" t="str">
        <f>UPPER(IF($D665=0,"",IF($A665=4,_xlfn.XLOOKUP($D665,Mercado!$C:$C,Mercado!$G:$G),_xlfn.XLOOKUP($D665,Fontes!$B:$B,Fontes!$E:$E))))</f>
        <v>UN</v>
      </c>
      <c r="H665" s="252">
        <v>14</v>
      </c>
      <c r="I665" s="252">
        <f>IF($A665="M",_xlfn.XLOOKUP($D665,Mercado!$C:$C,Mercado!$I:$I),_xlfn.XLOOKUP($D665,Fontes!$B:$B,Fontes!$J:$J))</f>
        <v>13.16</v>
      </c>
      <c r="J665" s="252">
        <f>IF($A665="M",_xlfn.XLOOKUP($D665,Mercado!$C:$C,Mercado!$J:$J),_xlfn.XLOOKUP($D665,Fontes!$B:$B,Fontes!$H:$H))</f>
        <v>5.58</v>
      </c>
      <c r="K665" s="252">
        <f>IF($A665="M",0,_xlfn.XLOOKUP($D665,Fontes!$B:$B,Fontes!$I:$I))</f>
        <v>0</v>
      </c>
      <c r="L665" s="250">
        <f t="shared" si="80"/>
        <v>18.740000000000002</v>
      </c>
      <c r="M665" s="300">
        <f t="shared" si="79"/>
        <v>262.36</v>
      </c>
      <c r="O665" s="517">
        <f t="shared" si="78"/>
        <v>262.36</v>
      </c>
    </row>
    <row r="666" spans="1:15" outlineLevel="3" x14ac:dyDescent="0.3">
      <c r="A666" s="36" t="s">
        <v>7</v>
      </c>
      <c r="B666" s="36"/>
      <c r="C666" s="495" t="s">
        <v>781</v>
      </c>
      <c r="D666" s="249"/>
      <c r="E666" s="249" t="str">
        <f>UPPER(IF($D666=0,"",IF($A666=4,_xlfn.XLOOKUP($D666,Mercado!$C:$C,Mercado!$E:$E),_xlfn.XLOOKUP($D666,Fontes!$B:$B,Fontes!$C:$C))))</f>
        <v/>
      </c>
      <c r="F666" s="327" t="s">
        <v>781</v>
      </c>
      <c r="G666" s="249"/>
      <c r="H666" s="252"/>
      <c r="I666" s="252">
        <f>IF($A666="M",_xlfn.XLOOKUP($D666,Mercado!$C:$C,Mercado!$I:$I),_xlfn.XLOOKUP($D666,Fontes!$B:$B,Fontes!$J:$J))</f>
        <v>0</v>
      </c>
      <c r="J666" s="252">
        <f>IF($A666="M",_xlfn.XLOOKUP($D666,Mercado!$C:$C,Mercado!$J:$J),_xlfn.XLOOKUP($D666,Fontes!$B:$B,Fontes!$H:$H))</f>
        <v>0</v>
      </c>
      <c r="K666" s="252">
        <f>IF($A666="M",0,_xlfn.XLOOKUP($D666,Fontes!$B:$B,Fontes!$I:$I))</f>
        <v>0</v>
      </c>
      <c r="L666" s="250">
        <f t="shared" si="80"/>
        <v>0</v>
      </c>
      <c r="M666" s="300">
        <f t="shared" si="79"/>
        <v>0</v>
      </c>
      <c r="O666" s="517" t="str">
        <f t="shared" si="78"/>
        <v/>
      </c>
    </row>
    <row r="667" spans="1:15" outlineLevel="2" x14ac:dyDescent="0.3">
      <c r="A667" s="36" t="s">
        <v>7</v>
      </c>
      <c r="B667" s="36"/>
      <c r="C667" s="496" t="s">
        <v>10325</v>
      </c>
      <c r="D667" s="253"/>
      <c r="E667" s="253" t="str">
        <f>UPPER(IF($D667=0,"",IF($A667=4,_xlfn.XLOOKUP($D667,Mercado!$C:$C,Mercado!$E:$E),_xlfn.XLOOKUP($D667,Fontes!$B:$B,Fontes!$C:$C))))</f>
        <v/>
      </c>
      <c r="F667" s="329" t="s">
        <v>540</v>
      </c>
      <c r="G667" s="253"/>
      <c r="H667" s="254"/>
      <c r="I667" s="254">
        <f>IF($A667="M",_xlfn.XLOOKUP($D667,Mercado!$C:$C,Mercado!$I:$I),_xlfn.XLOOKUP($D667,Fontes!$B:$B,Fontes!$J:$J))</f>
        <v>0</v>
      </c>
      <c r="J667" s="254">
        <f>IF($A667="M",_xlfn.XLOOKUP($D667,Mercado!$C:$C,Mercado!$J:$J),_xlfn.XLOOKUP($D667,Fontes!$B:$B,Fontes!$H:$H))</f>
        <v>0</v>
      </c>
      <c r="K667" s="254">
        <f>IF($A667="M",0,_xlfn.XLOOKUP($D667,Fontes!$B:$B,Fontes!$I:$I))</f>
        <v>0</v>
      </c>
      <c r="L667" s="254">
        <f t="shared" si="80"/>
        <v>0</v>
      </c>
      <c r="M667" s="497">
        <f>SUBTOTAL(9,M668:M867)</f>
        <v>514773.9200000001</v>
      </c>
      <c r="O667" s="517" t="str">
        <f t="shared" si="78"/>
        <v/>
      </c>
    </row>
    <row r="668" spans="1:15" s="261" customFormat="1" outlineLevel="4" x14ac:dyDescent="0.3">
      <c r="A668" s="36" t="s">
        <v>7</v>
      </c>
      <c r="B668" s="35"/>
      <c r="C668" s="499" t="s">
        <v>10326</v>
      </c>
      <c r="D668" s="488"/>
      <c r="E668" s="257" t="str">
        <f>UPPER(IF($D668=0,"",IF($A668=4,_xlfn.XLOOKUP($D668,Mercado!$C:$C,Mercado!$E:$E),_xlfn.XLOOKUP($D668,Fontes!$B:$B,Fontes!$C:$C))))</f>
        <v/>
      </c>
      <c r="F668" s="330" t="s">
        <v>2894</v>
      </c>
      <c r="G668" s="257"/>
      <c r="H668" s="259"/>
      <c r="I668" s="259">
        <f>IF($A668="M",_xlfn.XLOOKUP($D668,Mercado!$C:$C,Mercado!$I:$I),_xlfn.XLOOKUP($D668,Fontes!$B:$B,Fontes!$J:$J))</f>
        <v>0</v>
      </c>
      <c r="J668" s="259">
        <f>IF($A668="M",_xlfn.XLOOKUP($D668,Mercado!$C:$C,Mercado!$J:$J),_xlfn.XLOOKUP($D668,Fontes!$B:$B,Fontes!$H:$H))</f>
        <v>0</v>
      </c>
      <c r="K668" s="259">
        <f>IF($A668="M",0,_xlfn.XLOOKUP($D668,Fontes!$B:$B,Fontes!$I:$I))</f>
        <v>0</v>
      </c>
      <c r="L668" s="260">
        <f t="shared" si="80"/>
        <v>0</v>
      </c>
      <c r="M668" s="500">
        <f t="shared" ref="M668:M699" si="81">ROUND(H668*L668,2)</f>
        <v>0</v>
      </c>
      <c r="N668" s="247"/>
      <c r="O668" s="517" t="str">
        <f t="shared" si="78"/>
        <v/>
      </c>
    </row>
    <row r="669" spans="1:15" outlineLevel="4" x14ac:dyDescent="0.3">
      <c r="A669" s="35"/>
      <c r="B669" s="36"/>
      <c r="C669" s="495" t="s">
        <v>10327</v>
      </c>
      <c r="D669" s="487">
        <v>101897</v>
      </c>
      <c r="E669" s="249" t="str">
        <f>UPPER(IF($D669=0,"",IF($A669=4,_xlfn.XLOOKUP($D669,Mercado!$C:$C,Mercado!$E:$E),_xlfn.XLOOKUP($D669,Fontes!$B:$B,Fontes!$C:$C))))</f>
        <v>SINAPI</v>
      </c>
      <c r="F669" s="336" t="s">
        <v>2634</v>
      </c>
      <c r="G669" s="249" t="str">
        <f>UPPER(IF($D669=0,"",IF($A669=4,_xlfn.XLOOKUP($D669,Mercado!$C:$C,Mercado!$G:$G),_xlfn.XLOOKUP($D669,Fontes!$B:$B,Fontes!$E:$E))))</f>
        <v>UN</v>
      </c>
      <c r="H669" s="252">
        <v>1</v>
      </c>
      <c r="I669" s="252">
        <f>IF($A669="M",_xlfn.XLOOKUP($D669,Mercado!$C:$C,Mercado!$I:$I),_xlfn.XLOOKUP($D669,Fontes!$B:$B,Fontes!$J:$J))</f>
        <v>843.75</v>
      </c>
      <c r="J669" s="252">
        <f>IF($A669="M",_xlfn.XLOOKUP($D669,Mercado!$C:$C,Mercado!$J:$J),_xlfn.XLOOKUP($D669,Fontes!$B:$B,Fontes!$H:$H))</f>
        <v>68.05</v>
      </c>
      <c r="K669" s="252">
        <f>IF($A669="M",0,_xlfn.XLOOKUP($D669,Fontes!$B:$B,Fontes!$I:$I))</f>
        <v>6.02</v>
      </c>
      <c r="L669" s="250">
        <f t="shared" si="80"/>
        <v>917.81999999999994</v>
      </c>
      <c r="M669" s="300">
        <f t="shared" si="81"/>
        <v>917.82</v>
      </c>
      <c r="O669" s="517">
        <f t="shared" si="78"/>
        <v>917.82</v>
      </c>
    </row>
    <row r="670" spans="1:15" ht="38.4" outlineLevel="4" x14ac:dyDescent="0.3">
      <c r="A670" s="35" t="s">
        <v>7</v>
      </c>
      <c r="B670" s="36"/>
      <c r="C670" s="495" t="s">
        <v>10328</v>
      </c>
      <c r="D670" s="487" t="s">
        <v>3714</v>
      </c>
      <c r="E670" s="249" t="str">
        <f>UPPER(_xlfn.XLOOKUP($D670,Mercado!C:C,Mercado!E:E,_xlfn.XLOOKUP($D763,Fontes!$B:$B,Fontes!$C:$C)))</f>
        <v>ESTIMADO</v>
      </c>
      <c r="F670" s="335" t="s">
        <v>2660</v>
      </c>
      <c r="G670" s="249" t="str">
        <f>UPPER(_xlfn.XLOOKUP(D670,Mercado!C:C,Mercado!G:G))</f>
        <v>VB</v>
      </c>
      <c r="H670" s="439">
        <v>1</v>
      </c>
      <c r="I670" s="439">
        <f>IF($A670="M",_xlfn.XLOOKUP($D670,Mercado!$C:$C,Mercado!$I:$I),_xlfn.XLOOKUP($D670,Fontes!$B:$B,Fontes!$J:$J))</f>
        <v>2500</v>
      </c>
      <c r="J670" s="252">
        <f>IF($A670="M",_xlfn.XLOOKUP($D670,Mercado!$C:$C,Mercado!$J:$J),_xlfn.XLOOKUP($D670,Fontes!$B:$B,Fontes!$H:$H))</f>
        <v>0</v>
      </c>
      <c r="K670" s="252">
        <f>IF($A670="M",0,_xlfn.XLOOKUP($D670,Fontes!$B:$B,Fontes!$I:$I))</f>
        <v>0</v>
      </c>
      <c r="L670" s="250">
        <f t="shared" si="80"/>
        <v>2500</v>
      </c>
      <c r="M670" s="300">
        <f t="shared" si="81"/>
        <v>2500</v>
      </c>
      <c r="O670" s="517">
        <f t="shared" si="78"/>
        <v>2500</v>
      </c>
    </row>
    <row r="671" spans="1:15" outlineLevel="4" x14ac:dyDescent="0.3">
      <c r="A671" s="36" t="s">
        <v>7</v>
      </c>
      <c r="B671" s="36"/>
      <c r="C671" s="495" t="s">
        <v>781</v>
      </c>
      <c r="D671" s="487"/>
      <c r="E671" s="249" t="str">
        <f>UPPER(IF($D671=0,"",IF($A671=4,_xlfn.XLOOKUP($D671,Mercado!$C:$C,Mercado!$E:$E),_xlfn.XLOOKUP($D671,Fontes!$B:$B,Fontes!$C:$C))))</f>
        <v/>
      </c>
      <c r="F671" s="335" t="s">
        <v>781</v>
      </c>
      <c r="G671" s="249"/>
      <c r="H671" s="252"/>
      <c r="I671" s="252">
        <f>IF($A671="M",_xlfn.XLOOKUP($D671,Mercado!$C:$C,Mercado!$I:$I),_xlfn.XLOOKUP($D671,Fontes!$B:$B,Fontes!$J:$J))</f>
        <v>0</v>
      </c>
      <c r="J671" s="252">
        <f>IF($A671="M",_xlfn.XLOOKUP($D671,Mercado!$C:$C,Mercado!$J:$J),_xlfn.XLOOKUP($D671,Fontes!$B:$B,Fontes!$H:$H))</f>
        <v>0</v>
      </c>
      <c r="K671" s="252">
        <f>IF($A671="M",0,_xlfn.XLOOKUP($D671,Fontes!$B:$B,Fontes!$I:$I))</f>
        <v>0</v>
      </c>
      <c r="L671" s="250">
        <f t="shared" si="80"/>
        <v>0</v>
      </c>
      <c r="M671" s="300">
        <f t="shared" si="81"/>
        <v>0</v>
      </c>
      <c r="O671" s="517" t="str">
        <f t="shared" si="78"/>
        <v/>
      </c>
    </row>
    <row r="672" spans="1:15" s="261" customFormat="1" outlineLevel="4" x14ac:dyDescent="0.3">
      <c r="A672" s="36" t="s">
        <v>7</v>
      </c>
      <c r="B672" s="35"/>
      <c r="C672" s="499" t="s">
        <v>10329</v>
      </c>
      <c r="D672" s="488"/>
      <c r="E672" s="257" t="str">
        <f>UPPER(IF($D672=0,"",IF($A672=4,_xlfn.XLOOKUP($D672,Mercado!$C:$C,Mercado!$E:$E),_xlfn.XLOOKUP($D672,Fontes!$B:$B,Fontes!$C:$C))))</f>
        <v/>
      </c>
      <c r="F672" s="332" t="s">
        <v>2635</v>
      </c>
      <c r="G672" s="257"/>
      <c r="H672" s="259"/>
      <c r="I672" s="259">
        <f>IF($A672="M",_xlfn.XLOOKUP($D672,Mercado!$C:$C,Mercado!$I:$I),_xlfn.XLOOKUP($D672,Fontes!$B:$B,Fontes!$J:$J))</f>
        <v>0</v>
      </c>
      <c r="J672" s="259">
        <f>IF($A672="M",_xlfn.XLOOKUP($D672,Mercado!$C:$C,Mercado!$J:$J),_xlfn.XLOOKUP($D672,Fontes!$B:$B,Fontes!$H:$H))</f>
        <v>0</v>
      </c>
      <c r="K672" s="259">
        <f>IF($A672="M",0,_xlfn.XLOOKUP($D672,Fontes!$B:$B,Fontes!$I:$I))</f>
        <v>0</v>
      </c>
      <c r="L672" s="260">
        <f t="shared" si="80"/>
        <v>0</v>
      </c>
      <c r="M672" s="500">
        <f t="shared" si="81"/>
        <v>0</v>
      </c>
      <c r="N672" s="247"/>
      <c r="O672" s="517" t="str">
        <f t="shared" si="78"/>
        <v/>
      </c>
    </row>
    <row r="673" spans="1:15" outlineLevel="4" x14ac:dyDescent="0.3">
      <c r="A673" s="35"/>
      <c r="B673" s="36"/>
      <c r="C673" s="495" t="s">
        <v>10330</v>
      </c>
      <c r="D673" s="487">
        <v>64410</v>
      </c>
      <c r="E673" s="249" t="str">
        <f>UPPER(IF($D673=0,"",IF($A673=4,_xlfn.XLOOKUP($D673,Mercado!$C:$C,Mercado!$E:$E),_xlfn.XLOOKUP($D673,Fontes!$B:$B,Fontes!$C:$C))))</f>
        <v>SBC</v>
      </c>
      <c r="F673" s="328" t="s">
        <v>2709</v>
      </c>
      <c r="G673" s="249" t="str">
        <f>UPPER(IF($D673=0,"",IF($A673=4,_xlfn.XLOOKUP($D673,Mercado!$C:$C,Mercado!$G:$G),_xlfn.XLOOKUP($D673,Fontes!$B:$B,Fontes!$E:$E))))</f>
        <v>UN</v>
      </c>
      <c r="H673" s="252">
        <v>1</v>
      </c>
      <c r="I673" s="252">
        <f>IF($A673="M",_xlfn.XLOOKUP($D673,Mercado!$C:$C,Mercado!$I:$I),_xlfn.XLOOKUP($D673,Fontes!$B:$B,Fontes!$J:$J))</f>
        <v>325.8</v>
      </c>
      <c r="J673" s="252">
        <f>IF($A673="M",_xlfn.XLOOKUP($D673,Mercado!$C:$C,Mercado!$J:$J),_xlfn.XLOOKUP($D673,Fontes!$B:$B,Fontes!$H:$H))</f>
        <v>39.86</v>
      </c>
      <c r="K673" s="252">
        <f>IF($A673="M",0,_xlfn.XLOOKUP($D673,Fontes!$B:$B,Fontes!$I:$I))</f>
        <v>0</v>
      </c>
      <c r="L673" s="250">
        <f t="shared" si="80"/>
        <v>365.66</v>
      </c>
      <c r="M673" s="300">
        <f t="shared" si="81"/>
        <v>365.66</v>
      </c>
      <c r="O673" s="517">
        <f t="shared" si="78"/>
        <v>365.66</v>
      </c>
    </row>
    <row r="674" spans="1:15" outlineLevel="4" x14ac:dyDescent="0.3">
      <c r="A674" s="35"/>
      <c r="B674" s="36"/>
      <c r="C674" s="495" t="s">
        <v>10331</v>
      </c>
      <c r="D674" s="487">
        <v>668</v>
      </c>
      <c r="E674" s="249" t="str">
        <f>UPPER(IF($D674=0,"",IF($A674=4,_xlfn.XLOOKUP($D674,Mercado!$C:$C,Mercado!$E:$E),_xlfn.XLOOKUP($D674,Fontes!$B:$B,Fontes!$C:$C))))</f>
        <v>PRÓPRIO</v>
      </c>
      <c r="F674" s="328" t="s">
        <v>2636</v>
      </c>
      <c r="G674" s="249" t="str">
        <f>UPPER(IF($D674=0,"",IF($A674=4,_xlfn.XLOOKUP($D674,Mercado!$C:$C,Mercado!$G:$G),_xlfn.XLOOKUP($D674,Fontes!$B:$B,Fontes!$E:$E))))</f>
        <v>UN</v>
      </c>
      <c r="H674" s="252">
        <v>1</v>
      </c>
      <c r="I674" s="252">
        <f>IF($A674="M",_xlfn.XLOOKUP($D674,Mercado!$C:$C,Mercado!$I:$I),_xlfn.XLOOKUP($D674,Fontes!$B:$B,Fontes!$J:$J))</f>
        <v>294.42</v>
      </c>
      <c r="J674" s="252">
        <f>IF($A674="M",_xlfn.XLOOKUP($D674,Mercado!$C:$C,Mercado!$J:$J),_xlfn.XLOOKUP($D674,Fontes!$B:$B,Fontes!$H:$H))</f>
        <v>34.51</v>
      </c>
      <c r="K674" s="252">
        <f>IF($A674="M",0,_xlfn.XLOOKUP($D674,Fontes!$B:$B,Fontes!$I:$I))</f>
        <v>3.06</v>
      </c>
      <c r="L674" s="250">
        <f t="shared" si="80"/>
        <v>331.99</v>
      </c>
      <c r="M674" s="300">
        <f t="shared" si="81"/>
        <v>331.99</v>
      </c>
      <c r="O674" s="517">
        <f t="shared" ref="O674:O737" si="82">IF(D674&lt;&gt;0,M674,"")</f>
        <v>331.99</v>
      </c>
    </row>
    <row r="675" spans="1:15" outlineLevel="4" x14ac:dyDescent="0.3">
      <c r="A675" s="36" t="s">
        <v>7</v>
      </c>
      <c r="B675" s="36"/>
      <c r="C675" s="495" t="s">
        <v>781</v>
      </c>
      <c r="D675" s="487"/>
      <c r="E675" s="249" t="str">
        <f>UPPER(IF($D675=0,"",IF($A675=4,_xlfn.XLOOKUP($D675,Mercado!$C:$C,Mercado!$E:$E),_xlfn.XLOOKUP($D675,Fontes!$B:$B,Fontes!$C:$C))))</f>
        <v/>
      </c>
      <c r="F675" s="335" t="s">
        <v>781</v>
      </c>
      <c r="G675" s="249"/>
      <c r="H675" s="252"/>
      <c r="I675" s="252">
        <f>IF($A675="M",_xlfn.XLOOKUP($D675,Mercado!$C:$C,Mercado!$I:$I),_xlfn.XLOOKUP($D675,Fontes!$B:$B,Fontes!$J:$J))</f>
        <v>0</v>
      </c>
      <c r="J675" s="252">
        <f>IF($A675="M",_xlfn.XLOOKUP($D675,Mercado!$C:$C,Mercado!$J:$J),_xlfn.XLOOKUP($D675,Fontes!$B:$B,Fontes!$H:$H))</f>
        <v>0</v>
      </c>
      <c r="K675" s="252">
        <f>IF($A675="M",0,_xlfn.XLOOKUP($D675,Fontes!$B:$B,Fontes!$I:$I))</f>
        <v>0</v>
      </c>
      <c r="L675" s="250">
        <f t="shared" si="80"/>
        <v>0</v>
      </c>
      <c r="M675" s="300">
        <f t="shared" si="81"/>
        <v>0</v>
      </c>
      <c r="O675" s="517" t="str">
        <f t="shared" si="82"/>
        <v/>
      </c>
    </row>
    <row r="676" spans="1:15" s="261" customFormat="1" outlineLevel="4" x14ac:dyDescent="0.3">
      <c r="A676" s="36" t="s">
        <v>7</v>
      </c>
      <c r="B676" s="35"/>
      <c r="C676" s="499" t="s">
        <v>10332</v>
      </c>
      <c r="D676" s="488"/>
      <c r="E676" s="257" t="str">
        <f>UPPER(IF($D676=0,"",IF($A676=4,_xlfn.XLOOKUP($D676,Mercado!$C:$C,Mercado!$E:$E),_xlfn.XLOOKUP($D676,Fontes!$B:$B,Fontes!$C:$C))))</f>
        <v/>
      </c>
      <c r="F676" s="332" t="s">
        <v>541</v>
      </c>
      <c r="G676" s="257"/>
      <c r="H676" s="259"/>
      <c r="I676" s="259">
        <f>IF($A676="M",_xlfn.XLOOKUP($D676,Mercado!$C:$C,Mercado!$I:$I),_xlfn.XLOOKUP($D676,Fontes!$B:$B,Fontes!$J:$J))</f>
        <v>0</v>
      </c>
      <c r="J676" s="259">
        <f>IF($A676="M",_xlfn.XLOOKUP($D676,Mercado!$C:$C,Mercado!$J:$J),_xlfn.XLOOKUP($D676,Fontes!$B:$B,Fontes!$H:$H))</f>
        <v>0</v>
      </c>
      <c r="K676" s="259">
        <f>IF($A676="M",0,_xlfn.XLOOKUP($D676,Fontes!$B:$B,Fontes!$I:$I))</f>
        <v>0</v>
      </c>
      <c r="L676" s="260">
        <f t="shared" si="80"/>
        <v>0</v>
      </c>
      <c r="M676" s="500">
        <f t="shared" si="81"/>
        <v>0</v>
      </c>
      <c r="N676" s="247"/>
      <c r="O676" s="517" t="str">
        <f t="shared" si="82"/>
        <v/>
      </c>
    </row>
    <row r="677" spans="1:15" outlineLevel="4" x14ac:dyDescent="0.3">
      <c r="A677" s="35"/>
      <c r="B677" s="36"/>
      <c r="C677" s="495" t="s">
        <v>10333</v>
      </c>
      <c r="D677" s="487">
        <v>93672</v>
      </c>
      <c r="E677" s="249" t="str">
        <f>UPPER(IF($D677=0,"",IF($A677=4,_xlfn.XLOOKUP($D677,Mercado!$C:$C,Mercado!$E:$E),_xlfn.XLOOKUP($D677,Fontes!$B:$B,Fontes!$C:$C))))</f>
        <v>SINAPI</v>
      </c>
      <c r="F677" s="335" t="s">
        <v>2637</v>
      </c>
      <c r="G677" s="249" t="str">
        <f>UPPER(IF($D677=0,"",IF($A677=4,_xlfn.XLOOKUP($D677,Mercado!$C:$C,Mercado!$G:$G),_xlfn.XLOOKUP($D677,Fontes!$B:$B,Fontes!$E:$E))))</f>
        <v>UN</v>
      </c>
      <c r="H677" s="252">
        <v>1</v>
      </c>
      <c r="I677" s="252">
        <f>IF($A677="M",_xlfn.XLOOKUP($D677,Mercado!$C:$C,Mercado!$I:$I),_xlfn.XLOOKUP($D677,Fontes!$B:$B,Fontes!$J:$J))</f>
        <v>65.41</v>
      </c>
      <c r="J677" s="252">
        <f>IF($A677="M",_xlfn.XLOOKUP($D677,Mercado!$C:$C,Mercado!$J:$J),_xlfn.XLOOKUP($D677,Fontes!$B:$B,Fontes!$H:$H))</f>
        <v>21.23</v>
      </c>
      <c r="K677" s="252">
        <f>IF($A677="M",0,_xlfn.XLOOKUP($D677,Fontes!$B:$B,Fontes!$I:$I))</f>
        <v>1.88</v>
      </c>
      <c r="L677" s="250">
        <f t="shared" si="80"/>
        <v>88.52</v>
      </c>
      <c r="M677" s="300">
        <f t="shared" si="81"/>
        <v>88.52</v>
      </c>
      <c r="O677" s="517">
        <f t="shared" si="82"/>
        <v>88.52</v>
      </c>
    </row>
    <row r="678" spans="1:15" ht="38.4" outlineLevel="4" x14ac:dyDescent="0.3">
      <c r="A678" s="35"/>
      <c r="B678" s="36"/>
      <c r="C678" s="495" t="s">
        <v>10334</v>
      </c>
      <c r="D678" s="487">
        <v>680</v>
      </c>
      <c r="E678" s="249" t="str">
        <f>UPPER(IF($D678=0,"",IF($A678=4,_xlfn.XLOOKUP($D678,Mercado!$C:$C,Mercado!$E:$E),_xlfn.XLOOKUP($D678,Fontes!$B:$B,Fontes!$C:$C))))</f>
        <v>PRÓPRIO</v>
      </c>
      <c r="F678" s="335" t="s">
        <v>2638</v>
      </c>
      <c r="G678" s="249" t="str">
        <f>UPPER(IF($D678=0,"",IF($A678=4,_xlfn.XLOOKUP($D678,Mercado!$C:$C,Mercado!$G:$G),_xlfn.XLOOKUP($D678,Fontes!$B:$B,Fontes!$E:$E))))</f>
        <v>UN</v>
      </c>
      <c r="H678" s="252">
        <v>4</v>
      </c>
      <c r="I678" s="252">
        <f>IF($A678="M",_xlfn.XLOOKUP($D678,Mercado!$C:$C,Mercado!$I:$I),_xlfn.XLOOKUP($D678,Fontes!$B:$B,Fontes!$J:$J))</f>
        <v>6542.99</v>
      </c>
      <c r="J678" s="252">
        <f>IF($A678="M",_xlfn.XLOOKUP($D678,Mercado!$C:$C,Mercado!$J:$J),_xlfn.XLOOKUP($D678,Fontes!$B:$B,Fontes!$H:$H))</f>
        <v>35.119999999999997</v>
      </c>
      <c r="K678" s="252">
        <f>IF($A678="M",0,_xlfn.XLOOKUP($D678,Fontes!$B:$B,Fontes!$I:$I))</f>
        <v>0</v>
      </c>
      <c r="L678" s="250">
        <f t="shared" si="80"/>
        <v>6578.11</v>
      </c>
      <c r="M678" s="300">
        <f t="shared" si="81"/>
        <v>26312.44</v>
      </c>
      <c r="O678" s="517">
        <f t="shared" si="82"/>
        <v>26312.44</v>
      </c>
    </row>
    <row r="679" spans="1:15" outlineLevel="4" x14ac:dyDescent="0.3">
      <c r="A679" s="35"/>
      <c r="B679" s="36"/>
      <c r="C679" s="495" t="s">
        <v>10335</v>
      </c>
      <c r="D679" s="487" t="s">
        <v>2662</v>
      </c>
      <c r="E679" s="249" t="str">
        <f>UPPER(IF($D679=0,"",IF($A679=4,_xlfn.XLOOKUP($D679,Mercado!$C:$C,Mercado!$E:$E),_xlfn.XLOOKUP($D679,Fontes!$B:$B,Fontes!$C:$C))))</f>
        <v>CPOS/CDHU</v>
      </c>
      <c r="F679" s="328" t="s">
        <v>3612</v>
      </c>
      <c r="G679" s="249" t="str">
        <f>UPPER(IF($D679=0,"",IF($A679=4,_xlfn.XLOOKUP($D679,Mercado!$C:$C,Mercado!$G:$G),_xlfn.XLOOKUP($D679,Fontes!$B:$B,Fontes!$E:$E))))</f>
        <v>UN</v>
      </c>
      <c r="H679" s="252">
        <v>3</v>
      </c>
      <c r="I679" s="252">
        <f>IF($A679="M",_xlfn.XLOOKUP($D679,Mercado!$C:$C,Mercado!$I:$I),_xlfn.XLOOKUP($D679,Fontes!$B:$B,Fontes!$J:$J))</f>
        <v>4.45</v>
      </c>
      <c r="J679" s="252">
        <f>IF($A679="M",_xlfn.XLOOKUP($D679,Mercado!$C:$C,Mercado!$J:$J),_xlfn.XLOOKUP($D679,Fontes!$B:$B,Fontes!$H:$H))</f>
        <v>11.16</v>
      </c>
      <c r="K679" s="252">
        <f>IF($A679="M",0,_xlfn.XLOOKUP($D679,Fontes!$B:$B,Fontes!$I:$I))</f>
        <v>0</v>
      </c>
      <c r="L679" s="250">
        <f t="shared" si="80"/>
        <v>15.61</v>
      </c>
      <c r="M679" s="300">
        <f t="shared" si="81"/>
        <v>46.83</v>
      </c>
      <c r="O679" s="517">
        <f t="shared" si="82"/>
        <v>46.83</v>
      </c>
    </row>
    <row r="680" spans="1:15" outlineLevel="4" x14ac:dyDescent="0.3">
      <c r="A680" s="35"/>
      <c r="B680" s="36"/>
      <c r="C680" s="495" t="s">
        <v>10336</v>
      </c>
      <c r="D680" s="487">
        <v>686</v>
      </c>
      <c r="E680" s="249" t="str">
        <f>UPPER(IF($D680=0,"",IF($A680=4,_xlfn.XLOOKUP($D680,Mercado!$C:$C,Mercado!$E:$E),_xlfn.XLOOKUP($D680,Fontes!$B:$B,Fontes!$C:$C))))</f>
        <v>PRÓPRIO</v>
      </c>
      <c r="F680" s="335" t="s">
        <v>2639</v>
      </c>
      <c r="G680" s="249" t="str">
        <f>UPPER(IF($D680=0,"",IF($A680=4,_xlfn.XLOOKUP($D680,Mercado!$C:$C,Mercado!$G:$G),_xlfn.XLOOKUP($D680,Fontes!$B:$B,Fontes!$E:$E))))</f>
        <v>UN</v>
      </c>
      <c r="H680" s="252">
        <v>1</v>
      </c>
      <c r="I680" s="252">
        <f>IF($A680="M",_xlfn.XLOOKUP($D680,Mercado!$C:$C,Mercado!$I:$I),_xlfn.XLOOKUP($D680,Fontes!$B:$B,Fontes!$J:$J))</f>
        <v>4640.8100000000004</v>
      </c>
      <c r="J680" s="252">
        <f>IF($A680="M",_xlfn.XLOOKUP($D680,Mercado!$C:$C,Mercado!$J:$J),_xlfn.XLOOKUP($D680,Fontes!$B:$B,Fontes!$H:$H))</f>
        <v>1878.53</v>
      </c>
      <c r="K680" s="252">
        <f>IF($A680="M",0,_xlfn.XLOOKUP($D680,Fontes!$B:$B,Fontes!$I:$I))</f>
        <v>176.17</v>
      </c>
      <c r="L680" s="250">
        <f t="shared" si="80"/>
        <v>6695.51</v>
      </c>
      <c r="M680" s="300">
        <f t="shared" si="81"/>
        <v>6695.51</v>
      </c>
      <c r="O680" s="517">
        <f t="shared" si="82"/>
        <v>6695.51</v>
      </c>
    </row>
    <row r="681" spans="1:15" outlineLevel="4" x14ac:dyDescent="0.3">
      <c r="A681" s="35"/>
      <c r="B681" s="36"/>
      <c r="C681" s="495" t="s">
        <v>10337</v>
      </c>
      <c r="D681" s="487">
        <v>72619</v>
      </c>
      <c r="E681" s="249" t="str">
        <f>UPPER(IF($D681=0,"",IF($A681=4,_xlfn.XLOOKUP($D681,Mercado!$C:$C,Mercado!$E:$E),_xlfn.XLOOKUP($D681,Fontes!$B:$B,Fontes!$C:$C))))</f>
        <v>AGETOP CIVIL</v>
      </c>
      <c r="F681" s="328" t="s">
        <v>2699</v>
      </c>
      <c r="G681" s="249" t="str">
        <f>UPPER(IF($D681=0,"",IF($A681=4,_xlfn.XLOOKUP($D681,Mercado!$C:$C,Mercado!$G:$G),_xlfn.XLOOKUP($D681,Fontes!$B:$B,Fontes!$E:$E))))</f>
        <v>UN</v>
      </c>
      <c r="H681" s="252">
        <v>3</v>
      </c>
      <c r="I681" s="252">
        <f>IF($A681="M",_xlfn.XLOOKUP($D681,Mercado!$C:$C,Mercado!$I:$I),_xlfn.XLOOKUP($D681,Fontes!$B:$B,Fontes!$J:$J))</f>
        <v>120.91</v>
      </c>
      <c r="J681" s="252">
        <f>IF($A681="M",_xlfn.XLOOKUP($D681,Mercado!$C:$C,Mercado!$J:$J),_xlfn.XLOOKUP($D681,Fontes!$B:$B,Fontes!$H:$H))</f>
        <v>17.3</v>
      </c>
      <c r="K681" s="252">
        <f>IF($A681="M",0,_xlfn.XLOOKUP($D681,Fontes!$B:$B,Fontes!$I:$I))</f>
        <v>0</v>
      </c>
      <c r="L681" s="250">
        <f t="shared" si="80"/>
        <v>138.21</v>
      </c>
      <c r="M681" s="300">
        <f t="shared" si="81"/>
        <v>414.63</v>
      </c>
      <c r="O681" s="517">
        <f t="shared" si="82"/>
        <v>414.63</v>
      </c>
    </row>
    <row r="682" spans="1:15" ht="38.4" outlineLevel="4" x14ac:dyDescent="0.3">
      <c r="A682" s="35"/>
      <c r="B682" s="36"/>
      <c r="C682" s="495" t="s">
        <v>10338</v>
      </c>
      <c r="D682" s="487">
        <v>101897</v>
      </c>
      <c r="E682" s="249" t="str">
        <f>UPPER(IF($D682=0,"",IF($A682=4,_xlfn.XLOOKUP($D682,Mercado!$C:$C,Mercado!$E:$E),_xlfn.XLOOKUP($D682,Fontes!$B:$B,Fontes!$C:$C))))</f>
        <v>SINAPI</v>
      </c>
      <c r="F682" s="328" t="s">
        <v>331</v>
      </c>
      <c r="G682" s="249" t="str">
        <f>UPPER(IF($D682=0,"",IF($A682=4,_xlfn.XLOOKUP($D682,Mercado!$C:$C,Mercado!$G:$G),_xlfn.XLOOKUP($D682,Fontes!$B:$B,Fontes!$E:$E))))</f>
        <v>UN</v>
      </c>
      <c r="H682" s="252">
        <v>1</v>
      </c>
      <c r="I682" s="252">
        <f>IF($A682="M",_xlfn.XLOOKUP($D682,Mercado!$C:$C,Mercado!$I:$I),_xlfn.XLOOKUP($D682,Fontes!$B:$B,Fontes!$J:$J))</f>
        <v>843.75</v>
      </c>
      <c r="J682" s="252">
        <f>IF($A682="M",_xlfn.XLOOKUP($D682,Mercado!$C:$C,Mercado!$J:$J),_xlfn.XLOOKUP($D682,Fontes!$B:$B,Fontes!$H:$H))</f>
        <v>68.05</v>
      </c>
      <c r="K682" s="252">
        <f>IF($A682="M",0,_xlfn.XLOOKUP($D682,Fontes!$B:$B,Fontes!$I:$I))</f>
        <v>6.02</v>
      </c>
      <c r="L682" s="250">
        <f t="shared" si="80"/>
        <v>917.81999999999994</v>
      </c>
      <c r="M682" s="300">
        <f t="shared" si="81"/>
        <v>917.82</v>
      </c>
      <c r="O682" s="517">
        <f t="shared" si="82"/>
        <v>917.82</v>
      </c>
    </row>
    <row r="683" spans="1:15" ht="38.4" outlineLevel="4" x14ac:dyDescent="0.3">
      <c r="A683" s="35"/>
      <c r="B683" s="36"/>
      <c r="C683" s="495" t="s">
        <v>10339</v>
      </c>
      <c r="D683" s="487">
        <v>101894</v>
      </c>
      <c r="E683" s="249" t="str">
        <f>UPPER(IF($D683=0,"",IF($A683=4,_xlfn.XLOOKUP($D683,Mercado!$C:$C,Mercado!$E:$E),_xlfn.XLOOKUP($D683,Fontes!$B:$B,Fontes!$C:$C))))</f>
        <v>SINAPI</v>
      </c>
      <c r="F683" s="328" t="s">
        <v>329</v>
      </c>
      <c r="G683" s="249" t="str">
        <f>UPPER(IF($D683=0,"",IF($A683=4,_xlfn.XLOOKUP($D683,Mercado!$C:$C,Mercado!$G:$G),_xlfn.XLOOKUP($D683,Fontes!$B:$B,Fontes!$E:$E))))</f>
        <v>UN</v>
      </c>
      <c r="H683" s="252">
        <v>3</v>
      </c>
      <c r="I683" s="252">
        <f>IF($A683="M",_xlfn.XLOOKUP($D683,Mercado!$C:$C,Mercado!$I:$I),_xlfn.XLOOKUP($D683,Fontes!$B:$B,Fontes!$J:$J))</f>
        <v>114.53</v>
      </c>
      <c r="J683" s="252">
        <f>IF($A683="M",_xlfn.XLOOKUP($D683,Mercado!$C:$C,Mercado!$J:$J),_xlfn.XLOOKUP($D683,Fontes!$B:$B,Fontes!$H:$H))</f>
        <v>40.479999999999997</v>
      </c>
      <c r="K683" s="252">
        <f>IF($A683="M",0,_xlfn.XLOOKUP($D683,Fontes!$B:$B,Fontes!$I:$I))</f>
        <v>3.58</v>
      </c>
      <c r="L683" s="250">
        <f t="shared" si="80"/>
        <v>158.59</v>
      </c>
      <c r="M683" s="300">
        <f t="shared" si="81"/>
        <v>475.77</v>
      </c>
      <c r="O683" s="517">
        <f t="shared" si="82"/>
        <v>475.77</v>
      </c>
    </row>
    <row r="684" spans="1:15" ht="38.4" outlineLevel="4" x14ac:dyDescent="0.3">
      <c r="A684" s="35"/>
      <c r="B684" s="36"/>
      <c r="C684" s="495" t="s">
        <v>10340</v>
      </c>
      <c r="D684" s="487">
        <v>101895</v>
      </c>
      <c r="E684" s="249" t="str">
        <f>UPPER(IF($D684=0,"",IF($A684=4,_xlfn.XLOOKUP($D684,Mercado!$C:$C,Mercado!$E:$E),_xlfn.XLOOKUP($D684,Fontes!$B:$B,Fontes!$C:$C))))</f>
        <v>SINAPI</v>
      </c>
      <c r="F684" s="328" t="s">
        <v>330</v>
      </c>
      <c r="G684" s="249" t="str">
        <f>UPPER(IF($D684=0,"",IF($A684=4,_xlfn.XLOOKUP($D684,Mercado!$C:$C,Mercado!$G:$G),_xlfn.XLOOKUP($D684,Fontes!$B:$B,Fontes!$E:$E))))</f>
        <v>UN</v>
      </c>
      <c r="H684" s="252">
        <v>1</v>
      </c>
      <c r="I684" s="252">
        <f>IF($A684="M",_xlfn.XLOOKUP($D684,Mercado!$C:$C,Mercado!$I:$I),_xlfn.XLOOKUP($D684,Fontes!$B:$B,Fontes!$J:$J))</f>
        <v>331.63</v>
      </c>
      <c r="J684" s="252">
        <f>IF($A684="M",_xlfn.XLOOKUP($D684,Mercado!$C:$C,Mercado!$J:$J),_xlfn.XLOOKUP($D684,Fontes!$B:$B,Fontes!$H:$H))</f>
        <v>68.05</v>
      </c>
      <c r="K684" s="252">
        <f>IF($A684="M",0,_xlfn.XLOOKUP($D684,Fontes!$B:$B,Fontes!$I:$I))</f>
        <v>6.02</v>
      </c>
      <c r="L684" s="250">
        <f t="shared" si="80"/>
        <v>405.7</v>
      </c>
      <c r="M684" s="300">
        <f t="shared" si="81"/>
        <v>405.7</v>
      </c>
      <c r="O684" s="517">
        <f t="shared" si="82"/>
        <v>405.7</v>
      </c>
    </row>
    <row r="685" spans="1:15" ht="38.4" outlineLevel="4" x14ac:dyDescent="0.3">
      <c r="A685" s="35"/>
      <c r="B685" s="36"/>
      <c r="C685" s="495" t="s">
        <v>10341</v>
      </c>
      <c r="D685" s="487">
        <v>101894</v>
      </c>
      <c r="E685" s="249" t="str">
        <f>UPPER(IF($D685=0,"",IF($A685=4,_xlfn.XLOOKUP($D685,Mercado!$C:$C,Mercado!$E:$E),_xlfn.XLOOKUP($D685,Fontes!$B:$B,Fontes!$C:$C))))</f>
        <v>SINAPI</v>
      </c>
      <c r="F685" s="328" t="s">
        <v>329</v>
      </c>
      <c r="G685" s="249" t="str">
        <f>UPPER(IF($D685=0,"",IF($A685=4,_xlfn.XLOOKUP($D685,Mercado!$C:$C,Mercado!$G:$G),_xlfn.XLOOKUP($D685,Fontes!$B:$B,Fontes!$E:$E))))</f>
        <v>UN</v>
      </c>
      <c r="H685" s="252">
        <v>3</v>
      </c>
      <c r="I685" s="252">
        <f>IF($A685="M",_xlfn.XLOOKUP($D685,Mercado!$C:$C,Mercado!$I:$I),_xlfn.XLOOKUP($D685,Fontes!$B:$B,Fontes!$J:$J))</f>
        <v>114.53</v>
      </c>
      <c r="J685" s="252">
        <f>IF($A685="M",_xlfn.XLOOKUP($D685,Mercado!$C:$C,Mercado!$J:$J),_xlfn.XLOOKUP($D685,Fontes!$B:$B,Fontes!$H:$H))</f>
        <v>40.479999999999997</v>
      </c>
      <c r="K685" s="252">
        <f>IF($A685="M",0,_xlfn.XLOOKUP($D685,Fontes!$B:$B,Fontes!$I:$I))</f>
        <v>3.58</v>
      </c>
      <c r="L685" s="250">
        <f t="shared" si="80"/>
        <v>158.59</v>
      </c>
      <c r="M685" s="300">
        <f t="shared" si="81"/>
        <v>475.77</v>
      </c>
      <c r="O685" s="517">
        <f t="shared" si="82"/>
        <v>475.77</v>
      </c>
    </row>
    <row r="686" spans="1:15" ht="38.4" outlineLevel="4" x14ac:dyDescent="0.3">
      <c r="A686" s="35"/>
      <c r="B686" s="36"/>
      <c r="C686" s="495" t="s">
        <v>10342</v>
      </c>
      <c r="D686" s="487">
        <v>101894</v>
      </c>
      <c r="E686" s="249" t="str">
        <f>UPPER(IF($D686=0,"",IF($A686=4,_xlfn.XLOOKUP($D686,Mercado!$C:$C,Mercado!$E:$E),_xlfn.XLOOKUP($D686,Fontes!$B:$B,Fontes!$C:$C))))</f>
        <v>SINAPI</v>
      </c>
      <c r="F686" s="328" t="s">
        <v>329</v>
      </c>
      <c r="G686" s="249" t="str">
        <f>UPPER(IF($D686=0,"",IF($A686=4,_xlfn.XLOOKUP($D686,Mercado!$C:$C,Mercado!$G:$G),_xlfn.XLOOKUP($D686,Fontes!$B:$B,Fontes!$E:$E))))</f>
        <v>UN</v>
      </c>
      <c r="H686" s="252">
        <v>1</v>
      </c>
      <c r="I686" s="252">
        <f>IF($A686="M",_xlfn.XLOOKUP($D686,Mercado!$C:$C,Mercado!$I:$I),_xlfn.XLOOKUP($D686,Fontes!$B:$B,Fontes!$J:$J))</f>
        <v>114.53</v>
      </c>
      <c r="J686" s="252">
        <f>IF($A686="M",_xlfn.XLOOKUP($D686,Mercado!$C:$C,Mercado!$J:$J),_xlfn.XLOOKUP($D686,Fontes!$B:$B,Fontes!$H:$H))</f>
        <v>40.479999999999997</v>
      </c>
      <c r="K686" s="252">
        <f>IF($A686="M",0,_xlfn.XLOOKUP($D686,Fontes!$B:$B,Fontes!$I:$I))</f>
        <v>3.58</v>
      </c>
      <c r="L686" s="250">
        <f t="shared" si="80"/>
        <v>158.59</v>
      </c>
      <c r="M686" s="300">
        <f t="shared" si="81"/>
        <v>158.59</v>
      </c>
      <c r="O686" s="517">
        <f t="shared" si="82"/>
        <v>158.59</v>
      </c>
    </row>
    <row r="687" spans="1:15" ht="38.4" outlineLevel="4" x14ac:dyDescent="0.3">
      <c r="A687" s="35"/>
      <c r="B687" s="36"/>
      <c r="C687" s="495" t="s">
        <v>10343</v>
      </c>
      <c r="D687" s="487">
        <v>93671</v>
      </c>
      <c r="E687" s="249" t="str">
        <f>UPPER(IF($D687=0,"",IF($A687=4,_xlfn.XLOOKUP($D687,Mercado!$C:$C,Mercado!$E:$E),_xlfn.XLOOKUP($D687,Fontes!$B:$B,Fontes!$C:$C))))</f>
        <v>SINAPI</v>
      </c>
      <c r="F687" s="328" t="s">
        <v>323</v>
      </c>
      <c r="G687" s="249" t="str">
        <f>UPPER(IF($D687=0,"",IF($A687=4,_xlfn.XLOOKUP($D687,Mercado!$C:$C,Mercado!$G:$G),_xlfn.XLOOKUP($D687,Fontes!$B:$B,Fontes!$E:$E))))</f>
        <v>UN</v>
      </c>
      <c r="H687" s="252">
        <v>1</v>
      </c>
      <c r="I687" s="252">
        <f>IF($A687="M",_xlfn.XLOOKUP($D687,Mercado!$C:$C,Mercado!$I:$I),_xlfn.XLOOKUP($D687,Fontes!$B:$B,Fontes!$J:$J))</f>
        <v>63.11</v>
      </c>
      <c r="J687" s="252">
        <f>IF($A687="M",_xlfn.XLOOKUP($D687,Mercado!$C:$C,Mercado!$J:$J),_xlfn.XLOOKUP($D687,Fontes!$B:$B,Fontes!$H:$H))</f>
        <v>14.5</v>
      </c>
      <c r="K687" s="252">
        <f>IF($A687="M",0,_xlfn.XLOOKUP($D687,Fontes!$B:$B,Fontes!$I:$I))</f>
        <v>1.28</v>
      </c>
      <c r="L687" s="250">
        <f t="shared" si="80"/>
        <v>78.89</v>
      </c>
      <c r="M687" s="300">
        <f t="shared" si="81"/>
        <v>78.89</v>
      </c>
      <c r="O687" s="517">
        <f t="shared" si="82"/>
        <v>78.89</v>
      </c>
    </row>
    <row r="688" spans="1:15" ht="38.4" outlineLevel="4" x14ac:dyDescent="0.3">
      <c r="A688" s="35"/>
      <c r="B688" s="36"/>
      <c r="C688" s="495" t="s">
        <v>10344</v>
      </c>
      <c r="D688" s="487">
        <v>93672</v>
      </c>
      <c r="E688" s="249" t="str">
        <f>UPPER(IF($D688=0,"",IF($A688=4,_xlfn.XLOOKUP($D688,Mercado!$C:$C,Mercado!$E:$E),_xlfn.XLOOKUP($D688,Fontes!$B:$B,Fontes!$C:$C))))</f>
        <v>SINAPI</v>
      </c>
      <c r="F688" s="328" t="s">
        <v>324</v>
      </c>
      <c r="G688" s="249" t="str">
        <f>UPPER(IF($D688=0,"",IF($A688=4,_xlfn.XLOOKUP($D688,Mercado!$C:$C,Mercado!$G:$G),_xlfn.XLOOKUP($D688,Fontes!$B:$B,Fontes!$E:$E))))</f>
        <v>UN</v>
      </c>
      <c r="H688" s="252">
        <v>1</v>
      </c>
      <c r="I688" s="252">
        <f>IF($A688="M",_xlfn.XLOOKUP($D688,Mercado!$C:$C,Mercado!$I:$I),_xlfn.XLOOKUP($D688,Fontes!$B:$B,Fontes!$J:$J))</f>
        <v>65.41</v>
      </c>
      <c r="J688" s="252">
        <f>IF($A688="M",_xlfn.XLOOKUP($D688,Mercado!$C:$C,Mercado!$J:$J),_xlfn.XLOOKUP($D688,Fontes!$B:$B,Fontes!$H:$H))</f>
        <v>21.23</v>
      </c>
      <c r="K688" s="252">
        <f>IF($A688="M",0,_xlfn.XLOOKUP($D688,Fontes!$B:$B,Fontes!$I:$I))</f>
        <v>1.88</v>
      </c>
      <c r="L688" s="250">
        <f t="shared" si="80"/>
        <v>88.52</v>
      </c>
      <c r="M688" s="300">
        <f t="shared" si="81"/>
        <v>88.52</v>
      </c>
      <c r="O688" s="517">
        <f t="shared" si="82"/>
        <v>88.52</v>
      </c>
    </row>
    <row r="689" spans="1:15" ht="38.4" outlineLevel="4" x14ac:dyDescent="0.3">
      <c r="A689" s="35"/>
      <c r="B689" s="36"/>
      <c r="C689" s="495" t="s">
        <v>10345</v>
      </c>
      <c r="D689" s="487">
        <v>93673</v>
      </c>
      <c r="E689" s="249" t="str">
        <f>UPPER(IF($D689=0,"",IF($A689=4,_xlfn.XLOOKUP($D689,Mercado!$C:$C,Mercado!$E:$E),_xlfn.XLOOKUP($D689,Fontes!$B:$B,Fontes!$C:$C))))</f>
        <v>SINAPI</v>
      </c>
      <c r="F689" s="328" t="s">
        <v>325</v>
      </c>
      <c r="G689" s="249" t="str">
        <f>UPPER(IF($D689=0,"",IF($A689=4,_xlfn.XLOOKUP($D689,Mercado!$C:$C,Mercado!$G:$G),_xlfn.XLOOKUP($D689,Fontes!$B:$B,Fontes!$E:$E))))</f>
        <v>UN</v>
      </c>
      <c r="H689" s="252">
        <v>1</v>
      </c>
      <c r="I689" s="252">
        <f>IF($A689="M",_xlfn.XLOOKUP($D689,Mercado!$C:$C,Mercado!$I:$I),_xlfn.XLOOKUP($D689,Fontes!$B:$B,Fontes!$J:$J))</f>
        <v>68.7</v>
      </c>
      <c r="J689" s="252">
        <f>IF($A689="M",_xlfn.XLOOKUP($D689,Mercado!$C:$C,Mercado!$J:$J),_xlfn.XLOOKUP($D689,Fontes!$B:$B,Fontes!$H:$H))</f>
        <v>29.49</v>
      </c>
      <c r="K689" s="252">
        <f>IF($A689="M",0,_xlfn.XLOOKUP($D689,Fontes!$B:$B,Fontes!$I:$I))</f>
        <v>2.6</v>
      </c>
      <c r="L689" s="250">
        <f t="shared" si="80"/>
        <v>100.78999999999999</v>
      </c>
      <c r="M689" s="300">
        <f t="shared" si="81"/>
        <v>100.79</v>
      </c>
      <c r="O689" s="517">
        <f t="shared" si="82"/>
        <v>100.79</v>
      </c>
    </row>
    <row r="690" spans="1:15" ht="57.6" outlineLevel="4" x14ac:dyDescent="0.3">
      <c r="A690" s="35"/>
      <c r="B690" s="36"/>
      <c r="C690" s="495" t="s">
        <v>10346</v>
      </c>
      <c r="D690" s="487">
        <v>12233</v>
      </c>
      <c r="E690" s="249" t="str">
        <f>UPPER(IF($D690=0,"",IF($A690=4,_xlfn.XLOOKUP($D690,Mercado!$C:$C,Mercado!$E:$E),_xlfn.XLOOKUP($D690,Fontes!$B:$B,Fontes!$C:$C))))</f>
        <v>ORSE</v>
      </c>
      <c r="F690" s="328" t="s">
        <v>3613</v>
      </c>
      <c r="G690" s="249" t="str">
        <f>UPPER(IF($D690=0,"",IF($A690=4,_xlfn.XLOOKUP($D690,Mercado!$C:$C,Mercado!$G:$G),_xlfn.XLOOKUP($D690,Fontes!$B:$B,Fontes!$E:$E))))</f>
        <v>UN</v>
      </c>
      <c r="H690" s="252">
        <v>1</v>
      </c>
      <c r="I690" s="252">
        <f>IF($A690="M",_xlfn.XLOOKUP($D690,Mercado!$C:$C,Mercado!$I:$I),_xlfn.XLOOKUP($D690,Fontes!$B:$B,Fontes!$J:$J))</f>
        <v>1949.63</v>
      </c>
      <c r="J690" s="252">
        <f>IF($A690="M",_xlfn.XLOOKUP($D690,Mercado!$C:$C,Mercado!$J:$J),_xlfn.XLOOKUP($D690,Fontes!$B:$B,Fontes!$H:$H))</f>
        <v>441.28</v>
      </c>
      <c r="K690" s="252">
        <f>IF($A690="M",0,_xlfn.XLOOKUP($D690,Fontes!$B:$B,Fontes!$I:$I))</f>
        <v>0.3</v>
      </c>
      <c r="L690" s="250">
        <f t="shared" si="80"/>
        <v>2391.21</v>
      </c>
      <c r="M690" s="300">
        <f t="shared" si="81"/>
        <v>2391.21</v>
      </c>
      <c r="O690" s="517">
        <f t="shared" si="82"/>
        <v>2391.21</v>
      </c>
    </row>
    <row r="691" spans="1:15" outlineLevel="4" x14ac:dyDescent="0.3">
      <c r="A691" s="36" t="s">
        <v>7</v>
      </c>
      <c r="B691" s="36"/>
      <c r="C691" s="495" t="s">
        <v>781</v>
      </c>
      <c r="D691" s="487"/>
      <c r="E691" s="249" t="str">
        <f>UPPER(IF($D691=0,"",IF($A691=4,_xlfn.XLOOKUP($D691,Mercado!$C:$C,Mercado!$E:$E),_xlfn.XLOOKUP($D691,Fontes!$B:$B,Fontes!$C:$C))))</f>
        <v/>
      </c>
      <c r="F691" s="335" t="s">
        <v>781</v>
      </c>
      <c r="G691" s="249"/>
      <c r="H691" s="252"/>
      <c r="I691" s="252">
        <f>IF($A691="M",_xlfn.XLOOKUP($D691,Mercado!$C:$C,Mercado!$I:$I),_xlfn.XLOOKUP($D691,Fontes!$B:$B,Fontes!$J:$J))</f>
        <v>0</v>
      </c>
      <c r="J691" s="252">
        <f>IF($A691="M",_xlfn.XLOOKUP($D691,Mercado!$C:$C,Mercado!$J:$J),_xlfn.XLOOKUP($D691,Fontes!$B:$B,Fontes!$H:$H))</f>
        <v>0</v>
      </c>
      <c r="K691" s="252">
        <f>IF($A691="M",0,_xlfn.XLOOKUP($D691,Fontes!$B:$B,Fontes!$I:$I))</f>
        <v>0</v>
      </c>
      <c r="L691" s="250">
        <f t="shared" si="80"/>
        <v>0</v>
      </c>
      <c r="M691" s="300">
        <f t="shared" si="81"/>
        <v>0</v>
      </c>
      <c r="O691" s="517" t="str">
        <f t="shared" si="82"/>
        <v/>
      </c>
    </row>
    <row r="692" spans="1:15" s="261" customFormat="1" outlineLevel="4" x14ac:dyDescent="0.3">
      <c r="A692" s="36" t="s">
        <v>7</v>
      </c>
      <c r="B692" s="35"/>
      <c r="C692" s="499" t="s">
        <v>10347</v>
      </c>
      <c r="D692" s="488"/>
      <c r="E692" s="257" t="str">
        <f>UPPER(IF($D692=0,"",IF($A692=4,_xlfn.XLOOKUP($D692,Mercado!$C:$C,Mercado!$E:$E),_xlfn.XLOOKUP($D692,Fontes!$B:$B,Fontes!$C:$C))))</f>
        <v/>
      </c>
      <c r="F692" s="332" t="s">
        <v>543</v>
      </c>
      <c r="G692" s="257"/>
      <c r="H692" s="259"/>
      <c r="I692" s="259">
        <f>IF($A692="M",_xlfn.XLOOKUP($D692,Mercado!$C:$C,Mercado!$I:$I),_xlfn.XLOOKUP($D692,Fontes!$B:$B,Fontes!$J:$J))</f>
        <v>0</v>
      </c>
      <c r="J692" s="259">
        <f>IF($A692="M",_xlfn.XLOOKUP($D692,Mercado!$C:$C,Mercado!$J:$J),_xlfn.XLOOKUP($D692,Fontes!$B:$B,Fontes!$H:$H))</f>
        <v>0</v>
      </c>
      <c r="K692" s="259">
        <f>IF($A692="M",0,_xlfn.XLOOKUP($D692,Fontes!$B:$B,Fontes!$I:$I))</f>
        <v>0</v>
      </c>
      <c r="L692" s="260">
        <f t="shared" si="80"/>
        <v>0</v>
      </c>
      <c r="M692" s="500">
        <f t="shared" si="81"/>
        <v>0</v>
      </c>
      <c r="N692" s="247"/>
      <c r="O692" s="517" t="str">
        <f t="shared" si="82"/>
        <v/>
      </c>
    </row>
    <row r="693" spans="1:15" ht="38.4" outlineLevel="4" x14ac:dyDescent="0.3">
      <c r="A693" s="35"/>
      <c r="B693" s="36"/>
      <c r="C693" s="495" t="s">
        <v>10348</v>
      </c>
      <c r="D693" s="487">
        <v>72322</v>
      </c>
      <c r="E693" s="249" t="str">
        <f>UPPER(IF($D693=0,"",IF($A693=4,_xlfn.XLOOKUP($D693,Mercado!$C:$C,Mercado!$E:$E),_xlfn.XLOOKUP($D693,Fontes!$B:$B,Fontes!$C:$C))))</f>
        <v>SINAPI</v>
      </c>
      <c r="F693" s="328" t="s">
        <v>2683</v>
      </c>
      <c r="G693" s="249" t="str">
        <f>UPPER(IF($D693=0,"",IF($A693=4,_xlfn.XLOOKUP($D693,Mercado!$C:$C,Mercado!$G:$G),_xlfn.XLOOKUP($D693,Fontes!$B:$B,Fontes!$E:$E))))</f>
        <v>UN</v>
      </c>
      <c r="H693" s="252">
        <v>1</v>
      </c>
      <c r="I693" s="252">
        <f>IF($A693="M",_xlfn.XLOOKUP($D693,Mercado!$C:$C,Mercado!$I:$I),_xlfn.XLOOKUP($D693,Fontes!$B:$B,Fontes!$J:$J))</f>
        <v>320.5</v>
      </c>
      <c r="J693" s="252">
        <f>IF($A693="M",_xlfn.XLOOKUP($D693,Mercado!$C:$C,Mercado!$J:$J),_xlfn.XLOOKUP($D693,Fontes!$B:$B,Fontes!$H:$H))</f>
        <v>111.34</v>
      </c>
      <c r="K693" s="252">
        <f>IF($A693="M",0,_xlfn.XLOOKUP($D693,Fontes!$B:$B,Fontes!$I:$I))</f>
        <v>9.84</v>
      </c>
      <c r="L693" s="250">
        <f t="shared" si="80"/>
        <v>441.68</v>
      </c>
      <c r="M693" s="300">
        <f t="shared" si="81"/>
        <v>441.68</v>
      </c>
      <c r="O693" s="517">
        <f t="shared" si="82"/>
        <v>441.68</v>
      </c>
    </row>
    <row r="694" spans="1:15" ht="38.4" outlineLevel="4" x14ac:dyDescent="0.3">
      <c r="A694" s="35"/>
      <c r="B694" s="36"/>
      <c r="C694" s="495" t="s">
        <v>10349</v>
      </c>
      <c r="D694" s="487">
        <v>93672</v>
      </c>
      <c r="E694" s="249" t="str">
        <f>UPPER(IF($D694=0,"",IF($A694=4,_xlfn.XLOOKUP($D694,Mercado!$C:$C,Mercado!$E:$E),_xlfn.XLOOKUP($D694,Fontes!$B:$B,Fontes!$C:$C))))</f>
        <v>SINAPI</v>
      </c>
      <c r="F694" s="328" t="s">
        <v>324</v>
      </c>
      <c r="G694" s="249" t="str">
        <f>UPPER(IF($D694=0,"",IF($A694=4,_xlfn.XLOOKUP($D694,Mercado!$C:$C,Mercado!$G:$G),_xlfn.XLOOKUP($D694,Fontes!$B:$B,Fontes!$E:$E))))</f>
        <v>UN</v>
      </c>
      <c r="H694" s="252">
        <v>1</v>
      </c>
      <c r="I694" s="252">
        <f>IF($A694="M",_xlfn.XLOOKUP($D694,Mercado!$C:$C,Mercado!$I:$I),_xlfn.XLOOKUP($D694,Fontes!$B:$B,Fontes!$J:$J))</f>
        <v>65.41</v>
      </c>
      <c r="J694" s="252">
        <f>IF($A694="M",_xlfn.XLOOKUP($D694,Mercado!$C:$C,Mercado!$J:$J),_xlfn.XLOOKUP($D694,Fontes!$B:$B,Fontes!$H:$H))</f>
        <v>21.23</v>
      </c>
      <c r="K694" s="252">
        <f>IF($A694="M",0,_xlfn.XLOOKUP($D694,Fontes!$B:$B,Fontes!$I:$I))</f>
        <v>1.88</v>
      </c>
      <c r="L694" s="250">
        <f t="shared" si="80"/>
        <v>88.52</v>
      </c>
      <c r="M694" s="300">
        <f t="shared" si="81"/>
        <v>88.52</v>
      </c>
      <c r="O694" s="517">
        <f t="shared" si="82"/>
        <v>88.52</v>
      </c>
    </row>
    <row r="695" spans="1:15" ht="38.4" outlineLevel="4" x14ac:dyDescent="0.3">
      <c r="A695" s="35"/>
      <c r="B695" s="36"/>
      <c r="C695" s="495" t="s">
        <v>10350</v>
      </c>
      <c r="D695" s="487">
        <v>681</v>
      </c>
      <c r="E695" s="249" t="str">
        <f>UPPER(IF($D695=0,"",IF($A695=4,_xlfn.XLOOKUP($D695,Mercado!$C:$C,Mercado!$E:$E),_xlfn.XLOOKUP($D695,Fontes!$B:$B,Fontes!$C:$C))))</f>
        <v>PRÓPRIO</v>
      </c>
      <c r="F695" s="335" t="s">
        <v>2640</v>
      </c>
      <c r="G695" s="249" t="str">
        <f>UPPER(IF($D695=0,"",IF($A695=4,_xlfn.XLOOKUP($D695,Mercado!$C:$C,Mercado!$G:$G),_xlfn.XLOOKUP($D695,Fontes!$B:$B,Fontes!$E:$E))))</f>
        <v>UN</v>
      </c>
      <c r="H695" s="252">
        <v>3</v>
      </c>
      <c r="I695" s="252">
        <f>IF($A695="M",_xlfn.XLOOKUP($D695,Mercado!$C:$C,Mercado!$I:$I),_xlfn.XLOOKUP($D695,Fontes!$B:$B,Fontes!$J:$J))</f>
        <v>1403.99</v>
      </c>
      <c r="J695" s="252">
        <f>IF($A695="M",_xlfn.XLOOKUP($D695,Mercado!$C:$C,Mercado!$J:$J),_xlfn.XLOOKUP($D695,Fontes!$B:$B,Fontes!$H:$H))</f>
        <v>35.119999999999997</v>
      </c>
      <c r="K695" s="252">
        <f>IF($A695="M",0,_xlfn.XLOOKUP($D695,Fontes!$B:$B,Fontes!$I:$I))</f>
        <v>0</v>
      </c>
      <c r="L695" s="250">
        <f t="shared" si="80"/>
        <v>1439.11</v>
      </c>
      <c r="M695" s="300">
        <f t="shared" si="81"/>
        <v>4317.33</v>
      </c>
      <c r="O695" s="517">
        <f t="shared" si="82"/>
        <v>4317.33</v>
      </c>
    </row>
    <row r="696" spans="1:15" ht="38.4" outlineLevel="4" x14ac:dyDescent="0.3">
      <c r="A696" s="35"/>
      <c r="B696" s="36"/>
      <c r="C696" s="495" t="s">
        <v>10351</v>
      </c>
      <c r="D696" s="487">
        <v>93654</v>
      </c>
      <c r="E696" s="249" t="str">
        <f>UPPER(IF($D696=0,"",IF($A696=4,_xlfn.XLOOKUP($D696,Mercado!$C:$C,Mercado!$E:$E),_xlfn.XLOOKUP($D696,Fontes!$B:$B,Fontes!$C:$C))))</f>
        <v>SINAPI</v>
      </c>
      <c r="F696" s="328" t="s">
        <v>314</v>
      </c>
      <c r="G696" s="249" t="str">
        <f>UPPER(IF($D696=0,"",IF($A696=4,_xlfn.XLOOKUP($D696,Mercado!$C:$C,Mercado!$G:$G),_xlfn.XLOOKUP($D696,Fontes!$B:$B,Fontes!$E:$E))))</f>
        <v>UN</v>
      </c>
      <c r="H696" s="252">
        <v>24</v>
      </c>
      <c r="I696" s="252">
        <f>IF($A696="M",_xlfn.XLOOKUP($D696,Mercado!$C:$C,Mercado!$I:$I),_xlfn.XLOOKUP($D696,Fontes!$B:$B,Fontes!$J:$J))</f>
        <v>9.2899999999999991</v>
      </c>
      <c r="J696" s="252">
        <f>IF($A696="M",_xlfn.XLOOKUP($D696,Mercado!$C:$C,Mercado!$J:$J),_xlfn.XLOOKUP($D696,Fontes!$B:$B,Fontes!$H:$H))</f>
        <v>1.98</v>
      </c>
      <c r="K696" s="252">
        <f>IF($A696="M",0,_xlfn.XLOOKUP($D696,Fontes!$B:$B,Fontes!$I:$I))</f>
        <v>0.18</v>
      </c>
      <c r="L696" s="250">
        <f t="shared" si="80"/>
        <v>11.45</v>
      </c>
      <c r="M696" s="300">
        <f t="shared" si="81"/>
        <v>274.8</v>
      </c>
      <c r="O696" s="517">
        <f t="shared" si="82"/>
        <v>274.8</v>
      </c>
    </row>
    <row r="697" spans="1:15" ht="38.4" outlineLevel="4" x14ac:dyDescent="0.3">
      <c r="A697" s="35"/>
      <c r="B697" s="36"/>
      <c r="C697" s="495" t="s">
        <v>10352</v>
      </c>
      <c r="D697" s="487">
        <v>93661</v>
      </c>
      <c r="E697" s="249" t="str">
        <f>UPPER(IF($D697=0,"",IF($A697=4,_xlfn.XLOOKUP($D697,Mercado!$C:$C,Mercado!$E:$E),_xlfn.XLOOKUP($D697,Fontes!$B:$B,Fontes!$C:$C))))</f>
        <v>SINAPI</v>
      </c>
      <c r="F697" s="328" t="s">
        <v>316</v>
      </c>
      <c r="G697" s="249" t="str">
        <f>UPPER(IF($D697=0,"",IF($A697=4,_xlfn.XLOOKUP($D697,Mercado!$C:$C,Mercado!$G:$G),_xlfn.XLOOKUP($D697,Fontes!$B:$B,Fontes!$E:$E))))</f>
        <v>UN</v>
      </c>
      <c r="H697" s="252">
        <v>10</v>
      </c>
      <c r="I697" s="252">
        <f>IF($A697="M",_xlfn.XLOOKUP($D697,Mercado!$C:$C,Mercado!$I:$I),_xlfn.XLOOKUP($D697,Fontes!$B:$B,Fontes!$J:$J))</f>
        <v>47.45</v>
      </c>
      <c r="J697" s="252">
        <f>IF($A697="M",_xlfn.XLOOKUP($D697,Mercado!$C:$C,Mercado!$J:$J),_xlfn.XLOOKUP($D697,Fontes!$B:$B,Fontes!$H:$H))</f>
        <v>3.94</v>
      </c>
      <c r="K697" s="252">
        <f>IF($A697="M",0,_xlfn.XLOOKUP($D697,Fontes!$B:$B,Fontes!$I:$I))</f>
        <v>0.34</v>
      </c>
      <c r="L697" s="250">
        <f t="shared" si="80"/>
        <v>51.730000000000004</v>
      </c>
      <c r="M697" s="300">
        <f t="shared" si="81"/>
        <v>517.29999999999995</v>
      </c>
      <c r="O697" s="517">
        <f t="shared" si="82"/>
        <v>517.29999999999995</v>
      </c>
    </row>
    <row r="698" spans="1:15" ht="38.4" outlineLevel="4" x14ac:dyDescent="0.3">
      <c r="A698" s="35"/>
      <c r="B698" s="36"/>
      <c r="C698" s="495" t="s">
        <v>10353</v>
      </c>
      <c r="D698" s="487">
        <v>93662</v>
      </c>
      <c r="E698" s="249" t="str">
        <f>UPPER(IF($D698=0,"",IF($A698=4,_xlfn.XLOOKUP($D698,Mercado!$C:$C,Mercado!$E:$E),_xlfn.XLOOKUP($D698,Fontes!$B:$B,Fontes!$C:$C))))</f>
        <v>SINAPI</v>
      </c>
      <c r="F698" s="328" t="s">
        <v>317</v>
      </c>
      <c r="G698" s="249" t="str">
        <f>UPPER(IF($D698=0,"",IF($A698=4,_xlfn.XLOOKUP($D698,Mercado!$C:$C,Mercado!$G:$G),_xlfn.XLOOKUP($D698,Fontes!$B:$B,Fontes!$E:$E))))</f>
        <v>UN</v>
      </c>
      <c r="H698" s="252">
        <v>5</v>
      </c>
      <c r="I698" s="252">
        <f>IF($A698="M",_xlfn.XLOOKUP($D698,Mercado!$C:$C,Mercado!$I:$I),_xlfn.XLOOKUP($D698,Fontes!$B:$B,Fontes!$J:$J))</f>
        <v>48.41</v>
      </c>
      <c r="J698" s="252">
        <f>IF($A698="M",_xlfn.XLOOKUP($D698,Mercado!$C:$C,Mercado!$J:$J),_xlfn.XLOOKUP($D698,Fontes!$B:$B,Fontes!$H:$H))</f>
        <v>5.22</v>
      </c>
      <c r="K698" s="252">
        <f>IF($A698="M",0,_xlfn.XLOOKUP($D698,Fontes!$B:$B,Fontes!$I:$I))</f>
        <v>0.46</v>
      </c>
      <c r="L698" s="250">
        <f t="shared" si="80"/>
        <v>54.089999999999996</v>
      </c>
      <c r="M698" s="300">
        <f t="shared" si="81"/>
        <v>270.45</v>
      </c>
      <c r="O698" s="517">
        <f t="shared" si="82"/>
        <v>270.45</v>
      </c>
    </row>
    <row r="699" spans="1:15" ht="57.6" outlineLevel="4" x14ac:dyDescent="0.3">
      <c r="A699" s="35"/>
      <c r="B699" s="36"/>
      <c r="C699" s="495" t="s">
        <v>10354</v>
      </c>
      <c r="D699" s="487">
        <v>8077</v>
      </c>
      <c r="E699" s="249" t="str">
        <f>UPPER(IF($D699=0,"",IF($A699=4,_xlfn.XLOOKUP($D699,Mercado!$C:$C,Mercado!$E:$E),_xlfn.XLOOKUP($D699,Fontes!$B:$B,Fontes!$C:$C))))</f>
        <v>ORSE</v>
      </c>
      <c r="F699" s="328" t="s">
        <v>3614</v>
      </c>
      <c r="G699" s="249" t="str">
        <f>UPPER(IF($D699=0,"",IF($A699=4,_xlfn.XLOOKUP($D699,Mercado!$C:$C,Mercado!$G:$G),_xlfn.XLOOKUP($D699,Fontes!$B:$B,Fontes!$E:$E))))</f>
        <v>UN</v>
      </c>
      <c r="H699" s="252">
        <v>1</v>
      </c>
      <c r="I699" s="252">
        <f>IF($A699="M",_xlfn.XLOOKUP($D699,Mercado!$C:$C,Mercado!$I:$I),_xlfn.XLOOKUP($D699,Fontes!$B:$B,Fontes!$J:$J))</f>
        <v>200.1</v>
      </c>
      <c r="J699" s="252">
        <f>IF($A699="M",_xlfn.XLOOKUP($D699,Mercado!$C:$C,Mercado!$J:$J),_xlfn.XLOOKUP($D699,Fontes!$B:$B,Fontes!$H:$H))</f>
        <v>31.5</v>
      </c>
      <c r="K699" s="252">
        <f>IF($A699="M",0,_xlfn.XLOOKUP($D699,Fontes!$B:$B,Fontes!$I:$I))</f>
        <v>0</v>
      </c>
      <c r="L699" s="250">
        <f t="shared" si="80"/>
        <v>231.6</v>
      </c>
      <c r="M699" s="300">
        <f t="shared" si="81"/>
        <v>231.6</v>
      </c>
      <c r="O699" s="517">
        <f t="shared" si="82"/>
        <v>231.6</v>
      </c>
    </row>
    <row r="700" spans="1:15" outlineLevel="4" x14ac:dyDescent="0.3">
      <c r="A700" s="35"/>
      <c r="B700" s="36"/>
      <c r="C700" s="495" t="s">
        <v>10355</v>
      </c>
      <c r="D700" s="487" t="s">
        <v>2664</v>
      </c>
      <c r="E700" s="249" t="str">
        <f>UPPER(IF($D700=0,"",IF($A700=4,_xlfn.XLOOKUP($D700,Mercado!$C:$C,Mercado!$E:$E),_xlfn.XLOOKUP($D700,Fontes!$B:$B,Fontes!$C:$C))))</f>
        <v>CPOS/CDHU</v>
      </c>
      <c r="F700" s="328" t="s">
        <v>3615</v>
      </c>
      <c r="G700" s="249" t="str">
        <f>UPPER(IF($D700=0,"",IF($A700=4,_xlfn.XLOOKUP($D700,Mercado!$C:$C,Mercado!$G:$G),_xlfn.XLOOKUP($D700,Fontes!$B:$B,Fontes!$E:$E))))</f>
        <v>UN</v>
      </c>
      <c r="H700" s="252">
        <v>4</v>
      </c>
      <c r="I700" s="252">
        <f>IF($A700="M",_xlfn.XLOOKUP($D700,Mercado!$C:$C,Mercado!$I:$I),_xlfn.XLOOKUP($D700,Fontes!$B:$B,Fontes!$J:$J))</f>
        <v>279.5</v>
      </c>
      <c r="J700" s="252">
        <f>IF($A700="M",_xlfn.XLOOKUP($D700,Mercado!$C:$C,Mercado!$J:$J),_xlfn.XLOOKUP($D700,Fontes!$B:$B,Fontes!$H:$H))</f>
        <v>13.96</v>
      </c>
      <c r="K700" s="252">
        <f>IF($A700="M",0,_xlfn.XLOOKUP($D700,Fontes!$B:$B,Fontes!$I:$I))</f>
        <v>0</v>
      </c>
      <c r="L700" s="250">
        <f t="shared" si="80"/>
        <v>293.45999999999998</v>
      </c>
      <c r="M700" s="300">
        <f t="shared" ref="M700:M731" si="83">ROUND(H700*L700,2)</f>
        <v>1173.8399999999999</v>
      </c>
      <c r="O700" s="517">
        <f t="shared" si="82"/>
        <v>1173.8399999999999</v>
      </c>
    </row>
    <row r="701" spans="1:15" ht="57.6" outlineLevel="4" x14ac:dyDescent="0.3">
      <c r="A701" s="35"/>
      <c r="B701" s="36"/>
      <c r="C701" s="495" t="s">
        <v>10356</v>
      </c>
      <c r="D701" s="487">
        <v>12233</v>
      </c>
      <c r="E701" s="249" t="str">
        <f>UPPER(IF($D701=0,"",IF($A701=4,_xlfn.XLOOKUP($D701,Mercado!$C:$C,Mercado!$E:$E),_xlfn.XLOOKUP($D701,Fontes!$B:$B,Fontes!$C:$C))))</f>
        <v>ORSE</v>
      </c>
      <c r="F701" s="328" t="s">
        <v>3613</v>
      </c>
      <c r="G701" s="249" t="str">
        <f>UPPER(IF($D701=0,"",IF($A701=4,_xlfn.XLOOKUP($D701,Mercado!$C:$C,Mercado!$G:$G),_xlfn.XLOOKUP($D701,Fontes!$B:$B,Fontes!$E:$E))))</f>
        <v>UN</v>
      </c>
      <c r="H701" s="252">
        <v>1</v>
      </c>
      <c r="I701" s="252">
        <f>IF($A701="M",_xlfn.XLOOKUP($D701,Mercado!$C:$C,Mercado!$I:$I),_xlfn.XLOOKUP($D701,Fontes!$B:$B,Fontes!$J:$J))</f>
        <v>1949.63</v>
      </c>
      <c r="J701" s="252">
        <f>IF($A701="M",_xlfn.XLOOKUP($D701,Mercado!$C:$C,Mercado!$J:$J),_xlfn.XLOOKUP($D701,Fontes!$B:$B,Fontes!$H:$H))</f>
        <v>441.28</v>
      </c>
      <c r="K701" s="252">
        <f>IF($A701="M",0,_xlfn.XLOOKUP($D701,Fontes!$B:$B,Fontes!$I:$I))</f>
        <v>0.3</v>
      </c>
      <c r="L701" s="250">
        <f t="shared" si="80"/>
        <v>2391.21</v>
      </c>
      <c r="M701" s="300">
        <f t="shared" si="83"/>
        <v>2391.21</v>
      </c>
      <c r="O701" s="517">
        <f t="shared" si="82"/>
        <v>2391.21</v>
      </c>
    </row>
    <row r="702" spans="1:15" outlineLevel="4" x14ac:dyDescent="0.3">
      <c r="A702" s="36" t="s">
        <v>7</v>
      </c>
      <c r="B702" s="36"/>
      <c r="C702" s="495" t="s">
        <v>781</v>
      </c>
      <c r="D702" s="487"/>
      <c r="E702" s="249" t="str">
        <f>UPPER(IF($D702=0,"",IF($A702=4,_xlfn.XLOOKUP($D702,Mercado!$C:$C,Mercado!$E:$E),_xlfn.XLOOKUP($D702,Fontes!$B:$B,Fontes!$C:$C))))</f>
        <v/>
      </c>
      <c r="F702" s="335" t="s">
        <v>781</v>
      </c>
      <c r="G702" s="249"/>
      <c r="H702" s="252"/>
      <c r="I702" s="252">
        <f>IF($A702="M",_xlfn.XLOOKUP($D702,Mercado!$C:$C,Mercado!$I:$I),_xlfn.XLOOKUP($D702,Fontes!$B:$B,Fontes!$J:$J))</f>
        <v>0</v>
      </c>
      <c r="J702" s="252">
        <f>IF($A702="M",_xlfn.XLOOKUP($D702,Mercado!$C:$C,Mercado!$J:$J),_xlfn.XLOOKUP($D702,Fontes!$B:$B,Fontes!$H:$H))</f>
        <v>0</v>
      </c>
      <c r="K702" s="252">
        <f>IF($A702="M",0,_xlfn.XLOOKUP($D702,Fontes!$B:$B,Fontes!$I:$I))</f>
        <v>0</v>
      </c>
      <c r="L702" s="250">
        <f t="shared" si="80"/>
        <v>0</v>
      </c>
      <c r="M702" s="300">
        <f t="shared" si="83"/>
        <v>0</v>
      </c>
      <c r="O702" s="517" t="str">
        <f t="shared" si="82"/>
        <v/>
      </c>
    </row>
    <row r="703" spans="1:15" s="261" customFormat="1" outlineLevel="4" x14ac:dyDescent="0.3">
      <c r="A703" s="36" t="s">
        <v>7</v>
      </c>
      <c r="B703" s="35"/>
      <c r="C703" s="499" t="s">
        <v>10357</v>
      </c>
      <c r="D703" s="488"/>
      <c r="E703" s="257" t="str">
        <f>UPPER(IF($D703=0,"",IF($A703=4,_xlfn.XLOOKUP($D703,Mercado!$C:$C,Mercado!$E:$E),_xlfn.XLOOKUP($D703,Fontes!$B:$B,Fontes!$C:$C))))</f>
        <v/>
      </c>
      <c r="F703" s="332" t="s">
        <v>2641</v>
      </c>
      <c r="G703" s="257"/>
      <c r="H703" s="259"/>
      <c r="I703" s="259">
        <f>IF($A703="M",_xlfn.XLOOKUP($D703,Mercado!$C:$C,Mercado!$I:$I),_xlfn.XLOOKUP($D703,Fontes!$B:$B,Fontes!$J:$J))</f>
        <v>0</v>
      </c>
      <c r="J703" s="259">
        <f>IF($A703="M",_xlfn.XLOOKUP($D703,Mercado!$C:$C,Mercado!$J:$J),_xlfn.XLOOKUP($D703,Fontes!$B:$B,Fontes!$H:$H))</f>
        <v>0</v>
      </c>
      <c r="K703" s="259">
        <f>IF($A703="M",0,_xlfn.XLOOKUP($D703,Fontes!$B:$B,Fontes!$I:$I))</f>
        <v>0</v>
      </c>
      <c r="L703" s="260">
        <f t="shared" si="80"/>
        <v>0</v>
      </c>
      <c r="M703" s="500">
        <f t="shared" si="83"/>
        <v>0</v>
      </c>
      <c r="N703" s="247"/>
      <c r="O703" s="517" t="str">
        <f t="shared" si="82"/>
        <v/>
      </c>
    </row>
    <row r="704" spans="1:15" ht="38.4" outlineLevel="4" x14ac:dyDescent="0.3">
      <c r="A704" s="35"/>
      <c r="B704" s="36"/>
      <c r="C704" s="495" t="s">
        <v>10358</v>
      </c>
      <c r="D704" s="487">
        <v>90627</v>
      </c>
      <c r="E704" s="249" t="str">
        <f>UPPER(IF($D704=0,"",IF($A704=4,_xlfn.XLOOKUP($D704,Mercado!$C:$C,Mercado!$E:$E),_xlfn.XLOOKUP($D704,Fontes!$B:$B,Fontes!$C:$C))))</f>
        <v>SIURB</v>
      </c>
      <c r="F704" s="328" t="s">
        <v>2685</v>
      </c>
      <c r="G704" s="249" t="str">
        <f>UPPER(IF($D704=0,"",IF($A704=4,_xlfn.XLOOKUP($D704,Mercado!$C:$C,Mercado!$G:$G),_xlfn.XLOOKUP($D704,Fontes!$B:$B,Fontes!$E:$E))))</f>
        <v>UN</v>
      </c>
      <c r="H704" s="252">
        <v>1</v>
      </c>
      <c r="I704" s="252">
        <f>IF($A704="M",_xlfn.XLOOKUP($D704,Mercado!$C:$C,Mercado!$I:$I),_xlfn.XLOOKUP($D704,Fontes!$B:$B,Fontes!$J:$J))</f>
        <v>427.72</v>
      </c>
      <c r="J704" s="252">
        <f>IF($A704="M",_xlfn.XLOOKUP($D704,Mercado!$C:$C,Mercado!$J:$J),_xlfn.XLOOKUP($D704,Fontes!$B:$B,Fontes!$H:$H))</f>
        <v>131.36000000000001</v>
      </c>
      <c r="K704" s="252">
        <f>IF($A704="M",0,_xlfn.XLOOKUP($D704,Fontes!$B:$B,Fontes!$I:$I))</f>
        <v>0</v>
      </c>
      <c r="L704" s="250">
        <f t="shared" si="80"/>
        <v>559.08000000000004</v>
      </c>
      <c r="M704" s="300">
        <f t="shared" si="83"/>
        <v>559.08000000000004</v>
      </c>
      <c r="O704" s="517">
        <f t="shared" si="82"/>
        <v>559.08000000000004</v>
      </c>
    </row>
    <row r="705" spans="1:15" ht="38.4" outlineLevel="4" x14ac:dyDescent="0.3">
      <c r="A705" s="35"/>
      <c r="B705" s="36"/>
      <c r="C705" s="495" t="s">
        <v>10359</v>
      </c>
      <c r="D705" s="487">
        <v>93672</v>
      </c>
      <c r="E705" s="249" t="str">
        <f>UPPER(IF($D705=0,"",IF($A705=4,_xlfn.XLOOKUP($D705,Mercado!$C:$C,Mercado!$E:$E),_xlfn.XLOOKUP($D705,Fontes!$B:$B,Fontes!$C:$C))))</f>
        <v>SINAPI</v>
      </c>
      <c r="F705" s="328" t="s">
        <v>324</v>
      </c>
      <c r="G705" s="249" t="str">
        <f>UPPER(IF($D705=0,"",IF($A705=4,_xlfn.XLOOKUP($D705,Mercado!$C:$C,Mercado!$G:$G),_xlfn.XLOOKUP($D705,Fontes!$B:$B,Fontes!$E:$E))))</f>
        <v>UN</v>
      </c>
      <c r="H705" s="252">
        <v>1</v>
      </c>
      <c r="I705" s="252">
        <f>IF($A705="M",_xlfn.XLOOKUP($D705,Mercado!$C:$C,Mercado!$I:$I),_xlfn.XLOOKUP($D705,Fontes!$B:$B,Fontes!$J:$J))</f>
        <v>65.41</v>
      </c>
      <c r="J705" s="252">
        <f>IF($A705="M",_xlfn.XLOOKUP($D705,Mercado!$C:$C,Mercado!$J:$J),_xlfn.XLOOKUP($D705,Fontes!$B:$B,Fontes!$H:$H))</f>
        <v>21.23</v>
      </c>
      <c r="K705" s="252">
        <f>IF($A705="M",0,_xlfn.XLOOKUP($D705,Fontes!$B:$B,Fontes!$I:$I))</f>
        <v>1.88</v>
      </c>
      <c r="L705" s="250">
        <f t="shared" si="80"/>
        <v>88.52</v>
      </c>
      <c r="M705" s="300">
        <f t="shared" si="83"/>
        <v>88.52</v>
      </c>
      <c r="O705" s="517">
        <f t="shared" si="82"/>
        <v>88.52</v>
      </c>
    </row>
    <row r="706" spans="1:15" ht="38.4" outlineLevel="4" x14ac:dyDescent="0.3">
      <c r="A706" s="35"/>
      <c r="B706" s="36"/>
      <c r="C706" s="495" t="s">
        <v>10360</v>
      </c>
      <c r="D706" s="487">
        <v>681</v>
      </c>
      <c r="E706" s="249" t="str">
        <f>UPPER(IF($D706=0,"",IF($A706=4,_xlfn.XLOOKUP($D706,Mercado!$C:$C,Mercado!$E:$E),_xlfn.XLOOKUP($D706,Fontes!$B:$B,Fontes!$C:$C))))</f>
        <v>PRÓPRIO</v>
      </c>
      <c r="F706" s="335" t="s">
        <v>2640</v>
      </c>
      <c r="G706" s="249" t="str">
        <f>UPPER(IF($D706=0,"",IF($A706=4,_xlfn.XLOOKUP($D706,Mercado!$C:$C,Mercado!$G:$G),_xlfn.XLOOKUP($D706,Fontes!$B:$B,Fontes!$E:$E))))</f>
        <v>UN</v>
      </c>
      <c r="H706" s="252">
        <v>3</v>
      </c>
      <c r="I706" s="252">
        <f>IF($A706="M",_xlfn.XLOOKUP($D706,Mercado!$C:$C,Mercado!$I:$I),_xlfn.XLOOKUP($D706,Fontes!$B:$B,Fontes!$J:$J))</f>
        <v>1403.99</v>
      </c>
      <c r="J706" s="252">
        <f>IF($A706="M",_xlfn.XLOOKUP($D706,Mercado!$C:$C,Mercado!$J:$J),_xlfn.XLOOKUP($D706,Fontes!$B:$B,Fontes!$H:$H))</f>
        <v>35.119999999999997</v>
      </c>
      <c r="K706" s="252">
        <f>IF($A706="M",0,_xlfn.XLOOKUP($D706,Fontes!$B:$B,Fontes!$I:$I))</f>
        <v>0</v>
      </c>
      <c r="L706" s="250">
        <f t="shared" si="80"/>
        <v>1439.11</v>
      </c>
      <c r="M706" s="300">
        <f t="shared" si="83"/>
        <v>4317.33</v>
      </c>
      <c r="O706" s="517">
        <f t="shared" si="82"/>
        <v>4317.33</v>
      </c>
    </row>
    <row r="707" spans="1:15" ht="38.4" outlineLevel="4" x14ac:dyDescent="0.3">
      <c r="A707" s="35"/>
      <c r="B707" s="36"/>
      <c r="C707" s="495" t="s">
        <v>10361</v>
      </c>
      <c r="D707" s="487">
        <v>93654</v>
      </c>
      <c r="E707" s="249" t="str">
        <f>UPPER(IF($D707=0,"",IF($A707=4,_xlfn.XLOOKUP($D707,Mercado!$C:$C,Mercado!$E:$E),_xlfn.XLOOKUP($D707,Fontes!$B:$B,Fontes!$C:$C))))</f>
        <v>SINAPI</v>
      </c>
      <c r="F707" s="328" t="s">
        <v>314</v>
      </c>
      <c r="G707" s="249" t="str">
        <f>UPPER(IF($D707=0,"",IF($A707=4,_xlfn.XLOOKUP($D707,Mercado!$C:$C,Mercado!$G:$G),_xlfn.XLOOKUP($D707,Fontes!$B:$B,Fontes!$E:$E))))</f>
        <v>UN</v>
      </c>
      <c r="H707" s="252">
        <v>27</v>
      </c>
      <c r="I707" s="252">
        <f>IF($A707="M",_xlfn.XLOOKUP($D707,Mercado!$C:$C,Mercado!$I:$I),_xlfn.XLOOKUP($D707,Fontes!$B:$B,Fontes!$J:$J))</f>
        <v>9.2899999999999991</v>
      </c>
      <c r="J707" s="252">
        <f>IF($A707="M",_xlfn.XLOOKUP($D707,Mercado!$C:$C,Mercado!$J:$J),_xlfn.XLOOKUP($D707,Fontes!$B:$B,Fontes!$H:$H))</f>
        <v>1.98</v>
      </c>
      <c r="K707" s="252">
        <f>IF($A707="M",0,_xlfn.XLOOKUP($D707,Fontes!$B:$B,Fontes!$I:$I))</f>
        <v>0.18</v>
      </c>
      <c r="L707" s="250">
        <f t="shared" si="80"/>
        <v>11.45</v>
      </c>
      <c r="M707" s="300">
        <f t="shared" si="83"/>
        <v>309.14999999999998</v>
      </c>
      <c r="O707" s="517">
        <f t="shared" si="82"/>
        <v>309.14999999999998</v>
      </c>
    </row>
    <row r="708" spans="1:15" ht="38.4" outlineLevel="4" x14ac:dyDescent="0.3">
      <c r="A708" s="35"/>
      <c r="B708" s="36"/>
      <c r="C708" s="495" t="s">
        <v>10362</v>
      </c>
      <c r="D708" s="487">
        <v>93661</v>
      </c>
      <c r="E708" s="249" t="str">
        <f>UPPER(IF($D708=0,"",IF($A708=4,_xlfn.XLOOKUP($D708,Mercado!$C:$C,Mercado!$E:$E),_xlfn.XLOOKUP($D708,Fontes!$B:$B,Fontes!$C:$C))))</f>
        <v>SINAPI</v>
      </c>
      <c r="F708" s="328" t="s">
        <v>316</v>
      </c>
      <c r="G708" s="249" t="str">
        <f>UPPER(IF($D708=0,"",IF($A708=4,_xlfn.XLOOKUP($D708,Mercado!$C:$C,Mercado!$G:$G),_xlfn.XLOOKUP($D708,Fontes!$B:$B,Fontes!$E:$E))))</f>
        <v>UN</v>
      </c>
      <c r="H708" s="252">
        <v>10</v>
      </c>
      <c r="I708" s="252">
        <f>IF($A708="M",_xlfn.XLOOKUP($D708,Mercado!$C:$C,Mercado!$I:$I),_xlfn.XLOOKUP($D708,Fontes!$B:$B,Fontes!$J:$J))</f>
        <v>47.45</v>
      </c>
      <c r="J708" s="252">
        <f>IF($A708="M",_xlfn.XLOOKUP($D708,Mercado!$C:$C,Mercado!$J:$J),_xlfn.XLOOKUP($D708,Fontes!$B:$B,Fontes!$H:$H))</f>
        <v>3.94</v>
      </c>
      <c r="K708" s="252">
        <f>IF($A708="M",0,_xlfn.XLOOKUP($D708,Fontes!$B:$B,Fontes!$I:$I))</f>
        <v>0.34</v>
      </c>
      <c r="L708" s="250">
        <f t="shared" si="80"/>
        <v>51.730000000000004</v>
      </c>
      <c r="M708" s="300">
        <f t="shared" si="83"/>
        <v>517.29999999999995</v>
      </c>
      <c r="O708" s="517">
        <f t="shared" si="82"/>
        <v>517.29999999999995</v>
      </c>
    </row>
    <row r="709" spans="1:15" ht="38.4" outlineLevel="4" x14ac:dyDescent="0.3">
      <c r="A709" s="35"/>
      <c r="B709" s="36"/>
      <c r="C709" s="495" t="s">
        <v>10363</v>
      </c>
      <c r="D709" s="487">
        <v>93662</v>
      </c>
      <c r="E709" s="249" t="str">
        <f>UPPER(IF($D709=0,"",IF($A709=4,_xlfn.XLOOKUP($D709,Mercado!$C:$C,Mercado!$E:$E),_xlfn.XLOOKUP($D709,Fontes!$B:$B,Fontes!$C:$C))))</f>
        <v>SINAPI</v>
      </c>
      <c r="F709" s="328" t="s">
        <v>317</v>
      </c>
      <c r="G709" s="249" t="str">
        <f>UPPER(IF($D709=0,"",IF($A709=4,_xlfn.XLOOKUP($D709,Mercado!$C:$C,Mercado!$G:$G),_xlfn.XLOOKUP($D709,Fontes!$B:$B,Fontes!$E:$E))))</f>
        <v>UN</v>
      </c>
      <c r="H709" s="252">
        <v>7</v>
      </c>
      <c r="I709" s="252">
        <f>IF($A709="M",_xlfn.XLOOKUP($D709,Mercado!$C:$C,Mercado!$I:$I),_xlfn.XLOOKUP($D709,Fontes!$B:$B,Fontes!$J:$J))</f>
        <v>48.41</v>
      </c>
      <c r="J709" s="252">
        <f>IF($A709="M",_xlfn.XLOOKUP($D709,Mercado!$C:$C,Mercado!$J:$J),_xlfn.XLOOKUP($D709,Fontes!$B:$B,Fontes!$H:$H))</f>
        <v>5.22</v>
      </c>
      <c r="K709" s="252">
        <f>IF($A709="M",0,_xlfn.XLOOKUP($D709,Fontes!$B:$B,Fontes!$I:$I))</f>
        <v>0.46</v>
      </c>
      <c r="L709" s="250">
        <f t="shared" si="80"/>
        <v>54.089999999999996</v>
      </c>
      <c r="M709" s="300">
        <f t="shared" si="83"/>
        <v>378.63</v>
      </c>
      <c r="O709" s="517">
        <f t="shared" si="82"/>
        <v>378.63</v>
      </c>
    </row>
    <row r="710" spans="1:15" ht="38.4" outlineLevel="4" x14ac:dyDescent="0.3">
      <c r="A710" s="35"/>
      <c r="B710" s="36"/>
      <c r="C710" s="495" t="s">
        <v>10364</v>
      </c>
      <c r="D710" s="487">
        <v>93668</v>
      </c>
      <c r="E710" s="249" t="str">
        <f>UPPER(IF($D710=0,"",IF($A710=4,_xlfn.XLOOKUP($D710,Mercado!$C:$C,Mercado!$E:$E),_xlfn.XLOOKUP($D710,Fontes!$B:$B,Fontes!$C:$C))))</f>
        <v>SINAPI</v>
      </c>
      <c r="F710" s="328" t="s">
        <v>320</v>
      </c>
      <c r="G710" s="249" t="str">
        <f>UPPER(IF($D710=0,"",IF($A710=4,_xlfn.XLOOKUP($D710,Mercado!$C:$C,Mercado!$G:$G),_xlfn.XLOOKUP($D710,Fontes!$B:$B,Fontes!$E:$E))))</f>
        <v>UN</v>
      </c>
      <c r="H710" s="252">
        <v>1</v>
      </c>
      <c r="I710" s="252">
        <f>IF($A710="M",_xlfn.XLOOKUP($D710,Mercado!$C:$C,Mercado!$I:$I),_xlfn.XLOOKUP($D710,Fontes!$B:$B,Fontes!$J:$J))</f>
        <v>58.98</v>
      </c>
      <c r="J710" s="252">
        <f>IF($A710="M",_xlfn.XLOOKUP($D710,Mercado!$C:$C,Mercado!$J:$J),_xlfn.XLOOKUP($D710,Fontes!$B:$B,Fontes!$H:$H))</f>
        <v>5.92</v>
      </c>
      <c r="K710" s="252">
        <f>IF($A710="M",0,_xlfn.XLOOKUP($D710,Fontes!$B:$B,Fontes!$I:$I))</f>
        <v>0.52</v>
      </c>
      <c r="L710" s="250">
        <f t="shared" si="80"/>
        <v>65.419999999999987</v>
      </c>
      <c r="M710" s="300">
        <f t="shared" si="83"/>
        <v>65.42</v>
      </c>
      <c r="O710" s="517">
        <f t="shared" si="82"/>
        <v>65.42</v>
      </c>
    </row>
    <row r="711" spans="1:15" ht="38.4" outlineLevel="4" x14ac:dyDescent="0.3">
      <c r="A711" s="35"/>
      <c r="B711" s="36"/>
      <c r="C711" s="495" t="s">
        <v>10365</v>
      </c>
      <c r="D711" s="487">
        <v>93669</v>
      </c>
      <c r="E711" s="249" t="str">
        <f>UPPER(IF($D711=0,"",IF($A711=4,_xlfn.XLOOKUP($D711,Mercado!$C:$C,Mercado!$E:$E),_xlfn.XLOOKUP($D711,Fontes!$B:$B,Fontes!$C:$C))))</f>
        <v>SINAPI</v>
      </c>
      <c r="F711" s="328" t="s">
        <v>321</v>
      </c>
      <c r="G711" s="249" t="str">
        <f>UPPER(IF($D711=0,"",IF($A711=4,_xlfn.XLOOKUP($D711,Mercado!$C:$C,Mercado!$G:$G),_xlfn.XLOOKUP($D711,Fontes!$B:$B,Fontes!$E:$E))))</f>
        <v>UN</v>
      </c>
      <c r="H711" s="252">
        <v>1</v>
      </c>
      <c r="I711" s="252">
        <f>IF($A711="M",_xlfn.XLOOKUP($D711,Mercado!$C:$C,Mercado!$I:$I),_xlfn.XLOOKUP($D711,Fontes!$B:$B,Fontes!$J:$J))</f>
        <v>60.43</v>
      </c>
      <c r="J711" s="252">
        <f>IF($A711="M",_xlfn.XLOOKUP($D711,Mercado!$C:$C,Mercado!$J:$J),_xlfn.XLOOKUP($D711,Fontes!$B:$B,Fontes!$H:$H))</f>
        <v>7.83</v>
      </c>
      <c r="K711" s="252">
        <f>IF($A711="M",0,_xlfn.XLOOKUP($D711,Fontes!$B:$B,Fontes!$I:$I))</f>
        <v>0.7</v>
      </c>
      <c r="L711" s="250">
        <f t="shared" si="80"/>
        <v>68.960000000000008</v>
      </c>
      <c r="M711" s="300">
        <f t="shared" si="83"/>
        <v>68.959999999999994</v>
      </c>
      <c r="O711" s="517">
        <f t="shared" si="82"/>
        <v>68.959999999999994</v>
      </c>
    </row>
    <row r="712" spans="1:15" ht="38.4" outlineLevel="4" x14ac:dyDescent="0.3">
      <c r="A712" s="35"/>
      <c r="B712" s="36"/>
      <c r="C712" s="495" t="s">
        <v>10366</v>
      </c>
      <c r="D712" s="487">
        <v>93670</v>
      </c>
      <c r="E712" s="249" t="str">
        <f>UPPER(IF($D712=0,"",IF($A712=4,_xlfn.XLOOKUP($D712,Mercado!$C:$C,Mercado!$E:$E),_xlfn.XLOOKUP($D712,Fontes!$B:$B,Fontes!$C:$C))))</f>
        <v>SINAPI</v>
      </c>
      <c r="F712" s="328" t="s">
        <v>322</v>
      </c>
      <c r="G712" s="249" t="str">
        <f>UPPER(IF($D712=0,"",IF($A712=4,_xlfn.XLOOKUP($D712,Mercado!$C:$C,Mercado!$G:$G),_xlfn.XLOOKUP($D712,Fontes!$B:$B,Fontes!$E:$E))))</f>
        <v>UN</v>
      </c>
      <c r="H712" s="252">
        <v>1</v>
      </c>
      <c r="I712" s="252">
        <f>IF($A712="M",_xlfn.XLOOKUP($D712,Mercado!$C:$C,Mercado!$I:$I),_xlfn.XLOOKUP($D712,Fontes!$B:$B,Fontes!$J:$J))</f>
        <v>61.26</v>
      </c>
      <c r="J712" s="252">
        <f>IF($A712="M",_xlfn.XLOOKUP($D712,Mercado!$C:$C,Mercado!$J:$J),_xlfn.XLOOKUP($D712,Fontes!$B:$B,Fontes!$H:$H))</f>
        <v>10.68</v>
      </c>
      <c r="K712" s="252">
        <f>IF($A712="M",0,_xlfn.XLOOKUP($D712,Fontes!$B:$B,Fontes!$I:$I))</f>
        <v>0.94</v>
      </c>
      <c r="L712" s="250">
        <f t="shared" si="80"/>
        <v>72.88</v>
      </c>
      <c r="M712" s="300">
        <f t="shared" si="83"/>
        <v>72.88</v>
      </c>
      <c r="O712" s="517">
        <f t="shared" si="82"/>
        <v>72.88</v>
      </c>
    </row>
    <row r="713" spans="1:15" ht="38.4" outlineLevel="4" x14ac:dyDescent="0.3">
      <c r="A713" s="35"/>
      <c r="B713" s="36"/>
      <c r="C713" s="495" t="s">
        <v>10367</v>
      </c>
      <c r="D713" s="487">
        <v>93671</v>
      </c>
      <c r="E713" s="249" t="str">
        <f>UPPER(IF($D713=0,"",IF($A713=4,_xlfn.XLOOKUP($D713,Mercado!$C:$C,Mercado!$E:$E),_xlfn.XLOOKUP($D713,Fontes!$B:$B,Fontes!$C:$C))))</f>
        <v>SINAPI</v>
      </c>
      <c r="F713" s="328" t="s">
        <v>323</v>
      </c>
      <c r="G713" s="249" t="str">
        <f>UPPER(IF($D713=0,"",IF($A713=4,_xlfn.XLOOKUP($D713,Mercado!$C:$C,Mercado!$G:$G),_xlfn.XLOOKUP($D713,Fontes!$B:$B,Fontes!$E:$E))))</f>
        <v>UN</v>
      </c>
      <c r="H713" s="252">
        <v>1</v>
      </c>
      <c r="I713" s="252">
        <f>IF($A713="M",_xlfn.XLOOKUP($D713,Mercado!$C:$C,Mercado!$I:$I),_xlfn.XLOOKUP($D713,Fontes!$B:$B,Fontes!$J:$J))</f>
        <v>63.11</v>
      </c>
      <c r="J713" s="252">
        <f>IF($A713="M",_xlfn.XLOOKUP($D713,Mercado!$C:$C,Mercado!$J:$J),_xlfn.XLOOKUP($D713,Fontes!$B:$B,Fontes!$H:$H))</f>
        <v>14.5</v>
      </c>
      <c r="K713" s="252">
        <f>IF($A713="M",0,_xlfn.XLOOKUP($D713,Fontes!$B:$B,Fontes!$I:$I))</f>
        <v>1.28</v>
      </c>
      <c r="L713" s="250">
        <f t="shared" si="80"/>
        <v>78.89</v>
      </c>
      <c r="M713" s="300">
        <f t="shared" si="83"/>
        <v>78.89</v>
      </c>
      <c r="O713" s="517">
        <f t="shared" si="82"/>
        <v>78.89</v>
      </c>
    </row>
    <row r="714" spans="1:15" outlineLevel="4" x14ac:dyDescent="0.3">
      <c r="A714" s="35"/>
      <c r="B714" s="36"/>
      <c r="C714" s="495" t="s">
        <v>10368</v>
      </c>
      <c r="D714" s="487" t="s">
        <v>2664</v>
      </c>
      <c r="E714" s="249" t="str">
        <f>UPPER(IF($D714=0,"",IF($A714=4,_xlfn.XLOOKUP($D714,Mercado!$C:$C,Mercado!$E:$E),_xlfn.XLOOKUP($D714,Fontes!$B:$B,Fontes!$C:$C))))</f>
        <v>CPOS/CDHU</v>
      </c>
      <c r="F714" s="328" t="s">
        <v>3615</v>
      </c>
      <c r="G714" s="249" t="str">
        <f>UPPER(IF($D714=0,"",IF($A714=4,_xlfn.XLOOKUP($D714,Mercado!$C:$C,Mercado!$G:$G),_xlfn.XLOOKUP($D714,Fontes!$B:$B,Fontes!$E:$E))))</f>
        <v>UN</v>
      </c>
      <c r="H714" s="252">
        <v>3</v>
      </c>
      <c r="I714" s="252">
        <f>IF($A714="M",_xlfn.XLOOKUP($D714,Mercado!$C:$C,Mercado!$I:$I),_xlfn.XLOOKUP($D714,Fontes!$B:$B,Fontes!$J:$J))</f>
        <v>279.5</v>
      </c>
      <c r="J714" s="252">
        <f>IF($A714="M",_xlfn.XLOOKUP($D714,Mercado!$C:$C,Mercado!$J:$J),_xlfn.XLOOKUP($D714,Fontes!$B:$B,Fontes!$H:$H))</f>
        <v>13.96</v>
      </c>
      <c r="K714" s="252">
        <f>IF($A714="M",0,_xlfn.XLOOKUP($D714,Fontes!$B:$B,Fontes!$I:$I))</f>
        <v>0</v>
      </c>
      <c r="L714" s="250">
        <f t="shared" si="80"/>
        <v>293.45999999999998</v>
      </c>
      <c r="M714" s="300">
        <f t="shared" si="83"/>
        <v>880.38</v>
      </c>
      <c r="O714" s="517">
        <f t="shared" si="82"/>
        <v>880.38</v>
      </c>
    </row>
    <row r="715" spans="1:15" outlineLevel="4" x14ac:dyDescent="0.3">
      <c r="A715" s="35"/>
      <c r="B715" s="36"/>
      <c r="C715" s="495" t="s">
        <v>10369</v>
      </c>
      <c r="D715" s="487" t="s">
        <v>2665</v>
      </c>
      <c r="E715" s="249" t="str">
        <f>UPPER(IF($D715=0,"",IF($A715=4,_xlfn.XLOOKUP($D715,Mercado!$C:$C,Mercado!$E:$E),_xlfn.XLOOKUP($D715,Fontes!$B:$B,Fontes!$C:$C))))</f>
        <v>CPOS/CDHU</v>
      </c>
      <c r="F715" s="328" t="s">
        <v>3616</v>
      </c>
      <c r="G715" s="249" t="str">
        <f>UPPER(IF($D715=0,"",IF($A715=4,_xlfn.XLOOKUP($D715,Mercado!$C:$C,Mercado!$G:$G),_xlfn.XLOOKUP($D715,Fontes!$B:$B,Fontes!$E:$E))))</f>
        <v>UN</v>
      </c>
      <c r="H715" s="252">
        <v>1</v>
      </c>
      <c r="I715" s="252">
        <f>IF($A715="M",_xlfn.XLOOKUP($D715,Mercado!$C:$C,Mercado!$I:$I),_xlfn.XLOOKUP($D715,Fontes!$B:$B,Fontes!$J:$J))</f>
        <v>283.19</v>
      </c>
      <c r="J715" s="252">
        <f>IF($A715="M",_xlfn.XLOOKUP($D715,Mercado!$C:$C,Mercado!$J:$J),_xlfn.XLOOKUP($D715,Fontes!$B:$B,Fontes!$H:$H))</f>
        <v>13.96</v>
      </c>
      <c r="K715" s="252">
        <f>IF($A715="M",0,_xlfn.XLOOKUP($D715,Fontes!$B:$B,Fontes!$I:$I))</f>
        <v>0</v>
      </c>
      <c r="L715" s="250">
        <f t="shared" si="80"/>
        <v>297.14999999999998</v>
      </c>
      <c r="M715" s="300">
        <f t="shared" si="83"/>
        <v>297.14999999999998</v>
      </c>
      <c r="O715" s="517">
        <f t="shared" si="82"/>
        <v>297.14999999999998</v>
      </c>
    </row>
    <row r="716" spans="1:15" ht="57.6" outlineLevel="4" x14ac:dyDescent="0.3">
      <c r="A716" s="35"/>
      <c r="B716" s="36"/>
      <c r="C716" s="495" t="s">
        <v>10370</v>
      </c>
      <c r="D716" s="487">
        <v>12232</v>
      </c>
      <c r="E716" s="249" t="str">
        <f>UPPER(IF($D716=0,"",IF($A716=4,_xlfn.XLOOKUP($D716,Mercado!$C:$C,Mercado!$E:$E),_xlfn.XLOOKUP($D716,Fontes!$B:$B,Fontes!$C:$C))))</f>
        <v>ORSE</v>
      </c>
      <c r="F716" s="328" t="s">
        <v>3617</v>
      </c>
      <c r="G716" s="249" t="str">
        <f>UPPER(IF($D716=0,"",IF($A716=4,_xlfn.XLOOKUP($D716,Mercado!$C:$C,Mercado!$G:$G),_xlfn.XLOOKUP($D716,Fontes!$B:$B,Fontes!$E:$E))))</f>
        <v>UN</v>
      </c>
      <c r="H716" s="252">
        <v>1</v>
      </c>
      <c r="I716" s="252">
        <f>IF($A716="M",_xlfn.XLOOKUP($D716,Mercado!$C:$C,Mercado!$I:$I),_xlfn.XLOOKUP($D716,Fontes!$B:$B,Fontes!$J:$J))</f>
        <v>1476.31</v>
      </c>
      <c r="J716" s="252">
        <f>IF($A716="M",_xlfn.XLOOKUP($D716,Mercado!$C:$C,Mercado!$J:$J),_xlfn.XLOOKUP($D716,Fontes!$B:$B,Fontes!$H:$H))</f>
        <v>353.62</v>
      </c>
      <c r="K716" s="252">
        <f>IF($A716="M",0,_xlfn.XLOOKUP($D716,Fontes!$B:$B,Fontes!$I:$I))</f>
        <v>0.24</v>
      </c>
      <c r="L716" s="250">
        <f t="shared" si="80"/>
        <v>1830.1699999999998</v>
      </c>
      <c r="M716" s="300">
        <f t="shared" si="83"/>
        <v>1830.17</v>
      </c>
      <c r="O716" s="517">
        <f t="shared" si="82"/>
        <v>1830.17</v>
      </c>
    </row>
    <row r="717" spans="1:15" outlineLevel="4" x14ac:dyDescent="0.3">
      <c r="A717" s="36" t="s">
        <v>7</v>
      </c>
      <c r="B717" s="36"/>
      <c r="C717" s="495" t="s">
        <v>781</v>
      </c>
      <c r="D717" s="487"/>
      <c r="E717" s="249" t="str">
        <f>UPPER(IF($D717=0,"",IF($A717=4,_xlfn.XLOOKUP($D717,Mercado!$C:$C,Mercado!$E:$E),_xlfn.XLOOKUP($D717,Fontes!$B:$B,Fontes!$C:$C))))</f>
        <v/>
      </c>
      <c r="F717" s="335" t="s">
        <v>781</v>
      </c>
      <c r="G717" s="249"/>
      <c r="H717" s="252"/>
      <c r="I717" s="252">
        <f>IF($A717="M",_xlfn.XLOOKUP($D717,Mercado!$C:$C,Mercado!$I:$I),_xlfn.XLOOKUP($D717,Fontes!$B:$B,Fontes!$J:$J))</f>
        <v>0</v>
      </c>
      <c r="J717" s="252">
        <f>IF($A717="M",_xlfn.XLOOKUP($D717,Mercado!$C:$C,Mercado!$J:$J),_xlfn.XLOOKUP($D717,Fontes!$B:$B,Fontes!$H:$H))</f>
        <v>0</v>
      </c>
      <c r="K717" s="252">
        <f>IF($A717="M",0,_xlfn.XLOOKUP($D717,Fontes!$B:$B,Fontes!$I:$I))</f>
        <v>0</v>
      </c>
      <c r="L717" s="250">
        <f t="shared" si="80"/>
        <v>0</v>
      </c>
      <c r="M717" s="300">
        <f t="shared" si="83"/>
        <v>0</v>
      </c>
      <c r="O717" s="517" t="str">
        <f t="shared" si="82"/>
        <v/>
      </c>
    </row>
    <row r="718" spans="1:15" s="261" customFormat="1" outlineLevel="4" x14ac:dyDescent="0.3">
      <c r="A718" s="36" t="s">
        <v>7</v>
      </c>
      <c r="B718" s="35"/>
      <c r="C718" s="499" t="s">
        <v>10371</v>
      </c>
      <c r="D718" s="488"/>
      <c r="E718" s="257" t="str">
        <f>UPPER(IF($D718=0,"",IF($A718=4,_xlfn.XLOOKUP($D718,Mercado!$C:$C,Mercado!$E:$E),_xlfn.XLOOKUP($D718,Fontes!$B:$B,Fontes!$C:$C))))</f>
        <v/>
      </c>
      <c r="F718" s="332" t="s">
        <v>544</v>
      </c>
      <c r="G718" s="257"/>
      <c r="H718" s="259"/>
      <c r="I718" s="259">
        <f>IF($A718="M",_xlfn.XLOOKUP($D718,Mercado!$C:$C,Mercado!$I:$I),_xlfn.XLOOKUP($D718,Fontes!$B:$B,Fontes!$J:$J))</f>
        <v>0</v>
      </c>
      <c r="J718" s="259">
        <f>IF($A718="M",_xlfn.XLOOKUP($D718,Mercado!$C:$C,Mercado!$J:$J),_xlfn.XLOOKUP($D718,Fontes!$B:$B,Fontes!$H:$H))</f>
        <v>0</v>
      </c>
      <c r="K718" s="259">
        <f>IF($A718="M",0,_xlfn.XLOOKUP($D718,Fontes!$B:$B,Fontes!$I:$I))</f>
        <v>0</v>
      </c>
      <c r="L718" s="260">
        <f t="shared" ref="L718:L781" si="84">SUM(I718:K718)</f>
        <v>0</v>
      </c>
      <c r="M718" s="500">
        <f t="shared" si="83"/>
        <v>0</v>
      </c>
      <c r="N718" s="247"/>
      <c r="O718" s="517" t="str">
        <f t="shared" si="82"/>
        <v/>
      </c>
    </row>
    <row r="719" spans="1:15" ht="38.4" outlineLevel="4" x14ac:dyDescent="0.3">
      <c r="A719" s="35"/>
      <c r="B719" s="36"/>
      <c r="C719" s="495" t="s">
        <v>10372</v>
      </c>
      <c r="D719" s="487">
        <v>468</v>
      </c>
      <c r="E719" s="249" t="str">
        <f>UPPER(IF($D719=0,"",IF($A719=4,_xlfn.XLOOKUP($D719,Mercado!$C:$C,Mercado!$E:$E),_xlfn.XLOOKUP($D719,Fontes!$B:$B,Fontes!$C:$C))))</f>
        <v>ORSE</v>
      </c>
      <c r="F719" s="328" t="s">
        <v>3618</v>
      </c>
      <c r="G719" s="249" t="str">
        <f>UPPER(IF($D719=0,"",IF($A719=4,_xlfn.XLOOKUP($D719,Mercado!$C:$C,Mercado!$G:$G),_xlfn.XLOOKUP($D719,Fontes!$B:$B,Fontes!$E:$E))))</f>
        <v>UN</v>
      </c>
      <c r="H719" s="252">
        <v>1</v>
      </c>
      <c r="I719" s="252">
        <f>IF($A719="M",_xlfn.XLOOKUP($D719,Mercado!$C:$C,Mercado!$I:$I),_xlfn.XLOOKUP($D719,Fontes!$B:$B,Fontes!$J:$J))</f>
        <v>212.67</v>
      </c>
      <c r="J719" s="252">
        <f>IF($A719="M",_xlfn.XLOOKUP($D719,Mercado!$C:$C,Mercado!$J:$J),_xlfn.XLOOKUP($D719,Fontes!$B:$B,Fontes!$H:$H))</f>
        <v>111.73</v>
      </c>
      <c r="K719" s="252">
        <f>IF($A719="M",0,_xlfn.XLOOKUP($D719,Fontes!$B:$B,Fontes!$I:$I))</f>
        <v>0</v>
      </c>
      <c r="L719" s="250">
        <f t="shared" si="84"/>
        <v>324.39999999999998</v>
      </c>
      <c r="M719" s="300">
        <f t="shared" si="83"/>
        <v>324.39999999999998</v>
      </c>
      <c r="O719" s="517">
        <f t="shared" si="82"/>
        <v>324.39999999999998</v>
      </c>
    </row>
    <row r="720" spans="1:15" ht="38.4" outlineLevel="4" x14ac:dyDescent="0.3">
      <c r="A720" s="35"/>
      <c r="B720" s="36"/>
      <c r="C720" s="495" t="s">
        <v>10373</v>
      </c>
      <c r="D720" s="487">
        <v>93672</v>
      </c>
      <c r="E720" s="249" t="str">
        <f>UPPER(IF($D720=0,"",IF($A720=4,_xlfn.XLOOKUP($D720,Mercado!$C:$C,Mercado!$E:$E),_xlfn.XLOOKUP($D720,Fontes!$B:$B,Fontes!$C:$C))))</f>
        <v>SINAPI</v>
      </c>
      <c r="F720" s="328" t="s">
        <v>324</v>
      </c>
      <c r="G720" s="249" t="str">
        <f>UPPER(IF($D720=0,"",IF($A720=4,_xlfn.XLOOKUP($D720,Mercado!$C:$C,Mercado!$G:$G),_xlfn.XLOOKUP($D720,Fontes!$B:$B,Fontes!$E:$E))))</f>
        <v>UN</v>
      </c>
      <c r="H720" s="252">
        <v>1</v>
      </c>
      <c r="I720" s="252">
        <f>IF($A720="M",_xlfn.XLOOKUP($D720,Mercado!$C:$C,Mercado!$I:$I),_xlfn.XLOOKUP($D720,Fontes!$B:$B,Fontes!$J:$J))</f>
        <v>65.41</v>
      </c>
      <c r="J720" s="252">
        <f>IF($A720="M",_xlfn.XLOOKUP($D720,Mercado!$C:$C,Mercado!$J:$J),_xlfn.XLOOKUP($D720,Fontes!$B:$B,Fontes!$H:$H))</f>
        <v>21.23</v>
      </c>
      <c r="K720" s="252">
        <f>IF($A720="M",0,_xlfn.XLOOKUP($D720,Fontes!$B:$B,Fontes!$I:$I))</f>
        <v>1.88</v>
      </c>
      <c r="L720" s="250">
        <f t="shared" si="84"/>
        <v>88.52</v>
      </c>
      <c r="M720" s="300">
        <f t="shared" si="83"/>
        <v>88.52</v>
      </c>
      <c r="O720" s="517">
        <f t="shared" si="82"/>
        <v>88.52</v>
      </c>
    </row>
    <row r="721" spans="1:15" ht="38.4" outlineLevel="4" x14ac:dyDescent="0.3">
      <c r="A721" s="35"/>
      <c r="B721" s="36"/>
      <c r="C721" s="495" t="s">
        <v>10374</v>
      </c>
      <c r="D721" s="487">
        <v>681</v>
      </c>
      <c r="E721" s="249" t="str">
        <f>UPPER(IF($D721=0,"",IF($A721=4,_xlfn.XLOOKUP($D721,Mercado!$C:$C,Mercado!$E:$E),_xlfn.XLOOKUP($D721,Fontes!$B:$B,Fontes!$C:$C))))</f>
        <v>PRÓPRIO</v>
      </c>
      <c r="F721" s="335" t="s">
        <v>2640</v>
      </c>
      <c r="G721" s="249" t="str">
        <f>UPPER(IF($D721=0,"",IF($A721=4,_xlfn.XLOOKUP($D721,Mercado!$C:$C,Mercado!$G:$G),_xlfn.XLOOKUP($D721,Fontes!$B:$B,Fontes!$E:$E))))</f>
        <v>UN</v>
      </c>
      <c r="H721" s="252">
        <v>3</v>
      </c>
      <c r="I721" s="252">
        <f>IF($A721="M",_xlfn.XLOOKUP($D721,Mercado!$C:$C,Mercado!$I:$I),_xlfn.XLOOKUP($D721,Fontes!$B:$B,Fontes!$J:$J))</f>
        <v>1403.99</v>
      </c>
      <c r="J721" s="252">
        <f>IF($A721="M",_xlfn.XLOOKUP($D721,Mercado!$C:$C,Mercado!$J:$J),_xlfn.XLOOKUP($D721,Fontes!$B:$B,Fontes!$H:$H))</f>
        <v>35.119999999999997</v>
      </c>
      <c r="K721" s="252">
        <f>IF($A721="M",0,_xlfn.XLOOKUP($D721,Fontes!$B:$B,Fontes!$I:$I))</f>
        <v>0</v>
      </c>
      <c r="L721" s="250">
        <f t="shared" si="84"/>
        <v>1439.11</v>
      </c>
      <c r="M721" s="300">
        <f t="shared" si="83"/>
        <v>4317.33</v>
      </c>
      <c r="O721" s="517">
        <f t="shared" si="82"/>
        <v>4317.33</v>
      </c>
    </row>
    <row r="722" spans="1:15" ht="38.4" outlineLevel="4" x14ac:dyDescent="0.3">
      <c r="A722" s="35"/>
      <c r="B722" s="36"/>
      <c r="C722" s="495" t="s">
        <v>10375</v>
      </c>
      <c r="D722" s="487">
        <v>93654</v>
      </c>
      <c r="E722" s="249" t="str">
        <f>UPPER(IF($D722=0,"",IF($A722=4,_xlfn.XLOOKUP($D722,Mercado!$C:$C,Mercado!$E:$E),_xlfn.XLOOKUP($D722,Fontes!$B:$B,Fontes!$C:$C))))</f>
        <v>SINAPI</v>
      </c>
      <c r="F722" s="328" t="s">
        <v>314</v>
      </c>
      <c r="G722" s="249" t="str">
        <f>UPPER(IF($D722=0,"",IF($A722=4,_xlfn.XLOOKUP($D722,Mercado!$C:$C,Mercado!$G:$G),_xlfn.XLOOKUP($D722,Fontes!$B:$B,Fontes!$E:$E))))</f>
        <v>UN</v>
      </c>
      <c r="H722" s="252">
        <v>9</v>
      </c>
      <c r="I722" s="252">
        <f>IF($A722="M",_xlfn.XLOOKUP($D722,Mercado!$C:$C,Mercado!$I:$I),_xlfn.XLOOKUP($D722,Fontes!$B:$B,Fontes!$J:$J))</f>
        <v>9.2899999999999991</v>
      </c>
      <c r="J722" s="252">
        <f>IF($A722="M",_xlfn.XLOOKUP($D722,Mercado!$C:$C,Mercado!$J:$J),_xlfn.XLOOKUP($D722,Fontes!$B:$B,Fontes!$H:$H))</f>
        <v>1.98</v>
      </c>
      <c r="K722" s="252">
        <f>IF($A722="M",0,_xlfn.XLOOKUP($D722,Fontes!$B:$B,Fontes!$I:$I))</f>
        <v>0.18</v>
      </c>
      <c r="L722" s="250">
        <f t="shared" si="84"/>
        <v>11.45</v>
      </c>
      <c r="M722" s="300">
        <f t="shared" si="83"/>
        <v>103.05</v>
      </c>
      <c r="O722" s="517">
        <f t="shared" si="82"/>
        <v>103.05</v>
      </c>
    </row>
    <row r="723" spans="1:15" ht="38.4" outlineLevel="4" x14ac:dyDescent="0.3">
      <c r="A723" s="35"/>
      <c r="B723" s="36"/>
      <c r="C723" s="495" t="s">
        <v>10376</v>
      </c>
      <c r="D723" s="487">
        <v>93661</v>
      </c>
      <c r="E723" s="249" t="str">
        <f>UPPER(IF($D723=0,"",IF($A723=4,_xlfn.XLOOKUP($D723,Mercado!$C:$C,Mercado!$E:$E),_xlfn.XLOOKUP($D723,Fontes!$B:$B,Fontes!$C:$C))))</f>
        <v>SINAPI</v>
      </c>
      <c r="F723" s="328" t="s">
        <v>316</v>
      </c>
      <c r="G723" s="249" t="str">
        <f>UPPER(IF($D723=0,"",IF($A723=4,_xlfn.XLOOKUP($D723,Mercado!$C:$C,Mercado!$G:$G),_xlfn.XLOOKUP($D723,Fontes!$B:$B,Fontes!$E:$E))))</f>
        <v>UN</v>
      </c>
      <c r="H723" s="252">
        <v>10</v>
      </c>
      <c r="I723" s="252">
        <f>IF($A723="M",_xlfn.XLOOKUP($D723,Mercado!$C:$C,Mercado!$I:$I),_xlfn.XLOOKUP($D723,Fontes!$B:$B,Fontes!$J:$J))</f>
        <v>47.45</v>
      </c>
      <c r="J723" s="252">
        <f>IF($A723="M",_xlfn.XLOOKUP($D723,Mercado!$C:$C,Mercado!$J:$J),_xlfn.XLOOKUP($D723,Fontes!$B:$B,Fontes!$H:$H))</f>
        <v>3.94</v>
      </c>
      <c r="K723" s="252">
        <f>IF($A723="M",0,_xlfn.XLOOKUP($D723,Fontes!$B:$B,Fontes!$I:$I))</f>
        <v>0.34</v>
      </c>
      <c r="L723" s="250">
        <f t="shared" si="84"/>
        <v>51.730000000000004</v>
      </c>
      <c r="M723" s="300">
        <f t="shared" si="83"/>
        <v>517.29999999999995</v>
      </c>
      <c r="O723" s="517">
        <f t="shared" si="82"/>
        <v>517.29999999999995</v>
      </c>
    </row>
    <row r="724" spans="1:15" ht="38.4" outlineLevel="4" x14ac:dyDescent="0.3">
      <c r="A724" s="35"/>
      <c r="B724" s="36"/>
      <c r="C724" s="495" t="s">
        <v>10377</v>
      </c>
      <c r="D724" s="487">
        <v>93662</v>
      </c>
      <c r="E724" s="249" t="str">
        <f>UPPER(IF($D724=0,"",IF($A724=4,_xlfn.XLOOKUP($D724,Mercado!$C:$C,Mercado!$E:$E),_xlfn.XLOOKUP($D724,Fontes!$B:$B,Fontes!$C:$C))))</f>
        <v>SINAPI</v>
      </c>
      <c r="F724" s="328" t="s">
        <v>317</v>
      </c>
      <c r="G724" s="249" t="str">
        <f>UPPER(IF($D724=0,"",IF($A724=4,_xlfn.XLOOKUP($D724,Mercado!$C:$C,Mercado!$G:$G),_xlfn.XLOOKUP($D724,Fontes!$B:$B,Fontes!$E:$E))))</f>
        <v>UN</v>
      </c>
      <c r="H724" s="252">
        <v>2</v>
      </c>
      <c r="I724" s="252">
        <f>IF($A724="M",_xlfn.XLOOKUP($D724,Mercado!$C:$C,Mercado!$I:$I),_xlfn.XLOOKUP($D724,Fontes!$B:$B,Fontes!$J:$J))</f>
        <v>48.41</v>
      </c>
      <c r="J724" s="252">
        <f>IF($A724="M",_xlfn.XLOOKUP($D724,Mercado!$C:$C,Mercado!$J:$J),_xlfn.XLOOKUP($D724,Fontes!$B:$B,Fontes!$H:$H))</f>
        <v>5.22</v>
      </c>
      <c r="K724" s="252">
        <f>IF($A724="M",0,_xlfn.XLOOKUP($D724,Fontes!$B:$B,Fontes!$I:$I))</f>
        <v>0.46</v>
      </c>
      <c r="L724" s="250">
        <f t="shared" si="84"/>
        <v>54.089999999999996</v>
      </c>
      <c r="M724" s="300">
        <f t="shared" si="83"/>
        <v>108.18</v>
      </c>
      <c r="O724" s="517">
        <f t="shared" si="82"/>
        <v>108.18</v>
      </c>
    </row>
    <row r="725" spans="1:15" ht="38.4" outlineLevel="4" x14ac:dyDescent="0.3">
      <c r="A725" s="35"/>
      <c r="B725" s="36"/>
      <c r="C725" s="495" t="s">
        <v>10378</v>
      </c>
      <c r="D725" s="487">
        <v>93669</v>
      </c>
      <c r="E725" s="249" t="str">
        <f>UPPER(IF($D725=0,"",IF($A725=4,_xlfn.XLOOKUP($D725,Mercado!$C:$C,Mercado!$E:$E),_xlfn.XLOOKUP($D725,Fontes!$B:$B,Fontes!$C:$C))))</f>
        <v>SINAPI</v>
      </c>
      <c r="F725" s="328" t="s">
        <v>321</v>
      </c>
      <c r="G725" s="249" t="str">
        <f>UPPER(IF($D725=0,"",IF($A725=4,_xlfn.XLOOKUP($D725,Mercado!$C:$C,Mercado!$G:$G),_xlfn.XLOOKUP($D725,Fontes!$B:$B,Fontes!$E:$E))))</f>
        <v>UN</v>
      </c>
      <c r="H725" s="252">
        <v>1</v>
      </c>
      <c r="I725" s="252">
        <f>IF($A725="M",_xlfn.XLOOKUP($D725,Mercado!$C:$C,Mercado!$I:$I),_xlfn.XLOOKUP($D725,Fontes!$B:$B,Fontes!$J:$J))</f>
        <v>60.43</v>
      </c>
      <c r="J725" s="252">
        <f>IF($A725="M",_xlfn.XLOOKUP($D725,Mercado!$C:$C,Mercado!$J:$J),_xlfn.XLOOKUP($D725,Fontes!$B:$B,Fontes!$H:$H))</f>
        <v>7.83</v>
      </c>
      <c r="K725" s="252">
        <f>IF($A725="M",0,_xlfn.XLOOKUP($D725,Fontes!$B:$B,Fontes!$I:$I))</f>
        <v>0.7</v>
      </c>
      <c r="L725" s="250">
        <f t="shared" si="84"/>
        <v>68.960000000000008</v>
      </c>
      <c r="M725" s="300">
        <f t="shared" si="83"/>
        <v>68.959999999999994</v>
      </c>
      <c r="O725" s="517">
        <f t="shared" si="82"/>
        <v>68.959999999999994</v>
      </c>
    </row>
    <row r="726" spans="1:15" outlineLevel="4" x14ac:dyDescent="0.3">
      <c r="A726" s="35"/>
      <c r="B726" s="36"/>
      <c r="C726" s="495" t="s">
        <v>10379</v>
      </c>
      <c r="D726" s="487" t="s">
        <v>2664</v>
      </c>
      <c r="E726" s="249" t="str">
        <f>UPPER(IF($D726=0,"",IF($A726=4,_xlfn.XLOOKUP($D726,Mercado!$C:$C,Mercado!$E:$E),_xlfn.XLOOKUP($D726,Fontes!$B:$B,Fontes!$C:$C))))</f>
        <v>CPOS/CDHU</v>
      </c>
      <c r="F726" s="328" t="s">
        <v>3615</v>
      </c>
      <c r="G726" s="249" t="str">
        <f>UPPER(IF($D726=0,"",IF($A726=4,_xlfn.XLOOKUP($D726,Mercado!$C:$C,Mercado!$G:$G),_xlfn.XLOOKUP($D726,Fontes!$B:$B,Fontes!$E:$E))))</f>
        <v>UN</v>
      </c>
      <c r="H726" s="252">
        <v>1</v>
      </c>
      <c r="I726" s="252">
        <f>IF($A726="M",_xlfn.XLOOKUP($D726,Mercado!$C:$C,Mercado!$I:$I),_xlfn.XLOOKUP($D726,Fontes!$B:$B,Fontes!$J:$J))</f>
        <v>279.5</v>
      </c>
      <c r="J726" s="252">
        <f>IF($A726="M",_xlfn.XLOOKUP($D726,Mercado!$C:$C,Mercado!$J:$J),_xlfn.XLOOKUP($D726,Fontes!$B:$B,Fontes!$H:$H))</f>
        <v>13.96</v>
      </c>
      <c r="K726" s="252">
        <f>IF($A726="M",0,_xlfn.XLOOKUP($D726,Fontes!$B:$B,Fontes!$I:$I))</f>
        <v>0</v>
      </c>
      <c r="L726" s="250">
        <f t="shared" si="84"/>
        <v>293.45999999999998</v>
      </c>
      <c r="M726" s="300">
        <f t="shared" si="83"/>
        <v>293.45999999999998</v>
      </c>
      <c r="O726" s="517">
        <f t="shared" si="82"/>
        <v>293.45999999999998</v>
      </c>
    </row>
    <row r="727" spans="1:15" ht="57.6" outlineLevel="4" x14ac:dyDescent="0.3">
      <c r="A727" s="35"/>
      <c r="B727" s="36"/>
      <c r="C727" s="495" t="s">
        <v>10380</v>
      </c>
      <c r="D727" s="487">
        <v>12232</v>
      </c>
      <c r="E727" s="249" t="str">
        <f>UPPER(IF($D727=0,"",IF($A727=4,_xlfn.XLOOKUP($D727,Mercado!$C:$C,Mercado!$E:$E),_xlfn.XLOOKUP($D727,Fontes!$B:$B,Fontes!$C:$C))))</f>
        <v>ORSE</v>
      </c>
      <c r="F727" s="328" t="s">
        <v>3617</v>
      </c>
      <c r="G727" s="249" t="str">
        <f>UPPER(IF($D727=0,"",IF($A727=4,_xlfn.XLOOKUP($D727,Mercado!$C:$C,Mercado!$G:$G),_xlfn.XLOOKUP($D727,Fontes!$B:$B,Fontes!$E:$E))))</f>
        <v>UN</v>
      </c>
      <c r="H727" s="252">
        <v>1</v>
      </c>
      <c r="I727" s="252">
        <f>IF($A727="M",_xlfn.XLOOKUP($D727,Mercado!$C:$C,Mercado!$I:$I),_xlfn.XLOOKUP($D727,Fontes!$B:$B,Fontes!$J:$J))</f>
        <v>1476.31</v>
      </c>
      <c r="J727" s="252">
        <f>IF($A727="M",_xlfn.XLOOKUP($D727,Mercado!$C:$C,Mercado!$J:$J),_xlfn.XLOOKUP($D727,Fontes!$B:$B,Fontes!$H:$H))</f>
        <v>353.62</v>
      </c>
      <c r="K727" s="252">
        <f>IF($A727="M",0,_xlfn.XLOOKUP($D727,Fontes!$B:$B,Fontes!$I:$I))</f>
        <v>0.24</v>
      </c>
      <c r="L727" s="250">
        <f t="shared" si="84"/>
        <v>1830.1699999999998</v>
      </c>
      <c r="M727" s="300">
        <f t="shared" si="83"/>
        <v>1830.17</v>
      </c>
      <c r="O727" s="517">
        <f t="shared" si="82"/>
        <v>1830.17</v>
      </c>
    </row>
    <row r="728" spans="1:15" outlineLevel="4" x14ac:dyDescent="0.3">
      <c r="A728" s="36" t="s">
        <v>7</v>
      </c>
      <c r="B728" s="36"/>
      <c r="C728" s="495" t="s">
        <v>781</v>
      </c>
      <c r="D728" s="487"/>
      <c r="E728" s="249" t="str">
        <f>UPPER(IF($D728=0,"",IF($A728=4,_xlfn.XLOOKUP($D728,Mercado!$C:$C,Mercado!$E:$E),_xlfn.XLOOKUP($D728,Fontes!$B:$B,Fontes!$C:$C))))</f>
        <v/>
      </c>
      <c r="F728" s="335" t="s">
        <v>781</v>
      </c>
      <c r="G728" s="249"/>
      <c r="H728" s="252"/>
      <c r="I728" s="252">
        <f>IF($A728="M",_xlfn.XLOOKUP($D728,Mercado!$C:$C,Mercado!$I:$I),_xlfn.XLOOKUP($D728,Fontes!$B:$B,Fontes!$J:$J))</f>
        <v>0</v>
      </c>
      <c r="J728" s="252">
        <f>IF($A728="M",_xlfn.XLOOKUP($D728,Mercado!$C:$C,Mercado!$J:$J),_xlfn.XLOOKUP($D728,Fontes!$B:$B,Fontes!$H:$H))</f>
        <v>0</v>
      </c>
      <c r="K728" s="252">
        <f>IF($A728="M",0,_xlfn.XLOOKUP($D728,Fontes!$B:$B,Fontes!$I:$I))</f>
        <v>0</v>
      </c>
      <c r="L728" s="250">
        <f t="shared" si="84"/>
        <v>0</v>
      </c>
      <c r="M728" s="300">
        <f t="shared" si="83"/>
        <v>0</v>
      </c>
      <c r="O728" s="517" t="str">
        <f t="shared" si="82"/>
        <v/>
      </c>
    </row>
    <row r="729" spans="1:15" s="261" customFormat="1" outlineLevel="4" x14ac:dyDescent="0.3">
      <c r="A729" s="36" t="s">
        <v>7</v>
      </c>
      <c r="B729" s="35"/>
      <c r="C729" s="499" t="s">
        <v>10381</v>
      </c>
      <c r="D729" s="492"/>
      <c r="E729" s="257" t="str">
        <f>UPPER(IF($D729=0,"",IF($A729=4,_xlfn.XLOOKUP($D729,Mercado!$C:$C,Mercado!$E:$E),_xlfn.XLOOKUP($D729,Fontes!$B:$B,Fontes!$C:$C))))</f>
        <v/>
      </c>
      <c r="F729" s="330" t="s">
        <v>542</v>
      </c>
      <c r="G729" s="257"/>
      <c r="H729" s="259"/>
      <c r="I729" s="259">
        <f>IF($A729="M",_xlfn.XLOOKUP($D729,Mercado!$C:$C,Mercado!$I:$I),_xlfn.XLOOKUP($D729,Fontes!$B:$B,Fontes!$J:$J))</f>
        <v>0</v>
      </c>
      <c r="J729" s="259">
        <f>IF($A729="M",_xlfn.XLOOKUP($D729,Mercado!$C:$C,Mercado!$J:$J),_xlfn.XLOOKUP($D729,Fontes!$B:$B,Fontes!$H:$H))</f>
        <v>0</v>
      </c>
      <c r="K729" s="259">
        <f>IF($A729="M",0,_xlfn.XLOOKUP($D729,Fontes!$B:$B,Fontes!$I:$I))</f>
        <v>0</v>
      </c>
      <c r="L729" s="259">
        <f t="shared" si="84"/>
        <v>0</v>
      </c>
      <c r="M729" s="500">
        <f t="shared" si="83"/>
        <v>0</v>
      </c>
      <c r="N729" s="247"/>
      <c r="O729" s="517" t="str">
        <f t="shared" si="82"/>
        <v/>
      </c>
    </row>
    <row r="730" spans="1:15" ht="38.4" outlineLevel="4" x14ac:dyDescent="0.3">
      <c r="A730" s="35"/>
      <c r="B730" s="36"/>
      <c r="C730" s="495" t="s">
        <v>10382</v>
      </c>
      <c r="D730" s="487">
        <v>72322</v>
      </c>
      <c r="E730" s="249" t="str">
        <f>UPPER(IF($D730=0,"",IF($A730=4,_xlfn.XLOOKUP($D730,Mercado!$C:$C,Mercado!$E:$E),_xlfn.XLOOKUP($D730,Fontes!$B:$B,Fontes!$C:$C))))</f>
        <v>SINAPI</v>
      </c>
      <c r="F730" s="328" t="s">
        <v>2683</v>
      </c>
      <c r="G730" s="249" t="str">
        <f>UPPER(IF($D730=0,"",IF($A730=4,_xlfn.XLOOKUP($D730,Mercado!$C:$C,Mercado!$G:$G),_xlfn.XLOOKUP($D730,Fontes!$B:$B,Fontes!$E:$E))))</f>
        <v>UN</v>
      </c>
      <c r="H730" s="252">
        <v>1</v>
      </c>
      <c r="I730" s="252">
        <f>IF($A730="M",_xlfn.XLOOKUP($D730,Mercado!$C:$C,Mercado!$I:$I),_xlfn.XLOOKUP($D730,Fontes!$B:$B,Fontes!$J:$J))</f>
        <v>320.5</v>
      </c>
      <c r="J730" s="252">
        <f>IF($A730="M",_xlfn.XLOOKUP($D730,Mercado!$C:$C,Mercado!$J:$J),_xlfn.XLOOKUP($D730,Fontes!$B:$B,Fontes!$H:$H))</f>
        <v>111.34</v>
      </c>
      <c r="K730" s="252">
        <f>IF($A730="M",0,_xlfn.XLOOKUP($D730,Fontes!$B:$B,Fontes!$I:$I))</f>
        <v>9.84</v>
      </c>
      <c r="L730" s="250">
        <f t="shared" si="84"/>
        <v>441.68</v>
      </c>
      <c r="M730" s="300">
        <f t="shared" si="83"/>
        <v>441.68</v>
      </c>
      <c r="O730" s="517">
        <f t="shared" si="82"/>
        <v>441.68</v>
      </c>
    </row>
    <row r="731" spans="1:15" ht="38.4" outlineLevel="4" x14ac:dyDescent="0.3">
      <c r="A731" s="35"/>
      <c r="B731" s="36"/>
      <c r="C731" s="495" t="s">
        <v>10383</v>
      </c>
      <c r="D731" s="487">
        <v>93672</v>
      </c>
      <c r="E731" s="249" t="str">
        <f>UPPER(IF($D731=0,"",IF($A731=4,_xlfn.XLOOKUP($D731,Mercado!$C:$C,Mercado!$E:$E),_xlfn.XLOOKUP($D731,Fontes!$B:$B,Fontes!$C:$C))))</f>
        <v>SINAPI</v>
      </c>
      <c r="F731" s="328" t="s">
        <v>324</v>
      </c>
      <c r="G731" s="249" t="str">
        <f>UPPER(IF($D731=0,"",IF($A731=4,_xlfn.XLOOKUP($D731,Mercado!$C:$C,Mercado!$G:$G),_xlfn.XLOOKUP($D731,Fontes!$B:$B,Fontes!$E:$E))))</f>
        <v>UN</v>
      </c>
      <c r="H731" s="252">
        <v>1</v>
      </c>
      <c r="I731" s="252">
        <f>IF($A731="M",_xlfn.XLOOKUP($D731,Mercado!$C:$C,Mercado!$I:$I),_xlfn.XLOOKUP($D731,Fontes!$B:$B,Fontes!$J:$J))</f>
        <v>65.41</v>
      </c>
      <c r="J731" s="252">
        <f>IF($A731="M",_xlfn.XLOOKUP($D731,Mercado!$C:$C,Mercado!$J:$J),_xlfn.XLOOKUP($D731,Fontes!$B:$B,Fontes!$H:$H))</f>
        <v>21.23</v>
      </c>
      <c r="K731" s="252">
        <f>IF($A731="M",0,_xlfn.XLOOKUP($D731,Fontes!$B:$B,Fontes!$I:$I))</f>
        <v>1.88</v>
      </c>
      <c r="L731" s="250">
        <f t="shared" si="84"/>
        <v>88.52</v>
      </c>
      <c r="M731" s="300">
        <f t="shared" si="83"/>
        <v>88.52</v>
      </c>
      <c r="O731" s="517">
        <f t="shared" si="82"/>
        <v>88.52</v>
      </c>
    </row>
    <row r="732" spans="1:15" ht="38.4" outlineLevel="4" x14ac:dyDescent="0.3">
      <c r="A732" s="35"/>
      <c r="B732" s="36"/>
      <c r="C732" s="495" t="s">
        <v>10384</v>
      </c>
      <c r="D732" s="487">
        <v>681</v>
      </c>
      <c r="E732" s="249" t="str">
        <f>UPPER(IF($D732=0,"",IF($A732=4,_xlfn.XLOOKUP($D732,Mercado!$C:$C,Mercado!$E:$E),_xlfn.XLOOKUP($D732,Fontes!$B:$B,Fontes!$C:$C))))</f>
        <v>PRÓPRIO</v>
      </c>
      <c r="F732" s="335" t="s">
        <v>2640</v>
      </c>
      <c r="G732" s="249" t="str">
        <f>UPPER(IF($D732=0,"",IF($A732=4,_xlfn.XLOOKUP($D732,Mercado!$C:$C,Mercado!$G:$G),_xlfn.XLOOKUP($D732,Fontes!$B:$B,Fontes!$E:$E))))</f>
        <v>UN</v>
      </c>
      <c r="H732" s="252">
        <v>3</v>
      </c>
      <c r="I732" s="252">
        <f>IF($A732="M",_xlfn.XLOOKUP($D732,Mercado!$C:$C,Mercado!$I:$I),_xlfn.XLOOKUP($D732,Fontes!$B:$B,Fontes!$J:$J))</f>
        <v>1403.99</v>
      </c>
      <c r="J732" s="252">
        <f>IF($A732="M",_xlfn.XLOOKUP($D732,Mercado!$C:$C,Mercado!$J:$J),_xlfn.XLOOKUP($D732,Fontes!$B:$B,Fontes!$H:$H))</f>
        <v>35.119999999999997</v>
      </c>
      <c r="K732" s="252">
        <f>IF($A732="M",0,_xlfn.XLOOKUP($D732,Fontes!$B:$B,Fontes!$I:$I))</f>
        <v>0</v>
      </c>
      <c r="L732" s="250">
        <f t="shared" si="84"/>
        <v>1439.11</v>
      </c>
      <c r="M732" s="300">
        <f t="shared" ref="M732:M763" si="85">ROUND(H732*L732,2)</f>
        <v>4317.33</v>
      </c>
      <c r="O732" s="517">
        <f t="shared" si="82"/>
        <v>4317.33</v>
      </c>
    </row>
    <row r="733" spans="1:15" ht="38.4" outlineLevel="4" x14ac:dyDescent="0.3">
      <c r="A733" s="35"/>
      <c r="B733" s="36"/>
      <c r="C733" s="495" t="s">
        <v>10385</v>
      </c>
      <c r="D733" s="487">
        <v>93654</v>
      </c>
      <c r="E733" s="249" t="str">
        <f>UPPER(IF($D733=0,"",IF($A733=4,_xlfn.XLOOKUP($D733,Mercado!$C:$C,Mercado!$E:$E),_xlfn.XLOOKUP($D733,Fontes!$B:$B,Fontes!$C:$C))))</f>
        <v>SINAPI</v>
      </c>
      <c r="F733" s="328" t="s">
        <v>314</v>
      </c>
      <c r="G733" s="249" t="str">
        <f>UPPER(IF($D733=0,"",IF($A733=4,_xlfn.XLOOKUP($D733,Mercado!$C:$C,Mercado!$G:$G),_xlfn.XLOOKUP($D733,Fontes!$B:$B,Fontes!$E:$E))))</f>
        <v>UN</v>
      </c>
      <c r="H733" s="252">
        <v>19</v>
      </c>
      <c r="I733" s="252">
        <f>IF($A733="M",_xlfn.XLOOKUP($D733,Mercado!$C:$C,Mercado!$I:$I),_xlfn.XLOOKUP($D733,Fontes!$B:$B,Fontes!$J:$J))</f>
        <v>9.2899999999999991</v>
      </c>
      <c r="J733" s="252">
        <f>IF($A733="M",_xlfn.XLOOKUP($D733,Mercado!$C:$C,Mercado!$J:$J),_xlfn.XLOOKUP($D733,Fontes!$B:$B,Fontes!$H:$H))</f>
        <v>1.98</v>
      </c>
      <c r="K733" s="252">
        <f>IF($A733="M",0,_xlfn.XLOOKUP($D733,Fontes!$B:$B,Fontes!$I:$I))</f>
        <v>0.18</v>
      </c>
      <c r="L733" s="250">
        <f t="shared" si="84"/>
        <v>11.45</v>
      </c>
      <c r="M733" s="300">
        <f t="shared" si="85"/>
        <v>217.55</v>
      </c>
      <c r="O733" s="517">
        <f t="shared" si="82"/>
        <v>217.55</v>
      </c>
    </row>
    <row r="734" spans="1:15" ht="38.4" outlineLevel="4" x14ac:dyDescent="0.3">
      <c r="A734" s="35"/>
      <c r="B734" s="36"/>
      <c r="C734" s="495" t="s">
        <v>10386</v>
      </c>
      <c r="D734" s="487">
        <v>93661</v>
      </c>
      <c r="E734" s="249" t="str">
        <f>UPPER(IF($D734=0,"",IF($A734=4,_xlfn.XLOOKUP($D734,Mercado!$C:$C,Mercado!$E:$E),_xlfn.XLOOKUP($D734,Fontes!$B:$B,Fontes!$C:$C))))</f>
        <v>SINAPI</v>
      </c>
      <c r="F734" s="328" t="s">
        <v>316</v>
      </c>
      <c r="G734" s="249" t="str">
        <f>UPPER(IF($D734=0,"",IF($A734=4,_xlfn.XLOOKUP($D734,Mercado!$C:$C,Mercado!$G:$G),_xlfn.XLOOKUP($D734,Fontes!$B:$B,Fontes!$E:$E))))</f>
        <v>UN</v>
      </c>
      <c r="H734" s="252">
        <v>15</v>
      </c>
      <c r="I734" s="252">
        <f>IF($A734="M",_xlfn.XLOOKUP($D734,Mercado!$C:$C,Mercado!$I:$I),_xlfn.XLOOKUP($D734,Fontes!$B:$B,Fontes!$J:$J))</f>
        <v>47.45</v>
      </c>
      <c r="J734" s="252">
        <f>IF($A734="M",_xlfn.XLOOKUP($D734,Mercado!$C:$C,Mercado!$J:$J),_xlfn.XLOOKUP($D734,Fontes!$B:$B,Fontes!$H:$H))</f>
        <v>3.94</v>
      </c>
      <c r="K734" s="252">
        <f>IF($A734="M",0,_xlfn.XLOOKUP($D734,Fontes!$B:$B,Fontes!$I:$I))</f>
        <v>0.34</v>
      </c>
      <c r="L734" s="250">
        <f t="shared" si="84"/>
        <v>51.730000000000004</v>
      </c>
      <c r="M734" s="300">
        <f t="shared" si="85"/>
        <v>775.95</v>
      </c>
      <c r="O734" s="517">
        <f t="shared" si="82"/>
        <v>775.95</v>
      </c>
    </row>
    <row r="735" spans="1:15" ht="38.4" outlineLevel="4" x14ac:dyDescent="0.3">
      <c r="A735" s="35"/>
      <c r="B735" s="36"/>
      <c r="C735" s="495" t="s">
        <v>10387</v>
      </c>
      <c r="D735" s="487">
        <v>93655</v>
      </c>
      <c r="E735" s="249" t="str">
        <f>UPPER(IF($D735=0,"",IF($A735=4,_xlfn.XLOOKUP($D735,Mercado!$C:$C,Mercado!$E:$E),_xlfn.XLOOKUP($D735,Fontes!$B:$B,Fontes!$C:$C))))</f>
        <v>SINAPI</v>
      </c>
      <c r="F735" s="328" t="s">
        <v>315</v>
      </c>
      <c r="G735" s="249" t="str">
        <f>UPPER(IF($D735=0,"",IF($A735=4,_xlfn.XLOOKUP($D735,Mercado!$C:$C,Mercado!$G:$G),_xlfn.XLOOKUP($D735,Fontes!$B:$B,Fontes!$E:$E))))</f>
        <v>UN</v>
      </c>
      <c r="H735" s="252">
        <v>1</v>
      </c>
      <c r="I735" s="252">
        <f>IF($A735="M",_xlfn.XLOOKUP($D735,Mercado!$C:$C,Mercado!$I:$I),_xlfn.XLOOKUP($D735,Fontes!$B:$B,Fontes!$J:$J))</f>
        <v>9.7799999999999994</v>
      </c>
      <c r="J735" s="252">
        <f>IF($A735="M",_xlfn.XLOOKUP($D735,Mercado!$C:$C,Mercado!$J:$J),_xlfn.XLOOKUP($D735,Fontes!$B:$B,Fontes!$H:$H))</f>
        <v>2.61</v>
      </c>
      <c r="K735" s="252">
        <f>IF($A735="M",0,_xlfn.XLOOKUP($D735,Fontes!$B:$B,Fontes!$I:$I))</f>
        <v>0.24</v>
      </c>
      <c r="L735" s="250">
        <f t="shared" si="84"/>
        <v>12.629999999999999</v>
      </c>
      <c r="M735" s="300">
        <f t="shared" si="85"/>
        <v>12.63</v>
      </c>
      <c r="O735" s="517">
        <f t="shared" si="82"/>
        <v>12.63</v>
      </c>
    </row>
    <row r="736" spans="1:15" ht="38.4" outlineLevel="4" x14ac:dyDescent="0.3">
      <c r="A736" s="35"/>
      <c r="B736" s="36"/>
      <c r="C736" s="495" t="s">
        <v>10388</v>
      </c>
      <c r="D736" s="487">
        <v>93662</v>
      </c>
      <c r="E736" s="249" t="str">
        <f>UPPER(IF($D736=0,"",IF($A736=4,_xlfn.XLOOKUP($D736,Mercado!$C:$C,Mercado!$E:$E),_xlfn.XLOOKUP($D736,Fontes!$B:$B,Fontes!$C:$C))))</f>
        <v>SINAPI</v>
      </c>
      <c r="F736" s="328" t="s">
        <v>317</v>
      </c>
      <c r="G736" s="249" t="str">
        <f>UPPER(IF($D736=0,"",IF($A736=4,_xlfn.XLOOKUP($D736,Mercado!$C:$C,Mercado!$G:$G),_xlfn.XLOOKUP($D736,Fontes!$B:$B,Fontes!$E:$E))))</f>
        <v>UN</v>
      </c>
      <c r="H736" s="252">
        <v>3</v>
      </c>
      <c r="I736" s="252">
        <f>IF($A736="M",_xlfn.XLOOKUP($D736,Mercado!$C:$C,Mercado!$I:$I),_xlfn.XLOOKUP($D736,Fontes!$B:$B,Fontes!$J:$J))</f>
        <v>48.41</v>
      </c>
      <c r="J736" s="252">
        <f>IF($A736="M",_xlfn.XLOOKUP($D736,Mercado!$C:$C,Mercado!$J:$J),_xlfn.XLOOKUP($D736,Fontes!$B:$B,Fontes!$H:$H))</f>
        <v>5.22</v>
      </c>
      <c r="K736" s="252">
        <f>IF($A736="M",0,_xlfn.XLOOKUP($D736,Fontes!$B:$B,Fontes!$I:$I))</f>
        <v>0.46</v>
      </c>
      <c r="L736" s="250">
        <f t="shared" si="84"/>
        <v>54.089999999999996</v>
      </c>
      <c r="M736" s="300">
        <f t="shared" si="85"/>
        <v>162.27000000000001</v>
      </c>
      <c r="O736" s="517">
        <f t="shared" si="82"/>
        <v>162.27000000000001</v>
      </c>
    </row>
    <row r="737" spans="1:15" ht="38.4" outlineLevel="4" x14ac:dyDescent="0.3">
      <c r="A737" s="35"/>
      <c r="B737" s="36"/>
      <c r="C737" s="495" t="s">
        <v>10389</v>
      </c>
      <c r="D737" s="487">
        <v>93669</v>
      </c>
      <c r="E737" s="249" t="str">
        <f>UPPER(IF($D737=0,"",IF($A737=4,_xlfn.XLOOKUP($D737,Mercado!$C:$C,Mercado!$E:$E),_xlfn.XLOOKUP($D737,Fontes!$B:$B,Fontes!$C:$C))))</f>
        <v>SINAPI</v>
      </c>
      <c r="F737" s="328" t="s">
        <v>321</v>
      </c>
      <c r="G737" s="249" t="str">
        <f>UPPER(IF($D737=0,"",IF($A737=4,_xlfn.XLOOKUP($D737,Mercado!$C:$C,Mercado!$G:$G),_xlfn.XLOOKUP($D737,Fontes!$B:$B,Fontes!$E:$E))))</f>
        <v>UN</v>
      </c>
      <c r="H737" s="252">
        <v>6</v>
      </c>
      <c r="I737" s="252">
        <f>IF($A737="M",_xlfn.XLOOKUP($D737,Mercado!$C:$C,Mercado!$I:$I),_xlfn.XLOOKUP($D737,Fontes!$B:$B,Fontes!$J:$J))</f>
        <v>60.43</v>
      </c>
      <c r="J737" s="252">
        <f>IF($A737="M",_xlfn.XLOOKUP($D737,Mercado!$C:$C,Mercado!$J:$J),_xlfn.XLOOKUP($D737,Fontes!$B:$B,Fontes!$H:$H))</f>
        <v>7.83</v>
      </c>
      <c r="K737" s="252">
        <f>IF($A737="M",0,_xlfn.XLOOKUP($D737,Fontes!$B:$B,Fontes!$I:$I))</f>
        <v>0.7</v>
      </c>
      <c r="L737" s="250">
        <f t="shared" si="84"/>
        <v>68.960000000000008</v>
      </c>
      <c r="M737" s="300">
        <f t="shared" si="85"/>
        <v>413.76</v>
      </c>
      <c r="O737" s="517">
        <f t="shared" si="82"/>
        <v>413.76</v>
      </c>
    </row>
    <row r="738" spans="1:15" outlineLevel="4" x14ac:dyDescent="0.3">
      <c r="A738" s="35"/>
      <c r="B738" s="36"/>
      <c r="C738" s="495" t="s">
        <v>10390</v>
      </c>
      <c r="D738" s="487" t="s">
        <v>2664</v>
      </c>
      <c r="E738" s="249" t="str">
        <f>UPPER(IF($D738=0,"",IF($A738=4,_xlfn.XLOOKUP($D738,Mercado!$C:$C,Mercado!$E:$E),_xlfn.XLOOKUP($D738,Fontes!$B:$B,Fontes!$C:$C))))</f>
        <v>CPOS/CDHU</v>
      </c>
      <c r="F738" s="328" t="s">
        <v>3615</v>
      </c>
      <c r="G738" s="249" t="str">
        <f>UPPER(IF($D738=0,"",IF($A738=4,_xlfn.XLOOKUP($D738,Mercado!$C:$C,Mercado!$G:$G),_xlfn.XLOOKUP($D738,Fontes!$B:$B,Fontes!$E:$E))))</f>
        <v>UN</v>
      </c>
      <c r="H738" s="252">
        <v>3</v>
      </c>
      <c r="I738" s="252">
        <f>IF($A738="M",_xlfn.XLOOKUP($D738,Mercado!$C:$C,Mercado!$I:$I),_xlfn.XLOOKUP($D738,Fontes!$B:$B,Fontes!$J:$J))</f>
        <v>279.5</v>
      </c>
      <c r="J738" s="252">
        <f>IF($A738="M",_xlfn.XLOOKUP($D738,Mercado!$C:$C,Mercado!$J:$J),_xlfn.XLOOKUP($D738,Fontes!$B:$B,Fontes!$H:$H))</f>
        <v>13.96</v>
      </c>
      <c r="K738" s="252">
        <f>IF($A738="M",0,_xlfn.XLOOKUP($D738,Fontes!$B:$B,Fontes!$I:$I))</f>
        <v>0</v>
      </c>
      <c r="L738" s="250">
        <f t="shared" si="84"/>
        <v>293.45999999999998</v>
      </c>
      <c r="M738" s="300">
        <f t="shared" si="85"/>
        <v>880.38</v>
      </c>
      <c r="O738" s="517">
        <f t="shared" ref="O738:O801" si="86">IF(D738&lt;&gt;0,M738,"")</f>
        <v>880.38</v>
      </c>
    </row>
    <row r="739" spans="1:15" outlineLevel="4" x14ac:dyDescent="0.3">
      <c r="A739" s="35"/>
      <c r="B739" s="36"/>
      <c r="C739" s="495" t="s">
        <v>10391</v>
      </c>
      <c r="D739" s="487">
        <v>710</v>
      </c>
      <c r="E739" s="249" t="str">
        <f>UPPER(IF($D739=0,"",IF($A739=4,_xlfn.XLOOKUP($D739,Mercado!$C:$C,Mercado!$E:$E),_xlfn.XLOOKUP($D739,Fontes!$B:$B,Fontes!$C:$C))))</f>
        <v>PRÓPRIO</v>
      </c>
      <c r="F739" s="335" t="s">
        <v>2642</v>
      </c>
      <c r="G739" s="249" t="str">
        <f>UPPER(IF($D739=0,"",IF($A739=4,_xlfn.XLOOKUP($D739,Mercado!$C:$C,Mercado!$G:$G),_xlfn.XLOOKUP($D739,Fontes!$B:$B,Fontes!$E:$E))))</f>
        <v>UN</v>
      </c>
      <c r="H739" s="252">
        <v>1</v>
      </c>
      <c r="I739" s="252">
        <f>IF($A739="M",_xlfn.XLOOKUP($D739,Mercado!$C:$C,Mercado!$I:$I),_xlfn.XLOOKUP($D739,Fontes!$B:$B,Fontes!$J:$J))</f>
        <v>2249.63</v>
      </c>
      <c r="J739" s="252">
        <f>IF($A739="M",_xlfn.XLOOKUP($D739,Mercado!$C:$C,Mercado!$J:$J),_xlfn.XLOOKUP($D739,Fontes!$B:$B,Fontes!$H:$H))</f>
        <v>651.66999999999996</v>
      </c>
      <c r="K739" s="252">
        <f>IF($A739="M",0,_xlfn.XLOOKUP($D739,Fontes!$B:$B,Fontes!$I:$I))</f>
        <v>0.3</v>
      </c>
      <c r="L739" s="250">
        <f t="shared" si="84"/>
        <v>2901.6000000000004</v>
      </c>
      <c r="M739" s="300">
        <f t="shared" si="85"/>
        <v>2901.6</v>
      </c>
      <c r="O739" s="517">
        <f t="shared" si="86"/>
        <v>2901.6</v>
      </c>
    </row>
    <row r="740" spans="1:15" outlineLevel="4" x14ac:dyDescent="0.3">
      <c r="A740" s="36" t="s">
        <v>7</v>
      </c>
      <c r="B740" s="36"/>
      <c r="C740" s="495" t="s">
        <v>781</v>
      </c>
      <c r="D740" s="487"/>
      <c r="E740" s="249" t="str">
        <f>UPPER(IF($D740=0,"",IF($A740=4,_xlfn.XLOOKUP($D740,Mercado!$C:$C,Mercado!$E:$E),_xlfn.XLOOKUP($D740,Fontes!$B:$B,Fontes!$C:$C))))</f>
        <v/>
      </c>
      <c r="F740" s="335" t="s">
        <v>781</v>
      </c>
      <c r="G740" s="249"/>
      <c r="H740" s="252"/>
      <c r="I740" s="252">
        <f>IF($A740="M",_xlfn.XLOOKUP($D740,Mercado!$C:$C,Mercado!$I:$I),_xlfn.XLOOKUP($D740,Fontes!$B:$B,Fontes!$J:$J))</f>
        <v>0</v>
      </c>
      <c r="J740" s="252">
        <f>IF($A740="M",_xlfn.XLOOKUP($D740,Mercado!$C:$C,Mercado!$J:$J),_xlfn.XLOOKUP($D740,Fontes!$B:$B,Fontes!$H:$H))</f>
        <v>0</v>
      </c>
      <c r="K740" s="252">
        <f>IF($A740="M",0,_xlfn.XLOOKUP($D740,Fontes!$B:$B,Fontes!$I:$I))</f>
        <v>0</v>
      </c>
      <c r="L740" s="250">
        <f t="shared" si="84"/>
        <v>0</v>
      </c>
      <c r="M740" s="300">
        <f t="shared" si="85"/>
        <v>0</v>
      </c>
      <c r="O740" s="517" t="str">
        <f t="shared" si="86"/>
        <v/>
      </c>
    </row>
    <row r="741" spans="1:15" s="261" customFormat="1" outlineLevel="4" x14ac:dyDescent="0.3">
      <c r="A741" s="36" t="s">
        <v>7</v>
      </c>
      <c r="B741" s="35"/>
      <c r="C741" s="499" t="s">
        <v>10392</v>
      </c>
      <c r="D741" s="492"/>
      <c r="E741" s="257" t="str">
        <f>UPPER(IF($D741=0,"",IF($A741=4,_xlfn.XLOOKUP($D741,Mercado!$C:$C,Mercado!$E:$E),_xlfn.XLOOKUP($D741,Fontes!$B:$B,Fontes!$C:$C))))</f>
        <v/>
      </c>
      <c r="F741" s="330" t="s">
        <v>2643</v>
      </c>
      <c r="G741" s="257"/>
      <c r="H741" s="259"/>
      <c r="I741" s="259">
        <f>IF($A741="M",_xlfn.XLOOKUP($D741,Mercado!$C:$C,Mercado!$I:$I),_xlfn.XLOOKUP($D741,Fontes!$B:$B,Fontes!$J:$J))</f>
        <v>0</v>
      </c>
      <c r="J741" s="259">
        <f>IF($A741="M",_xlfn.XLOOKUP($D741,Mercado!$C:$C,Mercado!$J:$J),_xlfn.XLOOKUP($D741,Fontes!$B:$B,Fontes!$H:$H))</f>
        <v>0</v>
      </c>
      <c r="K741" s="259">
        <f>IF($A741="M",0,_xlfn.XLOOKUP($D741,Fontes!$B:$B,Fontes!$I:$I))</f>
        <v>0</v>
      </c>
      <c r="L741" s="259">
        <f t="shared" si="84"/>
        <v>0</v>
      </c>
      <c r="M741" s="500">
        <f t="shared" si="85"/>
        <v>0</v>
      </c>
      <c r="N741" s="247"/>
      <c r="O741" s="517" t="str">
        <f t="shared" si="86"/>
        <v/>
      </c>
    </row>
    <row r="742" spans="1:15" ht="38.4" outlineLevel="4" x14ac:dyDescent="0.3">
      <c r="A742" s="35"/>
      <c r="B742" s="36"/>
      <c r="C742" s="495" t="s">
        <v>10393</v>
      </c>
      <c r="D742" s="487">
        <v>72322</v>
      </c>
      <c r="E742" s="249" t="str">
        <f>UPPER(IF($D742=0,"",IF($A742=4,_xlfn.XLOOKUP($D742,Mercado!$C:$C,Mercado!$E:$E),_xlfn.XLOOKUP($D742,Fontes!$B:$B,Fontes!$C:$C))))</f>
        <v>SINAPI</v>
      </c>
      <c r="F742" s="328" t="s">
        <v>2683</v>
      </c>
      <c r="G742" s="249" t="str">
        <f>UPPER(IF($D742=0,"",IF($A742=4,_xlfn.XLOOKUP($D742,Mercado!$C:$C,Mercado!$G:$G),_xlfn.XLOOKUP($D742,Fontes!$B:$B,Fontes!$E:$E))))</f>
        <v>UN</v>
      </c>
      <c r="H742" s="252">
        <v>1</v>
      </c>
      <c r="I742" s="252">
        <f>IF($A742="M",_xlfn.XLOOKUP($D742,Mercado!$C:$C,Mercado!$I:$I),_xlfn.XLOOKUP($D742,Fontes!$B:$B,Fontes!$J:$J))</f>
        <v>320.5</v>
      </c>
      <c r="J742" s="252">
        <f>IF($A742="M",_xlfn.XLOOKUP($D742,Mercado!$C:$C,Mercado!$J:$J),_xlfn.XLOOKUP($D742,Fontes!$B:$B,Fontes!$H:$H))</f>
        <v>111.34</v>
      </c>
      <c r="K742" s="252">
        <f>IF($A742="M",0,_xlfn.XLOOKUP($D742,Fontes!$B:$B,Fontes!$I:$I))</f>
        <v>9.84</v>
      </c>
      <c r="L742" s="250">
        <f t="shared" si="84"/>
        <v>441.68</v>
      </c>
      <c r="M742" s="300">
        <f t="shared" si="85"/>
        <v>441.68</v>
      </c>
      <c r="O742" s="517">
        <f t="shared" si="86"/>
        <v>441.68</v>
      </c>
    </row>
    <row r="743" spans="1:15" ht="38.4" outlineLevel="4" x14ac:dyDescent="0.3">
      <c r="A743" s="35"/>
      <c r="B743" s="36"/>
      <c r="C743" s="495" t="s">
        <v>10394</v>
      </c>
      <c r="D743" s="487">
        <v>93672</v>
      </c>
      <c r="E743" s="249" t="str">
        <f>UPPER(IF($D743=0,"",IF($A743=4,_xlfn.XLOOKUP($D743,Mercado!$C:$C,Mercado!$E:$E),_xlfn.XLOOKUP($D743,Fontes!$B:$B,Fontes!$C:$C))))</f>
        <v>SINAPI</v>
      </c>
      <c r="F743" s="328" t="s">
        <v>324</v>
      </c>
      <c r="G743" s="249" t="str">
        <f>UPPER(IF($D743=0,"",IF($A743=4,_xlfn.XLOOKUP($D743,Mercado!$C:$C,Mercado!$G:$G),_xlfn.XLOOKUP($D743,Fontes!$B:$B,Fontes!$E:$E))))</f>
        <v>UN</v>
      </c>
      <c r="H743" s="252">
        <v>1</v>
      </c>
      <c r="I743" s="252">
        <f>IF($A743="M",_xlfn.XLOOKUP($D743,Mercado!$C:$C,Mercado!$I:$I),_xlfn.XLOOKUP($D743,Fontes!$B:$B,Fontes!$J:$J))</f>
        <v>65.41</v>
      </c>
      <c r="J743" s="252">
        <f>IF($A743="M",_xlfn.XLOOKUP($D743,Mercado!$C:$C,Mercado!$J:$J),_xlfn.XLOOKUP($D743,Fontes!$B:$B,Fontes!$H:$H))</f>
        <v>21.23</v>
      </c>
      <c r="K743" s="252">
        <f>IF($A743="M",0,_xlfn.XLOOKUP($D743,Fontes!$B:$B,Fontes!$I:$I))</f>
        <v>1.88</v>
      </c>
      <c r="L743" s="250">
        <f t="shared" si="84"/>
        <v>88.52</v>
      </c>
      <c r="M743" s="300">
        <f t="shared" si="85"/>
        <v>88.52</v>
      </c>
      <c r="O743" s="517">
        <f t="shared" si="86"/>
        <v>88.52</v>
      </c>
    </row>
    <row r="744" spans="1:15" ht="38.4" outlineLevel="4" x14ac:dyDescent="0.3">
      <c r="A744" s="35"/>
      <c r="B744" s="36"/>
      <c r="C744" s="495" t="s">
        <v>10395</v>
      </c>
      <c r="D744" s="487">
        <v>681</v>
      </c>
      <c r="E744" s="249" t="str">
        <f>UPPER(IF($D744=0,"",IF($A744=4,_xlfn.XLOOKUP($D744,Mercado!$C:$C,Mercado!$E:$E),_xlfn.XLOOKUP($D744,Fontes!$B:$B,Fontes!$C:$C))))</f>
        <v>PRÓPRIO</v>
      </c>
      <c r="F744" s="335" t="s">
        <v>2640</v>
      </c>
      <c r="G744" s="249" t="str">
        <f>UPPER(IF($D744=0,"",IF($A744=4,_xlfn.XLOOKUP($D744,Mercado!$C:$C,Mercado!$G:$G),_xlfn.XLOOKUP($D744,Fontes!$B:$B,Fontes!$E:$E))))</f>
        <v>UN</v>
      </c>
      <c r="H744" s="252">
        <v>3</v>
      </c>
      <c r="I744" s="252">
        <f>IF($A744="M",_xlfn.XLOOKUP($D744,Mercado!$C:$C,Mercado!$I:$I),_xlfn.XLOOKUP($D744,Fontes!$B:$B,Fontes!$J:$J))</f>
        <v>1403.99</v>
      </c>
      <c r="J744" s="252">
        <f>IF($A744="M",_xlfn.XLOOKUP($D744,Mercado!$C:$C,Mercado!$J:$J),_xlfn.XLOOKUP($D744,Fontes!$B:$B,Fontes!$H:$H))</f>
        <v>35.119999999999997</v>
      </c>
      <c r="K744" s="252">
        <f>IF($A744="M",0,_xlfn.XLOOKUP($D744,Fontes!$B:$B,Fontes!$I:$I))</f>
        <v>0</v>
      </c>
      <c r="L744" s="250">
        <f t="shared" si="84"/>
        <v>1439.11</v>
      </c>
      <c r="M744" s="300">
        <f t="shared" si="85"/>
        <v>4317.33</v>
      </c>
      <c r="O744" s="517">
        <f t="shared" si="86"/>
        <v>4317.33</v>
      </c>
    </row>
    <row r="745" spans="1:15" ht="38.4" outlineLevel="4" x14ac:dyDescent="0.3">
      <c r="A745" s="35"/>
      <c r="B745" s="36"/>
      <c r="C745" s="495" t="s">
        <v>10396</v>
      </c>
      <c r="D745" s="487">
        <v>93654</v>
      </c>
      <c r="E745" s="249" t="str">
        <f>UPPER(IF($D745=0,"",IF($A745=4,_xlfn.XLOOKUP($D745,Mercado!$C:$C,Mercado!$E:$E),_xlfn.XLOOKUP($D745,Fontes!$B:$B,Fontes!$C:$C))))</f>
        <v>SINAPI</v>
      </c>
      <c r="F745" s="328" t="s">
        <v>314</v>
      </c>
      <c r="G745" s="249" t="str">
        <f>UPPER(IF($D745=0,"",IF($A745=4,_xlfn.XLOOKUP($D745,Mercado!$C:$C,Mercado!$G:$G),_xlfn.XLOOKUP($D745,Fontes!$B:$B,Fontes!$E:$E))))</f>
        <v>UN</v>
      </c>
      <c r="H745" s="252">
        <v>20</v>
      </c>
      <c r="I745" s="252">
        <f>IF($A745="M",_xlfn.XLOOKUP($D745,Mercado!$C:$C,Mercado!$I:$I),_xlfn.XLOOKUP($D745,Fontes!$B:$B,Fontes!$J:$J))</f>
        <v>9.2899999999999991</v>
      </c>
      <c r="J745" s="252">
        <f>IF($A745="M",_xlfn.XLOOKUP($D745,Mercado!$C:$C,Mercado!$J:$J),_xlfn.XLOOKUP($D745,Fontes!$B:$B,Fontes!$H:$H))</f>
        <v>1.98</v>
      </c>
      <c r="K745" s="252">
        <f>IF($A745="M",0,_xlfn.XLOOKUP($D745,Fontes!$B:$B,Fontes!$I:$I))</f>
        <v>0.18</v>
      </c>
      <c r="L745" s="250">
        <f t="shared" si="84"/>
        <v>11.45</v>
      </c>
      <c r="M745" s="300">
        <f t="shared" si="85"/>
        <v>229</v>
      </c>
      <c r="O745" s="517">
        <f t="shared" si="86"/>
        <v>229</v>
      </c>
    </row>
    <row r="746" spans="1:15" ht="38.4" outlineLevel="4" x14ac:dyDescent="0.3">
      <c r="A746" s="35"/>
      <c r="B746" s="36"/>
      <c r="C746" s="495" t="s">
        <v>10397</v>
      </c>
      <c r="D746" s="487">
        <v>93661</v>
      </c>
      <c r="E746" s="249" t="str">
        <f>UPPER(IF($D746=0,"",IF($A746=4,_xlfn.XLOOKUP($D746,Mercado!$C:$C,Mercado!$E:$E),_xlfn.XLOOKUP($D746,Fontes!$B:$B,Fontes!$C:$C))))</f>
        <v>SINAPI</v>
      </c>
      <c r="F746" s="328" t="s">
        <v>316</v>
      </c>
      <c r="G746" s="249" t="str">
        <f>UPPER(IF($D746=0,"",IF($A746=4,_xlfn.XLOOKUP($D746,Mercado!$C:$C,Mercado!$G:$G),_xlfn.XLOOKUP($D746,Fontes!$B:$B,Fontes!$E:$E))))</f>
        <v>UN</v>
      </c>
      <c r="H746" s="252">
        <v>5</v>
      </c>
      <c r="I746" s="252">
        <f>IF($A746="M",_xlfn.XLOOKUP($D746,Mercado!$C:$C,Mercado!$I:$I),_xlfn.XLOOKUP($D746,Fontes!$B:$B,Fontes!$J:$J))</f>
        <v>47.45</v>
      </c>
      <c r="J746" s="252">
        <f>IF($A746="M",_xlfn.XLOOKUP($D746,Mercado!$C:$C,Mercado!$J:$J),_xlfn.XLOOKUP($D746,Fontes!$B:$B,Fontes!$H:$H))</f>
        <v>3.94</v>
      </c>
      <c r="K746" s="252">
        <f>IF($A746="M",0,_xlfn.XLOOKUP($D746,Fontes!$B:$B,Fontes!$I:$I))</f>
        <v>0.34</v>
      </c>
      <c r="L746" s="250">
        <f t="shared" si="84"/>
        <v>51.730000000000004</v>
      </c>
      <c r="M746" s="300">
        <f t="shared" si="85"/>
        <v>258.64999999999998</v>
      </c>
      <c r="O746" s="517">
        <f t="shared" si="86"/>
        <v>258.64999999999998</v>
      </c>
    </row>
    <row r="747" spans="1:15" ht="57.6" outlineLevel="4" x14ac:dyDescent="0.3">
      <c r="A747" s="35"/>
      <c r="B747" s="36"/>
      <c r="C747" s="495" t="s">
        <v>10398</v>
      </c>
      <c r="D747" s="487">
        <v>8077</v>
      </c>
      <c r="E747" s="249" t="str">
        <f>UPPER(IF($D747=0,"",IF($A747=4,_xlfn.XLOOKUP($D747,Mercado!$C:$C,Mercado!$E:$E),_xlfn.XLOOKUP($D747,Fontes!$B:$B,Fontes!$C:$C))))</f>
        <v>ORSE</v>
      </c>
      <c r="F747" s="328" t="s">
        <v>3614</v>
      </c>
      <c r="G747" s="249" t="str">
        <f>UPPER(IF($D747=0,"",IF($A747=4,_xlfn.XLOOKUP($D747,Mercado!$C:$C,Mercado!$G:$G),_xlfn.XLOOKUP($D747,Fontes!$B:$B,Fontes!$E:$E))))</f>
        <v>UN</v>
      </c>
      <c r="H747" s="252">
        <v>2</v>
      </c>
      <c r="I747" s="252">
        <f>IF($A747="M",_xlfn.XLOOKUP($D747,Mercado!$C:$C,Mercado!$I:$I),_xlfn.XLOOKUP($D747,Fontes!$B:$B,Fontes!$J:$J))</f>
        <v>200.1</v>
      </c>
      <c r="J747" s="252">
        <f>IF($A747="M",_xlfn.XLOOKUP($D747,Mercado!$C:$C,Mercado!$J:$J),_xlfn.XLOOKUP($D747,Fontes!$B:$B,Fontes!$H:$H))</f>
        <v>31.5</v>
      </c>
      <c r="K747" s="252">
        <f>IF($A747="M",0,_xlfn.XLOOKUP($D747,Fontes!$B:$B,Fontes!$I:$I))</f>
        <v>0</v>
      </c>
      <c r="L747" s="250">
        <f t="shared" si="84"/>
        <v>231.6</v>
      </c>
      <c r="M747" s="300">
        <f t="shared" si="85"/>
        <v>463.2</v>
      </c>
      <c r="O747" s="517">
        <f t="shared" si="86"/>
        <v>463.2</v>
      </c>
    </row>
    <row r="748" spans="1:15" outlineLevel="4" x14ac:dyDescent="0.3">
      <c r="A748" s="35"/>
      <c r="B748" s="36"/>
      <c r="C748" s="495" t="s">
        <v>10399</v>
      </c>
      <c r="D748" s="487" t="s">
        <v>2664</v>
      </c>
      <c r="E748" s="249" t="str">
        <f>UPPER(IF($D748=0,"",IF($A748=4,_xlfn.XLOOKUP($D748,Mercado!$C:$C,Mercado!$E:$E),_xlfn.XLOOKUP($D748,Fontes!$B:$B,Fontes!$C:$C))))</f>
        <v>CPOS/CDHU</v>
      </c>
      <c r="F748" s="328" t="s">
        <v>3615</v>
      </c>
      <c r="G748" s="249" t="str">
        <f>UPPER(IF($D748=0,"",IF($A748=4,_xlfn.XLOOKUP($D748,Mercado!$C:$C,Mercado!$G:$G),_xlfn.XLOOKUP($D748,Fontes!$B:$B,Fontes!$E:$E))))</f>
        <v>UN</v>
      </c>
      <c r="H748" s="252">
        <v>1</v>
      </c>
      <c r="I748" s="252">
        <f>IF($A748="M",_xlfn.XLOOKUP($D748,Mercado!$C:$C,Mercado!$I:$I),_xlfn.XLOOKUP($D748,Fontes!$B:$B,Fontes!$J:$J))</f>
        <v>279.5</v>
      </c>
      <c r="J748" s="252">
        <f>IF($A748="M",_xlfn.XLOOKUP($D748,Mercado!$C:$C,Mercado!$J:$J),_xlfn.XLOOKUP($D748,Fontes!$B:$B,Fontes!$H:$H))</f>
        <v>13.96</v>
      </c>
      <c r="K748" s="252">
        <f>IF($A748="M",0,_xlfn.XLOOKUP($D748,Fontes!$B:$B,Fontes!$I:$I))</f>
        <v>0</v>
      </c>
      <c r="L748" s="250">
        <f t="shared" si="84"/>
        <v>293.45999999999998</v>
      </c>
      <c r="M748" s="300">
        <f t="shared" si="85"/>
        <v>293.45999999999998</v>
      </c>
      <c r="O748" s="517">
        <f t="shared" si="86"/>
        <v>293.45999999999998</v>
      </c>
    </row>
    <row r="749" spans="1:15" outlineLevel="4" x14ac:dyDescent="0.3">
      <c r="A749" s="35"/>
      <c r="B749" s="36"/>
      <c r="C749" s="495" t="s">
        <v>10400</v>
      </c>
      <c r="D749" s="487" t="s">
        <v>2665</v>
      </c>
      <c r="E749" s="249" t="str">
        <f>UPPER(IF($D749=0,"",IF($A749=4,_xlfn.XLOOKUP($D749,Mercado!$C:$C,Mercado!$E:$E),_xlfn.XLOOKUP($D749,Fontes!$B:$B,Fontes!$C:$C))))</f>
        <v>CPOS/CDHU</v>
      </c>
      <c r="F749" s="328" t="s">
        <v>3616</v>
      </c>
      <c r="G749" s="249" t="str">
        <f>UPPER(IF($D749=0,"",IF($A749=4,_xlfn.XLOOKUP($D749,Mercado!$C:$C,Mercado!$G:$G),_xlfn.XLOOKUP($D749,Fontes!$B:$B,Fontes!$E:$E))))</f>
        <v>UN</v>
      </c>
      <c r="H749" s="252">
        <v>1</v>
      </c>
      <c r="I749" s="252">
        <f>IF($A749="M",_xlfn.XLOOKUP($D749,Mercado!$C:$C,Mercado!$I:$I),_xlfn.XLOOKUP($D749,Fontes!$B:$B,Fontes!$J:$J))</f>
        <v>283.19</v>
      </c>
      <c r="J749" s="252">
        <f>IF($A749="M",_xlfn.XLOOKUP($D749,Mercado!$C:$C,Mercado!$J:$J),_xlfn.XLOOKUP($D749,Fontes!$B:$B,Fontes!$H:$H))</f>
        <v>13.96</v>
      </c>
      <c r="K749" s="252">
        <f>IF($A749="M",0,_xlfn.XLOOKUP($D749,Fontes!$B:$B,Fontes!$I:$I))</f>
        <v>0</v>
      </c>
      <c r="L749" s="250">
        <f t="shared" si="84"/>
        <v>297.14999999999998</v>
      </c>
      <c r="M749" s="300">
        <f t="shared" si="85"/>
        <v>297.14999999999998</v>
      </c>
      <c r="O749" s="517">
        <f t="shared" si="86"/>
        <v>297.14999999999998</v>
      </c>
    </row>
    <row r="750" spans="1:15" ht="76.8" outlineLevel="4" x14ac:dyDescent="0.3">
      <c r="A750" s="35"/>
      <c r="B750" s="36"/>
      <c r="C750" s="495" t="s">
        <v>10401</v>
      </c>
      <c r="D750" s="487">
        <v>101881</v>
      </c>
      <c r="E750" s="249" t="str">
        <f>UPPER(IF($D750=0,"",IF($A750=4,_xlfn.XLOOKUP($D750,Mercado!$C:$C,Mercado!$E:$E),_xlfn.XLOOKUP($D750,Fontes!$B:$B,Fontes!$C:$C))))</f>
        <v>SINAPI</v>
      </c>
      <c r="F750" s="328" t="s">
        <v>328</v>
      </c>
      <c r="G750" s="249" t="str">
        <f>UPPER(IF($D750=0,"",IF($A750=4,_xlfn.XLOOKUP($D750,Mercado!$C:$C,Mercado!$G:$G),_xlfn.XLOOKUP($D750,Fontes!$B:$B,Fontes!$E:$E))))</f>
        <v>UN</v>
      </c>
      <c r="H750" s="252">
        <v>1</v>
      </c>
      <c r="I750" s="252">
        <f>IF($A750="M",_xlfn.XLOOKUP($D750,Mercado!$C:$C,Mercado!$I:$I),_xlfn.XLOOKUP($D750,Fontes!$B:$B,Fontes!$J:$J))</f>
        <v>808.2</v>
      </c>
      <c r="J750" s="252">
        <f>IF($A750="M",_xlfn.XLOOKUP($D750,Mercado!$C:$C,Mercado!$J:$J),_xlfn.XLOOKUP($D750,Fontes!$B:$B,Fontes!$H:$H))</f>
        <v>119.25</v>
      </c>
      <c r="K750" s="252">
        <f>IF($A750="M",0,_xlfn.XLOOKUP($D750,Fontes!$B:$B,Fontes!$I:$I))</f>
        <v>10.62</v>
      </c>
      <c r="L750" s="250">
        <f t="shared" si="84"/>
        <v>938.07</v>
      </c>
      <c r="M750" s="300">
        <f t="shared" si="85"/>
        <v>938.07</v>
      </c>
      <c r="O750" s="517">
        <f t="shared" si="86"/>
        <v>938.07</v>
      </c>
    </row>
    <row r="751" spans="1:15" outlineLevel="4" x14ac:dyDescent="0.3">
      <c r="A751" s="36" t="s">
        <v>7</v>
      </c>
      <c r="B751" s="36"/>
      <c r="C751" s="495" t="s">
        <v>781</v>
      </c>
      <c r="D751" s="487"/>
      <c r="E751" s="249" t="str">
        <f>UPPER(IF($D751=0,"",IF($A751=4,_xlfn.XLOOKUP($D751,Mercado!$C:$C,Mercado!$E:$E),_xlfn.XLOOKUP($D751,Fontes!$B:$B,Fontes!$C:$C))))</f>
        <v/>
      </c>
      <c r="F751" s="335" t="s">
        <v>781</v>
      </c>
      <c r="G751" s="249"/>
      <c r="H751" s="252"/>
      <c r="I751" s="252">
        <f>IF($A751="M",_xlfn.XLOOKUP($D751,Mercado!$C:$C,Mercado!$I:$I),_xlfn.XLOOKUP($D751,Fontes!$B:$B,Fontes!$J:$J))</f>
        <v>0</v>
      </c>
      <c r="J751" s="252">
        <f>IF($A751="M",_xlfn.XLOOKUP($D751,Mercado!$C:$C,Mercado!$J:$J),_xlfn.XLOOKUP($D751,Fontes!$B:$B,Fontes!$H:$H))</f>
        <v>0</v>
      </c>
      <c r="K751" s="252">
        <f>IF($A751="M",0,_xlfn.XLOOKUP($D751,Fontes!$B:$B,Fontes!$I:$I))</f>
        <v>0</v>
      </c>
      <c r="L751" s="250">
        <f t="shared" si="84"/>
        <v>0</v>
      </c>
      <c r="M751" s="300">
        <f t="shared" si="85"/>
        <v>0</v>
      </c>
      <c r="O751" s="517" t="str">
        <f t="shared" si="86"/>
        <v/>
      </c>
    </row>
    <row r="752" spans="1:15" s="261" customFormat="1" outlineLevel="4" x14ac:dyDescent="0.3">
      <c r="A752" s="36" t="s">
        <v>7</v>
      </c>
      <c r="B752" s="35"/>
      <c r="C752" s="499" t="s">
        <v>10402</v>
      </c>
      <c r="D752" s="492"/>
      <c r="E752" s="257" t="str">
        <f>UPPER(IF($D752=0,"",IF($A752=4,_xlfn.XLOOKUP($D752,Mercado!$C:$C,Mercado!$E:$E),_xlfn.XLOOKUP($D752,Fontes!$B:$B,Fontes!$C:$C))))</f>
        <v/>
      </c>
      <c r="F752" s="330" t="s">
        <v>1843</v>
      </c>
      <c r="G752" s="257"/>
      <c r="H752" s="259"/>
      <c r="I752" s="259">
        <f>IF($A752="M",_xlfn.XLOOKUP($D752,Mercado!$C:$C,Mercado!$I:$I),_xlfn.XLOOKUP($D752,Fontes!$B:$B,Fontes!$J:$J))</f>
        <v>0</v>
      </c>
      <c r="J752" s="259">
        <f>IF($A752="M",_xlfn.XLOOKUP($D752,Mercado!$C:$C,Mercado!$J:$J),_xlfn.XLOOKUP($D752,Fontes!$B:$B,Fontes!$H:$H))</f>
        <v>0</v>
      </c>
      <c r="K752" s="259">
        <f>IF($A752="M",0,_xlfn.XLOOKUP($D752,Fontes!$B:$B,Fontes!$I:$I))</f>
        <v>0</v>
      </c>
      <c r="L752" s="259">
        <f t="shared" si="84"/>
        <v>0</v>
      </c>
      <c r="M752" s="500">
        <f t="shared" si="85"/>
        <v>0</v>
      </c>
      <c r="N752" s="247"/>
      <c r="O752" s="517" t="str">
        <f t="shared" si="86"/>
        <v/>
      </c>
    </row>
    <row r="753" spans="1:15" ht="38.4" outlineLevel="4" x14ac:dyDescent="0.3">
      <c r="A753" s="35"/>
      <c r="B753" s="36"/>
      <c r="C753" s="495" t="s">
        <v>10403</v>
      </c>
      <c r="D753" s="487">
        <v>468</v>
      </c>
      <c r="E753" s="249" t="str">
        <f>UPPER(IF($D753=0,"",IF($A753=4,_xlfn.XLOOKUP($D753,Mercado!$C:$C,Mercado!$E:$E),_xlfn.XLOOKUP($D753,Fontes!$B:$B,Fontes!$C:$C))))</f>
        <v>ORSE</v>
      </c>
      <c r="F753" s="328" t="s">
        <v>3618</v>
      </c>
      <c r="G753" s="249" t="str">
        <f>UPPER(IF($D753=0,"",IF($A753=4,_xlfn.XLOOKUP($D753,Mercado!$C:$C,Mercado!$G:$G),_xlfn.XLOOKUP($D753,Fontes!$B:$B,Fontes!$E:$E))))</f>
        <v>UN</v>
      </c>
      <c r="H753" s="252">
        <v>1</v>
      </c>
      <c r="I753" s="252">
        <f>IF($A753="M",_xlfn.XLOOKUP($D753,Mercado!$C:$C,Mercado!$I:$I),_xlfn.XLOOKUP($D753,Fontes!$B:$B,Fontes!$J:$J))</f>
        <v>212.67</v>
      </c>
      <c r="J753" s="252">
        <f>IF($A753="M",_xlfn.XLOOKUP($D753,Mercado!$C:$C,Mercado!$J:$J),_xlfn.XLOOKUP($D753,Fontes!$B:$B,Fontes!$H:$H))</f>
        <v>111.73</v>
      </c>
      <c r="K753" s="252">
        <f>IF($A753="M",0,_xlfn.XLOOKUP($D753,Fontes!$B:$B,Fontes!$I:$I))</f>
        <v>0</v>
      </c>
      <c r="L753" s="250">
        <f t="shared" si="84"/>
        <v>324.39999999999998</v>
      </c>
      <c r="M753" s="300">
        <f t="shared" si="85"/>
        <v>324.39999999999998</v>
      </c>
      <c r="O753" s="517">
        <f t="shared" si="86"/>
        <v>324.39999999999998</v>
      </c>
    </row>
    <row r="754" spans="1:15" ht="38.4" outlineLevel="4" x14ac:dyDescent="0.3">
      <c r="A754" s="35"/>
      <c r="B754" s="36"/>
      <c r="C754" s="495" t="s">
        <v>10404</v>
      </c>
      <c r="D754" s="487">
        <v>93672</v>
      </c>
      <c r="E754" s="249" t="str">
        <f>UPPER(IF($D754=0,"",IF($A754=4,_xlfn.XLOOKUP($D754,Mercado!$C:$C,Mercado!$E:$E),_xlfn.XLOOKUP($D754,Fontes!$B:$B,Fontes!$C:$C))))</f>
        <v>SINAPI</v>
      </c>
      <c r="F754" s="328" t="s">
        <v>324</v>
      </c>
      <c r="G754" s="249" t="str">
        <f>UPPER(IF($D754=0,"",IF($A754=4,_xlfn.XLOOKUP($D754,Mercado!$C:$C,Mercado!$G:$G),_xlfn.XLOOKUP($D754,Fontes!$B:$B,Fontes!$E:$E))))</f>
        <v>UN</v>
      </c>
      <c r="H754" s="252">
        <v>1</v>
      </c>
      <c r="I754" s="252">
        <f>IF($A754="M",_xlfn.XLOOKUP($D754,Mercado!$C:$C,Mercado!$I:$I),_xlfn.XLOOKUP($D754,Fontes!$B:$B,Fontes!$J:$J))</f>
        <v>65.41</v>
      </c>
      <c r="J754" s="252">
        <f>IF($A754="M",_xlfn.XLOOKUP($D754,Mercado!$C:$C,Mercado!$J:$J),_xlfn.XLOOKUP($D754,Fontes!$B:$B,Fontes!$H:$H))</f>
        <v>21.23</v>
      </c>
      <c r="K754" s="252">
        <f>IF($A754="M",0,_xlfn.XLOOKUP($D754,Fontes!$B:$B,Fontes!$I:$I))</f>
        <v>1.88</v>
      </c>
      <c r="L754" s="250">
        <f t="shared" si="84"/>
        <v>88.52</v>
      </c>
      <c r="M754" s="300">
        <f t="shared" si="85"/>
        <v>88.52</v>
      </c>
      <c r="O754" s="517">
        <f t="shared" si="86"/>
        <v>88.52</v>
      </c>
    </row>
    <row r="755" spans="1:15" ht="38.4" outlineLevel="4" x14ac:dyDescent="0.3">
      <c r="A755" s="35"/>
      <c r="B755" s="36"/>
      <c r="C755" s="495" t="s">
        <v>10405</v>
      </c>
      <c r="D755" s="487">
        <v>681</v>
      </c>
      <c r="E755" s="249" t="str">
        <f>UPPER(IF($D755=0,"",IF($A755=4,_xlfn.XLOOKUP($D755,Mercado!$C:$C,Mercado!$E:$E),_xlfn.XLOOKUP($D755,Fontes!$B:$B,Fontes!$C:$C))))</f>
        <v>PRÓPRIO</v>
      </c>
      <c r="F755" s="335" t="s">
        <v>2640</v>
      </c>
      <c r="G755" s="249" t="str">
        <f>UPPER(IF($D755=0,"",IF($A755=4,_xlfn.XLOOKUP($D755,Mercado!$C:$C,Mercado!$G:$G),_xlfn.XLOOKUP($D755,Fontes!$B:$B,Fontes!$E:$E))))</f>
        <v>UN</v>
      </c>
      <c r="H755" s="252">
        <v>3</v>
      </c>
      <c r="I755" s="252">
        <f>IF($A755="M",_xlfn.XLOOKUP($D755,Mercado!$C:$C,Mercado!$I:$I),_xlfn.XLOOKUP($D755,Fontes!$B:$B,Fontes!$J:$J))</f>
        <v>1403.99</v>
      </c>
      <c r="J755" s="252">
        <f>IF($A755="M",_xlfn.XLOOKUP($D755,Mercado!$C:$C,Mercado!$J:$J),_xlfn.XLOOKUP($D755,Fontes!$B:$B,Fontes!$H:$H))</f>
        <v>35.119999999999997</v>
      </c>
      <c r="K755" s="252">
        <f>IF($A755="M",0,_xlfn.XLOOKUP($D755,Fontes!$B:$B,Fontes!$I:$I))</f>
        <v>0</v>
      </c>
      <c r="L755" s="250">
        <f t="shared" si="84"/>
        <v>1439.11</v>
      </c>
      <c r="M755" s="300">
        <f t="shared" si="85"/>
        <v>4317.33</v>
      </c>
      <c r="O755" s="517">
        <f t="shared" si="86"/>
        <v>4317.33</v>
      </c>
    </row>
    <row r="756" spans="1:15" ht="38.4" outlineLevel="4" x14ac:dyDescent="0.3">
      <c r="A756" s="35"/>
      <c r="B756" s="36"/>
      <c r="C756" s="495" t="s">
        <v>10406</v>
      </c>
      <c r="D756" s="487">
        <v>93654</v>
      </c>
      <c r="E756" s="249" t="str">
        <f>UPPER(IF($D756=0,"",IF($A756=4,_xlfn.XLOOKUP($D756,Mercado!$C:$C,Mercado!$E:$E),_xlfn.XLOOKUP($D756,Fontes!$B:$B,Fontes!$C:$C))))</f>
        <v>SINAPI</v>
      </c>
      <c r="F756" s="328" t="s">
        <v>314</v>
      </c>
      <c r="G756" s="249" t="str">
        <f>UPPER(IF($D756=0,"",IF($A756=4,_xlfn.XLOOKUP($D756,Mercado!$C:$C,Mercado!$G:$G),_xlfn.XLOOKUP($D756,Fontes!$B:$B,Fontes!$E:$E))))</f>
        <v>UN</v>
      </c>
      <c r="H756" s="252">
        <v>11</v>
      </c>
      <c r="I756" s="252">
        <f>IF($A756="M",_xlfn.XLOOKUP($D756,Mercado!$C:$C,Mercado!$I:$I),_xlfn.XLOOKUP($D756,Fontes!$B:$B,Fontes!$J:$J))</f>
        <v>9.2899999999999991</v>
      </c>
      <c r="J756" s="252">
        <f>IF($A756="M",_xlfn.XLOOKUP($D756,Mercado!$C:$C,Mercado!$J:$J),_xlfn.XLOOKUP($D756,Fontes!$B:$B,Fontes!$H:$H))</f>
        <v>1.98</v>
      </c>
      <c r="K756" s="252">
        <f>IF($A756="M",0,_xlfn.XLOOKUP($D756,Fontes!$B:$B,Fontes!$I:$I))</f>
        <v>0.18</v>
      </c>
      <c r="L756" s="250">
        <f t="shared" si="84"/>
        <v>11.45</v>
      </c>
      <c r="M756" s="300">
        <f t="shared" si="85"/>
        <v>125.95</v>
      </c>
      <c r="O756" s="517">
        <f t="shared" si="86"/>
        <v>125.95</v>
      </c>
    </row>
    <row r="757" spans="1:15" ht="38.4" outlineLevel="4" x14ac:dyDescent="0.3">
      <c r="A757" s="35"/>
      <c r="B757" s="36"/>
      <c r="C757" s="495" t="s">
        <v>10407</v>
      </c>
      <c r="D757" s="487">
        <v>93661</v>
      </c>
      <c r="E757" s="249" t="str">
        <f>UPPER(IF($D757=0,"",IF($A757=4,_xlfn.XLOOKUP($D757,Mercado!$C:$C,Mercado!$E:$E),_xlfn.XLOOKUP($D757,Fontes!$B:$B,Fontes!$C:$C))))</f>
        <v>SINAPI</v>
      </c>
      <c r="F757" s="328" t="s">
        <v>316</v>
      </c>
      <c r="G757" s="249" t="str">
        <f>UPPER(IF($D757=0,"",IF($A757=4,_xlfn.XLOOKUP($D757,Mercado!$C:$C,Mercado!$G:$G),_xlfn.XLOOKUP($D757,Fontes!$B:$B,Fontes!$E:$E))))</f>
        <v>UN</v>
      </c>
      <c r="H757" s="252">
        <v>2</v>
      </c>
      <c r="I757" s="252">
        <f>IF($A757="M",_xlfn.XLOOKUP($D757,Mercado!$C:$C,Mercado!$I:$I),_xlfn.XLOOKUP($D757,Fontes!$B:$B,Fontes!$J:$J))</f>
        <v>47.45</v>
      </c>
      <c r="J757" s="252">
        <f>IF($A757="M",_xlfn.XLOOKUP($D757,Mercado!$C:$C,Mercado!$J:$J),_xlfn.XLOOKUP($D757,Fontes!$B:$B,Fontes!$H:$H))</f>
        <v>3.94</v>
      </c>
      <c r="K757" s="252">
        <f>IF($A757="M",0,_xlfn.XLOOKUP($D757,Fontes!$B:$B,Fontes!$I:$I))</f>
        <v>0.34</v>
      </c>
      <c r="L757" s="250">
        <f t="shared" si="84"/>
        <v>51.730000000000004</v>
      </c>
      <c r="M757" s="300">
        <f t="shared" si="85"/>
        <v>103.46</v>
      </c>
      <c r="O757" s="517">
        <f t="shared" si="86"/>
        <v>103.46</v>
      </c>
    </row>
    <row r="758" spans="1:15" ht="38.4" outlineLevel="4" x14ac:dyDescent="0.3">
      <c r="A758" s="35"/>
      <c r="B758" s="36"/>
      <c r="C758" s="495" t="s">
        <v>10408</v>
      </c>
      <c r="D758" s="487">
        <v>93662</v>
      </c>
      <c r="E758" s="249" t="str">
        <f>UPPER(IF($D758=0,"",IF($A758=4,_xlfn.XLOOKUP($D758,Mercado!$C:$C,Mercado!$E:$E),_xlfn.XLOOKUP($D758,Fontes!$B:$B,Fontes!$C:$C))))</f>
        <v>SINAPI</v>
      </c>
      <c r="F758" s="328" t="s">
        <v>317</v>
      </c>
      <c r="G758" s="249" t="str">
        <f>UPPER(IF($D758=0,"",IF($A758=4,_xlfn.XLOOKUP($D758,Mercado!$C:$C,Mercado!$G:$G),_xlfn.XLOOKUP($D758,Fontes!$B:$B,Fontes!$E:$E))))</f>
        <v>UN</v>
      </c>
      <c r="H758" s="252">
        <v>4</v>
      </c>
      <c r="I758" s="252">
        <f>IF($A758="M",_xlfn.XLOOKUP($D758,Mercado!$C:$C,Mercado!$I:$I),_xlfn.XLOOKUP($D758,Fontes!$B:$B,Fontes!$J:$J))</f>
        <v>48.41</v>
      </c>
      <c r="J758" s="252">
        <f>IF($A758="M",_xlfn.XLOOKUP($D758,Mercado!$C:$C,Mercado!$J:$J),_xlfn.XLOOKUP($D758,Fontes!$B:$B,Fontes!$H:$H))</f>
        <v>5.22</v>
      </c>
      <c r="K758" s="252">
        <f>IF($A758="M",0,_xlfn.XLOOKUP($D758,Fontes!$B:$B,Fontes!$I:$I))</f>
        <v>0.46</v>
      </c>
      <c r="L758" s="250">
        <f t="shared" si="84"/>
        <v>54.089999999999996</v>
      </c>
      <c r="M758" s="300">
        <f t="shared" si="85"/>
        <v>216.36</v>
      </c>
      <c r="O758" s="517">
        <f t="shared" si="86"/>
        <v>216.36</v>
      </c>
    </row>
    <row r="759" spans="1:15" ht="38.4" outlineLevel="4" x14ac:dyDescent="0.3">
      <c r="A759" s="35"/>
      <c r="B759" s="36"/>
      <c r="C759" s="495" t="s">
        <v>10409</v>
      </c>
      <c r="D759" s="487">
        <v>93664</v>
      </c>
      <c r="E759" s="249" t="str">
        <f>UPPER(IF($D759=0,"",IF($A759=4,_xlfn.XLOOKUP($D759,Mercado!$C:$C,Mercado!$E:$E),_xlfn.XLOOKUP($D759,Fontes!$B:$B,Fontes!$C:$C))))</f>
        <v>SINAPI</v>
      </c>
      <c r="F759" s="328" t="s">
        <v>318</v>
      </c>
      <c r="G759" s="249" t="str">
        <f>UPPER(IF($D759=0,"",IF($A759=4,_xlfn.XLOOKUP($D759,Mercado!$C:$C,Mercado!$G:$G),_xlfn.XLOOKUP($D759,Fontes!$B:$B,Fontes!$E:$E))))</f>
        <v>UN</v>
      </c>
      <c r="H759" s="252">
        <v>1</v>
      </c>
      <c r="I759" s="252">
        <f>IF($A759="M",_xlfn.XLOOKUP($D759,Mercado!$C:$C,Mercado!$I:$I),_xlfn.XLOOKUP($D759,Fontes!$B:$B,Fontes!$J:$J))</f>
        <v>50.18</v>
      </c>
      <c r="J759" s="252">
        <f>IF($A759="M",_xlfn.XLOOKUP($D759,Mercado!$C:$C,Mercado!$J:$J),_xlfn.XLOOKUP($D759,Fontes!$B:$B,Fontes!$H:$H))</f>
        <v>9.67</v>
      </c>
      <c r="K759" s="252">
        <f>IF($A759="M",0,_xlfn.XLOOKUP($D759,Fontes!$B:$B,Fontes!$I:$I))</f>
        <v>0.86</v>
      </c>
      <c r="L759" s="250">
        <f t="shared" si="84"/>
        <v>60.71</v>
      </c>
      <c r="M759" s="300">
        <f t="shared" si="85"/>
        <v>60.71</v>
      </c>
      <c r="O759" s="517">
        <f t="shared" si="86"/>
        <v>60.71</v>
      </c>
    </row>
    <row r="760" spans="1:15" ht="38.4" outlineLevel="4" x14ac:dyDescent="0.3">
      <c r="A760" s="35"/>
      <c r="B760" s="36"/>
      <c r="C760" s="495" t="s">
        <v>10410</v>
      </c>
      <c r="D760" s="487">
        <v>93665</v>
      </c>
      <c r="E760" s="249" t="str">
        <f>UPPER(IF($D760=0,"",IF($A760=4,_xlfn.XLOOKUP($D760,Mercado!$C:$C,Mercado!$E:$E),_xlfn.XLOOKUP($D760,Fontes!$B:$B,Fontes!$C:$C))))</f>
        <v>SINAPI</v>
      </c>
      <c r="F760" s="328" t="s">
        <v>319</v>
      </c>
      <c r="G760" s="249" t="str">
        <f>UPPER(IF($D760=0,"",IF($A760=4,_xlfn.XLOOKUP($D760,Mercado!$C:$C,Mercado!$G:$G),_xlfn.XLOOKUP($D760,Fontes!$B:$B,Fontes!$E:$E))))</f>
        <v>UN</v>
      </c>
      <c r="H760" s="252">
        <v>3</v>
      </c>
      <c r="I760" s="252">
        <f>IF($A760="M",_xlfn.XLOOKUP($D760,Mercado!$C:$C,Mercado!$I:$I),_xlfn.XLOOKUP($D760,Fontes!$B:$B,Fontes!$J:$J))</f>
        <v>51.02</v>
      </c>
      <c r="J760" s="252">
        <f>IF($A760="M",_xlfn.XLOOKUP($D760,Mercado!$C:$C,Mercado!$J:$J),_xlfn.XLOOKUP($D760,Fontes!$B:$B,Fontes!$H:$H))</f>
        <v>14.16</v>
      </c>
      <c r="K760" s="252">
        <f>IF($A760="M",0,_xlfn.XLOOKUP($D760,Fontes!$B:$B,Fontes!$I:$I))</f>
        <v>1.26</v>
      </c>
      <c r="L760" s="250">
        <f t="shared" si="84"/>
        <v>66.440000000000012</v>
      </c>
      <c r="M760" s="300">
        <f t="shared" si="85"/>
        <v>199.32</v>
      </c>
      <c r="O760" s="517">
        <f t="shared" si="86"/>
        <v>199.32</v>
      </c>
    </row>
    <row r="761" spans="1:15" ht="38.4" outlineLevel="4" x14ac:dyDescent="0.3">
      <c r="A761" s="35"/>
      <c r="B761" s="36"/>
      <c r="C761" s="495" t="s">
        <v>10411</v>
      </c>
      <c r="D761" s="487">
        <v>93668</v>
      </c>
      <c r="E761" s="249" t="str">
        <f>UPPER(IF($D761=0,"",IF($A761=4,_xlfn.XLOOKUP($D761,Mercado!$C:$C,Mercado!$E:$E),_xlfn.XLOOKUP($D761,Fontes!$B:$B,Fontes!$C:$C))))</f>
        <v>SINAPI</v>
      </c>
      <c r="F761" s="328" t="s">
        <v>320</v>
      </c>
      <c r="G761" s="249" t="str">
        <f>UPPER(IF($D761=0,"",IF($A761=4,_xlfn.XLOOKUP($D761,Mercado!$C:$C,Mercado!$G:$G),_xlfn.XLOOKUP($D761,Fontes!$B:$B,Fontes!$E:$E))))</f>
        <v>UN</v>
      </c>
      <c r="H761" s="252">
        <v>4</v>
      </c>
      <c r="I761" s="252">
        <f>IF($A761="M",_xlfn.XLOOKUP($D761,Mercado!$C:$C,Mercado!$I:$I),_xlfn.XLOOKUP($D761,Fontes!$B:$B,Fontes!$J:$J))</f>
        <v>58.98</v>
      </c>
      <c r="J761" s="252">
        <f>IF($A761="M",_xlfn.XLOOKUP($D761,Mercado!$C:$C,Mercado!$J:$J),_xlfn.XLOOKUP($D761,Fontes!$B:$B,Fontes!$H:$H))</f>
        <v>5.92</v>
      </c>
      <c r="K761" s="252">
        <f>IF($A761="M",0,_xlfn.XLOOKUP($D761,Fontes!$B:$B,Fontes!$I:$I))</f>
        <v>0.52</v>
      </c>
      <c r="L761" s="250">
        <f t="shared" si="84"/>
        <v>65.419999999999987</v>
      </c>
      <c r="M761" s="300">
        <f t="shared" si="85"/>
        <v>261.68</v>
      </c>
      <c r="O761" s="517">
        <f t="shared" si="86"/>
        <v>261.68</v>
      </c>
    </row>
    <row r="762" spans="1:15" outlineLevel="4" x14ac:dyDescent="0.3">
      <c r="A762" s="35"/>
      <c r="B762" s="36"/>
      <c r="C762" s="495" t="s">
        <v>10412</v>
      </c>
      <c r="D762" s="487" t="s">
        <v>2664</v>
      </c>
      <c r="E762" s="249" t="str">
        <f>UPPER(IF($D762=0,"",IF($A762=4,_xlfn.XLOOKUP($D762,Mercado!$C:$C,Mercado!$E:$E),_xlfn.XLOOKUP($D762,Fontes!$B:$B,Fontes!$C:$C))))</f>
        <v>CPOS/CDHU</v>
      </c>
      <c r="F762" s="328" t="s">
        <v>3615</v>
      </c>
      <c r="G762" s="249" t="str">
        <f>UPPER(IF($D762=0,"",IF($A762=4,_xlfn.XLOOKUP($D762,Mercado!$C:$C,Mercado!$G:$G),_xlfn.XLOOKUP($D762,Fontes!$B:$B,Fontes!$E:$E))))</f>
        <v>UN</v>
      </c>
      <c r="H762" s="252">
        <v>1</v>
      </c>
      <c r="I762" s="252">
        <f>IF($A762="M",_xlfn.XLOOKUP($D762,Mercado!$C:$C,Mercado!$I:$I),_xlfn.XLOOKUP($D762,Fontes!$B:$B,Fontes!$J:$J))</f>
        <v>279.5</v>
      </c>
      <c r="J762" s="252">
        <f>IF($A762="M",_xlfn.XLOOKUP($D762,Mercado!$C:$C,Mercado!$J:$J),_xlfn.XLOOKUP($D762,Fontes!$B:$B,Fontes!$H:$H))</f>
        <v>13.96</v>
      </c>
      <c r="K762" s="252">
        <f>IF($A762="M",0,_xlfn.XLOOKUP($D762,Fontes!$B:$B,Fontes!$I:$I))</f>
        <v>0</v>
      </c>
      <c r="L762" s="250">
        <f t="shared" si="84"/>
        <v>293.45999999999998</v>
      </c>
      <c r="M762" s="300">
        <f t="shared" si="85"/>
        <v>293.45999999999998</v>
      </c>
      <c r="O762" s="517">
        <f t="shared" si="86"/>
        <v>293.45999999999998</v>
      </c>
    </row>
    <row r="763" spans="1:15" ht="57.6" outlineLevel="4" x14ac:dyDescent="0.3">
      <c r="A763" s="35"/>
      <c r="B763" s="36"/>
      <c r="C763" s="495" t="s">
        <v>10413</v>
      </c>
      <c r="D763" s="487">
        <v>12233</v>
      </c>
      <c r="E763" s="249" t="str">
        <f>UPPER(IF($D763=0,"",IF($A763=4,_xlfn.XLOOKUP($D763,Mercado!$C:$C,Mercado!$E:$E),_xlfn.XLOOKUP($D763,Fontes!$B:$B,Fontes!$C:$C))))</f>
        <v>ORSE</v>
      </c>
      <c r="F763" s="328" t="s">
        <v>3613</v>
      </c>
      <c r="G763" s="249" t="str">
        <f>UPPER(IF($D763=0,"",IF($A763=4,_xlfn.XLOOKUP($D763,Mercado!$C:$C,Mercado!$G:$G),_xlfn.XLOOKUP($D763,Fontes!$B:$B,Fontes!$E:$E))))</f>
        <v>UN</v>
      </c>
      <c r="H763" s="252">
        <v>1</v>
      </c>
      <c r="I763" s="252">
        <f>IF($A763="M",_xlfn.XLOOKUP($D763,Mercado!$C:$C,Mercado!$I:$I),_xlfn.XLOOKUP($D763,Fontes!$B:$B,Fontes!$J:$J))</f>
        <v>1949.63</v>
      </c>
      <c r="J763" s="252">
        <f>IF($A763="M",_xlfn.XLOOKUP($D763,Mercado!$C:$C,Mercado!$J:$J),_xlfn.XLOOKUP($D763,Fontes!$B:$B,Fontes!$H:$H))</f>
        <v>441.28</v>
      </c>
      <c r="K763" s="252">
        <f>IF($A763="M",0,_xlfn.XLOOKUP($D763,Fontes!$B:$B,Fontes!$I:$I))</f>
        <v>0.3</v>
      </c>
      <c r="L763" s="250">
        <f t="shared" si="84"/>
        <v>2391.21</v>
      </c>
      <c r="M763" s="300">
        <f t="shared" si="85"/>
        <v>2391.21</v>
      </c>
      <c r="O763" s="517">
        <f t="shared" si="86"/>
        <v>2391.21</v>
      </c>
    </row>
    <row r="764" spans="1:15" outlineLevel="4" x14ac:dyDescent="0.3">
      <c r="A764" s="36" t="s">
        <v>7</v>
      </c>
      <c r="B764" s="36"/>
      <c r="C764" s="495" t="s">
        <v>781</v>
      </c>
      <c r="D764" s="487"/>
      <c r="E764" s="249" t="str">
        <f>UPPER(IF($D764=0,"",IF($A764=4,_xlfn.XLOOKUP($D764,Mercado!$C:$C,Mercado!$E:$E),_xlfn.XLOOKUP($D764,Fontes!$B:$B,Fontes!$C:$C))))</f>
        <v/>
      </c>
      <c r="F764" s="335" t="s">
        <v>781</v>
      </c>
      <c r="G764" s="249"/>
      <c r="H764" s="252"/>
      <c r="I764" s="252">
        <f>IF($A764="M",_xlfn.XLOOKUP($D764,Mercado!$C:$C,Mercado!$I:$I),_xlfn.XLOOKUP($D764,Fontes!$B:$B,Fontes!$J:$J))</f>
        <v>0</v>
      </c>
      <c r="J764" s="252">
        <f>IF($A764="M",_xlfn.XLOOKUP($D764,Mercado!$C:$C,Mercado!$J:$J),_xlfn.XLOOKUP($D764,Fontes!$B:$B,Fontes!$H:$H))</f>
        <v>0</v>
      </c>
      <c r="K764" s="252">
        <f>IF($A764="M",0,_xlfn.XLOOKUP($D764,Fontes!$B:$B,Fontes!$I:$I))</f>
        <v>0</v>
      </c>
      <c r="L764" s="250">
        <f t="shared" si="84"/>
        <v>0</v>
      </c>
      <c r="M764" s="300">
        <f t="shared" ref="M764:M795" si="87">ROUND(H764*L764,2)</f>
        <v>0</v>
      </c>
      <c r="O764" s="517" t="str">
        <f t="shared" si="86"/>
        <v/>
      </c>
    </row>
    <row r="765" spans="1:15" s="261" customFormat="1" outlineLevel="4" x14ac:dyDescent="0.3">
      <c r="A765" s="36" t="s">
        <v>7</v>
      </c>
      <c r="B765" s="35"/>
      <c r="C765" s="499" t="s">
        <v>10414</v>
      </c>
      <c r="D765" s="492"/>
      <c r="E765" s="249" t="str">
        <f>UPPER(IF($D765=0,"",IF($A765=4,_xlfn.XLOOKUP($D765,Mercado!$C:$C,Mercado!$E:$E),_xlfn.XLOOKUP($D765,Fontes!$B:$B,Fontes!$C:$C))))</f>
        <v/>
      </c>
      <c r="F765" s="330" t="s">
        <v>2644</v>
      </c>
      <c r="G765" s="257"/>
      <c r="H765" s="259"/>
      <c r="I765" s="259">
        <f>IF($A765="M",_xlfn.XLOOKUP($D765,Mercado!$C:$C,Mercado!$I:$I),_xlfn.XLOOKUP($D765,Fontes!$B:$B,Fontes!$J:$J))</f>
        <v>0</v>
      </c>
      <c r="J765" s="259">
        <f>IF($A765="M",_xlfn.XLOOKUP($D765,Mercado!$C:$C,Mercado!$J:$J),_xlfn.XLOOKUP($D765,Fontes!$B:$B,Fontes!$H:$H))</f>
        <v>0</v>
      </c>
      <c r="K765" s="259">
        <f>IF($A765="M",0,_xlfn.XLOOKUP($D765,Fontes!$B:$B,Fontes!$I:$I))</f>
        <v>0</v>
      </c>
      <c r="L765" s="259">
        <f t="shared" si="84"/>
        <v>0</v>
      </c>
      <c r="M765" s="500">
        <f t="shared" si="87"/>
        <v>0</v>
      </c>
      <c r="N765" s="247"/>
      <c r="O765" s="517" t="str">
        <f t="shared" si="86"/>
        <v/>
      </c>
    </row>
    <row r="766" spans="1:15" ht="38.4" outlineLevel="4" x14ac:dyDescent="0.3">
      <c r="A766" s="35"/>
      <c r="B766" s="36"/>
      <c r="C766" s="495" t="s">
        <v>10415</v>
      </c>
      <c r="D766" s="487">
        <v>101894</v>
      </c>
      <c r="E766" s="249" t="str">
        <f>UPPER(IF($D766=0,"",IF($A766=4,_xlfn.XLOOKUP($D766,Mercado!$C:$C,Mercado!$E:$E),_xlfn.XLOOKUP($D766,Fontes!$B:$B,Fontes!$C:$C))))</f>
        <v>SINAPI</v>
      </c>
      <c r="F766" s="328" t="s">
        <v>329</v>
      </c>
      <c r="G766" s="249" t="str">
        <f>UPPER(IF($D766=0,"",IF($A766=4,_xlfn.XLOOKUP($D766,Mercado!$C:$C,Mercado!$G:$G),_xlfn.XLOOKUP($D766,Fontes!$B:$B,Fontes!$E:$E))))</f>
        <v>UN</v>
      </c>
      <c r="H766" s="252">
        <v>1</v>
      </c>
      <c r="I766" s="252">
        <f>IF($A766="M",_xlfn.XLOOKUP($D766,Mercado!$C:$C,Mercado!$I:$I),_xlfn.XLOOKUP($D766,Fontes!$B:$B,Fontes!$J:$J))</f>
        <v>114.53</v>
      </c>
      <c r="J766" s="252">
        <f>IF($A766="M",_xlfn.XLOOKUP($D766,Mercado!$C:$C,Mercado!$J:$J),_xlfn.XLOOKUP($D766,Fontes!$B:$B,Fontes!$H:$H))</f>
        <v>40.479999999999997</v>
      </c>
      <c r="K766" s="252">
        <f>IF($A766="M",0,_xlfn.XLOOKUP($D766,Fontes!$B:$B,Fontes!$I:$I))</f>
        <v>3.58</v>
      </c>
      <c r="L766" s="250">
        <f t="shared" si="84"/>
        <v>158.59</v>
      </c>
      <c r="M766" s="300">
        <f t="shared" si="87"/>
        <v>158.59</v>
      </c>
      <c r="O766" s="517">
        <f t="shared" si="86"/>
        <v>158.59</v>
      </c>
    </row>
    <row r="767" spans="1:15" ht="38.4" outlineLevel="4" x14ac:dyDescent="0.3">
      <c r="A767" s="35"/>
      <c r="B767" s="36"/>
      <c r="C767" s="495" t="s">
        <v>10416</v>
      </c>
      <c r="D767" s="487">
        <v>93672</v>
      </c>
      <c r="E767" s="249" t="str">
        <f>UPPER(IF($D767=0,"",IF($A767=4,_xlfn.XLOOKUP($D767,Mercado!$C:$C,Mercado!$E:$E),_xlfn.XLOOKUP($D767,Fontes!$B:$B,Fontes!$C:$C))))</f>
        <v>SINAPI</v>
      </c>
      <c r="F767" s="328" t="s">
        <v>324</v>
      </c>
      <c r="G767" s="249" t="str">
        <f>UPPER(IF($D767=0,"",IF($A767=4,_xlfn.XLOOKUP($D767,Mercado!$C:$C,Mercado!$G:$G),_xlfn.XLOOKUP($D767,Fontes!$B:$B,Fontes!$E:$E))))</f>
        <v>UN</v>
      </c>
      <c r="H767" s="252">
        <v>1</v>
      </c>
      <c r="I767" s="252">
        <f>IF($A767="M",_xlfn.XLOOKUP($D767,Mercado!$C:$C,Mercado!$I:$I),_xlfn.XLOOKUP($D767,Fontes!$B:$B,Fontes!$J:$J))</f>
        <v>65.41</v>
      </c>
      <c r="J767" s="252">
        <f>IF($A767="M",_xlfn.XLOOKUP($D767,Mercado!$C:$C,Mercado!$J:$J),_xlfn.XLOOKUP($D767,Fontes!$B:$B,Fontes!$H:$H))</f>
        <v>21.23</v>
      </c>
      <c r="K767" s="252">
        <f>IF($A767="M",0,_xlfn.XLOOKUP($D767,Fontes!$B:$B,Fontes!$I:$I))</f>
        <v>1.88</v>
      </c>
      <c r="L767" s="250">
        <f t="shared" si="84"/>
        <v>88.52</v>
      </c>
      <c r="M767" s="300">
        <f t="shared" si="87"/>
        <v>88.52</v>
      </c>
      <c r="O767" s="517">
        <f t="shared" si="86"/>
        <v>88.52</v>
      </c>
    </row>
    <row r="768" spans="1:15" ht="38.4" outlineLevel="4" x14ac:dyDescent="0.3">
      <c r="A768" s="35"/>
      <c r="B768" s="36"/>
      <c r="C768" s="495" t="s">
        <v>10417</v>
      </c>
      <c r="D768" s="487">
        <v>681</v>
      </c>
      <c r="E768" s="249" t="str">
        <f>UPPER(IF($D768=0,"",IF($A768=4,_xlfn.XLOOKUP($D768,Mercado!$C:$C,Mercado!$E:$E),_xlfn.XLOOKUP($D768,Fontes!$B:$B,Fontes!$C:$C))))</f>
        <v>PRÓPRIO</v>
      </c>
      <c r="F768" s="335" t="s">
        <v>2640</v>
      </c>
      <c r="G768" s="249" t="str">
        <f>UPPER(IF($D768=0,"",IF($A768=4,_xlfn.XLOOKUP($D768,Mercado!$C:$C,Mercado!$G:$G),_xlfn.XLOOKUP($D768,Fontes!$B:$B,Fontes!$E:$E))))</f>
        <v>UN</v>
      </c>
      <c r="H768" s="252">
        <v>3</v>
      </c>
      <c r="I768" s="252">
        <f>IF($A768="M",_xlfn.XLOOKUP($D768,Mercado!$C:$C,Mercado!$I:$I),_xlfn.XLOOKUP($D768,Fontes!$B:$B,Fontes!$J:$J))</f>
        <v>1403.99</v>
      </c>
      <c r="J768" s="252">
        <f>IF($A768="M",_xlfn.XLOOKUP($D768,Mercado!$C:$C,Mercado!$J:$J),_xlfn.XLOOKUP($D768,Fontes!$B:$B,Fontes!$H:$H))</f>
        <v>35.119999999999997</v>
      </c>
      <c r="K768" s="252">
        <f>IF($A768="M",0,_xlfn.XLOOKUP($D768,Fontes!$B:$B,Fontes!$I:$I))</f>
        <v>0</v>
      </c>
      <c r="L768" s="250">
        <f t="shared" si="84"/>
        <v>1439.11</v>
      </c>
      <c r="M768" s="300">
        <f t="shared" si="87"/>
        <v>4317.33</v>
      </c>
      <c r="O768" s="517">
        <f t="shared" si="86"/>
        <v>4317.33</v>
      </c>
    </row>
    <row r="769" spans="1:15" ht="38.4" outlineLevel="4" x14ac:dyDescent="0.3">
      <c r="A769" s="35"/>
      <c r="B769" s="36"/>
      <c r="C769" s="495" t="s">
        <v>10418</v>
      </c>
      <c r="D769" s="487">
        <v>93661</v>
      </c>
      <c r="E769" s="249" t="str">
        <f>UPPER(IF($D769=0,"",IF($A769=4,_xlfn.XLOOKUP($D769,Mercado!$C:$C,Mercado!$E:$E),_xlfn.XLOOKUP($D769,Fontes!$B:$B,Fontes!$C:$C))))</f>
        <v>SINAPI</v>
      </c>
      <c r="F769" s="328" t="s">
        <v>316</v>
      </c>
      <c r="G769" s="249" t="str">
        <f>UPPER(IF($D769=0,"",IF($A769=4,_xlfn.XLOOKUP($D769,Mercado!$C:$C,Mercado!$G:$G),_xlfn.XLOOKUP($D769,Fontes!$B:$B,Fontes!$E:$E))))</f>
        <v>UN</v>
      </c>
      <c r="H769" s="252">
        <v>3</v>
      </c>
      <c r="I769" s="252">
        <f>IF($A769="M",_xlfn.XLOOKUP($D769,Mercado!$C:$C,Mercado!$I:$I),_xlfn.XLOOKUP($D769,Fontes!$B:$B,Fontes!$J:$J))</f>
        <v>47.45</v>
      </c>
      <c r="J769" s="252">
        <f>IF($A769="M",_xlfn.XLOOKUP($D769,Mercado!$C:$C,Mercado!$J:$J),_xlfn.XLOOKUP($D769,Fontes!$B:$B,Fontes!$H:$H))</f>
        <v>3.94</v>
      </c>
      <c r="K769" s="252">
        <f>IF($A769="M",0,_xlfn.XLOOKUP($D769,Fontes!$B:$B,Fontes!$I:$I))</f>
        <v>0.34</v>
      </c>
      <c r="L769" s="250">
        <f t="shared" si="84"/>
        <v>51.730000000000004</v>
      </c>
      <c r="M769" s="300">
        <f t="shared" si="87"/>
        <v>155.19</v>
      </c>
      <c r="O769" s="517">
        <f t="shared" si="86"/>
        <v>155.19</v>
      </c>
    </row>
    <row r="770" spans="1:15" ht="38.4" outlineLevel="4" x14ac:dyDescent="0.3">
      <c r="A770" s="35"/>
      <c r="B770" s="36"/>
      <c r="C770" s="495" t="s">
        <v>10419</v>
      </c>
      <c r="D770" s="487">
        <v>93662</v>
      </c>
      <c r="E770" s="249" t="str">
        <f>UPPER(IF($D770=0,"",IF($A770=4,_xlfn.XLOOKUP($D770,Mercado!$C:$C,Mercado!$E:$E),_xlfn.XLOOKUP($D770,Fontes!$B:$B,Fontes!$C:$C))))</f>
        <v>SINAPI</v>
      </c>
      <c r="F770" s="328" t="s">
        <v>317</v>
      </c>
      <c r="G770" s="249" t="str">
        <f>UPPER(IF($D770=0,"",IF($A770=4,_xlfn.XLOOKUP($D770,Mercado!$C:$C,Mercado!$G:$G),_xlfn.XLOOKUP($D770,Fontes!$B:$B,Fontes!$E:$E))))</f>
        <v>UN</v>
      </c>
      <c r="H770" s="252">
        <v>3</v>
      </c>
      <c r="I770" s="252">
        <f>IF($A770="M",_xlfn.XLOOKUP($D770,Mercado!$C:$C,Mercado!$I:$I),_xlfn.XLOOKUP($D770,Fontes!$B:$B,Fontes!$J:$J))</f>
        <v>48.41</v>
      </c>
      <c r="J770" s="252">
        <f>IF($A770="M",_xlfn.XLOOKUP($D770,Mercado!$C:$C,Mercado!$J:$J),_xlfn.XLOOKUP($D770,Fontes!$B:$B,Fontes!$H:$H))</f>
        <v>5.22</v>
      </c>
      <c r="K770" s="252">
        <f>IF($A770="M",0,_xlfn.XLOOKUP($D770,Fontes!$B:$B,Fontes!$I:$I))</f>
        <v>0.46</v>
      </c>
      <c r="L770" s="250">
        <f t="shared" si="84"/>
        <v>54.089999999999996</v>
      </c>
      <c r="M770" s="300">
        <f t="shared" si="87"/>
        <v>162.27000000000001</v>
      </c>
      <c r="O770" s="517">
        <f t="shared" si="86"/>
        <v>162.27000000000001</v>
      </c>
    </row>
    <row r="771" spans="1:15" ht="38.4" outlineLevel="4" x14ac:dyDescent="0.3">
      <c r="A771" s="35"/>
      <c r="B771" s="36"/>
      <c r="C771" s="495" t="s">
        <v>10420</v>
      </c>
      <c r="D771" s="487">
        <v>93664</v>
      </c>
      <c r="E771" s="249" t="str">
        <f>UPPER(IF($D771=0,"",IF($A771=4,_xlfn.XLOOKUP($D771,Mercado!$C:$C,Mercado!$E:$E),_xlfn.XLOOKUP($D771,Fontes!$B:$B,Fontes!$C:$C))))</f>
        <v>SINAPI</v>
      </c>
      <c r="F771" s="328" t="s">
        <v>318</v>
      </c>
      <c r="G771" s="249" t="str">
        <f>UPPER(IF($D771=0,"",IF($A771=4,_xlfn.XLOOKUP($D771,Mercado!$C:$C,Mercado!$G:$G),_xlfn.XLOOKUP($D771,Fontes!$B:$B,Fontes!$E:$E))))</f>
        <v>UN</v>
      </c>
      <c r="H771" s="252">
        <v>1</v>
      </c>
      <c r="I771" s="252">
        <f>IF($A771="M",_xlfn.XLOOKUP($D771,Mercado!$C:$C,Mercado!$I:$I),_xlfn.XLOOKUP($D771,Fontes!$B:$B,Fontes!$J:$J))</f>
        <v>50.18</v>
      </c>
      <c r="J771" s="252">
        <f>IF($A771="M",_xlfn.XLOOKUP($D771,Mercado!$C:$C,Mercado!$J:$J),_xlfn.XLOOKUP($D771,Fontes!$B:$B,Fontes!$H:$H))</f>
        <v>9.67</v>
      </c>
      <c r="K771" s="252">
        <f>IF($A771="M",0,_xlfn.XLOOKUP($D771,Fontes!$B:$B,Fontes!$I:$I))</f>
        <v>0.86</v>
      </c>
      <c r="L771" s="250">
        <f t="shared" si="84"/>
        <v>60.71</v>
      </c>
      <c r="M771" s="300">
        <f t="shared" si="87"/>
        <v>60.71</v>
      </c>
      <c r="O771" s="517">
        <f t="shared" si="86"/>
        <v>60.71</v>
      </c>
    </row>
    <row r="772" spans="1:15" ht="38.4" outlineLevel="4" x14ac:dyDescent="0.3">
      <c r="A772" s="35"/>
      <c r="B772" s="36"/>
      <c r="C772" s="495" t="s">
        <v>10421</v>
      </c>
      <c r="D772" s="487">
        <v>93665</v>
      </c>
      <c r="E772" s="249" t="str">
        <f>UPPER(IF($D772=0,"",IF($A772=4,_xlfn.XLOOKUP($D772,Mercado!$C:$C,Mercado!$E:$E),_xlfn.XLOOKUP($D772,Fontes!$B:$B,Fontes!$C:$C))))</f>
        <v>SINAPI</v>
      </c>
      <c r="F772" s="328" t="s">
        <v>319</v>
      </c>
      <c r="G772" s="249" t="str">
        <f>UPPER(IF($D772=0,"",IF($A772=4,_xlfn.XLOOKUP($D772,Mercado!$C:$C,Mercado!$G:$G),_xlfn.XLOOKUP($D772,Fontes!$B:$B,Fontes!$E:$E))))</f>
        <v>UN</v>
      </c>
      <c r="H772" s="252">
        <v>3</v>
      </c>
      <c r="I772" s="252">
        <f>IF($A772="M",_xlfn.XLOOKUP($D772,Mercado!$C:$C,Mercado!$I:$I),_xlfn.XLOOKUP($D772,Fontes!$B:$B,Fontes!$J:$J))</f>
        <v>51.02</v>
      </c>
      <c r="J772" s="252">
        <f>IF($A772="M",_xlfn.XLOOKUP($D772,Mercado!$C:$C,Mercado!$J:$J),_xlfn.XLOOKUP($D772,Fontes!$B:$B,Fontes!$H:$H))</f>
        <v>14.16</v>
      </c>
      <c r="K772" s="252">
        <f>IF($A772="M",0,_xlfn.XLOOKUP($D772,Fontes!$B:$B,Fontes!$I:$I))</f>
        <v>1.26</v>
      </c>
      <c r="L772" s="250">
        <f t="shared" si="84"/>
        <v>66.440000000000012</v>
      </c>
      <c r="M772" s="300">
        <f t="shared" si="87"/>
        <v>199.32</v>
      </c>
      <c r="O772" s="517">
        <f t="shared" si="86"/>
        <v>199.32</v>
      </c>
    </row>
    <row r="773" spans="1:15" ht="76.8" outlineLevel="4" x14ac:dyDescent="0.3">
      <c r="A773" s="35"/>
      <c r="B773" s="36"/>
      <c r="C773" s="495" t="s">
        <v>10422</v>
      </c>
      <c r="D773" s="487">
        <v>101880</v>
      </c>
      <c r="E773" s="249" t="str">
        <f>UPPER(IF($D773=0,"",IF($A773=4,_xlfn.XLOOKUP($D773,Mercado!$C:$C,Mercado!$E:$E),_xlfn.XLOOKUP($D773,Fontes!$B:$B,Fontes!$C:$C))))</f>
        <v>SINAPI</v>
      </c>
      <c r="F773" s="328" t="s">
        <v>327</v>
      </c>
      <c r="G773" s="249" t="str">
        <f>UPPER(IF($D773=0,"",IF($A773=4,_xlfn.XLOOKUP($D773,Mercado!$C:$C,Mercado!$G:$G),_xlfn.XLOOKUP($D773,Fontes!$B:$B,Fontes!$E:$E))))</f>
        <v>UN</v>
      </c>
      <c r="H773" s="252">
        <v>1</v>
      </c>
      <c r="I773" s="252">
        <f>IF($A773="M",_xlfn.XLOOKUP($D773,Mercado!$C:$C,Mercado!$I:$I),_xlfn.XLOOKUP($D773,Fontes!$B:$B,Fontes!$J:$J))</f>
        <v>564.30999999999995</v>
      </c>
      <c r="J773" s="252">
        <f>IF($A773="M",_xlfn.XLOOKUP($D773,Mercado!$C:$C,Mercado!$J:$J),_xlfn.XLOOKUP($D773,Fontes!$B:$B,Fontes!$H:$H))</f>
        <v>118.32</v>
      </c>
      <c r="K773" s="252">
        <f>IF($A773="M",0,_xlfn.XLOOKUP($D773,Fontes!$B:$B,Fontes!$I:$I))</f>
        <v>10.53</v>
      </c>
      <c r="L773" s="250">
        <f t="shared" si="84"/>
        <v>693.15999999999985</v>
      </c>
      <c r="M773" s="300">
        <f t="shared" si="87"/>
        <v>693.16</v>
      </c>
      <c r="O773" s="517">
        <f t="shared" si="86"/>
        <v>693.16</v>
      </c>
    </row>
    <row r="774" spans="1:15" outlineLevel="4" x14ac:dyDescent="0.3">
      <c r="A774" s="36" t="s">
        <v>7</v>
      </c>
      <c r="B774" s="36"/>
      <c r="C774" s="495" t="s">
        <v>781</v>
      </c>
      <c r="D774" s="487"/>
      <c r="E774" s="249" t="str">
        <f>UPPER(IF($D774=0,"",IF($A774=4,_xlfn.XLOOKUP($D774,Mercado!$C:$C,Mercado!$E:$E),_xlfn.XLOOKUP($D774,Fontes!$B:$B,Fontes!$C:$C))))</f>
        <v/>
      </c>
      <c r="F774" s="335" t="s">
        <v>781</v>
      </c>
      <c r="G774" s="249"/>
      <c r="H774" s="252"/>
      <c r="I774" s="252">
        <f>IF($A774="M",_xlfn.XLOOKUP($D774,Mercado!$C:$C,Mercado!$I:$I),_xlfn.XLOOKUP($D774,Fontes!$B:$B,Fontes!$J:$J))</f>
        <v>0</v>
      </c>
      <c r="J774" s="252">
        <f>IF($A774="M",_xlfn.XLOOKUP($D774,Mercado!$C:$C,Mercado!$J:$J),_xlfn.XLOOKUP($D774,Fontes!$B:$B,Fontes!$H:$H))</f>
        <v>0</v>
      </c>
      <c r="K774" s="252">
        <f>IF($A774="M",0,_xlfn.XLOOKUP($D774,Fontes!$B:$B,Fontes!$I:$I))</f>
        <v>0</v>
      </c>
      <c r="L774" s="250">
        <f t="shared" si="84"/>
        <v>0</v>
      </c>
      <c r="M774" s="300">
        <f t="shared" si="87"/>
        <v>0</v>
      </c>
      <c r="O774" s="517" t="str">
        <f t="shared" si="86"/>
        <v/>
      </c>
    </row>
    <row r="775" spans="1:15" s="261" customFormat="1" outlineLevel="4" x14ac:dyDescent="0.3">
      <c r="A775" s="36" t="s">
        <v>7</v>
      </c>
      <c r="B775" s="35"/>
      <c r="C775" s="499" t="s">
        <v>10423</v>
      </c>
      <c r="D775" s="492"/>
      <c r="E775" s="249" t="str">
        <f>UPPER(IF($D775=0,"",IF($A775=4,_xlfn.XLOOKUP($D775,Mercado!$C:$C,Mercado!$E:$E),_xlfn.XLOOKUP($D775,Fontes!$B:$B,Fontes!$C:$C))))</f>
        <v/>
      </c>
      <c r="F775" s="330" t="s">
        <v>1844</v>
      </c>
      <c r="G775" s="257"/>
      <c r="H775" s="259"/>
      <c r="I775" s="259">
        <f>IF($A775="M",_xlfn.XLOOKUP($D775,Mercado!$C:$C,Mercado!$I:$I),_xlfn.XLOOKUP($D775,Fontes!$B:$B,Fontes!$J:$J))</f>
        <v>0</v>
      </c>
      <c r="J775" s="259">
        <f>IF($A775="M",_xlfn.XLOOKUP($D775,Mercado!$C:$C,Mercado!$J:$J),_xlfn.XLOOKUP($D775,Fontes!$B:$B,Fontes!$H:$H))</f>
        <v>0</v>
      </c>
      <c r="K775" s="259">
        <f>IF($A775="M",0,_xlfn.XLOOKUP($D775,Fontes!$B:$B,Fontes!$I:$I))</f>
        <v>0</v>
      </c>
      <c r="L775" s="259">
        <f t="shared" si="84"/>
        <v>0</v>
      </c>
      <c r="M775" s="500">
        <f t="shared" si="87"/>
        <v>0</v>
      </c>
      <c r="N775" s="247"/>
      <c r="O775" s="517" t="str">
        <f t="shared" si="86"/>
        <v/>
      </c>
    </row>
    <row r="776" spans="1:15" outlineLevel="4" x14ac:dyDescent="0.3">
      <c r="A776" s="35"/>
      <c r="B776" s="36"/>
      <c r="C776" s="495" t="s">
        <v>10424</v>
      </c>
      <c r="D776" s="487" t="s">
        <v>2664</v>
      </c>
      <c r="E776" s="249" t="str">
        <f>UPPER(IF($D776=0,"",IF($A776=4,_xlfn.XLOOKUP($D776,Mercado!$C:$C,Mercado!$E:$E),_xlfn.XLOOKUP($D776,Fontes!$B:$B,Fontes!$C:$C))))</f>
        <v>CPOS/CDHU</v>
      </c>
      <c r="F776" s="328" t="s">
        <v>3615</v>
      </c>
      <c r="G776" s="249" t="str">
        <f>UPPER(IF($D776=0,"",IF($A776=4,_xlfn.XLOOKUP($D776,Mercado!$C:$C,Mercado!$G:$G),_xlfn.XLOOKUP($D776,Fontes!$B:$B,Fontes!$E:$E))))</f>
        <v>UN</v>
      </c>
      <c r="H776" s="252">
        <v>1</v>
      </c>
      <c r="I776" s="252">
        <f>IF($A776="M",_xlfn.XLOOKUP($D776,Mercado!$C:$C,Mercado!$I:$I),_xlfn.XLOOKUP($D776,Fontes!$B:$B,Fontes!$J:$J))</f>
        <v>279.5</v>
      </c>
      <c r="J776" s="252">
        <f>IF($A776="M",_xlfn.XLOOKUP($D776,Mercado!$C:$C,Mercado!$J:$J),_xlfn.XLOOKUP($D776,Fontes!$B:$B,Fontes!$H:$H))</f>
        <v>13.96</v>
      </c>
      <c r="K776" s="252">
        <f>IF($A776="M",0,_xlfn.XLOOKUP($D776,Fontes!$B:$B,Fontes!$I:$I))</f>
        <v>0</v>
      </c>
      <c r="L776" s="250">
        <f t="shared" si="84"/>
        <v>293.45999999999998</v>
      </c>
      <c r="M776" s="300">
        <f t="shared" si="87"/>
        <v>293.45999999999998</v>
      </c>
      <c r="O776" s="517">
        <f t="shared" si="86"/>
        <v>293.45999999999998</v>
      </c>
    </row>
    <row r="777" spans="1:15" ht="38.4" outlineLevel="4" x14ac:dyDescent="0.3">
      <c r="A777" s="35"/>
      <c r="B777" s="36"/>
      <c r="C777" s="495" t="s">
        <v>10425</v>
      </c>
      <c r="D777" s="487">
        <v>93669</v>
      </c>
      <c r="E777" s="249" t="str">
        <f>UPPER(IF($D777=0,"",IF($A777=4,_xlfn.XLOOKUP($D777,Mercado!$C:$C,Mercado!$E:$E),_xlfn.XLOOKUP($D777,Fontes!$B:$B,Fontes!$C:$C))))</f>
        <v>SINAPI</v>
      </c>
      <c r="F777" s="328" t="s">
        <v>321</v>
      </c>
      <c r="G777" s="249" t="str">
        <f>UPPER(IF($D777=0,"",IF($A777=4,_xlfn.XLOOKUP($D777,Mercado!$C:$C,Mercado!$G:$G),_xlfn.XLOOKUP($D777,Fontes!$B:$B,Fontes!$E:$E))))</f>
        <v>UN</v>
      </c>
      <c r="H777" s="252">
        <v>2</v>
      </c>
      <c r="I777" s="252">
        <f>IF($A777="M",_xlfn.XLOOKUP($D777,Mercado!$C:$C,Mercado!$I:$I),_xlfn.XLOOKUP($D777,Fontes!$B:$B,Fontes!$J:$J))</f>
        <v>60.43</v>
      </c>
      <c r="J777" s="252">
        <f>IF($A777="M",_xlfn.XLOOKUP($D777,Mercado!$C:$C,Mercado!$J:$J),_xlfn.XLOOKUP($D777,Fontes!$B:$B,Fontes!$H:$H))</f>
        <v>7.83</v>
      </c>
      <c r="K777" s="252">
        <f>IF($A777="M",0,_xlfn.XLOOKUP($D777,Fontes!$B:$B,Fontes!$I:$I))</f>
        <v>0.7</v>
      </c>
      <c r="L777" s="250">
        <f t="shared" si="84"/>
        <v>68.960000000000008</v>
      </c>
      <c r="M777" s="300">
        <f t="shared" si="87"/>
        <v>137.91999999999999</v>
      </c>
      <c r="O777" s="517">
        <f t="shared" si="86"/>
        <v>137.91999999999999</v>
      </c>
    </row>
    <row r="778" spans="1:15" outlineLevel="4" x14ac:dyDescent="0.3">
      <c r="A778" s="35"/>
      <c r="B778" s="36"/>
      <c r="C778" s="495" t="s">
        <v>10426</v>
      </c>
      <c r="D778" s="487">
        <v>675</v>
      </c>
      <c r="E778" s="249" t="str">
        <f>UPPER(IF($D778=0,"",IF($A778=4,_xlfn.XLOOKUP($D778,Mercado!$C:$C,Mercado!$E:$E),_xlfn.XLOOKUP($D778,Fontes!$B:$B,Fontes!$C:$C))))</f>
        <v>PRÓPRIO</v>
      </c>
      <c r="F778" s="335" t="s">
        <v>2645</v>
      </c>
      <c r="G778" s="249" t="str">
        <f>UPPER(IF($D778=0,"",IF($A778=4,_xlfn.XLOOKUP($D778,Mercado!$C:$C,Mercado!$G:$G),_xlfn.XLOOKUP($D778,Fontes!$B:$B,Fontes!$E:$E))))</f>
        <v>UN</v>
      </c>
      <c r="H778" s="252">
        <v>2</v>
      </c>
      <c r="I778" s="252">
        <f>IF($A778="M",_xlfn.XLOOKUP($D778,Mercado!$C:$C,Mercado!$I:$I),_xlfn.XLOOKUP($D778,Fontes!$B:$B,Fontes!$J:$J))</f>
        <v>185</v>
      </c>
      <c r="J778" s="252">
        <f>IF($A778="M",_xlfn.XLOOKUP($D778,Mercado!$C:$C,Mercado!$J:$J),_xlfn.XLOOKUP($D778,Fontes!$B:$B,Fontes!$H:$H))</f>
        <v>111.66</v>
      </c>
      <c r="K778" s="252">
        <f>IF($A778="M",0,_xlfn.XLOOKUP($D778,Fontes!$B:$B,Fontes!$I:$I))</f>
        <v>0</v>
      </c>
      <c r="L778" s="250">
        <f t="shared" si="84"/>
        <v>296.65999999999997</v>
      </c>
      <c r="M778" s="300">
        <f t="shared" si="87"/>
        <v>593.32000000000005</v>
      </c>
      <c r="O778" s="517">
        <f t="shared" si="86"/>
        <v>593.32000000000005</v>
      </c>
    </row>
    <row r="779" spans="1:15" ht="38.4" outlineLevel="4" x14ac:dyDescent="0.3">
      <c r="A779" s="35"/>
      <c r="B779" s="36"/>
      <c r="C779" s="495" t="s">
        <v>10427</v>
      </c>
      <c r="D779" s="487">
        <v>93653</v>
      </c>
      <c r="E779" s="249" t="str">
        <f>UPPER(IF($D779=0,"",IF($A779=4,_xlfn.XLOOKUP($D779,Mercado!$C:$C,Mercado!$E:$E),_xlfn.XLOOKUP($D779,Fontes!$B:$B,Fontes!$C:$C))))</f>
        <v>SINAPI</v>
      </c>
      <c r="F779" s="328" t="s">
        <v>313</v>
      </c>
      <c r="G779" s="249" t="str">
        <f>UPPER(IF($D779=0,"",IF($A779=4,_xlfn.XLOOKUP($D779,Mercado!$C:$C,Mercado!$G:$G),_xlfn.XLOOKUP($D779,Fontes!$B:$B,Fontes!$E:$E))))</f>
        <v>UN</v>
      </c>
      <c r="H779" s="252">
        <v>1</v>
      </c>
      <c r="I779" s="252">
        <f>IF($A779="M",_xlfn.XLOOKUP($D779,Mercado!$C:$C,Mercado!$I:$I),_xlfn.XLOOKUP($D779,Fontes!$B:$B,Fontes!$J:$J))</f>
        <v>9.2899999999999991</v>
      </c>
      <c r="J779" s="252">
        <f>IF($A779="M",_xlfn.XLOOKUP($D779,Mercado!$C:$C,Mercado!$J:$J),_xlfn.XLOOKUP($D779,Fontes!$B:$B,Fontes!$H:$H))</f>
        <v>1.98</v>
      </c>
      <c r="K779" s="252">
        <f>IF($A779="M",0,_xlfn.XLOOKUP($D779,Fontes!$B:$B,Fontes!$I:$I))</f>
        <v>0.18</v>
      </c>
      <c r="L779" s="250">
        <f t="shared" si="84"/>
        <v>11.45</v>
      </c>
      <c r="M779" s="300">
        <f t="shared" si="87"/>
        <v>11.45</v>
      </c>
      <c r="O779" s="517">
        <f t="shared" si="86"/>
        <v>11.45</v>
      </c>
    </row>
    <row r="780" spans="1:15" outlineLevel="4" x14ac:dyDescent="0.3">
      <c r="A780" s="35"/>
      <c r="B780" s="36"/>
      <c r="C780" s="495" t="s">
        <v>10428</v>
      </c>
      <c r="D780" s="487">
        <v>690</v>
      </c>
      <c r="E780" s="249" t="str">
        <f>UPPER(IF($D780=0,"",IF($A780=4,_xlfn.XLOOKUP($D780,Mercado!$C:$C,Mercado!$E:$E),_xlfn.XLOOKUP($D780,Fontes!$B:$B,Fontes!$C:$C))))</f>
        <v>PRÓPRIO</v>
      </c>
      <c r="F780" s="335" t="s">
        <v>2646</v>
      </c>
      <c r="G780" s="249" t="str">
        <f>UPPER(IF($D780=0,"",IF($A780=4,_xlfn.XLOOKUP($D780,Mercado!$C:$C,Mercado!$G:$G),_xlfn.XLOOKUP($D780,Fontes!$B:$B,Fontes!$E:$E))))</f>
        <v>UN</v>
      </c>
      <c r="H780" s="252">
        <v>2</v>
      </c>
      <c r="I780" s="252">
        <f>IF($A780="M",_xlfn.XLOOKUP($D780,Mercado!$C:$C,Mercado!$I:$I),_xlfn.XLOOKUP($D780,Fontes!$B:$B,Fontes!$J:$J))</f>
        <v>233.27</v>
      </c>
      <c r="J780" s="252">
        <f>IF($A780="M",_xlfn.XLOOKUP($D780,Mercado!$C:$C,Mercado!$J:$J),_xlfn.XLOOKUP($D780,Fontes!$B:$B,Fontes!$H:$H))</f>
        <v>115.36</v>
      </c>
      <c r="K780" s="252">
        <f>IF($A780="M",0,_xlfn.XLOOKUP($D780,Fontes!$B:$B,Fontes!$I:$I))</f>
        <v>10.4</v>
      </c>
      <c r="L780" s="250">
        <f t="shared" si="84"/>
        <v>359.03</v>
      </c>
      <c r="M780" s="300">
        <f t="shared" si="87"/>
        <v>718.06</v>
      </c>
      <c r="O780" s="517">
        <f t="shared" si="86"/>
        <v>718.06</v>
      </c>
    </row>
    <row r="781" spans="1:15" outlineLevel="4" x14ac:dyDescent="0.3">
      <c r="A781" s="35"/>
      <c r="B781" s="36"/>
      <c r="C781" s="495" t="s">
        <v>10429</v>
      </c>
      <c r="D781" s="487">
        <v>672</v>
      </c>
      <c r="E781" s="249" t="str">
        <f>UPPER(IF($D781=0,"",IF($A781=4,_xlfn.XLOOKUP($D781,Mercado!$C:$C,Mercado!$E:$E),_xlfn.XLOOKUP($D781,Fontes!$B:$B,Fontes!$C:$C))))</f>
        <v>PRÓPRIO</v>
      </c>
      <c r="F781" s="335" t="s">
        <v>2647</v>
      </c>
      <c r="G781" s="249" t="str">
        <f>UPPER(IF($D781=0,"",IF($A781=4,_xlfn.XLOOKUP($D781,Mercado!$C:$C,Mercado!$G:$G),_xlfn.XLOOKUP($D781,Fontes!$B:$B,Fontes!$E:$E))))</f>
        <v>UN</v>
      </c>
      <c r="H781" s="252">
        <v>1</v>
      </c>
      <c r="I781" s="252">
        <f>IF($A781="M",_xlfn.XLOOKUP($D781,Mercado!$C:$C,Mercado!$I:$I),_xlfn.XLOOKUP($D781,Fontes!$B:$B,Fontes!$J:$J))</f>
        <v>195.57</v>
      </c>
      <c r="J781" s="252">
        <f>IF($A781="M",_xlfn.XLOOKUP($D781,Mercado!$C:$C,Mercado!$J:$J),_xlfn.XLOOKUP($D781,Fontes!$B:$B,Fontes!$H:$H))</f>
        <v>161.91</v>
      </c>
      <c r="K781" s="252">
        <f>IF($A781="M",0,_xlfn.XLOOKUP($D781,Fontes!$B:$B,Fontes!$I:$I))</f>
        <v>0</v>
      </c>
      <c r="L781" s="250">
        <f t="shared" si="84"/>
        <v>357.48</v>
      </c>
      <c r="M781" s="300">
        <f t="shared" si="87"/>
        <v>357.48</v>
      </c>
      <c r="O781" s="517">
        <f t="shared" si="86"/>
        <v>357.48</v>
      </c>
    </row>
    <row r="782" spans="1:15" outlineLevel="4" x14ac:dyDescent="0.3">
      <c r="A782" s="35"/>
      <c r="B782" s="36"/>
      <c r="C782" s="495" t="s">
        <v>10430</v>
      </c>
      <c r="D782" s="487">
        <v>674</v>
      </c>
      <c r="E782" s="249" t="str">
        <f>UPPER(IF($D782=0,"",IF($A782=4,_xlfn.XLOOKUP($D782,Mercado!$C:$C,Mercado!$E:$E),_xlfn.XLOOKUP($D782,Fontes!$B:$B,Fontes!$C:$C))))</f>
        <v>PRÓPRIO</v>
      </c>
      <c r="F782" s="335" t="s">
        <v>2648</v>
      </c>
      <c r="G782" s="249" t="str">
        <f>UPPER(IF($D782=0,"",IF($A782=4,_xlfn.XLOOKUP($D782,Mercado!$C:$C,Mercado!$G:$G),_xlfn.XLOOKUP($D782,Fontes!$B:$B,Fontes!$E:$E))))</f>
        <v>UN</v>
      </c>
      <c r="H782" s="252">
        <v>1</v>
      </c>
      <c r="I782" s="252">
        <f>IF($A782="M",_xlfn.XLOOKUP($D782,Mercado!$C:$C,Mercado!$I:$I),_xlfn.XLOOKUP($D782,Fontes!$B:$B,Fontes!$J:$J))</f>
        <v>148.36000000000001</v>
      </c>
      <c r="J782" s="252">
        <f>IF($A782="M",_xlfn.XLOOKUP($D782,Mercado!$C:$C,Mercado!$J:$J),_xlfn.XLOOKUP($D782,Fontes!$B:$B,Fontes!$H:$H))</f>
        <v>161.91</v>
      </c>
      <c r="K782" s="252">
        <f>IF($A782="M",0,_xlfn.XLOOKUP($D782,Fontes!$B:$B,Fontes!$I:$I))</f>
        <v>0</v>
      </c>
      <c r="L782" s="250">
        <f t="shared" ref="L782:L845" si="88">SUM(I782:K782)</f>
        <v>310.27</v>
      </c>
      <c r="M782" s="300">
        <f t="shared" si="87"/>
        <v>310.27</v>
      </c>
      <c r="O782" s="517">
        <f t="shared" si="86"/>
        <v>310.27</v>
      </c>
    </row>
    <row r="783" spans="1:15" outlineLevel="4" x14ac:dyDescent="0.3">
      <c r="A783" s="35"/>
      <c r="B783" s="36"/>
      <c r="C783" s="495" t="s">
        <v>10431</v>
      </c>
      <c r="D783" s="487">
        <v>670</v>
      </c>
      <c r="E783" s="249" t="str">
        <f>UPPER(IF($D783=0,"",IF($A783=4,_xlfn.XLOOKUP($D783,Mercado!$C:$C,Mercado!$E:$E),_xlfn.XLOOKUP($D783,Fontes!$B:$B,Fontes!$C:$C))))</f>
        <v>ORSE</v>
      </c>
      <c r="F783" s="335" t="s">
        <v>2649</v>
      </c>
      <c r="G783" s="249" t="str">
        <f>UPPER(IF($D783=0,"",IF($A783=4,_xlfn.XLOOKUP($D783,Mercado!$C:$C,Mercado!$G:$G),_xlfn.XLOOKUP($D783,Fontes!$B:$B,Fontes!$E:$E))))</f>
        <v>UN</v>
      </c>
      <c r="H783" s="252">
        <v>1</v>
      </c>
      <c r="I783" s="252">
        <f>IF($A783="M",_xlfn.XLOOKUP($D783,Mercado!$C:$C,Mercado!$I:$I),_xlfn.XLOOKUP($D783,Fontes!$B:$B,Fontes!$J:$J))</f>
        <v>120.45</v>
      </c>
      <c r="J783" s="252">
        <f>IF($A783="M",_xlfn.XLOOKUP($D783,Mercado!$C:$C,Mercado!$J:$J),_xlfn.XLOOKUP($D783,Fontes!$B:$B,Fontes!$H:$H))</f>
        <v>0</v>
      </c>
      <c r="K783" s="252">
        <f>IF($A783="M",0,_xlfn.XLOOKUP($D783,Fontes!$B:$B,Fontes!$I:$I))</f>
        <v>0</v>
      </c>
      <c r="L783" s="250">
        <f t="shared" si="88"/>
        <v>120.45</v>
      </c>
      <c r="M783" s="300">
        <f t="shared" si="87"/>
        <v>120.45</v>
      </c>
      <c r="O783" s="517">
        <f t="shared" si="86"/>
        <v>120.45</v>
      </c>
    </row>
    <row r="784" spans="1:15" outlineLevel="4" x14ac:dyDescent="0.3">
      <c r="A784" s="35"/>
      <c r="B784" s="36"/>
      <c r="C784" s="495" t="s">
        <v>10432</v>
      </c>
      <c r="D784" s="487">
        <v>682</v>
      </c>
      <c r="E784" s="249" t="str">
        <f>UPPER(IF($D784=0,"",IF($A784=4,_xlfn.XLOOKUP($D784,Mercado!$C:$C,Mercado!$E:$E),_xlfn.XLOOKUP($D784,Fontes!$B:$B,Fontes!$C:$C))))</f>
        <v>PRÓPRIO</v>
      </c>
      <c r="F784" s="335" t="s">
        <v>2650</v>
      </c>
      <c r="G784" s="249" t="str">
        <f>UPPER(IF($D784=0,"",IF($A784=4,_xlfn.XLOOKUP($D784,Mercado!$C:$C,Mercado!$G:$G),_xlfn.XLOOKUP($D784,Fontes!$B:$B,Fontes!$E:$E))))</f>
        <v>UN</v>
      </c>
      <c r="H784" s="252">
        <v>2</v>
      </c>
      <c r="I784" s="252">
        <f>IF($A784="M",_xlfn.XLOOKUP($D784,Mercado!$C:$C,Mercado!$I:$I),_xlfn.XLOOKUP($D784,Fontes!$B:$B,Fontes!$J:$J))</f>
        <v>18.78</v>
      </c>
      <c r="J784" s="252">
        <f>IF($A784="M",_xlfn.XLOOKUP($D784,Mercado!$C:$C,Mercado!$J:$J),_xlfn.XLOOKUP($D784,Fontes!$B:$B,Fontes!$H:$H))</f>
        <v>6.96</v>
      </c>
      <c r="K784" s="252">
        <f>IF($A784="M",0,_xlfn.XLOOKUP($D784,Fontes!$B:$B,Fontes!$I:$I))</f>
        <v>0.62</v>
      </c>
      <c r="L784" s="250">
        <f t="shared" si="88"/>
        <v>26.360000000000003</v>
      </c>
      <c r="M784" s="300">
        <f t="shared" si="87"/>
        <v>52.72</v>
      </c>
      <c r="O784" s="517">
        <f t="shared" si="86"/>
        <v>52.72</v>
      </c>
    </row>
    <row r="785" spans="1:15" outlineLevel="4" x14ac:dyDescent="0.3">
      <c r="A785" s="35"/>
      <c r="B785" s="36"/>
      <c r="C785" s="495" t="s">
        <v>10433</v>
      </c>
      <c r="D785" s="487">
        <v>685</v>
      </c>
      <c r="E785" s="249" t="str">
        <f>UPPER(IF($D785=0,"",IF($A785=4,_xlfn.XLOOKUP($D785,Mercado!$C:$C,Mercado!$E:$E),_xlfn.XLOOKUP($D785,Fontes!$B:$B,Fontes!$C:$C))))</f>
        <v>PRÓPRIO</v>
      </c>
      <c r="F785" s="335" t="s">
        <v>2651</v>
      </c>
      <c r="G785" s="249" t="str">
        <f>UPPER(IF($D785=0,"",IF($A785=4,_xlfn.XLOOKUP($D785,Mercado!$C:$C,Mercado!$G:$G),_xlfn.XLOOKUP($D785,Fontes!$B:$B,Fontes!$E:$E))))</f>
        <v>UN</v>
      </c>
      <c r="H785" s="252">
        <v>3</v>
      </c>
      <c r="I785" s="252">
        <f>IF($A785="M",_xlfn.XLOOKUP($D785,Mercado!$C:$C,Mercado!$I:$I),_xlfn.XLOOKUP($D785,Fontes!$B:$B,Fontes!$J:$J))</f>
        <v>65.81</v>
      </c>
      <c r="J785" s="252">
        <f>IF($A785="M",_xlfn.XLOOKUP($D785,Mercado!$C:$C,Mercado!$J:$J),_xlfn.XLOOKUP($D785,Fontes!$B:$B,Fontes!$H:$H))</f>
        <v>2.4900000000000002</v>
      </c>
      <c r="K785" s="252">
        <f>IF($A785="M",0,_xlfn.XLOOKUP($D785,Fontes!$B:$B,Fontes!$I:$I))</f>
        <v>0.25</v>
      </c>
      <c r="L785" s="250">
        <f t="shared" si="88"/>
        <v>68.55</v>
      </c>
      <c r="M785" s="300">
        <f t="shared" si="87"/>
        <v>205.65</v>
      </c>
      <c r="O785" s="517">
        <f t="shared" si="86"/>
        <v>205.65</v>
      </c>
    </row>
    <row r="786" spans="1:15" outlineLevel="4" x14ac:dyDescent="0.3">
      <c r="A786" s="35"/>
      <c r="B786" s="36"/>
      <c r="C786" s="495" t="s">
        <v>10434</v>
      </c>
      <c r="D786" s="487" t="s">
        <v>1842</v>
      </c>
      <c r="E786" s="249" t="str">
        <f>UPPER(IF($D786=0,"",IF($A786=4,_xlfn.XLOOKUP($D786,Mercado!$C:$C,Mercado!$E:$E),_xlfn.XLOOKUP($D786,Fontes!$B:$B,Fontes!$C:$C))))</f>
        <v>CPOS/CDHU</v>
      </c>
      <c r="F786" s="328" t="s">
        <v>3594</v>
      </c>
      <c r="G786" s="249" t="str">
        <f>UPPER(IF($D786=0,"",IF($A786=4,_xlfn.XLOOKUP($D786,Mercado!$C:$C,Mercado!$G:$G),_xlfn.XLOOKUP($D786,Fontes!$B:$B,Fontes!$E:$E))))</f>
        <v>UN</v>
      </c>
      <c r="H786" s="252">
        <v>1</v>
      </c>
      <c r="I786" s="252">
        <f>IF($A786="M",_xlfn.XLOOKUP($D786,Mercado!$C:$C,Mercado!$I:$I),_xlfn.XLOOKUP($D786,Fontes!$B:$B,Fontes!$J:$J))</f>
        <v>457.28</v>
      </c>
      <c r="J786" s="252">
        <f>IF($A786="M",_xlfn.XLOOKUP($D786,Mercado!$C:$C,Mercado!$J:$J),_xlfn.XLOOKUP($D786,Fontes!$B:$B,Fontes!$H:$H))</f>
        <v>16.75</v>
      </c>
      <c r="K786" s="252">
        <f>IF($A786="M",0,_xlfn.XLOOKUP($D786,Fontes!$B:$B,Fontes!$I:$I))</f>
        <v>0</v>
      </c>
      <c r="L786" s="250">
        <f t="shared" si="88"/>
        <v>474.03</v>
      </c>
      <c r="M786" s="300">
        <f t="shared" si="87"/>
        <v>474.03</v>
      </c>
      <c r="O786" s="517">
        <f t="shared" si="86"/>
        <v>474.03</v>
      </c>
    </row>
    <row r="787" spans="1:15" ht="76.8" outlineLevel="4" x14ac:dyDescent="0.3">
      <c r="A787" s="35"/>
      <c r="B787" s="36"/>
      <c r="C787" s="495" t="s">
        <v>10435</v>
      </c>
      <c r="D787" s="487">
        <v>101879</v>
      </c>
      <c r="E787" s="249" t="str">
        <f>UPPER(IF($D787=0,"",IF($A787=4,_xlfn.XLOOKUP($D787,Mercado!$C:$C,Mercado!$E:$E),_xlfn.XLOOKUP($D787,Fontes!$B:$B,Fontes!$C:$C))))</f>
        <v>SINAPI</v>
      </c>
      <c r="F787" s="328" t="s">
        <v>326</v>
      </c>
      <c r="G787" s="249" t="str">
        <f>UPPER(IF($D787=0,"",IF($A787=4,_xlfn.XLOOKUP($D787,Mercado!$C:$C,Mercado!$G:$G),_xlfn.XLOOKUP($D787,Fontes!$B:$B,Fontes!$E:$E))))</f>
        <v>UN</v>
      </c>
      <c r="H787" s="252">
        <v>1</v>
      </c>
      <c r="I787" s="252">
        <f>IF($A787="M",_xlfn.XLOOKUP($D787,Mercado!$C:$C,Mercado!$I:$I),_xlfn.XLOOKUP($D787,Fontes!$B:$B,Fontes!$J:$J))</f>
        <v>488.86</v>
      </c>
      <c r="J787" s="252">
        <f>IF($A787="M",_xlfn.XLOOKUP($D787,Mercado!$C:$C,Mercado!$J:$J),_xlfn.XLOOKUP($D787,Fontes!$B:$B,Fontes!$H:$H))</f>
        <v>95.91</v>
      </c>
      <c r="K787" s="252">
        <f>IF($A787="M",0,_xlfn.XLOOKUP($D787,Fontes!$B:$B,Fontes!$I:$I))</f>
        <v>8.5399999999999991</v>
      </c>
      <c r="L787" s="250">
        <f t="shared" si="88"/>
        <v>593.30999999999995</v>
      </c>
      <c r="M787" s="300">
        <f t="shared" si="87"/>
        <v>593.30999999999995</v>
      </c>
      <c r="O787" s="517">
        <f t="shared" si="86"/>
        <v>593.30999999999995</v>
      </c>
    </row>
    <row r="788" spans="1:15" outlineLevel="4" x14ac:dyDescent="0.3">
      <c r="A788" s="36" t="s">
        <v>7</v>
      </c>
      <c r="B788" s="36"/>
      <c r="C788" s="495" t="s">
        <v>781</v>
      </c>
      <c r="D788" s="487"/>
      <c r="E788" s="249" t="str">
        <f>UPPER(IF($D788=0,"",IF($A788=4,_xlfn.XLOOKUP($D788,Mercado!$C:$C,Mercado!$E:$E),_xlfn.XLOOKUP($D788,Fontes!$B:$B,Fontes!$C:$C))))</f>
        <v/>
      </c>
      <c r="F788" s="335" t="s">
        <v>781</v>
      </c>
      <c r="G788" s="249"/>
      <c r="H788" s="252"/>
      <c r="I788" s="252">
        <f>IF($A788="M",_xlfn.XLOOKUP($D788,Mercado!$C:$C,Mercado!$I:$I),_xlfn.XLOOKUP($D788,Fontes!$B:$B,Fontes!$J:$J))</f>
        <v>0</v>
      </c>
      <c r="J788" s="252">
        <f>IF($A788="M",_xlfn.XLOOKUP($D788,Mercado!$C:$C,Mercado!$J:$J),_xlfn.XLOOKUP($D788,Fontes!$B:$B,Fontes!$H:$H))</f>
        <v>0</v>
      </c>
      <c r="K788" s="252">
        <f>IF($A788="M",0,_xlfn.XLOOKUP($D788,Fontes!$B:$B,Fontes!$I:$I))</f>
        <v>0</v>
      </c>
      <c r="L788" s="250">
        <f t="shared" si="88"/>
        <v>0</v>
      </c>
      <c r="M788" s="300">
        <f t="shared" si="87"/>
        <v>0</v>
      </c>
      <c r="O788" s="517" t="str">
        <f t="shared" si="86"/>
        <v/>
      </c>
    </row>
    <row r="789" spans="1:15" s="261" customFormat="1" outlineLevel="4" x14ac:dyDescent="0.3">
      <c r="A789" s="36" t="s">
        <v>7</v>
      </c>
      <c r="B789" s="35"/>
      <c r="C789" s="499" t="s">
        <v>10436</v>
      </c>
      <c r="D789" s="492"/>
      <c r="E789" s="249" t="str">
        <f>UPPER(IF($D789=0,"",IF($A789=4,_xlfn.XLOOKUP($D789,Mercado!$C:$C,Mercado!$E:$E),_xlfn.XLOOKUP($D789,Fontes!$B:$B,Fontes!$C:$C))))</f>
        <v/>
      </c>
      <c r="F789" s="330" t="s">
        <v>2652</v>
      </c>
      <c r="G789" s="257"/>
      <c r="H789" s="259"/>
      <c r="I789" s="259">
        <f>IF($A789="M",_xlfn.XLOOKUP($D789,Mercado!$C:$C,Mercado!$I:$I),_xlfn.XLOOKUP($D789,Fontes!$B:$B,Fontes!$J:$J))</f>
        <v>0</v>
      </c>
      <c r="J789" s="259">
        <f>IF($A789="M",_xlfn.XLOOKUP($D789,Mercado!$C:$C,Mercado!$J:$J),_xlfn.XLOOKUP($D789,Fontes!$B:$B,Fontes!$H:$H))</f>
        <v>0</v>
      </c>
      <c r="K789" s="259">
        <f>IF($A789="M",0,_xlfn.XLOOKUP($D789,Fontes!$B:$B,Fontes!$I:$I))</f>
        <v>0</v>
      </c>
      <c r="L789" s="259">
        <f t="shared" si="88"/>
        <v>0</v>
      </c>
      <c r="M789" s="500">
        <f t="shared" si="87"/>
        <v>0</v>
      </c>
      <c r="N789" s="247"/>
      <c r="O789" s="517" t="str">
        <f t="shared" si="86"/>
        <v/>
      </c>
    </row>
    <row r="790" spans="1:15" ht="38.4" outlineLevel="4" x14ac:dyDescent="0.3">
      <c r="A790" s="35"/>
      <c r="B790" s="36"/>
      <c r="C790" s="495" t="s">
        <v>10437</v>
      </c>
      <c r="D790" s="487">
        <v>467</v>
      </c>
      <c r="E790" s="249" t="str">
        <f>UPPER(IF($D790=0,"",IF($A790=4,_xlfn.XLOOKUP($D790,Mercado!$C:$C,Mercado!$E:$E),_xlfn.XLOOKUP($D790,Fontes!$B:$B,Fontes!$C:$C))))</f>
        <v>ORSE</v>
      </c>
      <c r="F790" s="328" t="s">
        <v>3619</v>
      </c>
      <c r="G790" s="249" t="str">
        <f>UPPER(IF($D790=0,"",IF($A790=4,_xlfn.XLOOKUP($D790,Mercado!$C:$C,Mercado!$G:$G),_xlfn.XLOOKUP($D790,Fontes!$B:$B,Fontes!$E:$E))))</f>
        <v>UN</v>
      </c>
      <c r="H790" s="252">
        <v>1</v>
      </c>
      <c r="I790" s="252">
        <f>IF($A790="M",_xlfn.XLOOKUP($D790,Mercado!$C:$C,Mercado!$I:$I),_xlfn.XLOOKUP($D790,Fontes!$B:$B,Fontes!$J:$J))</f>
        <v>100.53</v>
      </c>
      <c r="J790" s="252">
        <f>IF($A790="M",_xlfn.XLOOKUP($D790,Mercado!$C:$C,Mercado!$J:$J),_xlfn.XLOOKUP($D790,Fontes!$B:$B,Fontes!$H:$H))</f>
        <v>104.52</v>
      </c>
      <c r="K790" s="252">
        <f>IF($A790="M",0,_xlfn.XLOOKUP($D790,Fontes!$B:$B,Fontes!$I:$I))</f>
        <v>0</v>
      </c>
      <c r="L790" s="250">
        <f t="shared" si="88"/>
        <v>205.05</v>
      </c>
      <c r="M790" s="300">
        <f t="shared" si="87"/>
        <v>205.05</v>
      </c>
      <c r="O790" s="517">
        <f t="shared" si="86"/>
        <v>205.05</v>
      </c>
    </row>
    <row r="791" spans="1:15" ht="38.4" outlineLevel="4" x14ac:dyDescent="0.3">
      <c r="A791" s="35"/>
      <c r="B791" s="36"/>
      <c r="C791" s="495" t="s">
        <v>10438</v>
      </c>
      <c r="D791" s="487">
        <v>93672</v>
      </c>
      <c r="E791" s="249" t="str">
        <f>UPPER(IF($D791=0,"",IF($A791=4,_xlfn.XLOOKUP($D791,Mercado!$C:$C,Mercado!$E:$E),_xlfn.XLOOKUP($D791,Fontes!$B:$B,Fontes!$C:$C))))</f>
        <v>SINAPI</v>
      </c>
      <c r="F791" s="328" t="s">
        <v>324</v>
      </c>
      <c r="G791" s="249" t="str">
        <f>UPPER(IF($D791=0,"",IF($A791=4,_xlfn.XLOOKUP($D791,Mercado!$C:$C,Mercado!$G:$G),_xlfn.XLOOKUP($D791,Fontes!$B:$B,Fontes!$E:$E))))</f>
        <v>UN</v>
      </c>
      <c r="H791" s="252">
        <v>1</v>
      </c>
      <c r="I791" s="252">
        <f>IF($A791="M",_xlfn.XLOOKUP($D791,Mercado!$C:$C,Mercado!$I:$I),_xlfn.XLOOKUP($D791,Fontes!$B:$B,Fontes!$J:$J))</f>
        <v>65.41</v>
      </c>
      <c r="J791" s="252">
        <f>IF($A791="M",_xlfn.XLOOKUP($D791,Mercado!$C:$C,Mercado!$J:$J),_xlfn.XLOOKUP($D791,Fontes!$B:$B,Fontes!$H:$H))</f>
        <v>21.23</v>
      </c>
      <c r="K791" s="252">
        <f>IF($A791="M",0,_xlfn.XLOOKUP($D791,Fontes!$B:$B,Fontes!$I:$I))</f>
        <v>1.88</v>
      </c>
      <c r="L791" s="250">
        <f t="shared" si="88"/>
        <v>88.52</v>
      </c>
      <c r="M791" s="300">
        <f t="shared" si="87"/>
        <v>88.52</v>
      </c>
      <c r="O791" s="517">
        <f t="shared" si="86"/>
        <v>88.52</v>
      </c>
    </row>
    <row r="792" spans="1:15" ht="38.4" outlineLevel="4" x14ac:dyDescent="0.3">
      <c r="A792" s="35"/>
      <c r="B792" s="36"/>
      <c r="C792" s="495" t="s">
        <v>10439</v>
      </c>
      <c r="D792" s="487">
        <v>681</v>
      </c>
      <c r="E792" s="249" t="str">
        <f>UPPER(IF($D792=0,"",IF($A792=4,_xlfn.XLOOKUP($D792,Mercado!$C:$C,Mercado!$E:$E),_xlfn.XLOOKUP($D792,Fontes!$B:$B,Fontes!$C:$C))))</f>
        <v>PRÓPRIO</v>
      </c>
      <c r="F792" s="335" t="s">
        <v>2640</v>
      </c>
      <c r="G792" s="249" t="str">
        <f>UPPER(IF($D792=0,"",IF($A792=4,_xlfn.XLOOKUP($D792,Mercado!$C:$C,Mercado!$G:$G),_xlfn.XLOOKUP($D792,Fontes!$B:$B,Fontes!$E:$E))))</f>
        <v>UN</v>
      </c>
      <c r="H792" s="252">
        <v>3</v>
      </c>
      <c r="I792" s="252">
        <f>IF($A792="M",_xlfn.XLOOKUP($D792,Mercado!$C:$C,Mercado!$I:$I),_xlfn.XLOOKUP($D792,Fontes!$B:$B,Fontes!$J:$J))</f>
        <v>1403.99</v>
      </c>
      <c r="J792" s="252">
        <f>IF($A792="M",_xlfn.XLOOKUP($D792,Mercado!$C:$C,Mercado!$J:$J),_xlfn.XLOOKUP($D792,Fontes!$B:$B,Fontes!$H:$H))</f>
        <v>35.119999999999997</v>
      </c>
      <c r="K792" s="252">
        <f>IF($A792="M",0,_xlfn.XLOOKUP($D792,Fontes!$B:$B,Fontes!$I:$I))</f>
        <v>0</v>
      </c>
      <c r="L792" s="250">
        <f t="shared" si="88"/>
        <v>1439.11</v>
      </c>
      <c r="M792" s="300">
        <f t="shared" si="87"/>
        <v>4317.33</v>
      </c>
      <c r="O792" s="517">
        <f t="shared" si="86"/>
        <v>4317.33</v>
      </c>
    </row>
    <row r="793" spans="1:15" outlineLevel="4" x14ac:dyDescent="0.3">
      <c r="A793" s="35"/>
      <c r="B793" s="36"/>
      <c r="C793" s="495" t="s">
        <v>10440</v>
      </c>
      <c r="D793" s="487" t="s">
        <v>2663</v>
      </c>
      <c r="E793" s="249" t="str">
        <f>UPPER(IF($D793=0,"",IF($A793=4,_xlfn.XLOOKUP($D793,Mercado!$C:$C,Mercado!$E:$E),_xlfn.XLOOKUP($D793,Fontes!$B:$B,Fontes!$C:$C))))</f>
        <v>CPOS/CDHU</v>
      </c>
      <c r="F793" s="328" t="s">
        <v>3620</v>
      </c>
      <c r="G793" s="249" t="str">
        <f>UPPER(IF($D793=0,"",IF($A793=4,_xlfn.XLOOKUP($D793,Mercado!$C:$C,Mercado!$G:$G),_xlfn.XLOOKUP($D793,Fontes!$B:$B,Fontes!$E:$E))))</f>
        <v>UN</v>
      </c>
      <c r="H793" s="252">
        <v>6</v>
      </c>
      <c r="I793" s="252">
        <f>IF($A793="M",_xlfn.XLOOKUP($D793,Mercado!$C:$C,Mercado!$I:$I),_xlfn.XLOOKUP($D793,Fontes!$B:$B,Fontes!$J:$J))</f>
        <v>5.73</v>
      </c>
      <c r="J793" s="252">
        <f>IF($A793="M",_xlfn.XLOOKUP($D793,Mercado!$C:$C,Mercado!$J:$J),_xlfn.XLOOKUP($D793,Fontes!$B:$B,Fontes!$H:$H))</f>
        <v>11.16</v>
      </c>
      <c r="K793" s="252">
        <f>IF($A793="M",0,_xlfn.XLOOKUP($D793,Fontes!$B:$B,Fontes!$I:$I))</f>
        <v>0</v>
      </c>
      <c r="L793" s="250">
        <f t="shared" si="88"/>
        <v>16.89</v>
      </c>
      <c r="M793" s="300">
        <f t="shared" si="87"/>
        <v>101.34</v>
      </c>
      <c r="O793" s="517">
        <f t="shared" si="86"/>
        <v>101.34</v>
      </c>
    </row>
    <row r="794" spans="1:15" ht="38.4" outlineLevel="4" x14ac:dyDescent="0.3">
      <c r="A794" s="35"/>
      <c r="B794" s="36"/>
      <c r="C794" s="495" t="s">
        <v>10441</v>
      </c>
      <c r="D794" s="487">
        <v>93653</v>
      </c>
      <c r="E794" s="249" t="str">
        <f>UPPER(IF($D794=0,"",IF($A794=4,_xlfn.XLOOKUP($D794,Mercado!$C:$C,Mercado!$E:$E),_xlfn.XLOOKUP($D794,Fontes!$B:$B,Fontes!$C:$C))))</f>
        <v>SINAPI</v>
      </c>
      <c r="F794" s="328" t="s">
        <v>313</v>
      </c>
      <c r="G794" s="249" t="str">
        <f>UPPER(IF($D794=0,"",IF($A794=4,_xlfn.XLOOKUP($D794,Mercado!$C:$C,Mercado!$G:$G),_xlfn.XLOOKUP($D794,Fontes!$B:$B,Fontes!$E:$E))))</f>
        <v>UN</v>
      </c>
      <c r="H794" s="252">
        <v>1</v>
      </c>
      <c r="I794" s="252">
        <f>IF($A794="M",_xlfn.XLOOKUP($D794,Mercado!$C:$C,Mercado!$I:$I),_xlfn.XLOOKUP($D794,Fontes!$B:$B,Fontes!$J:$J))</f>
        <v>9.2899999999999991</v>
      </c>
      <c r="J794" s="252">
        <f>IF($A794="M",_xlfn.XLOOKUP($D794,Mercado!$C:$C,Mercado!$J:$J),_xlfn.XLOOKUP($D794,Fontes!$B:$B,Fontes!$H:$H))</f>
        <v>1.98</v>
      </c>
      <c r="K794" s="252">
        <f>IF($A794="M",0,_xlfn.XLOOKUP($D794,Fontes!$B:$B,Fontes!$I:$I))</f>
        <v>0.18</v>
      </c>
      <c r="L794" s="250">
        <f t="shared" si="88"/>
        <v>11.45</v>
      </c>
      <c r="M794" s="300">
        <f t="shared" si="87"/>
        <v>11.45</v>
      </c>
      <c r="O794" s="517">
        <f t="shared" si="86"/>
        <v>11.45</v>
      </c>
    </row>
    <row r="795" spans="1:15" outlineLevel="4" x14ac:dyDescent="0.3">
      <c r="A795" s="35"/>
      <c r="B795" s="36"/>
      <c r="C795" s="495" t="s">
        <v>10442</v>
      </c>
      <c r="D795" s="487">
        <v>676</v>
      </c>
      <c r="E795" s="249" t="str">
        <f>UPPER(IF($D795=0,"",IF($A795=4,_xlfn.XLOOKUP($D795,Mercado!$C:$C,Mercado!$E:$E),_xlfn.XLOOKUP($D795,Fontes!$B:$B,Fontes!$C:$C))))</f>
        <v>PRÓPRIO</v>
      </c>
      <c r="F795" s="335" t="s">
        <v>2653</v>
      </c>
      <c r="G795" s="249" t="str">
        <f>UPPER(IF($D795=0,"",IF($A795=4,_xlfn.XLOOKUP($D795,Mercado!$C:$C,Mercado!$G:$G),_xlfn.XLOOKUP($D795,Fontes!$B:$B,Fontes!$E:$E))))</f>
        <v>UN</v>
      </c>
      <c r="H795" s="252">
        <v>6</v>
      </c>
      <c r="I795" s="252">
        <f>IF($A795="M",_xlfn.XLOOKUP($D795,Mercado!$C:$C,Mercado!$I:$I),_xlfn.XLOOKUP($D795,Fontes!$B:$B,Fontes!$J:$J))</f>
        <v>4.13</v>
      </c>
      <c r="J795" s="252">
        <f>IF($A795="M",_xlfn.XLOOKUP($D795,Mercado!$C:$C,Mercado!$J:$J),_xlfn.XLOOKUP($D795,Fontes!$B:$B,Fontes!$H:$H))</f>
        <v>111.66</v>
      </c>
      <c r="K795" s="252">
        <f>IF($A795="M",0,_xlfn.XLOOKUP($D795,Fontes!$B:$B,Fontes!$I:$I))</f>
        <v>0</v>
      </c>
      <c r="L795" s="250">
        <f t="shared" si="88"/>
        <v>115.78999999999999</v>
      </c>
      <c r="M795" s="300">
        <f t="shared" si="87"/>
        <v>694.74</v>
      </c>
      <c r="O795" s="517">
        <f t="shared" si="86"/>
        <v>694.74</v>
      </c>
    </row>
    <row r="796" spans="1:15" outlineLevel="4" x14ac:dyDescent="0.3">
      <c r="A796" s="35"/>
      <c r="B796" s="36"/>
      <c r="C796" s="495" t="s">
        <v>10443</v>
      </c>
      <c r="D796" s="487">
        <v>691</v>
      </c>
      <c r="E796" s="249" t="str">
        <f>UPPER(IF($D796=0,"",IF($A796=4,_xlfn.XLOOKUP($D796,Mercado!$C:$C,Mercado!$E:$E),_xlfn.XLOOKUP($D796,Fontes!$B:$B,Fontes!$C:$C))))</f>
        <v>PRÓPRIO</v>
      </c>
      <c r="F796" s="335" t="s">
        <v>2654</v>
      </c>
      <c r="G796" s="249" t="str">
        <f>UPPER(IF($D796=0,"",IF($A796=4,_xlfn.XLOOKUP($D796,Mercado!$C:$C,Mercado!$G:$G),_xlfn.XLOOKUP($D796,Fontes!$B:$B,Fontes!$E:$E))))</f>
        <v>UN</v>
      </c>
      <c r="H796" s="252">
        <v>2</v>
      </c>
      <c r="I796" s="252">
        <f>IF($A796="M",_xlfn.XLOOKUP($D796,Mercado!$C:$C,Mercado!$I:$I),_xlfn.XLOOKUP($D796,Fontes!$B:$B,Fontes!$J:$J))</f>
        <v>233.27</v>
      </c>
      <c r="J796" s="252">
        <f>IF($A796="M",_xlfn.XLOOKUP($D796,Mercado!$C:$C,Mercado!$J:$J),_xlfn.XLOOKUP($D796,Fontes!$B:$B,Fontes!$H:$H))</f>
        <v>115.36</v>
      </c>
      <c r="K796" s="252">
        <f>IF($A796="M",0,_xlfn.XLOOKUP($D796,Fontes!$B:$B,Fontes!$I:$I))</f>
        <v>10.4</v>
      </c>
      <c r="L796" s="250">
        <f t="shared" si="88"/>
        <v>359.03</v>
      </c>
      <c r="M796" s="300">
        <f t="shared" ref="M796:M827" si="89">ROUND(H796*L796,2)</f>
        <v>718.06</v>
      </c>
      <c r="O796" s="517">
        <f t="shared" si="86"/>
        <v>718.06</v>
      </c>
    </row>
    <row r="797" spans="1:15" outlineLevel="4" x14ac:dyDescent="0.3">
      <c r="A797" s="35"/>
      <c r="B797" s="36"/>
      <c r="C797" s="495" t="s">
        <v>10444</v>
      </c>
      <c r="D797" s="487">
        <v>674</v>
      </c>
      <c r="E797" s="249" t="str">
        <f>UPPER(IF($D797=0,"",IF($A797=4,_xlfn.XLOOKUP($D797,Mercado!$C:$C,Mercado!$E:$E),_xlfn.XLOOKUP($D797,Fontes!$B:$B,Fontes!$C:$C))))</f>
        <v>PRÓPRIO</v>
      </c>
      <c r="F797" s="335" t="s">
        <v>2648</v>
      </c>
      <c r="G797" s="249" t="str">
        <f>UPPER(IF($D797=0,"",IF($A797=4,_xlfn.XLOOKUP($D797,Mercado!$C:$C,Mercado!$G:$G),_xlfn.XLOOKUP($D797,Fontes!$B:$B,Fontes!$E:$E))))</f>
        <v>UN</v>
      </c>
      <c r="H797" s="252">
        <v>2</v>
      </c>
      <c r="I797" s="252">
        <f>IF($A797="M",_xlfn.XLOOKUP($D797,Mercado!$C:$C,Mercado!$I:$I),_xlfn.XLOOKUP($D797,Fontes!$B:$B,Fontes!$J:$J))</f>
        <v>148.36000000000001</v>
      </c>
      <c r="J797" s="252">
        <f>IF($A797="M",_xlfn.XLOOKUP($D797,Mercado!$C:$C,Mercado!$J:$J),_xlfn.XLOOKUP($D797,Fontes!$B:$B,Fontes!$H:$H))</f>
        <v>161.91</v>
      </c>
      <c r="K797" s="252">
        <f>IF($A797="M",0,_xlfn.XLOOKUP($D797,Fontes!$B:$B,Fontes!$I:$I))</f>
        <v>0</v>
      </c>
      <c r="L797" s="250">
        <f t="shared" si="88"/>
        <v>310.27</v>
      </c>
      <c r="M797" s="300">
        <f t="shared" si="89"/>
        <v>620.54</v>
      </c>
      <c r="O797" s="517">
        <f t="shared" si="86"/>
        <v>620.54</v>
      </c>
    </row>
    <row r="798" spans="1:15" outlineLevel="4" x14ac:dyDescent="0.3">
      <c r="A798" s="35"/>
      <c r="B798" s="36"/>
      <c r="C798" s="495" t="s">
        <v>10445</v>
      </c>
      <c r="D798" s="487">
        <v>3803</v>
      </c>
      <c r="E798" s="249" t="str">
        <f>UPPER(IF($D798=0,"",IF($A798=4,_xlfn.XLOOKUP($D798,Mercado!$C:$C,Mercado!$E:$E),_xlfn.XLOOKUP($D798,Fontes!$B:$B,Fontes!$C:$C))))</f>
        <v>ORSE</v>
      </c>
      <c r="F798" s="335" t="s">
        <v>2655</v>
      </c>
      <c r="G798" s="249" t="str">
        <f>UPPER(IF($D798=0,"",IF($A798=4,_xlfn.XLOOKUP($D798,Mercado!$C:$C,Mercado!$G:$G),_xlfn.XLOOKUP($D798,Fontes!$B:$B,Fontes!$E:$E))))</f>
        <v>UN</v>
      </c>
      <c r="H798" s="252">
        <v>1</v>
      </c>
      <c r="I798" s="252">
        <f>IF($A798="M",_xlfn.XLOOKUP($D798,Mercado!$C:$C,Mercado!$I:$I),_xlfn.XLOOKUP($D798,Fontes!$B:$B,Fontes!$J:$J))</f>
        <v>58.03</v>
      </c>
      <c r="J798" s="252">
        <f>IF($A798="M",_xlfn.XLOOKUP($D798,Mercado!$C:$C,Mercado!$J:$J),_xlfn.XLOOKUP($D798,Fontes!$B:$B,Fontes!$H:$H))</f>
        <v>19.239999999999998</v>
      </c>
      <c r="K798" s="252">
        <f>IF($A798="M",0,_xlfn.XLOOKUP($D798,Fontes!$B:$B,Fontes!$I:$I))</f>
        <v>0</v>
      </c>
      <c r="L798" s="250">
        <f t="shared" si="88"/>
        <v>77.27</v>
      </c>
      <c r="M798" s="300">
        <f t="shared" si="89"/>
        <v>77.27</v>
      </c>
      <c r="O798" s="517">
        <f t="shared" si="86"/>
        <v>77.27</v>
      </c>
    </row>
    <row r="799" spans="1:15" outlineLevel="4" x14ac:dyDescent="0.3">
      <c r="A799" s="35"/>
      <c r="B799" s="36"/>
      <c r="C799" s="495" t="s">
        <v>10446</v>
      </c>
      <c r="D799" s="487" t="s">
        <v>2701</v>
      </c>
      <c r="E799" s="249" t="str">
        <f>UPPER(IF($D799=0,"",IF($A799=4,_xlfn.XLOOKUP($D799,Mercado!$C:$C,Mercado!$E:$E),_xlfn.XLOOKUP($D799,Fontes!$B:$B,Fontes!$C:$C))))</f>
        <v>CPOS/CDHU</v>
      </c>
      <c r="F799" s="328" t="s">
        <v>3621</v>
      </c>
      <c r="G799" s="249" t="str">
        <f>UPPER(IF($D799=0,"",IF($A799=4,_xlfn.XLOOKUP($D799,Mercado!$C:$C,Mercado!$G:$G),_xlfn.XLOOKUP($D799,Fontes!$B:$B,Fontes!$E:$E))))</f>
        <v>UN</v>
      </c>
      <c r="H799" s="252">
        <v>1</v>
      </c>
      <c r="I799" s="252">
        <f>IF($A799="M",_xlfn.XLOOKUP($D799,Mercado!$C:$C,Mercado!$I:$I),_xlfn.XLOOKUP($D799,Fontes!$B:$B,Fontes!$J:$J))</f>
        <v>51.77</v>
      </c>
      <c r="J799" s="252">
        <f>IF($A799="M",_xlfn.XLOOKUP($D799,Mercado!$C:$C,Mercado!$J:$J),_xlfn.XLOOKUP($D799,Fontes!$B:$B,Fontes!$H:$H))</f>
        <v>44.67</v>
      </c>
      <c r="K799" s="252">
        <f>IF($A799="M",0,_xlfn.XLOOKUP($D799,Fontes!$B:$B,Fontes!$I:$I))</f>
        <v>0</v>
      </c>
      <c r="L799" s="250">
        <f t="shared" si="88"/>
        <v>96.44</v>
      </c>
      <c r="M799" s="300">
        <f t="shared" si="89"/>
        <v>96.44</v>
      </c>
      <c r="O799" s="517">
        <f t="shared" si="86"/>
        <v>96.44</v>
      </c>
    </row>
    <row r="800" spans="1:15" outlineLevel="4" x14ac:dyDescent="0.3">
      <c r="A800" s="35"/>
      <c r="B800" s="36"/>
      <c r="C800" s="495" t="s">
        <v>10447</v>
      </c>
      <c r="D800" s="487">
        <v>685</v>
      </c>
      <c r="E800" s="249" t="str">
        <f>UPPER(IF($D800=0,"",IF($A800=4,_xlfn.XLOOKUP($D800,Mercado!$C:$C,Mercado!$E:$E),_xlfn.XLOOKUP($D800,Fontes!$B:$B,Fontes!$C:$C))))</f>
        <v>PRÓPRIO</v>
      </c>
      <c r="F800" s="335" t="s">
        <v>2651</v>
      </c>
      <c r="G800" s="249" t="str">
        <f>UPPER(IF($D800=0,"",IF($A800=4,_xlfn.XLOOKUP($D800,Mercado!$C:$C,Mercado!$G:$G),_xlfn.XLOOKUP($D800,Fontes!$B:$B,Fontes!$E:$E))))</f>
        <v>UN</v>
      </c>
      <c r="H800" s="252">
        <v>2</v>
      </c>
      <c r="I800" s="252">
        <f>IF($A800="M",_xlfn.XLOOKUP($D800,Mercado!$C:$C,Mercado!$I:$I),_xlfn.XLOOKUP($D800,Fontes!$B:$B,Fontes!$J:$J))</f>
        <v>65.81</v>
      </c>
      <c r="J800" s="252">
        <f>IF($A800="M",_xlfn.XLOOKUP($D800,Mercado!$C:$C,Mercado!$J:$J),_xlfn.XLOOKUP($D800,Fontes!$B:$B,Fontes!$H:$H))</f>
        <v>2.4900000000000002</v>
      </c>
      <c r="K800" s="252">
        <f>IF($A800="M",0,_xlfn.XLOOKUP($D800,Fontes!$B:$B,Fontes!$I:$I))</f>
        <v>0.25</v>
      </c>
      <c r="L800" s="250">
        <f t="shared" si="88"/>
        <v>68.55</v>
      </c>
      <c r="M800" s="300">
        <f t="shared" si="89"/>
        <v>137.1</v>
      </c>
      <c r="O800" s="517">
        <f t="shared" si="86"/>
        <v>137.1</v>
      </c>
    </row>
    <row r="801" spans="1:15" ht="38.4" outlineLevel="4" x14ac:dyDescent="0.3">
      <c r="A801" s="35"/>
      <c r="B801" s="36"/>
      <c r="C801" s="495" t="s">
        <v>10448</v>
      </c>
      <c r="D801" s="487">
        <v>3805</v>
      </c>
      <c r="E801" s="249" t="str">
        <f>UPPER(IF($D801=0,"",IF($A801=4,_xlfn.XLOOKUP($D801,Mercado!$C:$C,Mercado!$E:$E),_xlfn.XLOOKUP($D801,Fontes!$B:$B,Fontes!$C:$C))))</f>
        <v>ORSE</v>
      </c>
      <c r="F801" s="328" t="s">
        <v>3622</v>
      </c>
      <c r="G801" s="249" t="str">
        <f>UPPER(IF($D801=0,"",IF($A801=4,_xlfn.XLOOKUP($D801,Mercado!$C:$C,Mercado!$G:$G),_xlfn.XLOOKUP($D801,Fontes!$B:$B,Fontes!$E:$E))))</f>
        <v>UN</v>
      </c>
      <c r="H801" s="252">
        <v>2</v>
      </c>
      <c r="I801" s="252">
        <f>IF($A801="M",_xlfn.XLOOKUP($D801,Mercado!$C:$C,Mercado!$I:$I),_xlfn.XLOOKUP($D801,Fontes!$B:$B,Fontes!$J:$J))</f>
        <v>107.85</v>
      </c>
      <c r="J801" s="252">
        <f>IF($A801="M",_xlfn.XLOOKUP($D801,Mercado!$C:$C,Mercado!$J:$J),_xlfn.XLOOKUP($D801,Fontes!$B:$B,Fontes!$H:$H))</f>
        <v>19.239999999999998</v>
      </c>
      <c r="K801" s="252">
        <f>IF($A801="M",0,_xlfn.XLOOKUP($D801,Fontes!$B:$B,Fontes!$I:$I))</f>
        <v>0</v>
      </c>
      <c r="L801" s="250">
        <f t="shared" si="88"/>
        <v>127.08999999999999</v>
      </c>
      <c r="M801" s="300">
        <f t="shared" si="89"/>
        <v>254.18</v>
      </c>
      <c r="O801" s="517">
        <f t="shared" si="86"/>
        <v>254.18</v>
      </c>
    </row>
    <row r="802" spans="1:15" outlineLevel="4" x14ac:dyDescent="0.3">
      <c r="A802" s="35"/>
      <c r="B802" s="36"/>
      <c r="C802" s="495" t="s">
        <v>10449</v>
      </c>
      <c r="D802" s="487" t="s">
        <v>1842</v>
      </c>
      <c r="E802" s="249" t="str">
        <f>UPPER(IF($D802=0,"",IF($A802=4,_xlfn.XLOOKUP($D802,Mercado!$C:$C,Mercado!$E:$E),_xlfn.XLOOKUP($D802,Fontes!$B:$B,Fontes!$C:$C))))</f>
        <v>CPOS/CDHU</v>
      </c>
      <c r="F802" s="328" t="s">
        <v>3594</v>
      </c>
      <c r="G802" s="249" t="str">
        <f>UPPER(IF($D802=0,"",IF($A802=4,_xlfn.XLOOKUP($D802,Mercado!$C:$C,Mercado!$G:$G),_xlfn.XLOOKUP($D802,Fontes!$B:$B,Fontes!$E:$E))))</f>
        <v>UN</v>
      </c>
      <c r="H802" s="252">
        <v>2</v>
      </c>
      <c r="I802" s="252">
        <f>IF($A802="M",_xlfn.XLOOKUP($D802,Mercado!$C:$C,Mercado!$I:$I),_xlfn.XLOOKUP($D802,Fontes!$B:$B,Fontes!$J:$J))</f>
        <v>457.28</v>
      </c>
      <c r="J802" s="252">
        <f>IF($A802="M",_xlfn.XLOOKUP($D802,Mercado!$C:$C,Mercado!$J:$J),_xlfn.XLOOKUP($D802,Fontes!$B:$B,Fontes!$H:$H))</f>
        <v>16.75</v>
      </c>
      <c r="K802" s="252">
        <f>IF($A802="M",0,_xlfn.XLOOKUP($D802,Fontes!$B:$B,Fontes!$I:$I))</f>
        <v>0</v>
      </c>
      <c r="L802" s="250">
        <f t="shared" si="88"/>
        <v>474.03</v>
      </c>
      <c r="M802" s="300">
        <f t="shared" si="89"/>
        <v>948.06</v>
      </c>
      <c r="O802" s="517">
        <f t="shared" ref="O802:O865" si="90">IF(D802&lt;&gt;0,M802,"")</f>
        <v>948.06</v>
      </c>
    </row>
    <row r="803" spans="1:15" outlineLevel="4" x14ac:dyDescent="0.3">
      <c r="A803" s="35"/>
      <c r="B803" s="36"/>
      <c r="C803" s="495" t="s">
        <v>10450</v>
      </c>
      <c r="D803" s="487">
        <v>688</v>
      </c>
      <c r="E803" s="249" t="str">
        <f>UPPER(IF($D803=0,"",IF($A803=4,_xlfn.XLOOKUP($D803,Mercado!$C:$C,Mercado!$E:$E),_xlfn.XLOOKUP($D803,Fontes!$B:$B,Fontes!$C:$C))))</f>
        <v>PRÓPRIO</v>
      </c>
      <c r="F803" s="335" t="s">
        <v>2656</v>
      </c>
      <c r="G803" s="249" t="str">
        <f>UPPER(IF($D803=0,"",IF($A803=4,_xlfn.XLOOKUP($D803,Mercado!$C:$C,Mercado!$G:$G),_xlfn.XLOOKUP($D803,Fontes!$B:$B,Fontes!$E:$E))))</f>
        <v>UN</v>
      </c>
      <c r="H803" s="252">
        <v>2</v>
      </c>
      <c r="I803" s="252">
        <f>IF($A803="M",_xlfn.XLOOKUP($D803,Mercado!$C:$C,Mercado!$I:$I),_xlfn.XLOOKUP($D803,Fontes!$B:$B,Fontes!$J:$J))</f>
        <v>160.4</v>
      </c>
      <c r="J803" s="252">
        <f>IF($A803="M",_xlfn.XLOOKUP($D803,Mercado!$C:$C,Mercado!$J:$J),_xlfn.XLOOKUP($D803,Fontes!$B:$B,Fontes!$H:$H))</f>
        <v>115.36</v>
      </c>
      <c r="K803" s="252">
        <f>IF($A803="M",0,_xlfn.XLOOKUP($D803,Fontes!$B:$B,Fontes!$I:$I))</f>
        <v>10.4</v>
      </c>
      <c r="L803" s="250">
        <f t="shared" si="88"/>
        <v>286.15999999999997</v>
      </c>
      <c r="M803" s="300">
        <f t="shared" si="89"/>
        <v>572.32000000000005</v>
      </c>
      <c r="O803" s="517">
        <f t="shared" si="90"/>
        <v>572.32000000000005</v>
      </c>
    </row>
    <row r="804" spans="1:15" ht="76.8" outlineLevel="4" x14ac:dyDescent="0.3">
      <c r="A804" s="35"/>
      <c r="B804" s="36"/>
      <c r="C804" s="495" t="s">
        <v>10451</v>
      </c>
      <c r="D804" s="487">
        <v>101879</v>
      </c>
      <c r="E804" s="249" t="str">
        <f>UPPER(IF($D804=0,"",IF($A804=4,_xlfn.XLOOKUP($D804,Mercado!$C:$C,Mercado!$E:$E),_xlfn.XLOOKUP($D804,Fontes!$B:$B,Fontes!$C:$C))))</f>
        <v>SINAPI</v>
      </c>
      <c r="F804" s="328" t="s">
        <v>326</v>
      </c>
      <c r="G804" s="249" t="str">
        <f>UPPER(IF($D804=0,"",IF($A804=4,_xlfn.XLOOKUP($D804,Mercado!$C:$C,Mercado!$G:$G),_xlfn.XLOOKUP($D804,Fontes!$B:$B,Fontes!$E:$E))))</f>
        <v>UN</v>
      </c>
      <c r="H804" s="252">
        <v>1</v>
      </c>
      <c r="I804" s="252">
        <f>IF($A804="M",_xlfn.XLOOKUP($D804,Mercado!$C:$C,Mercado!$I:$I),_xlfn.XLOOKUP($D804,Fontes!$B:$B,Fontes!$J:$J))</f>
        <v>488.86</v>
      </c>
      <c r="J804" s="252">
        <f>IF($A804="M",_xlfn.XLOOKUP($D804,Mercado!$C:$C,Mercado!$J:$J),_xlfn.XLOOKUP($D804,Fontes!$B:$B,Fontes!$H:$H))</f>
        <v>95.91</v>
      </c>
      <c r="K804" s="252">
        <f>IF($A804="M",0,_xlfn.XLOOKUP($D804,Fontes!$B:$B,Fontes!$I:$I))</f>
        <v>8.5399999999999991</v>
      </c>
      <c r="L804" s="250">
        <f t="shared" si="88"/>
        <v>593.30999999999995</v>
      </c>
      <c r="M804" s="300">
        <f t="shared" si="89"/>
        <v>593.30999999999995</v>
      </c>
      <c r="O804" s="517">
        <f t="shared" si="90"/>
        <v>593.30999999999995</v>
      </c>
    </row>
    <row r="805" spans="1:15" outlineLevel="4" x14ac:dyDescent="0.3">
      <c r="A805" s="36" t="s">
        <v>7</v>
      </c>
      <c r="B805" s="36"/>
      <c r="C805" s="495" t="s">
        <v>781</v>
      </c>
      <c r="D805" s="487"/>
      <c r="E805" s="249" t="str">
        <f>UPPER(IF($D805=0,"",IF($A805=4,_xlfn.XLOOKUP($D805,Mercado!$C:$C,Mercado!$E:$E),_xlfn.XLOOKUP($D805,Fontes!$B:$B,Fontes!$C:$C))))</f>
        <v/>
      </c>
      <c r="F805" s="336" t="s">
        <v>781</v>
      </c>
      <c r="G805" s="249"/>
      <c r="H805" s="252"/>
      <c r="I805" s="252">
        <f>IF($A805="M",_xlfn.XLOOKUP($D805,Mercado!$C:$C,Mercado!$I:$I),_xlfn.XLOOKUP($D805,Fontes!$B:$B,Fontes!$J:$J))</f>
        <v>0</v>
      </c>
      <c r="J805" s="252">
        <f>IF($A805="M",_xlfn.XLOOKUP($D805,Mercado!$C:$C,Mercado!$J:$J),_xlfn.XLOOKUP($D805,Fontes!$B:$B,Fontes!$H:$H))</f>
        <v>0</v>
      </c>
      <c r="K805" s="252">
        <f>IF($A805="M",0,_xlfn.XLOOKUP($D805,Fontes!$B:$B,Fontes!$I:$I))</f>
        <v>0</v>
      </c>
      <c r="L805" s="250">
        <f t="shared" si="88"/>
        <v>0</v>
      </c>
      <c r="M805" s="300">
        <f t="shared" si="89"/>
        <v>0</v>
      </c>
      <c r="O805" s="517" t="str">
        <f t="shared" si="90"/>
        <v/>
      </c>
    </row>
    <row r="806" spans="1:15" s="261" customFormat="1" outlineLevel="4" x14ac:dyDescent="0.3">
      <c r="A806" s="36" t="s">
        <v>7</v>
      </c>
      <c r="B806" s="35"/>
      <c r="C806" s="499" t="s">
        <v>10452</v>
      </c>
      <c r="D806" s="492"/>
      <c r="E806" s="249" t="str">
        <f>UPPER(IF($D806=0,"",IF($A806=4,_xlfn.XLOOKUP($D806,Mercado!$C:$C,Mercado!$E:$E),_xlfn.XLOOKUP($D806,Fontes!$B:$B,Fontes!$C:$C))))</f>
        <v/>
      </c>
      <c r="F806" s="330" t="s">
        <v>1845</v>
      </c>
      <c r="G806" s="257"/>
      <c r="H806" s="259"/>
      <c r="I806" s="259">
        <f>IF($A806="M",_xlfn.XLOOKUP($D806,Mercado!$C:$C,Mercado!$I:$I),_xlfn.XLOOKUP($D806,Fontes!$B:$B,Fontes!$J:$J))</f>
        <v>0</v>
      </c>
      <c r="J806" s="259">
        <f>IF($A806="M",_xlfn.XLOOKUP($D806,Mercado!$C:$C,Mercado!$J:$J),_xlfn.XLOOKUP($D806,Fontes!$B:$B,Fontes!$H:$H))</f>
        <v>0</v>
      </c>
      <c r="K806" s="259">
        <f>IF($A806="M",0,_xlfn.XLOOKUP($D806,Fontes!$B:$B,Fontes!$I:$I))</f>
        <v>0</v>
      </c>
      <c r="L806" s="259">
        <f t="shared" si="88"/>
        <v>0</v>
      </c>
      <c r="M806" s="500">
        <f t="shared" si="89"/>
        <v>0</v>
      </c>
      <c r="N806" s="247"/>
      <c r="O806" s="517" t="str">
        <f t="shared" si="90"/>
        <v/>
      </c>
    </row>
    <row r="807" spans="1:15" ht="38.4" outlineLevel="4" x14ac:dyDescent="0.3">
      <c r="A807" s="35"/>
      <c r="B807" s="36"/>
      <c r="C807" s="495" t="s">
        <v>10453</v>
      </c>
      <c r="D807" s="487">
        <v>93671</v>
      </c>
      <c r="E807" s="249" t="str">
        <f>UPPER(IF($D807=0,"",IF($A807=4,_xlfn.XLOOKUP($D807,Mercado!$C:$C,Mercado!$E:$E),_xlfn.XLOOKUP($D807,Fontes!$B:$B,Fontes!$C:$C))))</f>
        <v>SINAPI</v>
      </c>
      <c r="F807" s="327" t="s">
        <v>323</v>
      </c>
      <c r="G807" s="249" t="str">
        <f>UPPER(IF($D807=0,"",IF($A807=4,_xlfn.XLOOKUP($D807,Mercado!$C:$C,Mercado!$G:$G),_xlfn.XLOOKUP($D807,Fontes!$B:$B,Fontes!$E:$E))))</f>
        <v>UN</v>
      </c>
      <c r="H807" s="252">
        <v>1</v>
      </c>
      <c r="I807" s="252">
        <f>IF($A807="M",_xlfn.XLOOKUP($D807,Mercado!$C:$C,Mercado!$I:$I),_xlfn.XLOOKUP($D807,Fontes!$B:$B,Fontes!$J:$J))</f>
        <v>63.11</v>
      </c>
      <c r="J807" s="252">
        <f>IF($A807="M",_xlfn.XLOOKUP($D807,Mercado!$C:$C,Mercado!$J:$J),_xlfn.XLOOKUP($D807,Fontes!$B:$B,Fontes!$H:$H))</f>
        <v>14.5</v>
      </c>
      <c r="K807" s="252">
        <f>IF($A807="M",0,_xlfn.XLOOKUP($D807,Fontes!$B:$B,Fontes!$I:$I))</f>
        <v>1.28</v>
      </c>
      <c r="L807" s="250">
        <f t="shared" si="88"/>
        <v>78.89</v>
      </c>
      <c r="M807" s="300">
        <f t="shared" si="89"/>
        <v>78.89</v>
      </c>
      <c r="O807" s="517">
        <f t="shared" si="90"/>
        <v>78.89</v>
      </c>
    </row>
    <row r="808" spans="1:15" ht="38.4" outlineLevel="4" x14ac:dyDescent="0.3">
      <c r="A808" s="35"/>
      <c r="B808" s="36"/>
      <c r="C808" s="495" t="s">
        <v>10454</v>
      </c>
      <c r="D808" s="487">
        <v>93669</v>
      </c>
      <c r="E808" s="249" t="str">
        <f>UPPER(IF($D808=0,"",IF($A808=4,_xlfn.XLOOKUP($D808,Mercado!$C:$C,Mercado!$E:$E),_xlfn.XLOOKUP($D808,Fontes!$B:$B,Fontes!$C:$C))))</f>
        <v>SINAPI</v>
      </c>
      <c r="F808" s="327" t="s">
        <v>321</v>
      </c>
      <c r="G808" s="249" t="str">
        <f>UPPER(IF($D808=0,"",IF($A808=4,_xlfn.XLOOKUP($D808,Mercado!$C:$C,Mercado!$G:$G),_xlfn.XLOOKUP($D808,Fontes!$B:$B,Fontes!$E:$E))))</f>
        <v>UN</v>
      </c>
      <c r="H808" s="252">
        <v>1</v>
      </c>
      <c r="I808" s="252">
        <f>IF($A808="M",_xlfn.XLOOKUP($D808,Mercado!$C:$C,Mercado!$I:$I),_xlfn.XLOOKUP($D808,Fontes!$B:$B,Fontes!$J:$J))</f>
        <v>60.43</v>
      </c>
      <c r="J808" s="252">
        <f>IF($A808="M",_xlfn.XLOOKUP($D808,Mercado!$C:$C,Mercado!$J:$J),_xlfn.XLOOKUP($D808,Fontes!$B:$B,Fontes!$H:$H))</f>
        <v>7.83</v>
      </c>
      <c r="K808" s="252">
        <f>IF($A808="M",0,_xlfn.XLOOKUP($D808,Fontes!$B:$B,Fontes!$I:$I))</f>
        <v>0.7</v>
      </c>
      <c r="L808" s="250">
        <f t="shared" si="88"/>
        <v>68.960000000000008</v>
      </c>
      <c r="M808" s="300">
        <f t="shared" si="89"/>
        <v>68.959999999999994</v>
      </c>
      <c r="O808" s="517">
        <f t="shared" si="90"/>
        <v>68.959999999999994</v>
      </c>
    </row>
    <row r="809" spans="1:15" ht="38.4" outlineLevel="4" x14ac:dyDescent="0.3">
      <c r="A809" s="35"/>
      <c r="B809" s="36"/>
      <c r="C809" s="495" t="s">
        <v>10455</v>
      </c>
      <c r="D809" s="487">
        <v>93672</v>
      </c>
      <c r="E809" s="249" t="str">
        <f>UPPER(IF($D809=0,"",IF($A809=4,_xlfn.XLOOKUP($D809,Mercado!$C:$C,Mercado!$E:$E),_xlfn.XLOOKUP($D809,Fontes!$B:$B,Fontes!$C:$C))))</f>
        <v>SINAPI</v>
      </c>
      <c r="F809" s="327" t="s">
        <v>324</v>
      </c>
      <c r="G809" s="249" t="str">
        <f>UPPER(IF($D809=0,"",IF($A809=4,_xlfn.XLOOKUP($D809,Mercado!$C:$C,Mercado!$G:$G),_xlfn.XLOOKUP($D809,Fontes!$B:$B,Fontes!$E:$E))))</f>
        <v>UN</v>
      </c>
      <c r="H809" s="252">
        <v>1</v>
      </c>
      <c r="I809" s="252">
        <f>IF($A809="M",_xlfn.XLOOKUP($D809,Mercado!$C:$C,Mercado!$I:$I),_xlfn.XLOOKUP($D809,Fontes!$B:$B,Fontes!$J:$J))</f>
        <v>65.41</v>
      </c>
      <c r="J809" s="252">
        <f>IF($A809="M",_xlfn.XLOOKUP($D809,Mercado!$C:$C,Mercado!$J:$J),_xlfn.XLOOKUP($D809,Fontes!$B:$B,Fontes!$H:$H))</f>
        <v>21.23</v>
      </c>
      <c r="K809" s="252">
        <f>IF($A809="M",0,_xlfn.XLOOKUP($D809,Fontes!$B:$B,Fontes!$I:$I))</f>
        <v>1.88</v>
      </c>
      <c r="L809" s="250">
        <f t="shared" si="88"/>
        <v>88.52</v>
      </c>
      <c r="M809" s="300">
        <f t="shared" si="89"/>
        <v>88.52</v>
      </c>
      <c r="O809" s="517">
        <f t="shared" si="90"/>
        <v>88.52</v>
      </c>
    </row>
    <row r="810" spans="1:15" ht="38.4" outlineLevel="4" x14ac:dyDescent="0.3">
      <c r="A810" s="35"/>
      <c r="B810" s="36"/>
      <c r="C810" s="495" t="s">
        <v>10456</v>
      </c>
      <c r="D810" s="487">
        <v>681</v>
      </c>
      <c r="E810" s="249" t="str">
        <f>UPPER(IF($D810=0,"",IF($A810=4,_xlfn.XLOOKUP($D810,Mercado!$C:$C,Mercado!$E:$E),_xlfn.XLOOKUP($D810,Fontes!$B:$B,Fontes!$C:$C))))</f>
        <v>PRÓPRIO</v>
      </c>
      <c r="F810" s="335" t="s">
        <v>2640</v>
      </c>
      <c r="G810" s="249" t="str">
        <f>UPPER(IF($D810=0,"",IF($A810=4,_xlfn.XLOOKUP($D810,Mercado!$C:$C,Mercado!$G:$G),_xlfn.XLOOKUP($D810,Fontes!$B:$B,Fontes!$E:$E))))</f>
        <v>UN</v>
      </c>
      <c r="H810" s="252">
        <v>3</v>
      </c>
      <c r="I810" s="252">
        <f>IF($A810="M",_xlfn.XLOOKUP($D810,Mercado!$C:$C,Mercado!$I:$I),_xlfn.XLOOKUP($D810,Fontes!$B:$B,Fontes!$J:$J))</f>
        <v>1403.99</v>
      </c>
      <c r="J810" s="252">
        <f>IF($A810="M",_xlfn.XLOOKUP($D810,Mercado!$C:$C,Mercado!$J:$J),_xlfn.XLOOKUP($D810,Fontes!$B:$B,Fontes!$H:$H))</f>
        <v>35.119999999999997</v>
      </c>
      <c r="K810" s="252">
        <f>IF($A810="M",0,_xlfn.XLOOKUP($D810,Fontes!$B:$B,Fontes!$I:$I))</f>
        <v>0</v>
      </c>
      <c r="L810" s="250">
        <f t="shared" si="88"/>
        <v>1439.11</v>
      </c>
      <c r="M810" s="300">
        <f t="shared" si="89"/>
        <v>4317.33</v>
      </c>
      <c r="O810" s="517">
        <f t="shared" si="90"/>
        <v>4317.33</v>
      </c>
    </row>
    <row r="811" spans="1:15" outlineLevel="4" x14ac:dyDescent="0.3">
      <c r="A811" s="35"/>
      <c r="B811" s="36"/>
      <c r="C811" s="495" t="s">
        <v>10457</v>
      </c>
      <c r="D811" s="487" t="s">
        <v>2664</v>
      </c>
      <c r="E811" s="249" t="str">
        <f>UPPER(IF($D811=0,"",IF($A811=4,_xlfn.XLOOKUP($D811,Mercado!$C:$C,Mercado!$E:$E),_xlfn.XLOOKUP($D811,Fontes!$B:$B,Fontes!$C:$C))))</f>
        <v>CPOS/CDHU</v>
      </c>
      <c r="F811" s="328" t="s">
        <v>3615</v>
      </c>
      <c r="G811" s="249" t="str">
        <f>UPPER(IF($D811=0,"",IF($A811=4,_xlfn.XLOOKUP($D811,Mercado!$C:$C,Mercado!$G:$G),_xlfn.XLOOKUP($D811,Fontes!$B:$B,Fontes!$E:$E))))</f>
        <v>UN</v>
      </c>
      <c r="H811" s="252">
        <v>2</v>
      </c>
      <c r="I811" s="252">
        <f>IF($A811="M",_xlfn.XLOOKUP($D811,Mercado!$C:$C,Mercado!$I:$I),_xlfn.XLOOKUP($D811,Fontes!$B:$B,Fontes!$J:$J))</f>
        <v>279.5</v>
      </c>
      <c r="J811" s="252">
        <f>IF($A811="M",_xlfn.XLOOKUP($D811,Mercado!$C:$C,Mercado!$J:$J),_xlfn.XLOOKUP($D811,Fontes!$B:$B,Fontes!$H:$H))</f>
        <v>13.96</v>
      </c>
      <c r="K811" s="252">
        <f>IF($A811="M",0,_xlfn.XLOOKUP($D811,Fontes!$B:$B,Fontes!$I:$I))</f>
        <v>0</v>
      </c>
      <c r="L811" s="250">
        <f t="shared" si="88"/>
        <v>293.45999999999998</v>
      </c>
      <c r="M811" s="300">
        <f t="shared" si="89"/>
        <v>586.91999999999996</v>
      </c>
      <c r="O811" s="517">
        <f t="shared" si="90"/>
        <v>586.91999999999996</v>
      </c>
    </row>
    <row r="812" spans="1:15" ht="38.4" outlineLevel="4" x14ac:dyDescent="0.3">
      <c r="A812" s="35"/>
      <c r="B812" s="36"/>
      <c r="C812" s="495" t="s">
        <v>10458</v>
      </c>
      <c r="D812" s="487">
        <v>93654</v>
      </c>
      <c r="E812" s="249" t="str">
        <f>UPPER(IF($D812=0,"",IF($A812=4,_xlfn.XLOOKUP($D812,Mercado!$C:$C,Mercado!$E:$E),_xlfn.XLOOKUP($D812,Fontes!$B:$B,Fontes!$C:$C))))</f>
        <v>SINAPI</v>
      </c>
      <c r="F812" s="328" t="s">
        <v>314</v>
      </c>
      <c r="G812" s="249" t="str">
        <f>UPPER(IF($D812=0,"",IF($A812=4,_xlfn.XLOOKUP($D812,Mercado!$C:$C,Mercado!$G:$G),_xlfn.XLOOKUP($D812,Fontes!$B:$B,Fontes!$E:$E))))</f>
        <v>UN</v>
      </c>
      <c r="H812" s="252">
        <v>1</v>
      </c>
      <c r="I812" s="252">
        <f>IF($A812="M",_xlfn.XLOOKUP($D812,Mercado!$C:$C,Mercado!$I:$I),_xlfn.XLOOKUP($D812,Fontes!$B:$B,Fontes!$J:$J))</f>
        <v>9.2899999999999991</v>
      </c>
      <c r="J812" s="252">
        <f>IF($A812="M",_xlfn.XLOOKUP($D812,Mercado!$C:$C,Mercado!$J:$J),_xlfn.XLOOKUP($D812,Fontes!$B:$B,Fontes!$H:$H))</f>
        <v>1.98</v>
      </c>
      <c r="K812" s="252">
        <f>IF($A812="M",0,_xlfn.XLOOKUP($D812,Fontes!$B:$B,Fontes!$I:$I))</f>
        <v>0.18</v>
      </c>
      <c r="L812" s="250">
        <f t="shared" si="88"/>
        <v>11.45</v>
      </c>
      <c r="M812" s="300">
        <f t="shared" si="89"/>
        <v>11.45</v>
      </c>
      <c r="O812" s="517">
        <f t="shared" si="90"/>
        <v>11.45</v>
      </c>
    </row>
    <row r="813" spans="1:15" ht="38.4" outlineLevel="4" x14ac:dyDescent="0.3">
      <c r="A813" s="35"/>
      <c r="B813" s="36"/>
      <c r="C813" s="495" t="s">
        <v>10459</v>
      </c>
      <c r="D813" s="487">
        <v>93661</v>
      </c>
      <c r="E813" s="249" t="str">
        <f>UPPER(IF($D813=0,"",IF($A813=4,_xlfn.XLOOKUP($D813,Mercado!$C:$C,Mercado!$E:$E),_xlfn.XLOOKUP($D813,Fontes!$B:$B,Fontes!$C:$C))))</f>
        <v>SINAPI</v>
      </c>
      <c r="F813" s="328" t="s">
        <v>316</v>
      </c>
      <c r="G813" s="249" t="str">
        <f>UPPER(IF($D813=0,"",IF($A813=4,_xlfn.XLOOKUP($D813,Mercado!$C:$C,Mercado!$G:$G),_xlfn.XLOOKUP($D813,Fontes!$B:$B,Fontes!$E:$E))))</f>
        <v>UN</v>
      </c>
      <c r="H813" s="252">
        <v>1</v>
      </c>
      <c r="I813" s="252">
        <f>IF($A813="M",_xlfn.XLOOKUP($D813,Mercado!$C:$C,Mercado!$I:$I),_xlfn.XLOOKUP($D813,Fontes!$B:$B,Fontes!$J:$J))</f>
        <v>47.45</v>
      </c>
      <c r="J813" s="252">
        <f>IF($A813="M",_xlfn.XLOOKUP($D813,Mercado!$C:$C,Mercado!$J:$J),_xlfn.XLOOKUP($D813,Fontes!$B:$B,Fontes!$H:$H))</f>
        <v>3.94</v>
      </c>
      <c r="K813" s="252">
        <f>IF($A813="M",0,_xlfn.XLOOKUP($D813,Fontes!$B:$B,Fontes!$I:$I))</f>
        <v>0.34</v>
      </c>
      <c r="L813" s="250">
        <f t="shared" si="88"/>
        <v>51.730000000000004</v>
      </c>
      <c r="M813" s="300">
        <f t="shared" si="89"/>
        <v>51.73</v>
      </c>
      <c r="O813" s="517">
        <f t="shared" si="90"/>
        <v>51.73</v>
      </c>
    </row>
    <row r="814" spans="1:15" outlineLevel="4" x14ac:dyDescent="0.3">
      <c r="A814" s="35"/>
      <c r="B814" s="36"/>
      <c r="C814" s="495" t="s">
        <v>10460</v>
      </c>
      <c r="D814" s="487">
        <v>675</v>
      </c>
      <c r="E814" s="249" t="str">
        <f>UPPER(IF($D814=0,"",IF($A814=4,_xlfn.XLOOKUP($D814,Mercado!$C:$C,Mercado!$E:$E),_xlfn.XLOOKUP($D814,Fontes!$B:$B,Fontes!$C:$C))))</f>
        <v>PRÓPRIO</v>
      </c>
      <c r="F814" s="335" t="s">
        <v>2645</v>
      </c>
      <c r="G814" s="249" t="str">
        <f>UPPER(IF($D814=0,"",IF($A814=4,_xlfn.XLOOKUP($D814,Mercado!$C:$C,Mercado!$G:$G),_xlfn.XLOOKUP($D814,Fontes!$B:$B,Fontes!$E:$E))))</f>
        <v>UN</v>
      </c>
      <c r="H814" s="252">
        <v>1</v>
      </c>
      <c r="I814" s="252">
        <f>IF($A814="M",_xlfn.XLOOKUP($D814,Mercado!$C:$C,Mercado!$I:$I),_xlfn.XLOOKUP($D814,Fontes!$B:$B,Fontes!$J:$J))</f>
        <v>185</v>
      </c>
      <c r="J814" s="252">
        <f>IF($A814="M",_xlfn.XLOOKUP($D814,Mercado!$C:$C,Mercado!$J:$J),_xlfn.XLOOKUP($D814,Fontes!$B:$B,Fontes!$H:$H))</f>
        <v>111.66</v>
      </c>
      <c r="K814" s="252">
        <f>IF($A814="M",0,_xlfn.XLOOKUP($D814,Fontes!$B:$B,Fontes!$I:$I))</f>
        <v>0</v>
      </c>
      <c r="L814" s="250">
        <f t="shared" si="88"/>
        <v>296.65999999999997</v>
      </c>
      <c r="M814" s="300">
        <f t="shared" si="89"/>
        <v>296.66000000000003</v>
      </c>
      <c r="O814" s="517">
        <f t="shared" si="90"/>
        <v>296.66000000000003</v>
      </c>
    </row>
    <row r="815" spans="1:15" outlineLevel="4" x14ac:dyDescent="0.3">
      <c r="A815" s="35"/>
      <c r="B815" s="36"/>
      <c r="C815" s="495" t="s">
        <v>10461</v>
      </c>
      <c r="D815" s="487">
        <v>690</v>
      </c>
      <c r="E815" s="249" t="str">
        <f>UPPER(IF($D815=0,"",IF($A815=4,_xlfn.XLOOKUP($D815,Mercado!$C:$C,Mercado!$E:$E),_xlfn.XLOOKUP($D815,Fontes!$B:$B,Fontes!$C:$C))))</f>
        <v>PRÓPRIO</v>
      </c>
      <c r="F815" s="335" t="s">
        <v>2646</v>
      </c>
      <c r="G815" s="249" t="str">
        <f>UPPER(IF($D815=0,"",IF($A815=4,_xlfn.XLOOKUP($D815,Mercado!$C:$C,Mercado!$G:$G),_xlfn.XLOOKUP($D815,Fontes!$B:$B,Fontes!$E:$E))))</f>
        <v>UN</v>
      </c>
      <c r="H815" s="252">
        <v>1</v>
      </c>
      <c r="I815" s="252">
        <f>IF($A815="M",_xlfn.XLOOKUP($D815,Mercado!$C:$C,Mercado!$I:$I),_xlfn.XLOOKUP($D815,Fontes!$B:$B,Fontes!$J:$J))</f>
        <v>233.27</v>
      </c>
      <c r="J815" s="252">
        <f>IF($A815="M",_xlfn.XLOOKUP($D815,Mercado!$C:$C,Mercado!$J:$J),_xlfn.XLOOKUP($D815,Fontes!$B:$B,Fontes!$H:$H))</f>
        <v>115.36</v>
      </c>
      <c r="K815" s="252">
        <f>IF($A815="M",0,_xlfn.XLOOKUP($D815,Fontes!$B:$B,Fontes!$I:$I))</f>
        <v>10.4</v>
      </c>
      <c r="L815" s="250">
        <f t="shared" si="88"/>
        <v>359.03</v>
      </c>
      <c r="M815" s="300">
        <f t="shared" si="89"/>
        <v>359.03</v>
      </c>
      <c r="O815" s="517">
        <f t="shared" si="90"/>
        <v>359.03</v>
      </c>
    </row>
    <row r="816" spans="1:15" ht="38.4" outlineLevel="4" x14ac:dyDescent="0.3">
      <c r="A816" s="35"/>
      <c r="B816" s="36"/>
      <c r="C816" s="495" t="s">
        <v>10462</v>
      </c>
      <c r="D816" s="487">
        <v>93653</v>
      </c>
      <c r="E816" s="249" t="str">
        <f>UPPER(IF($D816=0,"",IF($A816=4,_xlfn.XLOOKUP($D816,Mercado!$C:$C,Mercado!$E:$E),_xlfn.XLOOKUP($D816,Fontes!$B:$B,Fontes!$C:$C))))</f>
        <v>SINAPI</v>
      </c>
      <c r="F816" s="328" t="s">
        <v>313</v>
      </c>
      <c r="G816" s="249" t="str">
        <f>UPPER(IF($D816=0,"",IF($A816=4,_xlfn.XLOOKUP($D816,Mercado!$C:$C,Mercado!$G:$G),_xlfn.XLOOKUP($D816,Fontes!$B:$B,Fontes!$E:$E))))</f>
        <v>UN</v>
      </c>
      <c r="H816" s="252">
        <v>1</v>
      </c>
      <c r="I816" s="252">
        <f>IF($A816="M",_xlfn.XLOOKUP($D816,Mercado!$C:$C,Mercado!$I:$I),_xlfn.XLOOKUP($D816,Fontes!$B:$B,Fontes!$J:$J))</f>
        <v>9.2899999999999991</v>
      </c>
      <c r="J816" s="252">
        <f>IF($A816="M",_xlfn.XLOOKUP($D816,Mercado!$C:$C,Mercado!$J:$J),_xlfn.XLOOKUP($D816,Fontes!$B:$B,Fontes!$H:$H))</f>
        <v>1.98</v>
      </c>
      <c r="K816" s="252">
        <f>IF($A816="M",0,_xlfn.XLOOKUP($D816,Fontes!$B:$B,Fontes!$I:$I))</f>
        <v>0.18</v>
      </c>
      <c r="L816" s="250">
        <f t="shared" si="88"/>
        <v>11.45</v>
      </c>
      <c r="M816" s="300">
        <f t="shared" si="89"/>
        <v>11.45</v>
      </c>
      <c r="O816" s="517">
        <f t="shared" si="90"/>
        <v>11.45</v>
      </c>
    </row>
    <row r="817" spans="1:15" outlineLevel="4" x14ac:dyDescent="0.3">
      <c r="A817" s="35"/>
      <c r="B817" s="36"/>
      <c r="C817" s="495" t="s">
        <v>10463</v>
      </c>
      <c r="D817" s="487">
        <v>687</v>
      </c>
      <c r="E817" s="249" t="str">
        <f>UPPER(IF($D817=0,"",IF($A817=4,_xlfn.XLOOKUP($D817,Mercado!$C:$C,Mercado!$E:$E),_xlfn.XLOOKUP($D817,Fontes!$B:$B,Fontes!$C:$C))))</f>
        <v>PRÓPRIO</v>
      </c>
      <c r="F817" s="335" t="s">
        <v>2657</v>
      </c>
      <c r="G817" s="249" t="str">
        <f>UPPER(IF($D817=0,"",IF($A817=4,_xlfn.XLOOKUP($D817,Mercado!$C:$C,Mercado!$G:$G),_xlfn.XLOOKUP($D817,Fontes!$B:$B,Fontes!$E:$E))))</f>
        <v>UN</v>
      </c>
      <c r="H817" s="252">
        <v>1</v>
      </c>
      <c r="I817" s="252">
        <f>IF($A817="M",_xlfn.XLOOKUP($D817,Mercado!$C:$C,Mercado!$I:$I),_xlfn.XLOOKUP($D817,Fontes!$B:$B,Fontes!$J:$J))</f>
        <v>223.27</v>
      </c>
      <c r="J817" s="252">
        <f>IF($A817="M",_xlfn.XLOOKUP($D817,Mercado!$C:$C,Mercado!$J:$J),_xlfn.XLOOKUP($D817,Fontes!$B:$B,Fontes!$H:$H))</f>
        <v>115.36</v>
      </c>
      <c r="K817" s="252">
        <f>IF($A817="M",0,_xlfn.XLOOKUP($D817,Fontes!$B:$B,Fontes!$I:$I))</f>
        <v>10.4</v>
      </c>
      <c r="L817" s="250">
        <f t="shared" si="88"/>
        <v>349.03</v>
      </c>
      <c r="M817" s="300">
        <f t="shared" si="89"/>
        <v>349.03</v>
      </c>
      <c r="O817" s="517">
        <f t="shared" si="90"/>
        <v>349.03</v>
      </c>
    </row>
    <row r="818" spans="1:15" outlineLevel="4" x14ac:dyDescent="0.3">
      <c r="A818" s="35"/>
      <c r="B818" s="36"/>
      <c r="C818" s="495" t="s">
        <v>10464</v>
      </c>
      <c r="D818" s="487">
        <v>671</v>
      </c>
      <c r="E818" s="249" t="str">
        <f>UPPER(IF($D818=0,"",IF($A818=4,_xlfn.XLOOKUP($D818,Mercado!$C:$C,Mercado!$E:$E),_xlfn.XLOOKUP($D818,Fontes!$B:$B,Fontes!$C:$C))))</f>
        <v>PRÓPRIO</v>
      </c>
      <c r="F818" s="335" t="s">
        <v>2658</v>
      </c>
      <c r="G818" s="249" t="str">
        <f>UPPER(IF($D818=0,"",IF($A818=4,_xlfn.XLOOKUP($D818,Mercado!$C:$C,Mercado!$G:$G),_xlfn.XLOOKUP($D818,Fontes!$B:$B,Fontes!$E:$E))))</f>
        <v>UN</v>
      </c>
      <c r="H818" s="252">
        <v>1</v>
      </c>
      <c r="I818" s="252">
        <f>IF($A818="M",_xlfn.XLOOKUP($D818,Mercado!$C:$C,Mercado!$I:$I),_xlfn.XLOOKUP($D818,Fontes!$B:$B,Fontes!$J:$J))</f>
        <v>605.04</v>
      </c>
      <c r="J818" s="252">
        <f>IF($A818="M",_xlfn.XLOOKUP($D818,Mercado!$C:$C,Mercado!$J:$J),_xlfn.XLOOKUP($D818,Fontes!$B:$B,Fontes!$H:$H))</f>
        <v>22.33</v>
      </c>
      <c r="K818" s="252">
        <f>IF($A818="M",0,_xlfn.XLOOKUP($D818,Fontes!$B:$B,Fontes!$I:$I))</f>
        <v>0</v>
      </c>
      <c r="L818" s="250">
        <f t="shared" si="88"/>
        <v>627.37</v>
      </c>
      <c r="M818" s="300">
        <f t="shared" si="89"/>
        <v>627.37</v>
      </c>
      <c r="O818" s="517">
        <f t="shared" si="90"/>
        <v>627.37</v>
      </c>
    </row>
    <row r="819" spans="1:15" outlineLevel="4" x14ac:dyDescent="0.3">
      <c r="A819" s="35"/>
      <c r="B819" s="36"/>
      <c r="C819" s="495" t="s">
        <v>10465</v>
      </c>
      <c r="D819" s="487">
        <v>685</v>
      </c>
      <c r="E819" s="249" t="str">
        <f>UPPER(IF($D819=0,"",IF($A819=4,_xlfn.XLOOKUP($D819,Mercado!$C:$C,Mercado!$E:$E),_xlfn.XLOOKUP($D819,Fontes!$B:$B,Fontes!$C:$C))))</f>
        <v>PRÓPRIO</v>
      </c>
      <c r="F819" s="328" t="s">
        <v>2651</v>
      </c>
      <c r="G819" s="249" t="str">
        <f>UPPER(IF($D819=0,"",IF($A819=4,_xlfn.XLOOKUP($D819,Mercado!$C:$C,Mercado!$G:$G),_xlfn.XLOOKUP($D819,Fontes!$B:$B,Fontes!$E:$E))))</f>
        <v>UN</v>
      </c>
      <c r="H819" s="252">
        <v>1</v>
      </c>
      <c r="I819" s="252">
        <f>IF($A819="M",_xlfn.XLOOKUP($D819,Mercado!$C:$C,Mercado!$I:$I),_xlfn.XLOOKUP($D819,Fontes!$B:$B,Fontes!$J:$J))</f>
        <v>65.81</v>
      </c>
      <c r="J819" s="252">
        <f>IF($A819="M",_xlfn.XLOOKUP($D819,Mercado!$C:$C,Mercado!$J:$J),_xlfn.XLOOKUP($D819,Fontes!$B:$B,Fontes!$H:$H))</f>
        <v>2.4900000000000002</v>
      </c>
      <c r="K819" s="252">
        <f>IF($A819="M",0,_xlfn.XLOOKUP($D819,Fontes!$B:$B,Fontes!$I:$I))</f>
        <v>0.25</v>
      </c>
      <c r="L819" s="250">
        <f t="shared" si="88"/>
        <v>68.55</v>
      </c>
      <c r="M819" s="300">
        <f t="shared" si="89"/>
        <v>68.55</v>
      </c>
      <c r="O819" s="517">
        <f t="shared" si="90"/>
        <v>68.55</v>
      </c>
    </row>
    <row r="820" spans="1:15" outlineLevel="4" x14ac:dyDescent="0.3">
      <c r="A820" s="35"/>
      <c r="B820" s="36"/>
      <c r="C820" s="495" t="s">
        <v>10466</v>
      </c>
      <c r="D820" s="487">
        <v>689</v>
      </c>
      <c r="E820" s="249" t="str">
        <f>UPPER(IF($D820=0,"",IF($A820=4,_xlfn.XLOOKUP($D820,Mercado!$C:$C,Mercado!$E:$E),_xlfn.XLOOKUP($D820,Fontes!$B:$B,Fontes!$C:$C))))</f>
        <v>PRÓPRIO</v>
      </c>
      <c r="F820" s="335" t="s">
        <v>2659</v>
      </c>
      <c r="G820" s="249" t="str">
        <f>UPPER(IF($D820=0,"",IF($A820=4,_xlfn.XLOOKUP($D820,Mercado!$C:$C,Mercado!$G:$G),_xlfn.XLOOKUP($D820,Fontes!$B:$B,Fontes!$E:$E))))</f>
        <v>UN</v>
      </c>
      <c r="H820" s="252">
        <v>1</v>
      </c>
      <c r="I820" s="252">
        <f>IF($A820="M",_xlfn.XLOOKUP($D820,Mercado!$C:$C,Mercado!$I:$I),_xlfn.XLOOKUP($D820,Fontes!$B:$B,Fontes!$J:$J))</f>
        <v>352.63</v>
      </c>
      <c r="J820" s="252">
        <f>IF($A820="M",_xlfn.XLOOKUP($D820,Mercado!$C:$C,Mercado!$J:$J),_xlfn.XLOOKUP($D820,Fontes!$B:$B,Fontes!$H:$H))</f>
        <v>115.36</v>
      </c>
      <c r="K820" s="252">
        <f>IF($A820="M",0,_xlfn.XLOOKUP($D820,Fontes!$B:$B,Fontes!$I:$I))</f>
        <v>10.4</v>
      </c>
      <c r="L820" s="250">
        <f t="shared" si="88"/>
        <v>478.39</v>
      </c>
      <c r="M820" s="300">
        <f t="shared" si="89"/>
        <v>478.39</v>
      </c>
      <c r="O820" s="517">
        <f t="shared" si="90"/>
        <v>478.39</v>
      </c>
    </row>
    <row r="821" spans="1:15" ht="38.4" outlineLevel="4" x14ac:dyDescent="0.3">
      <c r="A821" s="35"/>
      <c r="B821" s="36"/>
      <c r="C821" s="495" t="s">
        <v>10467</v>
      </c>
      <c r="D821" s="487">
        <v>12015</v>
      </c>
      <c r="E821" s="249" t="str">
        <f>UPPER(IF($D821=0,"",IF($A821=4,_xlfn.XLOOKUP($D821,Mercado!$C:$C,Mercado!$E:$E),_xlfn.XLOOKUP($D821,Fontes!$B:$B,Fontes!$C:$C))))</f>
        <v>ORSE</v>
      </c>
      <c r="F821" s="328" t="s">
        <v>3623</v>
      </c>
      <c r="G821" s="249" t="str">
        <f>UPPER(IF($D821=0,"",IF($A821=4,_xlfn.XLOOKUP($D821,Mercado!$C:$C,Mercado!$G:$G),_xlfn.XLOOKUP($D821,Fontes!$B:$B,Fontes!$E:$E))))</f>
        <v>UN</v>
      </c>
      <c r="H821" s="252">
        <v>1</v>
      </c>
      <c r="I821" s="252">
        <f>IF($A821="M",_xlfn.XLOOKUP($D821,Mercado!$C:$C,Mercado!$I:$I),_xlfn.XLOOKUP($D821,Fontes!$B:$B,Fontes!$J:$J))</f>
        <v>142.61000000000001</v>
      </c>
      <c r="J821" s="252">
        <f>IF($A821="M",_xlfn.XLOOKUP($D821,Mercado!$C:$C,Mercado!$J:$J),_xlfn.XLOOKUP($D821,Fontes!$B:$B,Fontes!$H:$H))</f>
        <v>18.03</v>
      </c>
      <c r="K821" s="252">
        <f>IF($A821="M",0,_xlfn.XLOOKUP($D821,Fontes!$B:$B,Fontes!$I:$I))</f>
        <v>0</v>
      </c>
      <c r="L821" s="250">
        <f t="shared" si="88"/>
        <v>160.64000000000001</v>
      </c>
      <c r="M821" s="300">
        <f t="shared" si="89"/>
        <v>160.63999999999999</v>
      </c>
      <c r="O821" s="517">
        <f t="shared" si="90"/>
        <v>160.63999999999999</v>
      </c>
    </row>
    <row r="822" spans="1:15" ht="38.4" outlineLevel="4" x14ac:dyDescent="0.3">
      <c r="A822" s="35"/>
      <c r="B822" s="36"/>
      <c r="C822" s="495" t="s">
        <v>10468</v>
      </c>
      <c r="D822" s="487">
        <v>12015</v>
      </c>
      <c r="E822" s="249" t="str">
        <f>UPPER(IF($D822=0,"",IF($A822=4,_xlfn.XLOOKUP($D822,Mercado!$C:$C,Mercado!$E:$E),_xlfn.XLOOKUP($D822,Fontes!$B:$B,Fontes!$C:$C))))</f>
        <v>ORSE</v>
      </c>
      <c r="F822" s="327" t="s">
        <v>3623</v>
      </c>
      <c r="G822" s="249" t="str">
        <f>UPPER(IF($D822=0,"",IF($A822=4,_xlfn.XLOOKUP($D822,Mercado!$C:$C,Mercado!$G:$G),_xlfn.XLOOKUP($D822,Fontes!$B:$B,Fontes!$E:$E))))</f>
        <v>UN</v>
      </c>
      <c r="H822" s="252">
        <v>1</v>
      </c>
      <c r="I822" s="252">
        <f>IF($A822="M",_xlfn.XLOOKUP($D822,Mercado!$C:$C,Mercado!$I:$I),_xlfn.XLOOKUP($D822,Fontes!$B:$B,Fontes!$J:$J))</f>
        <v>142.61000000000001</v>
      </c>
      <c r="J822" s="252">
        <f>IF($A822="M",_xlfn.XLOOKUP($D822,Mercado!$C:$C,Mercado!$J:$J),_xlfn.XLOOKUP($D822,Fontes!$B:$B,Fontes!$H:$H))</f>
        <v>18.03</v>
      </c>
      <c r="K822" s="252">
        <f>IF($A822="M",0,_xlfn.XLOOKUP($D822,Fontes!$B:$B,Fontes!$I:$I))</f>
        <v>0</v>
      </c>
      <c r="L822" s="250">
        <f t="shared" si="88"/>
        <v>160.64000000000001</v>
      </c>
      <c r="M822" s="300">
        <f t="shared" si="89"/>
        <v>160.63999999999999</v>
      </c>
      <c r="O822" s="517">
        <f t="shared" si="90"/>
        <v>160.63999999999999</v>
      </c>
    </row>
    <row r="823" spans="1:15" ht="76.8" outlineLevel="4" x14ac:dyDescent="0.3">
      <c r="A823" s="35"/>
      <c r="B823" s="36"/>
      <c r="C823" s="495" t="s">
        <v>10469</v>
      </c>
      <c r="D823" s="487">
        <v>101879</v>
      </c>
      <c r="E823" s="249" t="str">
        <f>UPPER(IF($D823=0,"",IF($A823=4,_xlfn.XLOOKUP($D823,Mercado!$C:$C,Mercado!$E:$E),_xlfn.XLOOKUP($D823,Fontes!$B:$B,Fontes!$C:$C))))</f>
        <v>SINAPI</v>
      </c>
      <c r="F823" s="327" t="s">
        <v>326</v>
      </c>
      <c r="G823" s="249" t="str">
        <f>UPPER(IF($D823=0,"",IF($A823=4,_xlfn.XLOOKUP($D823,Mercado!$C:$C,Mercado!$G:$G),_xlfn.XLOOKUP($D823,Fontes!$B:$B,Fontes!$E:$E))))</f>
        <v>UN</v>
      </c>
      <c r="H823" s="252">
        <v>1</v>
      </c>
      <c r="I823" s="252">
        <f>IF($A823="M",_xlfn.XLOOKUP($D823,Mercado!$C:$C,Mercado!$I:$I),_xlfn.XLOOKUP($D823,Fontes!$B:$B,Fontes!$J:$J))</f>
        <v>488.86</v>
      </c>
      <c r="J823" s="252">
        <f>IF($A823="M",_xlfn.XLOOKUP($D823,Mercado!$C:$C,Mercado!$J:$J),_xlfn.XLOOKUP($D823,Fontes!$B:$B,Fontes!$H:$H))</f>
        <v>95.91</v>
      </c>
      <c r="K823" s="252">
        <f>IF($A823="M",0,_xlfn.XLOOKUP($D823,Fontes!$B:$B,Fontes!$I:$I))</f>
        <v>8.5399999999999991</v>
      </c>
      <c r="L823" s="250">
        <f t="shared" si="88"/>
        <v>593.30999999999995</v>
      </c>
      <c r="M823" s="300">
        <f t="shared" si="89"/>
        <v>593.30999999999995</v>
      </c>
      <c r="O823" s="517">
        <f t="shared" si="90"/>
        <v>593.30999999999995</v>
      </c>
    </row>
    <row r="824" spans="1:15" outlineLevel="3" x14ac:dyDescent="0.3">
      <c r="A824" s="36" t="s">
        <v>7</v>
      </c>
      <c r="B824" s="36"/>
      <c r="C824" s="495" t="s">
        <v>781</v>
      </c>
      <c r="D824" s="249"/>
      <c r="E824" s="249" t="str">
        <f>UPPER(IF($D824=0,"",IF($A824=4,_xlfn.XLOOKUP($D824,Mercado!$C:$C,Mercado!$E:$E),_xlfn.XLOOKUP($D824,Fontes!$B:$B,Fontes!$C:$C))))</f>
        <v/>
      </c>
      <c r="F824" s="336" t="s">
        <v>781</v>
      </c>
      <c r="G824" s="249"/>
      <c r="H824" s="252"/>
      <c r="I824" s="252">
        <f>IF($A824="M",_xlfn.XLOOKUP($D824,Mercado!$C:$C,Mercado!$I:$I),_xlfn.XLOOKUP($D824,Fontes!$B:$B,Fontes!$J:$J))</f>
        <v>0</v>
      </c>
      <c r="J824" s="252">
        <f>IF($A824="M",_xlfn.XLOOKUP($D824,Mercado!$C:$C,Mercado!$J:$J),_xlfn.XLOOKUP($D824,Fontes!$B:$B,Fontes!$H:$H))</f>
        <v>0</v>
      </c>
      <c r="K824" s="252">
        <f>IF($A824="M",0,_xlfn.XLOOKUP($D824,Fontes!$B:$B,Fontes!$I:$I))</f>
        <v>0</v>
      </c>
      <c r="L824" s="250">
        <f t="shared" si="88"/>
        <v>0</v>
      </c>
      <c r="M824" s="300">
        <f t="shared" si="89"/>
        <v>0</v>
      </c>
      <c r="O824" s="517" t="str">
        <f t="shared" si="90"/>
        <v/>
      </c>
    </row>
    <row r="825" spans="1:15" s="265" customFormat="1" outlineLevel="3" x14ac:dyDescent="0.3">
      <c r="A825" s="36" t="s">
        <v>7</v>
      </c>
      <c r="B825" s="263"/>
      <c r="C825" s="499" t="s">
        <v>10470</v>
      </c>
      <c r="D825" s="257"/>
      <c r="E825" s="257" t="str">
        <f>UPPER(IF($D825=0,"",IF($A825=4,_xlfn.XLOOKUP($D825,Mercado!$C:$C,Mercado!$E:$E),_xlfn.XLOOKUP($D825,Fontes!$B:$B,Fontes!$C:$C))))</f>
        <v/>
      </c>
      <c r="F825" s="330" t="s">
        <v>865</v>
      </c>
      <c r="G825" s="257"/>
      <c r="H825" s="259"/>
      <c r="I825" s="259">
        <f>IF($A825="M",_xlfn.XLOOKUP($D825,Mercado!$C:$C,Mercado!$I:$I),_xlfn.XLOOKUP($D825,Fontes!$B:$B,Fontes!$J:$J))</f>
        <v>0</v>
      </c>
      <c r="J825" s="259">
        <f>IF($A825="M",_xlfn.XLOOKUP($D825,Mercado!$C:$C,Mercado!$J:$J),_xlfn.XLOOKUP($D825,Fontes!$B:$B,Fontes!$H:$H))</f>
        <v>0</v>
      </c>
      <c r="K825" s="259">
        <f>IF($A825="M",0,_xlfn.XLOOKUP($D825,Fontes!$B:$B,Fontes!$I:$I))</f>
        <v>0</v>
      </c>
      <c r="L825" s="259">
        <f t="shared" si="88"/>
        <v>0</v>
      </c>
      <c r="M825" s="500">
        <f t="shared" si="89"/>
        <v>0</v>
      </c>
      <c r="N825" s="264"/>
      <c r="O825" s="517" t="str">
        <f t="shared" si="90"/>
        <v/>
      </c>
    </row>
    <row r="826" spans="1:15" outlineLevel="4" x14ac:dyDescent="0.3">
      <c r="A826" s="35"/>
      <c r="B826" s="36"/>
      <c r="C826" s="495" t="s">
        <v>10471</v>
      </c>
      <c r="D826" s="479">
        <v>72328</v>
      </c>
      <c r="E826" s="249" t="str">
        <f>UPPER(IF($D826=0,"",IF($A826=4,_xlfn.XLOOKUP($D826,Mercado!$C:$C,Mercado!$E:$E),_xlfn.XLOOKUP($D826,Fontes!$B:$B,Fontes!$C:$C))))</f>
        <v>AGETOP CIVIL</v>
      </c>
      <c r="F826" s="327" t="s">
        <v>1831</v>
      </c>
      <c r="G826" s="249" t="str">
        <f>UPPER(IF($D826=0,"",IF($A826=4,_xlfn.XLOOKUP($D826,Mercado!$C:$C,Mercado!$G:$G),_xlfn.XLOOKUP($D826,Fontes!$B:$B,Fontes!$E:$E))))</f>
        <v>UN</v>
      </c>
      <c r="H826" s="252">
        <v>37</v>
      </c>
      <c r="I826" s="252">
        <f>IF($A826="M",_xlfn.XLOOKUP($D826,Mercado!$C:$C,Mercado!$I:$I),_xlfn.XLOOKUP($D826,Fontes!$B:$B,Fontes!$J:$J))</f>
        <v>3.78</v>
      </c>
      <c r="J826" s="252">
        <f>IF($A826="M",_xlfn.XLOOKUP($D826,Mercado!$C:$C,Mercado!$J:$J),_xlfn.XLOOKUP($D826,Fontes!$B:$B,Fontes!$H:$H))</f>
        <v>6.23</v>
      </c>
      <c r="K826" s="252">
        <f>IF($A826="M",0,_xlfn.XLOOKUP($D826,Fontes!$B:$B,Fontes!$I:$I))</f>
        <v>0</v>
      </c>
      <c r="L826" s="250">
        <f t="shared" si="88"/>
        <v>10.01</v>
      </c>
      <c r="M826" s="300">
        <f t="shared" si="89"/>
        <v>370.37</v>
      </c>
      <c r="O826" s="517">
        <f t="shared" si="90"/>
        <v>370.37</v>
      </c>
    </row>
    <row r="827" spans="1:15" ht="38.4" outlineLevel="4" x14ac:dyDescent="0.3">
      <c r="A827" s="35"/>
      <c r="B827" s="36"/>
      <c r="C827" s="495" t="s">
        <v>10472</v>
      </c>
      <c r="D827" s="479">
        <v>61166</v>
      </c>
      <c r="E827" s="249" t="str">
        <f>UPPER(IF($D827=0,"",IF($A827=4,_xlfn.XLOOKUP($D827,Mercado!$C:$C,Mercado!$E:$E),_xlfn.XLOOKUP($D827,Fontes!$B:$B,Fontes!$C:$C))))</f>
        <v>SBC</v>
      </c>
      <c r="F827" s="327" t="s">
        <v>1863</v>
      </c>
      <c r="G827" s="249" t="str">
        <f>UPPER(IF($D827=0,"",IF($A827=4,_xlfn.XLOOKUP($D827,Mercado!$C:$C,Mercado!$G:$G),_xlfn.XLOOKUP($D827,Fontes!$B:$B,Fontes!$E:$E))))</f>
        <v>M</v>
      </c>
      <c r="H827" s="252">
        <v>123</v>
      </c>
      <c r="I827" s="252">
        <f>IF($A827="M",_xlfn.XLOOKUP($D827,Mercado!$C:$C,Mercado!$I:$I),_xlfn.XLOOKUP($D827,Fontes!$B:$B,Fontes!$J:$J))</f>
        <v>12.21</v>
      </c>
      <c r="J827" s="252">
        <f>IF($A827="M",_xlfn.XLOOKUP($D827,Mercado!$C:$C,Mercado!$J:$J),_xlfn.XLOOKUP($D827,Fontes!$B:$B,Fontes!$H:$H))</f>
        <v>22.51</v>
      </c>
      <c r="K827" s="252">
        <f>IF($A827="M",0,_xlfn.XLOOKUP($D827,Fontes!$B:$B,Fontes!$I:$I))</f>
        <v>0</v>
      </c>
      <c r="L827" s="250">
        <f t="shared" si="88"/>
        <v>34.72</v>
      </c>
      <c r="M827" s="300">
        <f t="shared" si="89"/>
        <v>4270.5600000000004</v>
      </c>
      <c r="O827" s="517">
        <f t="shared" si="90"/>
        <v>4270.5600000000004</v>
      </c>
    </row>
    <row r="828" spans="1:15" ht="38.4" outlineLevel="4" x14ac:dyDescent="0.3">
      <c r="A828" s="35"/>
      <c r="B828" s="36"/>
      <c r="C828" s="495" t="s">
        <v>10473</v>
      </c>
      <c r="D828" s="479">
        <v>61169</v>
      </c>
      <c r="E828" s="249" t="str">
        <f>UPPER(IF($D828=0,"",IF($A828=4,_xlfn.XLOOKUP($D828,Mercado!$C:$C,Mercado!$E:$E),_xlfn.XLOOKUP($D828,Fontes!$B:$B,Fontes!$C:$C))))</f>
        <v>SBC</v>
      </c>
      <c r="F828" s="327" t="s">
        <v>1832</v>
      </c>
      <c r="G828" s="249" t="str">
        <f>UPPER(IF($D828=0,"",IF($A828=4,_xlfn.XLOOKUP($D828,Mercado!$C:$C,Mercado!$G:$G),_xlfn.XLOOKUP($D828,Fontes!$B:$B,Fontes!$E:$E))))</f>
        <v>M</v>
      </c>
      <c r="H828" s="252">
        <v>123</v>
      </c>
      <c r="I828" s="252">
        <f>IF($A828="M",_xlfn.XLOOKUP($D828,Mercado!$C:$C,Mercado!$I:$I),_xlfn.XLOOKUP($D828,Fontes!$B:$B,Fontes!$J:$J))</f>
        <v>42.03</v>
      </c>
      <c r="J828" s="252">
        <f>IF($A828="M",_xlfn.XLOOKUP($D828,Mercado!$C:$C,Mercado!$J:$J),_xlfn.XLOOKUP($D828,Fontes!$B:$B,Fontes!$H:$H))</f>
        <v>29.02</v>
      </c>
      <c r="K828" s="252">
        <f>IF($A828="M",0,_xlfn.XLOOKUP($D828,Fontes!$B:$B,Fontes!$I:$I))</f>
        <v>0</v>
      </c>
      <c r="L828" s="250">
        <f t="shared" si="88"/>
        <v>71.05</v>
      </c>
      <c r="M828" s="300">
        <f t="shared" ref="M828:M859" si="91">ROUND(H828*L828,2)</f>
        <v>8739.15</v>
      </c>
      <c r="O828" s="517">
        <f t="shared" si="90"/>
        <v>8739.15</v>
      </c>
    </row>
    <row r="829" spans="1:15" ht="38.4" outlineLevel="4" x14ac:dyDescent="0.3">
      <c r="A829" s="35"/>
      <c r="B829" s="36"/>
      <c r="C829" s="495" t="s">
        <v>10474</v>
      </c>
      <c r="D829" s="479">
        <v>61168</v>
      </c>
      <c r="E829" s="249" t="str">
        <f>UPPER(IF($D829=0,"",IF($A829=4,_xlfn.XLOOKUP($D829,Mercado!$C:$C,Mercado!$E:$E),_xlfn.XLOOKUP($D829,Fontes!$B:$B,Fontes!$C:$C))))</f>
        <v>SBC</v>
      </c>
      <c r="F829" s="327" t="s">
        <v>1833</v>
      </c>
      <c r="G829" s="249" t="str">
        <f>UPPER(IF($D829=0,"",IF($A829=4,_xlfn.XLOOKUP($D829,Mercado!$C:$C,Mercado!$G:$G),_xlfn.XLOOKUP($D829,Fontes!$B:$B,Fontes!$E:$E))))</f>
        <v>M</v>
      </c>
      <c r="H829" s="252">
        <v>72</v>
      </c>
      <c r="I829" s="252">
        <f>IF($A829="M",_xlfn.XLOOKUP($D829,Mercado!$C:$C,Mercado!$I:$I),_xlfn.XLOOKUP($D829,Fontes!$B:$B,Fontes!$J:$J))</f>
        <v>58.72</v>
      </c>
      <c r="J829" s="252">
        <f>IF($A829="M",_xlfn.XLOOKUP($D829,Mercado!$C:$C,Mercado!$J:$J),_xlfn.XLOOKUP($D829,Fontes!$B:$B,Fontes!$H:$H))</f>
        <v>22.49</v>
      </c>
      <c r="K829" s="252">
        <f>IF($A829="M",0,_xlfn.XLOOKUP($D829,Fontes!$B:$B,Fontes!$I:$I))</f>
        <v>1.98</v>
      </c>
      <c r="L829" s="250">
        <f t="shared" si="88"/>
        <v>83.19</v>
      </c>
      <c r="M829" s="300">
        <f t="shared" si="91"/>
        <v>5989.68</v>
      </c>
      <c r="O829" s="517">
        <f t="shared" si="90"/>
        <v>5989.68</v>
      </c>
    </row>
    <row r="830" spans="1:15" ht="38.4" outlineLevel="4" x14ac:dyDescent="0.3">
      <c r="A830" s="35"/>
      <c r="B830" s="36"/>
      <c r="C830" s="495" t="s">
        <v>10475</v>
      </c>
      <c r="D830" s="479">
        <v>61170</v>
      </c>
      <c r="E830" s="249" t="str">
        <f>UPPER(IF($D830=0,"",IF($A830=4,_xlfn.XLOOKUP($D830,Mercado!$C:$C,Mercado!$E:$E),_xlfn.XLOOKUP($D830,Fontes!$B:$B,Fontes!$C:$C))))</f>
        <v>SBC</v>
      </c>
      <c r="F830" s="327" t="s">
        <v>1869</v>
      </c>
      <c r="G830" s="249" t="str">
        <f>UPPER(IF($D830=0,"",IF($A830=4,_xlfn.XLOOKUP($D830,Mercado!$C:$C,Mercado!$G:$G),_xlfn.XLOOKUP($D830,Fontes!$B:$B,Fontes!$E:$E))))</f>
        <v>M</v>
      </c>
      <c r="H830" s="252">
        <v>33</v>
      </c>
      <c r="I830" s="252">
        <f>IF($A830="M",_xlfn.XLOOKUP($D830,Mercado!$C:$C,Mercado!$I:$I),_xlfn.XLOOKUP($D830,Fontes!$B:$B,Fontes!$J:$J))</f>
        <v>67.349999999999994</v>
      </c>
      <c r="J830" s="252">
        <f>IF($A830="M",_xlfn.XLOOKUP($D830,Mercado!$C:$C,Mercado!$J:$J),_xlfn.XLOOKUP($D830,Fontes!$B:$B,Fontes!$H:$H))</f>
        <v>31.88</v>
      </c>
      <c r="K830" s="252">
        <f>IF($A830="M",0,_xlfn.XLOOKUP($D830,Fontes!$B:$B,Fontes!$I:$I))</f>
        <v>0</v>
      </c>
      <c r="L830" s="250">
        <f t="shared" si="88"/>
        <v>99.22999999999999</v>
      </c>
      <c r="M830" s="300">
        <f t="shared" si="91"/>
        <v>3274.59</v>
      </c>
      <c r="O830" s="517">
        <f t="shared" si="90"/>
        <v>3274.59</v>
      </c>
    </row>
    <row r="831" spans="1:15" outlineLevel="4" x14ac:dyDescent="0.3">
      <c r="A831" s="35"/>
      <c r="B831" s="36"/>
      <c r="C831" s="495" t="s">
        <v>10476</v>
      </c>
      <c r="D831" s="479">
        <v>59098</v>
      </c>
      <c r="E831" s="249" t="str">
        <f>UPPER(IF($D831=0,"",IF($A831=4,_xlfn.XLOOKUP($D831,Mercado!$C:$C,Mercado!$E:$E),_xlfn.XLOOKUP($D831,Fontes!$B:$B,Fontes!$C:$C))))</f>
        <v>SBC</v>
      </c>
      <c r="F831" s="327" t="s">
        <v>1834</v>
      </c>
      <c r="G831" s="249" t="str">
        <f>UPPER(IF($D831=0,"",IF($A831=4,_xlfn.XLOOKUP($D831,Mercado!$C:$C,Mercado!$G:$G),_xlfn.XLOOKUP($D831,Fontes!$B:$B,Fontes!$E:$E))))</f>
        <v>UN</v>
      </c>
      <c r="H831" s="252">
        <v>37</v>
      </c>
      <c r="I831" s="252">
        <f>IF($A831="M",_xlfn.XLOOKUP($D831,Mercado!$C:$C,Mercado!$I:$I),_xlfn.XLOOKUP($D831,Fontes!$B:$B,Fontes!$J:$J))</f>
        <v>11.59</v>
      </c>
      <c r="J831" s="252">
        <f>IF($A831="M",_xlfn.XLOOKUP($D831,Mercado!$C:$C,Mercado!$J:$J),_xlfn.XLOOKUP($D831,Fontes!$B:$B,Fontes!$H:$H))</f>
        <v>20.65</v>
      </c>
      <c r="K831" s="252">
        <f>IF($A831="M",0,_xlfn.XLOOKUP($D831,Fontes!$B:$B,Fontes!$I:$I))</f>
        <v>1.82</v>
      </c>
      <c r="L831" s="250">
        <f t="shared" si="88"/>
        <v>34.059999999999995</v>
      </c>
      <c r="M831" s="300">
        <f t="shared" si="91"/>
        <v>1260.22</v>
      </c>
      <c r="O831" s="517">
        <f t="shared" si="90"/>
        <v>1260.22</v>
      </c>
    </row>
    <row r="832" spans="1:15" outlineLevel="4" x14ac:dyDescent="0.3">
      <c r="A832" s="35"/>
      <c r="B832" s="36"/>
      <c r="C832" s="495" t="s">
        <v>10477</v>
      </c>
      <c r="D832" s="479">
        <v>61869</v>
      </c>
      <c r="E832" s="249" t="str">
        <f>UPPER(IF($D832=0,"",IF($A832=4,_xlfn.XLOOKUP($D832,Mercado!$C:$C,Mercado!$E:$E),_xlfn.XLOOKUP($D832,Fontes!$B:$B,Fontes!$C:$C))))</f>
        <v>SBC</v>
      </c>
      <c r="F832" s="327" t="s">
        <v>1835</v>
      </c>
      <c r="G832" s="249" t="str">
        <f>UPPER(IF($D832=0,"",IF($A832=4,_xlfn.XLOOKUP($D832,Mercado!$C:$C,Mercado!$G:$G),_xlfn.XLOOKUP($D832,Fontes!$B:$B,Fontes!$E:$E))))</f>
        <v>UN</v>
      </c>
      <c r="H832" s="252">
        <v>2</v>
      </c>
      <c r="I832" s="252">
        <f>IF($A832="M",_xlfn.XLOOKUP($D832,Mercado!$C:$C,Mercado!$I:$I),_xlfn.XLOOKUP($D832,Fontes!$B:$B,Fontes!$J:$J))</f>
        <v>62.39</v>
      </c>
      <c r="J832" s="252">
        <f>IF($A832="M",_xlfn.XLOOKUP($D832,Mercado!$C:$C,Mercado!$J:$J),_xlfn.XLOOKUP($D832,Fontes!$B:$B,Fontes!$H:$H))</f>
        <v>41.42</v>
      </c>
      <c r="K832" s="252">
        <f>IF($A832="M",0,_xlfn.XLOOKUP($D832,Fontes!$B:$B,Fontes!$I:$I))</f>
        <v>0</v>
      </c>
      <c r="L832" s="250">
        <f t="shared" si="88"/>
        <v>103.81</v>
      </c>
      <c r="M832" s="300">
        <f t="shared" si="91"/>
        <v>207.62</v>
      </c>
      <c r="O832" s="517">
        <f t="shared" si="90"/>
        <v>207.62</v>
      </c>
    </row>
    <row r="833" spans="1:15" ht="38.4" outlineLevel="4" x14ac:dyDescent="0.3">
      <c r="A833" s="35"/>
      <c r="B833" s="36"/>
      <c r="C833" s="495" t="s">
        <v>10478</v>
      </c>
      <c r="D833" s="479">
        <v>61260</v>
      </c>
      <c r="E833" s="249" t="str">
        <f>UPPER(IF($D833=0,"",IF($A833=4,_xlfn.XLOOKUP($D833,Mercado!$C:$C,Mercado!$E:$E),_xlfn.XLOOKUP($D833,Fontes!$B:$B,Fontes!$C:$C))))</f>
        <v>SBC</v>
      </c>
      <c r="F833" s="327" t="s">
        <v>3624</v>
      </c>
      <c r="G833" s="249" t="str">
        <f>UPPER(IF($D833=0,"",IF($A833=4,_xlfn.XLOOKUP($D833,Mercado!$C:$C,Mercado!$G:$G),_xlfn.XLOOKUP($D833,Fontes!$B:$B,Fontes!$E:$E))))</f>
        <v>M</v>
      </c>
      <c r="H833" s="252">
        <v>111</v>
      </c>
      <c r="I833" s="252">
        <f>IF($A833="M",_xlfn.XLOOKUP($D833,Mercado!$C:$C,Mercado!$I:$I),_xlfn.XLOOKUP($D833,Fontes!$B:$B,Fontes!$J:$J))</f>
        <v>4.49</v>
      </c>
      <c r="J833" s="252">
        <f>IF($A833="M",_xlfn.XLOOKUP($D833,Mercado!$C:$C,Mercado!$J:$J),_xlfn.XLOOKUP($D833,Fontes!$B:$B,Fontes!$H:$H))</f>
        <v>5.94</v>
      </c>
      <c r="K833" s="252">
        <f>IF($A833="M",0,_xlfn.XLOOKUP($D833,Fontes!$B:$B,Fontes!$I:$I))</f>
        <v>0</v>
      </c>
      <c r="L833" s="250">
        <f t="shared" si="88"/>
        <v>10.43</v>
      </c>
      <c r="M833" s="300">
        <f t="shared" si="91"/>
        <v>1157.73</v>
      </c>
      <c r="O833" s="517">
        <f t="shared" si="90"/>
        <v>1157.73</v>
      </c>
    </row>
    <row r="834" spans="1:15" ht="57.6" outlineLevel="4" x14ac:dyDescent="0.3">
      <c r="A834" s="35"/>
      <c r="B834" s="36"/>
      <c r="C834" s="495" t="s">
        <v>10479</v>
      </c>
      <c r="D834" s="479">
        <v>97668</v>
      </c>
      <c r="E834" s="249" t="str">
        <f>UPPER(IF($D834=0,"",IF($A834=4,_xlfn.XLOOKUP($D834,Mercado!$C:$C,Mercado!$E:$E),_xlfn.XLOOKUP($D834,Fontes!$B:$B,Fontes!$C:$C))))</f>
        <v>SINAPI</v>
      </c>
      <c r="F834" s="327" t="s">
        <v>398</v>
      </c>
      <c r="G834" s="249" t="str">
        <f>UPPER(IF($D834=0,"",IF($A834=4,_xlfn.XLOOKUP($D834,Mercado!$C:$C,Mercado!$G:$G),_xlfn.XLOOKUP($D834,Fontes!$B:$B,Fontes!$E:$E))))</f>
        <v>M</v>
      </c>
      <c r="H834" s="252">
        <v>323</v>
      </c>
      <c r="I834" s="252">
        <f>IF($A834="M",_xlfn.XLOOKUP($D834,Mercado!$C:$C,Mercado!$I:$I),_xlfn.XLOOKUP($D834,Fontes!$B:$B,Fontes!$J:$J))</f>
        <v>8.8000000000000007</v>
      </c>
      <c r="J834" s="252">
        <f>IF($A834="M",_xlfn.XLOOKUP($D834,Mercado!$C:$C,Mercado!$J:$J),_xlfn.XLOOKUP($D834,Fontes!$B:$B,Fontes!$H:$H))</f>
        <v>5.27</v>
      </c>
      <c r="K834" s="252">
        <f>IF($A834="M",0,_xlfn.XLOOKUP($D834,Fontes!$B:$B,Fontes!$I:$I))</f>
        <v>0.46</v>
      </c>
      <c r="L834" s="250">
        <f t="shared" si="88"/>
        <v>14.530000000000001</v>
      </c>
      <c r="M834" s="300">
        <f t="shared" si="91"/>
        <v>4693.1899999999996</v>
      </c>
      <c r="O834" s="517">
        <f t="shared" si="90"/>
        <v>4693.1899999999996</v>
      </c>
    </row>
    <row r="835" spans="1:15" ht="57.6" outlineLevel="4" x14ac:dyDescent="0.3">
      <c r="A835" s="35"/>
      <c r="B835" s="36"/>
      <c r="C835" s="495" t="s">
        <v>10480</v>
      </c>
      <c r="D835" s="479">
        <v>97670</v>
      </c>
      <c r="E835" s="249" t="str">
        <f>UPPER(IF($D835=0,"",IF($A835=4,_xlfn.XLOOKUP($D835,Mercado!$C:$C,Mercado!$E:$E),_xlfn.XLOOKUP($D835,Fontes!$B:$B,Fontes!$C:$C))))</f>
        <v>SINAPI</v>
      </c>
      <c r="F835" s="327" t="s">
        <v>399</v>
      </c>
      <c r="G835" s="249" t="str">
        <f>UPPER(IF($D835=0,"",IF($A835=4,_xlfn.XLOOKUP($D835,Mercado!$C:$C,Mercado!$G:$G),_xlfn.XLOOKUP($D835,Fontes!$B:$B,Fontes!$E:$E))))</f>
        <v>M</v>
      </c>
      <c r="H835" s="252">
        <v>360</v>
      </c>
      <c r="I835" s="252">
        <f>IF($A835="M",_xlfn.XLOOKUP($D835,Mercado!$C:$C,Mercado!$I:$I),_xlfn.XLOOKUP($D835,Fontes!$B:$B,Fontes!$J:$J))</f>
        <v>16.989999999999998</v>
      </c>
      <c r="J835" s="252">
        <f>IF($A835="M",_xlfn.XLOOKUP($D835,Mercado!$C:$C,Mercado!$J:$J),_xlfn.XLOOKUP($D835,Fontes!$B:$B,Fontes!$H:$H))</f>
        <v>9.58</v>
      </c>
      <c r="K835" s="252">
        <f>IF($A835="M",0,_xlfn.XLOOKUP($D835,Fontes!$B:$B,Fontes!$I:$I))</f>
        <v>0.84</v>
      </c>
      <c r="L835" s="250">
        <f t="shared" si="88"/>
        <v>27.41</v>
      </c>
      <c r="M835" s="300">
        <f t="shared" si="91"/>
        <v>9867.6</v>
      </c>
      <c r="O835" s="517">
        <f t="shared" si="90"/>
        <v>9867.6</v>
      </c>
    </row>
    <row r="836" spans="1:15" outlineLevel="4" x14ac:dyDescent="0.3">
      <c r="A836" s="35"/>
      <c r="B836" s="36"/>
      <c r="C836" s="495" t="s">
        <v>10481</v>
      </c>
      <c r="D836" s="487">
        <v>1536</v>
      </c>
      <c r="E836" s="249" t="str">
        <f>UPPER(IF($D836=0,"",IF($A836=4,_xlfn.XLOOKUP($D836,Mercado!$C:$C,Mercado!$E:$E),_xlfn.XLOOKUP($D836,Fontes!$B:$B,Fontes!$C:$C))))</f>
        <v>ORSE</v>
      </c>
      <c r="F836" s="327" t="s">
        <v>3580</v>
      </c>
      <c r="G836" s="249" t="str">
        <f>UPPER(IF($D836=0,"",IF($A836=4,_xlfn.XLOOKUP($D836,Mercado!$C:$C,Mercado!$G:$G),_xlfn.XLOOKUP($D836,Fontes!$B:$B,Fontes!$E:$E))))</f>
        <v>UN</v>
      </c>
      <c r="H836" s="252">
        <v>24</v>
      </c>
      <c r="I836" s="252">
        <f>IF($A836="M",_xlfn.XLOOKUP($D836,Mercado!$C:$C,Mercado!$I:$I),_xlfn.XLOOKUP($D836,Fontes!$B:$B,Fontes!$J:$J))</f>
        <v>14.73</v>
      </c>
      <c r="J836" s="252">
        <f>IF($A836="M",_xlfn.XLOOKUP($D836,Mercado!$C:$C,Mercado!$J:$J),_xlfn.XLOOKUP($D836,Fontes!$B:$B,Fontes!$H:$H))</f>
        <v>4.32</v>
      </c>
      <c r="K836" s="252">
        <f>IF($A836="M",0,_xlfn.XLOOKUP($D836,Fontes!$B:$B,Fontes!$I:$I))</f>
        <v>0</v>
      </c>
      <c r="L836" s="250">
        <f t="shared" si="88"/>
        <v>19.05</v>
      </c>
      <c r="M836" s="300">
        <f t="shared" si="91"/>
        <v>457.2</v>
      </c>
      <c r="O836" s="517">
        <f t="shared" si="90"/>
        <v>457.2</v>
      </c>
    </row>
    <row r="837" spans="1:15" ht="57.6" outlineLevel="4" x14ac:dyDescent="0.3">
      <c r="A837" s="35"/>
      <c r="B837" s="36"/>
      <c r="C837" s="495" t="s">
        <v>10482</v>
      </c>
      <c r="D837" s="479">
        <v>91941</v>
      </c>
      <c r="E837" s="249" t="str">
        <f>UPPER(IF($D837=0,"",IF($A837=4,_xlfn.XLOOKUP($D837,Mercado!$C:$C,Mercado!$E:$E),_xlfn.XLOOKUP($D837,Fontes!$B:$B,Fontes!$C:$C))))</f>
        <v>SINAPI</v>
      </c>
      <c r="F837" s="327" t="s">
        <v>29</v>
      </c>
      <c r="G837" s="249" t="str">
        <f>UPPER(IF($D837=0,"",IF($A837=4,_xlfn.XLOOKUP($D837,Mercado!$C:$C,Mercado!$G:$G),_xlfn.XLOOKUP($D837,Fontes!$B:$B,Fontes!$E:$E))))</f>
        <v>UN</v>
      </c>
      <c r="H837" s="252">
        <v>45</v>
      </c>
      <c r="I837" s="252">
        <f>IF($A837="M",_xlfn.XLOOKUP($D837,Mercado!$C:$C,Mercado!$I:$I),_xlfn.XLOOKUP($D837,Fontes!$B:$B,Fontes!$J:$J))</f>
        <v>6.29</v>
      </c>
      <c r="J837" s="252">
        <f>IF($A837="M",_xlfn.XLOOKUP($D837,Mercado!$C:$C,Mercado!$J:$J),_xlfn.XLOOKUP($D837,Fontes!$B:$B,Fontes!$H:$H))</f>
        <v>9.3000000000000007</v>
      </c>
      <c r="K837" s="252">
        <f>IF($A837="M",0,_xlfn.XLOOKUP($D837,Fontes!$B:$B,Fontes!$I:$I))</f>
        <v>0.82</v>
      </c>
      <c r="L837" s="250">
        <f t="shared" si="88"/>
        <v>16.41</v>
      </c>
      <c r="M837" s="300">
        <f t="shared" si="91"/>
        <v>738.45</v>
      </c>
      <c r="O837" s="517">
        <f t="shared" si="90"/>
        <v>738.45</v>
      </c>
    </row>
    <row r="838" spans="1:15" ht="57.6" outlineLevel="4" x14ac:dyDescent="0.3">
      <c r="A838" s="35"/>
      <c r="B838" s="36"/>
      <c r="C838" s="495" t="s">
        <v>10483</v>
      </c>
      <c r="D838" s="479">
        <v>91944</v>
      </c>
      <c r="E838" s="249" t="str">
        <f>UPPER(IF($D838=0,"",IF($A838=4,_xlfn.XLOOKUP($D838,Mercado!$C:$C,Mercado!$E:$E),_xlfn.XLOOKUP($D838,Fontes!$B:$B,Fontes!$C:$C))))</f>
        <v>SINAPI</v>
      </c>
      <c r="F838" s="327" t="s">
        <v>30</v>
      </c>
      <c r="G838" s="249" t="str">
        <f>UPPER(IF($D838=0,"",IF($A838=4,_xlfn.XLOOKUP($D838,Mercado!$C:$C,Mercado!$G:$G),_xlfn.XLOOKUP($D838,Fontes!$B:$B,Fontes!$E:$E))))</f>
        <v>UN</v>
      </c>
      <c r="H838" s="252">
        <v>13</v>
      </c>
      <c r="I838" s="252">
        <f>IF($A838="M",_xlfn.XLOOKUP($D838,Mercado!$C:$C,Mercado!$I:$I),_xlfn.XLOOKUP($D838,Fontes!$B:$B,Fontes!$J:$J))</f>
        <v>9.6999999999999993</v>
      </c>
      <c r="J838" s="252">
        <f>IF($A838="M",_xlfn.XLOOKUP($D838,Mercado!$C:$C,Mercado!$J:$J),_xlfn.XLOOKUP($D838,Fontes!$B:$B,Fontes!$H:$H))</f>
        <v>9.64</v>
      </c>
      <c r="K838" s="252">
        <f>IF($A838="M",0,_xlfn.XLOOKUP($D838,Fontes!$B:$B,Fontes!$I:$I))</f>
        <v>0.86</v>
      </c>
      <c r="L838" s="250">
        <f t="shared" si="88"/>
        <v>20.2</v>
      </c>
      <c r="M838" s="300">
        <f t="shared" si="91"/>
        <v>262.60000000000002</v>
      </c>
      <c r="O838" s="517">
        <f t="shared" si="90"/>
        <v>262.60000000000002</v>
      </c>
    </row>
    <row r="839" spans="1:15" outlineLevel="4" x14ac:dyDescent="0.3">
      <c r="A839" s="35"/>
      <c r="B839" s="36"/>
      <c r="C839" s="495" t="s">
        <v>10484</v>
      </c>
      <c r="D839" s="487">
        <v>70285</v>
      </c>
      <c r="E839" s="249" t="str">
        <f>UPPER(IF($D839=0,"",IF($A839=4,_xlfn.XLOOKUP($D839,Mercado!$C:$C,Mercado!$E:$E),_xlfn.XLOOKUP($D839,Fontes!$B:$B,Fontes!$C:$C))))</f>
        <v>AGETOP CIVIL</v>
      </c>
      <c r="F839" s="327" t="s">
        <v>485</v>
      </c>
      <c r="G839" s="249" t="str">
        <f>UPPER(IF($D839=0,"",IF($A839=4,_xlfn.XLOOKUP($D839,Mercado!$C:$C,Mercado!$G:$G),_xlfn.XLOOKUP($D839,Fontes!$B:$B,Fontes!$E:$E))))</f>
        <v>UN</v>
      </c>
      <c r="H839" s="252">
        <v>125</v>
      </c>
      <c r="I839" s="252">
        <f>IF($A839="M",_xlfn.XLOOKUP($D839,Mercado!$C:$C,Mercado!$I:$I),_xlfn.XLOOKUP($D839,Fontes!$B:$B,Fontes!$J:$J))</f>
        <v>6.24</v>
      </c>
      <c r="J839" s="252">
        <f>IF($A839="M",_xlfn.XLOOKUP($D839,Mercado!$C:$C,Mercado!$J:$J),_xlfn.XLOOKUP($D839,Fontes!$B:$B,Fontes!$H:$H))</f>
        <v>10.38</v>
      </c>
      <c r="K839" s="252">
        <f>IF($A839="M",0,_xlfn.XLOOKUP($D839,Fontes!$B:$B,Fontes!$I:$I))</f>
        <v>0</v>
      </c>
      <c r="L839" s="250">
        <f t="shared" si="88"/>
        <v>16.62</v>
      </c>
      <c r="M839" s="300">
        <f t="shared" si="91"/>
        <v>2077.5</v>
      </c>
      <c r="O839" s="517">
        <f t="shared" si="90"/>
        <v>2077.5</v>
      </c>
    </row>
    <row r="840" spans="1:15" outlineLevel="4" x14ac:dyDescent="0.3">
      <c r="A840" s="35"/>
      <c r="B840" s="36"/>
      <c r="C840" s="495" t="s">
        <v>10485</v>
      </c>
      <c r="D840" s="487">
        <v>70286</v>
      </c>
      <c r="E840" s="249" t="str">
        <f>UPPER(IF($D840=0,"",IF($A840=4,_xlfn.XLOOKUP($D840,Mercado!$C:$C,Mercado!$E:$E),_xlfn.XLOOKUP($D840,Fontes!$B:$B,Fontes!$C:$C))))</f>
        <v>AGETOP CIVIL</v>
      </c>
      <c r="F840" s="327" t="s">
        <v>487</v>
      </c>
      <c r="G840" s="249" t="str">
        <f>UPPER(IF($D840=0,"",IF($A840=4,_xlfn.XLOOKUP($D840,Mercado!$C:$C,Mercado!$G:$G),_xlfn.XLOOKUP($D840,Fontes!$B:$B,Fontes!$E:$E))))</f>
        <v>UN</v>
      </c>
      <c r="H840" s="252">
        <v>44</v>
      </c>
      <c r="I840" s="252">
        <f>IF($A840="M",_xlfn.XLOOKUP($D840,Mercado!$C:$C,Mercado!$I:$I),_xlfn.XLOOKUP($D840,Fontes!$B:$B,Fontes!$J:$J))</f>
        <v>8.51</v>
      </c>
      <c r="J840" s="252">
        <f>IF($A840="M",_xlfn.XLOOKUP($D840,Mercado!$C:$C,Mercado!$J:$J),_xlfn.XLOOKUP($D840,Fontes!$B:$B,Fontes!$H:$H))</f>
        <v>10.38</v>
      </c>
      <c r="K840" s="252">
        <f>IF($A840="M",0,_xlfn.XLOOKUP($D840,Fontes!$B:$B,Fontes!$I:$I))</f>
        <v>0</v>
      </c>
      <c r="L840" s="250">
        <f t="shared" si="88"/>
        <v>18.89</v>
      </c>
      <c r="M840" s="300">
        <f t="shared" si="91"/>
        <v>831.16</v>
      </c>
      <c r="O840" s="517">
        <f t="shared" si="90"/>
        <v>831.16</v>
      </c>
    </row>
    <row r="841" spans="1:15" outlineLevel="4" x14ac:dyDescent="0.3">
      <c r="A841" s="35"/>
      <c r="B841" s="36"/>
      <c r="C841" s="495" t="s">
        <v>10486</v>
      </c>
      <c r="D841" s="487">
        <v>70287</v>
      </c>
      <c r="E841" s="249" t="str">
        <f>UPPER(IF($D841=0,"",IF($A841=4,_xlfn.XLOOKUP($D841,Mercado!$C:$C,Mercado!$E:$E),_xlfn.XLOOKUP($D841,Fontes!$B:$B,Fontes!$C:$C))))</f>
        <v>AGETOP CIVIL</v>
      </c>
      <c r="F841" s="327" t="s">
        <v>488</v>
      </c>
      <c r="G841" s="249" t="str">
        <f>UPPER(IF($D841=0,"",IF($A841=4,_xlfn.XLOOKUP($D841,Mercado!$C:$C,Mercado!$G:$G),_xlfn.XLOOKUP($D841,Fontes!$B:$B,Fontes!$E:$E))))</f>
        <v>UN</v>
      </c>
      <c r="H841" s="252">
        <v>18</v>
      </c>
      <c r="I841" s="252">
        <f>IF($A841="M",_xlfn.XLOOKUP($D841,Mercado!$C:$C,Mercado!$I:$I),_xlfn.XLOOKUP($D841,Fontes!$B:$B,Fontes!$J:$J))</f>
        <v>10.9</v>
      </c>
      <c r="J841" s="252">
        <f>IF($A841="M",_xlfn.XLOOKUP($D841,Mercado!$C:$C,Mercado!$J:$J),_xlfn.XLOOKUP($D841,Fontes!$B:$B,Fontes!$H:$H))</f>
        <v>10.38</v>
      </c>
      <c r="K841" s="252">
        <f>IF($A841="M",0,_xlfn.XLOOKUP($D841,Fontes!$B:$B,Fontes!$I:$I))</f>
        <v>0</v>
      </c>
      <c r="L841" s="250">
        <f t="shared" si="88"/>
        <v>21.28</v>
      </c>
      <c r="M841" s="300">
        <f t="shared" si="91"/>
        <v>383.04</v>
      </c>
      <c r="O841" s="517">
        <f t="shared" si="90"/>
        <v>383.04</v>
      </c>
    </row>
    <row r="842" spans="1:15" outlineLevel="4" x14ac:dyDescent="0.3">
      <c r="A842" s="35"/>
      <c r="B842" s="36"/>
      <c r="C842" s="495" t="s">
        <v>10487</v>
      </c>
      <c r="D842" s="479" t="s">
        <v>521</v>
      </c>
      <c r="E842" s="249" t="str">
        <f>UPPER(IF($D842=0,"",IF($A842=4,_xlfn.XLOOKUP($D842,Mercado!$C:$C,Mercado!$E:$E),_xlfn.XLOOKUP($D842,Fontes!$B:$B,Fontes!$C:$C))))</f>
        <v>CPOS/CDHU</v>
      </c>
      <c r="F842" s="327" t="s">
        <v>3581</v>
      </c>
      <c r="G842" s="249" t="str">
        <f>UPPER(IF($D842=0,"",IF($A842=4,_xlfn.XLOOKUP($D842,Mercado!$C:$C,Mercado!$G:$G),_xlfn.XLOOKUP($D842,Fontes!$B:$B,Fontes!$E:$E))))</f>
        <v>UN</v>
      </c>
      <c r="H842" s="252">
        <v>45</v>
      </c>
      <c r="I842" s="252">
        <f>IF($A842="M",_xlfn.XLOOKUP($D842,Mercado!$C:$C,Mercado!$I:$I),_xlfn.XLOOKUP($D842,Fontes!$B:$B,Fontes!$J:$J))</f>
        <v>4.18</v>
      </c>
      <c r="J842" s="252">
        <f>IF($A842="M",_xlfn.XLOOKUP($D842,Mercado!$C:$C,Mercado!$J:$J),_xlfn.XLOOKUP($D842,Fontes!$B:$B,Fontes!$H:$H))</f>
        <v>1.82</v>
      </c>
      <c r="K842" s="252">
        <f>IF($A842="M",0,_xlfn.XLOOKUP($D842,Fontes!$B:$B,Fontes!$I:$I))</f>
        <v>0</v>
      </c>
      <c r="L842" s="250">
        <f t="shared" si="88"/>
        <v>6</v>
      </c>
      <c r="M842" s="300">
        <f t="shared" si="91"/>
        <v>270</v>
      </c>
      <c r="O842" s="517">
        <f t="shared" si="90"/>
        <v>270</v>
      </c>
    </row>
    <row r="843" spans="1:15" outlineLevel="4" x14ac:dyDescent="0.3">
      <c r="A843" s="35"/>
      <c r="B843" s="36"/>
      <c r="C843" s="495" t="s">
        <v>10488</v>
      </c>
      <c r="D843" s="479" t="s">
        <v>523</v>
      </c>
      <c r="E843" s="249" t="str">
        <f>UPPER(IF($D843=0,"",IF($A843=4,_xlfn.XLOOKUP($D843,Mercado!$C:$C,Mercado!$E:$E),_xlfn.XLOOKUP($D843,Fontes!$B:$B,Fontes!$C:$C))))</f>
        <v>CPOS/CDHU</v>
      </c>
      <c r="F843" s="327" t="s">
        <v>3569</v>
      </c>
      <c r="G843" s="249" t="str">
        <f>UPPER(IF($D843=0,"",IF($A843=4,_xlfn.XLOOKUP($D843,Mercado!$C:$C,Mercado!$G:$G),_xlfn.XLOOKUP($D843,Fontes!$B:$B,Fontes!$E:$E))))</f>
        <v>UN</v>
      </c>
      <c r="H843" s="252">
        <v>13</v>
      </c>
      <c r="I843" s="252">
        <f>IF($A843="M",_xlfn.XLOOKUP($D843,Mercado!$C:$C,Mercado!$I:$I),_xlfn.XLOOKUP($D843,Fontes!$B:$B,Fontes!$J:$J))</f>
        <v>9.68</v>
      </c>
      <c r="J843" s="252">
        <f>IF($A843="M",_xlfn.XLOOKUP($D843,Mercado!$C:$C,Mercado!$J:$J),_xlfn.XLOOKUP($D843,Fontes!$B:$B,Fontes!$H:$H))</f>
        <v>1.82</v>
      </c>
      <c r="K843" s="252">
        <f>IF($A843="M",0,_xlfn.XLOOKUP($D843,Fontes!$B:$B,Fontes!$I:$I))</f>
        <v>0</v>
      </c>
      <c r="L843" s="250">
        <f t="shared" si="88"/>
        <v>11.5</v>
      </c>
      <c r="M843" s="300">
        <f t="shared" si="91"/>
        <v>149.5</v>
      </c>
      <c r="O843" s="517">
        <f t="shared" si="90"/>
        <v>149.5</v>
      </c>
    </row>
    <row r="844" spans="1:15" ht="38.4" outlineLevel="4" x14ac:dyDescent="0.3">
      <c r="A844" s="35"/>
      <c r="B844" s="36"/>
      <c r="C844" s="495" t="s">
        <v>10489</v>
      </c>
      <c r="D844" s="479" t="s">
        <v>489</v>
      </c>
      <c r="E844" s="249" t="str">
        <f>UPPER(IF($D844=0,"",IF($A844=4,_xlfn.XLOOKUP($D844,Mercado!$C:$C,Mercado!$E:$E),_xlfn.XLOOKUP($D844,Fontes!$B:$B,Fontes!$C:$C))))</f>
        <v>FDE</v>
      </c>
      <c r="F844" s="327" t="s">
        <v>491</v>
      </c>
      <c r="G844" s="249" t="str">
        <f>UPPER(IF($D844=0,"",IF($A844=4,_xlfn.XLOOKUP($D844,Mercado!$C:$C,Mercado!$G:$G),_xlfn.XLOOKUP($D844,Fontes!$B:$B,Fontes!$E:$E))))</f>
        <v>UN</v>
      </c>
      <c r="H844" s="252">
        <v>4</v>
      </c>
      <c r="I844" s="252">
        <f>IF($A844="M",_xlfn.XLOOKUP($D844,Mercado!$C:$C,Mercado!$I:$I),_xlfn.XLOOKUP($D844,Fontes!$B:$B,Fontes!$J:$J))</f>
        <v>20.47</v>
      </c>
      <c r="J844" s="252">
        <f>IF($A844="M",_xlfn.XLOOKUP($D844,Mercado!$C:$C,Mercado!$J:$J),_xlfn.XLOOKUP($D844,Fontes!$B:$B,Fontes!$H:$H))</f>
        <v>49.15</v>
      </c>
      <c r="K844" s="252">
        <f>IF($A844="M",0,_xlfn.XLOOKUP($D844,Fontes!$B:$B,Fontes!$I:$I))</f>
        <v>0</v>
      </c>
      <c r="L844" s="250">
        <f t="shared" si="88"/>
        <v>69.62</v>
      </c>
      <c r="M844" s="300">
        <f t="shared" si="91"/>
        <v>278.48</v>
      </c>
      <c r="O844" s="517">
        <f t="shared" si="90"/>
        <v>278.48</v>
      </c>
    </row>
    <row r="845" spans="1:15" ht="38.4" outlineLevel="4" x14ac:dyDescent="0.3">
      <c r="A845" s="35"/>
      <c r="B845" s="36"/>
      <c r="C845" s="495" t="s">
        <v>10490</v>
      </c>
      <c r="D845" s="479" t="s">
        <v>1803</v>
      </c>
      <c r="E845" s="249" t="str">
        <f>UPPER(IF($D845=0,"",IF($A845=4,_xlfn.XLOOKUP($D845,Mercado!$C:$C,Mercado!$E:$E),_xlfn.XLOOKUP($D845,Fontes!$B:$B,Fontes!$C:$C))))</f>
        <v>FDE</v>
      </c>
      <c r="F845" s="327" t="s">
        <v>1836</v>
      </c>
      <c r="G845" s="249" t="str">
        <f>UPPER(IF($D845=0,"",IF($A845=4,_xlfn.XLOOKUP($D845,Mercado!$C:$C,Mercado!$G:$G),_xlfn.XLOOKUP($D845,Fontes!$B:$B,Fontes!$E:$E))))</f>
        <v>UN</v>
      </c>
      <c r="H845" s="252">
        <v>1</v>
      </c>
      <c r="I845" s="252">
        <f>IF($A845="M",_xlfn.XLOOKUP($D845,Mercado!$C:$C,Mercado!$I:$I),_xlfn.XLOOKUP($D845,Fontes!$B:$B,Fontes!$J:$J))</f>
        <v>39.39</v>
      </c>
      <c r="J845" s="252">
        <f>IF($A845="M",_xlfn.XLOOKUP($D845,Mercado!$C:$C,Mercado!$J:$J),_xlfn.XLOOKUP($D845,Fontes!$B:$B,Fontes!$H:$H))</f>
        <v>65.540000000000006</v>
      </c>
      <c r="K845" s="252">
        <f>IF($A845="M",0,_xlfn.XLOOKUP($D845,Fontes!$B:$B,Fontes!$I:$I))</f>
        <v>0</v>
      </c>
      <c r="L845" s="250">
        <f t="shared" si="88"/>
        <v>104.93</v>
      </c>
      <c r="M845" s="300">
        <f t="shared" si="91"/>
        <v>104.93</v>
      </c>
      <c r="O845" s="517">
        <f t="shared" si="90"/>
        <v>104.93</v>
      </c>
    </row>
    <row r="846" spans="1:15" ht="38.4" outlineLevel="4" x14ac:dyDescent="0.3">
      <c r="A846" s="35"/>
      <c r="B846" s="36"/>
      <c r="C846" s="495" t="s">
        <v>10491</v>
      </c>
      <c r="D846" s="479" t="s">
        <v>492</v>
      </c>
      <c r="E846" s="249" t="str">
        <f>UPPER(IF($D846=0,"",IF($A846=4,_xlfn.XLOOKUP($D846,Mercado!$C:$C,Mercado!$E:$E),_xlfn.XLOOKUP($D846,Fontes!$B:$B,Fontes!$C:$C))))</f>
        <v>FDE</v>
      </c>
      <c r="F846" s="327" t="s">
        <v>493</v>
      </c>
      <c r="G846" s="249" t="str">
        <f>UPPER(IF($D846=0,"",IF($A846=4,_xlfn.XLOOKUP($D846,Mercado!$C:$C,Mercado!$G:$G),_xlfn.XLOOKUP($D846,Fontes!$B:$B,Fontes!$E:$E))))</f>
        <v>UN</v>
      </c>
      <c r="H846" s="252">
        <v>3</v>
      </c>
      <c r="I846" s="252">
        <f>IF($A846="M",_xlfn.XLOOKUP($D846,Mercado!$C:$C,Mercado!$I:$I),_xlfn.XLOOKUP($D846,Fontes!$B:$B,Fontes!$J:$J))</f>
        <v>64.95</v>
      </c>
      <c r="J846" s="252">
        <f>IF($A846="M",_xlfn.XLOOKUP($D846,Mercado!$C:$C,Mercado!$J:$J),_xlfn.XLOOKUP($D846,Fontes!$B:$B,Fontes!$H:$H))</f>
        <v>81.91</v>
      </c>
      <c r="K846" s="252">
        <f>IF($A846="M",0,_xlfn.XLOOKUP($D846,Fontes!$B:$B,Fontes!$I:$I))</f>
        <v>0</v>
      </c>
      <c r="L846" s="250">
        <f t="shared" ref="L846:L909" si="92">SUM(I846:K846)</f>
        <v>146.86000000000001</v>
      </c>
      <c r="M846" s="300">
        <f t="shared" si="91"/>
        <v>440.58</v>
      </c>
      <c r="O846" s="517">
        <f t="shared" si="90"/>
        <v>440.58</v>
      </c>
    </row>
    <row r="847" spans="1:15" ht="57.6" outlineLevel="4" x14ac:dyDescent="0.3">
      <c r="A847" s="35"/>
      <c r="B847" s="36"/>
      <c r="C847" s="495" t="s">
        <v>10492</v>
      </c>
      <c r="D847" s="479">
        <v>818</v>
      </c>
      <c r="E847" s="249" t="str">
        <f>UPPER(IF($D847=0,"",IF($A847=4,_xlfn.XLOOKUP($D847,Mercado!$C:$C,Mercado!$E:$E),_xlfn.XLOOKUP($D847,Fontes!$B:$B,Fontes!$C:$C))))</f>
        <v>ORSE</v>
      </c>
      <c r="F847" s="327" t="s">
        <v>3625</v>
      </c>
      <c r="G847" s="249" t="str">
        <f>UPPER(IF($D847=0,"",IF($A847=4,_xlfn.XLOOKUP($D847,Mercado!$C:$C,Mercado!$G:$G),_xlfn.XLOOKUP($D847,Fontes!$B:$B,Fontes!$E:$E))))</f>
        <v>UN</v>
      </c>
      <c r="H847" s="252">
        <v>6</v>
      </c>
      <c r="I847" s="252">
        <f>IF($A847="M",_xlfn.XLOOKUP($D847,Mercado!$C:$C,Mercado!$I:$I),_xlfn.XLOOKUP($D847,Fontes!$B:$B,Fontes!$J:$J))</f>
        <v>277.8</v>
      </c>
      <c r="J847" s="252">
        <f>IF($A847="M",_xlfn.XLOOKUP($D847,Mercado!$C:$C,Mercado!$J:$J),_xlfn.XLOOKUP($D847,Fontes!$B:$B,Fontes!$H:$H))</f>
        <v>108.12</v>
      </c>
      <c r="K847" s="252">
        <f>IF($A847="M",0,_xlfn.XLOOKUP($D847,Fontes!$B:$B,Fontes!$I:$I))</f>
        <v>0</v>
      </c>
      <c r="L847" s="250">
        <f t="shared" si="92"/>
        <v>385.92</v>
      </c>
      <c r="M847" s="300">
        <f t="shared" si="91"/>
        <v>2315.52</v>
      </c>
      <c r="O847" s="517">
        <f t="shared" si="90"/>
        <v>2315.52</v>
      </c>
    </row>
    <row r="848" spans="1:15" outlineLevel="3" x14ac:dyDescent="0.3">
      <c r="A848" s="36" t="s">
        <v>7</v>
      </c>
      <c r="B848" s="36"/>
      <c r="C848" s="495" t="s">
        <v>781</v>
      </c>
      <c r="D848" s="487"/>
      <c r="E848" s="249" t="str">
        <f>UPPER(IF($D848=0,"",IF($A848=4,_xlfn.XLOOKUP($D848,Mercado!$C:$C,Mercado!$E:$E),_xlfn.XLOOKUP($D848,Fontes!$B:$B,Fontes!$C:$C))))</f>
        <v/>
      </c>
      <c r="F848" s="336" t="s">
        <v>781</v>
      </c>
      <c r="G848" s="249"/>
      <c r="H848" s="252"/>
      <c r="I848" s="252">
        <f>IF($A848="M",_xlfn.XLOOKUP($D848,Mercado!$C:$C,Mercado!$I:$I),_xlfn.XLOOKUP($D848,Fontes!$B:$B,Fontes!$J:$J))</f>
        <v>0</v>
      </c>
      <c r="J848" s="252">
        <f>IF($A848="M",_xlfn.XLOOKUP($D848,Mercado!$C:$C,Mercado!$J:$J),_xlfn.XLOOKUP($D848,Fontes!$B:$B,Fontes!$H:$H))</f>
        <v>0</v>
      </c>
      <c r="K848" s="252">
        <f>IF($A848="M",0,_xlfn.XLOOKUP($D848,Fontes!$B:$B,Fontes!$I:$I))</f>
        <v>0</v>
      </c>
      <c r="L848" s="250">
        <f t="shared" si="92"/>
        <v>0</v>
      </c>
      <c r="M848" s="300">
        <f t="shared" si="91"/>
        <v>0</v>
      </c>
      <c r="O848" s="517" t="str">
        <f t="shared" si="90"/>
        <v/>
      </c>
    </row>
    <row r="849" spans="1:15" s="265" customFormat="1" outlineLevel="3" x14ac:dyDescent="0.3">
      <c r="A849" s="263" t="s">
        <v>7</v>
      </c>
      <c r="B849" s="263"/>
      <c r="C849" s="499" t="s">
        <v>10493</v>
      </c>
      <c r="D849" s="257"/>
      <c r="E849" s="257" t="str">
        <f>UPPER(IF($D849=0,"",IF($A849=4,_xlfn.XLOOKUP($D849,Mercado!$C:$C,Mercado!$E:$E),_xlfn.XLOOKUP($D849,Fontes!$B:$B,Fontes!$C:$C))))</f>
        <v/>
      </c>
      <c r="F849" s="330" t="s">
        <v>866</v>
      </c>
      <c r="G849" s="257"/>
      <c r="H849" s="259"/>
      <c r="I849" s="259">
        <f>IF($A849="M",_xlfn.XLOOKUP($D849,Mercado!$C:$C,Mercado!$I:$I),_xlfn.XLOOKUP($D849,Fontes!$B:$B,Fontes!$J:$J))</f>
        <v>0</v>
      </c>
      <c r="J849" s="259">
        <f>IF($A849="M",_xlfn.XLOOKUP($D849,Mercado!$C:$C,Mercado!$J:$J),_xlfn.XLOOKUP($D849,Fontes!$B:$B,Fontes!$H:$H))</f>
        <v>0</v>
      </c>
      <c r="K849" s="259">
        <f>IF($A849="M",0,_xlfn.XLOOKUP($D849,Fontes!$B:$B,Fontes!$I:$I))</f>
        <v>0</v>
      </c>
      <c r="L849" s="259">
        <f t="shared" si="92"/>
        <v>0</v>
      </c>
      <c r="M849" s="500">
        <f t="shared" si="91"/>
        <v>0</v>
      </c>
      <c r="N849" s="264"/>
      <c r="O849" s="517" t="str">
        <f t="shared" si="90"/>
        <v/>
      </c>
    </row>
    <row r="850" spans="1:15" ht="57.6" outlineLevel="4" x14ac:dyDescent="0.3">
      <c r="A850" s="35"/>
      <c r="B850" s="36"/>
      <c r="C850" s="495" t="s">
        <v>10494</v>
      </c>
      <c r="D850" s="479">
        <v>91926</v>
      </c>
      <c r="E850" s="249" t="str">
        <f>UPPER(IF($D850=0,"",IF($A850=4,_xlfn.XLOOKUP($D850,Mercado!$C:$C,Mercado!$E:$E),_xlfn.XLOOKUP($D850,Fontes!$B:$B,Fontes!$C:$C))))</f>
        <v>SINAPI</v>
      </c>
      <c r="F850" s="327" t="s">
        <v>26</v>
      </c>
      <c r="G850" s="249" t="str">
        <f>UPPER(IF($D850=0,"",IF($A850=4,_xlfn.XLOOKUP($D850,Mercado!$C:$C,Mercado!$G:$G),_xlfn.XLOOKUP($D850,Fontes!$B:$B,Fontes!$E:$E))))</f>
        <v>M</v>
      </c>
      <c r="H850" s="252">
        <v>2000</v>
      </c>
      <c r="I850" s="252">
        <f>IF($A850="M",_xlfn.XLOOKUP($D850,Mercado!$C:$C,Mercado!$I:$I),_xlfn.XLOOKUP($D850,Fontes!$B:$B,Fontes!$J:$J))</f>
        <v>3.67</v>
      </c>
      <c r="J850" s="252">
        <f>IF($A850="M",_xlfn.XLOOKUP($D850,Mercado!$C:$C,Mercado!$J:$J),_xlfn.XLOOKUP($D850,Fontes!$B:$B,Fontes!$H:$H))</f>
        <v>1.61</v>
      </c>
      <c r="K850" s="252">
        <f>IF($A850="M",0,_xlfn.XLOOKUP($D850,Fontes!$B:$B,Fontes!$I:$I))</f>
        <v>0.14000000000000001</v>
      </c>
      <c r="L850" s="250">
        <f t="shared" si="92"/>
        <v>5.42</v>
      </c>
      <c r="M850" s="300">
        <f t="shared" si="91"/>
        <v>10840</v>
      </c>
      <c r="O850" s="517">
        <f t="shared" si="90"/>
        <v>10840</v>
      </c>
    </row>
    <row r="851" spans="1:15" ht="57.6" outlineLevel="4" x14ac:dyDescent="0.3">
      <c r="A851" s="35"/>
      <c r="B851" s="36"/>
      <c r="C851" s="495" t="s">
        <v>10495</v>
      </c>
      <c r="D851" s="479">
        <v>91928</v>
      </c>
      <c r="E851" s="249" t="str">
        <f>UPPER(IF($D851=0,"",IF($A851=4,_xlfn.XLOOKUP($D851,Mercado!$C:$C,Mercado!$E:$E),_xlfn.XLOOKUP($D851,Fontes!$B:$B,Fontes!$C:$C))))</f>
        <v>SINAPI</v>
      </c>
      <c r="F851" s="327" t="s">
        <v>28</v>
      </c>
      <c r="G851" s="249" t="str">
        <f>UPPER(IF($D851=0,"",IF($A851=4,_xlfn.XLOOKUP($D851,Mercado!$C:$C,Mercado!$G:$G),_xlfn.XLOOKUP($D851,Fontes!$B:$B,Fontes!$E:$E))))</f>
        <v>M</v>
      </c>
      <c r="H851" s="252">
        <v>900</v>
      </c>
      <c r="I851" s="252">
        <f>IF($A851="M",_xlfn.XLOOKUP($D851,Mercado!$C:$C,Mercado!$I:$I),_xlfn.XLOOKUP($D851,Fontes!$B:$B,Fontes!$J:$J))</f>
        <v>5.88</v>
      </c>
      <c r="J851" s="252">
        <f>IF($A851="M",_xlfn.XLOOKUP($D851,Mercado!$C:$C,Mercado!$J:$J),_xlfn.XLOOKUP($D851,Fontes!$B:$B,Fontes!$H:$H))</f>
        <v>2.17</v>
      </c>
      <c r="K851" s="252">
        <f>IF($A851="M",0,_xlfn.XLOOKUP($D851,Fontes!$B:$B,Fontes!$I:$I))</f>
        <v>0.2</v>
      </c>
      <c r="L851" s="250">
        <f t="shared" si="92"/>
        <v>8.25</v>
      </c>
      <c r="M851" s="300">
        <f t="shared" si="91"/>
        <v>7425</v>
      </c>
      <c r="O851" s="517">
        <f t="shared" si="90"/>
        <v>7425</v>
      </c>
    </row>
    <row r="852" spans="1:15" ht="38.4" outlineLevel="4" x14ac:dyDescent="0.3">
      <c r="A852" s="35"/>
      <c r="B852" s="36"/>
      <c r="C852" s="495" t="s">
        <v>10496</v>
      </c>
      <c r="D852" s="479" t="s">
        <v>494</v>
      </c>
      <c r="E852" s="249" t="str">
        <f>UPPER(IF($D852=0,"",IF($A852=4,_xlfn.XLOOKUP($D852,Mercado!$C:$C,Mercado!$E:$E),_xlfn.XLOOKUP($D852,Fontes!$B:$B,Fontes!$C:$C))))</f>
        <v>CPOS/CDHU</v>
      </c>
      <c r="F852" s="327" t="s">
        <v>3626</v>
      </c>
      <c r="G852" s="249" t="str">
        <f>UPPER(IF($D852=0,"",IF($A852=4,_xlfn.XLOOKUP($D852,Mercado!$C:$C,Mercado!$G:$G),_xlfn.XLOOKUP($D852,Fontes!$B:$B,Fontes!$E:$E))))</f>
        <v>M</v>
      </c>
      <c r="H852" s="252">
        <v>168</v>
      </c>
      <c r="I852" s="252">
        <f>IF($A852="M",_xlfn.XLOOKUP($D852,Mercado!$C:$C,Mercado!$I:$I),_xlfn.XLOOKUP($D852,Fontes!$B:$B,Fontes!$J:$J))</f>
        <v>7.52</v>
      </c>
      <c r="J852" s="252">
        <f>IF($A852="M",_xlfn.XLOOKUP($D852,Mercado!$C:$C,Mercado!$J:$J),_xlfn.XLOOKUP($D852,Fontes!$B:$B,Fontes!$H:$H))</f>
        <v>3.91</v>
      </c>
      <c r="K852" s="252">
        <f>IF($A852="M",0,_xlfn.XLOOKUP($D852,Fontes!$B:$B,Fontes!$I:$I))</f>
        <v>0</v>
      </c>
      <c r="L852" s="250">
        <f t="shared" si="92"/>
        <v>11.43</v>
      </c>
      <c r="M852" s="300">
        <f t="shared" si="91"/>
        <v>1920.24</v>
      </c>
      <c r="O852" s="517">
        <f t="shared" si="90"/>
        <v>1920.24</v>
      </c>
    </row>
    <row r="853" spans="1:15" ht="38.4" outlineLevel="4" x14ac:dyDescent="0.3">
      <c r="A853" s="35"/>
      <c r="B853" s="36"/>
      <c r="C853" s="495" t="s">
        <v>10497</v>
      </c>
      <c r="D853" s="479" t="s">
        <v>496</v>
      </c>
      <c r="E853" s="249" t="str">
        <f>UPPER(IF($D853=0,"",IF($A853=4,_xlfn.XLOOKUP($D853,Mercado!$C:$C,Mercado!$E:$E),_xlfn.XLOOKUP($D853,Fontes!$B:$B,Fontes!$C:$C))))</f>
        <v>CPOS/CDHU</v>
      </c>
      <c r="F853" s="327" t="s">
        <v>3627</v>
      </c>
      <c r="G853" s="249" t="str">
        <f>UPPER(IF($D853=0,"",IF($A853=4,_xlfn.XLOOKUP($D853,Mercado!$C:$C,Mercado!$G:$G),_xlfn.XLOOKUP($D853,Fontes!$B:$B,Fontes!$E:$E))))</f>
        <v>M</v>
      </c>
      <c r="H853" s="252">
        <v>320</v>
      </c>
      <c r="I853" s="252">
        <f>IF($A853="M",_xlfn.XLOOKUP($D853,Mercado!$C:$C,Mercado!$I:$I),_xlfn.XLOOKUP($D853,Fontes!$B:$B,Fontes!$J:$J))</f>
        <v>11.95</v>
      </c>
      <c r="J853" s="252">
        <f>IF($A853="M",_xlfn.XLOOKUP($D853,Mercado!$C:$C,Mercado!$J:$J),_xlfn.XLOOKUP($D853,Fontes!$B:$B,Fontes!$H:$H))</f>
        <v>4.47</v>
      </c>
      <c r="K853" s="252">
        <f>IF($A853="M",0,_xlfn.XLOOKUP($D853,Fontes!$B:$B,Fontes!$I:$I))</f>
        <v>0</v>
      </c>
      <c r="L853" s="250">
        <f t="shared" si="92"/>
        <v>16.419999999999998</v>
      </c>
      <c r="M853" s="300">
        <f t="shared" si="91"/>
        <v>5254.4</v>
      </c>
      <c r="O853" s="517">
        <f t="shared" si="90"/>
        <v>5254.4</v>
      </c>
    </row>
    <row r="854" spans="1:15" ht="38.4" outlineLevel="4" x14ac:dyDescent="0.3">
      <c r="A854" s="35"/>
      <c r="B854" s="36"/>
      <c r="C854" s="495" t="s">
        <v>10498</v>
      </c>
      <c r="D854" s="479" t="s">
        <v>498</v>
      </c>
      <c r="E854" s="249" t="str">
        <f>UPPER(IF($D854=0,"",IF($A854=4,_xlfn.XLOOKUP($D854,Mercado!$C:$C,Mercado!$E:$E),_xlfn.XLOOKUP($D854,Fontes!$B:$B,Fontes!$C:$C))))</f>
        <v>CPOS/CDHU</v>
      </c>
      <c r="F854" s="327" t="s">
        <v>3628</v>
      </c>
      <c r="G854" s="249" t="str">
        <f>UPPER(IF($D854=0,"",IF($A854=4,_xlfn.XLOOKUP($D854,Mercado!$C:$C,Mercado!$G:$G),_xlfn.XLOOKUP($D854,Fontes!$B:$B,Fontes!$E:$E))))</f>
        <v>M</v>
      </c>
      <c r="H854" s="252">
        <v>192</v>
      </c>
      <c r="I854" s="252">
        <f>IF($A854="M",_xlfn.XLOOKUP($D854,Mercado!$C:$C,Mercado!$I:$I),_xlfn.XLOOKUP($D854,Fontes!$B:$B,Fontes!$J:$J))</f>
        <v>18.29</v>
      </c>
      <c r="J854" s="252">
        <f>IF($A854="M",_xlfn.XLOOKUP($D854,Mercado!$C:$C,Mercado!$J:$J),_xlfn.XLOOKUP($D854,Fontes!$B:$B,Fontes!$H:$H))</f>
        <v>5.0199999999999996</v>
      </c>
      <c r="K854" s="252">
        <f>IF($A854="M",0,_xlfn.XLOOKUP($D854,Fontes!$B:$B,Fontes!$I:$I))</f>
        <v>0</v>
      </c>
      <c r="L854" s="250">
        <f t="shared" si="92"/>
        <v>23.31</v>
      </c>
      <c r="M854" s="300">
        <f t="shared" si="91"/>
        <v>4475.5200000000004</v>
      </c>
      <c r="O854" s="517">
        <f t="shared" si="90"/>
        <v>4475.5200000000004</v>
      </c>
    </row>
    <row r="855" spans="1:15" ht="38.4" outlineLevel="4" x14ac:dyDescent="0.3">
      <c r="A855" s="35"/>
      <c r="B855" s="36"/>
      <c r="C855" s="495" t="s">
        <v>10499</v>
      </c>
      <c r="D855" s="479" t="s">
        <v>500</v>
      </c>
      <c r="E855" s="249" t="str">
        <f>UPPER(IF($D855=0,"",IF($A855=4,_xlfn.XLOOKUP($D855,Mercado!$C:$C,Mercado!$E:$E),_xlfn.XLOOKUP($D855,Fontes!$B:$B,Fontes!$C:$C))))</f>
        <v>CPOS/CDHU</v>
      </c>
      <c r="F855" s="327" t="s">
        <v>3629</v>
      </c>
      <c r="G855" s="249" t="str">
        <f>UPPER(IF($D855=0,"",IF($A855=4,_xlfn.XLOOKUP($D855,Mercado!$C:$C,Mercado!$G:$G),_xlfn.XLOOKUP($D855,Fontes!$B:$B,Fontes!$E:$E))))</f>
        <v>M</v>
      </c>
      <c r="H855" s="252">
        <v>645</v>
      </c>
      <c r="I855" s="252">
        <f>IF($A855="M",_xlfn.XLOOKUP($D855,Mercado!$C:$C,Mercado!$I:$I),_xlfn.XLOOKUP($D855,Fontes!$B:$B,Fontes!$J:$J))</f>
        <v>28.29</v>
      </c>
      <c r="J855" s="252">
        <f>IF($A855="M",_xlfn.XLOOKUP($D855,Mercado!$C:$C,Mercado!$J:$J),_xlfn.XLOOKUP($D855,Fontes!$B:$B,Fontes!$H:$H))</f>
        <v>5.58</v>
      </c>
      <c r="K855" s="252">
        <f>IF($A855="M",0,_xlfn.XLOOKUP($D855,Fontes!$B:$B,Fontes!$I:$I))</f>
        <v>0</v>
      </c>
      <c r="L855" s="250">
        <f t="shared" si="92"/>
        <v>33.869999999999997</v>
      </c>
      <c r="M855" s="300">
        <f t="shared" si="91"/>
        <v>21846.15</v>
      </c>
      <c r="O855" s="517">
        <f t="shared" si="90"/>
        <v>21846.15</v>
      </c>
    </row>
    <row r="856" spans="1:15" ht="38.4" outlineLevel="4" x14ac:dyDescent="0.3">
      <c r="A856" s="35"/>
      <c r="B856" s="36"/>
      <c r="C856" s="495" t="s">
        <v>10500</v>
      </c>
      <c r="D856" s="479" t="s">
        <v>502</v>
      </c>
      <c r="E856" s="249" t="str">
        <f>UPPER(IF($D856=0,"",IF($A856=4,_xlfn.XLOOKUP($D856,Mercado!$C:$C,Mercado!$E:$E),_xlfn.XLOOKUP($D856,Fontes!$B:$B,Fontes!$C:$C))))</f>
        <v>CPOS/CDHU</v>
      </c>
      <c r="F856" s="327" t="s">
        <v>3630</v>
      </c>
      <c r="G856" s="249" t="str">
        <f>UPPER(IF($D856=0,"",IF($A856=4,_xlfn.XLOOKUP($D856,Mercado!$C:$C,Mercado!$G:$G),_xlfn.XLOOKUP($D856,Fontes!$B:$B,Fontes!$E:$E))))</f>
        <v>M</v>
      </c>
      <c r="H856" s="252">
        <v>364</v>
      </c>
      <c r="I856" s="252">
        <f>IF($A856="M",_xlfn.XLOOKUP($D856,Mercado!$C:$C,Mercado!$I:$I),_xlfn.XLOOKUP($D856,Fontes!$B:$B,Fontes!$J:$J))</f>
        <v>38.57</v>
      </c>
      <c r="J856" s="252">
        <f>IF($A856="M",_xlfn.XLOOKUP($D856,Mercado!$C:$C,Mercado!$J:$J),_xlfn.XLOOKUP($D856,Fontes!$B:$B,Fontes!$H:$H))</f>
        <v>8.3800000000000008</v>
      </c>
      <c r="K856" s="252">
        <f>IF($A856="M",0,_xlfn.XLOOKUP($D856,Fontes!$B:$B,Fontes!$I:$I))</f>
        <v>0</v>
      </c>
      <c r="L856" s="250">
        <f t="shared" si="92"/>
        <v>46.95</v>
      </c>
      <c r="M856" s="300">
        <f t="shared" si="91"/>
        <v>17089.8</v>
      </c>
      <c r="O856" s="517">
        <f t="shared" si="90"/>
        <v>17089.8</v>
      </c>
    </row>
    <row r="857" spans="1:15" ht="38.4" outlineLevel="4" x14ac:dyDescent="0.3">
      <c r="A857" s="35"/>
      <c r="B857" s="36"/>
      <c r="C857" s="495" t="s">
        <v>10501</v>
      </c>
      <c r="D857" s="479" t="s">
        <v>504</v>
      </c>
      <c r="E857" s="249" t="str">
        <f>UPPER(IF($D857=0,"",IF($A857=4,_xlfn.XLOOKUP($D857,Mercado!$C:$C,Mercado!$E:$E),_xlfn.XLOOKUP($D857,Fontes!$B:$B,Fontes!$C:$C))))</f>
        <v>CPOS/CDHU</v>
      </c>
      <c r="F857" s="327" t="s">
        <v>3631</v>
      </c>
      <c r="G857" s="249" t="str">
        <f>UPPER(IF($D857=0,"",IF($A857=4,_xlfn.XLOOKUP($D857,Mercado!$C:$C,Mercado!$G:$G),_xlfn.XLOOKUP($D857,Fontes!$B:$B,Fontes!$E:$E))))</f>
        <v>M</v>
      </c>
      <c r="H857" s="252">
        <v>468</v>
      </c>
      <c r="I857" s="252">
        <f>IF($A857="M",_xlfn.XLOOKUP($D857,Mercado!$C:$C,Mercado!$I:$I),_xlfn.XLOOKUP($D857,Fontes!$B:$B,Fontes!$J:$J))</f>
        <v>55.02</v>
      </c>
      <c r="J857" s="252">
        <f>IF($A857="M",_xlfn.XLOOKUP($D857,Mercado!$C:$C,Mercado!$J:$J),_xlfn.XLOOKUP($D857,Fontes!$B:$B,Fontes!$H:$H))</f>
        <v>11.16</v>
      </c>
      <c r="K857" s="252">
        <f>IF($A857="M",0,_xlfn.XLOOKUP($D857,Fontes!$B:$B,Fontes!$I:$I))</f>
        <v>0</v>
      </c>
      <c r="L857" s="250">
        <f t="shared" si="92"/>
        <v>66.180000000000007</v>
      </c>
      <c r="M857" s="300">
        <f t="shared" si="91"/>
        <v>30972.240000000002</v>
      </c>
      <c r="O857" s="517">
        <f t="shared" si="90"/>
        <v>30972.240000000002</v>
      </c>
    </row>
    <row r="858" spans="1:15" ht="38.4" outlineLevel="4" x14ac:dyDescent="0.3">
      <c r="A858" s="35"/>
      <c r="B858" s="36"/>
      <c r="C858" s="495" t="s">
        <v>10502</v>
      </c>
      <c r="D858" s="479" t="s">
        <v>1804</v>
      </c>
      <c r="E858" s="249" t="str">
        <f>UPPER(IF($D858=0,"",IF($A858=4,_xlfn.XLOOKUP($D858,Mercado!$C:$C,Mercado!$E:$E),_xlfn.XLOOKUP($D858,Fontes!$B:$B,Fontes!$C:$C))))</f>
        <v>CPOS/CDHU</v>
      </c>
      <c r="F858" s="327" t="s">
        <v>3632</v>
      </c>
      <c r="G858" s="249" t="str">
        <f>UPPER(IF($D858=0,"",IF($A858=4,_xlfn.XLOOKUP($D858,Mercado!$C:$C,Mercado!$G:$G),_xlfn.XLOOKUP($D858,Fontes!$B:$B,Fontes!$E:$E))))</f>
        <v>M</v>
      </c>
      <c r="H858" s="252">
        <v>240</v>
      </c>
      <c r="I858" s="252">
        <f>IF($A858="M",_xlfn.XLOOKUP($D858,Mercado!$C:$C,Mercado!$I:$I),_xlfn.XLOOKUP($D858,Fontes!$B:$B,Fontes!$J:$J))</f>
        <v>102.36</v>
      </c>
      <c r="J858" s="252">
        <f>IF($A858="M",_xlfn.XLOOKUP($D858,Mercado!$C:$C,Mercado!$J:$J),_xlfn.XLOOKUP($D858,Fontes!$B:$B,Fontes!$H:$H))</f>
        <v>16.75</v>
      </c>
      <c r="K858" s="252">
        <f>IF($A858="M",0,_xlfn.XLOOKUP($D858,Fontes!$B:$B,Fontes!$I:$I))</f>
        <v>0</v>
      </c>
      <c r="L858" s="250">
        <f t="shared" si="92"/>
        <v>119.11</v>
      </c>
      <c r="M858" s="300">
        <f t="shared" si="91"/>
        <v>28586.400000000001</v>
      </c>
      <c r="O858" s="517">
        <f t="shared" si="90"/>
        <v>28586.400000000001</v>
      </c>
    </row>
    <row r="859" spans="1:15" ht="38.4" outlineLevel="4" x14ac:dyDescent="0.3">
      <c r="A859" s="35"/>
      <c r="B859" s="36"/>
      <c r="C859" s="495" t="s">
        <v>10503</v>
      </c>
      <c r="D859" s="479" t="s">
        <v>506</v>
      </c>
      <c r="E859" s="249" t="str">
        <f>UPPER(IF($D859=0,"",IF($A859=4,_xlfn.XLOOKUP($D859,Mercado!$C:$C,Mercado!$E:$E),_xlfn.XLOOKUP($D859,Fontes!$B:$B,Fontes!$C:$C))))</f>
        <v>CPOS/CDHU</v>
      </c>
      <c r="F859" s="327" t="s">
        <v>3633</v>
      </c>
      <c r="G859" s="249" t="str">
        <f>UPPER(IF($D859=0,"",IF($A859=4,_xlfn.XLOOKUP($D859,Mercado!$C:$C,Mercado!$G:$G),_xlfn.XLOOKUP($D859,Fontes!$B:$B,Fontes!$E:$E))))</f>
        <v>M</v>
      </c>
      <c r="H859" s="252">
        <v>960</v>
      </c>
      <c r="I859" s="252">
        <f>IF($A859="M",_xlfn.XLOOKUP($D859,Mercado!$C:$C,Mercado!$I:$I),_xlfn.XLOOKUP($D859,Fontes!$B:$B,Fontes!$J:$J))</f>
        <v>195.88</v>
      </c>
      <c r="J859" s="252">
        <f>IF($A859="M",_xlfn.XLOOKUP($D859,Mercado!$C:$C,Mercado!$J:$J),_xlfn.XLOOKUP($D859,Fontes!$B:$B,Fontes!$H:$H))</f>
        <v>25.12</v>
      </c>
      <c r="K859" s="252">
        <f>IF($A859="M",0,_xlfn.XLOOKUP($D859,Fontes!$B:$B,Fontes!$I:$I))</f>
        <v>0</v>
      </c>
      <c r="L859" s="250">
        <f t="shared" si="92"/>
        <v>221</v>
      </c>
      <c r="M859" s="300">
        <f t="shared" si="91"/>
        <v>212160</v>
      </c>
      <c r="O859" s="517">
        <f t="shared" si="90"/>
        <v>212160</v>
      </c>
    </row>
    <row r="860" spans="1:15" ht="38.4" outlineLevel="4" x14ac:dyDescent="0.3">
      <c r="A860" s="35"/>
      <c r="B860" s="36"/>
      <c r="C860" s="495" t="s">
        <v>10504</v>
      </c>
      <c r="D860" s="479" t="s">
        <v>508</v>
      </c>
      <c r="E860" s="249" t="str">
        <f>UPPER(IF($D860=0,"",IF($A860=4,_xlfn.XLOOKUP($D860,Mercado!$C:$C,Mercado!$E:$E),_xlfn.XLOOKUP($D860,Fontes!$B:$B,Fontes!$C:$C))))</f>
        <v>CPOS/CDHU</v>
      </c>
      <c r="F860" s="327" t="s">
        <v>3634</v>
      </c>
      <c r="G860" s="249" t="str">
        <f>UPPER(IF($D860=0,"",IF($A860=4,_xlfn.XLOOKUP($D860,Mercado!$C:$C,Mercado!$G:$G),_xlfn.XLOOKUP($D860,Fontes!$B:$B,Fontes!$E:$E))))</f>
        <v>UN</v>
      </c>
      <c r="H860" s="252">
        <v>30</v>
      </c>
      <c r="I860" s="252">
        <f>IF($A860="M",_xlfn.XLOOKUP($D860,Mercado!$C:$C,Mercado!$I:$I),_xlfn.XLOOKUP($D860,Fontes!$B:$B,Fontes!$J:$J))</f>
        <v>7.62</v>
      </c>
      <c r="J860" s="252">
        <f>IF($A860="M",_xlfn.XLOOKUP($D860,Mercado!$C:$C,Mercado!$J:$J),_xlfn.XLOOKUP($D860,Fontes!$B:$B,Fontes!$H:$H))</f>
        <v>8.3800000000000008</v>
      </c>
      <c r="K860" s="252">
        <f>IF($A860="M",0,_xlfn.XLOOKUP($D860,Fontes!$B:$B,Fontes!$I:$I))</f>
        <v>0</v>
      </c>
      <c r="L860" s="250">
        <f t="shared" si="92"/>
        <v>16</v>
      </c>
      <c r="M860" s="300">
        <f t="shared" ref="M860:M867" si="93">ROUND(H860*L860,2)</f>
        <v>480</v>
      </c>
      <c r="O860" s="517">
        <f t="shared" si="90"/>
        <v>480</v>
      </c>
    </row>
    <row r="861" spans="1:15" outlineLevel="4" x14ac:dyDescent="0.3">
      <c r="A861" s="35"/>
      <c r="B861" s="36"/>
      <c r="C861" s="495" t="s">
        <v>10505</v>
      </c>
      <c r="D861" s="479" t="s">
        <v>510</v>
      </c>
      <c r="E861" s="249" t="str">
        <f>UPPER(IF($D861=0,"",IF($A861=4,_xlfn.XLOOKUP($D861,Mercado!$C:$C,Mercado!$E:$E),_xlfn.XLOOKUP($D861,Fontes!$B:$B,Fontes!$C:$C))))</f>
        <v>CPOS/CDHU</v>
      </c>
      <c r="F861" s="327" t="s">
        <v>3635</v>
      </c>
      <c r="G861" s="249" t="str">
        <f>UPPER(IF($D861=0,"",IF($A861=4,_xlfn.XLOOKUP($D861,Mercado!$C:$C,Mercado!$G:$G),_xlfn.XLOOKUP($D861,Fontes!$B:$B,Fontes!$E:$E))))</f>
        <v>UN</v>
      </c>
      <c r="H861" s="252">
        <v>12</v>
      </c>
      <c r="I861" s="252">
        <f>IF($A861="M",_xlfn.XLOOKUP($D861,Mercado!$C:$C,Mercado!$I:$I),_xlfn.XLOOKUP($D861,Fontes!$B:$B,Fontes!$J:$J))</f>
        <v>8.5</v>
      </c>
      <c r="J861" s="252">
        <f>IF($A861="M",_xlfn.XLOOKUP($D861,Mercado!$C:$C,Mercado!$J:$J),_xlfn.XLOOKUP($D861,Fontes!$B:$B,Fontes!$H:$H))</f>
        <v>8.3800000000000008</v>
      </c>
      <c r="K861" s="252">
        <f>IF($A861="M",0,_xlfn.XLOOKUP($D861,Fontes!$B:$B,Fontes!$I:$I))</f>
        <v>0</v>
      </c>
      <c r="L861" s="250">
        <f t="shared" si="92"/>
        <v>16.880000000000003</v>
      </c>
      <c r="M861" s="300">
        <f t="shared" si="93"/>
        <v>202.56</v>
      </c>
      <c r="O861" s="517">
        <f t="shared" si="90"/>
        <v>202.56</v>
      </c>
    </row>
    <row r="862" spans="1:15" outlineLevel="4" x14ac:dyDescent="0.3">
      <c r="A862" s="35"/>
      <c r="B862" s="36"/>
      <c r="C862" s="495" t="s">
        <v>10506</v>
      </c>
      <c r="D862" s="479" t="s">
        <v>512</v>
      </c>
      <c r="E862" s="249" t="str">
        <f>UPPER(IF($D862=0,"",IF($A862=4,_xlfn.XLOOKUP($D862,Mercado!$C:$C,Mercado!$E:$E),_xlfn.XLOOKUP($D862,Fontes!$B:$B,Fontes!$C:$C))))</f>
        <v>CPOS/CDHU</v>
      </c>
      <c r="F862" s="327" t="s">
        <v>3636</v>
      </c>
      <c r="G862" s="249" t="str">
        <f>UPPER(IF($D862=0,"",IF($A862=4,_xlfn.XLOOKUP($D862,Mercado!$C:$C,Mercado!$G:$G),_xlfn.XLOOKUP($D862,Fontes!$B:$B,Fontes!$E:$E))))</f>
        <v>UN</v>
      </c>
      <c r="H862" s="252">
        <v>36</v>
      </c>
      <c r="I862" s="252">
        <f>IF($A862="M",_xlfn.XLOOKUP($D862,Mercado!$C:$C,Mercado!$I:$I),_xlfn.XLOOKUP($D862,Fontes!$B:$B,Fontes!$J:$J))</f>
        <v>9.19</v>
      </c>
      <c r="J862" s="252">
        <f>IF($A862="M",_xlfn.XLOOKUP($D862,Mercado!$C:$C,Mercado!$J:$J),_xlfn.XLOOKUP($D862,Fontes!$B:$B,Fontes!$H:$H))</f>
        <v>8.3800000000000008</v>
      </c>
      <c r="K862" s="252">
        <f>IF($A862="M",0,_xlfn.XLOOKUP($D862,Fontes!$B:$B,Fontes!$I:$I))</f>
        <v>0</v>
      </c>
      <c r="L862" s="250">
        <f t="shared" si="92"/>
        <v>17.57</v>
      </c>
      <c r="M862" s="300">
        <f t="shared" si="93"/>
        <v>632.52</v>
      </c>
      <c r="O862" s="517">
        <f t="shared" si="90"/>
        <v>632.52</v>
      </c>
    </row>
    <row r="863" spans="1:15" outlineLevel="4" x14ac:dyDescent="0.3">
      <c r="A863" s="35"/>
      <c r="B863" s="36"/>
      <c r="C863" s="495" t="s">
        <v>10507</v>
      </c>
      <c r="D863" s="479" t="s">
        <v>475</v>
      </c>
      <c r="E863" s="249" t="str">
        <f>UPPER(IF($D863=0,"",IF($A863=4,_xlfn.XLOOKUP($D863,Mercado!$C:$C,Mercado!$E:$E),_xlfn.XLOOKUP($D863,Fontes!$B:$B,Fontes!$C:$C))))</f>
        <v>CPOS/CDHU</v>
      </c>
      <c r="F863" s="327" t="s">
        <v>3607</v>
      </c>
      <c r="G863" s="249" t="str">
        <f>UPPER(IF($D863=0,"",IF($A863=4,_xlfn.XLOOKUP($D863,Mercado!$C:$C,Mercado!$G:$G),_xlfn.XLOOKUP($D863,Fontes!$B:$B,Fontes!$E:$E))))</f>
        <v>UN</v>
      </c>
      <c r="H863" s="252">
        <v>16</v>
      </c>
      <c r="I863" s="252">
        <f>IF($A863="M",_xlfn.XLOOKUP($D863,Mercado!$C:$C,Mercado!$I:$I),_xlfn.XLOOKUP($D863,Fontes!$B:$B,Fontes!$J:$J))</f>
        <v>9.57</v>
      </c>
      <c r="J863" s="252">
        <f>IF($A863="M",_xlfn.XLOOKUP($D863,Mercado!$C:$C,Mercado!$J:$J),_xlfn.XLOOKUP($D863,Fontes!$B:$B,Fontes!$H:$H))</f>
        <v>8.3800000000000008</v>
      </c>
      <c r="K863" s="252">
        <f>IF($A863="M",0,_xlfn.XLOOKUP($D863,Fontes!$B:$B,Fontes!$I:$I))</f>
        <v>0</v>
      </c>
      <c r="L863" s="250">
        <f t="shared" si="92"/>
        <v>17.950000000000003</v>
      </c>
      <c r="M863" s="300">
        <f t="shared" si="93"/>
        <v>287.2</v>
      </c>
      <c r="O863" s="517">
        <f t="shared" si="90"/>
        <v>287.2</v>
      </c>
    </row>
    <row r="864" spans="1:15" outlineLevel="4" x14ac:dyDescent="0.3">
      <c r="A864" s="35"/>
      <c r="B864" s="36"/>
      <c r="C864" s="495" t="s">
        <v>10508</v>
      </c>
      <c r="D864" s="479" t="s">
        <v>514</v>
      </c>
      <c r="E864" s="249" t="str">
        <f>UPPER(IF($D864=0,"",IF($A864=4,_xlfn.XLOOKUP($D864,Mercado!$C:$C,Mercado!$E:$E),_xlfn.XLOOKUP($D864,Fontes!$B:$B,Fontes!$C:$C))))</f>
        <v>CPOS/CDHU</v>
      </c>
      <c r="F864" s="327" t="s">
        <v>3637</v>
      </c>
      <c r="G864" s="249" t="str">
        <f>UPPER(IF($D864=0,"",IF($A864=4,_xlfn.XLOOKUP($D864,Mercado!$C:$C,Mercado!$G:$G),_xlfn.XLOOKUP($D864,Fontes!$B:$B,Fontes!$E:$E))))</f>
        <v>UN</v>
      </c>
      <c r="H864" s="252">
        <v>16</v>
      </c>
      <c r="I864" s="252">
        <f>IF($A864="M",_xlfn.XLOOKUP($D864,Mercado!$C:$C,Mercado!$I:$I),_xlfn.XLOOKUP($D864,Fontes!$B:$B,Fontes!$J:$J))</f>
        <v>16.46</v>
      </c>
      <c r="J864" s="252">
        <f>IF($A864="M",_xlfn.XLOOKUP($D864,Mercado!$C:$C,Mercado!$J:$J),_xlfn.XLOOKUP($D864,Fontes!$B:$B,Fontes!$H:$H))</f>
        <v>8.3800000000000008</v>
      </c>
      <c r="K864" s="252">
        <f>IF($A864="M",0,_xlfn.XLOOKUP($D864,Fontes!$B:$B,Fontes!$I:$I))</f>
        <v>0</v>
      </c>
      <c r="L864" s="250">
        <f t="shared" si="92"/>
        <v>24.840000000000003</v>
      </c>
      <c r="M864" s="300">
        <f t="shared" si="93"/>
        <v>397.44</v>
      </c>
      <c r="O864" s="517">
        <f t="shared" si="90"/>
        <v>397.44</v>
      </c>
    </row>
    <row r="865" spans="1:15" outlineLevel="4" x14ac:dyDescent="0.3">
      <c r="A865" s="35"/>
      <c r="B865" s="36"/>
      <c r="C865" s="495" t="s">
        <v>10509</v>
      </c>
      <c r="D865" s="479" t="s">
        <v>516</v>
      </c>
      <c r="E865" s="249" t="str">
        <f>UPPER(IF($D865=0,"",IF($A865=4,_xlfn.XLOOKUP($D865,Mercado!$C:$C,Mercado!$E:$E),_xlfn.XLOOKUP($D865,Fontes!$B:$B,Fontes!$C:$C))))</f>
        <v>CPOS/CDHU</v>
      </c>
      <c r="F865" s="327" t="s">
        <v>3638</v>
      </c>
      <c r="G865" s="249" t="str">
        <f>UPPER(IF($D865=0,"",IF($A865=4,_xlfn.XLOOKUP($D865,Mercado!$C:$C,Mercado!$G:$G),_xlfn.XLOOKUP($D865,Fontes!$B:$B,Fontes!$E:$E))))</f>
        <v>UN</v>
      </c>
      <c r="H865" s="252">
        <v>4</v>
      </c>
      <c r="I865" s="252">
        <f>IF($A865="M",_xlfn.XLOOKUP($D865,Mercado!$C:$C,Mercado!$I:$I),_xlfn.XLOOKUP($D865,Fontes!$B:$B,Fontes!$J:$J))</f>
        <v>33.1</v>
      </c>
      <c r="J865" s="252">
        <f>IF($A865="M",_xlfn.XLOOKUP($D865,Mercado!$C:$C,Mercado!$J:$J),_xlfn.XLOOKUP($D865,Fontes!$B:$B,Fontes!$H:$H))</f>
        <v>11.16</v>
      </c>
      <c r="K865" s="252">
        <f>IF($A865="M",0,_xlfn.XLOOKUP($D865,Fontes!$B:$B,Fontes!$I:$I))</f>
        <v>0</v>
      </c>
      <c r="L865" s="250">
        <f t="shared" si="92"/>
        <v>44.260000000000005</v>
      </c>
      <c r="M865" s="300">
        <f t="shared" si="93"/>
        <v>177.04</v>
      </c>
      <c r="O865" s="517">
        <f t="shared" si="90"/>
        <v>177.04</v>
      </c>
    </row>
    <row r="866" spans="1:15" outlineLevel="4" x14ac:dyDescent="0.3">
      <c r="A866" s="35"/>
      <c r="B866" s="36"/>
      <c r="C866" s="495" t="s">
        <v>10510</v>
      </c>
      <c r="D866" s="479" t="s">
        <v>518</v>
      </c>
      <c r="E866" s="249" t="str">
        <f>UPPER(IF($D866=0,"",IF($A866=4,_xlfn.XLOOKUP($D866,Mercado!$C:$C,Mercado!$E:$E),_xlfn.XLOOKUP($D866,Fontes!$B:$B,Fontes!$C:$C))))</f>
        <v>CPOS/CDHU</v>
      </c>
      <c r="F866" s="327" t="s">
        <v>3639</v>
      </c>
      <c r="G866" s="249" t="str">
        <f>UPPER(IF($D866=0,"",IF($A866=4,_xlfn.XLOOKUP($D866,Mercado!$C:$C,Mercado!$G:$G),_xlfn.XLOOKUP($D866,Fontes!$B:$B,Fontes!$E:$E))))</f>
        <v>UN</v>
      </c>
      <c r="H866" s="252">
        <v>16</v>
      </c>
      <c r="I866" s="252">
        <f>IF($A866="M",_xlfn.XLOOKUP($D866,Mercado!$C:$C,Mercado!$I:$I),_xlfn.XLOOKUP($D866,Fontes!$B:$B,Fontes!$J:$J))</f>
        <v>46.99</v>
      </c>
      <c r="J866" s="252">
        <f>IF($A866="M",_xlfn.XLOOKUP($D866,Mercado!$C:$C,Mercado!$J:$J),_xlfn.XLOOKUP($D866,Fontes!$B:$B,Fontes!$H:$H))</f>
        <v>11.16</v>
      </c>
      <c r="K866" s="252">
        <f>IF($A866="M",0,_xlfn.XLOOKUP($D866,Fontes!$B:$B,Fontes!$I:$I))</f>
        <v>0</v>
      </c>
      <c r="L866" s="250">
        <f t="shared" si="92"/>
        <v>58.150000000000006</v>
      </c>
      <c r="M866" s="300">
        <f t="shared" si="93"/>
        <v>930.4</v>
      </c>
      <c r="O866" s="517">
        <f t="shared" ref="O866:O929" si="94">IF(D866&lt;&gt;0,M866,"")</f>
        <v>930.4</v>
      </c>
    </row>
    <row r="867" spans="1:15" outlineLevel="3" x14ac:dyDescent="0.3">
      <c r="A867" s="36" t="s">
        <v>7</v>
      </c>
      <c r="B867" s="36"/>
      <c r="C867" s="495" t="s">
        <v>781</v>
      </c>
      <c r="D867" s="249"/>
      <c r="E867" s="249" t="str">
        <f>UPPER(IF($D867=0,"",IF($A867=4,_xlfn.XLOOKUP($D867,Mercado!$C:$C,Mercado!$E:$E),_xlfn.XLOOKUP($D867,Fontes!$B:$B,Fontes!$C:$C))))</f>
        <v/>
      </c>
      <c r="F867" s="327" t="s">
        <v>781</v>
      </c>
      <c r="G867" s="249"/>
      <c r="H867" s="252"/>
      <c r="I867" s="252">
        <f>IF($A867="M",_xlfn.XLOOKUP($D867,Mercado!$C:$C,Mercado!$I:$I),_xlfn.XLOOKUP($D867,Fontes!$B:$B,Fontes!$J:$J))</f>
        <v>0</v>
      </c>
      <c r="J867" s="252">
        <f>IF($A867="M",_xlfn.XLOOKUP($D867,Mercado!$C:$C,Mercado!$J:$J),_xlfn.XLOOKUP($D867,Fontes!$B:$B,Fontes!$H:$H))</f>
        <v>0</v>
      </c>
      <c r="K867" s="252">
        <f>IF($A867="M",0,_xlfn.XLOOKUP($D867,Fontes!$B:$B,Fontes!$I:$I))</f>
        <v>0</v>
      </c>
      <c r="L867" s="250">
        <f t="shared" si="92"/>
        <v>0</v>
      </c>
      <c r="M867" s="300">
        <f t="shared" si="93"/>
        <v>0</v>
      </c>
      <c r="N867" s="243"/>
      <c r="O867" s="517" t="str">
        <f t="shared" si="94"/>
        <v/>
      </c>
    </row>
    <row r="868" spans="1:15" ht="38.4" outlineLevel="1" x14ac:dyDescent="0.3">
      <c r="A868" s="36"/>
      <c r="B868" s="36"/>
      <c r="C868" s="530" t="s">
        <v>3753</v>
      </c>
      <c r="D868" s="531"/>
      <c r="E868" s="531" t="str">
        <f>UPPER(IF($D868=0,"",IF($A868=4,_xlfn.XLOOKUP($D868,Mercado!$C:$C,Mercado!$E:$E),_xlfn.XLOOKUP($D868,Fontes!$B:$B,Fontes!$C:$C))))</f>
        <v/>
      </c>
      <c r="F868" s="532" t="s">
        <v>1974</v>
      </c>
      <c r="G868" s="531"/>
      <c r="H868" s="535"/>
      <c r="I868" s="535">
        <f>IF($A868="M",_xlfn.XLOOKUP($D868,Mercado!$C:$C,Mercado!$I:$I),_xlfn.XLOOKUP($D868,Fontes!$B:$B,Fontes!$J:$J))</f>
        <v>0</v>
      </c>
      <c r="J868" s="535">
        <f>IF($A868="M",_xlfn.XLOOKUP($D868,Mercado!$C:$C,Mercado!$J:$J),_xlfn.XLOOKUP($D868,Fontes!$B:$B,Fontes!$H:$H))</f>
        <v>0</v>
      </c>
      <c r="K868" s="535">
        <f>IF($A868="M",0,_xlfn.XLOOKUP($D868,Fontes!$B:$B,Fontes!$I:$I))</f>
        <v>0</v>
      </c>
      <c r="L868" s="535">
        <f t="shared" si="92"/>
        <v>0</v>
      </c>
      <c r="M868" s="536">
        <f>SUBTOTAL(9,M869:M1139)</f>
        <v>343197.10000000003</v>
      </c>
      <c r="O868" s="517" t="str">
        <f t="shared" si="94"/>
        <v/>
      </c>
    </row>
    <row r="869" spans="1:15" outlineLevel="2" x14ac:dyDescent="0.3">
      <c r="A869" s="36" t="s">
        <v>7</v>
      </c>
      <c r="B869" s="36"/>
      <c r="C869" s="496" t="s">
        <v>10511</v>
      </c>
      <c r="D869" s="253"/>
      <c r="E869" s="253" t="str">
        <f>UPPER(IF($D869=0,"",IF($A869=4,_xlfn.XLOOKUP($D869,Mercado!$C:$C,Mercado!$E:$E),_xlfn.XLOOKUP($D869,Fontes!$B:$B,Fontes!$C:$C))))</f>
        <v/>
      </c>
      <c r="F869" s="329" t="s">
        <v>342</v>
      </c>
      <c r="G869" s="253"/>
      <c r="H869" s="254"/>
      <c r="I869" s="254">
        <f>IF($A869="M",_xlfn.XLOOKUP($D869,Mercado!$C:$C,Mercado!$I:$I),_xlfn.XLOOKUP($D869,Fontes!$B:$B,Fontes!$J:$J))</f>
        <v>0</v>
      </c>
      <c r="J869" s="254">
        <f>IF($A869="M",_xlfn.XLOOKUP($D869,Mercado!$C:$C,Mercado!$J:$J),_xlfn.XLOOKUP($D869,Fontes!$B:$B,Fontes!$H:$H))</f>
        <v>0</v>
      </c>
      <c r="K869" s="254">
        <f>IF($A869="M",0,_xlfn.XLOOKUP($D869,Fontes!$B:$B,Fontes!$I:$I))</f>
        <v>0</v>
      </c>
      <c r="L869" s="254">
        <f t="shared" si="92"/>
        <v>0</v>
      </c>
      <c r="M869" s="497">
        <f>SUBTOTAL(9,M870:M930)</f>
        <v>157635.87000000005</v>
      </c>
      <c r="O869" s="517" t="str">
        <f t="shared" si="94"/>
        <v/>
      </c>
    </row>
    <row r="870" spans="1:15" outlineLevel="3" x14ac:dyDescent="0.3">
      <c r="A870" s="36" t="s">
        <v>7</v>
      </c>
      <c r="B870" s="36"/>
      <c r="C870" s="499" t="s">
        <v>10512</v>
      </c>
      <c r="D870" s="249"/>
      <c r="E870" s="249" t="str">
        <f>UPPER(IF($D870=0,"",IF($A870=4,_xlfn.XLOOKUP($D870,Mercado!$C:$C,Mercado!$E:$E),_xlfn.XLOOKUP($D870,Fontes!$B:$B,Fontes!$C:$C))))</f>
        <v/>
      </c>
      <c r="F870" s="330" t="s">
        <v>545</v>
      </c>
      <c r="G870" s="249"/>
      <c r="H870" s="252"/>
      <c r="I870" s="252">
        <f>IF($A870="M",_xlfn.XLOOKUP($D870,Mercado!$C:$C,Mercado!$I:$I),_xlfn.XLOOKUP($D870,Fontes!$B:$B,Fontes!$J:$J))</f>
        <v>0</v>
      </c>
      <c r="J870" s="252">
        <f>IF($A870="M",_xlfn.XLOOKUP($D870,Mercado!$C:$C,Mercado!$J:$J),_xlfn.XLOOKUP($D870,Fontes!$B:$B,Fontes!$H:$H))</f>
        <v>0</v>
      </c>
      <c r="K870" s="252">
        <f>IF($A870="M",0,_xlfn.XLOOKUP($D870,Fontes!$B:$B,Fontes!$I:$I))</f>
        <v>0</v>
      </c>
      <c r="L870" s="252">
        <f t="shared" si="92"/>
        <v>0</v>
      </c>
      <c r="M870" s="500">
        <f t="shared" ref="M870:M901" si="95">ROUND(H870*L870,2)</f>
        <v>0</v>
      </c>
      <c r="N870" s="243"/>
      <c r="O870" s="517" t="str">
        <f t="shared" si="94"/>
        <v/>
      </c>
    </row>
    <row r="871" spans="1:15" ht="57.6" outlineLevel="4" x14ac:dyDescent="0.3">
      <c r="A871" s="35"/>
      <c r="B871" s="36"/>
      <c r="C871" s="495" t="s">
        <v>10513</v>
      </c>
      <c r="D871" s="479">
        <v>89576</v>
      </c>
      <c r="E871" s="249" t="str">
        <f>UPPER(IF($D871=0,"",IF($A871=4,_xlfn.XLOOKUP($D871,Mercado!$C:$C,Mercado!$E:$E),_xlfn.XLOOKUP($D871,Fontes!$B:$B,Fontes!$C:$C))))</f>
        <v>SINAPI</v>
      </c>
      <c r="F871" s="327" t="s">
        <v>38</v>
      </c>
      <c r="G871" s="249" t="str">
        <f>UPPER(IF($D871=0,"",IF($A871=4,_xlfn.XLOOKUP($D871,Mercado!$C:$C,Mercado!$G:$G),_xlfn.XLOOKUP($D871,Fontes!$B:$B,Fontes!$E:$E))))</f>
        <v>M</v>
      </c>
      <c r="H871" s="252">
        <v>13</v>
      </c>
      <c r="I871" s="252">
        <f>IF($A871="M",_xlfn.XLOOKUP($D871,Mercado!$C:$C,Mercado!$I:$I),_xlfn.XLOOKUP($D871,Fontes!$B:$B,Fontes!$J:$J))</f>
        <v>26.48</v>
      </c>
      <c r="J871" s="252">
        <f>IF($A871="M",_xlfn.XLOOKUP($D871,Mercado!$C:$C,Mercado!$J:$J),_xlfn.XLOOKUP($D871,Fontes!$B:$B,Fontes!$H:$H))</f>
        <v>2.61</v>
      </c>
      <c r="K871" s="252">
        <f>IF($A871="M",0,_xlfn.XLOOKUP($D871,Fontes!$B:$B,Fontes!$I:$I))</f>
        <v>0.18</v>
      </c>
      <c r="L871" s="250">
        <f t="shared" si="92"/>
        <v>29.27</v>
      </c>
      <c r="M871" s="300">
        <f t="shared" si="95"/>
        <v>380.51</v>
      </c>
      <c r="O871" s="517">
        <f t="shared" si="94"/>
        <v>380.51</v>
      </c>
    </row>
    <row r="872" spans="1:15" ht="38.4" outlineLevel="4" x14ac:dyDescent="0.3">
      <c r="A872" s="35"/>
      <c r="B872" s="36"/>
      <c r="C872" s="495" t="s">
        <v>10514</v>
      </c>
      <c r="D872" s="479">
        <v>89512</v>
      </c>
      <c r="E872" s="249" t="str">
        <f>UPPER(IF($D872=0,"",IF($A872=4,_xlfn.XLOOKUP($D872,Mercado!$C:$C,Mercado!$E:$E),_xlfn.XLOOKUP($D872,Fontes!$B:$B,Fontes!$C:$C))))</f>
        <v>SINAPI</v>
      </c>
      <c r="F872" s="327" t="s">
        <v>37</v>
      </c>
      <c r="G872" s="249" t="str">
        <f>UPPER(IF($D872=0,"",IF($A872=4,_xlfn.XLOOKUP($D872,Mercado!$C:$C,Mercado!$G:$G),_xlfn.XLOOKUP($D872,Fontes!$B:$B,Fontes!$E:$E))))</f>
        <v>M</v>
      </c>
      <c r="H872" s="252">
        <v>156</v>
      </c>
      <c r="I872" s="252">
        <f>IF($A872="M",_xlfn.XLOOKUP($D872,Mercado!$C:$C,Mercado!$I:$I),_xlfn.XLOOKUP($D872,Fontes!$B:$B,Fontes!$J:$J))</f>
        <v>37.340000000000003</v>
      </c>
      <c r="J872" s="252">
        <f>IF($A872="M",_xlfn.XLOOKUP($D872,Mercado!$C:$C,Mercado!$J:$J),_xlfn.XLOOKUP($D872,Fontes!$B:$B,Fontes!$H:$H))</f>
        <v>21.86</v>
      </c>
      <c r="K872" s="252">
        <f>IF($A872="M",0,_xlfn.XLOOKUP($D872,Fontes!$B:$B,Fontes!$I:$I))</f>
        <v>1.5</v>
      </c>
      <c r="L872" s="250">
        <f t="shared" si="92"/>
        <v>60.7</v>
      </c>
      <c r="M872" s="300">
        <f t="shared" si="95"/>
        <v>9469.2000000000007</v>
      </c>
      <c r="O872" s="517">
        <f t="shared" si="94"/>
        <v>9469.2000000000007</v>
      </c>
    </row>
    <row r="873" spans="1:15" ht="57.6" outlineLevel="4" x14ac:dyDescent="0.3">
      <c r="A873" s="35"/>
      <c r="B873" s="36"/>
      <c r="C873" s="495" t="s">
        <v>10515</v>
      </c>
      <c r="D873" s="479">
        <v>89580</v>
      </c>
      <c r="E873" s="249" t="str">
        <f>UPPER(IF($D873=0,"",IF($A873=4,_xlfn.XLOOKUP($D873,Mercado!$C:$C,Mercado!$E:$E),_xlfn.XLOOKUP($D873,Fontes!$B:$B,Fontes!$C:$C))))</f>
        <v>SINAPI</v>
      </c>
      <c r="F873" s="327" t="s">
        <v>39</v>
      </c>
      <c r="G873" s="249" t="str">
        <f>UPPER(IF($D873=0,"",IF($A873=4,_xlfn.XLOOKUP($D873,Mercado!$C:$C,Mercado!$G:$G),_xlfn.XLOOKUP($D873,Fontes!$B:$B,Fontes!$E:$E))))</f>
        <v>M</v>
      </c>
      <c r="H873" s="252">
        <v>248</v>
      </c>
      <c r="I873" s="252">
        <f>IF($A873="M",_xlfn.XLOOKUP($D873,Mercado!$C:$C,Mercado!$I:$I),_xlfn.XLOOKUP($D873,Fontes!$B:$B,Fontes!$J:$J))</f>
        <v>67.66</v>
      </c>
      <c r="J873" s="252">
        <f>IF($A873="M",_xlfn.XLOOKUP($D873,Mercado!$C:$C,Mercado!$J:$J),_xlfn.XLOOKUP($D873,Fontes!$B:$B,Fontes!$H:$H))</f>
        <v>7.11</v>
      </c>
      <c r="K873" s="252">
        <f>IF($A873="M",0,_xlfn.XLOOKUP($D873,Fontes!$B:$B,Fontes!$I:$I))</f>
        <v>0.48</v>
      </c>
      <c r="L873" s="250">
        <f t="shared" si="92"/>
        <v>75.25</v>
      </c>
      <c r="M873" s="300">
        <f t="shared" si="95"/>
        <v>18662</v>
      </c>
      <c r="O873" s="517">
        <f t="shared" si="94"/>
        <v>18662</v>
      </c>
    </row>
    <row r="874" spans="1:15" outlineLevel="4" x14ac:dyDescent="0.3">
      <c r="A874" s="35"/>
      <c r="B874" s="36"/>
      <c r="C874" s="495" t="s">
        <v>10516</v>
      </c>
      <c r="D874" s="487">
        <v>53619</v>
      </c>
      <c r="E874" s="249" t="str">
        <f>UPPER(IF($D874=0,"",IF($A874=4,_xlfn.XLOOKUP($D874,Mercado!$C:$C,Mercado!$E:$E),_xlfn.XLOOKUP($D874,Fontes!$B:$B,Fontes!$C:$C))))</f>
        <v>SBC</v>
      </c>
      <c r="F874" s="327" t="s">
        <v>3640</v>
      </c>
      <c r="G874" s="249" t="str">
        <f>UPPER(IF($D874=0,"",IF($A874=4,_xlfn.XLOOKUP($D874,Mercado!$C:$C,Mercado!$G:$G),_xlfn.XLOOKUP($D874,Fontes!$B:$B,Fontes!$E:$E))))</f>
        <v>UN</v>
      </c>
      <c r="H874" s="439">
        <v>22</v>
      </c>
      <c r="I874" s="439">
        <f>IF($A874="M",_xlfn.XLOOKUP($D874,Mercado!$C:$C,Mercado!$I:$I),_xlfn.XLOOKUP($D874,Fontes!$B:$B,Fontes!$J:$J))</f>
        <v>1.2</v>
      </c>
      <c r="J874" s="252">
        <f>IF($A874="M",_xlfn.XLOOKUP($D874,Mercado!$C:$C,Mercado!$J:$J),_xlfn.XLOOKUP($D874,Fontes!$B:$B,Fontes!$H:$H))</f>
        <v>9.19</v>
      </c>
      <c r="K874" s="252">
        <f>IF($A874="M",0,_xlfn.XLOOKUP($D874,Fontes!$B:$B,Fontes!$I:$I))</f>
        <v>0</v>
      </c>
      <c r="L874" s="250">
        <f t="shared" si="92"/>
        <v>10.389999999999999</v>
      </c>
      <c r="M874" s="300">
        <f t="shared" si="95"/>
        <v>228.58</v>
      </c>
      <c r="O874" s="517">
        <f t="shared" si="94"/>
        <v>228.58</v>
      </c>
    </row>
    <row r="875" spans="1:15" outlineLevel="4" x14ac:dyDescent="0.3">
      <c r="A875" s="35"/>
      <c r="B875" s="36"/>
      <c r="C875" s="495" t="s">
        <v>10517</v>
      </c>
      <c r="D875" s="479">
        <v>53617</v>
      </c>
      <c r="E875" s="249" t="str">
        <f>UPPER(IF($D875=0,"",IF($A875=4,_xlfn.XLOOKUP($D875,Mercado!$C:$C,Mercado!$E:$E),_xlfn.XLOOKUP($D875,Fontes!$B:$B,Fontes!$C:$C))))</f>
        <v>SBC</v>
      </c>
      <c r="F875" s="327" t="s">
        <v>3641</v>
      </c>
      <c r="G875" s="249" t="str">
        <f>UPPER(IF($D875=0,"",IF($A875=4,_xlfn.XLOOKUP($D875,Mercado!$C:$C,Mercado!$G:$G),_xlfn.XLOOKUP($D875,Fontes!$B:$B,Fontes!$E:$E))))</f>
        <v>UN</v>
      </c>
      <c r="H875" s="439">
        <v>181</v>
      </c>
      <c r="I875" s="439">
        <f>IF($A875="M",_xlfn.XLOOKUP($D875,Mercado!$C:$C,Mercado!$I:$I),_xlfn.XLOOKUP($D875,Fontes!$B:$B,Fontes!$J:$J))</f>
        <v>1.5</v>
      </c>
      <c r="J875" s="252">
        <f>IF($A875="M",_xlfn.XLOOKUP($D875,Mercado!$C:$C,Mercado!$J:$J),_xlfn.XLOOKUP($D875,Fontes!$B:$B,Fontes!$H:$H))</f>
        <v>3.95</v>
      </c>
      <c r="K875" s="252">
        <f>IF($A875="M",0,_xlfn.XLOOKUP($D875,Fontes!$B:$B,Fontes!$I:$I))</f>
        <v>0</v>
      </c>
      <c r="L875" s="250">
        <f t="shared" si="92"/>
        <v>5.45</v>
      </c>
      <c r="M875" s="300">
        <f t="shared" si="95"/>
        <v>986.45</v>
      </c>
      <c r="O875" s="517">
        <f t="shared" si="94"/>
        <v>986.45</v>
      </c>
    </row>
    <row r="876" spans="1:15" outlineLevel="4" x14ac:dyDescent="0.3">
      <c r="A876" s="35"/>
      <c r="B876" s="36"/>
      <c r="C876" s="495" t="s">
        <v>10518</v>
      </c>
      <c r="D876" s="479">
        <v>53006</v>
      </c>
      <c r="E876" s="249" t="str">
        <f>UPPER(IF($D876=0,"",IF($A876=4,_xlfn.XLOOKUP($D876,Mercado!$C:$C,Mercado!$E:$E),_xlfn.XLOOKUP($D876,Fontes!$B:$B,Fontes!$C:$C))))</f>
        <v>SBC</v>
      </c>
      <c r="F876" s="327" t="s">
        <v>3642</v>
      </c>
      <c r="G876" s="249" t="str">
        <f>UPPER(IF($D876=0,"",IF($A876=4,_xlfn.XLOOKUP($D876,Mercado!$C:$C,Mercado!$G:$G),_xlfn.XLOOKUP($D876,Fontes!$B:$B,Fontes!$E:$E))))</f>
        <v>UN</v>
      </c>
      <c r="H876" s="439">
        <v>173</v>
      </c>
      <c r="I876" s="439">
        <f>IF($A876="M",_xlfn.XLOOKUP($D876,Mercado!$C:$C,Mercado!$I:$I),_xlfn.XLOOKUP($D876,Fontes!$B:$B,Fontes!$J:$J))</f>
        <v>5.74</v>
      </c>
      <c r="J876" s="252">
        <f>IF($A876="M",_xlfn.XLOOKUP($D876,Mercado!$C:$C,Mercado!$J:$J),_xlfn.XLOOKUP($D876,Fontes!$B:$B,Fontes!$H:$H))</f>
        <v>6.2</v>
      </c>
      <c r="K876" s="252">
        <f>IF($A876="M",0,_xlfn.XLOOKUP($D876,Fontes!$B:$B,Fontes!$I:$I))</f>
        <v>0</v>
      </c>
      <c r="L876" s="250">
        <f t="shared" si="92"/>
        <v>11.940000000000001</v>
      </c>
      <c r="M876" s="300">
        <f t="shared" si="95"/>
        <v>2065.62</v>
      </c>
      <c r="O876" s="517">
        <f t="shared" si="94"/>
        <v>2065.62</v>
      </c>
    </row>
    <row r="877" spans="1:15" ht="57.6" outlineLevel="4" x14ac:dyDescent="0.3">
      <c r="A877" s="35"/>
      <c r="B877" s="36"/>
      <c r="C877" s="495" t="s">
        <v>10519</v>
      </c>
      <c r="D877" s="479">
        <v>89581</v>
      </c>
      <c r="E877" s="249" t="str">
        <f>UPPER(IF($D877=0,"",IF($A877=4,_xlfn.XLOOKUP($D877,Mercado!$C:$C,Mercado!$E:$E),_xlfn.XLOOKUP($D877,Fontes!$B:$B,Fontes!$C:$C))))</f>
        <v>SINAPI</v>
      </c>
      <c r="F877" s="327" t="s">
        <v>65</v>
      </c>
      <c r="G877" s="249" t="str">
        <f>UPPER(IF($D877=0,"",IF($A877=4,_xlfn.XLOOKUP($D877,Mercado!$C:$C,Mercado!$G:$G),_xlfn.XLOOKUP($D877,Fontes!$B:$B,Fontes!$E:$E))))</f>
        <v>UN</v>
      </c>
      <c r="H877" s="439">
        <v>22</v>
      </c>
      <c r="I877" s="439">
        <f>IF($A877="M",_xlfn.XLOOKUP($D877,Mercado!$C:$C,Mercado!$I:$I),_xlfn.XLOOKUP($D877,Fontes!$B:$B,Fontes!$J:$J))</f>
        <v>28.52</v>
      </c>
      <c r="J877" s="252">
        <f>IF($A877="M",_xlfn.XLOOKUP($D877,Mercado!$C:$C,Mercado!$J:$J),_xlfn.XLOOKUP($D877,Fontes!$B:$B,Fontes!$H:$H))</f>
        <v>9.43</v>
      </c>
      <c r="K877" s="252">
        <f>IF($A877="M",0,_xlfn.XLOOKUP($D877,Fontes!$B:$B,Fontes!$I:$I))</f>
        <v>0.64</v>
      </c>
      <c r="L877" s="250">
        <f t="shared" si="92"/>
        <v>38.590000000000003</v>
      </c>
      <c r="M877" s="300">
        <f t="shared" si="95"/>
        <v>848.98</v>
      </c>
      <c r="O877" s="517">
        <f t="shared" si="94"/>
        <v>848.98</v>
      </c>
    </row>
    <row r="878" spans="1:15" ht="57.6" outlineLevel="4" x14ac:dyDescent="0.3">
      <c r="A878" s="35"/>
      <c r="B878" s="36"/>
      <c r="C878" s="495" t="s">
        <v>10520</v>
      </c>
      <c r="D878" s="479">
        <v>89584</v>
      </c>
      <c r="E878" s="249" t="str">
        <f>UPPER(IF($D878=0,"",IF($A878=4,_xlfn.XLOOKUP($D878,Mercado!$C:$C,Mercado!$E:$E),_xlfn.XLOOKUP($D878,Fontes!$B:$B,Fontes!$C:$C))))</f>
        <v>SINAPI</v>
      </c>
      <c r="F878" s="327" t="s">
        <v>67</v>
      </c>
      <c r="G878" s="249" t="str">
        <f>UPPER(IF($D878=0,"",IF($A878=4,_xlfn.XLOOKUP($D878,Mercado!$C:$C,Mercado!$G:$G),_xlfn.XLOOKUP($D878,Fontes!$B:$B,Fontes!$E:$E))))</f>
        <v>UN</v>
      </c>
      <c r="H878" s="439">
        <v>181</v>
      </c>
      <c r="I878" s="439">
        <f>IF($A878="M",_xlfn.XLOOKUP($D878,Mercado!$C:$C,Mercado!$I:$I),_xlfn.XLOOKUP($D878,Fontes!$B:$B,Fontes!$J:$J))</f>
        <v>35.74</v>
      </c>
      <c r="J878" s="252">
        <f>IF($A878="M",_xlfn.XLOOKUP($D878,Mercado!$C:$C,Mercado!$J:$J),_xlfn.XLOOKUP($D878,Fontes!$B:$B,Fontes!$H:$H))</f>
        <v>14.83</v>
      </c>
      <c r="K878" s="252">
        <f>IF($A878="M",0,_xlfn.XLOOKUP($D878,Fontes!$B:$B,Fontes!$I:$I))</f>
        <v>1.02</v>
      </c>
      <c r="L878" s="250">
        <f t="shared" si="92"/>
        <v>51.59</v>
      </c>
      <c r="M878" s="300">
        <f t="shared" si="95"/>
        <v>9337.7900000000009</v>
      </c>
      <c r="O878" s="517">
        <f t="shared" si="94"/>
        <v>9337.7900000000009</v>
      </c>
    </row>
    <row r="879" spans="1:15" ht="57.6" outlineLevel="4" x14ac:dyDescent="0.3">
      <c r="A879" s="35"/>
      <c r="B879" s="36"/>
      <c r="C879" s="495" t="s">
        <v>10521</v>
      </c>
      <c r="D879" s="479">
        <v>89590</v>
      </c>
      <c r="E879" s="249" t="str">
        <f>UPPER(IF($D879=0,"",IF($A879=4,_xlfn.XLOOKUP($D879,Mercado!$C:$C,Mercado!$E:$E),_xlfn.XLOOKUP($D879,Fontes!$B:$B,Fontes!$C:$C))))</f>
        <v>SINAPI</v>
      </c>
      <c r="F879" s="327" t="s">
        <v>69</v>
      </c>
      <c r="G879" s="249" t="str">
        <f>UPPER(IF($D879=0,"",IF($A879=4,_xlfn.XLOOKUP($D879,Mercado!$C:$C,Mercado!$G:$G),_xlfn.XLOOKUP($D879,Fontes!$B:$B,Fontes!$E:$E))))</f>
        <v>UN</v>
      </c>
      <c r="H879" s="439">
        <v>173</v>
      </c>
      <c r="I879" s="439">
        <f>IF($A879="M",_xlfn.XLOOKUP($D879,Mercado!$C:$C,Mercado!$I:$I),_xlfn.XLOOKUP($D879,Fontes!$B:$B,Fontes!$J:$J))</f>
        <v>119.56</v>
      </c>
      <c r="J879" s="252">
        <f>IF($A879="M",_xlfn.XLOOKUP($D879,Mercado!$C:$C,Mercado!$J:$J),_xlfn.XLOOKUP($D879,Fontes!$B:$B,Fontes!$H:$H))</f>
        <v>25.59</v>
      </c>
      <c r="K879" s="252">
        <f>IF($A879="M",0,_xlfn.XLOOKUP($D879,Fontes!$B:$B,Fontes!$I:$I))</f>
        <v>1.76</v>
      </c>
      <c r="L879" s="250">
        <f t="shared" si="92"/>
        <v>146.91</v>
      </c>
      <c r="M879" s="300">
        <f t="shared" si="95"/>
        <v>25415.43</v>
      </c>
      <c r="O879" s="517">
        <f t="shared" si="94"/>
        <v>25415.43</v>
      </c>
    </row>
    <row r="880" spans="1:15" ht="57.6" outlineLevel="4" x14ac:dyDescent="0.3">
      <c r="A880" s="35"/>
      <c r="B880" s="36"/>
      <c r="C880" s="495" t="s">
        <v>10522</v>
      </c>
      <c r="D880" s="479">
        <v>89582</v>
      </c>
      <c r="E880" s="249" t="str">
        <f>UPPER(IF($D880=0,"",IF($A880=4,_xlfn.XLOOKUP($D880,Mercado!$C:$C,Mercado!$E:$E),_xlfn.XLOOKUP($D880,Fontes!$B:$B,Fontes!$C:$C))))</f>
        <v>SINAPI</v>
      </c>
      <c r="F880" s="327" t="s">
        <v>66</v>
      </c>
      <c r="G880" s="249" t="str">
        <f>UPPER(IF($D880=0,"",IF($A880=4,_xlfn.XLOOKUP($D880,Mercado!$C:$C,Mercado!$G:$G),_xlfn.XLOOKUP($D880,Fontes!$B:$B,Fontes!$E:$E))))</f>
        <v>UN</v>
      </c>
      <c r="H880" s="439">
        <v>2</v>
      </c>
      <c r="I880" s="439">
        <f>IF($A880="M",_xlfn.XLOOKUP($D880,Mercado!$C:$C,Mercado!$I:$I),_xlfn.XLOOKUP($D880,Fontes!$B:$B,Fontes!$J:$J))</f>
        <v>29</v>
      </c>
      <c r="J880" s="252">
        <f>IF($A880="M",_xlfn.XLOOKUP($D880,Mercado!$C:$C,Mercado!$J:$J),_xlfn.XLOOKUP($D880,Fontes!$B:$B,Fontes!$H:$H))</f>
        <v>9.43</v>
      </c>
      <c r="K880" s="252">
        <f>IF($A880="M",0,_xlfn.XLOOKUP($D880,Fontes!$B:$B,Fontes!$I:$I))</f>
        <v>0.64</v>
      </c>
      <c r="L880" s="250">
        <f t="shared" si="92"/>
        <v>39.07</v>
      </c>
      <c r="M880" s="300">
        <f t="shared" si="95"/>
        <v>78.14</v>
      </c>
      <c r="O880" s="517">
        <f t="shared" si="94"/>
        <v>78.14</v>
      </c>
    </row>
    <row r="881" spans="1:15" ht="57.6" outlineLevel="4" x14ac:dyDescent="0.3">
      <c r="A881" s="35"/>
      <c r="B881" s="36"/>
      <c r="C881" s="495" t="s">
        <v>10523</v>
      </c>
      <c r="D881" s="479">
        <v>89585</v>
      </c>
      <c r="E881" s="249" t="str">
        <f>UPPER(IF($D881=0,"",IF($A881=4,_xlfn.XLOOKUP($D881,Mercado!$C:$C,Mercado!$E:$E),_xlfn.XLOOKUP($D881,Fontes!$B:$B,Fontes!$C:$C))))</f>
        <v>SINAPI</v>
      </c>
      <c r="F881" s="327" t="s">
        <v>68</v>
      </c>
      <c r="G881" s="249" t="str">
        <f>UPPER(IF($D881=0,"",IF($A881=4,_xlfn.XLOOKUP($D881,Mercado!$C:$C,Mercado!$G:$G),_xlfn.XLOOKUP($D881,Fontes!$B:$B,Fontes!$E:$E))))</f>
        <v>UN</v>
      </c>
      <c r="H881" s="252">
        <v>14</v>
      </c>
      <c r="I881" s="252">
        <f>IF($A881="M",_xlfn.XLOOKUP($D881,Mercado!$C:$C,Mercado!$I:$I),_xlfn.XLOOKUP($D881,Fontes!$B:$B,Fontes!$J:$J))</f>
        <v>36.83</v>
      </c>
      <c r="J881" s="252">
        <f>IF($A881="M",_xlfn.XLOOKUP($D881,Mercado!$C:$C,Mercado!$J:$J),_xlfn.XLOOKUP($D881,Fontes!$B:$B,Fontes!$H:$H))</f>
        <v>14.83</v>
      </c>
      <c r="K881" s="252">
        <f>IF($A881="M",0,_xlfn.XLOOKUP($D881,Fontes!$B:$B,Fontes!$I:$I))</f>
        <v>1.02</v>
      </c>
      <c r="L881" s="250">
        <f t="shared" si="92"/>
        <v>52.68</v>
      </c>
      <c r="M881" s="300">
        <f t="shared" si="95"/>
        <v>737.52</v>
      </c>
      <c r="O881" s="517">
        <f t="shared" si="94"/>
        <v>737.52</v>
      </c>
    </row>
    <row r="882" spans="1:15" ht="57.6" outlineLevel="4" x14ac:dyDescent="0.3">
      <c r="A882" s="35"/>
      <c r="B882" s="36"/>
      <c r="C882" s="495" t="s">
        <v>10524</v>
      </c>
      <c r="D882" s="479">
        <v>89591</v>
      </c>
      <c r="E882" s="249" t="str">
        <f>UPPER(IF($D882=0,"",IF($A882=4,_xlfn.XLOOKUP($D882,Mercado!$C:$C,Mercado!$E:$E),_xlfn.XLOOKUP($D882,Fontes!$B:$B,Fontes!$C:$C))))</f>
        <v>SINAPI</v>
      </c>
      <c r="F882" s="327" t="s">
        <v>70</v>
      </c>
      <c r="G882" s="249" t="str">
        <f>UPPER(IF($D882=0,"",IF($A882=4,_xlfn.XLOOKUP($D882,Mercado!$C:$C,Mercado!$G:$G),_xlfn.XLOOKUP($D882,Fontes!$B:$B,Fontes!$E:$E))))</f>
        <v>UN</v>
      </c>
      <c r="H882" s="252">
        <v>13</v>
      </c>
      <c r="I882" s="252">
        <f>IF($A882="M",_xlfn.XLOOKUP($D882,Mercado!$C:$C,Mercado!$I:$I),_xlfn.XLOOKUP($D882,Fontes!$B:$B,Fontes!$J:$J))</f>
        <v>116.22</v>
      </c>
      <c r="J882" s="252">
        <f>IF($A882="M",_xlfn.XLOOKUP($D882,Mercado!$C:$C,Mercado!$J:$J),_xlfn.XLOOKUP($D882,Fontes!$B:$B,Fontes!$H:$H))</f>
        <v>25.59</v>
      </c>
      <c r="K882" s="252">
        <f>IF($A882="M",0,_xlfn.XLOOKUP($D882,Fontes!$B:$B,Fontes!$I:$I))</f>
        <v>1.76</v>
      </c>
      <c r="L882" s="250">
        <f t="shared" si="92"/>
        <v>143.57</v>
      </c>
      <c r="M882" s="300">
        <f t="shared" si="95"/>
        <v>1866.41</v>
      </c>
      <c r="O882" s="517">
        <f t="shared" si="94"/>
        <v>1866.41</v>
      </c>
    </row>
    <row r="883" spans="1:15" ht="57.6" outlineLevel="4" x14ac:dyDescent="0.3">
      <c r="A883" s="35"/>
      <c r="B883" s="36"/>
      <c r="C883" s="495" t="s">
        <v>10525</v>
      </c>
      <c r="D883" s="479">
        <v>89685</v>
      </c>
      <c r="E883" s="249" t="str">
        <f>UPPER(IF($D883=0,"",IF($A883=4,_xlfn.XLOOKUP($D883,Mercado!$C:$C,Mercado!$E:$E),_xlfn.XLOOKUP($D883,Fontes!$B:$B,Fontes!$C:$C))))</f>
        <v>SINAPI</v>
      </c>
      <c r="F883" s="327" t="s">
        <v>84</v>
      </c>
      <c r="G883" s="249" t="str">
        <f>UPPER(IF($D883=0,"",IF($A883=4,_xlfn.XLOOKUP($D883,Mercado!$C:$C,Mercado!$G:$G),_xlfn.XLOOKUP($D883,Fontes!$B:$B,Fontes!$E:$E))))</f>
        <v>UN</v>
      </c>
      <c r="H883" s="252">
        <v>1</v>
      </c>
      <c r="I883" s="252">
        <f>IF($A883="M",_xlfn.XLOOKUP($D883,Mercado!$C:$C,Mercado!$I:$I),_xlfn.XLOOKUP($D883,Fontes!$B:$B,Fontes!$J:$J))</f>
        <v>54.77</v>
      </c>
      <c r="J883" s="252">
        <f>IF($A883="M",_xlfn.XLOOKUP($D883,Mercado!$C:$C,Mercado!$J:$J),_xlfn.XLOOKUP($D883,Fontes!$B:$B,Fontes!$H:$H))</f>
        <v>12.58</v>
      </c>
      <c r="K883" s="252">
        <f>IF($A883="M",0,_xlfn.XLOOKUP($D883,Fontes!$B:$B,Fontes!$I:$I))</f>
        <v>0.86</v>
      </c>
      <c r="L883" s="250">
        <f t="shared" si="92"/>
        <v>68.210000000000008</v>
      </c>
      <c r="M883" s="300">
        <f t="shared" si="95"/>
        <v>68.209999999999994</v>
      </c>
      <c r="O883" s="517">
        <f t="shared" si="94"/>
        <v>68.209999999999994</v>
      </c>
    </row>
    <row r="884" spans="1:15" ht="57.6" outlineLevel="4" x14ac:dyDescent="0.3">
      <c r="A884" s="35"/>
      <c r="B884" s="36"/>
      <c r="C884" s="495" t="s">
        <v>10526</v>
      </c>
      <c r="D884" s="479">
        <v>89692</v>
      </c>
      <c r="E884" s="249" t="str">
        <f>UPPER(IF($D884=0,"",IF($A884=4,_xlfn.XLOOKUP($D884,Mercado!$C:$C,Mercado!$E:$E),_xlfn.XLOOKUP($D884,Fontes!$B:$B,Fontes!$C:$C))))</f>
        <v>SINAPI</v>
      </c>
      <c r="F884" s="327" t="s">
        <v>87</v>
      </c>
      <c r="G884" s="249" t="str">
        <f>UPPER(IF($D884=0,"",IF($A884=4,_xlfn.XLOOKUP($D884,Mercado!$C:$C,Mercado!$G:$G),_xlfn.XLOOKUP($D884,Fontes!$B:$B,Fontes!$E:$E))))</f>
        <v>UN</v>
      </c>
      <c r="H884" s="252">
        <v>1</v>
      </c>
      <c r="I884" s="252">
        <f>IF($A884="M",_xlfn.XLOOKUP($D884,Mercado!$C:$C,Mercado!$I:$I),_xlfn.XLOOKUP($D884,Fontes!$B:$B,Fontes!$J:$J))</f>
        <v>93.62</v>
      </c>
      <c r="J884" s="252">
        <f>IF($A884="M",_xlfn.XLOOKUP($D884,Mercado!$C:$C,Mercado!$J:$J),_xlfn.XLOOKUP($D884,Fontes!$B:$B,Fontes!$H:$H))</f>
        <v>17.37</v>
      </c>
      <c r="K884" s="252">
        <f>IF($A884="M",0,_xlfn.XLOOKUP($D884,Fontes!$B:$B,Fontes!$I:$I))</f>
        <v>1.18</v>
      </c>
      <c r="L884" s="250">
        <f t="shared" si="92"/>
        <v>112.17000000000002</v>
      </c>
      <c r="M884" s="300">
        <f t="shared" si="95"/>
        <v>112.17</v>
      </c>
      <c r="O884" s="517">
        <f t="shared" si="94"/>
        <v>112.17</v>
      </c>
    </row>
    <row r="885" spans="1:15" ht="57.6" outlineLevel="4" x14ac:dyDescent="0.3">
      <c r="A885" s="35"/>
      <c r="B885" s="36"/>
      <c r="C885" s="495" t="s">
        <v>10527</v>
      </c>
      <c r="D885" s="479">
        <v>89690</v>
      </c>
      <c r="E885" s="249" t="str">
        <f>UPPER(IF($D885=0,"",IF($A885=4,_xlfn.XLOOKUP($D885,Mercado!$C:$C,Mercado!$E:$E),_xlfn.XLOOKUP($D885,Fontes!$B:$B,Fontes!$C:$C))))</f>
        <v>SINAPI</v>
      </c>
      <c r="F885" s="327" t="s">
        <v>86</v>
      </c>
      <c r="G885" s="249" t="str">
        <f>UPPER(IF($D885=0,"",IF($A885=4,_xlfn.XLOOKUP($D885,Mercado!$C:$C,Mercado!$G:$G),_xlfn.XLOOKUP($D885,Fontes!$B:$B,Fontes!$E:$E))))</f>
        <v>UN</v>
      </c>
      <c r="H885" s="252">
        <v>2</v>
      </c>
      <c r="I885" s="252">
        <f>IF($A885="M",_xlfn.XLOOKUP($D885,Mercado!$C:$C,Mercado!$I:$I),_xlfn.XLOOKUP($D885,Fontes!$B:$B,Fontes!$J:$J))</f>
        <v>79.64</v>
      </c>
      <c r="J885" s="252">
        <f>IF($A885="M",_xlfn.XLOOKUP($D885,Mercado!$C:$C,Mercado!$J:$J),_xlfn.XLOOKUP($D885,Fontes!$B:$B,Fontes!$H:$H))</f>
        <v>19.760000000000002</v>
      </c>
      <c r="K885" s="252">
        <f>IF($A885="M",0,_xlfn.XLOOKUP($D885,Fontes!$B:$B,Fontes!$I:$I))</f>
        <v>1.36</v>
      </c>
      <c r="L885" s="250">
        <f t="shared" si="92"/>
        <v>100.76</v>
      </c>
      <c r="M885" s="300">
        <f t="shared" si="95"/>
        <v>201.52</v>
      </c>
      <c r="O885" s="517">
        <f t="shared" si="94"/>
        <v>201.52</v>
      </c>
    </row>
    <row r="886" spans="1:15" ht="57.6" outlineLevel="4" x14ac:dyDescent="0.3">
      <c r="A886" s="35"/>
      <c r="B886" s="36"/>
      <c r="C886" s="495" t="s">
        <v>10528</v>
      </c>
      <c r="D886" s="479">
        <v>89699</v>
      </c>
      <c r="E886" s="249" t="str">
        <f>UPPER(IF($D886=0,"",IF($A886=4,_xlfn.XLOOKUP($D886,Mercado!$C:$C,Mercado!$E:$E),_xlfn.XLOOKUP($D886,Fontes!$B:$B,Fontes!$C:$C))))</f>
        <v>SINAPI</v>
      </c>
      <c r="F886" s="327" t="s">
        <v>90</v>
      </c>
      <c r="G886" s="249" t="str">
        <f>UPPER(IF($D886=0,"",IF($A886=4,_xlfn.XLOOKUP($D886,Mercado!$C:$C,Mercado!$G:$G),_xlfn.XLOOKUP($D886,Fontes!$B:$B,Fontes!$E:$E))))</f>
        <v>UN</v>
      </c>
      <c r="H886" s="252">
        <v>1</v>
      </c>
      <c r="I886" s="252">
        <f>IF($A886="M",_xlfn.XLOOKUP($D886,Mercado!$C:$C,Mercado!$I:$I),_xlfn.XLOOKUP($D886,Fontes!$B:$B,Fontes!$J:$J))</f>
        <v>186.42</v>
      </c>
      <c r="J886" s="252">
        <f>IF($A886="M",_xlfn.XLOOKUP($D886,Mercado!$C:$C,Mercado!$J:$J),_xlfn.XLOOKUP($D886,Fontes!$B:$B,Fontes!$H:$H))</f>
        <v>29.34</v>
      </c>
      <c r="K886" s="252">
        <f>IF($A886="M",0,_xlfn.XLOOKUP($D886,Fontes!$B:$B,Fontes!$I:$I))</f>
        <v>2</v>
      </c>
      <c r="L886" s="250">
        <f t="shared" si="92"/>
        <v>217.76</v>
      </c>
      <c r="M886" s="300">
        <f t="shared" si="95"/>
        <v>217.76</v>
      </c>
      <c r="O886" s="517">
        <f t="shared" si="94"/>
        <v>217.76</v>
      </c>
    </row>
    <row r="887" spans="1:15" ht="57.6" outlineLevel="4" x14ac:dyDescent="0.3">
      <c r="A887" s="35"/>
      <c r="B887" s="36"/>
      <c r="C887" s="495" t="s">
        <v>10529</v>
      </c>
      <c r="D887" s="479">
        <v>89698</v>
      </c>
      <c r="E887" s="249" t="str">
        <f>UPPER(IF($D887=0,"",IF($A887=4,_xlfn.XLOOKUP($D887,Mercado!$C:$C,Mercado!$E:$E),_xlfn.XLOOKUP($D887,Fontes!$B:$B,Fontes!$C:$C))))</f>
        <v>SINAPI</v>
      </c>
      <c r="F887" s="327" t="s">
        <v>89</v>
      </c>
      <c r="G887" s="249" t="str">
        <f>UPPER(IF($D887=0,"",IF($A887=4,_xlfn.XLOOKUP($D887,Mercado!$C:$C,Mercado!$G:$G),_xlfn.XLOOKUP($D887,Fontes!$B:$B,Fontes!$E:$E))))</f>
        <v>UN</v>
      </c>
      <c r="H887" s="252">
        <v>4</v>
      </c>
      <c r="I887" s="252">
        <f>IF($A887="M",_xlfn.XLOOKUP($D887,Mercado!$C:$C,Mercado!$I:$I),_xlfn.XLOOKUP($D887,Fontes!$B:$B,Fontes!$J:$J))</f>
        <v>249.7</v>
      </c>
      <c r="J887" s="252">
        <f>IF($A887="M",_xlfn.XLOOKUP($D887,Mercado!$C:$C,Mercado!$J:$J),_xlfn.XLOOKUP($D887,Fontes!$B:$B,Fontes!$H:$H))</f>
        <v>34.130000000000003</v>
      </c>
      <c r="K887" s="252">
        <f>IF($A887="M",0,_xlfn.XLOOKUP($D887,Fontes!$B:$B,Fontes!$I:$I))</f>
        <v>2.34</v>
      </c>
      <c r="L887" s="250">
        <f t="shared" si="92"/>
        <v>286.16999999999996</v>
      </c>
      <c r="M887" s="300">
        <f t="shared" si="95"/>
        <v>1144.68</v>
      </c>
      <c r="O887" s="517">
        <f t="shared" si="94"/>
        <v>1144.68</v>
      </c>
    </row>
    <row r="888" spans="1:15" ht="57.6" outlineLevel="4" x14ac:dyDescent="0.3">
      <c r="A888" s="35"/>
      <c r="B888" s="36"/>
      <c r="C888" s="495" t="s">
        <v>10530</v>
      </c>
      <c r="D888" s="479">
        <v>89687</v>
      </c>
      <c r="E888" s="249" t="str">
        <f>UPPER(IF($D888=0,"",IF($A888=4,_xlfn.XLOOKUP($D888,Mercado!$C:$C,Mercado!$E:$E),_xlfn.XLOOKUP($D888,Fontes!$B:$B,Fontes!$C:$C))))</f>
        <v>SINAPI</v>
      </c>
      <c r="F888" s="327" t="s">
        <v>85</v>
      </c>
      <c r="G888" s="249" t="str">
        <f>UPPER(IF($D888=0,"",IF($A888=4,_xlfn.XLOOKUP($D888,Mercado!$C:$C,Mercado!$G:$G),_xlfn.XLOOKUP($D888,Fontes!$B:$B,Fontes!$E:$E))))</f>
        <v>UN</v>
      </c>
      <c r="H888" s="252">
        <v>2</v>
      </c>
      <c r="I888" s="252">
        <f>IF($A888="M",_xlfn.XLOOKUP($D888,Mercado!$C:$C,Mercado!$I:$I),_xlfn.XLOOKUP($D888,Fontes!$B:$B,Fontes!$J:$J))</f>
        <v>45.96</v>
      </c>
      <c r="J888" s="252">
        <f>IF($A888="M",_xlfn.XLOOKUP($D888,Mercado!$C:$C,Mercado!$J:$J),_xlfn.XLOOKUP($D888,Fontes!$B:$B,Fontes!$H:$H))</f>
        <v>12.58</v>
      </c>
      <c r="K888" s="252">
        <f>IF($A888="M",0,_xlfn.XLOOKUP($D888,Fontes!$B:$B,Fontes!$I:$I))</f>
        <v>0.86</v>
      </c>
      <c r="L888" s="250">
        <f t="shared" si="92"/>
        <v>59.4</v>
      </c>
      <c r="M888" s="300">
        <f t="shared" si="95"/>
        <v>118.8</v>
      </c>
      <c r="O888" s="517">
        <f t="shared" si="94"/>
        <v>118.8</v>
      </c>
    </row>
    <row r="889" spans="1:15" ht="57.6" outlineLevel="4" x14ac:dyDescent="0.3">
      <c r="A889" s="35"/>
      <c r="B889" s="36"/>
      <c r="C889" s="495" t="s">
        <v>10531</v>
      </c>
      <c r="D889" s="479">
        <v>89693</v>
      </c>
      <c r="E889" s="249" t="str">
        <f>UPPER(IF($D889=0,"",IF($A889=4,_xlfn.XLOOKUP($D889,Mercado!$C:$C,Mercado!$E:$E),_xlfn.XLOOKUP($D889,Fontes!$B:$B,Fontes!$C:$C))))</f>
        <v>SINAPI</v>
      </c>
      <c r="F889" s="327" t="s">
        <v>88</v>
      </c>
      <c r="G889" s="249" t="str">
        <f>UPPER(IF($D889=0,"",IF($A889=4,_xlfn.XLOOKUP($D889,Mercado!$C:$C,Mercado!$G:$G),_xlfn.XLOOKUP($D889,Fontes!$B:$B,Fontes!$E:$E))))</f>
        <v>UN</v>
      </c>
      <c r="H889" s="252">
        <v>6</v>
      </c>
      <c r="I889" s="252">
        <f>IF($A889="M",_xlfn.XLOOKUP($D889,Mercado!$C:$C,Mercado!$I:$I),_xlfn.XLOOKUP($D889,Fontes!$B:$B,Fontes!$J:$J))</f>
        <v>68.55</v>
      </c>
      <c r="J889" s="252">
        <f>IF($A889="M",_xlfn.XLOOKUP($D889,Mercado!$C:$C,Mercado!$J:$J),_xlfn.XLOOKUP($D889,Fontes!$B:$B,Fontes!$H:$H))</f>
        <v>19.760000000000002</v>
      </c>
      <c r="K889" s="252">
        <f>IF($A889="M",0,_xlfn.XLOOKUP($D889,Fontes!$B:$B,Fontes!$I:$I))</f>
        <v>1.36</v>
      </c>
      <c r="L889" s="250">
        <f t="shared" si="92"/>
        <v>89.67</v>
      </c>
      <c r="M889" s="300">
        <f t="shared" si="95"/>
        <v>538.02</v>
      </c>
      <c r="O889" s="517">
        <f t="shared" si="94"/>
        <v>538.02</v>
      </c>
    </row>
    <row r="890" spans="1:15" ht="57.6" outlineLevel="4" x14ac:dyDescent="0.3">
      <c r="A890" s="35"/>
      <c r="B890" s="36"/>
      <c r="C890" s="495" t="s">
        <v>10532</v>
      </c>
      <c r="D890" s="479">
        <v>89599</v>
      </c>
      <c r="E890" s="249" t="str">
        <f>UPPER(IF($D890=0,"",IF($A890=4,_xlfn.XLOOKUP($D890,Mercado!$C:$C,Mercado!$E:$E),_xlfn.XLOOKUP($D890,Fontes!$B:$B,Fontes!$C:$C))))</f>
        <v>SINAPI</v>
      </c>
      <c r="F890" s="327" t="s">
        <v>73</v>
      </c>
      <c r="G890" s="249" t="str">
        <f>UPPER(IF($D890=0,"",IF($A890=4,_xlfn.XLOOKUP($D890,Mercado!$C:$C,Mercado!$G:$G),_xlfn.XLOOKUP($D890,Fontes!$B:$B,Fontes!$E:$E))))</f>
        <v>UN</v>
      </c>
      <c r="H890" s="252">
        <v>7</v>
      </c>
      <c r="I890" s="252">
        <f>IF($A890="M",_xlfn.XLOOKUP($D890,Mercado!$C:$C,Mercado!$I:$I),_xlfn.XLOOKUP($D890,Fontes!$B:$B,Fontes!$J:$J))</f>
        <v>22.05</v>
      </c>
      <c r="J890" s="252">
        <f>IF($A890="M",_xlfn.XLOOKUP($D890,Mercado!$C:$C,Mercado!$J:$J),_xlfn.XLOOKUP($D890,Fontes!$B:$B,Fontes!$H:$H))</f>
        <v>6.29</v>
      </c>
      <c r="K890" s="252">
        <f>IF($A890="M",0,_xlfn.XLOOKUP($D890,Fontes!$B:$B,Fontes!$I:$I))</f>
        <v>0.44</v>
      </c>
      <c r="L890" s="250">
        <f t="shared" si="92"/>
        <v>28.78</v>
      </c>
      <c r="M890" s="300">
        <f t="shared" si="95"/>
        <v>201.46</v>
      </c>
      <c r="O890" s="517">
        <f t="shared" si="94"/>
        <v>201.46</v>
      </c>
    </row>
    <row r="891" spans="1:15" ht="57.6" outlineLevel="4" x14ac:dyDescent="0.3">
      <c r="A891" s="35"/>
      <c r="B891" s="36"/>
      <c r="C891" s="495" t="s">
        <v>10533</v>
      </c>
      <c r="D891" s="479">
        <v>89669</v>
      </c>
      <c r="E891" s="249" t="str">
        <f>UPPER(IF($D891=0,"",IF($A891=4,_xlfn.XLOOKUP($D891,Mercado!$C:$C,Mercado!$E:$E),_xlfn.XLOOKUP($D891,Fontes!$B:$B,Fontes!$C:$C))))</f>
        <v>SINAPI</v>
      </c>
      <c r="F891" s="327" t="s">
        <v>81</v>
      </c>
      <c r="G891" s="249" t="str">
        <f>UPPER(IF($D891=0,"",IF($A891=4,_xlfn.XLOOKUP($D891,Mercado!$C:$C,Mercado!$G:$G),_xlfn.XLOOKUP($D891,Fontes!$B:$B,Fontes!$E:$E))))</f>
        <v>UN</v>
      </c>
      <c r="H891" s="252">
        <v>52</v>
      </c>
      <c r="I891" s="252">
        <f>IF($A891="M",_xlfn.XLOOKUP($D891,Mercado!$C:$C,Mercado!$I:$I),_xlfn.XLOOKUP($D891,Fontes!$B:$B,Fontes!$J:$J))</f>
        <v>28.35</v>
      </c>
      <c r="J891" s="252">
        <f>IF($A891="M",_xlfn.XLOOKUP($D891,Mercado!$C:$C,Mercado!$J:$J),_xlfn.XLOOKUP($D891,Fontes!$B:$B,Fontes!$H:$H))</f>
        <v>9.8800000000000008</v>
      </c>
      <c r="K891" s="252">
        <f>IF($A891="M",0,_xlfn.XLOOKUP($D891,Fontes!$B:$B,Fontes!$I:$I))</f>
        <v>0.68</v>
      </c>
      <c r="L891" s="250">
        <f t="shared" si="92"/>
        <v>38.910000000000004</v>
      </c>
      <c r="M891" s="300">
        <f t="shared" si="95"/>
        <v>2023.32</v>
      </c>
      <c r="O891" s="517">
        <f t="shared" si="94"/>
        <v>2023.32</v>
      </c>
    </row>
    <row r="892" spans="1:15" ht="57.6" outlineLevel="4" x14ac:dyDescent="0.3">
      <c r="A892" s="35"/>
      <c r="B892" s="36"/>
      <c r="C892" s="495" t="s">
        <v>10534</v>
      </c>
      <c r="D892" s="479">
        <v>95693</v>
      </c>
      <c r="E892" s="249" t="str">
        <f>UPPER(IF($D892=0,"",IF($A892=4,_xlfn.XLOOKUP($D892,Mercado!$C:$C,Mercado!$E:$E),_xlfn.XLOOKUP($D892,Fontes!$B:$B,Fontes!$C:$C))))</f>
        <v>SINAPI</v>
      </c>
      <c r="F892" s="327" t="s">
        <v>117</v>
      </c>
      <c r="G892" s="249" t="str">
        <f>UPPER(IF($D892=0,"",IF($A892=4,_xlfn.XLOOKUP($D892,Mercado!$C:$C,Mercado!$G:$G),_xlfn.XLOOKUP($D892,Fontes!$B:$B,Fontes!$E:$E))))</f>
        <v>UN</v>
      </c>
      <c r="H892" s="252">
        <v>44</v>
      </c>
      <c r="I892" s="252">
        <f>IF($A892="M",_xlfn.XLOOKUP($D892,Mercado!$C:$C,Mercado!$I:$I),_xlfn.XLOOKUP($D892,Fontes!$B:$B,Fontes!$J:$J))</f>
        <v>45.67</v>
      </c>
      <c r="J892" s="252">
        <f>IF($A892="M",_xlfn.XLOOKUP($D892,Mercado!$C:$C,Mercado!$J:$J),_xlfn.XLOOKUP($D892,Fontes!$B:$B,Fontes!$H:$H))</f>
        <v>13.05</v>
      </c>
      <c r="K892" s="252">
        <f>IF($A892="M",0,_xlfn.XLOOKUP($D892,Fontes!$B:$B,Fontes!$I:$I))</f>
        <v>0.9</v>
      </c>
      <c r="L892" s="250">
        <f t="shared" si="92"/>
        <v>59.62</v>
      </c>
      <c r="M892" s="300">
        <f t="shared" si="95"/>
        <v>2623.28</v>
      </c>
      <c r="O892" s="517">
        <f t="shared" si="94"/>
        <v>2623.28</v>
      </c>
    </row>
    <row r="893" spans="1:15" ht="57.6" outlineLevel="4" x14ac:dyDescent="0.3">
      <c r="A893" s="35"/>
      <c r="B893" s="36"/>
      <c r="C893" s="495" t="s">
        <v>10535</v>
      </c>
      <c r="D893" s="479">
        <v>89673</v>
      </c>
      <c r="E893" s="249" t="str">
        <f>UPPER(IF($D893=0,"",IF($A893=4,_xlfn.XLOOKUP($D893,Mercado!$C:$C,Mercado!$E:$E),_xlfn.XLOOKUP($D893,Fontes!$B:$B,Fontes!$C:$C))))</f>
        <v>SINAPI</v>
      </c>
      <c r="F893" s="327" t="s">
        <v>82</v>
      </c>
      <c r="G893" s="249" t="str">
        <f>UPPER(IF($D893=0,"",IF($A893=4,_xlfn.XLOOKUP($D893,Mercado!$C:$C,Mercado!$G:$G),_xlfn.XLOOKUP($D893,Fontes!$B:$B,Fontes!$E:$E))))</f>
        <v>UN</v>
      </c>
      <c r="H893" s="252">
        <v>6</v>
      </c>
      <c r="I893" s="252">
        <f>IF($A893="M",_xlfn.XLOOKUP($D893,Mercado!$C:$C,Mercado!$I:$I),_xlfn.XLOOKUP($D893,Fontes!$B:$B,Fontes!$J:$J))</f>
        <v>31.29</v>
      </c>
      <c r="J893" s="252">
        <f>IF($A893="M",_xlfn.XLOOKUP($D893,Mercado!$C:$C,Mercado!$J:$J),_xlfn.XLOOKUP($D893,Fontes!$B:$B,Fontes!$H:$H))</f>
        <v>8.08</v>
      </c>
      <c r="K893" s="252">
        <f>IF($A893="M",0,_xlfn.XLOOKUP($D893,Fontes!$B:$B,Fontes!$I:$I))</f>
        <v>0.56000000000000005</v>
      </c>
      <c r="L893" s="250">
        <f t="shared" si="92"/>
        <v>39.93</v>
      </c>
      <c r="M893" s="300">
        <f t="shared" si="95"/>
        <v>239.58</v>
      </c>
      <c r="O893" s="517">
        <f t="shared" si="94"/>
        <v>239.58</v>
      </c>
    </row>
    <row r="894" spans="1:15" ht="57.6" outlineLevel="4" x14ac:dyDescent="0.3">
      <c r="A894" s="35"/>
      <c r="B894" s="36"/>
      <c r="C894" s="495" t="s">
        <v>10536</v>
      </c>
      <c r="D894" s="479">
        <v>89681</v>
      </c>
      <c r="E894" s="249" t="str">
        <f>UPPER(IF($D894=0,"",IF($A894=4,_xlfn.XLOOKUP($D894,Mercado!$C:$C,Mercado!$E:$E),_xlfn.XLOOKUP($D894,Fontes!$B:$B,Fontes!$C:$C))))</f>
        <v>SINAPI</v>
      </c>
      <c r="F894" s="327" t="s">
        <v>83</v>
      </c>
      <c r="G894" s="249" t="str">
        <f>UPPER(IF($D894=0,"",IF($A894=4,_xlfn.XLOOKUP($D894,Mercado!$C:$C,Mercado!$G:$G),_xlfn.XLOOKUP($D894,Fontes!$B:$B,Fontes!$E:$E))))</f>
        <v>UN</v>
      </c>
      <c r="H894" s="252">
        <v>18</v>
      </c>
      <c r="I894" s="252">
        <f>IF($A894="M",_xlfn.XLOOKUP($D894,Mercado!$C:$C,Mercado!$I:$I),_xlfn.XLOOKUP($D894,Fontes!$B:$B,Fontes!$J:$J))</f>
        <v>83.18</v>
      </c>
      <c r="J894" s="252">
        <f>IF($A894="M",_xlfn.XLOOKUP($D894,Mercado!$C:$C,Mercado!$J:$J),_xlfn.XLOOKUP($D894,Fontes!$B:$B,Fontes!$H:$H))</f>
        <v>13.48</v>
      </c>
      <c r="K894" s="252">
        <f>IF($A894="M",0,_xlfn.XLOOKUP($D894,Fontes!$B:$B,Fontes!$I:$I))</f>
        <v>0.92</v>
      </c>
      <c r="L894" s="250">
        <f t="shared" si="92"/>
        <v>97.580000000000013</v>
      </c>
      <c r="M894" s="300">
        <f t="shared" si="95"/>
        <v>1756.44</v>
      </c>
      <c r="O894" s="517">
        <f t="shared" si="94"/>
        <v>1756.44</v>
      </c>
    </row>
    <row r="895" spans="1:15" ht="57.6" outlineLevel="4" x14ac:dyDescent="0.3">
      <c r="A895" s="35"/>
      <c r="B895" s="36"/>
      <c r="C895" s="495" t="s">
        <v>10537</v>
      </c>
      <c r="D895" s="479">
        <v>89681</v>
      </c>
      <c r="E895" s="249" t="str">
        <f>UPPER(IF($D895=0,"",IF($A895=4,_xlfn.XLOOKUP($D895,Mercado!$C:$C,Mercado!$E:$E),_xlfn.XLOOKUP($D895,Fontes!$B:$B,Fontes!$C:$C))))</f>
        <v>SINAPI</v>
      </c>
      <c r="F895" s="328" t="s">
        <v>83</v>
      </c>
      <c r="G895" s="249" t="str">
        <f>UPPER(IF($D895=0,"",IF($A895=4,_xlfn.XLOOKUP($D895,Mercado!$C:$C,Mercado!$G:$G),_xlfn.XLOOKUP($D895,Fontes!$B:$B,Fontes!$E:$E))))</f>
        <v>UN</v>
      </c>
      <c r="H895" s="252">
        <v>7</v>
      </c>
      <c r="I895" s="252">
        <f>IF($A895="M",_xlfn.XLOOKUP($D895,Mercado!$C:$C,Mercado!$I:$I),_xlfn.XLOOKUP($D895,Fontes!$B:$B,Fontes!$J:$J))</f>
        <v>83.18</v>
      </c>
      <c r="J895" s="252">
        <f>IF($A895="M",_xlfn.XLOOKUP($D895,Mercado!$C:$C,Mercado!$J:$J),_xlfn.XLOOKUP($D895,Fontes!$B:$B,Fontes!$H:$H))</f>
        <v>13.48</v>
      </c>
      <c r="K895" s="252">
        <f>IF($A895="M",0,_xlfn.XLOOKUP($D895,Fontes!$B:$B,Fontes!$I:$I))</f>
        <v>0.92</v>
      </c>
      <c r="L895" s="250">
        <f t="shared" si="92"/>
        <v>97.580000000000013</v>
      </c>
      <c r="M895" s="300">
        <f t="shared" si="95"/>
        <v>683.06</v>
      </c>
      <c r="O895" s="517">
        <f t="shared" si="94"/>
        <v>683.06</v>
      </c>
    </row>
    <row r="896" spans="1:15" outlineLevel="4" x14ac:dyDescent="0.3">
      <c r="A896" s="35"/>
      <c r="B896" s="36"/>
      <c r="C896" s="495" t="s">
        <v>10538</v>
      </c>
      <c r="D896" s="479">
        <v>4763</v>
      </c>
      <c r="E896" s="249" t="str">
        <f>UPPER(IF($D896=0,"",IF($A896=4,_xlfn.XLOOKUP($D896,Mercado!$C:$C,Mercado!$E:$E),_xlfn.XLOOKUP($D896,Fontes!$B:$B,Fontes!$C:$C))))</f>
        <v>ORSE</v>
      </c>
      <c r="F896" s="327" t="s">
        <v>3643</v>
      </c>
      <c r="G896" s="249" t="str">
        <f>UPPER(IF($D896=0,"",IF($A896=4,_xlfn.XLOOKUP($D896,Mercado!$C:$C,Mercado!$G:$G),_xlfn.XLOOKUP($D896,Fontes!$B:$B,Fontes!$E:$E))))</f>
        <v>UN</v>
      </c>
      <c r="H896" s="252">
        <v>4</v>
      </c>
      <c r="I896" s="252">
        <f>IF($A896="M",_xlfn.XLOOKUP($D896,Mercado!$C:$C,Mercado!$I:$I),_xlfn.XLOOKUP($D896,Fontes!$B:$B,Fontes!$J:$J))</f>
        <v>62.29</v>
      </c>
      <c r="J896" s="252">
        <f>IF($A896="M",_xlfn.XLOOKUP($D896,Mercado!$C:$C,Mercado!$J:$J),_xlfn.XLOOKUP($D896,Fontes!$B:$B,Fontes!$H:$H))</f>
        <v>4.32</v>
      </c>
      <c r="K896" s="252">
        <f>IF($A896="M",0,_xlfn.XLOOKUP($D896,Fontes!$B:$B,Fontes!$I:$I))</f>
        <v>0</v>
      </c>
      <c r="L896" s="250">
        <f t="shared" si="92"/>
        <v>66.61</v>
      </c>
      <c r="M896" s="300">
        <f t="shared" si="95"/>
        <v>266.44</v>
      </c>
      <c r="O896" s="517">
        <f t="shared" si="94"/>
        <v>266.44</v>
      </c>
    </row>
    <row r="897" spans="1:15" outlineLevel="4" x14ac:dyDescent="0.3">
      <c r="A897" s="36" t="s">
        <v>7</v>
      </c>
      <c r="B897" s="36"/>
      <c r="C897" s="495" t="s">
        <v>781</v>
      </c>
      <c r="D897" s="249"/>
      <c r="E897" s="249" t="str">
        <f>UPPER(IF($D897=0,"",IF($A897=4,_xlfn.XLOOKUP($D897,Mercado!$C:$C,Mercado!$E:$E),_xlfn.XLOOKUP($D897,Fontes!$B:$B,Fontes!$C:$C))))</f>
        <v/>
      </c>
      <c r="F897" s="327" t="s">
        <v>781</v>
      </c>
      <c r="G897" s="249"/>
      <c r="H897" s="252"/>
      <c r="I897" s="252">
        <f>IF($A897="M",_xlfn.XLOOKUP($D897,Mercado!$C:$C,Mercado!$I:$I),_xlfn.XLOOKUP($D897,Fontes!$B:$B,Fontes!$J:$J))</f>
        <v>0</v>
      </c>
      <c r="J897" s="252">
        <f>IF($A897="M",_xlfn.XLOOKUP($D897,Mercado!$C:$C,Mercado!$J:$J),_xlfn.XLOOKUP($D897,Fontes!$B:$B,Fontes!$H:$H))</f>
        <v>0</v>
      </c>
      <c r="K897" s="252">
        <f>IF($A897="M",0,_xlfn.XLOOKUP($D897,Fontes!$B:$B,Fontes!$I:$I))</f>
        <v>0</v>
      </c>
      <c r="L897" s="250">
        <f t="shared" si="92"/>
        <v>0</v>
      </c>
      <c r="M897" s="300">
        <f t="shared" si="95"/>
        <v>0</v>
      </c>
      <c r="O897" s="517" t="str">
        <f t="shared" si="94"/>
        <v/>
      </c>
    </row>
    <row r="898" spans="1:15" outlineLevel="3" x14ac:dyDescent="0.3">
      <c r="A898" s="36" t="s">
        <v>7</v>
      </c>
      <c r="B898" s="36"/>
      <c r="C898" s="499" t="s">
        <v>10539</v>
      </c>
      <c r="D898" s="249"/>
      <c r="E898" s="249" t="str">
        <f>UPPER(IF($D898=0,"",IF($A898=4,_xlfn.XLOOKUP($D898,Mercado!$C:$C,Mercado!$E:$E),_xlfn.XLOOKUP($D898,Fontes!$B:$B,Fontes!$C:$C))))</f>
        <v/>
      </c>
      <c r="F898" s="330" t="s">
        <v>546</v>
      </c>
      <c r="G898" s="249"/>
      <c r="H898" s="252"/>
      <c r="I898" s="252">
        <f>IF($A898="M",_xlfn.XLOOKUP($D898,Mercado!$C:$C,Mercado!$I:$I),_xlfn.XLOOKUP($D898,Fontes!$B:$B,Fontes!$J:$J))</f>
        <v>0</v>
      </c>
      <c r="J898" s="252">
        <f>IF($A898="M",_xlfn.XLOOKUP($D898,Mercado!$C:$C,Mercado!$J:$J),_xlfn.XLOOKUP($D898,Fontes!$B:$B,Fontes!$H:$H))</f>
        <v>0</v>
      </c>
      <c r="K898" s="252">
        <f>IF($A898="M",0,_xlfn.XLOOKUP($D898,Fontes!$B:$B,Fontes!$I:$I))</f>
        <v>0</v>
      </c>
      <c r="L898" s="252">
        <f t="shared" si="92"/>
        <v>0</v>
      </c>
      <c r="M898" s="500">
        <f t="shared" si="95"/>
        <v>0</v>
      </c>
      <c r="N898" s="243"/>
      <c r="O898" s="517" t="str">
        <f t="shared" si="94"/>
        <v/>
      </c>
    </row>
    <row r="899" spans="1:15" ht="57.6" outlineLevel="4" x14ac:dyDescent="0.3">
      <c r="A899" s="35"/>
      <c r="B899" s="36"/>
      <c r="C899" s="495" t="s">
        <v>10540</v>
      </c>
      <c r="D899" s="479">
        <v>90696</v>
      </c>
      <c r="E899" s="249" t="str">
        <f>UPPER(IF($D899=0,"",IF($A899=4,_xlfn.XLOOKUP($D899,Mercado!$C:$C,Mercado!$E:$E),_xlfn.XLOOKUP($D899,Fontes!$B:$B,Fontes!$C:$C))))</f>
        <v>SINAPI</v>
      </c>
      <c r="F899" s="327" t="s">
        <v>310</v>
      </c>
      <c r="G899" s="249" t="str">
        <f>UPPER(IF($D899=0,"",IF($A899=4,_xlfn.XLOOKUP($D899,Mercado!$C:$C,Mercado!$G:$G),_xlfn.XLOOKUP($D899,Fontes!$B:$B,Fontes!$E:$E))))</f>
        <v>M</v>
      </c>
      <c r="H899" s="252">
        <v>3</v>
      </c>
      <c r="I899" s="252">
        <f>IF($A899="M",_xlfn.XLOOKUP($D899,Mercado!$C:$C,Mercado!$I:$I),_xlfn.XLOOKUP($D899,Fontes!$B:$B,Fontes!$J:$J))</f>
        <v>151.83000000000001</v>
      </c>
      <c r="J899" s="252">
        <f>IF($A899="M",_xlfn.XLOOKUP($D899,Mercado!$C:$C,Mercado!$J:$J),_xlfn.XLOOKUP($D899,Fontes!$B:$B,Fontes!$H:$H))</f>
        <v>5.23</v>
      </c>
      <c r="K899" s="252">
        <f>IF($A899="M",0,_xlfn.XLOOKUP($D899,Fontes!$B:$B,Fontes!$I:$I))</f>
        <v>0.35</v>
      </c>
      <c r="L899" s="250">
        <f t="shared" si="92"/>
        <v>157.41</v>
      </c>
      <c r="M899" s="300">
        <f t="shared" si="95"/>
        <v>472.23</v>
      </c>
      <c r="O899" s="517">
        <f t="shared" si="94"/>
        <v>472.23</v>
      </c>
    </row>
    <row r="900" spans="1:15" ht="76.8" outlineLevel="4" x14ac:dyDescent="0.3">
      <c r="A900" s="35"/>
      <c r="B900" s="36"/>
      <c r="C900" s="495" t="s">
        <v>10541</v>
      </c>
      <c r="D900" s="489">
        <v>90712</v>
      </c>
      <c r="E900" s="249" t="str">
        <f>UPPER(IF($D900=0,"",IF($A900=4,_xlfn.XLOOKUP($D900,Mercado!$C:$C,Mercado!$E:$E),_xlfn.XLOOKUP($D900,Fontes!$B:$B,Fontes!$C:$C))))</f>
        <v>SINAPI</v>
      </c>
      <c r="F900" s="327" t="s">
        <v>1888</v>
      </c>
      <c r="G900" s="249" t="str">
        <f>UPPER(IF($D900=0,"",IF($A900=4,_xlfn.XLOOKUP($D900,Mercado!$C:$C,Mercado!$G:$G),_xlfn.XLOOKUP($D900,Fontes!$B:$B,Fontes!$E:$E))))</f>
        <v>M</v>
      </c>
      <c r="H900" s="252">
        <v>27</v>
      </c>
      <c r="I900" s="252">
        <f>IF($A900="M",_xlfn.XLOOKUP($D900,Mercado!$C:$C,Mercado!$I:$I),_xlfn.XLOOKUP($D900,Fontes!$B:$B,Fontes!$J:$J))</f>
        <v>237.4</v>
      </c>
      <c r="J900" s="252">
        <f>IF($A900="M",_xlfn.XLOOKUP($D900,Mercado!$C:$C,Mercado!$J:$J),_xlfn.XLOOKUP($D900,Fontes!$B:$B,Fontes!$H:$H))</f>
        <v>7.47</v>
      </c>
      <c r="K900" s="252">
        <f>IF($A900="M",0,_xlfn.XLOOKUP($D900,Fontes!$B:$B,Fontes!$I:$I))</f>
        <v>0.51</v>
      </c>
      <c r="L900" s="250">
        <f t="shared" si="92"/>
        <v>245.38</v>
      </c>
      <c r="M900" s="300">
        <f t="shared" si="95"/>
        <v>6625.26</v>
      </c>
      <c r="O900" s="517">
        <f t="shared" si="94"/>
        <v>6625.26</v>
      </c>
    </row>
    <row r="901" spans="1:15" ht="76.8" outlineLevel="4" x14ac:dyDescent="0.3">
      <c r="A901" s="35"/>
      <c r="B901" s="36"/>
      <c r="C901" s="495" t="s">
        <v>10542</v>
      </c>
      <c r="D901" s="479">
        <v>90713</v>
      </c>
      <c r="E901" s="249" t="str">
        <f>UPPER(IF($D901=0,"",IF($A901=4,_xlfn.XLOOKUP($D901,Mercado!$C:$C,Mercado!$E:$E),_xlfn.XLOOKUP($D901,Fontes!$B:$B,Fontes!$C:$C))))</f>
        <v>SINAPI</v>
      </c>
      <c r="F901" s="327" t="s">
        <v>1885</v>
      </c>
      <c r="G901" s="249" t="str">
        <f>UPPER(IF($D901=0,"",IF($A901=4,_xlfn.XLOOKUP($D901,Mercado!$C:$C,Mercado!$G:$G),_xlfn.XLOOKUP($D901,Fontes!$B:$B,Fontes!$E:$E))))</f>
        <v>M</v>
      </c>
      <c r="H901" s="252">
        <v>16</v>
      </c>
      <c r="I901" s="252">
        <f>IF($A901="M",_xlfn.XLOOKUP($D901,Mercado!$C:$C,Mercado!$I:$I),_xlfn.XLOOKUP($D901,Fontes!$B:$B,Fontes!$J:$J))</f>
        <v>364.13</v>
      </c>
      <c r="J901" s="252">
        <f>IF($A901="M",_xlfn.XLOOKUP($D901,Mercado!$C:$C,Mercado!$J:$J),_xlfn.XLOOKUP($D901,Fontes!$B:$B,Fontes!$H:$H))</f>
        <v>8.15</v>
      </c>
      <c r="K901" s="252">
        <f>IF($A901="M",0,_xlfn.XLOOKUP($D901,Fontes!$B:$B,Fontes!$I:$I))</f>
        <v>0.56000000000000005</v>
      </c>
      <c r="L901" s="250">
        <f t="shared" si="92"/>
        <v>372.84</v>
      </c>
      <c r="M901" s="300">
        <f t="shared" si="95"/>
        <v>5965.44</v>
      </c>
      <c r="O901" s="517">
        <f t="shared" si="94"/>
        <v>5965.44</v>
      </c>
    </row>
    <row r="902" spans="1:15" outlineLevel="4" x14ac:dyDescent="0.3">
      <c r="A902" s="35"/>
      <c r="B902" s="36"/>
      <c r="C902" s="495" t="s">
        <v>10543</v>
      </c>
      <c r="D902" s="249">
        <v>636</v>
      </c>
      <c r="E902" s="249" t="str">
        <f>UPPER(IF($D902=0,"",IF($A902=4,_xlfn.XLOOKUP($D902,Mercado!$C:$C,Mercado!$E:$E),_xlfn.XLOOKUP($D902,Fontes!$B:$B,Fontes!$C:$C))))</f>
        <v>PRÓPRIO</v>
      </c>
      <c r="F902" s="328" t="s">
        <v>3644</v>
      </c>
      <c r="G902" s="249" t="str">
        <f>UPPER(IF($D902=0,"",IF($A902=4,_xlfn.XLOOKUP($D902,Mercado!$C:$C,Mercado!$G:$G),_xlfn.XLOOKUP($D902,Fontes!$B:$B,Fontes!$E:$E))))</f>
        <v>UN</v>
      </c>
      <c r="H902" s="439">
        <v>7</v>
      </c>
      <c r="I902" s="439">
        <f>IF($A902="M",_xlfn.XLOOKUP($D902,Mercado!$C:$C,Mercado!$I:$I),_xlfn.XLOOKUP($D902,Fontes!$B:$B,Fontes!$J:$J))</f>
        <v>514.30999999999995</v>
      </c>
      <c r="J902" s="252">
        <f>IF($A902="M",_xlfn.XLOOKUP($D902,Mercado!$C:$C,Mercado!$J:$J),_xlfn.XLOOKUP($D902,Fontes!$B:$B,Fontes!$H:$H))</f>
        <v>46.44</v>
      </c>
      <c r="K902" s="252">
        <f>IF($A902="M",0,_xlfn.XLOOKUP($D902,Fontes!$B:$B,Fontes!$I:$I))</f>
        <v>3.18</v>
      </c>
      <c r="L902" s="250">
        <f t="shared" si="92"/>
        <v>563.92999999999995</v>
      </c>
      <c r="M902" s="300">
        <f t="shared" ref="M902:M930" si="96">ROUND(H902*L902,2)</f>
        <v>3947.51</v>
      </c>
      <c r="O902" s="517">
        <f t="shared" si="94"/>
        <v>3947.51</v>
      </c>
    </row>
    <row r="903" spans="1:15" outlineLevel="4" x14ac:dyDescent="0.3">
      <c r="A903" s="35"/>
      <c r="B903" s="36"/>
      <c r="C903" s="495" t="s">
        <v>10544</v>
      </c>
      <c r="D903" s="249">
        <v>637</v>
      </c>
      <c r="E903" s="249" t="str">
        <f>UPPER(IF($D903=0,"",IF($A903=4,_xlfn.XLOOKUP($D903,Mercado!$C:$C,Mercado!$E:$E),_xlfn.XLOOKUP($D903,Fontes!$B:$B,Fontes!$C:$C))))</f>
        <v>PRÓPRIO</v>
      </c>
      <c r="F903" s="328" t="s">
        <v>3645</v>
      </c>
      <c r="G903" s="249" t="str">
        <f>UPPER(IF($D903=0,"",IF($A903=4,_xlfn.XLOOKUP($D903,Mercado!$C:$C,Mercado!$G:$G),_xlfn.XLOOKUP($D903,Fontes!$B:$B,Fontes!$E:$E))))</f>
        <v>UN</v>
      </c>
      <c r="H903" s="439">
        <v>32</v>
      </c>
      <c r="I903" s="439">
        <f>IF($A903="M",_xlfn.XLOOKUP($D903,Mercado!$C:$C,Mercado!$I:$I),_xlfn.XLOOKUP($D903,Fontes!$B:$B,Fontes!$J:$J))</f>
        <v>612.30999999999995</v>
      </c>
      <c r="J903" s="252">
        <f>IF($A903="M",_xlfn.XLOOKUP($D903,Mercado!$C:$C,Mercado!$J:$J),_xlfn.XLOOKUP($D903,Fontes!$B:$B,Fontes!$H:$H))</f>
        <v>46.44</v>
      </c>
      <c r="K903" s="252">
        <f>IF($A903="M",0,_xlfn.XLOOKUP($D903,Fontes!$B:$B,Fontes!$I:$I))</f>
        <v>3.18</v>
      </c>
      <c r="L903" s="250">
        <f t="shared" si="92"/>
        <v>661.93</v>
      </c>
      <c r="M903" s="300">
        <f t="shared" si="96"/>
        <v>21181.759999999998</v>
      </c>
      <c r="O903" s="517">
        <f t="shared" si="94"/>
        <v>21181.759999999998</v>
      </c>
    </row>
    <row r="904" spans="1:15" outlineLevel="4" x14ac:dyDescent="0.3">
      <c r="A904" s="35"/>
      <c r="B904" s="36"/>
      <c r="C904" s="495" t="s">
        <v>10545</v>
      </c>
      <c r="D904" s="249">
        <v>638</v>
      </c>
      <c r="E904" s="249" t="str">
        <f>UPPER(IF($D904=0,"",IF($A904=4,_xlfn.XLOOKUP($D904,Mercado!$C:$C,Mercado!$E:$E),_xlfn.XLOOKUP($D904,Fontes!$B:$B,Fontes!$C:$C))))</f>
        <v>PRÓPRIO</v>
      </c>
      <c r="F904" s="328" t="s">
        <v>3646</v>
      </c>
      <c r="G904" s="249" t="str">
        <f>UPPER(IF($D904=0,"",IF($A904=4,_xlfn.XLOOKUP($D904,Mercado!$C:$C,Mercado!$G:$G),_xlfn.XLOOKUP($D904,Fontes!$B:$B,Fontes!$E:$E))))</f>
        <v>UN</v>
      </c>
      <c r="H904" s="439">
        <v>19</v>
      </c>
      <c r="I904" s="439">
        <f>IF($A904="M",_xlfn.XLOOKUP($D904,Mercado!$C:$C,Mercado!$I:$I),_xlfn.XLOOKUP($D904,Fontes!$B:$B,Fontes!$J:$J))</f>
        <v>700.15</v>
      </c>
      <c r="J904" s="252">
        <f>IF($A904="M",_xlfn.XLOOKUP($D904,Mercado!$C:$C,Mercado!$J:$J),_xlfn.XLOOKUP($D904,Fontes!$B:$B,Fontes!$H:$H))</f>
        <v>46.44</v>
      </c>
      <c r="K904" s="252">
        <f>IF($A904="M",0,_xlfn.XLOOKUP($D904,Fontes!$B:$B,Fontes!$I:$I))</f>
        <v>3.18</v>
      </c>
      <c r="L904" s="250">
        <f t="shared" si="92"/>
        <v>749.76999999999987</v>
      </c>
      <c r="M904" s="300">
        <f t="shared" si="96"/>
        <v>14245.63</v>
      </c>
      <c r="O904" s="517">
        <f t="shared" si="94"/>
        <v>14245.63</v>
      </c>
    </row>
    <row r="905" spans="1:15" ht="38.4" outlineLevel="4" x14ac:dyDescent="0.3">
      <c r="A905" s="35"/>
      <c r="B905" s="36"/>
      <c r="C905" s="495" t="s">
        <v>10546</v>
      </c>
      <c r="D905" s="249">
        <v>639</v>
      </c>
      <c r="E905" s="249" t="str">
        <f>UPPER(IF($D905=0,"",IF($A905=4,_xlfn.XLOOKUP($D905,Mercado!$C:$C,Mercado!$E:$E),_xlfn.XLOOKUP($D905,Fontes!$B:$B,Fontes!$C:$C))))</f>
        <v>PRÓPRIO</v>
      </c>
      <c r="F905" s="335" t="s">
        <v>3647</v>
      </c>
      <c r="G905" s="249" t="str">
        <f>UPPER(IF($D905=0,"",IF($A905=4,_xlfn.XLOOKUP($D905,Mercado!$C:$C,Mercado!$G:$G),_xlfn.XLOOKUP($D905,Fontes!$B:$B,Fontes!$E:$E))))</f>
        <v>UN</v>
      </c>
      <c r="H905" s="439">
        <v>2</v>
      </c>
      <c r="I905" s="439">
        <f>IF($A905="M",_xlfn.XLOOKUP($D905,Mercado!$C:$C,Mercado!$I:$I),_xlfn.XLOOKUP($D905,Fontes!$B:$B,Fontes!$J:$J))</f>
        <v>205.68</v>
      </c>
      <c r="J905" s="252">
        <f>IF($A905="M",_xlfn.XLOOKUP($D905,Mercado!$C:$C,Mercado!$J:$J),_xlfn.XLOOKUP($D905,Fontes!$B:$B,Fontes!$H:$H))</f>
        <v>5.97</v>
      </c>
      <c r="K905" s="252">
        <f>IF($A905="M",0,_xlfn.XLOOKUP($D905,Fontes!$B:$B,Fontes!$I:$I))</f>
        <v>0.4</v>
      </c>
      <c r="L905" s="250">
        <f t="shared" si="92"/>
        <v>212.05</v>
      </c>
      <c r="M905" s="300">
        <f t="shared" si="96"/>
        <v>424.1</v>
      </c>
      <c r="O905" s="517">
        <f t="shared" si="94"/>
        <v>424.1</v>
      </c>
    </row>
    <row r="906" spans="1:15" outlineLevel="4" x14ac:dyDescent="0.3">
      <c r="A906" s="36" t="s">
        <v>7</v>
      </c>
      <c r="B906" s="36"/>
      <c r="C906" s="495" t="s">
        <v>781</v>
      </c>
      <c r="D906" s="249"/>
      <c r="E906" s="249" t="str">
        <f>UPPER(IF($D906=0,"",IF($A906=4,_xlfn.XLOOKUP($D906,Mercado!$C:$C,Mercado!$E:$E),_xlfn.XLOOKUP($D906,Fontes!$B:$B,Fontes!$C:$C))))</f>
        <v/>
      </c>
      <c r="F906" s="327" t="s">
        <v>781</v>
      </c>
      <c r="G906" s="249"/>
      <c r="H906" s="439"/>
      <c r="I906" s="439">
        <f>IF($A906="M",_xlfn.XLOOKUP($D906,Mercado!$C:$C,Mercado!$I:$I),_xlfn.XLOOKUP($D906,Fontes!$B:$B,Fontes!$J:$J))</f>
        <v>0</v>
      </c>
      <c r="J906" s="252">
        <f>IF($A906="M",_xlfn.XLOOKUP($D906,Mercado!$C:$C,Mercado!$J:$J),_xlfn.XLOOKUP($D906,Fontes!$B:$B,Fontes!$H:$H))</f>
        <v>0</v>
      </c>
      <c r="K906" s="252">
        <f>IF($A906="M",0,_xlfn.XLOOKUP($D906,Fontes!$B:$B,Fontes!$I:$I))</f>
        <v>0</v>
      </c>
      <c r="L906" s="250">
        <f t="shared" si="92"/>
        <v>0</v>
      </c>
      <c r="M906" s="300">
        <f t="shared" si="96"/>
        <v>0</v>
      </c>
      <c r="O906" s="517" t="str">
        <f t="shared" si="94"/>
        <v/>
      </c>
    </row>
    <row r="907" spans="1:15" outlineLevel="3" x14ac:dyDescent="0.3">
      <c r="A907" s="36" t="s">
        <v>7</v>
      </c>
      <c r="B907" s="36"/>
      <c r="C907" s="499" t="s">
        <v>10547</v>
      </c>
      <c r="D907" s="249"/>
      <c r="E907" s="249" t="str">
        <f>UPPER(IF($D907=0,"",IF($A907=4,_xlfn.XLOOKUP($D907,Mercado!$C:$C,Mercado!$E:$E),_xlfn.XLOOKUP($D907,Fontes!$B:$B,Fontes!$C:$C))))</f>
        <v/>
      </c>
      <c r="F907" s="330" t="s">
        <v>547</v>
      </c>
      <c r="G907" s="249"/>
      <c r="H907" s="252"/>
      <c r="I907" s="252">
        <f>IF($A907="M",_xlfn.XLOOKUP($D907,Mercado!$C:$C,Mercado!$I:$I),_xlfn.XLOOKUP($D907,Fontes!$B:$B,Fontes!$J:$J))</f>
        <v>0</v>
      </c>
      <c r="J907" s="252">
        <f>IF($A907="M",_xlfn.XLOOKUP($D907,Mercado!$C:$C,Mercado!$J:$J),_xlfn.XLOOKUP($D907,Fontes!$B:$B,Fontes!$H:$H))</f>
        <v>0</v>
      </c>
      <c r="K907" s="252">
        <f>IF($A907="M",0,_xlfn.XLOOKUP($D907,Fontes!$B:$B,Fontes!$I:$I))</f>
        <v>0</v>
      </c>
      <c r="L907" s="252">
        <f t="shared" si="92"/>
        <v>0</v>
      </c>
      <c r="M907" s="500">
        <f t="shared" si="96"/>
        <v>0</v>
      </c>
      <c r="O907" s="517" t="str">
        <f t="shared" si="94"/>
        <v/>
      </c>
    </row>
    <row r="908" spans="1:15" outlineLevel="4" x14ac:dyDescent="0.3">
      <c r="A908" s="35"/>
      <c r="B908" s="36"/>
      <c r="C908" s="495" t="s">
        <v>10548</v>
      </c>
      <c r="D908" s="479">
        <v>53292</v>
      </c>
      <c r="E908" s="249" t="str">
        <f>UPPER(IF($D908=0,"",IF($A908=4,_xlfn.XLOOKUP($D908,Mercado!$C:$C,Mercado!$E:$E),_xlfn.XLOOKUP($D908,Fontes!$B:$B,Fontes!$C:$C))))</f>
        <v>SBC</v>
      </c>
      <c r="F908" s="327" t="s">
        <v>3648</v>
      </c>
      <c r="G908" s="249" t="str">
        <f>UPPER(IF($D908=0,"",IF($A908=4,_xlfn.XLOOKUP($D908,Mercado!$C:$C,Mercado!$G:$G),_xlfn.XLOOKUP($D908,Fontes!$B:$B,Fontes!$E:$E))))</f>
        <v>UN</v>
      </c>
      <c r="H908" s="252">
        <v>6</v>
      </c>
      <c r="I908" s="252">
        <f>IF($A908="M",_xlfn.XLOOKUP($D908,Mercado!$C:$C,Mercado!$I:$I),_xlfn.XLOOKUP($D908,Fontes!$B:$B,Fontes!$J:$J))</f>
        <v>207.07</v>
      </c>
      <c r="J908" s="252">
        <f>IF($A908="M",_xlfn.XLOOKUP($D908,Mercado!$C:$C,Mercado!$J:$J),_xlfn.XLOOKUP($D908,Fontes!$B:$B,Fontes!$H:$H))</f>
        <v>33.46</v>
      </c>
      <c r="K908" s="252">
        <f>IF($A908="M",0,_xlfn.XLOOKUP($D908,Fontes!$B:$B,Fontes!$I:$I))</f>
        <v>0</v>
      </c>
      <c r="L908" s="250">
        <f t="shared" si="92"/>
        <v>240.53</v>
      </c>
      <c r="M908" s="300">
        <f t="shared" si="96"/>
        <v>1443.18</v>
      </c>
      <c r="O908" s="517">
        <f t="shared" si="94"/>
        <v>1443.18</v>
      </c>
    </row>
    <row r="909" spans="1:15" outlineLevel="4" x14ac:dyDescent="0.3">
      <c r="A909" s="35"/>
      <c r="B909" s="36"/>
      <c r="C909" s="495" t="s">
        <v>10549</v>
      </c>
      <c r="D909" s="479">
        <v>53189</v>
      </c>
      <c r="E909" s="249" t="str">
        <f>UPPER(IF($D909=0,"",IF($A909=4,_xlfn.XLOOKUP($D909,Mercado!$C:$C,Mercado!$E:$E),_xlfn.XLOOKUP($D909,Fontes!$B:$B,Fontes!$C:$C))))</f>
        <v>SBC</v>
      </c>
      <c r="F909" s="327" t="s">
        <v>3649</v>
      </c>
      <c r="G909" s="249" t="str">
        <f>UPPER(IF($D909=0,"",IF($A909=4,_xlfn.XLOOKUP($D909,Mercado!$C:$C,Mercado!$G:$G),_xlfn.XLOOKUP($D909,Fontes!$B:$B,Fontes!$E:$E))))</f>
        <v>UN</v>
      </c>
      <c r="H909" s="252">
        <v>7</v>
      </c>
      <c r="I909" s="252">
        <f>IF($A909="M",_xlfn.XLOOKUP($D909,Mercado!$C:$C,Mercado!$I:$I),_xlfn.XLOOKUP($D909,Fontes!$B:$B,Fontes!$J:$J))</f>
        <v>213.67</v>
      </c>
      <c r="J909" s="252">
        <f>IF($A909="M",_xlfn.XLOOKUP($D909,Mercado!$C:$C,Mercado!$J:$J),_xlfn.XLOOKUP($D909,Fontes!$B:$B,Fontes!$H:$H))</f>
        <v>46.35</v>
      </c>
      <c r="K909" s="252">
        <f>IF($A909="M",0,_xlfn.XLOOKUP($D909,Fontes!$B:$B,Fontes!$I:$I))</f>
        <v>0</v>
      </c>
      <c r="L909" s="250">
        <f t="shared" si="92"/>
        <v>260.02</v>
      </c>
      <c r="M909" s="300">
        <f t="shared" si="96"/>
        <v>1820.14</v>
      </c>
      <c r="O909" s="517">
        <f t="shared" si="94"/>
        <v>1820.14</v>
      </c>
    </row>
    <row r="910" spans="1:15" outlineLevel="4" x14ac:dyDescent="0.3">
      <c r="A910" s="36" t="s">
        <v>7</v>
      </c>
      <c r="B910" s="36"/>
      <c r="C910" s="495" t="s">
        <v>781</v>
      </c>
      <c r="D910" s="249"/>
      <c r="E910" s="249" t="str">
        <f>UPPER(IF($D910=0,"",IF($A910=4,_xlfn.XLOOKUP($D910,Mercado!$C:$C,Mercado!$E:$E),_xlfn.XLOOKUP($D910,Fontes!$B:$B,Fontes!$C:$C))))</f>
        <v/>
      </c>
      <c r="F910" s="327" t="s">
        <v>781</v>
      </c>
      <c r="G910" s="249"/>
      <c r="H910" s="252"/>
      <c r="I910" s="252">
        <f>IF($A910="M",_xlfn.XLOOKUP($D910,Mercado!$C:$C,Mercado!$I:$I),_xlfn.XLOOKUP($D910,Fontes!$B:$B,Fontes!$J:$J))</f>
        <v>0</v>
      </c>
      <c r="J910" s="252">
        <f>IF($A910="M",_xlfn.XLOOKUP($D910,Mercado!$C:$C,Mercado!$J:$J),_xlfn.XLOOKUP($D910,Fontes!$B:$B,Fontes!$H:$H))</f>
        <v>0</v>
      </c>
      <c r="K910" s="252">
        <f>IF($A910="M",0,_xlfn.XLOOKUP($D910,Fontes!$B:$B,Fontes!$I:$I))</f>
        <v>0</v>
      </c>
      <c r="L910" s="250">
        <f t="shared" ref="L910:L973" si="97">SUM(I910:K910)</f>
        <v>0</v>
      </c>
      <c r="M910" s="300">
        <f t="shared" si="96"/>
        <v>0</v>
      </c>
      <c r="O910" s="517" t="str">
        <f t="shared" si="94"/>
        <v/>
      </c>
    </row>
    <row r="911" spans="1:15" outlineLevel="3" x14ac:dyDescent="0.3">
      <c r="A911" s="36" t="s">
        <v>7</v>
      </c>
      <c r="B911" s="36"/>
      <c r="C911" s="499" t="s">
        <v>10550</v>
      </c>
      <c r="D911" s="249"/>
      <c r="E911" s="249" t="str">
        <f>UPPER(IF($D911=0,"",IF($A911=4,_xlfn.XLOOKUP($D911,Mercado!$C:$C,Mercado!$E:$E),_xlfn.XLOOKUP($D911,Fontes!$B:$B,Fontes!$C:$C))))</f>
        <v/>
      </c>
      <c r="F911" s="330" t="s">
        <v>548</v>
      </c>
      <c r="G911" s="249"/>
      <c r="H911" s="252"/>
      <c r="I911" s="252">
        <f>IF($A911="M",_xlfn.XLOOKUP($D911,Mercado!$C:$C,Mercado!$I:$I),_xlfn.XLOOKUP($D911,Fontes!$B:$B,Fontes!$J:$J))</f>
        <v>0</v>
      </c>
      <c r="J911" s="252">
        <f>IF($A911="M",_xlfn.XLOOKUP($D911,Mercado!$C:$C,Mercado!$J:$J),_xlfn.XLOOKUP($D911,Fontes!$B:$B,Fontes!$H:$H))</f>
        <v>0</v>
      </c>
      <c r="K911" s="252">
        <f>IF($A911="M",0,_xlfn.XLOOKUP($D911,Fontes!$B:$B,Fontes!$I:$I))</f>
        <v>0</v>
      </c>
      <c r="L911" s="252">
        <f t="shared" si="97"/>
        <v>0</v>
      </c>
      <c r="M911" s="500">
        <f t="shared" si="96"/>
        <v>0</v>
      </c>
      <c r="N911" s="243"/>
      <c r="O911" s="517" t="str">
        <f t="shared" si="94"/>
        <v/>
      </c>
    </row>
    <row r="912" spans="1:15" ht="38.4" outlineLevel="4" x14ac:dyDescent="0.3">
      <c r="A912" s="35"/>
      <c r="B912" s="36"/>
      <c r="C912" s="495" t="s">
        <v>10551</v>
      </c>
      <c r="D912" s="479">
        <v>96683</v>
      </c>
      <c r="E912" s="249" t="str">
        <f>UPPER(IF($D912=0,"",IF($A912=4,_xlfn.XLOOKUP($D912,Mercado!$C:$C,Mercado!$E:$E),_xlfn.XLOOKUP($D912,Fontes!$B:$B,Fontes!$C:$C))))</f>
        <v>SINAPI</v>
      </c>
      <c r="F912" s="327" t="s">
        <v>198</v>
      </c>
      <c r="G912" s="249" t="str">
        <f>UPPER(IF($D912=0,"",IF($A912=4,_xlfn.XLOOKUP($D912,Mercado!$C:$C,Mercado!$G:$G),_xlfn.XLOOKUP($D912,Fontes!$B:$B,Fontes!$E:$E))))</f>
        <v>M</v>
      </c>
      <c r="H912" s="252">
        <v>17</v>
      </c>
      <c r="I912" s="252">
        <f>IF($A912="M",_xlfn.XLOOKUP($D912,Mercado!$C:$C,Mercado!$I:$I),_xlfn.XLOOKUP($D912,Fontes!$B:$B,Fontes!$J:$J))</f>
        <v>319.64999999999998</v>
      </c>
      <c r="J912" s="252">
        <f>IF($A912="M",_xlfn.XLOOKUP($D912,Mercado!$C:$C,Mercado!$J:$J),_xlfn.XLOOKUP($D912,Fontes!$B:$B,Fontes!$H:$H))</f>
        <v>26.12</v>
      </c>
      <c r="K912" s="252">
        <f>IF($A912="M",0,_xlfn.XLOOKUP($D912,Fontes!$B:$B,Fontes!$I:$I))</f>
        <v>1.78</v>
      </c>
      <c r="L912" s="250">
        <f t="shared" si="97"/>
        <v>347.54999999999995</v>
      </c>
      <c r="M912" s="300">
        <f t="shared" si="96"/>
        <v>5908.35</v>
      </c>
      <c r="O912" s="517">
        <f t="shared" si="94"/>
        <v>5908.35</v>
      </c>
    </row>
    <row r="913" spans="1:15" ht="38.4" outlineLevel="4" x14ac:dyDescent="0.3">
      <c r="A913" s="35"/>
      <c r="B913" s="36"/>
      <c r="C913" s="495" t="s">
        <v>10552</v>
      </c>
      <c r="D913" s="479">
        <v>96697</v>
      </c>
      <c r="E913" s="249" t="str">
        <f>UPPER(IF($D913=0,"",IF($A913=4,_xlfn.XLOOKUP($D913,Mercado!$C:$C,Mercado!$E:$E),_xlfn.XLOOKUP($D913,Fontes!$B:$B,Fontes!$C:$C))))</f>
        <v>SINAPI</v>
      </c>
      <c r="F913" s="327" t="s">
        <v>208</v>
      </c>
      <c r="G913" s="249" t="str">
        <f>UPPER(IF($D913=0,"",IF($A913=4,_xlfn.XLOOKUP($D913,Mercado!$C:$C,Mercado!$G:$G),_xlfn.XLOOKUP($D913,Fontes!$B:$B,Fontes!$E:$E))))</f>
        <v>UN</v>
      </c>
      <c r="H913" s="252">
        <v>1</v>
      </c>
      <c r="I913" s="252">
        <f>IF($A913="M",_xlfn.XLOOKUP($D913,Mercado!$C:$C,Mercado!$I:$I),_xlfn.XLOOKUP($D913,Fontes!$B:$B,Fontes!$J:$J))</f>
        <v>350.61</v>
      </c>
      <c r="J913" s="252">
        <f>IF($A913="M",_xlfn.XLOOKUP($D913,Mercado!$C:$C,Mercado!$J:$J),_xlfn.XLOOKUP($D913,Fontes!$B:$B,Fontes!$H:$H))</f>
        <v>34.46</v>
      </c>
      <c r="K913" s="252">
        <f>IF($A913="M",0,_xlfn.XLOOKUP($D913,Fontes!$B:$B,Fontes!$I:$I))</f>
        <v>2.36</v>
      </c>
      <c r="L913" s="250">
        <f t="shared" si="97"/>
        <v>387.43</v>
      </c>
      <c r="M913" s="300">
        <f t="shared" si="96"/>
        <v>387.43</v>
      </c>
      <c r="O913" s="517">
        <f t="shared" si="94"/>
        <v>387.43</v>
      </c>
    </row>
    <row r="914" spans="1:15" outlineLevel="4" x14ac:dyDescent="0.3">
      <c r="A914" s="35"/>
      <c r="B914" s="36"/>
      <c r="C914" s="495" t="s">
        <v>10553</v>
      </c>
      <c r="D914" s="479">
        <v>52485</v>
      </c>
      <c r="E914" s="249" t="str">
        <f>UPPER(IF($D914=0,"",IF($A914=4,_xlfn.XLOOKUP($D914,Mercado!$C:$C,Mercado!$E:$E),_xlfn.XLOOKUP($D914,Fontes!$B:$B,Fontes!$C:$C))))</f>
        <v>SBC</v>
      </c>
      <c r="F914" s="327" t="s">
        <v>3650</v>
      </c>
      <c r="G914" s="249" t="str">
        <f>UPPER(IF($D914=0,"",IF($A914=4,_xlfn.XLOOKUP($D914,Mercado!$C:$C,Mercado!$G:$G),_xlfn.XLOOKUP($D914,Fontes!$B:$B,Fontes!$E:$E))))</f>
        <v>UN</v>
      </c>
      <c r="H914" s="252">
        <v>1</v>
      </c>
      <c r="I914" s="252">
        <f>IF($A914="M",_xlfn.XLOOKUP($D914,Mercado!$C:$C,Mercado!$I:$I),_xlfn.XLOOKUP($D914,Fontes!$B:$B,Fontes!$J:$J))</f>
        <v>748.48</v>
      </c>
      <c r="J914" s="252">
        <f>IF($A914="M",_xlfn.XLOOKUP($D914,Mercado!$C:$C,Mercado!$J:$J),_xlfn.XLOOKUP($D914,Fontes!$B:$B,Fontes!$H:$H))</f>
        <v>21.83</v>
      </c>
      <c r="K914" s="252">
        <f>IF($A914="M",0,_xlfn.XLOOKUP($D914,Fontes!$B:$B,Fontes!$I:$I))</f>
        <v>1.5</v>
      </c>
      <c r="L914" s="250">
        <f t="shared" si="97"/>
        <v>771.81000000000006</v>
      </c>
      <c r="M914" s="300">
        <f t="shared" si="96"/>
        <v>771.81</v>
      </c>
      <c r="O914" s="517">
        <f t="shared" si="94"/>
        <v>771.81</v>
      </c>
    </row>
    <row r="915" spans="1:15" outlineLevel="4" x14ac:dyDescent="0.3">
      <c r="A915" s="35"/>
      <c r="B915" s="36"/>
      <c r="C915" s="495" t="s">
        <v>10554</v>
      </c>
      <c r="D915" s="479">
        <v>641</v>
      </c>
      <c r="E915" s="249" t="str">
        <f>UPPER(IF($D915=0,"",IF($A915=4,_xlfn.XLOOKUP($D915,Mercado!$C:$C,Mercado!$E:$E),_xlfn.XLOOKUP($D915,Fontes!$B:$B,Fontes!$C:$C))))</f>
        <v>PRÓPRIO</v>
      </c>
      <c r="F915" s="328" t="s">
        <v>3651</v>
      </c>
      <c r="G915" s="249" t="str">
        <f>UPPER(IF($D915=0,"",IF($A915=4,_xlfn.XLOOKUP($D915,Mercado!$C:$C,Mercado!$G:$G),_xlfn.XLOOKUP($D915,Fontes!$B:$B,Fontes!$E:$E))))</f>
        <v>UN</v>
      </c>
      <c r="H915" s="252">
        <v>1</v>
      </c>
      <c r="I915" s="252">
        <f>IF($A915="M",_xlfn.XLOOKUP($D915,Mercado!$C:$C,Mercado!$I:$I),_xlfn.XLOOKUP($D915,Fontes!$B:$B,Fontes!$J:$J))</f>
        <v>471.65</v>
      </c>
      <c r="J915" s="252">
        <f>IF($A915="M",_xlfn.XLOOKUP($D915,Mercado!$C:$C,Mercado!$J:$J),_xlfn.XLOOKUP($D915,Fontes!$B:$B,Fontes!$H:$H))</f>
        <v>173.08</v>
      </c>
      <c r="K915" s="252">
        <f>IF($A915="M",0,_xlfn.XLOOKUP($D915,Fontes!$B:$B,Fontes!$I:$I))</f>
        <v>14.88</v>
      </c>
      <c r="L915" s="250">
        <f t="shared" si="97"/>
        <v>659.61</v>
      </c>
      <c r="M915" s="300">
        <f t="shared" si="96"/>
        <v>659.61</v>
      </c>
      <c r="O915" s="517">
        <f t="shared" si="94"/>
        <v>659.61</v>
      </c>
    </row>
    <row r="916" spans="1:15" outlineLevel="4" x14ac:dyDescent="0.3">
      <c r="A916" s="35"/>
      <c r="B916" s="36"/>
      <c r="C916" s="495" t="s">
        <v>10555</v>
      </c>
      <c r="D916" s="487">
        <v>276</v>
      </c>
      <c r="E916" s="249" t="str">
        <f>UPPER(IF($D916=0,"",IF($A916=4,_xlfn.XLOOKUP($D916,Mercado!$C:$C,Mercado!$E:$E),_xlfn.XLOOKUP($D916,Fontes!$B:$B,Fontes!$C:$C))))</f>
        <v>PRÓPRIO</v>
      </c>
      <c r="F916" s="327" t="s">
        <v>3652</v>
      </c>
      <c r="G916" s="249" t="str">
        <f>UPPER(IF($D916=0,"",IF($A916=4,_xlfn.XLOOKUP($D916,Mercado!$C:$C,Mercado!$G:$G),_xlfn.XLOOKUP($D916,Fontes!$B:$B,Fontes!$E:$E))))</f>
        <v>M</v>
      </c>
      <c r="H916" s="252">
        <v>11</v>
      </c>
      <c r="I916" s="252">
        <f>IF($A916="M",_xlfn.XLOOKUP($D916,Mercado!$C:$C,Mercado!$I:$I),_xlfn.XLOOKUP($D916,Fontes!$B:$B,Fontes!$J:$J))</f>
        <v>19.850000000000001</v>
      </c>
      <c r="J916" s="252">
        <f>IF($A916="M",_xlfn.XLOOKUP($D916,Mercado!$C:$C,Mercado!$J:$J),_xlfn.XLOOKUP($D916,Fontes!$B:$B,Fontes!$H:$H))</f>
        <v>6.5</v>
      </c>
      <c r="K916" s="252">
        <f>IF($A916="M",0,_xlfn.XLOOKUP($D916,Fontes!$B:$B,Fontes!$I:$I))</f>
        <v>0.5</v>
      </c>
      <c r="L916" s="250">
        <f t="shared" si="97"/>
        <v>26.85</v>
      </c>
      <c r="M916" s="300">
        <f t="shared" si="96"/>
        <v>295.35000000000002</v>
      </c>
      <c r="O916" s="517">
        <f t="shared" si="94"/>
        <v>295.35000000000002</v>
      </c>
    </row>
    <row r="917" spans="1:15" outlineLevel="4" x14ac:dyDescent="0.3">
      <c r="A917" s="35"/>
      <c r="B917" s="36"/>
      <c r="C917" s="495" t="s">
        <v>10556</v>
      </c>
      <c r="D917" s="487">
        <v>275</v>
      </c>
      <c r="E917" s="249" t="str">
        <f>UPPER(IF($D917=0,"",IF($A917=4,_xlfn.XLOOKUP($D917,Mercado!$C:$C,Mercado!$E:$E),_xlfn.XLOOKUP($D917,Fontes!$B:$B,Fontes!$C:$C))))</f>
        <v>PRÓPRIO</v>
      </c>
      <c r="F917" s="327" t="s">
        <v>3653</v>
      </c>
      <c r="G917" s="249" t="str">
        <f>UPPER(IF($D917=0,"",IF($A917=4,_xlfn.XLOOKUP($D917,Mercado!$C:$C,Mercado!$G:$G),_xlfn.XLOOKUP($D917,Fontes!$B:$B,Fontes!$E:$E))))</f>
        <v>UN</v>
      </c>
      <c r="H917" s="252">
        <v>1</v>
      </c>
      <c r="I917" s="252">
        <f>IF($A917="M",_xlfn.XLOOKUP($D917,Mercado!$C:$C,Mercado!$I:$I),_xlfn.XLOOKUP($D917,Fontes!$B:$B,Fontes!$J:$J))</f>
        <v>1036.27</v>
      </c>
      <c r="J917" s="252">
        <f>IF($A917="M",_xlfn.XLOOKUP($D917,Mercado!$C:$C,Mercado!$J:$J),_xlfn.XLOOKUP($D917,Fontes!$B:$B,Fontes!$H:$H))</f>
        <v>37.96</v>
      </c>
      <c r="K917" s="252">
        <f>IF($A917="M",0,_xlfn.XLOOKUP($D917,Fontes!$B:$B,Fontes!$I:$I))</f>
        <v>1.68</v>
      </c>
      <c r="L917" s="250">
        <f t="shared" si="97"/>
        <v>1075.9100000000001</v>
      </c>
      <c r="M917" s="300">
        <f t="shared" si="96"/>
        <v>1075.9100000000001</v>
      </c>
      <c r="O917" s="517">
        <f t="shared" si="94"/>
        <v>1075.9100000000001</v>
      </c>
    </row>
    <row r="918" spans="1:15" outlineLevel="4" x14ac:dyDescent="0.3">
      <c r="A918" s="35"/>
      <c r="B918" s="36"/>
      <c r="C918" s="495" t="s">
        <v>10557</v>
      </c>
      <c r="D918" s="487">
        <v>272</v>
      </c>
      <c r="E918" s="249" t="str">
        <f>UPPER(IF($D918=0,"",IF($A918=4,_xlfn.XLOOKUP($D918,Mercado!$C:$C,Mercado!$E:$E),_xlfn.XLOOKUP($D918,Fontes!$B:$B,Fontes!$C:$C))))</f>
        <v>PRÓPRIO</v>
      </c>
      <c r="F918" s="327" t="s">
        <v>576</v>
      </c>
      <c r="G918" s="249" t="str">
        <f>UPPER(IF($D918=0,"",IF($A918=4,_xlfn.XLOOKUP($D918,Mercado!$C:$C,Mercado!$G:$G),_xlfn.XLOOKUP($D918,Fontes!$B:$B,Fontes!$E:$E))))</f>
        <v>UN</v>
      </c>
      <c r="H918" s="252">
        <v>1</v>
      </c>
      <c r="I918" s="252">
        <f>IF($A918="M",_xlfn.XLOOKUP($D918,Mercado!$C:$C,Mercado!$I:$I),_xlfn.XLOOKUP($D918,Fontes!$B:$B,Fontes!$J:$J))</f>
        <v>680.24</v>
      </c>
      <c r="J918" s="252">
        <f>IF($A918="M",_xlfn.XLOOKUP($D918,Mercado!$C:$C,Mercado!$J:$J),_xlfn.XLOOKUP($D918,Fontes!$B:$B,Fontes!$H:$H))</f>
        <v>81.7</v>
      </c>
      <c r="K918" s="252">
        <f>IF($A918="M",0,_xlfn.XLOOKUP($D918,Fontes!$B:$B,Fontes!$I:$I))</f>
        <v>7.06</v>
      </c>
      <c r="L918" s="250">
        <f t="shared" si="97"/>
        <v>769</v>
      </c>
      <c r="M918" s="300">
        <f t="shared" si="96"/>
        <v>769</v>
      </c>
      <c r="O918" s="517">
        <f t="shared" si="94"/>
        <v>769</v>
      </c>
    </row>
    <row r="919" spans="1:15" ht="38.4" outlineLevel="4" x14ac:dyDescent="0.3">
      <c r="A919" s="35"/>
      <c r="B919" s="36"/>
      <c r="C919" s="495" t="s">
        <v>10558</v>
      </c>
      <c r="D919" s="487" t="s">
        <v>2904</v>
      </c>
      <c r="E919" s="249" t="str">
        <f>UPPER(IF($D919=0,"",IF($A919=4,_xlfn.XLOOKUP($D919,Mercado!$C:$C,Mercado!$E:$E),_xlfn.XLOOKUP($D919,Fontes!$B:$B,Fontes!$C:$C))))</f>
        <v>EMOP</v>
      </c>
      <c r="F919" s="328" t="s">
        <v>2906</v>
      </c>
      <c r="G919" s="249" t="str">
        <f>UPPER(IF($D919=0,"",IF($A919=4,_xlfn.XLOOKUP($D919,Mercado!$C:$C,Mercado!$G:$G),_xlfn.XLOOKUP($D919,Fontes!$B:$B,Fontes!$E:$E))))</f>
        <v>UN</v>
      </c>
      <c r="H919" s="252">
        <v>1</v>
      </c>
      <c r="I919" s="252">
        <f>IF($A919="M",_xlfn.XLOOKUP($D919,Mercado!$C:$C,Mercado!$I:$I),_xlfn.XLOOKUP($D919,Fontes!$B:$B,Fontes!$J:$J))</f>
        <v>256.31</v>
      </c>
      <c r="J919" s="252">
        <f>IF($A919="M",_xlfn.XLOOKUP($D919,Mercado!$C:$C,Mercado!$J:$J),_xlfn.XLOOKUP($D919,Fontes!$B:$B,Fontes!$H:$H))</f>
        <v>273.16000000000003</v>
      </c>
      <c r="K919" s="252">
        <f>IF($A919="M",0,_xlfn.XLOOKUP($D919,Fontes!$B:$B,Fontes!$I:$I))</f>
        <v>3084.17</v>
      </c>
      <c r="L919" s="250">
        <f t="shared" si="97"/>
        <v>3613.6400000000003</v>
      </c>
      <c r="M919" s="300">
        <f t="shared" si="96"/>
        <v>3613.64</v>
      </c>
      <c r="O919" s="517">
        <f t="shared" si="94"/>
        <v>3613.64</v>
      </c>
    </row>
    <row r="920" spans="1:15" outlineLevel="4" x14ac:dyDescent="0.3">
      <c r="A920" s="36" t="s">
        <v>7</v>
      </c>
      <c r="B920" s="36"/>
      <c r="C920" s="495" t="s">
        <v>781</v>
      </c>
      <c r="D920" s="249"/>
      <c r="E920" s="249" t="str">
        <f>UPPER(IF($D920=0,"",IF($A920=4,_xlfn.XLOOKUP($D920,Mercado!$C:$C,Mercado!$E:$E),_xlfn.XLOOKUP($D920,Fontes!$B:$B,Fontes!$C:$C))))</f>
        <v/>
      </c>
      <c r="F920" s="327" t="s">
        <v>781</v>
      </c>
      <c r="G920" s="249"/>
      <c r="H920" s="252"/>
      <c r="I920" s="252">
        <f>IF($A920="M",_xlfn.XLOOKUP($D920,Mercado!$C:$C,Mercado!$I:$I),_xlfn.XLOOKUP($D920,Fontes!$B:$B,Fontes!$J:$J))</f>
        <v>0</v>
      </c>
      <c r="J920" s="252">
        <f>IF($A920="M",_xlfn.XLOOKUP($D920,Mercado!$C:$C,Mercado!$J:$J),_xlfn.XLOOKUP($D920,Fontes!$B:$B,Fontes!$H:$H))</f>
        <v>0</v>
      </c>
      <c r="K920" s="252">
        <f>IF($A920="M",0,_xlfn.XLOOKUP($D920,Fontes!$B:$B,Fontes!$I:$I))</f>
        <v>0</v>
      </c>
      <c r="L920" s="250">
        <f t="shared" si="97"/>
        <v>0</v>
      </c>
      <c r="M920" s="300">
        <f t="shared" si="96"/>
        <v>0</v>
      </c>
      <c r="O920" s="517" t="str">
        <f t="shared" si="94"/>
        <v/>
      </c>
    </row>
    <row r="921" spans="1:15" outlineLevel="3" x14ac:dyDescent="0.3">
      <c r="A921" s="36" t="s">
        <v>7</v>
      </c>
      <c r="B921" s="36"/>
      <c r="C921" s="499" t="s">
        <v>10559</v>
      </c>
      <c r="D921" s="249"/>
      <c r="E921" s="249" t="str">
        <f>UPPER(IF($D921=0,"",IF($A921=4,_xlfn.XLOOKUP($D921,Mercado!$C:$C,Mercado!$E:$E),_xlfn.XLOOKUP($D921,Fontes!$B:$B,Fontes!$C:$C))))</f>
        <v/>
      </c>
      <c r="F921" s="330" t="s">
        <v>549</v>
      </c>
      <c r="G921" s="249"/>
      <c r="H921" s="252"/>
      <c r="I921" s="252">
        <f>IF($A921="M",_xlfn.XLOOKUP($D921,Mercado!$C:$C,Mercado!$I:$I),_xlfn.XLOOKUP($D921,Fontes!$B:$B,Fontes!$J:$J))</f>
        <v>0</v>
      </c>
      <c r="J921" s="252">
        <f>IF($A921="M",_xlfn.XLOOKUP($D921,Mercado!$C:$C,Mercado!$J:$J),_xlfn.XLOOKUP($D921,Fontes!$B:$B,Fontes!$H:$H))</f>
        <v>0</v>
      </c>
      <c r="K921" s="252">
        <f>IF($A921="M",0,_xlfn.XLOOKUP($D921,Fontes!$B:$B,Fontes!$I:$I))</f>
        <v>0</v>
      </c>
      <c r="L921" s="252">
        <f t="shared" si="97"/>
        <v>0</v>
      </c>
      <c r="M921" s="500">
        <f t="shared" si="96"/>
        <v>0</v>
      </c>
      <c r="N921" s="243"/>
      <c r="O921" s="517" t="str">
        <f t="shared" si="94"/>
        <v/>
      </c>
    </row>
    <row r="922" spans="1:15" outlineLevel="4" x14ac:dyDescent="0.3">
      <c r="A922" s="35"/>
      <c r="B922" s="36"/>
      <c r="C922" s="495" t="s">
        <v>10560</v>
      </c>
      <c r="D922" s="479" t="s">
        <v>1881</v>
      </c>
      <c r="E922" s="249" t="str">
        <f>UPPER(IF($D922=0,"",IF($A922=4,_xlfn.XLOOKUP($D922,Mercado!$C:$C,Mercado!$E:$E),_xlfn.XLOOKUP($D922,Fontes!$B:$B,Fontes!$C:$C))))</f>
        <v>CPOS/CDHU</v>
      </c>
      <c r="F922" s="327" t="s">
        <v>3654</v>
      </c>
      <c r="G922" s="249" t="str">
        <f>UPPER(IF($D922=0,"",IF($A922=4,_xlfn.XLOOKUP($D922,Mercado!$C:$C,Mercado!$G:$G),_xlfn.XLOOKUP($D922,Fontes!$B:$B,Fontes!$E:$E))))</f>
        <v>UN</v>
      </c>
      <c r="H922" s="252">
        <v>4</v>
      </c>
      <c r="I922" s="252">
        <f>IF($A922="M",_xlfn.XLOOKUP($D922,Mercado!$C:$C,Mercado!$I:$I),_xlfn.XLOOKUP($D922,Fontes!$B:$B,Fontes!$J:$J))</f>
        <v>10.43</v>
      </c>
      <c r="J922" s="252">
        <f>IF($A922="M",_xlfn.XLOOKUP($D922,Mercado!$C:$C,Mercado!$J:$J),_xlfn.XLOOKUP($D922,Fontes!$B:$B,Fontes!$H:$H))</f>
        <v>3.35</v>
      </c>
      <c r="K922" s="252">
        <f>IF($A922="M",0,_xlfn.XLOOKUP($D922,Fontes!$B:$B,Fontes!$I:$I))</f>
        <v>0</v>
      </c>
      <c r="L922" s="250">
        <f t="shared" si="97"/>
        <v>13.78</v>
      </c>
      <c r="M922" s="300">
        <f t="shared" si="96"/>
        <v>55.12</v>
      </c>
      <c r="O922" s="517">
        <f t="shared" si="94"/>
        <v>55.12</v>
      </c>
    </row>
    <row r="923" spans="1:15" outlineLevel="4" x14ac:dyDescent="0.3">
      <c r="A923" s="35"/>
      <c r="B923" s="36"/>
      <c r="C923" s="495" t="s">
        <v>10561</v>
      </c>
      <c r="D923" s="479" t="s">
        <v>1882</v>
      </c>
      <c r="E923" s="249" t="str">
        <f>UPPER(IF($D923=0,"",IF($A923=4,_xlfn.XLOOKUP($D923,Mercado!$C:$C,Mercado!$E:$E),_xlfn.XLOOKUP($D923,Fontes!$B:$B,Fontes!$C:$C))))</f>
        <v>CPOS/CDHU</v>
      </c>
      <c r="F923" s="327" t="s">
        <v>3655</v>
      </c>
      <c r="G923" s="249" t="str">
        <f>UPPER(IF($D923=0,"",IF($A923=4,_xlfn.XLOOKUP($D923,Mercado!$C:$C,Mercado!$G:$G),_xlfn.XLOOKUP($D923,Fontes!$B:$B,Fontes!$E:$E))))</f>
        <v>UN</v>
      </c>
      <c r="H923" s="252">
        <v>8</v>
      </c>
      <c r="I923" s="252">
        <f>IF($A923="M",_xlfn.XLOOKUP($D923,Mercado!$C:$C,Mercado!$I:$I),_xlfn.XLOOKUP($D923,Fontes!$B:$B,Fontes!$J:$J))</f>
        <v>12.65</v>
      </c>
      <c r="J923" s="252">
        <f>IF($A923="M",_xlfn.XLOOKUP($D923,Mercado!$C:$C,Mercado!$J:$J),_xlfn.XLOOKUP($D923,Fontes!$B:$B,Fontes!$H:$H))</f>
        <v>3.35</v>
      </c>
      <c r="K923" s="252">
        <f>IF($A923="M",0,_xlfn.XLOOKUP($D923,Fontes!$B:$B,Fontes!$I:$I))</f>
        <v>0</v>
      </c>
      <c r="L923" s="250">
        <f t="shared" si="97"/>
        <v>16</v>
      </c>
      <c r="M923" s="300">
        <f t="shared" si="96"/>
        <v>128</v>
      </c>
      <c r="O923" s="517">
        <f t="shared" si="94"/>
        <v>128</v>
      </c>
    </row>
    <row r="924" spans="1:15" outlineLevel="4" x14ac:dyDescent="0.3">
      <c r="A924" s="35"/>
      <c r="B924" s="36"/>
      <c r="C924" s="495" t="s">
        <v>10562</v>
      </c>
      <c r="D924" s="479" t="s">
        <v>1883</v>
      </c>
      <c r="E924" s="249" t="str">
        <f>UPPER(IF($D924=0,"",IF($A924=4,_xlfn.XLOOKUP($D924,Mercado!$C:$C,Mercado!$E:$E),_xlfn.XLOOKUP($D924,Fontes!$B:$B,Fontes!$C:$C))))</f>
        <v>CPOS/CDHU</v>
      </c>
      <c r="F924" s="327" t="s">
        <v>3656</v>
      </c>
      <c r="G924" s="249" t="str">
        <f>UPPER(IF($D924=0,"",IF($A924=4,_xlfn.XLOOKUP($D924,Mercado!$C:$C,Mercado!$G:$G),_xlfn.XLOOKUP($D924,Fontes!$B:$B,Fontes!$E:$E))))</f>
        <v>UN</v>
      </c>
      <c r="H924" s="252">
        <v>6</v>
      </c>
      <c r="I924" s="252">
        <f>IF($A924="M",_xlfn.XLOOKUP($D924,Mercado!$C:$C,Mercado!$I:$I),_xlfn.XLOOKUP($D924,Fontes!$B:$B,Fontes!$J:$J))</f>
        <v>31.61</v>
      </c>
      <c r="J924" s="252">
        <f>IF($A924="M",_xlfn.XLOOKUP($D924,Mercado!$C:$C,Mercado!$J:$J),_xlfn.XLOOKUP($D924,Fontes!$B:$B,Fontes!$H:$H))</f>
        <v>3.35</v>
      </c>
      <c r="K924" s="252">
        <f>IF($A924="M",0,_xlfn.XLOOKUP($D924,Fontes!$B:$B,Fontes!$I:$I))</f>
        <v>0</v>
      </c>
      <c r="L924" s="250">
        <f t="shared" si="97"/>
        <v>34.96</v>
      </c>
      <c r="M924" s="300">
        <f t="shared" si="96"/>
        <v>209.76</v>
      </c>
      <c r="O924" s="517">
        <f t="shared" si="94"/>
        <v>209.76</v>
      </c>
    </row>
    <row r="925" spans="1:15" outlineLevel="4" x14ac:dyDescent="0.3">
      <c r="A925" s="35"/>
      <c r="B925" s="36"/>
      <c r="C925" s="495" t="s">
        <v>10563</v>
      </c>
      <c r="D925" s="479">
        <v>53009</v>
      </c>
      <c r="E925" s="249" t="str">
        <f>UPPER(IF($D925=0,"",IF($A925=4,_xlfn.XLOOKUP($D925,Mercado!$C:$C,Mercado!$E:$E),_xlfn.XLOOKUP($D925,Fontes!$B:$B,Fontes!$C:$C))))</f>
        <v>SBC</v>
      </c>
      <c r="F925" s="327" t="s">
        <v>3657</v>
      </c>
      <c r="G925" s="249" t="str">
        <f>UPPER(IF($D925=0,"",IF($A925=4,_xlfn.XLOOKUP($D925,Mercado!$C:$C,Mercado!$G:$G),_xlfn.XLOOKUP($D925,Fontes!$B:$B,Fontes!$E:$E))))</f>
        <v>UN</v>
      </c>
      <c r="H925" s="252">
        <v>7</v>
      </c>
      <c r="I925" s="252">
        <f>IF($A925="M",_xlfn.XLOOKUP($D925,Mercado!$C:$C,Mercado!$I:$I),_xlfn.XLOOKUP($D925,Fontes!$B:$B,Fontes!$J:$J))</f>
        <v>109.16</v>
      </c>
      <c r="J925" s="252">
        <f>IF($A925="M",_xlfn.XLOOKUP($D925,Mercado!$C:$C,Mercado!$J:$J),_xlfn.XLOOKUP($D925,Fontes!$B:$B,Fontes!$H:$H))</f>
        <v>40.29</v>
      </c>
      <c r="K925" s="252">
        <f>IF($A925="M",0,_xlfn.XLOOKUP($D925,Fontes!$B:$B,Fontes!$I:$I))</f>
        <v>2.76</v>
      </c>
      <c r="L925" s="250">
        <f t="shared" si="97"/>
        <v>152.20999999999998</v>
      </c>
      <c r="M925" s="300">
        <f t="shared" si="96"/>
        <v>1065.47</v>
      </c>
      <c r="O925" s="517">
        <f t="shared" si="94"/>
        <v>1065.47</v>
      </c>
    </row>
    <row r="926" spans="1:15" ht="38.4" outlineLevel="4" x14ac:dyDescent="0.3">
      <c r="A926" s="35"/>
      <c r="B926" s="36"/>
      <c r="C926" s="495" t="s">
        <v>10564</v>
      </c>
      <c r="D926" s="249" t="s">
        <v>1884</v>
      </c>
      <c r="E926" s="249" t="str">
        <f>UPPER(IF($D926=0,"",IF($A926=4,_xlfn.XLOOKUP($D926,Mercado!$C:$C,Mercado!$E:$E),_xlfn.XLOOKUP($D926,Fontes!$B:$B,Fontes!$C:$C))))</f>
        <v>CPOS/CDHU</v>
      </c>
      <c r="F926" s="327" t="s">
        <v>3658</v>
      </c>
      <c r="G926" s="249" t="str">
        <f>UPPER(IF($D926=0,"",IF($A926=4,_xlfn.XLOOKUP($D926,Mercado!$C:$C,Mercado!$G:$G),_xlfn.XLOOKUP($D926,Fontes!$B:$B,Fontes!$E:$E))))</f>
        <v>UN</v>
      </c>
      <c r="H926" s="252">
        <v>8</v>
      </c>
      <c r="I926" s="252">
        <f>IF($A926="M",_xlfn.XLOOKUP($D926,Mercado!$C:$C,Mercado!$I:$I),_xlfn.XLOOKUP($D926,Fontes!$B:$B,Fontes!$J:$J))</f>
        <v>409.71</v>
      </c>
      <c r="J926" s="252">
        <f>IF($A926="M",_xlfn.XLOOKUP($D926,Mercado!$C:$C,Mercado!$J:$J),_xlfn.XLOOKUP($D926,Fontes!$B:$B,Fontes!$H:$H))</f>
        <v>75.53</v>
      </c>
      <c r="K926" s="252">
        <f>IF($A926="M",0,_xlfn.XLOOKUP($D926,Fontes!$B:$B,Fontes!$I:$I))</f>
        <v>0</v>
      </c>
      <c r="L926" s="250">
        <f t="shared" si="97"/>
        <v>485.24</v>
      </c>
      <c r="M926" s="300">
        <f t="shared" si="96"/>
        <v>3881.92</v>
      </c>
      <c r="O926" s="517">
        <f t="shared" si="94"/>
        <v>3881.92</v>
      </c>
    </row>
    <row r="927" spans="1:15" ht="38.4" outlineLevel="4" x14ac:dyDescent="0.3">
      <c r="A927" s="35"/>
      <c r="B927" s="36"/>
      <c r="C927" s="495" t="s">
        <v>10565</v>
      </c>
      <c r="D927" s="249">
        <v>604</v>
      </c>
      <c r="E927" s="249" t="str">
        <f>UPPER(IF($D927=0,"",IF($A927=4,_xlfn.XLOOKUP($D927,Mercado!$C:$C,Mercado!$E:$E),_xlfn.XLOOKUP($D927,Fontes!$B:$B,Fontes!$C:$C))))</f>
        <v>PRÓPRIO</v>
      </c>
      <c r="F927" s="327" t="s">
        <v>3659</v>
      </c>
      <c r="G927" s="249" t="str">
        <f>UPPER(IF($D927=0,"",IF($A927=4,_xlfn.XLOOKUP($D927,Mercado!$C:$C,Mercado!$G:$G),_xlfn.XLOOKUP($D927,Fontes!$B:$B,Fontes!$E:$E))))</f>
        <v>UN</v>
      </c>
      <c r="H927" s="252">
        <v>1</v>
      </c>
      <c r="I927" s="252">
        <f>IF($A927="M",_xlfn.XLOOKUP($D927,Mercado!$C:$C,Mercado!$I:$I),_xlfn.XLOOKUP($D927,Fontes!$B:$B,Fontes!$J:$J))</f>
        <v>729</v>
      </c>
      <c r="J927" s="252">
        <f>IF($A927="M",_xlfn.XLOOKUP($D927,Mercado!$C:$C,Mercado!$J:$J),_xlfn.XLOOKUP($D927,Fontes!$B:$B,Fontes!$H:$H))</f>
        <v>75.53</v>
      </c>
      <c r="K927" s="252">
        <f>IF($A927="M",0,_xlfn.XLOOKUP($D927,Fontes!$B:$B,Fontes!$I:$I))</f>
        <v>0</v>
      </c>
      <c r="L927" s="250">
        <f t="shared" si="97"/>
        <v>804.53</v>
      </c>
      <c r="M927" s="300">
        <f t="shared" si="96"/>
        <v>804.53</v>
      </c>
      <c r="O927" s="517">
        <f t="shared" si="94"/>
        <v>804.53</v>
      </c>
    </row>
    <row r="928" spans="1:15" outlineLevel="4" x14ac:dyDescent="0.3">
      <c r="A928" s="35"/>
      <c r="B928" s="36"/>
      <c r="C928" s="495" t="s">
        <v>10566</v>
      </c>
      <c r="D928" s="249">
        <v>642</v>
      </c>
      <c r="E928" s="249" t="str">
        <f>UPPER(IF($D928=0,"",IF($A928=4,_xlfn.XLOOKUP($D928,Mercado!$C:$C,Mercado!$E:$E),_xlfn.XLOOKUP($D928,Fontes!$B:$B,Fontes!$C:$C))))</f>
        <v>PRÓPRIO</v>
      </c>
      <c r="F928" s="328" t="s">
        <v>3660</v>
      </c>
      <c r="G928" s="249" t="str">
        <f>UPPER(IF($D928=0,"",IF($A928=4,_xlfn.XLOOKUP($D928,Mercado!$C:$C,Mercado!$G:$G),_xlfn.XLOOKUP($D928,Fontes!$B:$B,Fontes!$E:$E))))</f>
        <v>UN</v>
      </c>
      <c r="H928" s="439">
        <v>1</v>
      </c>
      <c r="I928" s="439">
        <f>IF($A928="M",_xlfn.XLOOKUP($D928,Mercado!$C:$C,Mercado!$I:$I),_xlfn.XLOOKUP($D928,Fontes!$B:$B,Fontes!$J:$J))</f>
        <v>1207.1199999999999</v>
      </c>
      <c r="J928" s="252">
        <f>IF($A928="M",_xlfn.XLOOKUP($D928,Mercado!$C:$C,Mercado!$J:$J),_xlfn.XLOOKUP($D928,Fontes!$B:$B,Fontes!$H:$H))</f>
        <v>391.17</v>
      </c>
      <c r="K928" s="252">
        <f>IF($A928="M",0,_xlfn.XLOOKUP($D928,Fontes!$B:$B,Fontes!$I:$I))</f>
        <v>15.06</v>
      </c>
      <c r="L928" s="250">
        <f t="shared" si="97"/>
        <v>1613.35</v>
      </c>
      <c r="M928" s="300">
        <f t="shared" si="96"/>
        <v>1613.35</v>
      </c>
      <c r="O928" s="517">
        <f t="shared" si="94"/>
        <v>1613.35</v>
      </c>
    </row>
    <row r="929" spans="1:15" ht="38.4" outlineLevel="4" x14ac:dyDescent="0.3">
      <c r="A929" s="35"/>
      <c r="B929" s="36"/>
      <c r="C929" s="495" t="s">
        <v>10567</v>
      </c>
      <c r="D929" s="249">
        <v>83624</v>
      </c>
      <c r="E929" s="249" t="str">
        <f>UPPER(IF($D929=0,"",IF($A929=4,_xlfn.XLOOKUP($D929,Mercado!$C:$C,Mercado!$E:$E),_xlfn.XLOOKUP($D929,Fontes!$B:$B,Fontes!$C:$C))))</f>
        <v>SINAPI</v>
      </c>
      <c r="F929" s="327" t="s">
        <v>1973</v>
      </c>
      <c r="G929" s="249" t="str">
        <f>UPPER(IF($D929=0,"",IF($A929=4,_xlfn.XLOOKUP($D929,Mercado!$C:$C,Mercado!$G:$G),_xlfn.XLOOKUP($D929,Fontes!$B:$B,Fontes!$E:$E))))</f>
        <v>M</v>
      </c>
      <c r="H929" s="252">
        <v>0</v>
      </c>
      <c r="I929" s="252">
        <f>IF($A929="M",_xlfn.XLOOKUP($D929,Mercado!$C:$C,Mercado!$I:$I),_xlfn.XLOOKUP($D929,Fontes!$B:$B,Fontes!$J:$J))</f>
        <v>231.77</v>
      </c>
      <c r="J929" s="252">
        <f>IF($A929="M",_xlfn.XLOOKUP($D929,Mercado!$C:$C,Mercado!$J:$J),_xlfn.XLOOKUP($D929,Fontes!$B:$B,Fontes!$H:$H))</f>
        <v>3.62</v>
      </c>
      <c r="K929" s="252">
        <f>IF($A929="M",0,_xlfn.XLOOKUP($D929,Fontes!$B:$B,Fontes!$I:$I))</f>
        <v>0.38</v>
      </c>
      <c r="L929" s="250">
        <f t="shared" si="97"/>
        <v>235.77</v>
      </c>
      <c r="M929" s="300">
        <f t="shared" si="96"/>
        <v>0</v>
      </c>
      <c r="O929" s="517">
        <f t="shared" si="94"/>
        <v>0</v>
      </c>
    </row>
    <row r="930" spans="1:15" outlineLevel="3" x14ac:dyDescent="0.3">
      <c r="A930" s="36" t="s">
        <v>7</v>
      </c>
      <c r="B930" s="36"/>
      <c r="C930" s="495" t="s">
        <v>781</v>
      </c>
      <c r="D930" s="249"/>
      <c r="E930" s="249" t="str">
        <f>UPPER(IF($D930=0,"",IF($A930=4,_xlfn.XLOOKUP($D930,Mercado!$C:$C,Mercado!$E:$E),_xlfn.XLOOKUP($D930,Fontes!$B:$B,Fontes!$C:$C))))</f>
        <v/>
      </c>
      <c r="F930" s="327" t="s">
        <v>781</v>
      </c>
      <c r="G930" s="249"/>
      <c r="H930" s="252"/>
      <c r="I930" s="252">
        <f>IF($A930="M",_xlfn.XLOOKUP($D930,Mercado!$C:$C,Mercado!$I:$I),_xlfn.XLOOKUP($D930,Fontes!$B:$B,Fontes!$J:$J))</f>
        <v>0</v>
      </c>
      <c r="J930" s="252">
        <f>IF($A930="M",_xlfn.XLOOKUP($D930,Mercado!$C:$C,Mercado!$J:$J),_xlfn.XLOOKUP($D930,Fontes!$B:$B,Fontes!$H:$H))</f>
        <v>0</v>
      </c>
      <c r="K930" s="252">
        <f>IF($A930="M",0,_xlfn.XLOOKUP($D930,Fontes!$B:$B,Fontes!$I:$I))</f>
        <v>0</v>
      </c>
      <c r="L930" s="250">
        <f t="shared" si="97"/>
        <v>0</v>
      </c>
      <c r="M930" s="300">
        <f t="shared" si="96"/>
        <v>0</v>
      </c>
      <c r="N930" s="243"/>
      <c r="O930" s="517" t="str">
        <f t="shared" ref="O930:O993" si="98">IF(D930&lt;&gt;0,M930,"")</f>
        <v/>
      </c>
    </row>
    <row r="931" spans="1:15" outlineLevel="2" x14ac:dyDescent="0.3">
      <c r="A931" s="36" t="s">
        <v>7</v>
      </c>
      <c r="B931" s="36"/>
      <c r="C931" s="496" t="s">
        <v>10568</v>
      </c>
      <c r="D931" s="253"/>
      <c r="E931" s="253" t="str">
        <f>UPPER(IF($D931=0,"",IF($A931=4,_xlfn.XLOOKUP($D931,Mercado!$C:$C,Mercado!$E:$E),_xlfn.XLOOKUP($D931,Fontes!$B:$B,Fontes!$C:$C))))</f>
        <v/>
      </c>
      <c r="F931" s="329" t="s">
        <v>1944</v>
      </c>
      <c r="G931" s="253"/>
      <c r="H931" s="254"/>
      <c r="I931" s="254">
        <f>IF($A931="M",_xlfn.XLOOKUP($D931,Mercado!$C:$C,Mercado!$I:$I),_xlfn.XLOOKUP($D931,Fontes!$B:$B,Fontes!$J:$J))</f>
        <v>0</v>
      </c>
      <c r="J931" s="254">
        <f>IF($A931="M",_xlfn.XLOOKUP($D931,Mercado!$C:$C,Mercado!$J:$J),_xlfn.XLOOKUP($D931,Fontes!$B:$B,Fontes!$H:$H))</f>
        <v>0</v>
      </c>
      <c r="K931" s="254">
        <f>IF($A931="M",0,_xlfn.XLOOKUP($D931,Fontes!$B:$B,Fontes!$I:$I))</f>
        <v>0</v>
      </c>
      <c r="L931" s="254">
        <f t="shared" si="97"/>
        <v>0</v>
      </c>
      <c r="M931" s="497">
        <f>SUBTOTAL(9,M932:M1024)</f>
        <v>67909.969999999987</v>
      </c>
      <c r="O931" s="517" t="str">
        <f t="shared" si="98"/>
        <v/>
      </c>
    </row>
    <row r="932" spans="1:15" ht="20.399999999999999" outlineLevel="3" x14ac:dyDescent="0.3">
      <c r="A932" s="36" t="s">
        <v>7</v>
      </c>
      <c r="B932" s="36"/>
      <c r="C932" s="499" t="s">
        <v>10569</v>
      </c>
      <c r="D932" s="249"/>
      <c r="E932" s="249" t="str">
        <f>UPPER(IF($D932=0,"",IF($A932=4,_xlfn.XLOOKUP($D932,Mercado!$C:$C,Mercado!$E:$E),_xlfn.XLOOKUP($D932,Fontes!$B:$B,Fontes!$C:$C))))</f>
        <v/>
      </c>
      <c r="F932" s="330" t="s">
        <v>1919</v>
      </c>
      <c r="G932" s="249"/>
      <c r="H932" s="252"/>
      <c r="I932" s="252">
        <f>IF($A932="M",_xlfn.XLOOKUP($D932,Mercado!$C:$C,Mercado!$I:$I),_xlfn.XLOOKUP($D932,Fontes!$B:$B,Fontes!$J:$J))</f>
        <v>0</v>
      </c>
      <c r="J932" s="252">
        <f>IF($A932="M",_xlfn.XLOOKUP($D932,Mercado!$C:$C,Mercado!$J:$J),_xlfn.XLOOKUP($D932,Fontes!$B:$B,Fontes!$H:$H))</f>
        <v>0</v>
      </c>
      <c r="K932" s="252">
        <f>IF($A932="M",0,_xlfn.XLOOKUP($D932,Fontes!$B:$B,Fontes!$I:$I))</f>
        <v>0</v>
      </c>
      <c r="L932" s="252">
        <f t="shared" si="97"/>
        <v>0</v>
      </c>
      <c r="M932" s="509">
        <f t="shared" ref="M932:M963" si="99">ROUND(H932*L932,2)</f>
        <v>0</v>
      </c>
      <c r="N932" s="243"/>
      <c r="O932" s="517" t="str">
        <f t="shared" si="98"/>
        <v/>
      </c>
    </row>
    <row r="933" spans="1:15" ht="76.8" outlineLevel="4" x14ac:dyDescent="0.3">
      <c r="A933" s="35"/>
      <c r="B933" s="36"/>
      <c r="C933" s="495" t="s">
        <v>10570</v>
      </c>
      <c r="D933" s="249">
        <v>94648</v>
      </c>
      <c r="E933" s="249" t="str">
        <f>UPPER(IF($D933=0,"",IF($A933=4,_xlfn.XLOOKUP($D933,Mercado!$C:$C,Mercado!$E:$E),_xlfn.XLOOKUP($D933,Fontes!$B:$B,Fontes!$C:$C))))</f>
        <v>SINAPI</v>
      </c>
      <c r="F933" s="327" t="s">
        <v>44</v>
      </c>
      <c r="G933" s="249" t="str">
        <f>UPPER(IF($D933=0,"",IF($A933=4,_xlfn.XLOOKUP($D933,Mercado!$C:$C,Mercado!$G:$G),_xlfn.XLOOKUP($D933,Fontes!$B:$B,Fontes!$E:$E))))</f>
        <v>M</v>
      </c>
      <c r="H933" s="252">
        <v>149</v>
      </c>
      <c r="I933" s="252">
        <f>IF($A933="M",_xlfn.XLOOKUP($D933,Mercado!$C:$C,Mercado!$I:$I),_xlfn.XLOOKUP($D933,Fontes!$B:$B,Fontes!$J:$J))</f>
        <v>5.29</v>
      </c>
      <c r="J933" s="252">
        <f>IF($A933="M",_xlfn.XLOOKUP($D933,Mercado!$C:$C,Mercado!$J:$J),_xlfn.XLOOKUP($D933,Fontes!$B:$B,Fontes!$H:$H))</f>
        <v>2.52</v>
      </c>
      <c r="K933" s="252">
        <f>IF($A933="M",0,_xlfn.XLOOKUP($D933,Fontes!$B:$B,Fontes!$I:$I))</f>
        <v>0.18</v>
      </c>
      <c r="L933" s="250">
        <f t="shared" si="97"/>
        <v>7.99</v>
      </c>
      <c r="M933" s="300">
        <f t="shared" si="99"/>
        <v>1190.51</v>
      </c>
      <c r="O933" s="517">
        <f t="shared" si="98"/>
        <v>1190.51</v>
      </c>
    </row>
    <row r="934" spans="1:15" ht="76.8" outlineLevel="4" x14ac:dyDescent="0.3">
      <c r="A934" s="35"/>
      <c r="B934" s="36"/>
      <c r="C934" s="495" t="s">
        <v>10571</v>
      </c>
      <c r="D934" s="249">
        <v>94649</v>
      </c>
      <c r="E934" s="249" t="str">
        <f>UPPER(IF($D934=0,"",IF($A934=4,_xlfn.XLOOKUP($D934,Mercado!$C:$C,Mercado!$E:$E),_xlfn.XLOOKUP($D934,Fontes!$B:$B,Fontes!$C:$C))))</f>
        <v>SINAPI</v>
      </c>
      <c r="F934" s="327" t="s">
        <v>45</v>
      </c>
      <c r="G934" s="249" t="str">
        <f>UPPER(IF($D934=0,"",IF($A934=4,_xlfn.XLOOKUP($D934,Mercado!$C:$C,Mercado!$G:$G),_xlfn.XLOOKUP($D934,Fontes!$B:$B,Fontes!$E:$E))))</f>
        <v>M</v>
      </c>
      <c r="H934" s="252">
        <v>176</v>
      </c>
      <c r="I934" s="252">
        <f>IF($A934="M",_xlfn.XLOOKUP($D934,Mercado!$C:$C,Mercado!$I:$I),_xlfn.XLOOKUP($D934,Fontes!$B:$B,Fontes!$J:$J))</f>
        <v>10.82</v>
      </c>
      <c r="J934" s="252">
        <f>IF($A934="M",_xlfn.XLOOKUP($D934,Mercado!$C:$C,Mercado!$J:$J),_xlfn.XLOOKUP($D934,Fontes!$B:$B,Fontes!$H:$H))</f>
        <v>3.29</v>
      </c>
      <c r="K934" s="252">
        <f>IF($A934="M",0,_xlfn.XLOOKUP($D934,Fontes!$B:$B,Fontes!$I:$I))</f>
        <v>0.22</v>
      </c>
      <c r="L934" s="250">
        <f t="shared" si="97"/>
        <v>14.33</v>
      </c>
      <c r="M934" s="300">
        <f t="shared" si="99"/>
        <v>2522.08</v>
      </c>
      <c r="O934" s="517">
        <f t="shared" si="98"/>
        <v>2522.08</v>
      </c>
    </row>
    <row r="935" spans="1:15" ht="76.8" outlineLevel="4" x14ac:dyDescent="0.3">
      <c r="A935" s="35"/>
      <c r="B935" s="36"/>
      <c r="C935" s="495" t="s">
        <v>10572</v>
      </c>
      <c r="D935" s="249">
        <v>94650</v>
      </c>
      <c r="E935" s="249" t="str">
        <f>UPPER(IF($D935=0,"",IF($A935=4,_xlfn.XLOOKUP($D935,Mercado!$C:$C,Mercado!$E:$E),_xlfn.XLOOKUP($D935,Fontes!$B:$B,Fontes!$C:$C))))</f>
        <v>SINAPI</v>
      </c>
      <c r="F935" s="327" t="s">
        <v>46</v>
      </c>
      <c r="G935" s="249" t="str">
        <f>UPPER(IF($D935=0,"",IF($A935=4,_xlfn.XLOOKUP($D935,Mercado!$C:$C,Mercado!$G:$G),_xlfn.XLOOKUP($D935,Fontes!$B:$B,Fontes!$E:$E))))</f>
        <v>M</v>
      </c>
      <c r="H935" s="252">
        <v>33</v>
      </c>
      <c r="I935" s="252">
        <f>IF($A935="M",_xlfn.XLOOKUP($D935,Mercado!$C:$C,Mercado!$I:$I),_xlfn.XLOOKUP($D935,Fontes!$B:$B,Fontes!$J:$J))</f>
        <v>16.760000000000002</v>
      </c>
      <c r="J935" s="252">
        <f>IF($A935="M",_xlfn.XLOOKUP($D935,Mercado!$C:$C,Mercado!$J:$J),_xlfn.XLOOKUP($D935,Fontes!$B:$B,Fontes!$H:$H))</f>
        <v>4.3899999999999997</v>
      </c>
      <c r="K935" s="252">
        <f>IF($A935="M",0,_xlfn.XLOOKUP($D935,Fontes!$B:$B,Fontes!$I:$I))</f>
        <v>0.3</v>
      </c>
      <c r="L935" s="250">
        <f t="shared" si="97"/>
        <v>21.450000000000003</v>
      </c>
      <c r="M935" s="300">
        <f t="shared" si="99"/>
        <v>707.85</v>
      </c>
      <c r="O935" s="517">
        <f t="shared" si="98"/>
        <v>707.85</v>
      </c>
    </row>
    <row r="936" spans="1:15" ht="76.8" outlineLevel="4" x14ac:dyDescent="0.3">
      <c r="A936" s="35"/>
      <c r="B936" s="36"/>
      <c r="C936" s="495" t="s">
        <v>10573</v>
      </c>
      <c r="D936" s="249">
        <v>94651</v>
      </c>
      <c r="E936" s="249" t="str">
        <f>UPPER(IF($D936=0,"",IF($A936=4,_xlfn.XLOOKUP($D936,Mercado!$C:$C,Mercado!$E:$E),_xlfn.XLOOKUP($D936,Fontes!$B:$B,Fontes!$C:$C))))</f>
        <v>SINAPI</v>
      </c>
      <c r="F936" s="327" t="s">
        <v>47</v>
      </c>
      <c r="G936" s="249" t="str">
        <f>UPPER(IF($D936=0,"",IF($A936=4,_xlfn.XLOOKUP($D936,Mercado!$C:$C,Mercado!$G:$G),_xlfn.XLOOKUP($D936,Fontes!$B:$B,Fontes!$E:$E))))</f>
        <v>M</v>
      </c>
      <c r="H936" s="252">
        <v>52</v>
      </c>
      <c r="I936" s="252">
        <f>IF($A936="M",_xlfn.XLOOKUP($D936,Mercado!$C:$C,Mercado!$I:$I),_xlfn.XLOOKUP($D936,Fontes!$B:$B,Fontes!$J:$J))</f>
        <v>18.760000000000002</v>
      </c>
      <c r="J936" s="252">
        <f>IF($A936="M",_xlfn.XLOOKUP($D936,Mercado!$C:$C,Mercado!$J:$J),_xlfn.XLOOKUP($D936,Fontes!$B:$B,Fontes!$H:$H))</f>
        <v>6.13</v>
      </c>
      <c r="K936" s="252">
        <f>IF($A936="M",0,_xlfn.XLOOKUP($D936,Fontes!$B:$B,Fontes!$I:$I))</f>
        <v>0.42</v>
      </c>
      <c r="L936" s="250">
        <f t="shared" si="97"/>
        <v>25.310000000000002</v>
      </c>
      <c r="M936" s="300">
        <f t="shared" si="99"/>
        <v>1316.12</v>
      </c>
      <c r="O936" s="517">
        <f t="shared" si="98"/>
        <v>1316.12</v>
      </c>
    </row>
    <row r="937" spans="1:15" ht="76.8" outlineLevel="4" x14ac:dyDescent="0.3">
      <c r="A937" s="35"/>
      <c r="B937" s="36"/>
      <c r="C937" s="495" t="s">
        <v>10574</v>
      </c>
      <c r="D937" s="249">
        <v>94652</v>
      </c>
      <c r="E937" s="249" t="str">
        <f>UPPER(IF($D937=0,"",IF($A937=4,_xlfn.XLOOKUP($D937,Mercado!$C:$C,Mercado!$E:$E),_xlfn.XLOOKUP($D937,Fontes!$B:$B,Fontes!$C:$C))))</f>
        <v>SINAPI</v>
      </c>
      <c r="F937" s="327" t="s">
        <v>48</v>
      </c>
      <c r="G937" s="249" t="str">
        <f>UPPER(IF($D937=0,"",IF($A937=4,_xlfn.XLOOKUP($D937,Mercado!$C:$C,Mercado!$G:$G),_xlfn.XLOOKUP($D937,Fontes!$B:$B,Fontes!$E:$E))))</f>
        <v>M</v>
      </c>
      <c r="H937" s="252">
        <v>22</v>
      </c>
      <c r="I937" s="252">
        <f>IF($A937="M",_xlfn.XLOOKUP($D937,Mercado!$C:$C,Mercado!$I:$I),_xlfn.XLOOKUP($D937,Fontes!$B:$B,Fontes!$J:$J))</f>
        <v>30.33</v>
      </c>
      <c r="J937" s="252">
        <f>IF($A937="M",_xlfn.XLOOKUP($D937,Mercado!$C:$C,Mercado!$J:$J),_xlfn.XLOOKUP($D937,Fontes!$B:$B,Fontes!$H:$H))</f>
        <v>8.24</v>
      </c>
      <c r="K937" s="252">
        <f>IF($A937="M",0,_xlfn.XLOOKUP($D937,Fontes!$B:$B,Fontes!$I:$I))</f>
        <v>0.56000000000000005</v>
      </c>
      <c r="L937" s="250">
        <f t="shared" si="97"/>
        <v>39.130000000000003</v>
      </c>
      <c r="M937" s="300">
        <f t="shared" si="99"/>
        <v>860.86</v>
      </c>
      <c r="O937" s="517">
        <f t="shared" si="98"/>
        <v>860.86</v>
      </c>
    </row>
    <row r="938" spans="1:15" ht="76.8" outlineLevel="4" x14ac:dyDescent="0.3">
      <c r="A938" s="35"/>
      <c r="B938" s="36"/>
      <c r="C938" s="495" t="s">
        <v>10575</v>
      </c>
      <c r="D938" s="249">
        <v>94654</v>
      </c>
      <c r="E938" s="249" t="str">
        <f>UPPER(IF($D938=0,"",IF($A938=4,_xlfn.XLOOKUP($D938,Mercado!$C:$C,Mercado!$E:$E),_xlfn.XLOOKUP($D938,Fontes!$B:$B,Fontes!$C:$C))))</f>
        <v>SINAPI</v>
      </c>
      <c r="F938" s="327" t="s">
        <v>49</v>
      </c>
      <c r="G938" s="249" t="str">
        <f>UPPER(IF($D938=0,"",IF($A938=4,_xlfn.XLOOKUP($D938,Mercado!$C:$C,Mercado!$G:$G),_xlfn.XLOOKUP($D938,Fontes!$B:$B,Fontes!$E:$E))))</f>
        <v>M</v>
      </c>
      <c r="H938" s="252">
        <v>1</v>
      </c>
      <c r="I938" s="252">
        <f>IF($A938="M",_xlfn.XLOOKUP($D938,Mercado!$C:$C,Mercado!$I:$I),_xlfn.XLOOKUP($D938,Fontes!$B:$B,Fontes!$J:$J))</f>
        <v>68.81</v>
      </c>
      <c r="J938" s="252">
        <f>IF($A938="M",_xlfn.XLOOKUP($D938,Mercado!$C:$C,Mercado!$J:$J),_xlfn.XLOOKUP($D938,Fontes!$B:$B,Fontes!$H:$H))</f>
        <v>15.22</v>
      </c>
      <c r="K938" s="252">
        <f>IF($A938="M",0,_xlfn.XLOOKUP($D938,Fontes!$B:$B,Fontes!$I:$I))</f>
        <v>1.04</v>
      </c>
      <c r="L938" s="250">
        <f t="shared" si="97"/>
        <v>85.070000000000007</v>
      </c>
      <c r="M938" s="300">
        <f t="shared" si="99"/>
        <v>85.07</v>
      </c>
      <c r="O938" s="517">
        <f t="shared" si="98"/>
        <v>85.07</v>
      </c>
    </row>
    <row r="939" spans="1:15" ht="38.4" outlineLevel="4" x14ac:dyDescent="0.3">
      <c r="A939" s="35"/>
      <c r="B939" s="36"/>
      <c r="C939" s="495" t="s">
        <v>10576</v>
      </c>
      <c r="D939" s="249">
        <v>89481</v>
      </c>
      <c r="E939" s="249" t="str">
        <f>UPPER(IF($D939=0,"",IF($A939=4,_xlfn.XLOOKUP($D939,Mercado!$C:$C,Mercado!$E:$E),_xlfn.XLOOKUP($D939,Fontes!$B:$B,Fontes!$C:$C))))</f>
        <v>SINAPI</v>
      </c>
      <c r="F939" s="327" t="s">
        <v>57</v>
      </c>
      <c r="G939" s="249" t="str">
        <f>UPPER(IF($D939=0,"",IF($A939=4,_xlfn.XLOOKUP($D939,Mercado!$C:$C,Mercado!$G:$G),_xlfn.XLOOKUP($D939,Fontes!$B:$B,Fontes!$E:$E))))</f>
        <v>UN</v>
      </c>
      <c r="H939" s="252">
        <v>76</v>
      </c>
      <c r="I939" s="252">
        <f>IF($A939="M",_xlfn.XLOOKUP($D939,Mercado!$C:$C,Mercado!$I:$I),_xlfn.XLOOKUP($D939,Fontes!$B:$B,Fontes!$J:$J))</f>
        <v>3.17</v>
      </c>
      <c r="J939" s="252">
        <f>IF($A939="M",_xlfn.XLOOKUP($D939,Mercado!$C:$C,Mercado!$J:$J),_xlfn.XLOOKUP($D939,Fontes!$B:$B,Fontes!$H:$H))</f>
        <v>3.84</v>
      </c>
      <c r="K939" s="252">
        <f>IF($A939="M",0,_xlfn.XLOOKUP($D939,Fontes!$B:$B,Fontes!$I:$I))</f>
        <v>0.26</v>
      </c>
      <c r="L939" s="250">
        <f t="shared" si="97"/>
        <v>7.27</v>
      </c>
      <c r="M939" s="300">
        <f t="shared" si="99"/>
        <v>552.52</v>
      </c>
      <c r="O939" s="517">
        <f t="shared" si="98"/>
        <v>552.52</v>
      </c>
    </row>
    <row r="940" spans="1:15" ht="57.6" outlineLevel="4" x14ac:dyDescent="0.3">
      <c r="A940" s="35"/>
      <c r="B940" s="36"/>
      <c r="C940" s="495" t="s">
        <v>10577</v>
      </c>
      <c r="D940" s="249">
        <v>89413</v>
      </c>
      <c r="E940" s="249" t="str">
        <f>UPPER(IF($D940=0,"",IF($A940=4,_xlfn.XLOOKUP($D940,Mercado!$C:$C,Mercado!$E:$E),_xlfn.XLOOKUP($D940,Fontes!$B:$B,Fontes!$C:$C))))</f>
        <v>SINAPI</v>
      </c>
      <c r="F940" s="327" t="s">
        <v>53</v>
      </c>
      <c r="G940" s="249" t="str">
        <f>UPPER(IF($D940=0,"",IF($A940=4,_xlfn.XLOOKUP($D940,Mercado!$C:$C,Mercado!$G:$G),_xlfn.XLOOKUP($D940,Fontes!$B:$B,Fontes!$E:$E))))</f>
        <v>UN</v>
      </c>
      <c r="H940" s="252">
        <v>31</v>
      </c>
      <c r="I940" s="252">
        <f>IF($A940="M",_xlfn.XLOOKUP($D940,Mercado!$C:$C,Mercado!$I:$I),_xlfn.XLOOKUP($D940,Fontes!$B:$B,Fontes!$J:$J))</f>
        <v>6.89</v>
      </c>
      <c r="J940" s="252">
        <f>IF($A940="M",_xlfn.XLOOKUP($D940,Mercado!$C:$C,Mercado!$J:$J),_xlfn.XLOOKUP($D940,Fontes!$B:$B,Fontes!$H:$H))</f>
        <v>8.81</v>
      </c>
      <c r="K940" s="252">
        <f>IF($A940="M",0,_xlfn.XLOOKUP($D940,Fontes!$B:$B,Fontes!$I:$I))</f>
        <v>0.6</v>
      </c>
      <c r="L940" s="250">
        <f t="shared" si="97"/>
        <v>16.3</v>
      </c>
      <c r="M940" s="300">
        <f t="shared" si="99"/>
        <v>505.3</v>
      </c>
      <c r="O940" s="517">
        <f t="shared" si="98"/>
        <v>505.3</v>
      </c>
    </row>
    <row r="941" spans="1:15" ht="38.4" outlineLevel="4" x14ac:dyDescent="0.3">
      <c r="A941" s="35"/>
      <c r="B941" s="36"/>
      <c r="C941" s="495" t="s">
        <v>10578</v>
      </c>
      <c r="D941" s="249">
        <v>89497</v>
      </c>
      <c r="E941" s="249" t="str">
        <f>UPPER(IF($D941=0,"",IF($A941=4,_xlfn.XLOOKUP($D941,Mercado!$C:$C,Mercado!$E:$E),_xlfn.XLOOKUP($D941,Fontes!$B:$B,Fontes!$C:$C))))</f>
        <v>SINAPI</v>
      </c>
      <c r="F941" s="327" t="s">
        <v>58</v>
      </c>
      <c r="G941" s="249" t="str">
        <f>UPPER(IF($D941=0,"",IF($A941=4,_xlfn.XLOOKUP($D941,Mercado!$C:$C,Mercado!$G:$G),_xlfn.XLOOKUP($D941,Fontes!$B:$B,Fontes!$E:$E))))</f>
        <v>UN</v>
      </c>
      <c r="H941" s="252">
        <v>14</v>
      </c>
      <c r="I941" s="252">
        <f>IF($A941="M",_xlfn.XLOOKUP($D941,Mercado!$C:$C,Mercado!$I:$I),_xlfn.XLOOKUP($D941,Fontes!$B:$B,Fontes!$J:$J))</f>
        <v>10.06</v>
      </c>
      <c r="J941" s="252">
        <f>IF($A941="M",_xlfn.XLOOKUP($D941,Mercado!$C:$C,Mercado!$J:$J),_xlfn.XLOOKUP($D941,Fontes!$B:$B,Fontes!$H:$H))</f>
        <v>5.68</v>
      </c>
      <c r="K941" s="252">
        <f>IF($A941="M",0,_xlfn.XLOOKUP($D941,Fontes!$B:$B,Fontes!$I:$I))</f>
        <v>0.38</v>
      </c>
      <c r="L941" s="250">
        <f t="shared" si="97"/>
        <v>16.12</v>
      </c>
      <c r="M941" s="300">
        <f t="shared" si="99"/>
        <v>225.68</v>
      </c>
      <c r="O941" s="517">
        <f t="shared" si="98"/>
        <v>225.68</v>
      </c>
    </row>
    <row r="942" spans="1:15" ht="38.4" outlineLevel="4" x14ac:dyDescent="0.3">
      <c r="A942" s="35"/>
      <c r="B942" s="36"/>
      <c r="C942" s="495" t="s">
        <v>10579</v>
      </c>
      <c r="D942" s="249">
        <v>89501</v>
      </c>
      <c r="E942" s="249" t="str">
        <f>UPPER(IF($D942=0,"",IF($A942=4,_xlfn.XLOOKUP($D942,Mercado!$C:$C,Mercado!$E:$E),_xlfn.XLOOKUP($D942,Fontes!$B:$B,Fontes!$C:$C))))</f>
        <v>SINAPI</v>
      </c>
      <c r="F942" s="327" t="s">
        <v>59</v>
      </c>
      <c r="G942" s="249" t="str">
        <f>UPPER(IF($D942=0,"",IF($A942=4,_xlfn.XLOOKUP($D942,Mercado!$C:$C,Mercado!$G:$G),_xlfn.XLOOKUP($D942,Fontes!$B:$B,Fontes!$E:$E))))</f>
        <v>UN</v>
      </c>
      <c r="H942" s="252">
        <v>19</v>
      </c>
      <c r="I942" s="252">
        <f>IF($A942="M",_xlfn.XLOOKUP($D942,Mercado!$C:$C,Mercado!$I:$I),_xlfn.XLOOKUP($D942,Fontes!$B:$B,Fontes!$J:$J))</f>
        <v>10.53</v>
      </c>
      <c r="J942" s="252">
        <f>IF($A942="M",_xlfn.XLOOKUP($D942,Mercado!$C:$C,Mercado!$J:$J),_xlfn.XLOOKUP($D942,Fontes!$B:$B,Fontes!$H:$H))</f>
        <v>6.91</v>
      </c>
      <c r="K942" s="252">
        <f>IF($A942="M",0,_xlfn.XLOOKUP($D942,Fontes!$B:$B,Fontes!$I:$I))</f>
        <v>0.48</v>
      </c>
      <c r="L942" s="250">
        <f t="shared" si="97"/>
        <v>17.919999999999998</v>
      </c>
      <c r="M942" s="300">
        <f t="shared" si="99"/>
        <v>340.48</v>
      </c>
      <c r="O942" s="517">
        <f t="shared" si="98"/>
        <v>340.48</v>
      </c>
    </row>
    <row r="943" spans="1:15" ht="38.4" outlineLevel="4" x14ac:dyDescent="0.3">
      <c r="A943" s="35"/>
      <c r="B943" s="36"/>
      <c r="C943" s="495" t="s">
        <v>10580</v>
      </c>
      <c r="D943" s="249">
        <v>89505</v>
      </c>
      <c r="E943" s="249" t="str">
        <f>UPPER(IF($D943=0,"",IF($A943=4,_xlfn.XLOOKUP($D943,Mercado!$C:$C,Mercado!$E:$E),_xlfn.XLOOKUP($D943,Fontes!$B:$B,Fontes!$C:$C))))</f>
        <v>SINAPI</v>
      </c>
      <c r="F943" s="327" t="s">
        <v>60</v>
      </c>
      <c r="G943" s="249" t="str">
        <f>UPPER(IF($D943=0,"",IF($A943=4,_xlfn.XLOOKUP($D943,Mercado!$C:$C,Mercado!$G:$G),_xlfn.XLOOKUP($D943,Fontes!$B:$B,Fontes!$E:$E))))</f>
        <v>UN</v>
      </c>
      <c r="H943" s="252">
        <v>14</v>
      </c>
      <c r="I943" s="252">
        <f>IF($A943="M",_xlfn.XLOOKUP($D943,Mercado!$C:$C,Mercado!$I:$I),_xlfn.XLOOKUP($D943,Fontes!$B:$B,Fontes!$J:$J))</f>
        <v>37.1</v>
      </c>
      <c r="J943" s="252">
        <f>IF($A943="M",_xlfn.XLOOKUP($D943,Mercado!$C:$C,Mercado!$J:$J),_xlfn.XLOOKUP($D943,Fontes!$B:$B,Fontes!$H:$H))</f>
        <v>8.18</v>
      </c>
      <c r="K943" s="252">
        <f>IF($A943="M",0,_xlfn.XLOOKUP($D943,Fontes!$B:$B,Fontes!$I:$I))</f>
        <v>0.56000000000000005</v>
      </c>
      <c r="L943" s="250">
        <f t="shared" si="97"/>
        <v>45.84</v>
      </c>
      <c r="M943" s="300">
        <f t="shared" si="99"/>
        <v>641.76</v>
      </c>
      <c r="O943" s="517">
        <f t="shared" si="98"/>
        <v>641.76</v>
      </c>
    </row>
    <row r="944" spans="1:15" ht="38.4" outlineLevel="4" x14ac:dyDescent="0.3">
      <c r="A944" s="35"/>
      <c r="B944" s="36"/>
      <c r="C944" s="495" t="s">
        <v>10581</v>
      </c>
      <c r="D944" s="249">
        <v>89521</v>
      </c>
      <c r="E944" s="249" t="str">
        <f>UPPER(IF($D944=0,"",IF($A944=4,_xlfn.XLOOKUP($D944,Mercado!$C:$C,Mercado!$E:$E),_xlfn.XLOOKUP($D944,Fontes!$B:$B,Fontes!$C:$C))))</f>
        <v>SINAPI</v>
      </c>
      <c r="F944" s="327" t="s">
        <v>61</v>
      </c>
      <c r="G944" s="249" t="str">
        <f>UPPER(IF($D944=0,"",IF($A944=4,_xlfn.XLOOKUP($D944,Mercado!$C:$C,Mercado!$G:$G),_xlfn.XLOOKUP($D944,Fontes!$B:$B,Fontes!$E:$E))))</f>
        <v>UN</v>
      </c>
      <c r="H944" s="252">
        <v>4</v>
      </c>
      <c r="I944" s="252">
        <f>IF($A944="M",_xlfn.XLOOKUP($D944,Mercado!$C:$C,Mercado!$I:$I),_xlfn.XLOOKUP($D944,Fontes!$B:$B,Fontes!$J:$J))</f>
        <v>118.4</v>
      </c>
      <c r="J944" s="252">
        <f>IF($A944="M",_xlfn.XLOOKUP($D944,Mercado!$C:$C,Mercado!$J:$J),_xlfn.XLOOKUP($D944,Fontes!$B:$B,Fontes!$H:$H))</f>
        <v>11.24</v>
      </c>
      <c r="K944" s="252">
        <f>IF($A944="M",0,_xlfn.XLOOKUP($D944,Fontes!$B:$B,Fontes!$I:$I))</f>
        <v>0.78</v>
      </c>
      <c r="L944" s="250">
        <f t="shared" si="97"/>
        <v>130.42000000000002</v>
      </c>
      <c r="M944" s="300">
        <f t="shared" si="99"/>
        <v>521.67999999999995</v>
      </c>
      <c r="O944" s="517">
        <f t="shared" si="98"/>
        <v>521.67999999999995</v>
      </c>
    </row>
    <row r="945" spans="1:15" ht="57.6" outlineLevel="4" x14ac:dyDescent="0.3">
      <c r="A945" s="35"/>
      <c r="B945" s="36"/>
      <c r="C945" s="495" t="s">
        <v>10582</v>
      </c>
      <c r="D945" s="249">
        <v>89366</v>
      </c>
      <c r="E945" s="249" t="str">
        <f>UPPER(IF($D945=0,"",IF($A945=4,_xlfn.XLOOKUP($D945,Mercado!$C:$C,Mercado!$E:$E),_xlfn.XLOOKUP($D945,Fontes!$B:$B,Fontes!$C:$C))))</f>
        <v>SINAPI</v>
      </c>
      <c r="F945" s="327" t="s">
        <v>50</v>
      </c>
      <c r="G945" s="249" t="str">
        <f>UPPER(IF($D945=0,"",IF($A945=4,_xlfn.XLOOKUP($D945,Mercado!$C:$C,Mercado!$G:$G),_xlfn.XLOOKUP($D945,Fontes!$B:$B,Fontes!$E:$E))))</f>
        <v>UN</v>
      </c>
      <c r="H945" s="252">
        <v>28</v>
      </c>
      <c r="I945" s="252">
        <f>IF($A945="M",_xlfn.XLOOKUP($D945,Mercado!$C:$C,Mercado!$I:$I),_xlfn.XLOOKUP($D945,Fontes!$B:$B,Fontes!$J:$J))</f>
        <v>11.84</v>
      </c>
      <c r="J945" s="252">
        <f>IF($A945="M",_xlfn.XLOOKUP($D945,Mercado!$C:$C,Mercado!$J:$J),_xlfn.XLOOKUP($D945,Fontes!$B:$B,Fontes!$H:$H))</f>
        <v>7.69</v>
      </c>
      <c r="K945" s="252">
        <f>IF($A945="M",0,_xlfn.XLOOKUP($D945,Fontes!$B:$B,Fontes!$I:$I))</f>
        <v>0.52</v>
      </c>
      <c r="L945" s="250">
        <f t="shared" si="97"/>
        <v>20.05</v>
      </c>
      <c r="M945" s="300">
        <f t="shared" si="99"/>
        <v>561.4</v>
      </c>
      <c r="O945" s="517">
        <f t="shared" si="98"/>
        <v>561.4</v>
      </c>
    </row>
    <row r="946" spans="1:15" ht="38.4" outlineLevel="4" x14ac:dyDescent="0.3">
      <c r="A946" s="35"/>
      <c r="B946" s="36"/>
      <c r="C946" s="495" t="s">
        <v>10583</v>
      </c>
      <c r="D946" s="249">
        <v>1143</v>
      </c>
      <c r="E946" s="249" t="str">
        <f>UPPER(IF($D946=0,"",IF($A946=4,_xlfn.XLOOKUP($D946,Mercado!$C:$C,Mercado!$E:$E),_xlfn.XLOOKUP($D946,Fontes!$B:$B,Fontes!$C:$C))))</f>
        <v>ORSE</v>
      </c>
      <c r="F946" s="327" t="s">
        <v>3661</v>
      </c>
      <c r="G946" s="249" t="str">
        <f>UPPER(IF($D946=0,"",IF($A946=4,_xlfn.XLOOKUP($D946,Mercado!$C:$C,Mercado!$G:$G),_xlfn.XLOOKUP($D946,Fontes!$B:$B,Fontes!$E:$E))))</f>
        <v>UN</v>
      </c>
      <c r="H946" s="252">
        <v>14</v>
      </c>
      <c r="I946" s="252">
        <f>IF($A946="M",_xlfn.XLOOKUP($D946,Mercado!$C:$C,Mercado!$I:$I),_xlfn.XLOOKUP($D946,Fontes!$B:$B,Fontes!$J:$J))</f>
        <v>4.71</v>
      </c>
      <c r="J946" s="252">
        <f>IF($A946="M",_xlfn.XLOOKUP($D946,Mercado!$C:$C,Mercado!$J:$J),_xlfn.XLOOKUP($D946,Fontes!$B:$B,Fontes!$H:$H))</f>
        <v>6.49</v>
      </c>
      <c r="K946" s="252">
        <f>IF($A946="M",0,_xlfn.XLOOKUP($D946,Fontes!$B:$B,Fontes!$I:$I))</f>
        <v>0</v>
      </c>
      <c r="L946" s="250">
        <f t="shared" si="97"/>
        <v>11.2</v>
      </c>
      <c r="M946" s="300">
        <f t="shared" si="99"/>
        <v>156.80000000000001</v>
      </c>
      <c r="O946" s="517">
        <f t="shared" si="98"/>
        <v>156.80000000000001</v>
      </c>
    </row>
    <row r="947" spans="1:15" ht="57.6" outlineLevel="4" x14ac:dyDescent="0.3">
      <c r="A947" s="35"/>
      <c r="B947" s="36"/>
      <c r="C947" s="495" t="s">
        <v>10584</v>
      </c>
      <c r="D947" s="249">
        <v>89619</v>
      </c>
      <c r="E947" s="249" t="str">
        <f>UPPER(IF($D947=0,"",IF($A947=4,_xlfn.XLOOKUP($D947,Mercado!$C:$C,Mercado!$E:$E),_xlfn.XLOOKUP($D947,Fontes!$B:$B,Fontes!$C:$C))))</f>
        <v>SINAPI</v>
      </c>
      <c r="F947" s="327" t="s">
        <v>74</v>
      </c>
      <c r="G947" s="249" t="str">
        <f>UPPER(IF($D947=0,"",IF($A947=4,_xlfn.XLOOKUP($D947,Mercado!$C:$C,Mercado!$G:$G),_xlfn.XLOOKUP($D947,Fontes!$B:$B,Fontes!$E:$E))))</f>
        <v>UN</v>
      </c>
      <c r="H947" s="252">
        <v>2</v>
      </c>
      <c r="I947" s="252">
        <f>IF($A947="M",_xlfn.XLOOKUP($D947,Mercado!$C:$C,Mercado!$I:$I),_xlfn.XLOOKUP($D947,Fontes!$B:$B,Fontes!$J:$J))</f>
        <v>7.26</v>
      </c>
      <c r="J947" s="252">
        <f>IF($A947="M",_xlfn.XLOOKUP($D947,Mercado!$C:$C,Mercado!$J:$J),_xlfn.XLOOKUP($D947,Fontes!$B:$B,Fontes!$H:$H))</f>
        <v>4.3499999999999996</v>
      </c>
      <c r="K947" s="252">
        <f>IF($A947="M",0,_xlfn.XLOOKUP($D947,Fontes!$B:$B,Fontes!$I:$I))</f>
        <v>0.3</v>
      </c>
      <c r="L947" s="250">
        <f t="shared" si="97"/>
        <v>11.91</v>
      </c>
      <c r="M947" s="300">
        <f t="shared" si="99"/>
        <v>23.82</v>
      </c>
      <c r="O947" s="517">
        <f t="shared" si="98"/>
        <v>23.82</v>
      </c>
    </row>
    <row r="948" spans="1:15" ht="57.6" outlineLevel="4" x14ac:dyDescent="0.3">
      <c r="A948" s="35"/>
      <c r="B948" s="36"/>
      <c r="C948" s="495" t="s">
        <v>10585</v>
      </c>
      <c r="D948" s="249">
        <v>89440</v>
      </c>
      <c r="E948" s="249" t="str">
        <f>UPPER(IF($D948=0,"",IF($A948=4,_xlfn.XLOOKUP($D948,Mercado!$C:$C,Mercado!$E:$E),_xlfn.XLOOKUP($D948,Fontes!$B:$B,Fontes!$C:$C))))</f>
        <v>SINAPI</v>
      </c>
      <c r="F948" s="327" t="s">
        <v>55</v>
      </c>
      <c r="G948" s="249" t="str">
        <f>UPPER(IF($D948=0,"",IF($A948=4,_xlfn.XLOOKUP($D948,Mercado!$C:$C,Mercado!$G:$G),_xlfn.XLOOKUP($D948,Fontes!$B:$B,Fontes!$E:$E))))</f>
        <v>UN</v>
      </c>
      <c r="H948" s="252">
        <v>11</v>
      </c>
      <c r="I948" s="252">
        <f>IF($A948="M",_xlfn.XLOOKUP($D948,Mercado!$C:$C,Mercado!$I:$I),_xlfn.XLOOKUP($D948,Fontes!$B:$B,Fontes!$J:$J))</f>
        <v>6.11</v>
      </c>
      <c r="J948" s="252">
        <f>IF($A948="M",_xlfn.XLOOKUP($D948,Mercado!$C:$C,Mercado!$J:$J),_xlfn.XLOOKUP($D948,Fontes!$B:$B,Fontes!$H:$H))</f>
        <v>9.84</v>
      </c>
      <c r="K948" s="252">
        <f>IF($A948="M",0,_xlfn.XLOOKUP($D948,Fontes!$B:$B,Fontes!$I:$I))</f>
        <v>0.68</v>
      </c>
      <c r="L948" s="250">
        <f t="shared" si="97"/>
        <v>16.63</v>
      </c>
      <c r="M948" s="300">
        <f t="shared" si="99"/>
        <v>182.93</v>
      </c>
      <c r="O948" s="517">
        <f t="shared" si="98"/>
        <v>182.93</v>
      </c>
    </row>
    <row r="949" spans="1:15" ht="57.6" outlineLevel="4" x14ac:dyDescent="0.3">
      <c r="A949" s="35"/>
      <c r="B949" s="36"/>
      <c r="C949" s="495" t="s">
        <v>10586</v>
      </c>
      <c r="D949" s="249">
        <v>89443</v>
      </c>
      <c r="E949" s="249" t="str">
        <f>UPPER(IF($D949=0,"",IF($A949=4,_xlfn.XLOOKUP($D949,Mercado!$C:$C,Mercado!$E:$E),_xlfn.XLOOKUP($D949,Fontes!$B:$B,Fontes!$C:$C))))</f>
        <v>SINAPI</v>
      </c>
      <c r="F949" s="327" t="s">
        <v>56</v>
      </c>
      <c r="G949" s="249" t="str">
        <f>UPPER(IF($D949=0,"",IF($A949=4,_xlfn.XLOOKUP($D949,Mercado!$C:$C,Mercado!$G:$G),_xlfn.XLOOKUP($D949,Fontes!$B:$B,Fontes!$E:$E))))</f>
        <v>UN</v>
      </c>
      <c r="H949" s="252">
        <v>3</v>
      </c>
      <c r="I949" s="252">
        <f>IF($A949="M",_xlfn.XLOOKUP($D949,Mercado!$C:$C,Mercado!$I:$I),_xlfn.XLOOKUP($D949,Fontes!$B:$B,Fontes!$J:$J))</f>
        <v>10.06</v>
      </c>
      <c r="J949" s="252">
        <f>IF($A949="M",_xlfn.XLOOKUP($D949,Mercado!$C:$C,Mercado!$J:$J),_xlfn.XLOOKUP($D949,Fontes!$B:$B,Fontes!$H:$H))</f>
        <v>11.74</v>
      </c>
      <c r="K949" s="252">
        <f>IF($A949="M",0,_xlfn.XLOOKUP($D949,Fontes!$B:$B,Fontes!$I:$I))</f>
        <v>0.8</v>
      </c>
      <c r="L949" s="250">
        <f t="shared" si="97"/>
        <v>22.6</v>
      </c>
      <c r="M949" s="300">
        <f t="shared" si="99"/>
        <v>67.8</v>
      </c>
      <c r="O949" s="517">
        <f t="shared" si="98"/>
        <v>67.8</v>
      </c>
    </row>
    <row r="950" spans="1:15" ht="38.4" outlineLevel="4" x14ac:dyDescent="0.3">
      <c r="A950" s="35"/>
      <c r="B950" s="36"/>
      <c r="C950" s="495" t="s">
        <v>10587</v>
      </c>
      <c r="D950" s="249">
        <v>89625</v>
      </c>
      <c r="E950" s="249" t="str">
        <f>UPPER(IF($D950=0,"",IF($A950=4,_xlfn.XLOOKUP($D950,Mercado!$C:$C,Mercado!$E:$E),_xlfn.XLOOKUP($D950,Fontes!$B:$B,Fontes!$C:$C))))</f>
        <v>SINAPI</v>
      </c>
      <c r="F950" s="327" t="s">
        <v>76</v>
      </c>
      <c r="G950" s="249" t="str">
        <f>UPPER(IF($D950=0,"",IF($A950=4,_xlfn.XLOOKUP($D950,Mercado!$C:$C,Mercado!$G:$G),_xlfn.XLOOKUP($D950,Fontes!$B:$B,Fontes!$E:$E))))</f>
        <v>UN</v>
      </c>
      <c r="H950" s="252">
        <v>4</v>
      </c>
      <c r="I950" s="252">
        <f>IF($A950="M",_xlfn.XLOOKUP($D950,Mercado!$C:$C,Mercado!$I:$I),_xlfn.XLOOKUP($D950,Fontes!$B:$B,Fontes!$J:$J))</f>
        <v>17.73</v>
      </c>
      <c r="J950" s="252">
        <f>IF($A950="M",_xlfn.XLOOKUP($D950,Mercado!$C:$C,Mercado!$J:$J),_xlfn.XLOOKUP($D950,Fontes!$B:$B,Fontes!$H:$H))</f>
        <v>9.1999999999999993</v>
      </c>
      <c r="K950" s="252">
        <f>IF($A950="M",0,_xlfn.XLOOKUP($D950,Fontes!$B:$B,Fontes!$I:$I))</f>
        <v>0.64</v>
      </c>
      <c r="L950" s="250">
        <f t="shared" si="97"/>
        <v>27.57</v>
      </c>
      <c r="M950" s="300">
        <f t="shared" si="99"/>
        <v>110.28</v>
      </c>
      <c r="O950" s="517">
        <f t="shared" si="98"/>
        <v>110.28</v>
      </c>
    </row>
    <row r="951" spans="1:15" ht="38.4" outlineLevel="4" x14ac:dyDescent="0.3">
      <c r="A951" s="35"/>
      <c r="B951" s="36"/>
      <c r="C951" s="495" t="s">
        <v>10588</v>
      </c>
      <c r="D951" s="249">
        <v>89628</v>
      </c>
      <c r="E951" s="249" t="str">
        <f>UPPER(IF($D951=0,"",IF($A951=4,_xlfn.XLOOKUP($D951,Mercado!$C:$C,Mercado!$E:$E),_xlfn.XLOOKUP($D951,Fontes!$B:$B,Fontes!$C:$C))))</f>
        <v>SINAPI</v>
      </c>
      <c r="F951" s="327" t="s">
        <v>79</v>
      </c>
      <c r="G951" s="249" t="str">
        <f>UPPER(IF($D951=0,"",IF($A951=4,_xlfn.XLOOKUP($D951,Mercado!$C:$C,Mercado!$G:$G),_xlfn.XLOOKUP($D951,Fontes!$B:$B,Fontes!$E:$E))))</f>
        <v>UN</v>
      </c>
      <c r="H951" s="252">
        <v>4</v>
      </c>
      <c r="I951" s="252">
        <f>IF($A951="M",_xlfn.XLOOKUP($D951,Mercado!$C:$C,Mercado!$I:$I),_xlfn.XLOOKUP($D951,Fontes!$B:$B,Fontes!$J:$J))</f>
        <v>42.18</v>
      </c>
      <c r="J951" s="252">
        <f>IF($A951="M",_xlfn.XLOOKUP($D951,Mercado!$C:$C,Mercado!$J:$J),_xlfn.XLOOKUP($D951,Fontes!$B:$B,Fontes!$H:$H))</f>
        <v>10.87</v>
      </c>
      <c r="K951" s="252">
        <f>IF($A951="M",0,_xlfn.XLOOKUP($D951,Fontes!$B:$B,Fontes!$I:$I))</f>
        <v>0.74</v>
      </c>
      <c r="L951" s="250">
        <f t="shared" si="97"/>
        <v>53.79</v>
      </c>
      <c r="M951" s="300">
        <f t="shared" si="99"/>
        <v>215.16</v>
      </c>
      <c r="O951" s="517">
        <f t="shared" si="98"/>
        <v>215.16</v>
      </c>
    </row>
    <row r="952" spans="1:15" ht="38.4" outlineLevel="4" x14ac:dyDescent="0.3">
      <c r="A952" s="35"/>
      <c r="B952" s="36"/>
      <c r="C952" s="495" t="s">
        <v>10589</v>
      </c>
      <c r="D952" s="249">
        <v>89629</v>
      </c>
      <c r="E952" s="249" t="str">
        <f>UPPER(IF($D952=0,"",IF($A952=4,_xlfn.XLOOKUP($D952,Mercado!$C:$C,Mercado!$E:$E),_xlfn.XLOOKUP($D952,Fontes!$B:$B,Fontes!$C:$C))))</f>
        <v>SINAPI</v>
      </c>
      <c r="F952" s="327" t="s">
        <v>80</v>
      </c>
      <c r="G952" s="249" t="str">
        <f>UPPER(IF($D952=0,"",IF($A952=4,_xlfn.XLOOKUP($D952,Mercado!$C:$C,Mercado!$G:$G),_xlfn.XLOOKUP($D952,Fontes!$B:$B,Fontes!$E:$E))))</f>
        <v>UN</v>
      </c>
      <c r="H952" s="252">
        <v>1</v>
      </c>
      <c r="I952" s="252">
        <f>IF($A952="M",_xlfn.XLOOKUP($D952,Mercado!$C:$C,Mercado!$I:$I),_xlfn.XLOOKUP($D952,Fontes!$B:$B,Fontes!$J:$J))</f>
        <v>73.89</v>
      </c>
      <c r="J952" s="252">
        <f>IF($A952="M",_xlfn.XLOOKUP($D952,Mercado!$C:$C,Mercado!$J:$J),_xlfn.XLOOKUP($D952,Fontes!$B:$B,Fontes!$H:$H))</f>
        <v>13.36</v>
      </c>
      <c r="K952" s="252">
        <f>IF($A952="M",0,_xlfn.XLOOKUP($D952,Fontes!$B:$B,Fontes!$I:$I))</f>
        <v>0.92</v>
      </c>
      <c r="L952" s="250">
        <f t="shared" si="97"/>
        <v>88.17</v>
      </c>
      <c r="M952" s="300">
        <f t="shared" si="99"/>
        <v>88.17</v>
      </c>
      <c r="O952" s="517">
        <f t="shared" si="98"/>
        <v>88.17</v>
      </c>
    </row>
    <row r="953" spans="1:15" ht="76.8" outlineLevel="4" x14ac:dyDescent="0.3">
      <c r="A953" s="35"/>
      <c r="B953" s="36"/>
      <c r="C953" s="495" t="s">
        <v>10590</v>
      </c>
      <c r="D953" s="249">
        <v>94693</v>
      </c>
      <c r="E953" s="249" t="str">
        <f>UPPER(IF($D953=0,"",IF($A953=4,_xlfn.XLOOKUP($D953,Mercado!$C:$C,Mercado!$E:$E),_xlfn.XLOOKUP($D953,Fontes!$B:$B,Fontes!$C:$C))))</f>
        <v>SINAPI</v>
      </c>
      <c r="F953" s="327" t="s">
        <v>108</v>
      </c>
      <c r="G953" s="249" t="str">
        <f>UPPER(IF($D953=0,"",IF($A953=4,_xlfn.XLOOKUP($D953,Mercado!$C:$C,Mercado!$G:$G),_xlfn.XLOOKUP($D953,Fontes!$B:$B,Fontes!$E:$E))))</f>
        <v>UN</v>
      </c>
      <c r="H953" s="252">
        <v>10</v>
      </c>
      <c r="I953" s="252">
        <f>IF($A953="M",_xlfn.XLOOKUP($D953,Mercado!$C:$C,Mercado!$I:$I),_xlfn.XLOOKUP($D953,Fontes!$B:$B,Fontes!$J:$J))</f>
        <v>13.99</v>
      </c>
      <c r="J953" s="252">
        <f>IF($A953="M",_xlfn.XLOOKUP($D953,Mercado!$C:$C,Mercado!$J:$J),_xlfn.XLOOKUP($D953,Fontes!$B:$B,Fontes!$H:$H))</f>
        <v>6.66</v>
      </c>
      <c r="K953" s="252">
        <f>IF($A953="M",0,_xlfn.XLOOKUP($D953,Fontes!$B:$B,Fontes!$I:$I))</f>
        <v>0.46</v>
      </c>
      <c r="L953" s="250">
        <f t="shared" si="97"/>
        <v>21.11</v>
      </c>
      <c r="M953" s="300">
        <f t="shared" si="99"/>
        <v>211.1</v>
      </c>
      <c r="O953" s="517">
        <f t="shared" si="98"/>
        <v>211.1</v>
      </c>
    </row>
    <row r="954" spans="1:15" ht="57.6" outlineLevel="4" x14ac:dyDescent="0.3">
      <c r="A954" s="35"/>
      <c r="B954" s="36"/>
      <c r="C954" s="495" t="s">
        <v>10591</v>
      </c>
      <c r="D954" s="249">
        <v>89624</v>
      </c>
      <c r="E954" s="249" t="str">
        <f>UPPER(IF($D954=0,"",IF($A954=4,_xlfn.XLOOKUP($D954,Mercado!$C:$C,Mercado!$E:$E),_xlfn.XLOOKUP($D954,Fontes!$B:$B,Fontes!$C:$C))))</f>
        <v>SINAPI</v>
      </c>
      <c r="F954" s="327" t="s">
        <v>75</v>
      </c>
      <c r="G954" s="249" t="str">
        <f>UPPER(IF($D954=0,"",IF($A954=4,_xlfn.XLOOKUP($D954,Mercado!$C:$C,Mercado!$G:$G),_xlfn.XLOOKUP($D954,Fontes!$B:$B,Fontes!$E:$E))))</f>
        <v>UN</v>
      </c>
      <c r="H954" s="252">
        <v>2</v>
      </c>
      <c r="I954" s="252">
        <f>IF($A954="M",_xlfn.XLOOKUP($D954,Mercado!$C:$C,Mercado!$I:$I),_xlfn.XLOOKUP($D954,Fontes!$B:$B,Fontes!$J:$J))</f>
        <v>14.07</v>
      </c>
      <c r="J954" s="252">
        <f>IF($A954="M",_xlfn.XLOOKUP($D954,Mercado!$C:$C,Mercado!$J:$J),_xlfn.XLOOKUP($D954,Fontes!$B:$B,Fontes!$H:$H))</f>
        <v>6.94</v>
      </c>
      <c r="K954" s="252">
        <f>IF($A954="M",0,_xlfn.XLOOKUP($D954,Fontes!$B:$B,Fontes!$I:$I))</f>
        <v>0.48</v>
      </c>
      <c r="L954" s="250">
        <f t="shared" si="97"/>
        <v>21.490000000000002</v>
      </c>
      <c r="M954" s="300">
        <f t="shared" si="99"/>
        <v>42.98</v>
      </c>
      <c r="O954" s="517">
        <f t="shared" si="98"/>
        <v>42.98</v>
      </c>
    </row>
    <row r="955" spans="1:15" ht="57.6" outlineLevel="4" x14ac:dyDescent="0.3">
      <c r="A955" s="35"/>
      <c r="B955" s="36"/>
      <c r="C955" s="495" t="s">
        <v>10592</v>
      </c>
      <c r="D955" s="249">
        <v>89627</v>
      </c>
      <c r="E955" s="249" t="str">
        <f>UPPER(IF($D955=0,"",IF($A955=4,_xlfn.XLOOKUP($D955,Mercado!$C:$C,Mercado!$E:$E),_xlfn.XLOOKUP($D955,Fontes!$B:$B,Fontes!$C:$C))))</f>
        <v>SINAPI</v>
      </c>
      <c r="F955" s="327" t="s">
        <v>78</v>
      </c>
      <c r="G955" s="249" t="str">
        <f>UPPER(IF($D955=0,"",IF($A955=4,_xlfn.XLOOKUP($D955,Mercado!$C:$C,Mercado!$G:$G),_xlfn.XLOOKUP($D955,Fontes!$B:$B,Fontes!$E:$E))))</f>
        <v>UN</v>
      </c>
      <c r="H955" s="252">
        <v>3</v>
      </c>
      <c r="I955" s="252">
        <f>IF($A955="M",_xlfn.XLOOKUP($D955,Mercado!$C:$C,Mercado!$I:$I),_xlfn.XLOOKUP($D955,Fontes!$B:$B,Fontes!$J:$J))</f>
        <v>16.18</v>
      </c>
      <c r="J955" s="252">
        <f>IF($A955="M",_xlfn.XLOOKUP($D955,Mercado!$C:$C,Mercado!$J:$J),_xlfn.XLOOKUP($D955,Fontes!$B:$B,Fontes!$H:$H))</f>
        <v>7.16</v>
      </c>
      <c r="K955" s="252">
        <f>IF($A955="M",0,_xlfn.XLOOKUP($D955,Fontes!$B:$B,Fontes!$I:$I))</f>
        <v>0.5</v>
      </c>
      <c r="L955" s="250">
        <f t="shared" si="97"/>
        <v>23.84</v>
      </c>
      <c r="M955" s="300">
        <f t="shared" si="99"/>
        <v>71.52</v>
      </c>
      <c r="O955" s="517">
        <f t="shared" si="98"/>
        <v>71.52</v>
      </c>
    </row>
    <row r="956" spans="1:15" ht="57.6" outlineLevel="4" x14ac:dyDescent="0.3">
      <c r="A956" s="35"/>
      <c r="B956" s="36"/>
      <c r="C956" s="495" t="s">
        <v>10593</v>
      </c>
      <c r="D956" s="249">
        <v>643</v>
      </c>
      <c r="E956" s="249" t="str">
        <f>UPPER(IF($D956=0,"",IF($A956=4,_xlfn.XLOOKUP($D956,Mercado!$C:$C,Mercado!$E:$E),_xlfn.XLOOKUP($D956,Fontes!$B:$B,Fontes!$C:$C))))</f>
        <v>PRÓPRIO</v>
      </c>
      <c r="F956" s="328" t="s">
        <v>2092</v>
      </c>
      <c r="G956" s="249" t="str">
        <f>UPPER(IF($D956=0,"",IF($A956=4,_xlfn.XLOOKUP($D956,Mercado!$C:$C,Mercado!$G:$G),_xlfn.XLOOKUP($D956,Fontes!$B:$B,Fontes!$E:$E))))</f>
        <v>UN</v>
      </c>
      <c r="H956" s="252">
        <v>1</v>
      </c>
      <c r="I956" s="252">
        <f>IF($A956="M",_xlfn.XLOOKUP($D956,Mercado!$C:$C,Mercado!$I:$I),_xlfn.XLOOKUP($D956,Fontes!$B:$B,Fontes!$J:$J))</f>
        <v>24.25</v>
      </c>
      <c r="J956" s="252">
        <f>IF($A956="M",_xlfn.XLOOKUP($D956,Mercado!$C:$C,Mercado!$J:$J),_xlfn.XLOOKUP($D956,Fontes!$B:$B,Fontes!$H:$H))</f>
        <v>7.82</v>
      </c>
      <c r="K956" s="252">
        <f>IF($A956="M",0,_xlfn.XLOOKUP($D956,Fontes!$B:$B,Fontes!$I:$I))</f>
        <v>0.54</v>
      </c>
      <c r="L956" s="250">
        <f t="shared" si="97"/>
        <v>32.61</v>
      </c>
      <c r="M956" s="300">
        <f t="shared" si="99"/>
        <v>32.61</v>
      </c>
      <c r="O956" s="517">
        <f t="shared" si="98"/>
        <v>32.61</v>
      </c>
    </row>
    <row r="957" spans="1:15" ht="57.6" outlineLevel="4" x14ac:dyDescent="0.3">
      <c r="A957" s="35"/>
      <c r="B957" s="36"/>
      <c r="C957" s="495" t="s">
        <v>10594</v>
      </c>
      <c r="D957" s="249">
        <v>89626</v>
      </c>
      <c r="E957" s="249" t="str">
        <f>UPPER(IF($D957=0,"",IF($A957=4,_xlfn.XLOOKUP($D957,Mercado!$C:$C,Mercado!$E:$E),_xlfn.XLOOKUP($D957,Fontes!$B:$B,Fontes!$C:$C))))</f>
        <v>SINAPI</v>
      </c>
      <c r="F957" s="328" t="s">
        <v>77</v>
      </c>
      <c r="G957" s="249" t="str">
        <f>UPPER(IF($D957=0,"",IF($A957=4,_xlfn.XLOOKUP($D957,Mercado!$C:$C,Mercado!$G:$G),_xlfn.XLOOKUP($D957,Fontes!$B:$B,Fontes!$E:$E))))</f>
        <v>UN</v>
      </c>
      <c r="H957" s="252">
        <v>1</v>
      </c>
      <c r="I957" s="252">
        <f>IF($A957="M",_xlfn.XLOOKUP($D957,Mercado!$C:$C,Mercado!$I:$I),_xlfn.XLOOKUP($D957,Fontes!$B:$B,Fontes!$J:$J))</f>
        <v>25.54</v>
      </c>
      <c r="J957" s="252">
        <f>IF($A957="M",_xlfn.XLOOKUP($D957,Mercado!$C:$C,Mercado!$J:$J),_xlfn.XLOOKUP($D957,Fontes!$B:$B,Fontes!$H:$H))</f>
        <v>8.4</v>
      </c>
      <c r="K957" s="252">
        <f>IF($A957="M",0,_xlfn.XLOOKUP($D957,Fontes!$B:$B,Fontes!$I:$I))</f>
        <v>0.57999999999999996</v>
      </c>
      <c r="L957" s="250">
        <f t="shared" si="97"/>
        <v>34.519999999999996</v>
      </c>
      <c r="M957" s="300">
        <f t="shared" si="99"/>
        <v>34.520000000000003</v>
      </c>
      <c r="O957" s="517">
        <f t="shared" si="98"/>
        <v>34.520000000000003</v>
      </c>
    </row>
    <row r="958" spans="1:15" outlineLevel="4" x14ac:dyDescent="0.3">
      <c r="A958" s="35"/>
      <c r="B958" s="36"/>
      <c r="C958" s="495" t="s">
        <v>10595</v>
      </c>
      <c r="D958" s="249">
        <v>55128</v>
      </c>
      <c r="E958" s="249" t="str">
        <f>UPPER(IF($D958=0,"",IF($A958=4,_xlfn.XLOOKUP($D958,Mercado!$C:$C,Mercado!$E:$E),_xlfn.XLOOKUP($D958,Fontes!$B:$B,Fontes!$C:$C))))</f>
        <v>SBC</v>
      </c>
      <c r="F958" s="328" t="s">
        <v>3662</v>
      </c>
      <c r="G958" s="249" t="str">
        <f>UPPER(IF($D958=0,"",IF($A958=4,_xlfn.XLOOKUP($D958,Mercado!$C:$C,Mercado!$G:$G),_xlfn.XLOOKUP($D958,Fontes!$B:$B,Fontes!$E:$E))))</f>
        <v>UN</v>
      </c>
      <c r="H958" s="252">
        <v>1</v>
      </c>
      <c r="I958" s="252">
        <f>IF($A958="M",_xlfn.XLOOKUP($D958,Mercado!$C:$C,Mercado!$I:$I),_xlfn.XLOOKUP($D958,Fontes!$B:$B,Fontes!$J:$J))</f>
        <v>152.37</v>
      </c>
      <c r="J958" s="252">
        <f>IF($A958="M",_xlfn.XLOOKUP($D958,Mercado!$C:$C,Mercado!$J:$J),_xlfn.XLOOKUP($D958,Fontes!$B:$B,Fontes!$H:$H))</f>
        <v>28.24</v>
      </c>
      <c r="K958" s="252">
        <f>IF($A958="M",0,_xlfn.XLOOKUP($D958,Fontes!$B:$B,Fontes!$I:$I))</f>
        <v>1.94</v>
      </c>
      <c r="L958" s="250">
        <f t="shared" si="97"/>
        <v>182.55</v>
      </c>
      <c r="M958" s="300">
        <f t="shared" si="99"/>
        <v>182.55</v>
      </c>
      <c r="O958" s="517">
        <f t="shared" si="98"/>
        <v>182.55</v>
      </c>
    </row>
    <row r="959" spans="1:15" ht="76.8" outlineLevel="4" x14ac:dyDescent="0.3">
      <c r="A959" s="35"/>
      <c r="B959" s="36"/>
      <c r="C959" s="495" t="s">
        <v>10596</v>
      </c>
      <c r="D959" s="249">
        <v>89429</v>
      </c>
      <c r="E959" s="249" t="str">
        <f>UPPER(IF($D959=0,"",IF($A959=4,_xlfn.XLOOKUP($D959,Mercado!$C:$C,Mercado!$E:$E),_xlfn.XLOOKUP($D959,Fontes!$B:$B,Fontes!$C:$C))))</f>
        <v>SINAPI</v>
      </c>
      <c r="F959" s="328" t="s">
        <v>54</v>
      </c>
      <c r="G959" s="249" t="str">
        <f>UPPER(IF($D959=0,"",IF($A959=4,_xlfn.XLOOKUP($D959,Mercado!$C:$C,Mercado!$G:$G),_xlfn.XLOOKUP($D959,Fontes!$B:$B,Fontes!$E:$E))))</f>
        <v>UN</v>
      </c>
      <c r="H959" s="252">
        <v>32</v>
      </c>
      <c r="I959" s="252">
        <f>IF($A959="M",_xlfn.XLOOKUP($D959,Mercado!$C:$C,Mercado!$I:$I),_xlfn.XLOOKUP($D959,Fontes!$B:$B,Fontes!$J:$J))</f>
        <v>3.41</v>
      </c>
      <c r="J959" s="252">
        <f>IF($A959="M",_xlfn.XLOOKUP($D959,Mercado!$C:$C,Mercado!$J:$J),_xlfn.XLOOKUP($D959,Fontes!$B:$B,Fontes!$H:$H))</f>
        <v>4.58</v>
      </c>
      <c r="K959" s="252">
        <f>IF($A959="M",0,_xlfn.XLOOKUP($D959,Fontes!$B:$B,Fontes!$I:$I))</f>
        <v>0.32</v>
      </c>
      <c r="L959" s="250">
        <f t="shared" si="97"/>
        <v>8.31</v>
      </c>
      <c r="M959" s="300">
        <f t="shared" si="99"/>
        <v>265.92</v>
      </c>
      <c r="O959" s="517">
        <f t="shared" si="98"/>
        <v>265.92</v>
      </c>
    </row>
    <row r="960" spans="1:15" ht="57.6" outlineLevel="4" x14ac:dyDescent="0.3">
      <c r="A960" s="35"/>
      <c r="B960" s="36"/>
      <c r="C960" s="495" t="s">
        <v>10597</v>
      </c>
      <c r="D960" s="249">
        <v>89391</v>
      </c>
      <c r="E960" s="249" t="str">
        <f>UPPER(IF($D960=0,"",IF($A960=4,_xlfn.XLOOKUP($D960,Mercado!$C:$C,Mercado!$E:$E),_xlfn.XLOOKUP($D960,Fontes!$B:$B,Fontes!$C:$C))))</f>
        <v>SINAPI</v>
      </c>
      <c r="F960" s="327" t="s">
        <v>52</v>
      </c>
      <c r="G960" s="249" t="str">
        <f>UPPER(IF($D960=0,"",IF($A960=4,_xlfn.XLOOKUP($D960,Mercado!$C:$C,Mercado!$G:$G),_xlfn.XLOOKUP($D960,Fontes!$B:$B,Fontes!$E:$E))))</f>
        <v>UN</v>
      </c>
      <c r="H960" s="252">
        <v>7</v>
      </c>
      <c r="I960" s="252">
        <f>IF($A960="M",_xlfn.XLOOKUP($D960,Mercado!$C:$C,Mercado!$I:$I),_xlfn.XLOOKUP($D960,Fontes!$B:$B,Fontes!$J:$J))</f>
        <v>5.19</v>
      </c>
      <c r="J960" s="252">
        <f>IF($A960="M",_xlfn.XLOOKUP($D960,Mercado!$C:$C,Mercado!$J:$J),_xlfn.XLOOKUP($D960,Fontes!$B:$B,Fontes!$H:$H))</f>
        <v>6.04</v>
      </c>
      <c r="K960" s="252">
        <f>IF($A960="M",0,_xlfn.XLOOKUP($D960,Fontes!$B:$B,Fontes!$I:$I))</f>
        <v>0.42</v>
      </c>
      <c r="L960" s="250">
        <f t="shared" si="97"/>
        <v>11.65</v>
      </c>
      <c r="M960" s="300">
        <f t="shared" si="99"/>
        <v>81.55</v>
      </c>
      <c r="O960" s="517">
        <f t="shared" si="98"/>
        <v>81.55</v>
      </c>
    </row>
    <row r="961" spans="1:15" ht="57.6" outlineLevel="4" x14ac:dyDescent="0.3">
      <c r="A961" s="35"/>
      <c r="B961" s="36"/>
      <c r="C961" s="495" t="s">
        <v>10598</v>
      </c>
      <c r="D961" s="249">
        <v>89570</v>
      </c>
      <c r="E961" s="249" t="str">
        <f>UPPER(IF($D961=0,"",IF($A961=4,_xlfn.XLOOKUP($D961,Mercado!$C:$C,Mercado!$E:$E),_xlfn.XLOOKUP($D961,Fontes!$B:$B,Fontes!$C:$C))))</f>
        <v>SINAPI</v>
      </c>
      <c r="F961" s="327" t="s">
        <v>64</v>
      </c>
      <c r="G961" s="249" t="str">
        <f>UPPER(IF($D961=0,"",IF($A961=4,_xlfn.XLOOKUP($D961,Mercado!$C:$C,Mercado!$G:$G),_xlfn.XLOOKUP($D961,Fontes!$B:$B,Fontes!$E:$E))))</f>
        <v>UN</v>
      </c>
      <c r="H961" s="252">
        <v>4</v>
      </c>
      <c r="I961" s="252">
        <f>IF($A961="M",_xlfn.XLOOKUP($D961,Mercado!$C:$C,Mercado!$I:$I),_xlfn.XLOOKUP($D961,Fontes!$B:$B,Fontes!$J:$J))</f>
        <v>9.5500000000000007</v>
      </c>
      <c r="J961" s="252">
        <f>IF($A961="M",_xlfn.XLOOKUP($D961,Mercado!$C:$C,Mercado!$J:$J),_xlfn.XLOOKUP($D961,Fontes!$B:$B,Fontes!$H:$H))</f>
        <v>3.58</v>
      </c>
      <c r="K961" s="252">
        <f>IF($A961="M",0,_xlfn.XLOOKUP($D961,Fontes!$B:$B,Fontes!$I:$I))</f>
        <v>0.24</v>
      </c>
      <c r="L961" s="250">
        <f t="shared" si="97"/>
        <v>13.370000000000001</v>
      </c>
      <c r="M961" s="300">
        <f t="shared" si="99"/>
        <v>53.48</v>
      </c>
      <c r="O961" s="517">
        <f t="shared" si="98"/>
        <v>53.48</v>
      </c>
    </row>
    <row r="962" spans="1:15" ht="57.6" outlineLevel="4" x14ac:dyDescent="0.3">
      <c r="A962" s="35"/>
      <c r="B962" s="36"/>
      <c r="C962" s="495" t="s">
        <v>10599</v>
      </c>
      <c r="D962" s="249">
        <v>89596</v>
      </c>
      <c r="E962" s="249" t="str">
        <f>UPPER(IF($D962=0,"",IF($A962=4,_xlfn.XLOOKUP($D962,Mercado!$C:$C,Mercado!$E:$E),_xlfn.XLOOKUP($D962,Fontes!$B:$B,Fontes!$C:$C))))</f>
        <v>SINAPI</v>
      </c>
      <c r="F962" s="327" t="s">
        <v>72</v>
      </c>
      <c r="G962" s="249" t="str">
        <f>UPPER(IF($D962=0,"",IF($A962=4,_xlfn.XLOOKUP($D962,Mercado!$C:$C,Mercado!$G:$G),_xlfn.XLOOKUP($D962,Fontes!$B:$B,Fontes!$E:$E))))</f>
        <v>UN</v>
      </c>
      <c r="H962" s="252">
        <v>13</v>
      </c>
      <c r="I962" s="252">
        <f>IF($A962="M",_xlfn.XLOOKUP($D962,Mercado!$C:$C,Mercado!$I:$I),_xlfn.XLOOKUP($D962,Fontes!$B:$B,Fontes!$J:$J))</f>
        <v>8.36</v>
      </c>
      <c r="J962" s="252">
        <f>IF($A962="M",_xlfn.XLOOKUP($D962,Mercado!$C:$C,Mercado!$J:$J),_xlfn.XLOOKUP($D962,Fontes!$B:$B,Fontes!$H:$H))</f>
        <v>3.99</v>
      </c>
      <c r="K962" s="252">
        <f>IF($A962="M",0,_xlfn.XLOOKUP($D962,Fontes!$B:$B,Fontes!$I:$I))</f>
        <v>0.28000000000000003</v>
      </c>
      <c r="L962" s="250">
        <f t="shared" si="97"/>
        <v>12.629999999999999</v>
      </c>
      <c r="M962" s="300">
        <f t="shared" si="99"/>
        <v>164.19</v>
      </c>
      <c r="O962" s="517">
        <f t="shared" si="98"/>
        <v>164.19</v>
      </c>
    </row>
    <row r="963" spans="1:15" ht="96" outlineLevel="4" x14ac:dyDescent="0.3">
      <c r="A963" s="35"/>
      <c r="B963" s="36"/>
      <c r="C963" s="495" t="s">
        <v>10600</v>
      </c>
      <c r="D963" s="249">
        <v>94664</v>
      </c>
      <c r="E963" s="249" t="str">
        <f>UPPER(IF($D963=0,"",IF($A963=4,_xlfn.XLOOKUP($D963,Mercado!$C:$C,Mercado!$E:$E),_xlfn.XLOOKUP($D963,Fontes!$B:$B,Fontes!$C:$C))))</f>
        <v>SINAPI</v>
      </c>
      <c r="F963" s="327" t="s">
        <v>107</v>
      </c>
      <c r="G963" s="249" t="str">
        <f>UPPER(IF($D963=0,"",IF($A963=4,_xlfn.XLOOKUP($D963,Mercado!$C:$C,Mercado!$G:$G),_xlfn.XLOOKUP($D963,Fontes!$B:$B,Fontes!$E:$E))))</f>
        <v>UN</v>
      </c>
      <c r="H963" s="252">
        <v>4</v>
      </c>
      <c r="I963" s="252">
        <f>IF($A963="M",_xlfn.XLOOKUP($D963,Mercado!$C:$C,Mercado!$I:$I),_xlfn.XLOOKUP($D963,Fontes!$B:$B,Fontes!$J:$J))</f>
        <v>16.09</v>
      </c>
      <c r="J963" s="252">
        <f>IF($A963="M",_xlfn.XLOOKUP($D963,Mercado!$C:$C,Mercado!$J:$J),_xlfn.XLOOKUP($D963,Fontes!$B:$B,Fontes!$H:$H))</f>
        <v>6.82</v>
      </c>
      <c r="K963" s="252">
        <f>IF($A963="M",0,_xlfn.XLOOKUP($D963,Fontes!$B:$B,Fontes!$I:$I))</f>
        <v>0.46</v>
      </c>
      <c r="L963" s="250">
        <f t="shared" si="97"/>
        <v>23.37</v>
      </c>
      <c r="M963" s="300">
        <f t="shared" si="99"/>
        <v>93.48</v>
      </c>
      <c r="O963" s="517">
        <f t="shared" si="98"/>
        <v>93.48</v>
      </c>
    </row>
    <row r="964" spans="1:15" ht="76.8" outlineLevel="4" x14ac:dyDescent="0.3">
      <c r="A964" s="35"/>
      <c r="B964" s="36"/>
      <c r="C964" s="495" t="s">
        <v>10601</v>
      </c>
      <c r="D964" s="249">
        <v>94785</v>
      </c>
      <c r="E964" s="249" t="str">
        <f>UPPER(IF($D964=0,"",IF($A964=4,_xlfn.XLOOKUP($D964,Mercado!$C:$C,Mercado!$E:$E),_xlfn.XLOOKUP($D964,Fontes!$B:$B,Fontes!$C:$C))))</f>
        <v>SINAPI</v>
      </c>
      <c r="F964" s="327" t="s">
        <v>112</v>
      </c>
      <c r="G964" s="249" t="str">
        <f>UPPER(IF($D964=0,"",IF($A964=4,_xlfn.XLOOKUP($D964,Mercado!$C:$C,Mercado!$G:$G),_xlfn.XLOOKUP($D964,Fontes!$B:$B,Fontes!$E:$E))))</f>
        <v>UN</v>
      </c>
      <c r="H964" s="252">
        <v>2</v>
      </c>
      <c r="I964" s="252">
        <f>IF($A964="M",_xlfn.XLOOKUP($D964,Mercado!$C:$C,Mercado!$I:$I),_xlfn.XLOOKUP($D964,Fontes!$B:$B,Fontes!$J:$J))</f>
        <v>17.22</v>
      </c>
      <c r="J964" s="252">
        <f>IF($A964="M",_xlfn.XLOOKUP($D964,Mercado!$C:$C,Mercado!$J:$J),_xlfn.XLOOKUP($D964,Fontes!$B:$B,Fontes!$H:$H))</f>
        <v>12.54</v>
      </c>
      <c r="K964" s="252">
        <f>IF($A964="M",0,_xlfn.XLOOKUP($D964,Fontes!$B:$B,Fontes!$I:$I))</f>
        <v>0.86</v>
      </c>
      <c r="L964" s="250">
        <f t="shared" si="97"/>
        <v>30.619999999999997</v>
      </c>
      <c r="M964" s="300">
        <f t="shared" ref="M964:M995" si="100">ROUND(H964*L964,2)</f>
        <v>61.24</v>
      </c>
      <c r="O964" s="517">
        <f t="shared" si="98"/>
        <v>61.24</v>
      </c>
    </row>
    <row r="965" spans="1:15" ht="76.8" outlineLevel="4" x14ac:dyDescent="0.3">
      <c r="A965" s="35"/>
      <c r="B965" s="36"/>
      <c r="C965" s="495" t="s">
        <v>10602</v>
      </c>
      <c r="D965" s="249">
        <v>94786</v>
      </c>
      <c r="E965" s="249" t="str">
        <f>UPPER(IF($D965=0,"",IF($A965=4,_xlfn.XLOOKUP($D965,Mercado!$C:$C,Mercado!$E:$E),_xlfn.XLOOKUP($D965,Fontes!$B:$B,Fontes!$C:$C))))</f>
        <v>SINAPI</v>
      </c>
      <c r="F965" s="327" t="s">
        <v>113</v>
      </c>
      <c r="G965" s="249" t="str">
        <f>UPPER(IF($D965=0,"",IF($A965=4,_xlfn.XLOOKUP($D965,Mercado!$C:$C,Mercado!$G:$G),_xlfn.XLOOKUP($D965,Fontes!$B:$B,Fontes!$E:$E))))</f>
        <v>UN</v>
      </c>
      <c r="H965" s="252">
        <v>4</v>
      </c>
      <c r="I965" s="252">
        <f>IF($A965="M",_xlfn.XLOOKUP($D965,Mercado!$C:$C,Mercado!$I:$I),_xlfn.XLOOKUP($D965,Fontes!$B:$B,Fontes!$J:$J))</f>
        <v>53.96</v>
      </c>
      <c r="J965" s="252">
        <f>IF($A965="M",_xlfn.XLOOKUP($D965,Mercado!$C:$C,Mercado!$J:$J),_xlfn.XLOOKUP($D965,Fontes!$B:$B,Fontes!$H:$H))</f>
        <v>12.54</v>
      </c>
      <c r="K965" s="252">
        <f>IF($A965="M",0,_xlfn.XLOOKUP($D965,Fontes!$B:$B,Fontes!$I:$I))</f>
        <v>0.86</v>
      </c>
      <c r="L965" s="250">
        <f t="shared" si="97"/>
        <v>67.36</v>
      </c>
      <c r="M965" s="300">
        <f t="shared" si="100"/>
        <v>269.44</v>
      </c>
      <c r="O965" s="517">
        <f t="shared" si="98"/>
        <v>269.44</v>
      </c>
    </row>
    <row r="966" spans="1:15" ht="76.8" outlineLevel="4" x14ac:dyDescent="0.3">
      <c r="A966" s="35"/>
      <c r="B966" s="36"/>
      <c r="C966" s="495" t="s">
        <v>10603</v>
      </c>
      <c r="D966" s="249">
        <v>94787</v>
      </c>
      <c r="E966" s="249" t="str">
        <f>UPPER(IF($D966=0,"",IF($A966=4,_xlfn.XLOOKUP($D966,Mercado!$C:$C,Mercado!$E:$E),_xlfn.XLOOKUP($D966,Fontes!$B:$B,Fontes!$C:$C))))</f>
        <v>SINAPI</v>
      </c>
      <c r="F966" s="327" t="s">
        <v>114</v>
      </c>
      <c r="G966" s="249" t="str">
        <f>UPPER(IF($D966=0,"",IF($A966=4,_xlfn.XLOOKUP($D966,Mercado!$C:$C,Mercado!$G:$G),_xlfn.XLOOKUP($D966,Fontes!$B:$B,Fontes!$E:$E))))</f>
        <v>UN</v>
      </c>
      <c r="H966" s="252">
        <v>2</v>
      </c>
      <c r="I966" s="252">
        <f>IF($A966="M",_xlfn.XLOOKUP($D966,Mercado!$C:$C,Mercado!$I:$I),_xlfn.XLOOKUP($D966,Fontes!$B:$B,Fontes!$J:$J))</f>
        <v>69.7</v>
      </c>
      <c r="J966" s="252">
        <f>IF($A966="M",_xlfn.XLOOKUP($D966,Mercado!$C:$C,Mercado!$J:$J),_xlfn.XLOOKUP($D966,Fontes!$B:$B,Fontes!$H:$H))</f>
        <v>16.73</v>
      </c>
      <c r="K966" s="252">
        <f>IF($A966="M",0,_xlfn.XLOOKUP($D966,Fontes!$B:$B,Fontes!$I:$I))</f>
        <v>1.1399999999999999</v>
      </c>
      <c r="L966" s="250">
        <f t="shared" si="97"/>
        <v>87.570000000000007</v>
      </c>
      <c r="M966" s="300">
        <f t="shared" si="100"/>
        <v>175.14</v>
      </c>
      <c r="O966" s="517">
        <f t="shared" si="98"/>
        <v>175.14</v>
      </c>
    </row>
    <row r="967" spans="1:15" ht="76.8" outlineLevel="4" x14ac:dyDescent="0.3">
      <c r="A967" s="35"/>
      <c r="B967" s="36"/>
      <c r="C967" s="495" t="s">
        <v>10604</v>
      </c>
      <c r="D967" s="249">
        <v>94788</v>
      </c>
      <c r="E967" s="249" t="str">
        <f>UPPER(IF($D967=0,"",IF($A967=4,_xlfn.XLOOKUP($D967,Mercado!$C:$C,Mercado!$E:$E),_xlfn.XLOOKUP($D967,Fontes!$B:$B,Fontes!$C:$C))))</f>
        <v>SINAPI</v>
      </c>
      <c r="F967" s="327" t="s">
        <v>115</v>
      </c>
      <c r="G967" s="249" t="str">
        <f>UPPER(IF($D967=0,"",IF($A967=4,_xlfn.XLOOKUP($D967,Mercado!$C:$C,Mercado!$G:$G),_xlfn.XLOOKUP($D967,Fontes!$B:$B,Fontes!$E:$E))))</f>
        <v>UN</v>
      </c>
      <c r="H967" s="252">
        <v>2</v>
      </c>
      <c r="I967" s="252">
        <f>IF($A967="M",_xlfn.XLOOKUP($D967,Mercado!$C:$C,Mercado!$I:$I),_xlfn.XLOOKUP($D967,Fontes!$B:$B,Fontes!$J:$J))</f>
        <v>108.85</v>
      </c>
      <c r="J967" s="252">
        <f>IF($A967="M",_xlfn.XLOOKUP($D967,Mercado!$C:$C,Mercado!$J:$J),_xlfn.XLOOKUP($D967,Fontes!$B:$B,Fontes!$H:$H))</f>
        <v>16.73</v>
      </c>
      <c r="K967" s="252">
        <f>IF($A967="M",0,_xlfn.XLOOKUP($D967,Fontes!$B:$B,Fontes!$I:$I))</f>
        <v>1.1399999999999999</v>
      </c>
      <c r="L967" s="250">
        <f t="shared" si="97"/>
        <v>126.72</v>
      </c>
      <c r="M967" s="300">
        <f t="shared" si="100"/>
        <v>253.44</v>
      </c>
      <c r="O967" s="517">
        <f t="shared" si="98"/>
        <v>253.44</v>
      </c>
    </row>
    <row r="968" spans="1:15" ht="76.8" outlineLevel="4" x14ac:dyDescent="0.3">
      <c r="A968" s="35"/>
      <c r="B968" s="36"/>
      <c r="C968" s="495" t="s">
        <v>10605</v>
      </c>
      <c r="D968" s="249">
        <v>94790</v>
      </c>
      <c r="E968" s="249" t="str">
        <f>UPPER(IF($D968=0,"",IF($A968=4,_xlfn.XLOOKUP($D968,Mercado!$C:$C,Mercado!$E:$E),_xlfn.XLOOKUP($D968,Fontes!$B:$B,Fontes!$C:$C))))</f>
        <v>SINAPI</v>
      </c>
      <c r="F968" s="327" t="s">
        <v>116</v>
      </c>
      <c r="G968" s="249" t="str">
        <f>UPPER(IF($D968=0,"",IF($A968=4,_xlfn.XLOOKUP($D968,Mercado!$C:$C,Mercado!$G:$G),_xlfn.XLOOKUP($D968,Fontes!$B:$B,Fontes!$E:$E))))</f>
        <v>UN</v>
      </c>
      <c r="H968" s="252">
        <v>2</v>
      </c>
      <c r="I968" s="252">
        <f>IF($A968="M",_xlfn.XLOOKUP($D968,Mercado!$C:$C,Mercado!$I:$I),_xlfn.XLOOKUP($D968,Fontes!$B:$B,Fontes!$J:$J))</f>
        <v>316.14999999999998</v>
      </c>
      <c r="J968" s="252">
        <f>IF($A968="M",_xlfn.XLOOKUP($D968,Mercado!$C:$C,Mercado!$J:$J),_xlfn.XLOOKUP($D968,Fontes!$B:$B,Fontes!$H:$H))</f>
        <v>16.73</v>
      </c>
      <c r="K968" s="252">
        <f>IF($A968="M",0,_xlfn.XLOOKUP($D968,Fontes!$B:$B,Fontes!$I:$I))</f>
        <v>1.1399999999999999</v>
      </c>
      <c r="L968" s="250">
        <f t="shared" si="97"/>
        <v>334.02</v>
      </c>
      <c r="M968" s="300">
        <f t="shared" si="100"/>
        <v>668.04</v>
      </c>
      <c r="O968" s="517">
        <f t="shared" si="98"/>
        <v>668.04</v>
      </c>
    </row>
    <row r="969" spans="1:15" ht="57.6" outlineLevel="4" x14ac:dyDescent="0.3">
      <c r="A969" s="35"/>
      <c r="B969" s="36"/>
      <c r="C969" s="495" t="s">
        <v>10606</v>
      </c>
      <c r="D969" s="249">
        <v>89385</v>
      </c>
      <c r="E969" s="249" t="str">
        <f>UPPER(IF($D969=0,"",IF($A969=4,_xlfn.XLOOKUP($D969,Mercado!$C:$C,Mercado!$E:$E),_xlfn.XLOOKUP($D969,Fontes!$B:$B,Fontes!$C:$C))))</f>
        <v>SINAPI</v>
      </c>
      <c r="F969" s="327" t="s">
        <v>51</v>
      </c>
      <c r="G969" s="249" t="str">
        <f>UPPER(IF($D969=0,"",IF($A969=4,_xlfn.XLOOKUP($D969,Mercado!$C:$C,Mercado!$G:$G),_xlfn.XLOOKUP($D969,Fontes!$B:$B,Fontes!$E:$E))))</f>
        <v>UN</v>
      </c>
      <c r="H969" s="252">
        <v>3</v>
      </c>
      <c r="I969" s="252">
        <f>IF($A969="M",_xlfn.XLOOKUP($D969,Mercado!$C:$C,Mercado!$I:$I),_xlfn.XLOOKUP($D969,Fontes!$B:$B,Fontes!$J:$J))</f>
        <v>4.22</v>
      </c>
      <c r="J969" s="252">
        <f>IF($A969="M",_xlfn.XLOOKUP($D969,Mercado!$C:$C,Mercado!$J:$J),_xlfn.XLOOKUP($D969,Fontes!$B:$B,Fontes!$H:$H))</f>
        <v>5.13</v>
      </c>
      <c r="K969" s="252">
        <f>IF($A969="M",0,_xlfn.XLOOKUP($D969,Fontes!$B:$B,Fontes!$I:$I))</f>
        <v>0.36</v>
      </c>
      <c r="L969" s="250">
        <f t="shared" si="97"/>
        <v>9.7099999999999991</v>
      </c>
      <c r="M969" s="300">
        <f t="shared" si="100"/>
        <v>29.13</v>
      </c>
      <c r="O969" s="517">
        <f t="shared" si="98"/>
        <v>29.13</v>
      </c>
    </row>
    <row r="970" spans="1:15" ht="38.4" outlineLevel="4" x14ac:dyDescent="0.3">
      <c r="A970" s="35"/>
      <c r="B970" s="36"/>
      <c r="C970" s="495" t="s">
        <v>10607</v>
      </c>
      <c r="D970" s="249">
        <v>96702</v>
      </c>
      <c r="E970" s="249" t="str">
        <f>UPPER(IF($D970=0,"",IF($A970=4,_xlfn.XLOOKUP($D970,Mercado!$C:$C,Mercado!$E:$E),_xlfn.XLOOKUP($D970,Fontes!$B:$B,Fontes!$C:$C))))</f>
        <v>SINAPI</v>
      </c>
      <c r="F970" s="327" t="s">
        <v>209</v>
      </c>
      <c r="G970" s="249" t="str">
        <f>UPPER(IF($D970=0,"",IF($A970=4,_xlfn.XLOOKUP($D970,Mercado!$C:$C,Mercado!$G:$G),_xlfn.XLOOKUP($D970,Fontes!$B:$B,Fontes!$E:$E))))</f>
        <v>UN</v>
      </c>
      <c r="H970" s="252">
        <v>7</v>
      </c>
      <c r="I970" s="252">
        <f>IF($A970="M",_xlfn.XLOOKUP($D970,Mercado!$C:$C,Mercado!$I:$I),_xlfn.XLOOKUP($D970,Fontes!$B:$B,Fontes!$J:$J))</f>
        <v>7.66</v>
      </c>
      <c r="J970" s="252">
        <f>IF($A970="M",_xlfn.XLOOKUP($D970,Mercado!$C:$C,Mercado!$J:$J),_xlfn.XLOOKUP($D970,Fontes!$B:$B,Fontes!$H:$H))</f>
        <v>6.96</v>
      </c>
      <c r="K970" s="252">
        <f>IF($A970="M",0,_xlfn.XLOOKUP($D970,Fontes!$B:$B,Fontes!$I:$I))</f>
        <v>0.48</v>
      </c>
      <c r="L970" s="250">
        <f t="shared" si="97"/>
        <v>15.100000000000001</v>
      </c>
      <c r="M970" s="300">
        <f t="shared" si="100"/>
        <v>105.7</v>
      </c>
      <c r="O970" s="517">
        <f t="shared" si="98"/>
        <v>105.7</v>
      </c>
    </row>
    <row r="971" spans="1:15" ht="57.6" outlineLevel="4" x14ac:dyDescent="0.3">
      <c r="A971" s="35"/>
      <c r="B971" s="36"/>
      <c r="C971" s="495" t="s">
        <v>10608</v>
      </c>
      <c r="D971" s="249">
        <v>90735</v>
      </c>
      <c r="E971" s="249" t="str">
        <f>UPPER(IF($D971=0,"",IF($A971=4,_xlfn.XLOOKUP($D971,Mercado!$C:$C,Mercado!$E:$E),_xlfn.XLOOKUP($D971,Fontes!$B:$B,Fontes!$C:$C))))</f>
        <v>SINAPI</v>
      </c>
      <c r="F971" s="327" t="s">
        <v>311</v>
      </c>
      <c r="G971" s="249" t="str">
        <f>UPPER(IF($D971=0,"",IF($A971=4,_xlfn.XLOOKUP($D971,Mercado!$C:$C,Mercado!$G:$G),_xlfn.XLOOKUP($D971,Fontes!$B:$B,Fontes!$E:$E))))</f>
        <v>M</v>
      </c>
      <c r="H971" s="252">
        <v>3</v>
      </c>
      <c r="I971" s="252">
        <f>IF($A971="M",_xlfn.XLOOKUP($D971,Mercado!$C:$C,Mercado!$I:$I),_xlfn.XLOOKUP($D971,Fontes!$B:$B,Fontes!$J:$J))</f>
        <v>1.62</v>
      </c>
      <c r="J971" s="252">
        <f>IF($A971="M",_xlfn.XLOOKUP($D971,Mercado!$C:$C,Mercado!$J:$J),_xlfn.XLOOKUP($D971,Fontes!$B:$B,Fontes!$H:$H))</f>
        <v>5.23</v>
      </c>
      <c r="K971" s="252">
        <f>IF($A971="M",0,_xlfn.XLOOKUP($D971,Fontes!$B:$B,Fontes!$I:$I))</f>
        <v>0.35</v>
      </c>
      <c r="L971" s="250">
        <f t="shared" si="97"/>
        <v>7.2</v>
      </c>
      <c r="M971" s="300">
        <f t="shared" si="100"/>
        <v>21.6</v>
      </c>
      <c r="O971" s="517">
        <f t="shared" si="98"/>
        <v>21.6</v>
      </c>
    </row>
    <row r="972" spans="1:15" ht="38.4" outlineLevel="4" x14ac:dyDescent="0.3">
      <c r="A972" s="35"/>
      <c r="B972" s="36"/>
      <c r="C972" s="495" t="s">
        <v>10609</v>
      </c>
      <c r="D972" s="249">
        <v>1081</v>
      </c>
      <c r="E972" s="249" t="str">
        <f>UPPER(IF($D972=0,"",IF($A972=4,_xlfn.XLOOKUP($D972,Mercado!$C:$C,Mercado!$E:$E),_xlfn.XLOOKUP($D972,Fontes!$B:$B,Fontes!$C:$C))))</f>
        <v>ORSE</v>
      </c>
      <c r="F972" s="327" t="s">
        <v>3663</v>
      </c>
      <c r="G972" s="249" t="str">
        <f>UPPER(IF($D972=0,"",IF($A972=4,_xlfn.XLOOKUP($D972,Mercado!$C:$C,Mercado!$G:$G),_xlfn.XLOOKUP($D972,Fontes!$B:$B,Fontes!$E:$E))))</f>
        <v>UN</v>
      </c>
      <c r="H972" s="252">
        <v>1</v>
      </c>
      <c r="I972" s="252">
        <f>IF($A972="M",_xlfn.XLOOKUP($D972,Mercado!$C:$C,Mercado!$I:$I),_xlfn.XLOOKUP($D972,Fontes!$B:$B,Fontes!$J:$J))</f>
        <v>7.6</v>
      </c>
      <c r="J972" s="252">
        <f>IF($A972="M",_xlfn.XLOOKUP($D972,Mercado!$C:$C,Mercado!$J:$J),_xlfn.XLOOKUP($D972,Fontes!$B:$B,Fontes!$H:$H))</f>
        <v>7.93</v>
      </c>
      <c r="K972" s="252">
        <f>IF($A972="M",0,_xlfn.XLOOKUP($D972,Fontes!$B:$B,Fontes!$I:$I))</f>
        <v>0</v>
      </c>
      <c r="L972" s="250">
        <f t="shared" si="97"/>
        <v>15.53</v>
      </c>
      <c r="M972" s="300">
        <f t="shared" si="100"/>
        <v>15.53</v>
      </c>
      <c r="O972" s="517">
        <f t="shared" si="98"/>
        <v>15.53</v>
      </c>
    </row>
    <row r="973" spans="1:15" ht="38.4" outlineLevel="4" x14ac:dyDescent="0.3">
      <c r="A973" s="35"/>
      <c r="B973" s="36"/>
      <c r="C973" s="495" t="s">
        <v>10610</v>
      </c>
      <c r="D973" s="249">
        <v>1084</v>
      </c>
      <c r="E973" s="249" t="str">
        <f>UPPER(IF($D973=0,"",IF($A973=4,_xlfn.XLOOKUP($D973,Mercado!$C:$C,Mercado!$E:$E),_xlfn.XLOOKUP($D973,Fontes!$B:$B,Fontes!$C:$C))))</f>
        <v>ORSE</v>
      </c>
      <c r="F973" s="327" t="s">
        <v>3664</v>
      </c>
      <c r="G973" s="249" t="str">
        <f>UPPER(IF($D973=0,"",IF($A973=4,_xlfn.XLOOKUP($D973,Mercado!$C:$C,Mercado!$G:$G),_xlfn.XLOOKUP($D973,Fontes!$B:$B,Fontes!$E:$E))))</f>
        <v>UN</v>
      </c>
      <c r="H973" s="252">
        <v>2</v>
      </c>
      <c r="I973" s="252">
        <f>IF($A973="M",_xlfn.XLOOKUP($D973,Mercado!$C:$C,Mercado!$I:$I),_xlfn.XLOOKUP($D973,Fontes!$B:$B,Fontes!$J:$J))</f>
        <v>11.08</v>
      </c>
      <c r="J973" s="252">
        <f>IF($A973="M",_xlfn.XLOOKUP($D973,Mercado!$C:$C,Mercado!$J:$J),_xlfn.XLOOKUP($D973,Fontes!$B:$B,Fontes!$H:$H))</f>
        <v>9.01</v>
      </c>
      <c r="K973" s="252">
        <f>IF($A973="M",0,_xlfn.XLOOKUP($D973,Fontes!$B:$B,Fontes!$I:$I))</f>
        <v>0</v>
      </c>
      <c r="L973" s="250">
        <f t="shared" si="97"/>
        <v>20.09</v>
      </c>
      <c r="M973" s="300">
        <f t="shared" si="100"/>
        <v>40.18</v>
      </c>
      <c r="O973" s="517">
        <f t="shared" si="98"/>
        <v>40.18</v>
      </c>
    </row>
    <row r="974" spans="1:15" ht="38.4" outlineLevel="4" x14ac:dyDescent="0.3">
      <c r="A974" s="35"/>
      <c r="B974" s="36"/>
      <c r="C974" s="495" t="s">
        <v>10611</v>
      </c>
      <c r="D974" s="249">
        <v>1087</v>
      </c>
      <c r="E974" s="249" t="str">
        <f>UPPER(IF($D974=0,"",IF($A974=4,_xlfn.XLOOKUP($D974,Mercado!$C:$C,Mercado!$E:$E),_xlfn.XLOOKUP($D974,Fontes!$B:$B,Fontes!$C:$C))))</f>
        <v>ORSE</v>
      </c>
      <c r="F974" s="327" t="s">
        <v>3665</v>
      </c>
      <c r="G974" s="249" t="str">
        <f>UPPER(IF($D974=0,"",IF($A974=4,_xlfn.XLOOKUP($D974,Mercado!$C:$C,Mercado!$G:$G),_xlfn.XLOOKUP($D974,Fontes!$B:$B,Fontes!$E:$E))))</f>
        <v>UN</v>
      </c>
      <c r="H974" s="252">
        <v>1</v>
      </c>
      <c r="I974" s="252">
        <f>IF($A974="M",_xlfn.XLOOKUP($D974,Mercado!$C:$C,Mercado!$I:$I),_xlfn.XLOOKUP($D974,Fontes!$B:$B,Fontes!$J:$J))</f>
        <v>21.58</v>
      </c>
      <c r="J974" s="252">
        <f>IF($A974="M",_xlfn.XLOOKUP($D974,Mercado!$C:$C,Mercado!$J:$J),_xlfn.XLOOKUP($D974,Fontes!$B:$B,Fontes!$H:$H))</f>
        <v>10.1</v>
      </c>
      <c r="K974" s="252">
        <f>IF($A974="M",0,_xlfn.XLOOKUP($D974,Fontes!$B:$B,Fontes!$I:$I))</f>
        <v>0</v>
      </c>
      <c r="L974" s="250">
        <f t="shared" ref="L974:L1037" si="101">SUM(I974:K974)</f>
        <v>31.68</v>
      </c>
      <c r="M974" s="300">
        <f t="shared" si="100"/>
        <v>31.68</v>
      </c>
      <c r="O974" s="517">
        <f t="shared" si="98"/>
        <v>31.68</v>
      </c>
    </row>
    <row r="975" spans="1:15" ht="38.4" outlineLevel="4" x14ac:dyDescent="0.3">
      <c r="A975" s="35"/>
      <c r="B975" s="36"/>
      <c r="C975" s="495" t="s">
        <v>10612</v>
      </c>
      <c r="D975" s="249">
        <v>89568</v>
      </c>
      <c r="E975" s="249" t="str">
        <f>UPPER(IF($D975=0,"",IF($A975=4,_xlfn.XLOOKUP($D975,Mercado!$C:$C,Mercado!$E:$E),_xlfn.XLOOKUP($D975,Fontes!$B:$B,Fontes!$C:$C))))</f>
        <v>SINAPI</v>
      </c>
      <c r="F975" s="327" t="s">
        <v>63</v>
      </c>
      <c r="G975" s="249" t="str">
        <f>UPPER(IF($D975=0,"",IF($A975=4,_xlfn.XLOOKUP($D975,Mercado!$C:$C,Mercado!$G:$G),_xlfn.XLOOKUP($D975,Fontes!$B:$B,Fontes!$E:$E))))</f>
        <v>UN</v>
      </c>
      <c r="H975" s="252">
        <v>2</v>
      </c>
      <c r="I975" s="252">
        <f>IF($A975="M",_xlfn.XLOOKUP($D975,Mercado!$C:$C,Mercado!$I:$I),_xlfn.XLOOKUP($D975,Fontes!$B:$B,Fontes!$J:$J))</f>
        <v>30.42</v>
      </c>
      <c r="J975" s="252">
        <f>IF($A975="M",_xlfn.XLOOKUP($D975,Mercado!$C:$C,Mercado!$J:$J),_xlfn.XLOOKUP($D975,Fontes!$B:$B,Fontes!$H:$H))</f>
        <v>3.77</v>
      </c>
      <c r="K975" s="252">
        <f>IF($A975="M",0,_xlfn.XLOOKUP($D975,Fontes!$B:$B,Fontes!$I:$I))</f>
        <v>0.26</v>
      </c>
      <c r="L975" s="250">
        <f t="shared" si="101"/>
        <v>34.450000000000003</v>
      </c>
      <c r="M975" s="300">
        <f t="shared" si="100"/>
        <v>68.900000000000006</v>
      </c>
      <c r="O975" s="517">
        <f t="shared" si="98"/>
        <v>68.900000000000006</v>
      </c>
    </row>
    <row r="976" spans="1:15" ht="38.4" outlineLevel="4" x14ac:dyDescent="0.3">
      <c r="A976" s="35"/>
      <c r="B976" s="36"/>
      <c r="C976" s="495" t="s">
        <v>10613</v>
      </c>
      <c r="D976" s="249">
        <v>89594</v>
      </c>
      <c r="E976" s="249" t="str">
        <f>UPPER(IF($D976=0,"",IF($A976=4,_xlfn.XLOOKUP($D976,Mercado!$C:$C,Mercado!$E:$E),_xlfn.XLOOKUP($D976,Fontes!$B:$B,Fontes!$C:$C))))</f>
        <v>SINAPI</v>
      </c>
      <c r="F976" s="327" t="s">
        <v>71</v>
      </c>
      <c r="G976" s="249" t="str">
        <f>UPPER(IF($D976=0,"",IF($A976=4,_xlfn.XLOOKUP($D976,Mercado!$C:$C,Mercado!$G:$G),_xlfn.XLOOKUP($D976,Fontes!$B:$B,Fontes!$E:$E))))</f>
        <v>UN</v>
      </c>
      <c r="H976" s="252">
        <v>2</v>
      </c>
      <c r="I976" s="252">
        <f>IF($A976="M",_xlfn.XLOOKUP($D976,Mercado!$C:$C,Mercado!$I:$I),_xlfn.XLOOKUP($D976,Fontes!$B:$B,Fontes!$J:$J))</f>
        <v>33.590000000000003</v>
      </c>
      <c r="J976" s="252">
        <f>IF($A976="M",_xlfn.XLOOKUP($D976,Mercado!$C:$C,Mercado!$J:$J),_xlfn.XLOOKUP($D976,Fontes!$B:$B,Fontes!$H:$H))</f>
        <v>4.5999999999999996</v>
      </c>
      <c r="K976" s="252">
        <f>IF($A976="M",0,_xlfn.XLOOKUP($D976,Fontes!$B:$B,Fontes!$I:$I))</f>
        <v>0.32</v>
      </c>
      <c r="L976" s="250">
        <f t="shared" si="101"/>
        <v>38.510000000000005</v>
      </c>
      <c r="M976" s="300">
        <f t="shared" si="100"/>
        <v>77.02</v>
      </c>
      <c r="O976" s="517">
        <f t="shared" si="98"/>
        <v>77.02</v>
      </c>
    </row>
    <row r="977" spans="1:15" outlineLevel="4" x14ac:dyDescent="0.3">
      <c r="A977" s="36" t="s">
        <v>7</v>
      </c>
      <c r="B977" s="36"/>
      <c r="C977" s="495" t="s">
        <v>781</v>
      </c>
      <c r="D977" s="249"/>
      <c r="E977" s="249" t="str">
        <f>UPPER(IF($D977=0,"",IF($A977=4,_xlfn.XLOOKUP($D977,Mercado!$C:$C,Mercado!$E:$E),_xlfn.XLOOKUP($D977,Fontes!$B:$B,Fontes!$C:$C))))</f>
        <v/>
      </c>
      <c r="F977" s="327" t="s">
        <v>781</v>
      </c>
      <c r="G977" s="249"/>
      <c r="H977" s="252"/>
      <c r="I977" s="252">
        <f>IF($A977="M",_xlfn.XLOOKUP($D977,Mercado!$C:$C,Mercado!$I:$I),_xlfn.XLOOKUP($D977,Fontes!$B:$B,Fontes!$J:$J))</f>
        <v>0</v>
      </c>
      <c r="J977" s="252">
        <f>IF($A977="M",_xlfn.XLOOKUP($D977,Mercado!$C:$C,Mercado!$J:$J),_xlfn.XLOOKUP($D977,Fontes!$B:$B,Fontes!$H:$H))</f>
        <v>0</v>
      </c>
      <c r="K977" s="252">
        <f>IF($A977="M",0,_xlfn.XLOOKUP($D977,Fontes!$B:$B,Fontes!$I:$I))</f>
        <v>0</v>
      </c>
      <c r="L977" s="250">
        <f t="shared" si="101"/>
        <v>0</v>
      </c>
      <c r="M977" s="300">
        <f t="shared" si="100"/>
        <v>0</v>
      </c>
      <c r="O977" s="517" t="str">
        <f t="shared" si="98"/>
        <v/>
      </c>
    </row>
    <row r="978" spans="1:15" ht="20.399999999999999" outlineLevel="3" x14ac:dyDescent="0.3">
      <c r="A978" s="36" t="s">
        <v>7</v>
      </c>
      <c r="B978" s="36"/>
      <c r="C978" s="499" t="s">
        <v>10614</v>
      </c>
      <c r="D978" s="249"/>
      <c r="E978" s="249" t="str">
        <f>UPPER(IF($D978=0,"",IF($A978=4,_xlfn.XLOOKUP($D978,Mercado!$C:$C,Mercado!$E:$E),_xlfn.XLOOKUP($D978,Fontes!$B:$B,Fontes!$C:$C))))</f>
        <v/>
      </c>
      <c r="F978" s="330" t="s">
        <v>558</v>
      </c>
      <c r="G978" s="249"/>
      <c r="H978" s="252"/>
      <c r="I978" s="252">
        <f>IF($A978="M",_xlfn.XLOOKUP($D978,Mercado!$C:$C,Mercado!$I:$I),_xlfn.XLOOKUP($D978,Fontes!$B:$B,Fontes!$J:$J))</f>
        <v>0</v>
      </c>
      <c r="J978" s="252">
        <f>IF($A978="M",_xlfn.XLOOKUP($D978,Mercado!$C:$C,Mercado!$J:$J),_xlfn.XLOOKUP($D978,Fontes!$B:$B,Fontes!$H:$H))</f>
        <v>0</v>
      </c>
      <c r="K978" s="252">
        <f>IF($A978="M",0,_xlfn.XLOOKUP($D978,Fontes!$B:$B,Fontes!$I:$I))</f>
        <v>0</v>
      </c>
      <c r="L978" s="252">
        <f t="shared" si="101"/>
        <v>0</v>
      </c>
      <c r="M978" s="509">
        <f t="shared" si="100"/>
        <v>0</v>
      </c>
      <c r="O978" s="517" t="str">
        <f t="shared" si="98"/>
        <v/>
      </c>
    </row>
    <row r="979" spans="1:15" ht="57.6" outlineLevel="4" x14ac:dyDescent="0.3">
      <c r="A979" s="35"/>
      <c r="B979" s="36"/>
      <c r="C979" s="495" t="s">
        <v>10615</v>
      </c>
      <c r="D979" s="249">
        <v>97336</v>
      </c>
      <c r="E979" s="249" t="str">
        <f>UPPER(IF($D979=0,"",IF($A979=4,_xlfn.XLOOKUP($D979,Mercado!$C:$C,Mercado!$E:$E),_xlfn.XLOOKUP($D979,Fontes!$B:$B,Fontes!$C:$C))))</f>
        <v>SINAPI</v>
      </c>
      <c r="F979" s="327" t="s">
        <v>2596</v>
      </c>
      <c r="G979" s="249" t="str">
        <f>UPPER(IF($D979=0,"",IF($A979=4,_xlfn.XLOOKUP($D979,Mercado!$C:$C,Mercado!$G:$G),_xlfn.XLOOKUP($D979,Fontes!$B:$B,Fontes!$E:$E))))</f>
        <v>M</v>
      </c>
      <c r="H979" s="252">
        <v>50</v>
      </c>
      <c r="I979" s="252">
        <f>IF($A979="M",_xlfn.XLOOKUP($D979,Mercado!$C:$C,Mercado!$I:$I),_xlfn.XLOOKUP($D979,Fontes!$B:$B,Fontes!$J:$J))</f>
        <v>107.3</v>
      </c>
      <c r="J979" s="252">
        <f>IF($A979="M",_xlfn.XLOOKUP($D979,Mercado!$C:$C,Mercado!$J:$J),_xlfn.XLOOKUP($D979,Fontes!$B:$B,Fontes!$H:$H))</f>
        <v>3.08</v>
      </c>
      <c r="K979" s="252">
        <f>IF($A979="M",0,_xlfn.XLOOKUP($D979,Fontes!$B:$B,Fontes!$I:$I))</f>
        <v>0.22</v>
      </c>
      <c r="L979" s="250">
        <f t="shared" si="101"/>
        <v>110.6</v>
      </c>
      <c r="M979" s="300">
        <f t="shared" si="100"/>
        <v>5530</v>
      </c>
      <c r="O979" s="517">
        <f t="shared" si="98"/>
        <v>5530</v>
      </c>
    </row>
    <row r="980" spans="1:15" ht="57.6" outlineLevel="4" x14ac:dyDescent="0.3">
      <c r="A980" s="35"/>
      <c r="B980" s="36"/>
      <c r="C980" s="495" t="s">
        <v>10616</v>
      </c>
      <c r="D980" s="249">
        <v>97337</v>
      </c>
      <c r="E980" s="249" t="str">
        <f>UPPER(IF($D980=0,"",IF($A980=4,_xlfn.XLOOKUP($D980,Mercado!$C:$C,Mercado!$E:$E),_xlfn.XLOOKUP($D980,Fontes!$B:$B,Fontes!$C:$C))))</f>
        <v>SINAPI</v>
      </c>
      <c r="F980" s="327" t="s">
        <v>2597</v>
      </c>
      <c r="G980" s="249" t="str">
        <f>UPPER(IF($D980=0,"",IF($A980=4,_xlfn.XLOOKUP($D980,Mercado!$C:$C,Mercado!$G:$G),_xlfn.XLOOKUP($D980,Fontes!$B:$B,Fontes!$E:$E))))</f>
        <v>M</v>
      </c>
      <c r="H980" s="252">
        <v>10</v>
      </c>
      <c r="I980" s="252">
        <f>IF($A980="M",_xlfn.XLOOKUP($D980,Mercado!$C:$C,Mercado!$I:$I),_xlfn.XLOOKUP($D980,Fontes!$B:$B,Fontes!$J:$J))</f>
        <v>161.86000000000001</v>
      </c>
      <c r="J980" s="252">
        <f>IF($A980="M",_xlfn.XLOOKUP($D980,Mercado!$C:$C,Mercado!$J:$J),_xlfn.XLOOKUP($D980,Fontes!$B:$B,Fontes!$H:$H))</f>
        <v>3.89</v>
      </c>
      <c r="K980" s="252">
        <f>IF($A980="M",0,_xlfn.XLOOKUP($D980,Fontes!$B:$B,Fontes!$I:$I))</f>
        <v>0.26</v>
      </c>
      <c r="L980" s="250">
        <f t="shared" si="101"/>
        <v>166.01</v>
      </c>
      <c r="M980" s="300">
        <f t="shared" si="100"/>
        <v>1660.1</v>
      </c>
      <c r="O980" s="517">
        <f t="shared" si="98"/>
        <v>1660.1</v>
      </c>
    </row>
    <row r="981" spans="1:15" ht="57.6" outlineLevel="4" x14ac:dyDescent="0.3">
      <c r="A981" s="35"/>
      <c r="B981" s="36"/>
      <c r="C981" s="495" t="s">
        <v>10617</v>
      </c>
      <c r="D981" s="249">
        <v>92288</v>
      </c>
      <c r="E981" s="249" t="str">
        <f>UPPER(IF($D981=0,"",IF($A981=4,_xlfn.XLOOKUP($D981,Mercado!$C:$C,Mercado!$E:$E),_xlfn.XLOOKUP($D981,Fontes!$B:$B,Fontes!$C:$C))))</f>
        <v>SINAPI</v>
      </c>
      <c r="F981" s="327" t="s">
        <v>2598</v>
      </c>
      <c r="G981" s="249" t="str">
        <f>UPPER(IF($D981=0,"",IF($A981=4,_xlfn.XLOOKUP($D981,Mercado!$C:$C,Mercado!$G:$G),_xlfn.XLOOKUP($D981,Fontes!$B:$B,Fontes!$E:$E))))</f>
        <v>UN</v>
      </c>
      <c r="H981" s="252">
        <v>22</v>
      </c>
      <c r="I981" s="252">
        <f>IF($A981="M",_xlfn.XLOOKUP($D981,Mercado!$C:$C,Mercado!$I:$I),_xlfn.XLOOKUP($D981,Fontes!$B:$B,Fontes!$J:$J))</f>
        <v>25.26</v>
      </c>
      <c r="J981" s="252">
        <f>IF($A981="M",_xlfn.XLOOKUP($D981,Mercado!$C:$C,Mercado!$J:$J),_xlfn.XLOOKUP($D981,Fontes!$B:$B,Fontes!$H:$H))</f>
        <v>6.23</v>
      </c>
      <c r="K981" s="252">
        <f>IF($A981="M",0,_xlfn.XLOOKUP($D981,Fontes!$B:$B,Fontes!$I:$I))</f>
        <v>0.42</v>
      </c>
      <c r="L981" s="250">
        <f t="shared" si="101"/>
        <v>31.910000000000004</v>
      </c>
      <c r="M981" s="300">
        <f t="shared" si="100"/>
        <v>702.02</v>
      </c>
      <c r="O981" s="517">
        <f t="shared" si="98"/>
        <v>702.02</v>
      </c>
    </row>
    <row r="982" spans="1:15" ht="57.6" outlineLevel="4" x14ac:dyDescent="0.3">
      <c r="A982" s="35"/>
      <c r="B982" s="36"/>
      <c r="C982" s="495" t="s">
        <v>10618</v>
      </c>
      <c r="D982" s="249">
        <v>92289</v>
      </c>
      <c r="E982" s="249" t="str">
        <f>UPPER(IF($D982=0,"",IF($A982=4,_xlfn.XLOOKUP($D982,Mercado!$C:$C,Mercado!$E:$E),_xlfn.XLOOKUP($D982,Fontes!$B:$B,Fontes!$C:$C))))</f>
        <v>SINAPI</v>
      </c>
      <c r="F982" s="327" t="s">
        <v>2599</v>
      </c>
      <c r="G982" s="249" t="str">
        <f>UPPER(IF($D982=0,"",IF($A982=4,_xlfn.XLOOKUP($D982,Mercado!$C:$C,Mercado!$G:$G),_xlfn.XLOOKUP($D982,Fontes!$B:$B,Fontes!$E:$E))))</f>
        <v>UN</v>
      </c>
      <c r="H982" s="252">
        <v>10</v>
      </c>
      <c r="I982" s="252">
        <f>IF($A982="M",_xlfn.XLOOKUP($D982,Mercado!$C:$C,Mercado!$I:$I),_xlfn.XLOOKUP($D982,Fontes!$B:$B,Fontes!$J:$J))</f>
        <v>46.92</v>
      </c>
      <c r="J982" s="252">
        <f>IF($A982="M",_xlfn.XLOOKUP($D982,Mercado!$C:$C,Mercado!$J:$J),_xlfn.XLOOKUP($D982,Fontes!$B:$B,Fontes!$H:$H))</f>
        <v>7.87</v>
      </c>
      <c r="K982" s="252">
        <f>IF($A982="M",0,_xlfn.XLOOKUP($D982,Fontes!$B:$B,Fontes!$I:$I))</f>
        <v>0.54</v>
      </c>
      <c r="L982" s="250">
        <f t="shared" si="101"/>
        <v>55.33</v>
      </c>
      <c r="M982" s="300">
        <f t="shared" si="100"/>
        <v>553.29999999999995</v>
      </c>
      <c r="O982" s="517">
        <f t="shared" si="98"/>
        <v>553.29999999999995</v>
      </c>
    </row>
    <row r="983" spans="1:15" ht="57.6" outlineLevel="4" x14ac:dyDescent="0.3">
      <c r="A983" s="35"/>
      <c r="B983" s="36"/>
      <c r="C983" s="495" t="s">
        <v>10619</v>
      </c>
      <c r="D983" s="249">
        <v>93123</v>
      </c>
      <c r="E983" s="249" t="str">
        <f>UPPER(IF($D983=0,"",IF($A983=4,_xlfn.XLOOKUP($D983,Mercado!$C:$C,Mercado!$E:$E),_xlfn.XLOOKUP($D983,Fontes!$B:$B,Fontes!$C:$C))))</f>
        <v>SINAPI</v>
      </c>
      <c r="F983" s="327" t="s">
        <v>2608</v>
      </c>
      <c r="G983" s="249" t="str">
        <f>UPPER(IF($D983=0,"",IF($A983=4,_xlfn.XLOOKUP($D983,Mercado!$C:$C,Mercado!$G:$G),_xlfn.XLOOKUP($D983,Fontes!$B:$B,Fontes!$E:$E))))</f>
        <v>UN</v>
      </c>
      <c r="H983" s="252">
        <v>2</v>
      </c>
      <c r="I983" s="252">
        <f>IF($A983="M",_xlfn.XLOOKUP($D983,Mercado!$C:$C,Mercado!$I:$I),_xlfn.XLOOKUP($D983,Fontes!$B:$B,Fontes!$J:$J))</f>
        <v>56.17</v>
      </c>
      <c r="J983" s="252">
        <f>IF($A983="M",_xlfn.XLOOKUP($D983,Mercado!$C:$C,Mercado!$J:$J),_xlfn.XLOOKUP($D983,Fontes!$B:$B,Fontes!$H:$H))</f>
        <v>7.87</v>
      </c>
      <c r="K983" s="252">
        <f>IF($A983="M",0,_xlfn.XLOOKUP($D983,Fontes!$B:$B,Fontes!$I:$I))</f>
        <v>0.54</v>
      </c>
      <c r="L983" s="250">
        <f t="shared" si="101"/>
        <v>64.580000000000013</v>
      </c>
      <c r="M983" s="300">
        <f t="shared" si="100"/>
        <v>129.16</v>
      </c>
      <c r="O983" s="517">
        <f t="shared" si="98"/>
        <v>129.16</v>
      </c>
    </row>
    <row r="984" spans="1:15" ht="38.4" outlineLevel="4" x14ac:dyDescent="0.3">
      <c r="A984" s="35"/>
      <c r="B984" s="36"/>
      <c r="C984" s="495" t="s">
        <v>10620</v>
      </c>
      <c r="D984" s="249">
        <v>93118</v>
      </c>
      <c r="E984" s="249" t="str">
        <f>UPPER(IF($D984=0,"",IF($A984=4,_xlfn.XLOOKUP($D984,Mercado!$C:$C,Mercado!$E:$E),_xlfn.XLOOKUP($D984,Fontes!$B:$B,Fontes!$C:$C))))</f>
        <v>SINAPI</v>
      </c>
      <c r="F984" s="328" t="s">
        <v>202</v>
      </c>
      <c r="G984" s="249" t="str">
        <f>UPPER(IF($D984=0,"",IF($A984=4,_xlfn.XLOOKUP($D984,Mercado!$C:$C,Mercado!$G:$G),_xlfn.XLOOKUP($D984,Fontes!$B:$B,Fontes!$E:$E))))</f>
        <v>UN</v>
      </c>
      <c r="H984" s="252">
        <v>1</v>
      </c>
      <c r="I984" s="252">
        <f>IF($A984="M",_xlfn.XLOOKUP($D984,Mercado!$C:$C,Mercado!$I:$I),_xlfn.XLOOKUP($D984,Fontes!$B:$B,Fontes!$J:$J))</f>
        <v>83.33</v>
      </c>
      <c r="J984" s="252">
        <f>IF($A984="M",_xlfn.XLOOKUP($D984,Mercado!$C:$C,Mercado!$J:$J),_xlfn.XLOOKUP($D984,Fontes!$B:$B,Fontes!$H:$H))</f>
        <v>11.63</v>
      </c>
      <c r="K984" s="252">
        <f>IF($A984="M",0,_xlfn.XLOOKUP($D984,Fontes!$B:$B,Fontes!$I:$I))</f>
        <v>0.8</v>
      </c>
      <c r="L984" s="250">
        <f t="shared" si="101"/>
        <v>95.759999999999991</v>
      </c>
      <c r="M984" s="300">
        <f t="shared" si="100"/>
        <v>95.76</v>
      </c>
      <c r="O984" s="517">
        <f t="shared" si="98"/>
        <v>95.76</v>
      </c>
    </row>
    <row r="985" spans="1:15" ht="38.4" outlineLevel="4" x14ac:dyDescent="0.3">
      <c r="A985" s="35"/>
      <c r="B985" s="36"/>
      <c r="C985" s="495" t="s">
        <v>10621</v>
      </c>
      <c r="D985" s="249">
        <v>983</v>
      </c>
      <c r="E985" s="249" t="str">
        <f>UPPER(IF($D985=0,"",IF($A985=4,_xlfn.XLOOKUP($D985,Mercado!$C:$C,Mercado!$E:$E),_xlfn.XLOOKUP($D985,Fontes!$B:$B,Fontes!$C:$C))))</f>
        <v>ORSE</v>
      </c>
      <c r="F985" s="327" t="s">
        <v>3666</v>
      </c>
      <c r="G985" s="249" t="str">
        <f>UPPER(IF($D985=0,"",IF($A985=4,_xlfn.XLOOKUP($D985,Mercado!$C:$C,Mercado!$G:$G),_xlfn.XLOOKUP($D985,Fontes!$B:$B,Fontes!$E:$E))))</f>
        <v>UN</v>
      </c>
      <c r="H985" s="252">
        <v>2</v>
      </c>
      <c r="I985" s="252">
        <f>IF($A985="M",_xlfn.XLOOKUP($D985,Mercado!$C:$C,Mercado!$I:$I),_xlfn.XLOOKUP($D985,Fontes!$B:$B,Fontes!$J:$J))</f>
        <v>84.13</v>
      </c>
      <c r="J985" s="252">
        <f>IF($A985="M",_xlfn.XLOOKUP($D985,Mercado!$C:$C,Mercado!$J:$J),_xlfn.XLOOKUP($D985,Fontes!$B:$B,Fontes!$H:$H))</f>
        <v>9.73</v>
      </c>
      <c r="K985" s="252">
        <f>IF($A985="M",0,_xlfn.XLOOKUP($D985,Fontes!$B:$B,Fontes!$I:$I))</f>
        <v>0</v>
      </c>
      <c r="L985" s="250">
        <f t="shared" si="101"/>
        <v>93.86</v>
      </c>
      <c r="M985" s="300">
        <f t="shared" si="100"/>
        <v>187.72</v>
      </c>
      <c r="O985" s="517">
        <f t="shared" si="98"/>
        <v>187.72</v>
      </c>
    </row>
    <row r="986" spans="1:15" ht="38.4" outlineLevel="4" x14ac:dyDescent="0.3">
      <c r="A986" s="35"/>
      <c r="B986" s="36"/>
      <c r="C986" s="495" t="s">
        <v>10622</v>
      </c>
      <c r="D986" s="249">
        <v>984</v>
      </c>
      <c r="E986" s="249" t="str">
        <f>UPPER(IF($D986=0,"",IF($A986=4,_xlfn.XLOOKUP($D986,Mercado!$C:$C,Mercado!$E:$E),_xlfn.XLOOKUP($D986,Fontes!$B:$B,Fontes!$C:$C))))</f>
        <v>ORSE</v>
      </c>
      <c r="F986" s="327" t="s">
        <v>3667</v>
      </c>
      <c r="G986" s="249" t="str">
        <f>UPPER(IF($D986=0,"",IF($A986=4,_xlfn.XLOOKUP($D986,Mercado!$C:$C,Mercado!$G:$G),_xlfn.XLOOKUP($D986,Fontes!$B:$B,Fontes!$E:$E))))</f>
        <v>UN</v>
      </c>
      <c r="H986" s="252">
        <v>2</v>
      </c>
      <c r="I986" s="252">
        <f>IF($A986="M",_xlfn.XLOOKUP($D986,Mercado!$C:$C,Mercado!$I:$I),_xlfn.XLOOKUP($D986,Fontes!$B:$B,Fontes!$J:$J))</f>
        <v>102.49</v>
      </c>
      <c r="J986" s="252">
        <f>IF($A986="M",_xlfn.XLOOKUP($D986,Mercado!$C:$C,Mercado!$J:$J),_xlfn.XLOOKUP($D986,Fontes!$B:$B,Fontes!$H:$H))</f>
        <v>10.82</v>
      </c>
      <c r="K986" s="252">
        <f>IF($A986="M",0,_xlfn.XLOOKUP($D986,Fontes!$B:$B,Fontes!$I:$I))</f>
        <v>0</v>
      </c>
      <c r="L986" s="250">
        <f t="shared" si="101"/>
        <v>113.31</v>
      </c>
      <c r="M986" s="300">
        <f t="shared" si="100"/>
        <v>226.62</v>
      </c>
      <c r="O986" s="517">
        <f t="shared" si="98"/>
        <v>226.62</v>
      </c>
    </row>
    <row r="987" spans="1:15" ht="38.4" outlineLevel="4" x14ac:dyDescent="0.3">
      <c r="A987" s="35"/>
      <c r="B987" s="36"/>
      <c r="C987" s="495" t="s">
        <v>10623</v>
      </c>
      <c r="D987" s="249">
        <v>8798</v>
      </c>
      <c r="E987" s="249" t="str">
        <f>UPPER(IF($D987=0,"",IF($A987=4,_xlfn.XLOOKUP($D987,Mercado!$C:$C,Mercado!$E:$E),_xlfn.XLOOKUP($D987,Fontes!$B:$B,Fontes!$C:$C))))</f>
        <v>ORSE</v>
      </c>
      <c r="F987" s="327" t="s">
        <v>3668</v>
      </c>
      <c r="G987" s="249" t="str">
        <f>UPPER(IF($D987=0,"",IF($A987=4,_xlfn.XLOOKUP($D987,Mercado!$C:$C,Mercado!$G:$G),_xlfn.XLOOKUP($D987,Fontes!$B:$B,Fontes!$E:$E))))</f>
        <v>UN</v>
      </c>
      <c r="H987" s="252">
        <v>9</v>
      </c>
      <c r="I987" s="252">
        <f>IF($A987="M",_xlfn.XLOOKUP($D987,Mercado!$C:$C,Mercado!$I:$I),_xlfn.XLOOKUP($D987,Fontes!$B:$B,Fontes!$J:$J))</f>
        <v>56.51</v>
      </c>
      <c r="J987" s="252">
        <f>IF($A987="M",_xlfn.XLOOKUP($D987,Mercado!$C:$C,Mercado!$J:$J),_xlfn.XLOOKUP($D987,Fontes!$B:$B,Fontes!$H:$H))</f>
        <v>10.45</v>
      </c>
      <c r="K987" s="252">
        <f>IF($A987="M",0,_xlfn.XLOOKUP($D987,Fontes!$B:$B,Fontes!$I:$I))</f>
        <v>0</v>
      </c>
      <c r="L987" s="250">
        <f t="shared" si="101"/>
        <v>66.959999999999994</v>
      </c>
      <c r="M987" s="300">
        <f t="shared" si="100"/>
        <v>602.64</v>
      </c>
      <c r="O987" s="517">
        <f t="shared" si="98"/>
        <v>602.64</v>
      </c>
    </row>
    <row r="988" spans="1:15" ht="38.4" outlineLevel="4" x14ac:dyDescent="0.3">
      <c r="A988" s="35"/>
      <c r="B988" s="36"/>
      <c r="C988" s="495" t="s">
        <v>10624</v>
      </c>
      <c r="D988" s="249">
        <v>606</v>
      </c>
      <c r="E988" s="249" t="str">
        <f>UPPER(IF($D988=0,"",IF($A988=4,_xlfn.XLOOKUP($D988,Mercado!$C:$C,Mercado!$E:$E),_xlfn.XLOOKUP($D988,Fontes!$B:$B,Fontes!$C:$C))))</f>
        <v>PRÓPRIO</v>
      </c>
      <c r="F988" s="328" t="s">
        <v>3669</v>
      </c>
      <c r="G988" s="249" t="str">
        <f>UPPER(IF($D988=0,"",IF($A988=4,_xlfn.XLOOKUP($D988,Mercado!$C:$C,Mercado!$G:$G),_xlfn.XLOOKUP($D988,Fontes!$B:$B,Fontes!$E:$E))))</f>
        <v>UN</v>
      </c>
      <c r="H988" s="252">
        <v>9</v>
      </c>
      <c r="I988" s="252">
        <f>IF($A988="M",_xlfn.XLOOKUP($D988,Mercado!$C:$C,Mercado!$I:$I),_xlfn.XLOOKUP($D988,Fontes!$B:$B,Fontes!$J:$J))</f>
        <v>123.16</v>
      </c>
      <c r="J988" s="252">
        <f>IF($A988="M",_xlfn.XLOOKUP($D988,Mercado!$C:$C,Mercado!$J:$J),_xlfn.XLOOKUP($D988,Fontes!$B:$B,Fontes!$H:$H))</f>
        <v>15.13</v>
      </c>
      <c r="K988" s="252">
        <f>IF($A988="M",0,_xlfn.XLOOKUP($D988,Fontes!$B:$B,Fontes!$I:$I))</f>
        <v>0</v>
      </c>
      <c r="L988" s="250">
        <f t="shared" si="101"/>
        <v>138.29</v>
      </c>
      <c r="M988" s="300">
        <f t="shared" si="100"/>
        <v>1244.6099999999999</v>
      </c>
      <c r="O988" s="517">
        <f t="shared" si="98"/>
        <v>1244.6099999999999</v>
      </c>
    </row>
    <row r="989" spans="1:15" outlineLevel="4" x14ac:dyDescent="0.3">
      <c r="A989" s="36" t="s">
        <v>7</v>
      </c>
      <c r="B989" s="36"/>
      <c r="C989" s="495" t="s">
        <v>781</v>
      </c>
      <c r="D989" s="249"/>
      <c r="E989" s="249" t="str">
        <f>UPPER(IF($D989=0,"",IF($A989=4,_xlfn.XLOOKUP($D989,Mercado!$C:$C,Mercado!$E:$E),_xlfn.XLOOKUP($D989,Fontes!$B:$B,Fontes!$C:$C))))</f>
        <v/>
      </c>
      <c r="F989" s="327" t="s">
        <v>781</v>
      </c>
      <c r="G989" s="249"/>
      <c r="H989" s="252"/>
      <c r="I989" s="252">
        <f>IF($A989="M",_xlfn.XLOOKUP($D989,Mercado!$C:$C,Mercado!$I:$I),_xlfn.XLOOKUP($D989,Fontes!$B:$B,Fontes!$J:$J))</f>
        <v>0</v>
      </c>
      <c r="J989" s="252">
        <f>IF($A989="M",_xlfn.XLOOKUP($D989,Mercado!$C:$C,Mercado!$J:$J),_xlfn.XLOOKUP($D989,Fontes!$B:$B,Fontes!$H:$H))</f>
        <v>0</v>
      </c>
      <c r="K989" s="252">
        <f>IF($A989="M",0,_xlfn.XLOOKUP($D989,Fontes!$B:$B,Fontes!$I:$I))</f>
        <v>0</v>
      </c>
      <c r="L989" s="250">
        <f t="shared" si="101"/>
        <v>0</v>
      </c>
      <c r="M989" s="300">
        <f t="shared" si="100"/>
        <v>0</v>
      </c>
      <c r="O989" s="517" t="str">
        <f t="shared" si="98"/>
        <v/>
      </c>
    </row>
    <row r="990" spans="1:15" ht="20.399999999999999" outlineLevel="3" x14ac:dyDescent="0.3">
      <c r="A990" s="36" t="s">
        <v>7</v>
      </c>
      <c r="B990" s="36"/>
      <c r="C990" s="499" t="s">
        <v>10625</v>
      </c>
      <c r="D990" s="249"/>
      <c r="E990" s="249" t="str">
        <f>UPPER(IF($D990=0,"",IF($A990=4,_xlfn.XLOOKUP($D990,Mercado!$C:$C,Mercado!$E:$E),_xlfn.XLOOKUP($D990,Fontes!$B:$B,Fontes!$C:$C))))</f>
        <v/>
      </c>
      <c r="F990" s="330" t="s">
        <v>554</v>
      </c>
      <c r="G990" s="249"/>
      <c r="H990" s="252"/>
      <c r="I990" s="252">
        <f>IF($A990="M",_xlfn.XLOOKUP($D990,Mercado!$C:$C,Mercado!$I:$I),_xlfn.XLOOKUP($D990,Fontes!$B:$B,Fontes!$J:$J))</f>
        <v>0</v>
      </c>
      <c r="J990" s="252">
        <f>IF($A990="M",_xlfn.XLOOKUP($D990,Mercado!$C:$C,Mercado!$J:$J),_xlfn.XLOOKUP($D990,Fontes!$B:$B,Fontes!$H:$H))</f>
        <v>0</v>
      </c>
      <c r="K990" s="252">
        <f>IF($A990="M",0,_xlfn.XLOOKUP($D990,Fontes!$B:$B,Fontes!$I:$I))</f>
        <v>0</v>
      </c>
      <c r="L990" s="252">
        <f t="shared" si="101"/>
        <v>0</v>
      </c>
      <c r="M990" s="509">
        <f t="shared" si="100"/>
        <v>0</v>
      </c>
      <c r="O990" s="517" t="str">
        <f t="shared" si="98"/>
        <v/>
      </c>
    </row>
    <row r="991" spans="1:15" ht="57.6" outlineLevel="4" x14ac:dyDescent="0.3">
      <c r="A991" s="35"/>
      <c r="B991" s="36"/>
      <c r="C991" s="495" t="s">
        <v>10626</v>
      </c>
      <c r="D991" s="249">
        <v>95636</v>
      </c>
      <c r="E991" s="249" t="str">
        <f>UPPER(IF($D991=0,"",IF($A991=4,_xlfn.XLOOKUP($D991,Mercado!$C:$C,Mercado!$E:$E),_xlfn.XLOOKUP($D991,Fontes!$B:$B,Fontes!$C:$C))))</f>
        <v>SINAPI</v>
      </c>
      <c r="F991" s="327" t="s">
        <v>339</v>
      </c>
      <c r="G991" s="249" t="str">
        <f>UPPER(IF($D991=0,"",IF($A991=4,_xlfn.XLOOKUP($D991,Mercado!$C:$C,Mercado!$G:$G),_xlfn.XLOOKUP($D991,Fontes!$B:$B,Fontes!$E:$E))))</f>
        <v>UN</v>
      </c>
      <c r="H991" s="252">
        <v>1</v>
      </c>
      <c r="I991" s="252">
        <f>IF($A991="M",_xlfn.XLOOKUP($D991,Mercado!$C:$C,Mercado!$I:$I),_xlfn.XLOOKUP($D991,Fontes!$B:$B,Fontes!$J:$J))</f>
        <v>262.89</v>
      </c>
      <c r="J991" s="252">
        <f>IF($A991="M",_xlfn.XLOOKUP($D991,Mercado!$C:$C,Mercado!$J:$J),_xlfn.XLOOKUP($D991,Fontes!$B:$B,Fontes!$H:$H))</f>
        <v>192.84</v>
      </c>
      <c r="K991" s="252">
        <f>IF($A991="M",0,_xlfn.XLOOKUP($D991,Fontes!$B:$B,Fontes!$I:$I))</f>
        <v>13.2</v>
      </c>
      <c r="L991" s="250">
        <f t="shared" si="101"/>
        <v>468.93</v>
      </c>
      <c r="M991" s="300">
        <f t="shared" si="100"/>
        <v>468.93</v>
      </c>
      <c r="O991" s="517">
        <f t="shared" si="98"/>
        <v>468.93</v>
      </c>
    </row>
    <row r="992" spans="1:15" ht="57.6" outlineLevel="4" x14ac:dyDescent="0.3">
      <c r="A992" s="35"/>
      <c r="B992" s="36"/>
      <c r="C992" s="495" t="s">
        <v>10627</v>
      </c>
      <c r="D992" s="249">
        <v>89987</v>
      </c>
      <c r="E992" s="249" t="str">
        <f>UPPER(IF($D992=0,"",IF($A992=4,_xlfn.XLOOKUP($D992,Mercado!$C:$C,Mercado!$E:$E),_xlfn.XLOOKUP($D992,Fontes!$B:$B,Fontes!$C:$C))))</f>
        <v>SINAPI</v>
      </c>
      <c r="F992" s="327" t="s">
        <v>353</v>
      </c>
      <c r="G992" s="249" t="str">
        <f>UPPER(IF($D992=0,"",IF($A992=4,_xlfn.XLOOKUP($D992,Mercado!$C:$C,Mercado!$G:$G),_xlfn.XLOOKUP($D992,Fontes!$B:$B,Fontes!$E:$E))))</f>
        <v>UN</v>
      </c>
      <c r="H992" s="252">
        <v>13</v>
      </c>
      <c r="I992" s="252">
        <f>IF($A992="M",_xlfn.XLOOKUP($D992,Mercado!$C:$C,Mercado!$I:$I),_xlfn.XLOOKUP($D992,Fontes!$B:$B,Fontes!$J:$J))</f>
        <v>66.66</v>
      </c>
      <c r="J992" s="252">
        <f>IF($A992="M",_xlfn.XLOOKUP($D992,Mercado!$C:$C,Mercado!$J:$J),_xlfn.XLOOKUP($D992,Fontes!$B:$B,Fontes!$H:$H))</f>
        <v>12.01</v>
      </c>
      <c r="K992" s="252">
        <f>IF($A992="M",0,_xlfn.XLOOKUP($D992,Fontes!$B:$B,Fontes!$I:$I))</f>
        <v>0.82</v>
      </c>
      <c r="L992" s="250">
        <f t="shared" si="101"/>
        <v>79.489999999999995</v>
      </c>
      <c r="M992" s="300">
        <f t="shared" si="100"/>
        <v>1033.3699999999999</v>
      </c>
      <c r="O992" s="517">
        <f t="shared" si="98"/>
        <v>1033.3699999999999</v>
      </c>
    </row>
    <row r="993" spans="1:15" ht="57.6" outlineLevel="4" x14ac:dyDescent="0.3">
      <c r="A993" s="35"/>
      <c r="B993" s="36"/>
      <c r="C993" s="495" t="s">
        <v>10628</v>
      </c>
      <c r="D993" s="249">
        <v>94792</v>
      </c>
      <c r="E993" s="249" t="str">
        <f>UPPER(IF($D993=0,"",IF($A993=4,_xlfn.XLOOKUP($D993,Mercado!$C:$C,Mercado!$E:$E),_xlfn.XLOOKUP($D993,Fontes!$B:$B,Fontes!$C:$C))))</f>
        <v>SINAPI</v>
      </c>
      <c r="F993" s="327" t="s">
        <v>356</v>
      </c>
      <c r="G993" s="249" t="str">
        <f>UPPER(IF($D993=0,"",IF($A993=4,_xlfn.XLOOKUP($D993,Mercado!$C:$C,Mercado!$G:$G),_xlfn.XLOOKUP($D993,Fontes!$B:$B,Fontes!$E:$E))))</f>
        <v>UN</v>
      </c>
      <c r="H993" s="252">
        <v>3</v>
      </c>
      <c r="I993" s="252">
        <f>IF($A993="M",_xlfn.XLOOKUP($D993,Mercado!$C:$C,Mercado!$I:$I),_xlfn.XLOOKUP($D993,Fontes!$B:$B,Fontes!$J:$J))</f>
        <v>81.42</v>
      </c>
      <c r="J993" s="252">
        <f>IF($A993="M",_xlfn.XLOOKUP($D993,Mercado!$C:$C,Mercado!$J:$J),_xlfn.XLOOKUP($D993,Fontes!$B:$B,Fontes!$H:$H))</f>
        <v>14.1</v>
      </c>
      <c r="K993" s="252">
        <f>IF($A993="M",0,_xlfn.XLOOKUP($D993,Fontes!$B:$B,Fontes!$I:$I))</f>
        <v>0.96</v>
      </c>
      <c r="L993" s="250">
        <f t="shared" si="101"/>
        <v>96.47999999999999</v>
      </c>
      <c r="M993" s="300">
        <f t="shared" si="100"/>
        <v>289.44</v>
      </c>
      <c r="O993" s="517">
        <f t="shared" si="98"/>
        <v>289.44</v>
      </c>
    </row>
    <row r="994" spans="1:15" ht="57.6" outlineLevel="4" x14ac:dyDescent="0.3">
      <c r="A994" s="35"/>
      <c r="B994" s="36"/>
      <c r="C994" s="495" t="s">
        <v>10629</v>
      </c>
      <c r="D994" s="249">
        <v>89985</v>
      </c>
      <c r="E994" s="249" t="str">
        <f>UPPER(IF($D994=0,"",IF($A994=4,_xlfn.XLOOKUP($D994,Mercado!$C:$C,Mercado!$E:$E),_xlfn.XLOOKUP($D994,Fontes!$B:$B,Fontes!$C:$C))))</f>
        <v>SINAPI</v>
      </c>
      <c r="F994" s="327" t="s">
        <v>352</v>
      </c>
      <c r="G994" s="249" t="str">
        <f>UPPER(IF($D994=0,"",IF($A994=4,_xlfn.XLOOKUP($D994,Mercado!$C:$C,Mercado!$G:$G),_xlfn.XLOOKUP($D994,Fontes!$B:$B,Fontes!$E:$E))))</f>
        <v>UN</v>
      </c>
      <c r="H994" s="252">
        <v>3</v>
      </c>
      <c r="I994" s="252">
        <f>IF($A994="M",_xlfn.XLOOKUP($D994,Mercado!$C:$C,Mercado!$I:$I),_xlfn.XLOOKUP($D994,Fontes!$B:$B,Fontes!$J:$J))</f>
        <v>63.08</v>
      </c>
      <c r="J994" s="252">
        <f>IF($A994="M",_xlfn.XLOOKUP($D994,Mercado!$C:$C,Mercado!$J:$J),_xlfn.XLOOKUP($D994,Fontes!$B:$B,Fontes!$H:$H))</f>
        <v>12.01</v>
      </c>
      <c r="K994" s="252">
        <f>IF($A994="M",0,_xlfn.XLOOKUP($D994,Fontes!$B:$B,Fontes!$I:$I))</f>
        <v>0.82</v>
      </c>
      <c r="L994" s="250">
        <f t="shared" si="101"/>
        <v>75.91</v>
      </c>
      <c r="M994" s="300">
        <f t="shared" si="100"/>
        <v>227.73</v>
      </c>
      <c r="O994" s="517">
        <f t="shared" ref="O994:O1057" si="102">IF(D994&lt;&gt;0,M994,"")</f>
        <v>227.73</v>
      </c>
    </row>
    <row r="995" spans="1:15" outlineLevel="4" x14ac:dyDescent="0.3">
      <c r="A995" s="35"/>
      <c r="B995" s="36"/>
      <c r="C995" s="495" t="s">
        <v>10630</v>
      </c>
      <c r="D995" s="249">
        <v>4281</v>
      </c>
      <c r="E995" s="249" t="str">
        <f>UPPER(IF($D995=0,"",IF($A995=4,_xlfn.XLOOKUP($D995,Mercado!$C:$C,Mercado!$E:$E),_xlfn.XLOOKUP($D995,Fontes!$B:$B,Fontes!$C:$C))))</f>
        <v>ORSE</v>
      </c>
      <c r="F995" s="327" t="s">
        <v>3670</v>
      </c>
      <c r="G995" s="249" t="str">
        <f>UPPER(IF($D995=0,"",IF($A995=4,_xlfn.XLOOKUP($D995,Mercado!$C:$C,Mercado!$G:$G),_xlfn.XLOOKUP($D995,Fontes!$B:$B,Fontes!$E:$E))))</f>
        <v>UN</v>
      </c>
      <c r="H995" s="252">
        <v>2</v>
      </c>
      <c r="I995" s="252">
        <f>IF($A995="M",_xlfn.XLOOKUP($D995,Mercado!$C:$C,Mercado!$I:$I),_xlfn.XLOOKUP($D995,Fontes!$B:$B,Fontes!$J:$J))</f>
        <v>100.12</v>
      </c>
      <c r="J995" s="252">
        <f>IF($A995="M",_xlfn.XLOOKUP($D995,Mercado!$C:$C,Mercado!$J:$J),_xlfn.XLOOKUP($D995,Fontes!$B:$B,Fontes!$H:$H))</f>
        <v>10.1</v>
      </c>
      <c r="K995" s="252">
        <f>IF($A995="M",0,_xlfn.XLOOKUP($D995,Fontes!$B:$B,Fontes!$I:$I))</f>
        <v>0</v>
      </c>
      <c r="L995" s="250">
        <f t="shared" si="101"/>
        <v>110.22</v>
      </c>
      <c r="M995" s="300">
        <f t="shared" si="100"/>
        <v>220.44</v>
      </c>
      <c r="O995" s="517">
        <f t="shared" si="102"/>
        <v>220.44</v>
      </c>
    </row>
    <row r="996" spans="1:15" ht="38.4" outlineLevel="4" x14ac:dyDescent="0.3">
      <c r="A996" s="35"/>
      <c r="B996" s="36"/>
      <c r="C996" s="495" t="s">
        <v>10631</v>
      </c>
      <c r="D996" s="249">
        <v>95249</v>
      </c>
      <c r="E996" s="249" t="str">
        <f>UPPER(IF($D996=0,"",IF($A996=4,_xlfn.XLOOKUP($D996,Mercado!$C:$C,Mercado!$E:$E),_xlfn.XLOOKUP($D996,Fontes!$B:$B,Fontes!$C:$C))))</f>
        <v>SINAPI</v>
      </c>
      <c r="F996" s="327" t="s">
        <v>357</v>
      </c>
      <c r="G996" s="249" t="str">
        <f>UPPER(IF($D996=0,"",IF($A996=4,_xlfn.XLOOKUP($D996,Mercado!$C:$C,Mercado!$G:$G),_xlfn.XLOOKUP($D996,Fontes!$B:$B,Fontes!$E:$E))))</f>
        <v>UN</v>
      </c>
      <c r="H996" s="252">
        <v>1</v>
      </c>
      <c r="I996" s="252">
        <f>IF($A996="M",_xlfn.XLOOKUP($D996,Mercado!$C:$C,Mercado!$I:$I),_xlfn.XLOOKUP($D996,Fontes!$B:$B,Fontes!$J:$J))</f>
        <v>44.27</v>
      </c>
      <c r="J996" s="252">
        <f>IF($A996="M",_xlfn.XLOOKUP($D996,Mercado!$C:$C,Mercado!$J:$J),_xlfn.XLOOKUP($D996,Fontes!$B:$B,Fontes!$H:$H))</f>
        <v>5.99</v>
      </c>
      <c r="K996" s="252">
        <f>IF($A996="M",0,_xlfn.XLOOKUP($D996,Fontes!$B:$B,Fontes!$I:$I))</f>
        <v>0.4</v>
      </c>
      <c r="L996" s="250">
        <f t="shared" si="101"/>
        <v>50.660000000000004</v>
      </c>
      <c r="M996" s="300">
        <f t="shared" ref="M996:M1024" si="103">ROUND(H996*L996,2)</f>
        <v>50.66</v>
      </c>
      <c r="O996" s="517">
        <f t="shared" si="102"/>
        <v>50.66</v>
      </c>
    </row>
    <row r="997" spans="1:15" ht="38.4" outlineLevel="4" x14ac:dyDescent="0.3">
      <c r="A997" s="35"/>
      <c r="B997" s="36"/>
      <c r="C997" s="495" t="s">
        <v>10632</v>
      </c>
      <c r="D997" s="249">
        <v>95250</v>
      </c>
      <c r="E997" s="249" t="str">
        <f>UPPER(IF($D997=0,"",IF($A997=4,_xlfn.XLOOKUP($D997,Mercado!$C:$C,Mercado!$E:$E),_xlfn.XLOOKUP($D997,Fontes!$B:$B,Fontes!$C:$C))))</f>
        <v>SINAPI</v>
      </c>
      <c r="F997" s="327" t="s">
        <v>358</v>
      </c>
      <c r="G997" s="249" t="str">
        <f>UPPER(IF($D997=0,"",IF($A997=4,_xlfn.XLOOKUP($D997,Mercado!$C:$C,Mercado!$G:$G),_xlfn.XLOOKUP($D997,Fontes!$B:$B,Fontes!$E:$E))))</f>
        <v>UN</v>
      </c>
      <c r="H997" s="252">
        <v>4</v>
      </c>
      <c r="I997" s="252">
        <f>IF($A997="M",_xlfn.XLOOKUP($D997,Mercado!$C:$C,Mercado!$I:$I),_xlfn.XLOOKUP($D997,Fontes!$B:$B,Fontes!$J:$J))</f>
        <v>59.74</v>
      </c>
      <c r="J997" s="252">
        <f>IF($A997="M",_xlfn.XLOOKUP($D997,Mercado!$C:$C,Mercado!$J:$J),_xlfn.XLOOKUP($D997,Fontes!$B:$B,Fontes!$H:$H))</f>
        <v>8.06</v>
      </c>
      <c r="K997" s="252">
        <f>IF($A997="M",0,_xlfn.XLOOKUP($D997,Fontes!$B:$B,Fontes!$I:$I))</f>
        <v>0.56000000000000005</v>
      </c>
      <c r="L997" s="250">
        <f t="shared" si="101"/>
        <v>68.36</v>
      </c>
      <c r="M997" s="300">
        <f t="shared" si="103"/>
        <v>273.44</v>
      </c>
      <c r="O997" s="517">
        <f t="shared" si="102"/>
        <v>273.44</v>
      </c>
    </row>
    <row r="998" spans="1:15" ht="38.4" outlineLevel="4" x14ac:dyDescent="0.3">
      <c r="A998" s="35"/>
      <c r="B998" s="36"/>
      <c r="C998" s="495" t="s">
        <v>10633</v>
      </c>
      <c r="D998" s="249">
        <v>95251</v>
      </c>
      <c r="E998" s="249" t="str">
        <f>UPPER(IF($D998=0,"",IF($A998=4,_xlfn.XLOOKUP($D998,Mercado!$C:$C,Mercado!$E:$E),_xlfn.XLOOKUP($D998,Fontes!$B:$B,Fontes!$C:$C))))</f>
        <v>SINAPI</v>
      </c>
      <c r="F998" s="327" t="s">
        <v>359</v>
      </c>
      <c r="G998" s="249" t="str">
        <f>UPPER(IF($D998=0,"",IF($A998=4,_xlfn.XLOOKUP($D998,Mercado!$C:$C,Mercado!$G:$G),_xlfn.XLOOKUP($D998,Fontes!$B:$B,Fontes!$E:$E))))</f>
        <v>UN</v>
      </c>
      <c r="H998" s="252">
        <v>7</v>
      </c>
      <c r="I998" s="252">
        <f>IF($A998="M",_xlfn.XLOOKUP($D998,Mercado!$C:$C,Mercado!$I:$I),_xlfn.XLOOKUP($D998,Fontes!$B:$B,Fontes!$J:$J))</f>
        <v>88.68</v>
      </c>
      <c r="J998" s="252">
        <f>IF($A998="M",_xlfn.XLOOKUP($D998,Mercado!$C:$C,Mercado!$J:$J),_xlfn.XLOOKUP($D998,Fontes!$B:$B,Fontes!$H:$H))</f>
        <v>10.98</v>
      </c>
      <c r="K998" s="252">
        <f>IF($A998="M",0,_xlfn.XLOOKUP($D998,Fontes!$B:$B,Fontes!$I:$I))</f>
        <v>0.76</v>
      </c>
      <c r="L998" s="250">
        <f t="shared" si="101"/>
        <v>100.42000000000002</v>
      </c>
      <c r="M998" s="300">
        <f t="shared" si="103"/>
        <v>702.94</v>
      </c>
      <c r="O998" s="517">
        <f t="shared" si="102"/>
        <v>702.94</v>
      </c>
    </row>
    <row r="999" spans="1:15" ht="38.4" outlineLevel="4" x14ac:dyDescent="0.3">
      <c r="A999" s="35"/>
      <c r="B999" s="36"/>
      <c r="C999" s="495" t="s">
        <v>10634</v>
      </c>
      <c r="D999" s="249">
        <v>95252</v>
      </c>
      <c r="E999" s="249" t="str">
        <f>UPPER(IF($D999=0,"",IF($A999=4,_xlfn.XLOOKUP($D999,Mercado!$C:$C,Mercado!$E:$E),_xlfn.XLOOKUP($D999,Fontes!$B:$B,Fontes!$C:$C))))</f>
        <v>SINAPI</v>
      </c>
      <c r="F999" s="327" t="s">
        <v>360</v>
      </c>
      <c r="G999" s="249" t="str">
        <f>UPPER(IF($D999=0,"",IF($A999=4,_xlfn.XLOOKUP($D999,Mercado!$C:$C,Mercado!$G:$G),_xlfn.XLOOKUP($D999,Fontes!$B:$B,Fontes!$E:$E))))</f>
        <v>UN</v>
      </c>
      <c r="H999" s="252">
        <v>7</v>
      </c>
      <c r="I999" s="252">
        <f>IF($A999="M",_xlfn.XLOOKUP($D999,Mercado!$C:$C,Mercado!$I:$I),_xlfn.XLOOKUP($D999,Fontes!$B:$B,Fontes!$J:$J))</f>
        <v>107.16</v>
      </c>
      <c r="J999" s="252">
        <f>IF($A999="M",_xlfn.XLOOKUP($D999,Mercado!$C:$C,Mercado!$J:$J),_xlfn.XLOOKUP($D999,Fontes!$B:$B,Fontes!$H:$H))</f>
        <v>14.3</v>
      </c>
      <c r="K999" s="252">
        <f>IF($A999="M",0,_xlfn.XLOOKUP($D999,Fontes!$B:$B,Fontes!$I:$I))</f>
        <v>0.98</v>
      </c>
      <c r="L999" s="250">
        <f t="shared" si="101"/>
        <v>122.44</v>
      </c>
      <c r="M999" s="300">
        <f t="shared" si="103"/>
        <v>857.08</v>
      </c>
      <c r="O999" s="517">
        <f t="shared" si="102"/>
        <v>857.08</v>
      </c>
    </row>
    <row r="1000" spans="1:15" ht="38.4" outlineLevel="4" x14ac:dyDescent="0.3">
      <c r="A1000" s="35"/>
      <c r="B1000" s="36"/>
      <c r="C1000" s="495" t="s">
        <v>10635</v>
      </c>
      <c r="D1000" s="249">
        <v>95253</v>
      </c>
      <c r="E1000" s="249" t="str">
        <f>UPPER(IF($D1000=0,"",IF($A1000=4,_xlfn.XLOOKUP($D1000,Mercado!$C:$C,Mercado!$E:$E),_xlfn.XLOOKUP($D1000,Fontes!$B:$B,Fontes!$C:$C))))</f>
        <v>SINAPI</v>
      </c>
      <c r="F1000" s="327" t="s">
        <v>361</v>
      </c>
      <c r="G1000" s="249" t="str">
        <f>UPPER(IF($D1000=0,"",IF($A1000=4,_xlfn.XLOOKUP($D1000,Mercado!$C:$C,Mercado!$G:$G),_xlfn.XLOOKUP($D1000,Fontes!$B:$B,Fontes!$E:$E))))</f>
        <v>UN</v>
      </c>
      <c r="H1000" s="252">
        <v>2</v>
      </c>
      <c r="I1000" s="252">
        <f>IF($A1000="M",_xlfn.XLOOKUP($D1000,Mercado!$C:$C,Mercado!$I:$I),_xlfn.XLOOKUP($D1000,Fontes!$B:$B,Fontes!$J:$J))</f>
        <v>164.13</v>
      </c>
      <c r="J1000" s="252">
        <f>IF($A1000="M",_xlfn.XLOOKUP($D1000,Mercado!$C:$C,Mercado!$J:$J),_xlfn.XLOOKUP($D1000,Fontes!$B:$B,Fontes!$H:$H))</f>
        <v>18.45</v>
      </c>
      <c r="K1000" s="252">
        <f>IF($A1000="M",0,_xlfn.XLOOKUP($D1000,Fontes!$B:$B,Fontes!$I:$I))</f>
        <v>1.26</v>
      </c>
      <c r="L1000" s="250">
        <f t="shared" si="101"/>
        <v>183.83999999999997</v>
      </c>
      <c r="M1000" s="300">
        <f t="shared" si="103"/>
        <v>367.68</v>
      </c>
      <c r="O1000" s="517">
        <f t="shared" si="102"/>
        <v>367.68</v>
      </c>
    </row>
    <row r="1001" spans="1:15" ht="76.8" outlineLevel="4" x14ac:dyDescent="0.3">
      <c r="A1001" s="35"/>
      <c r="B1001" s="36"/>
      <c r="C1001" s="495" t="s">
        <v>10636</v>
      </c>
      <c r="D1001" s="249">
        <v>607</v>
      </c>
      <c r="E1001" s="249" t="str">
        <f>UPPER(IF($D1001=0,"",IF($A1001=4,_xlfn.XLOOKUP($D1001,Mercado!$C:$C,Mercado!$E:$E),_xlfn.XLOOKUP($D1001,Fontes!$B:$B,Fontes!$C:$C))))</f>
        <v>PRÓPRIO</v>
      </c>
      <c r="F1001" s="327" t="s">
        <v>1964</v>
      </c>
      <c r="G1001" s="249" t="str">
        <f>UPPER(IF($D1001=0,"",IF($A1001=4,_xlfn.XLOOKUP($D1001,Mercado!$C:$C,Mercado!$G:$G),_xlfn.XLOOKUP($D1001,Fontes!$B:$B,Fontes!$E:$E))))</f>
        <v>UN</v>
      </c>
      <c r="H1001" s="252">
        <v>2</v>
      </c>
      <c r="I1001" s="252">
        <f>IF($A1001="M",_xlfn.XLOOKUP($D1001,Mercado!$C:$C,Mercado!$I:$I),_xlfn.XLOOKUP($D1001,Fontes!$B:$B,Fontes!$J:$J))</f>
        <v>809.09</v>
      </c>
      <c r="J1001" s="252">
        <f>IF($A1001="M",_xlfn.XLOOKUP($D1001,Mercado!$C:$C,Mercado!$J:$J),_xlfn.XLOOKUP($D1001,Fontes!$B:$B,Fontes!$H:$H))</f>
        <v>44.42</v>
      </c>
      <c r="K1001" s="252">
        <f>IF($A1001="M",0,_xlfn.XLOOKUP($D1001,Fontes!$B:$B,Fontes!$I:$I))</f>
        <v>3.04</v>
      </c>
      <c r="L1001" s="250">
        <f t="shared" si="101"/>
        <v>856.55</v>
      </c>
      <c r="M1001" s="300">
        <f t="shared" si="103"/>
        <v>1713.1</v>
      </c>
      <c r="O1001" s="517">
        <f t="shared" si="102"/>
        <v>1713.1</v>
      </c>
    </row>
    <row r="1002" spans="1:15" ht="38.4" outlineLevel="4" x14ac:dyDescent="0.3">
      <c r="A1002" s="35"/>
      <c r="B1002" s="36"/>
      <c r="C1002" s="495" t="s">
        <v>10637</v>
      </c>
      <c r="D1002" s="249">
        <v>99622</v>
      </c>
      <c r="E1002" s="249" t="str">
        <f>UPPER(IF($D1002=0,"",IF($A1002=4,_xlfn.XLOOKUP($D1002,Mercado!$C:$C,Mercado!$E:$E),_xlfn.XLOOKUP($D1002,Fontes!$B:$B,Fontes!$C:$C))))</f>
        <v>SINAPI</v>
      </c>
      <c r="F1002" s="327" t="s">
        <v>362</v>
      </c>
      <c r="G1002" s="452" t="str">
        <f>UPPER(IF($D1002=0,"",IF($A1002=4,_xlfn.XLOOKUP($D1002,Mercado!$C:$C,Mercado!$G:$G),_xlfn.XLOOKUP($D1002,Fontes!$B:$B,Fontes!$E:$E))))</f>
        <v>UN</v>
      </c>
      <c r="H1002" s="252">
        <v>2</v>
      </c>
      <c r="I1002" s="252">
        <f>IF($A1002="M",_xlfn.XLOOKUP($D1002,Mercado!$C:$C,Mercado!$I:$I),_xlfn.XLOOKUP($D1002,Fontes!$B:$B,Fontes!$J:$J))</f>
        <v>399.48</v>
      </c>
      <c r="J1002" s="252">
        <f>IF($A1002="M",_xlfn.XLOOKUP($D1002,Mercado!$C:$C,Mercado!$J:$J),_xlfn.XLOOKUP($D1002,Fontes!$B:$B,Fontes!$H:$H))</f>
        <v>14.3</v>
      </c>
      <c r="K1002" s="252">
        <f>IF($A1002="M",0,_xlfn.XLOOKUP($D1002,Fontes!$B:$B,Fontes!$I:$I))</f>
        <v>0.98</v>
      </c>
      <c r="L1002" s="250">
        <f t="shared" si="101"/>
        <v>414.76000000000005</v>
      </c>
      <c r="M1002" s="300">
        <f t="shared" si="103"/>
        <v>829.52</v>
      </c>
      <c r="O1002" s="517">
        <f t="shared" si="102"/>
        <v>829.52</v>
      </c>
    </row>
    <row r="1003" spans="1:15" ht="38.4" outlineLevel="4" x14ac:dyDescent="0.3">
      <c r="A1003" s="35"/>
      <c r="B1003" s="36"/>
      <c r="C1003" s="495" t="s">
        <v>10638</v>
      </c>
      <c r="D1003" s="249">
        <v>103012</v>
      </c>
      <c r="E1003" s="249" t="str">
        <f>UPPER(IF($D1003=0,"",IF($A1003=4,_xlfn.XLOOKUP($D1003,Mercado!$C:$C,Mercado!$E:$E),_xlfn.XLOOKUP($D1003,Fontes!$B:$B,Fontes!$C:$C))))</f>
        <v>SINAPI</v>
      </c>
      <c r="F1003" s="327" t="s">
        <v>365</v>
      </c>
      <c r="G1003" s="249" t="str">
        <f>UPPER(IF($D1003=0,"",IF($A1003=4,_xlfn.XLOOKUP($D1003,Mercado!$C:$C,Mercado!$G:$G),_xlfn.XLOOKUP($D1003,Fontes!$B:$B,Fontes!$E:$E))))</f>
        <v>UN</v>
      </c>
      <c r="H1003" s="252">
        <v>2</v>
      </c>
      <c r="I1003" s="252">
        <f>IF($A1003="M",_xlfn.XLOOKUP($D1003,Mercado!$C:$C,Mercado!$I:$I),_xlfn.XLOOKUP($D1003,Fontes!$B:$B,Fontes!$J:$J))</f>
        <v>192.51</v>
      </c>
      <c r="J1003" s="252">
        <f>IF($A1003="M",_xlfn.XLOOKUP($D1003,Mercado!$C:$C,Mercado!$J:$J),_xlfn.XLOOKUP($D1003,Fontes!$B:$B,Fontes!$H:$H))</f>
        <v>5.49</v>
      </c>
      <c r="K1003" s="252">
        <f>IF($A1003="M",0,_xlfn.XLOOKUP($D1003,Fontes!$B:$B,Fontes!$I:$I))</f>
        <v>0.38</v>
      </c>
      <c r="L1003" s="250">
        <f t="shared" si="101"/>
        <v>198.38</v>
      </c>
      <c r="M1003" s="300">
        <f t="shared" si="103"/>
        <v>396.76</v>
      </c>
      <c r="O1003" s="517">
        <f t="shared" si="102"/>
        <v>396.76</v>
      </c>
    </row>
    <row r="1004" spans="1:15" outlineLevel="4" x14ac:dyDescent="0.3">
      <c r="A1004" s="36" t="s">
        <v>7</v>
      </c>
      <c r="B1004" s="36"/>
      <c r="C1004" s="495" t="s">
        <v>781</v>
      </c>
      <c r="D1004" s="249"/>
      <c r="E1004" s="249" t="str">
        <f>UPPER(IF($D1004=0,"",IF($A1004=4,_xlfn.XLOOKUP($D1004,Mercado!$C:$C,Mercado!$E:$E),_xlfn.XLOOKUP($D1004,Fontes!$B:$B,Fontes!$C:$C))))</f>
        <v/>
      </c>
      <c r="F1004" s="327" t="s">
        <v>781</v>
      </c>
      <c r="G1004" s="249"/>
      <c r="H1004" s="252"/>
      <c r="I1004" s="252">
        <f>IF($A1004="M",_xlfn.XLOOKUP($D1004,Mercado!$C:$C,Mercado!$I:$I),_xlfn.XLOOKUP($D1004,Fontes!$B:$B,Fontes!$J:$J))</f>
        <v>0</v>
      </c>
      <c r="J1004" s="252">
        <f>IF($A1004="M",_xlfn.XLOOKUP($D1004,Mercado!$C:$C,Mercado!$J:$J),_xlfn.XLOOKUP($D1004,Fontes!$B:$B,Fontes!$H:$H))</f>
        <v>0</v>
      </c>
      <c r="K1004" s="252">
        <f>IF($A1004="M",0,_xlfn.XLOOKUP($D1004,Fontes!$B:$B,Fontes!$I:$I))</f>
        <v>0</v>
      </c>
      <c r="L1004" s="250">
        <f t="shared" si="101"/>
        <v>0</v>
      </c>
      <c r="M1004" s="300">
        <f t="shared" si="103"/>
        <v>0</v>
      </c>
      <c r="O1004" s="517" t="str">
        <f t="shared" si="102"/>
        <v/>
      </c>
    </row>
    <row r="1005" spans="1:15" ht="20.399999999999999" outlineLevel="3" x14ac:dyDescent="0.3">
      <c r="A1005" s="36" t="s">
        <v>7</v>
      </c>
      <c r="B1005" s="36"/>
      <c r="C1005" s="499" t="s">
        <v>10639</v>
      </c>
      <c r="D1005" s="249"/>
      <c r="E1005" s="249" t="str">
        <f>UPPER(IF($D1005=0,"",IF($A1005=4,_xlfn.XLOOKUP($D1005,Mercado!$C:$C,Mercado!$E:$E),_xlfn.XLOOKUP($D1005,Fontes!$B:$B,Fontes!$C:$C))))</f>
        <v/>
      </c>
      <c r="F1005" s="493" t="s">
        <v>299</v>
      </c>
      <c r="G1005" s="249"/>
      <c r="H1005" s="252"/>
      <c r="I1005" s="252">
        <f>IF($A1005="M",_xlfn.XLOOKUP($D1005,Mercado!$C:$C,Mercado!$I:$I),_xlfn.XLOOKUP($D1005,Fontes!$B:$B,Fontes!$J:$J))</f>
        <v>0</v>
      </c>
      <c r="J1005" s="252">
        <f>IF($A1005="M",_xlfn.XLOOKUP($D1005,Mercado!$C:$C,Mercado!$J:$J),_xlfn.XLOOKUP($D1005,Fontes!$B:$B,Fontes!$H:$H))</f>
        <v>0</v>
      </c>
      <c r="K1005" s="252">
        <f>IF($A1005="M",0,_xlfn.XLOOKUP($D1005,Fontes!$B:$B,Fontes!$I:$I))</f>
        <v>0</v>
      </c>
      <c r="L1005" s="252">
        <f t="shared" si="101"/>
        <v>0</v>
      </c>
      <c r="M1005" s="509">
        <f t="shared" si="103"/>
        <v>0</v>
      </c>
      <c r="O1005" s="517" t="str">
        <f t="shared" si="102"/>
        <v/>
      </c>
    </row>
    <row r="1006" spans="1:15" outlineLevel="4" x14ac:dyDescent="0.3">
      <c r="A1006" s="35"/>
      <c r="B1006" s="36"/>
      <c r="C1006" s="495" t="s">
        <v>10640</v>
      </c>
      <c r="D1006" s="249" t="s">
        <v>1922</v>
      </c>
      <c r="E1006" s="249" t="str">
        <f>UPPER(IF($D1006=0,"",IF($A1006=4,_xlfn.XLOOKUP($D1006,Mercado!$C:$C,Mercado!$E:$E),_xlfn.XLOOKUP($D1006,Fontes!$B:$B,Fontes!$C:$C))))</f>
        <v>SETOP</v>
      </c>
      <c r="F1006" s="328" t="s">
        <v>3671</v>
      </c>
      <c r="G1006" s="452" t="str">
        <f>UPPER(IF($D1006=0,"",IF($A1006=4,_xlfn.XLOOKUP($D1006,Mercado!$C:$C,Mercado!$G:$G),_xlfn.XLOOKUP($D1006,Fontes!$B:$B,Fontes!$E:$E))))</f>
        <v>UN</v>
      </c>
      <c r="H1006" s="252">
        <v>4</v>
      </c>
      <c r="I1006" s="252">
        <f>IF($A1006="M",_xlfn.XLOOKUP($D1006,Mercado!$C:$C,Mercado!$I:$I),_xlfn.XLOOKUP($D1006,Fontes!$B:$B,Fontes!$J:$J))</f>
        <v>43.94</v>
      </c>
      <c r="J1006" s="252">
        <f>IF($A1006="M",_xlfn.XLOOKUP($D1006,Mercado!$C:$C,Mercado!$J:$J),_xlfn.XLOOKUP($D1006,Fontes!$B:$B,Fontes!$H:$H))</f>
        <v>11.85</v>
      </c>
      <c r="K1006" s="252">
        <f>IF($A1006="M",0,_xlfn.XLOOKUP($D1006,Fontes!$B:$B,Fontes!$I:$I))</f>
        <v>0</v>
      </c>
      <c r="L1006" s="250">
        <f t="shared" si="101"/>
        <v>55.79</v>
      </c>
      <c r="M1006" s="300">
        <f t="shared" si="103"/>
        <v>223.16</v>
      </c>
      <c r="O1006" s="517">
        <f t="shared" si="102"/>
        <v>223.16</v>
      </c>
    </row>
    <row r="1007" spans="1:15" outlineLevel="4" x14ac:dyDescent="0.3">
      <c r="A1007" s="35"/>
      <c r="B1007" s="36"/>
      <c r="C1007" s="495" t="s">
        <v>10641</v>
      </c>
      <c r="D1007" s="249" t="s">
        <v>1922</v>
      </c>
      <c r="E1007" s="249" t="str">
        <f>UPPER(IF($D1007=0,"",IF($A1007=4,_xlfn.XLOOKUP($D1007,Mercado!$C:$C,Mercado!$E:$E),_xlfn.XLOOKUP($D1007,Fontes!$B:$B,Fontes!$C:$C))))</f>
        <v>SETOP</v>
      </c>
      <c r="F1007" s="328" t="s">
        <v>3672</v>
      </c>
      <c r="G1007" s="452" t="str">
        <f>UPPER(IF($D1007=0,"",IF($A1007=4,_xlfn.XLOOKUP($D1007,Mercado!$C:$C,Mercado!$G:$G),_xlfn.XLOOKUP($D1007,Fontes!$B:$B,Fontes!$E:$E))))</f>
        <v>UN</v>
      </c>
      <c r="H1007" s="252">
        <v>7</v>
      </c>
      <c r="I1007" s="252">
        <f>IF($A1007="M",_xlfn.XLOOKUP($D1007,Mercado!$C:$C,Mercado!$I:$I),_xlfn.XLOOKUP($D1007,Fontes!$B:$B,Fontes!$J:$J))</f>
        <v>43.94</v>
      </c>
      <c r="J1007" s="252">
        <f>IF($A1007="M",_xlfn.XLOOKUP($D1007,Mercado!$C:$C,Mercado!$J:$J),_xlfn.XLOOKUP($D1007,Fontes!$B:$B,Fontes!$H:$H))</f>
        <v>11.85</v>
      </c>
      <c r="K1007" s="252">
        <f>IF($A1007="M",0,_xlfn.XLOOKUP($D1007,Fontes!$B:$B,Fontes!$I:$I))</f>
        <v>0</v>
      </c>
      <c r="L1007" s="250">
        <f t="shared" si="101"/>
        <v>55.79</v>
      </c>
      <c r="M1007" s="300">
        <f t="shared" si="103"/>
        <v>390.53</v>
      </c>
      <c r="O1007" s="517">
        <f t="shared" si="102"/>
        <v>390.53</v>
      </c>
    </row>
    <row r="1008" spans="1:15" outlineLevel="4" x14ac:dyDescent="0.3">
      <c r="A1008" s="35"/>
      <c r="B1008" s="36"/>
      <c r="C1008" s="495" t="s">
        <v>10642</v>
      </c>
      <c r="D1008" s="249" t="s">
        <v>1922</v>
      </c>
      <c r="E1008" s="249" t="str">
        <f>UPPER(IF($D1008=0,"",IF($A1008=4,_xlfn.XLOOKUP($D1008,Mercado!$C:$C,Mercado!$E:$E),_xlfn.XLOOKUP($D1008,Fontes!$B:$B,Fontes!$C:$C))))</f>
        <v>SETOP</v>
      </c>
      <c r="F1008" s="328" t="s">
        <v>3673</v>
      </c>
      <c r="G1008" s="452" t="str">
        <f>UPPER(IF($D1008=0,"",IF($A1008=4,_xlfn.XLOOKUP($D1008,Mercado!$C:$C,Mercado!$G:$G),_xlfn.XLOOKUP($D1008,Fontes!$B:$B,Fontes!$E:$E))))</f>
        <v>UN</v>
      </c>
      <c r="H1008" s="252">
        <v>1</v>
      </c>
      <c r="I1008" s="252">
        <f>IF($A1008="M",_xlfn.XLOOKUP($D1008,Mercado!$C:$C,Mercado!$I:$I),_xlfn.XLOOKUP($D1008,Fontes!$B:$B,Fontes!$J:$J))</f>
        <v>43.94</v>
      </c>
      <c r="J1008" s="252">
        <f>IF($A1008="M",_xlfn.XLOOKUP($D1008,Mercado!$C:$C,Mercado!$J:$J),_xlfn.XLOOKUP($D1008,Fontes!$B:$B,Fontes!$H:$H))</f>
        <v>11.85</v>
      </c>
      <c r="K1008" s="252">
        <f>IF($A1008="M",0,_xlfn.XLOOKUP($D1008,Fontes!$B:$B,Fontes!$I:$I))</f>
        <v>0</v>
      </c>
      <c r="L1008" s="250">
        <f t="shared" si="101"/>
        <v>55.79</v>
      </c>
      <c r="M1008" s="300">
        <f t="shared" si="103"/>
        <v>55.79</v>
      </c>
      <c r="O1008" s="517">
        <f t="shared" si="102"/>
        <v>55.79</v>
      </c>
    </row>
    <row r="1009" spans="1:15" outlineLevel="4" x14ac:dyDescent="0.3">
      <c r="A1009" s="35"/>
      <c r="B1009" s="36"/>
      <c r="C1009" s="495" t="s">
        <v>10643</v>
      </c>
      <c r="D1009" s="249" t="s">
        <v>1922</v>
      </c>
      <c r="E1009" s="249" t="str">
        <f>UPPER(IF($D1009=0,"",IF($A1009=4,_xlfn.XLOOKUP($D1009,Mercado!$C:$C,Mercado!$E:$E),_xlfn.XLOOKUP($D1009,Fontes!$B:$B,Fontes!$C:$C))))</f>
        <v>SETOP</v>
      </c>
      <c r="F1009" s="328" t="s">
        <v>3674</v>
      </c>
      <c r="G1009" s="452" t="str">
        <f>UPPER(IF($D1009=0,"",IF($A1009=4,_xlfn.XLOOKUP($D1009,Mercado!$C:$C,Mercado!$G:$G),_xlfn.XLOOKUP($D1009,Fontes!$B:$B,Fontes!$E:$E))))</f>
        <v>UN</v>
      </c>
      <c r="H1009" s="252">
        <v>4</v>
      </c>
      <c r="I1009" s="252">
        <f>IF($A1009="M",_xlfn.XLOOKUP($D1009,Mercado!$C:$C,Mercado!$I:$I),_xlfn.XLOOKUP($D1009,Fontes!$B:$B,Fontes!$J:$J))</f>
        <v>43.94</v>
      </c>
      <c r="J1009" s="252">
        <f>IF($A1009="M",_xlfn.XLOOKUP($D1009,Mercado!$C:$C,Mercado!$J:$J),_xlfn.XLOOKUP($D1009,Fontes!$B:$B,Fontes!$H:$H))</f>
        <v>11.85</v>
      </c>
      <c r="K1009" s="252">
        <f>IF($A1009="M",0,_xlfn.XLOOKUP($D1009,Fontes!$B:$B,Fontes!$I:$I))</f>
        <v>0</v>
      </c>
      <c r="L1009" s="250">
        <f t="shared" si="101"/>
        <v>55.79</v>
      </c>
      <c r="M1009" s="300">
        <f t="shared" si="103"/>
        <v>223.16</v>
      </c>
      <c r="O1009" s="517">
        <f t="shared" si="102"/>
        <v>223.16</v>
      </c>
    </row>
    <row r="1010" spans="1:15" outlineLevel="4" x14ac:dyDescent="0.3">
      <c r="A1010" s="35"/>
      <c r="B1010" s="36"/>
      <c r="C1010" s="495" t="s">
        <v>10644</v>
      </c>
      <c r="D1010" s="249" t="s">
        <v>1922</v>
      </c>
      <c r="E1010" s="249" t="str">
        <f>UPPER(IF($D1010=0,"",IF($A1010=4,_xlfn.XLOOKUP($D1010,Mercado!$C:$C,Mercado!$E:$E),_xlfn.XLOOKUP($D1010,Fontes!$B:$B,Fontes!$C:$C))))</f>
        <v>SETOP</v>
      </c>
      <c r="F1010" s="328" t="s">
        <v>3675</v>
      </c>
      <c r="G1010" s="452" t="str">
        <f>UPPER(IF($D1010=0,"",IF($A1010=4,_xlfn.XLOOKUP($D1010,Mercado!$C:$C,Mercado!$G:$G),_xlfn.XLOOKUP($D1010,Fontes!$B:$B,Fontes!$E:$E))))</f>
        <v>UN</v>
      </c>
      <c r="H1010" s="252">
        <v>1</v>
      </c>
      <c r="I1010" s="252">
        <f>IF($A1010="M",_xlfn.XLOOKUP($D1010,Mercado!$C:$C,Mercado!$I:$I),_xlfn.XLOOKUP($D1010,Fontes!$B:$B,Fontes!$J:$J))</f>
        <v>43.94</v>
      </c>
      <c r="J1010" s="252">
        <f>IF($A1010="M",_xlfn.XLOOKUP($D1010,Mercado!$C:$C,Mercado!$J:$J),_xlfn.XLOOKUP($D1010,Fontes!$B:$B,Fontes!$H:$H))</f>
        <v>11.85</v>
      </c>
      <c r="K1010" s="252">
        <f>IF($A1010="M",0,_xlfn.XLOOKUP($D1010,Fontes!$B:$B,Fontes!$I:$I))</f>
        <v>0</v>
      </c>
      <c r="L1010" s="250">
        <f t="shared" si="101"/>
        <v>55.79</v>
      </c>
      <c r="M1010" s="300">
        <f t="shared" si="103"/>
        <v>55.79</v>
      </c>
      <c r="O1010" s="517">
        <f t="shared" si="102"/>
        <v>55.79</v>
      </c>
    </row>
    <row r="1011" spans="1:15" ht="38.4" outlineLevel="4" x14ac:dyDescent="0.3">
      <c r="A1011" s="35"/>
      <c r="B1011" s="36"/>
      <c r="C1011" s="495" t="s">
        <v>10645</v>
      </c>
      <c r="D1011" s="249">
        <v>3682</v>
      </c>
      <c r="E1011" s="249" t="str">
        <f>UPPER(IF($D1011=0,"",IF($A1011=4,_xlfn.XLOOKUP($D1011,Mercado!$C:$C,Mercado!$E:$E),_xlfn.XLOOKUP($D1011,Fontes!$B:$B,Fontes!$C:$C))))</f>
        <v>ORSE</v>
      </c>
      <c r="F1011" s="327" t="s">
        <v>3676</v>
      </c>
      <c r="G1011" s="452" t="str">
        <f>UPPER(IF($D1011=0,"",IF($A1011=4,_xlfn.XLOOKUP($D1011,Mercado!$C:$C,Mercado!$G:$G),_xlfn.XLOOKUP($D1011,Fontes!$B:$B,Fontes!$E:$E))))</f>
        <v>UN</v>
      </c>
      <c r="H1011" s="252">
        <v>1</v>
      </c>
      <c r="I1011" s="252">
        <f>IF($A1011="M",_xlfn.XLOOKUP($D1011,Mercado!$C:$C,Mercado!$I:$I),_xlfn.XLOOKUP($D1011,Fontes!$B:$B,Fontes!$J:$J))</f>
        <v>64.45</v>
      </c>
      <c r="J1011" s="252">
        <f>IF($A1011="M",_xlfn.XLOOKUP($D1011,Mercado!$C:$C,Mercado!$J:$J),_xlfn.XLOOKUP($D1011,Fontes!$B:$B,Fontes!$H:$H))</f>
        <v>18.03</v>
      </c>
      <c r="K1011" s="252">
        <f>IF($A1011="M",0,_xlfn.XLOOKUP($D1011,Fontes!$B:$B,Fontes!$I:$I))</f>
        <v>0</v>
      </c>
      <c r="L1011" s="250">
        <f t="shared" si="101"/>
        <v>82.48</v>
      </c>
      <c r="M1011" s="300">
        <f t="shared" si="103"/>
        <v>82.48</v>
      </c>
      <c r="O1011" s="517">
        <f t="shared" si="102"/>
        <v>82.48</v>
      </c>
    </row>
    <row r="1012" spans="1:15" outlineLevel="4" x14ac:dyDescent="0.3">
      <c r="A1012" s="35"/>
      <c r="B1012" s="36"/>
      <c r="C1012" s="495" t="s">
        <v>10646</v>
      </c>
      <c r="D1012" s="249">
        <v>610</v>
      </c>
      <c r="E1012" s="249" t="str">
        <f>UPPER(IF($D1012=0,"",IF($A1012=4,_xlfn.XLOOKUP($D1012,Mercado!$C:$C,Mercado!$E:$E),_xlfn.XLOOKUP($D1012,Fontes!$B:$B,Fontes!$C:$C))))</f>
        <v>PRÓPRIO</v>
      </c>
      <c r="F1012" s="327" t="s">
        <v>3677</v>
      </c>
      <c r="G1012" s="452" t="str">
        <f>UPPER(IF($D1012=0,"",IF($A1012=4,_xlfn.XLOOKUP($D1012,Mercado!$C:$C,Mercado!$G:$G),_xlfn.XLOOKUP($D1012,Fontes!$B:$B,Fontes!$E:$E))))</f>
        <v>UN</v>
      </c>
      <c r="H1012" s="252">
        <v>7</v>
      </c>
      <c r="I1012" s="252">
        <f>IF($A1012="M",_xlfn.XLOOKUP($D1012,Mercado!$C:$C,Mercado!$I:$I),_xlfn.XLOOKUP($D1012,Fontes!$B:$B,Fontes!$J:$J))</f>
        <v>46.76</v>
      </c>
      <c r="J1012" s="252">
        <f>IF($A1012="M",_xlfn.XLOOKUP($D1012,Mercado!$C:$C,Mercado!$J:$J),_xlfn.XLOOKUP($D1012,Fontes!$B:$B,Fontes!$H:$H))</f>
        <v>26.09</v>
      </c>
      <c r="K1012" s="252">
        <f>IF($A1012="M",0,_xlfn.XLOOKUP($D1012,Fontes!$B:$B,Fontes!$I:$I))</f>
        <v>0</v>
      </c>
      <c r="L1012" s="250">
        <f t="shared" si="101"/>
        <v>72.849999999999994</v>
      </c>
      <c r="M1012" s="300">
        <f t="shared" si="103"/>
        <v>509.95</v>
      </c>
      <c r="O1012" s="517">
        <f t="shared" si="102"/>
        <v>509.95</v>
      </c>
    </row>
    <row r="1013" spans="1:15" ht="57.6" outlineLevel="4" x14ac:dyDescent="0.3">
      <c r="A1013" s="35"/>
      <c r="B1013" s="36"/>
      <c r="C1013" s="495" t="s">
        <v>10647</v>
      </c>
      <c r="D1013" s="249">
        <v>92692</v>
      </c>
      <c r="E1013" s="249" t="str">
        <f>UPPER(IF($D1013=0,"",IF($A1013=4,_xlfn.XLOOKUP($D1013,Mercado!$C:$C,Mercado!$E:$E),_xlfn.XLOOKUP($D1013,Fontes!$B:$B,Fontes!$C:$C))))</f>
        <v>SINAPI</v>
      </c>
      <c r="F1013" s="327" t="s">
        <v>334</v>
      </c>
      <c r="G1013" s="249" t="str">
        <f>UPPER(IF($D1013=0,"",IF($A1013=4,_xlfn.XLOOKUP($D1013,Mercado!$C:$C,Mercado!$G:$G),_xlfn.XLOOKUP($D1013,Fontes!$B:$B,Fontes!$E:$E))))</f>
        <v>UN</v>
      </c>
      <c r="H1013" s="252">
        <v>18</v>
      </c>
      <c r="I1013" s="252">
        <f>IF($A1013="M",_xlfn.XLOOKUP($D1013,Mercado!$C:$C,Mercado!$I:$I),_xlfn.XLOOKUP($D1013,Fontes!$B:$B,Fontes!$J:$J))</f>
        <v>8.86</v>
      </c>
      <c r="J1013" s="252">
        <f>IF($A1013="M",_xlfn.XLOOKUP($D1013,Mercado!$C:$C,Mercado!$J:$J),_xlfn.XLOOKUP($D1013,Fontes!$B:$B,Fontes!$H:$H))</f>
        <v>8.85</v>
      </c>
      <c r="K1013" s="252">
        <f>IF($A1013="M",0,_xlfn.XLOOKUP($D1013,Fontes!$B:$B,Fontes!$I:$I))</f>
        <v>0.6</v>
      </c>
      <c r="L1013" s="250">
        <f t="shared" si="101"/>
        <v>18.310000000000002</v>
      </c>
      <c r="M1013" s="300">
        <f t="shared" si="103"/>
        <v>329.58</v>
      </c>
      <c r="O1013" s="517">
        <f t="shared" si="102"/>
        <v>329.58</v>
      </c>
    </row>
    <row r="1014" spans="1:15" outlineLevel="4" x14ac:dyDescent="0.3">
      <c r="A1014" s="36" t="s">
        <v>7</v>
      </c>
      <c r="B1014" s="36"/>
      <c r="C1014" s="495" t="s">
        <v>781</v>
      </c>
      <c r="D1014" s="249"/>
      <c r="E1014" s="249" t="str">
        <f>UPPER(IF($D1014=0,"",IF($A1014=4,_xlfn.XLOOKUP($D1014,Mercado!$C:$C,Mercado!$E:$E),_xlfn.XLOOKUP($D1014,Fontes!$B:$B,Fontes!$C:$C))))</f>
        <v/>
      </c>
      <c r="F1014" s="327" t="s">
        <v>781</v>
      </c>
      <c r="G1014" s="249"/>
      <c r="H1014" s="252"/>
      <c r="I1014" s="252">
        <f>IF($A1014="M",_xlfn.XLOOKUP($D1014,Mercado!$C:$C,Mercado!$I:$I),_xlfn.XLOOKUP($D1014,Fontes!$B:$B,Fontes!$J:$J))</f>
        <v>0</v>
      </c>
      <c r="J1014" s="252">
        <f>IF($A1014="M",_xlfn.XLOOKUP($D1014,Mercado!$C:$C,Mercado!$J:$J),_xlfn.XLOOKUP($D1014,Fontes!$B:$B,Fontes!$H:$H))</f>
        <v>0</v>
      </c>
      <c r="K1014" s="252">
        <f>IF($A1014="M",0,_xlfn.XLOOKUP($D1014,Fontes!$B:$B,Fontes!$I:$I))</f>
        <v>0</v>
      </c>
      <c r="L1014" s="250">
        <f t="shared" si="101"/>
        <v>0</v>
      </c>
      <c r="M1014" s="300">
        <f t="shared" si="103"/>
        <v>0</v>
      </c>
      <c r="O1014" s="517" t="str">
        <f t="shared" si="102"/>
        <v/>
      </c>
    </row>
    <row r="1015" spans="1:15" ht="20.399999999999999" outlineLevel="3" x14ac:dyDescent="0.3">
      <c r="A1015" s="36" t="s">
        <v>7</v>
      </c>
      <c r="B1015" s="36"/>
      <c r="C1015" s="499" t="s">
        <v>10648</v>
      </c>
      <c r="D1015" s="249"/>
      <c r="E1015" s="249" t="str">
        <f>UPPER(IF($D1015=0,"",IF($A1015=4,_xlfn.XLOOKUP($D1015,Mercado!$C:$C,Mercado!$E:$E),_xlfn.XLOOKUP($D1015,Fontes!$B:$B,Fontes!$C:$C))))</f>
        <v/>
      </c>
      <c r="F1015" s="493" t="s">
        <v>1920</v>
      </c>
      <c r="G1015" s="249"/>
      <c r="H1015" s="252"/>
      <c r="I1015" s="252">
        <f>IF($A1015="M",_xlfn.XLOOKUP($D1015,Mercado!$C:$C,Mercado!$I:$I),_xlfn.XLOOKUP($D1015,Fontes!$B:$B,Fontes!$J:$J))</f>
        <v>0</v>
      </c>
      <c r="J1015" s="252">
        <f>IF($A1015="M",_xlfn.XLOOKUP($D1015,Mercado!$C:$C,Mercado!$J:$J),_xlfn.XLOOKUP($D1015,Fontes!$B:$B,Fontes!$H:$H))</f>
        <v>0</v>
      </c>
      <c r="K1015" s="252">
        <f>IF($A1015="M",0,_xlfn.XLOOKUP($D1015,Fontes!$B:$B,Fontes!$I:$I))</f>
        <v>0</v>
      </c>
      <c r="L1015" s="252">
        <f t="shared" si="101"/>
        <v>0</v>
      </c>
      <c r="M1015" s="509">
        <f t="shared" si="103"/>
        <v>0</v>
      </c>
      <c r="O1015" s="517" t="str">
        <f t="shared" si="102"/>
        <v/>
      </c>
    </row>
    <row r="1016" spans="1:15" ht="57.6" outlineLevel="4" x14ac:dyDescent="0.3">
      <c r="A1016" s="35"/>
      <c r="B1016" s="36"/>
      <c r="C1016" s="495" t="s">
        <v>10649</v>
      </c>
      <c r="D1016" s="249">
        <v>703</v>
      </c>
      <c r="E1016" s="249" t="str">
        <f>UPPER(IF($D1016=0,"",IF($A1016=4,_xlfn.XLOOKUP($D1016,Mercado!$C:$C,Mercado!$E:$E),_xlfn.XLOOKUP($D1016,Fontes!$B:$B,Fontes!$C:$C))))</f>
        <v>PRÓPRIO</v>
      </c>
      <c r="F1016" s="337" t="s">
        <v>3678</v>
      </c>
      <c r="G1016" s="249" t="str">
        <f>UPPER(IF($D1016=0,"",IF($A1016=4,_xlfn.XLOOKUP($D1016,Mercado!$C:$C,Mercado!$G:$G),_xlfn.XLOOKUP($D1016,Fontes!$B:$B,Fontes!$E:$E))))</f>
        <v>UN</v>
      </c>
      <c r="H1016" s="252">
        <v>2</v>
      </c>
      <c r="I1016" s="252">
        <f>IF($A1016="M",_xlfn.XLOOKUP($D1016,Mercado!$C:$C,Mercado!$I:$I),_xlfn.XLOOKUP($D1016,Fontes!$B:$B,Fontes!$J:$J))</f>
        <v>1214.78</v>
      </c>
      <c r="J1016" s="252">
        <f>IF($A1016="M",_xlfn.XLOOKUP($D1016,Mercado!$C:$C,Mercado!$J:$J),_xlfn.XLOOKUP($D1016,Fontes!$B:$B,Fontes!$H:$H))</f>
        <v>154.83000000000001</v>
      </c>
      <c r="K1016" s="252">
        <f>IF($A1016="M",0,_xlfn.XLOOKUP($D1016,Fontes!$B:$B,Fontes!$I:$I))</f>
        <v>11.32</v>
      </c>
      <c r="L1016" s="250">
        <f t="shared" si="101"/>
        <v>1380.9299999999998</v>
      </c>
      <c r="M1016" s="300">
        <f t="shared" si="103"/>
        <v>2761.86</v>
      </c>
      <c r="O1016" s="517">
        <f t="shared" si="102"/>
        <v>2761.86</v>
      </c>
    </row>
    <row r="1017" spans="1:15" ht="57.6" outlineLevel="4" x14ac:dyDescent="0.3">
      <c r="A1017" s="35"/>
      <c r="B1017" s="36"/>
      <c r="C1017" s="495" t="s">
        <v>10650</v>
      </c>
      <c r="D1017" s="249">
        <v>699</v>
      </c>
      <c r="E1017" s="249" t="str">
        <f>UPPER(IF($D1017=0,"",IF($A1017=4,_xlfn.XLOOKUP($D1017,Mercado!$C:$C,Mercado!$E:$E),_xlfn.XLOOKUP($D1017,Fontes!$B:$B,Fontes!$C:$C))))</f>
        <v>PRÓPRIO</v>
      </c>
      <c r="F1017" s="337" t="s">
        <v>3679</v>
      </c>
      <c r="G1017" s="249" t="str">
        <f>UPPER(IF($D1017=0,"",IF($A1017=4,_xlfn.XLOOKUP($D1017,Mercado!$C:$C,Mercado!$G:$G),_xlfn.XLOOKUP($D1017,Fontes!$B:$B,Fontes!$E:$E))))</f>
        <v>UN</v>
      </c>
      <c r="H1017" s="252">
        <v>2</v>
      </c>
      <c r="I1017" s="252">
        <f>IF($A1017="M",_xlfn.XLOOKUP($D1017,Mercado!$C:$C,Mercado!$I:$I),_xlfn.XLOOKUP($D1017,Fontes!$B:$B,Fontes!$J:$J))</f>
        <v>7678.22</v>
      </c>
      <c r="J1017" s="252">
        <f>IF($A1017="M",_xlfn.XLOOKUP($D1017,Mercado!$C:$C,Mercado!$J:$J),_xlfn.XLOOKUP($D1017,Fontes!$B:$B,Fontes!$H:$H))</f>
        <v>264.81</v>
      </c>
      <c r="K1017" s="252">
        <f>IF($A1017="M",0,_xlfn.XLOOKUP($D1017,Fontes!$B:$B,Fontes!$I:$I))</f>
        <v>19.96</v>
      </c>
      <c r="L1017" s="250">
        <f t="shared" si="101"/>
        <v>7962.9900000000007</v>
      </c>
      <c r="M1017" s="300">
        <f t="shared" si="103"/>
        <v>15925.98</v>
      </c>
      <c r="O1017" s="517">
        <f t="shared" si="102"/>
        <v>15925.98</v>
      </c>
    </row>
    <row r="1018" spans="1:15" ht="38.4" outlineLevel="4" x14ac:dyDescent="0.3">
      <c r="A1018" s="35"/>
      <c r="B1018" s="36"/>
      <c r="C1018" s="495" t="s">
        <v>10651</v>
      </c>
      <c r="D1018" s="249">
        <v>701</v>
      </c>
      <c r="E1018" s="249" t="str">
        <f>UPPER(IF($D1018=0,"",IF($A1018=4,_xlfn.XLOOKUP($D1018,Mercado!$C:$C,Mercado!$E:$E),_xlfn.XLOOKUP($D1018,Fontes!$B:$B,Fontes!$C:$C))))</f>
        <v>PRÓPRIO</v>
      </c>
      <c r="F1018" s="328" t="s">
        <v>3680</v>
      </c>
      <c r="G1018" s="452" t="str">
        <f>UPPER(IF($D1018=0,"",IF($A1018=4,_xlfn.XLOOKUP($D1018,Mercado!$C:$C,Mercado!$G:$G),_xlfn.XLOOKUP($D1018,Fontes!$B:$B,Fontes!$E:$E))))</f>
        <v>CJ</v>
      </c>
      <c r="H1018" s="252">
        <v>1</v>
      </c>
      <c r="I1018" s="252">
        <f>IF($A1018="M",_xlfn.XLOOKUP($D1018,Mercado!$C:$C,Mercado!$I:$I),_xlfn.XLOOKUP($D1018,Fontes!$B:$B,Fontes!$J:$J))</f>
        <v>3289.04</v>
      </c>
      <c r="J1018" s="252">
        <f>IF($A1018="M",_xlfn.XLOOKUP($D1018,Mercado!$C:$C,Mercado!$J:$J),_xlfn.XLOOKUP($D1018,Fontes!$B:$B,Fontes!$H:$H))</f>
        <v>81.13</v>
      </c>
      <c r="K1018" s="252">
        <f>IF($A1018="M",0,_xlfn.XLOOKUP($D1018,Fontes!$B:$B,Fontes!$I:$I))</f>
        <v>6.36</v>
      </c>
      <c r="L1018" s="250">
        <f t="shared" si="101"/>
        <v>3376.53</v>
      </c>
      <c r="M1018" s="300">
        <f t="shared" si="103"/>
        <v>3376.53</v>
      </c>
      <c r="O1018" s="517">
        <f t="shared" si="102"/>
        <v>3376.53</v>
      </c>
    </row>
    <row r="1019" spans="1:15" ht="38.4" outlineLevel="4" x14ac:dyDescent="0.3">
      <c r="A1019" s="35"/>
      <c r="B1019" s="36"/>
      <c r="C1019" s="495" t="s">
        <v>10652</v>
      </c>
      <c r="D1019" s="249">
        <v>702</v>
      </c>
      <c r="E1019" s="249" t="str">
        <f>UPPER(IF($D1019=0,"",IF($A1019=4,_xlfn.XLOOKUP($D1019,Mercado!$C:$C,Mercado!$E:$E),_xlfn.XLOOKUP($D1019,Fontes!$B:$B,Fontes!$C:$C))))</f>
        <v>PRÓPRIO</v>
      </c>
      <c r="F1019" s="328" t="s">
        <v>3681</v>
      </c>
      <c r="G1019" s="452" t="str">
        <f>UPPER(IF($D1019=0,"",IF($A1019=4,_xlfn.XLOOKUP($D1019,Mercado!$C:$C,Mercado!$G:$G),_xlfn.XLOOKUP($D1019,Fontes!$B:$B,Fontes!$E:$E))))</f>
        <v>CJ</v>
      </c>
      <c r="H1019" s="252">
        <v>1</v>
      </c>
      <c r="I1019" s="252">
        <f>IF($A1019="M",_xlfn.XLOOKUP($D1019,Mercado!$C:$C,Mercado!$I:$I),_xlfn.XLOOKUP($D1019,Fontes!$B:$B,Fontes!$J:$J))</f>
        <v>3521.4</v>
      </c>
      <c r="J1019" s="252">
        <f>IF($A1019="M",_xlfn.XLOOKUP($D1019,Mercado!$C:$C,Mercado!$J:$J),_xlfn.XLOOKUP($D1019,Fontes!$B:$B,Fontes!$H:$H))</f>
        <v>103.13</v>
      </c>
      <c r="K1019" s="252">
        <f>IF($A1019="M",0,_xlfn.XLOOKUP($D1019,Fontes!$B:$B,Fontes!$I:$I))</f>
        <v>8.1</v>
      </c>
      <c r="L1019" s="250">
        <f t="shared" si="101"/>
        <v>3632.63</v>
      </c>
      <c r="M1019" s="300">
        <f t="shared" si="103"/>
        <v>3632.63</v>
      </c>
      <c r="O1019" s="517">
        <f t="shared" si="102"/>
        <v>3632.63</v>
      </c>
    </row>
    <row r="1020" spans="1:15" outlineLevel="4" x14ac:dyDescent="0.3">
      <c r="A1020" s="36" t="s">
        <v>7</v>
      </c>
      <c r="B1020" s="36"/>
      <c r="C1020" s="495" t="s">
        <v>781</v>
      </c>
      <c r="D1020" s="249"/>
      <c r="E1020" s="249" t="str">
        <f>UPPER(IF($D1020=0,"",IF($A1020=4,_xlfn.XLOOKUP($D1020,Mercado!$C:$C,Mercado!$E:$E),_xlfn.XLOOKUP($D1020,Fontes!$B:$B,Fontes!$C:$C))))</f>
        <v/>
      </c>
      <c r="F1020" s="327" t="s">
        <v>781</v>
      </c>
      <c r="G1020" s="249"/>
      <c r="H1020" s="252"/>
      <c r="I1020" s="252">
        <f>IF($A1020="M",_xlfn.XLOOKUP($D1020,Mercado!$C:$C,Mercado!$I:$I),_xlfn.XLOOKUP($D1020,Fontes!$B:$B,Fontes!$J:$J))</f>
        <v>0</v>
      </c>
      <c r="J1020" s="252">
        <f>IF($A1020="M",_xlfn.XLOOKUP($D1020,Mercado!$C:$C,Mercado!$J:$J),_xlfn.XLOOKUP($D1020,Fontes!$B:$B,Fontes!$H:$H))</f>
        <v>0</v>
      </c>
      <c r="K1020" s="252">
        <f>IF($A1020="M",0,_xlfn.XLOOKUP($D1020,Fontes!$B:$B,Fontes!$I:$I))</f>
        <v>0</v>
      </c>
      <c r="L1020" s="250">
        <f t="shared" si="101"/>
        <v>0</v>
      </c>
      <c r="M1020" s="300">
        <f t="shared" si="103"/>
        <v>0</v>
      </c>
      <c r="O1020" s="517" t="str">
        <f t="shared" si="102"/>
        <v/>
      </c>
    </row>
    <row r="1021" spans="1:15" ht="20.399999999999999" outlineLevel="3" x14ac:dyDescent="0.3">
      <c r="A1021" s="36" t="s">
        <v>7</v>
      </c>
      <c r="B1021" s="36"/>
      <c r="C1021" s="499" t="s">
        <v>10653</v>
      </c>
      <c r="D1021" s="249"/>
      <c r="E1021" s="249" t="str">
        <f>UPPER(IF($D1021=0,"",IF($A1021=4,_xlfn.XLOOKUP($D1021,Mercado!$C:$C,Mercado!$E:$E),_xlfn.XLOOKUP($D1021,Fontes!$B:$B,Fontes!$C:$C))))</f>
        <v/>
      </c>
      <c r="F1021" s="493" t="s">
        <v>1921</v>
      </c>
      <c r="G1021" s="249"/>
      <c r="H1021" s="252"/>
      <c r="I1021" s="252">
        <f>IF($A1021="M",_xlfn.XLOOKUP($D1021,Mercado!$C:$C,Mercado!$I:$I),_xlfn.XLOOKUP($D1021,Fontes!$B:$B,Fontes!$J:$J))</f>
        <v>0</v>
      </c>
      <c r="J1021" s="252">
        <f>IF($A1021="M",_xlfn.XLOOKUP($D1021,Mercado!$C:$C,Mercado!$J:$J),_xlfn.XLOOKUP($D1021,Fontes!$B:$B,Fontes!$H:$H))</f>
        <v>0</v>
      </c>
      <c r="K1021" s="252">
        <f>IF($A1021="M",0,_xlfn.XLOOKUP($D1021,Fontes!$B:$B,Fontes!$I:$I))</f>
        <v>0</v>
      </c>
      <c r="L1021" s="252">
        <f t="shared" si="101"/>
        <v>0</v>
      </c>
      <c r="M1021" s="509">
        <f t="shared" si="103"/>
        <v>0</v>
      </c>
      <c r="O1021" s="517" t="str">
        <f t="shared" si="102"/>
        <v/>
      </c>
    </row>
    <row r="1022" spans="1:15" ht="38.4" outlineLevel="4" x14ac:dyDescent="0.3">
      <c r="A1022" s="35"/>
      <c r="B1022" s="36"/>
      <c r="C1022" s="495" t="s">
        <v>10654</v>
      </c>
      <c r="D1022" s="249">
        <v>102613</v>
      </c>
      <c r="E1022" s="249" t="str">
        <f>UPPER(IF($D1022=0,"",IF($A1022=4,_xlfn.XLOOKUP($D1022,Mercado!$C:$C,Mercado!$E:$E),_xlfn.XLOOKUP($D1022,Fontes!$B:$B,Fontes!$C:$C))))</f>
        <v>SINAPI</v>
      </c>
      <c r="F1022" s="327" t="s">
        <v>337</v>
      </c>
      <c r="G1022" s="249" t="str">
        <f>UPPER(IF($D1022=0,"",IF($A1022=4,_xlfn.XLOOKUP($D1022,Mercado!$C:$C,Mercado!$G:$G),_xlfn.XLOOKUP($D1022,Fontes!$B:$B,Fontes!$E:$E))))</f>
        <v>UN</v>
      </c>
      <c r="H1022" s="252">
        <v>2</v>
      </c>
      <c r="I1022" s="252">
        <f>IF($A1022="M",_xlfn.XLOOKUP($D1022,Mercado!$C:$C,Mercado!$I:$I),_xlfn.XLOOKUP($D1022,Fontes!$B:$B,Fontes!$J:$J))</f>
        <v>620.6</v>
      </c>
      <c r="J1022" s="252">
        <f>IF($A1022="M",_xlfn.XLOOKUP($D1022,Mercado!$C:$C,Mercado!$J:$J),_xlfn.XLOOKUP($D1022,Fontes!$B:$B,Fontes!$H:$H))</f>
        <v>8.35</v>
      </c>
      <c r="K1022" s="252">
        <f>IF($A1022="M",0,_xlfn.XLOOKUP($D1022,Fontes!$B:$B,Fontes!$I:$I))</f>
        <v>0.57999999999999996</v>
      </c>
      <c r="L1022" s="250">
        <f t="shared" si="101"/>
        <v>629.53000000000009</v>
      </c>
      <c r="M1022" s="300">
        <f t="shared" si="103"/>
        <v>1259.06</v>
      </c>
      <c r="O1022" s="517">
        <f t="shared" si="102"/>
        <v>1259.06</v>
      </c>
    </row>
    <row r="1023" spans="1:15" ht="38.4" outlineLevel="4" x14ac:dyDescent="0.3">
      <c r="A1023" s="35"/>
      <c r="B1023" s="36"/>
      <c r="C1023" s="495" t="s">
        <v>10655</v>
      </c>
      <c r="D1023" s="249">
        <v>102617</v>
      </c>
      <c r="E1023" s="249" t="str">
        <f>UPPER(IF($D1023=0,"",IF($A1023=4,_xlfn.XLOOKUP($D1023,Mercado!$C:$C,Mercado!$E:$E),_xlfn.XLOOKUP($D1023,Fontes!$B:$B,Fontes!$C:$C))))</f>
        <v>SINAPI</v>
      </c>
      <c r="F1023" s="327" t="s">
        <v>338</v>
      </c>
      <c r="G1023" s="249" t="str">
        <f>UPPER(IF($D1023=0,"",IF($A1023=4,_xlfn.XLOOKUP($D1023,Mercado!$C:$C,Mercado!$G:$G),_xlfn.XLOOKUP($D1023,Fontes!$B:$B,Fontes!$E:$E))))</f>
        <v>UN</v>
      </c>
      <c r="H1023" s="252">
        <v>2</v>
      </c>
      <c r="I1023" s="252">
        <f>IF($A1023="M",_xlfn.XLOOKUP($D1023,Mercado!$C:$C,Mercado!$I:$I),_xlfn.XLOOKUP($D1023,Fontes!$B:$B,Fontes!$J:$J))</f>
        <v>2780.08</v>
      </c>
      <c r="J1023" s="252">
        <f>IF($A1023="M",_xlfn.XLOOKUP($D1023,Mercado!$C:$C,Mercado!$J:$J),_xlfn.XLOOKUP($D1023,Fontes!$B:$B,Fontes!$H:$H))</f>
        <v>175.03</v>
      </c>
      <c r="K1023" s="252">
        <f>IF($A1023="M",0,_xlfn.XLOOKUP($D1023,Fontes!$B:$B,Fontes!$I:$I))</f>
        <v>441.51</v>
      </c>
      <c r="L1023" s="250">
        <f t="shared" si="101"/>
        <v>3396.62</v>
      </c>
      <c r="M1023" s="300">
        <f t="shared" si="103"/>
        <v>6793.24</v>
      </c>
      <c r="O1023" s="517">
        <f t="shared" si="102"/>
        <v>6793.24</v>
      </c>
    </row>
    <row r="1024" spans="1:15" outlineLevel="3" x14ac:dyDescent="0.3">
      <c r="A1024" s="36" t="s">
        <v>7</v>
      </c>
      <c r="B1024" s="36"/>
      <c r="C1024" s="495" t="s">
        <v>781</v>
      </c>
      <c r="D1024" s="249"/>
      <c r="E1024" s="249" t="str">
        <f>UPPER(IF($D1024=0,"",IF($A1024=4,_xlfn.XLOOKUP($D1024,Mercado!$C:$C,Mercado!$E:$E),_xlfn.XLOOKUP($D1024,Fontes!$B:$B,Fontes!$C:$C))))</f>
        <v/>
      </c>
      <c r="F1024" s="327" t="s">
        <v>781</v>
      </c>
      <c r="G1024" s="249"/>
      <c r="H1024" s="252"/>
      <c r="I1024" s="252">
        <f>IF($A1024="M",_xlfn.XLOOKUP($D1024,Mercado!$C:$C,Mercado!$I:$I),_xlfn.XLOOKUP($D1024,Fontes!$B:$B,Fontes!$J:$J))</f>
        <v>0</v>
      </c>
      <c r="J1024" s="252">
        <f>IF($A1024="M",_xlfn.XLOOKUP($D1024,Mercado!$C:$C,Mercado!$J:$J),_xlfn.XLOOKUP($D1024,Fontes!$B:$B,Fontes!$H:$H))</f>
        <v>0</v>
      </c>
      <c r="K1024" s="252">
        <f>IF($A1024="M",0,_xlfn.XLOOKUP($D1024,Fontes!$B:$B,Fontes!$I:$I))</f>
        <v>0</v>
      </c>
      <c r="L1024" s="250">
        <f t="shared" si="101"/>
        <v>0</v>
      </c>
      <c r="M1024" s="300">
        <f t="shared" si="103"/>
        <v>0</v>
      </c>
      <c r="O1024" s="517" t="str">
        <f t="shared" si="102"/>
        <v/>
      </c>
    </row>
    <row r="1025" spans="1:15" ht="20.399999999999999" outlineLevel="2" x14ac:dyDescent="0.3">
      <c r="A1025" s="36" t="s">
        <v>7</v>
      </c>
      <c r="B1025" s="36"/>
      <c r="C1025" s="496" t="s">
        <v>10656</v>
      </c>
      <c r="D1025" s="253"/>
      <c r="E1025" s="253" t="str">
        <f>UPPER(IF($D1025=0,"",IF($A1025=4,_xlfn.XLOOKUP($D1025,Mercado!$C:$C,Mercado!$E:$E),_xlfn.XLOOKUP($D1025,Fontes!$B:$B,Fontes!$C:$C))))</f>
        <v/>
      </c>
      <c r="F1025" s="329" t="s">
        <v>391</v>
      </c>
      <c r="G1025" s="253"/>
      <c r="H1025" s="254"/>
      <c r="I1025" s="254">
        <f>IF($A1025="M",_xlfn.XLOOKUP($D1025,Mercado!$C:$C,Mercado!$I:$I),_xlfn.XLOOKUP($D1025,Fontes!$B:$B,Fontes!$J:$J))</f>
        <v>0</v>
      </c>
      <c r="J1025" s="254">
        <f>IF($A1025="M",_xlfn.XLOOKUP($D1025,Mercado!$C:$C,Mercado!$J:$J),_xlfn.XLOOKUP($D1025,Fontes!$B:$B,Fontes!$H:$H))</f>
        <v>0</v>
      </c>
      <c r="K1025" s="254">
        <f>IF($A1025="M",0,_xlfn.XLOOKUP($D1025,Fontes!$B:$B,Fontes!$I:$I))</f>
        <v>0</v>
      </c>
      <c r="L1025" s="254">
        <f t="shared" si="101"/>
        <v>0</v>
      </c>
      <c r="M1025" s="510">
        <f>SUBTOTAL(9,M1026:M1099)</f>
        <v>45677.490000000005</v>
      </c>
      <c r="O1025" s="517" t="str">
        <f t="shared" si="102"/>
        <v/>
      </c>
    </row>
    <row r="1026" spans="1:15" ht="20.399999999999999" outlineLevel="3" x14ac:dyDescent="0.3">
      <c r="A1026" s="36" t="s">
        <v>7</v>
      </c>
      <c r="B1026" s="36"/>
      <c r="C1026" s="499" t="s">
        <v>10657</v>
      </c>
      <c r="D1026" s="249"/>
      <c r="E1026" s="249" t="str">
        <f>UPPER(IF($D1026=0,"",IF($A1026=4,_xlfn.XLOOKUP($D1026,Mercado!$C:$C,Mercado!$E:$E),_xlfn.XLOOKUP($D1026,Fontes!$B:$B,Fontes!$C:$C))))</f>
        <v/>
      </c>
      <c r="F1026" s="330" t="s">
        <v>550</v>
      </c>
      <c r="G1026" s="249"/>
      <c r="H1026" s="252"/>
      <c r="I1026" s="252">
        <f>IF($A1026="M",_xlfn.XLOOKUP($D1026,Mercado!$C:$C,Mercado!$I:$I),_xlfn.XLOOKUP($D1026,Fontes!$B:$B,Fontes!$J:$J))</f>
        <v>0</v>
      </c>
      <c r="J1026" s="252">
        <f>IF($A1026="M",_xlfn.XLOOKUP($D1026,Mercado!$C:$C,Mercado!$J:$J),_xlfn.XLOOKUP($D1026,Fontes!$B:$B,Fontes!$H:$H))</f>
        <v>0</v>
      </c>
      <c r="K1026" s="252">
        <f>IF($A1026="M",0,_xlfn.XLOOKUP($D1026,Fontes!$B:$B,Fontes!$I:$I))</f>
        <v>0</v>
      </c>
      <c r="L1026" s="252">
        <f t="shared" si="101"/>
        <v>0</v>
      </c>
      <c r="M1026" s="509">
        <f t="shared" ref="M1026:M1057" si="104">ROUND(H1026*L1026,2)</f>
        <v>0</v>
      </c>
      <c r="N1026" s="243"/>
      <c r="O1026" s="517" t="str">
        <f t="shared" si="102"/>
        <v/>
      </c>
    </row>
    <row r="1027" spans="1:15" ht="57.6" outlineLevel="4" x14ac:dyDescent="0.3">
      <c r="A1027" s="35"/>
      <c r="B1027" s="36"/>
      <c r="C1027" s="495" t="s">
        <v>10658</v>
      </c>
      <c r="D1027" s="479">
        <v>89711</v>
      </c>
      <c r="E1027" s="249" t="str">
        <f>UPPER(IF($D1027=0,"",IF($A1027=4,_xlfn.XLOOKUP($D1027,Mercado!$C:$C,Mercado!$E:$E),_xlfn.XLOOKUP($D1027,Fontes!$B:$B,Fontes!$C:$C))))</f>
        <v>SINAPI</v>
      </c>
      <c r="F1027" s="327" t="s">
        <v>40</v>
      </c>
      <c r="G1027" s="249" t="str">
        <f>UPPER(IF($D1027=0,"",IF($A1027=4,_xlfn.XLOOKUP($D1027,Mercado!$C:$C,Mercado!$G:$G),_xlfn.XLOOKUP($D1027,Fontes!$B:$B,Fontes!$E:$E))))</f>
        <v>M</v>
      </c>
      <c r="H1027" s="252">
        <v>132</v>
      </c>
      <c r="I1027" s="252">
        <f>IF($A1027="M",_xlfn.XLOOKUP($D1027,Mercado!$C:$C,Mercado!$I:$I),_xlfn.XLOOKUP($D1027,Fontes!$B:$B,Fontes!$J:$J))</f>
        <v>11.97</v>
      </c>
      <c r="J1027" s="252">
        <f>IF($A1027="M",_xlfn.XLOOKUP($D1027,Mercado!$C:$C,Mercado!$J:$J),_xlfn.XLOOKUP($D1027,Fontes!$B:$B,Fontes!$H:$H))</f>
        <v>15.91</v>
      </c>
      <c r="K1027" s="252">
        <f>IF($A1027="M",0,_xlfn.XLOOKUP($D1027,Fontes!$B:$B,Fontes!$I:$I))</f>
        <v>1.08</v>
      </c>
      <c r="L1027" s="250">
        <f t="shared" si="101"/>
        <v>28.96</v>
      </c>
      <c r="M1027" s="300">
        <f t="shared" si="104"/>
        <v>3822.72</v>
      </c>
      <c r="O1027" s="517">
        <f t="shared" si="102"/>
        <v>3822.72</v>
      </c>
    </row>
    <row r="1028" spans="1:15" ht="57.6" outlineLevel="4" x14ac:dyDescent="0.3">
      <c r="A1028" s="35"/>
      <c r="B1028" s="36"/>
      <c r="C1028" s="495" t="s">
        <v>10659</v>
      </c>
      <c r="D1028" s="479">
        <v>89712</v>
      </c>
      <c r="E1028" s="249" t="str">
        <f>UPPER(IF($D1028=0,"",IF($A1028=4,_xlfn.XLOOKUP($D1028,Mercado!$C:$C,Mercado!$E:$E),_xlfn.XLOOKUP($D1028,Fontes!$B:$B,Fontes!$C:$C))))</f>
        <v>SINAPI</v>
      </c>
      <c r="F1028" s="327" t="s">
        <v>41</v>
      </c>
      <c r="G1028" s="249" t="str">
        <f>UPPER(IF($D1028=0,"",IF($A1028=4,_xlfn.XLOOKUP($D1028,Mercado!$C:$C,Mercado!$G:$G),_xlfn.XLOOKUP($D1028,Fontes!$B:$B,Fontes!$E:$E))))</f>
        <v>M</v>
      </c>
      <c r="H1028" s="252">
        <v>129</v>
      </c>
      <c r="I1028" s="252">
        <f>IF($A1028="M",_xlfn.XLOOKUP($D1028,Mercado!$C:$C,Mercado!$I:$I),_xlfn.XLOOKUP($D1028,Fontes!$B:$B,Fontes!$J:$J))</f>
        <v>17.13</v>
      </c>
      <c r="J1028" s="252">
        <f>IF($A1028="M",_xlfn.XLOOKUP($D1028,Mercado!$C:$C,Mercado!$J:$J),_xlfn.XLOOKUP($D1028,Fontes!$B:$B,Fontes!$H:$H))</f>
        <v>17.28</v>
      </c>
      <c r="K1028" s="252">
        <f>IF($A1028="M",0,_xlfn.XLOOKUP($D1028,Fontes!$B:$B,Fontes!$I:$I))</f>
        <v>1.18</v>
      </c>
      <c r="L1028" s="250">
        <f t="shared" si="101"/>
        <v>35.589999999999996</v>
      </c>
      <c r="M1028" s="300">
        <f t="shared" si="104"/>
        <v>4591.1099999999997</v>
      </c>
      <c r="O1028" s="517">
        <f t="shared" si="102"/>
        <v>4591.1099999999997</v>
      </c>
    </row>
    <row r="1029" spans="1:15" ht="57.6" outlineLevel="4" x14ac:dyDescent="0.3">
      <c r="A1029" s="35"/>
      <c r="B1029" s="36"/>
      <c r="C1029" s="495" t="s">
        <v>10660</v>
      </c>
      <c r="D1029" s="479">
        <v>89713</v>
      </c>
      <c r="E1029" s="249" t="str">
        <f>UPPER(IF($D1029=0,"",IF($A1029=4,_xlfn.XLOOKUP($D1029,Mercado!$C:$C,Mercado!$E:$E),_xlfn.XLOOKUP($D1029,Fontes!$B:$B,Fontes!$C:$C))))</f>
        <v>SINAPI</v>
      </c>
      <c r="F1029" s="327" t="s">
        <v>42</v>
      </c>
      <c r="G1029" s="249" t="str">
        <f>UPPER(IF($D1029=0,"",IF($A1029=4,_xlfn.XLOOKUP($D1029,Mercado!$C:$C,Mercado!$G:$G),_xlfn.XLOOKUP($D1029,Fontes!$B:$B,Fontes!$E:$E))))</f>
        <v>M</v>
      </c>
      <c r="H1029" s="252">
        <v>44</v>
      </c>
      <c r="I1029" s="252">
        <f>IF($A1029="M",_xlfn.XLOOKUP($D1029,Mercado!$C:$C,Mercado!$I:$I),_xlfn.XLOOKUP($D1029,Fontes!$B:$B,Fontes!$J:$J))</f>
        <v>21.9</v>
      </c>
      <c r="J1029" s="252">
        <f>IF($A1029="M",_xlfn.XLOOKUP($D1029,Mercado!$C:$C,Mercado!$J:$J),_xlfn.XLOOKUP($D1029,Fontes!$B:$B,Fontes!$H:$H))</f>
        <v>20.71</v>
      </c>
      <c r="K1029" s="252">
        <f>IF($A1029="M",0,_xlfn.XLOOKUP($D1029,Fontes!$B:$B,Fontes!$I:$I))</f>
        <v>1.42</v>
      </c>
      <c r="L1029" s="250">
        <f t="shared" si="101"/>
        <v>44.03</v>
      </c>
      <c r="M1029" s="300">
        <f t="shared" si="104"/>
        <v>1937.32</v>
      </c>
      <c r="O1029" s="517">
        <f t="shared" si="102"/>
        <v>1937.32</v>
      </c>
    </row>
    <row r="1030" spans="1:15" ht="57.6" outlineLevel="4" x14ac:dyDescent="0.3">
      <c r="A1030" s="35"/>
      <c r="B1030" s="36"/>
      <c r="C1030" s="495" t="s">
        <v>10661</v>
      </c>
      <c r="D1030" s="479">
        <v>89714</v>
      </c>
      <c r="E1030" s="249" t="str">
        <f>UPPER(IF($D1030=0,"",IF($A1030=4,_xlfn.XLOOKUP($D1030,Mercado!$C:$C,Mercado!$E:$E),_xlfn.XLOOKUP($D1030,Fontes!$B:$B,Fontes!$C:$C))))</f>
        <v>SINAPI</v>
      </c>
      <c r="F1030" s="327" t="s">
        <v>43</v>
      </c>
      <c r="G1030" s="249" t="str">
        <f>UPPER(IF($D1030=0,"",IF($A1030=4,_xlfn.XLOOKUP($D1030,Mercado!$C:$C,Mercado!$G:$G),_xlfn.XLOOKUP($D1030,Fontes!$B:$B,Fontes!$E:$E))))</f>
        <v>M</v>
      </c>
      <c r="H1030" s="252">
        <v>100</v>
      </c>
      <c r="I1030" s="252">
        <f>IF($A1030="M",_xlfn.XLOOKUP($D1030,Mercado!$C:$C,Mercado!$I:$I),_xlfn.XLOOKUP($D1030,Fontes!$B:$B,Fontes!$J:$J))</f>
        <v>23.79</v>
      </c>
      <c r="J1030" s="252">
        <f>IF($A1030="M",_xlfn.XLOOKUP($D1030,Mercado!$C:$C,Mercado!$J:$J),_xlfn.XLOOKUP($D1030,Fontes!$B:$B,Fontes!$H:$H))</f>
        <v>24.14</v>
      </c>
      <c r="K1030" s="252">
        <f>IF($A1030="M",0,_xlfn.XLOOKUP($D1030,Fontes!$B:$B,Fontes!$I:$I))</f>
        <v>1.66</v>
      </c>
      <c r="L1030" s="250">
        <f t="shared" si="101"/>
        <v>49.589999999999996</v>
      </c>
      <c r="M1030" s="300">
        <f t="shared" si="104"/>
        <v>4959</v>
      </c>
      <c r="O1030" s="517">
        <f t="shared" si="102"/>
        <v>4959</v>
      </c>
    </row>
    <row r="1031" spans="1:15" outlineLevel="4" x14ac:dyDescent="0.3">
      <c r="A1031" s="35"/>
      <c r="B1031" s="36"/>
      <c r="C1031" s="495" t="s">
        <v>10662</v>
      </c>
      <c r="D1031" s="479">
        <v>53615</v>
      </c>
      <c r="E1031" s="249" t="str">
        <f>UPPER(IF($D1031=0,"",IF($A1031=4,_xlfn.XLOOKUP($D1031,Mercado!$C:$C,Mercado!$E:$E),_xlfn.XLOOKUP($D1031,Fontes!$B:$B,Fontes!$C:$C))))</f>
        <v>SBC</v>
      </c>
      <c r="F1031" s="327" t="s">
        <v>3682</v>
      </c>
      <c r="G1031" s="249" t="str">
        <f>UPPER(IF($D1031=0,"",IF($A1031=4,_xlfn.XLOOKUP($D1031,Mercado!$C:$C,Mercado!$G:$G),_xlfn.XLOOKUP($D1031,Fontes!$B:$B,Fontes!$E:$E))))</f>
        <v>UN</v>
      </c>
      <c r="H1031" s="252">
        <v>11</v>
      </c>
      <c r="I1031" s="252">
        <f>IF($A1031="M",_xlfn.XLOOKUP($D1031,Mercado!$C:$C,Mercado!$I:$I),_xlfn.XLOOKUP($D1031,Fontes!$B:$B,Fontes!$J:$J))</f>
        <v>0.78</v>
      </c>
      <c r="J1031" s="252">
        <f>IF($A1031="M",_xlfn.XLOOKUP($D1031,Mercado!$C:$C,Mercado!$J:$J),_xlfn.XLOOKUP($D1031,Fontes!$B:$B,Fontes!$H:$H))</f>
        <v>2.37</v>
      </c>
      <c r="K1031" s="252">
        <f>IF($A1031="M",0,_xlfn.XLOOKUP($D1031,Fontes!$B:$B,Fontes!$I:$I))</f>
        <v>0</v>
      </c>
      <c r="L1031" s="250">
        <f t="shared" si="101"/>
        <v>3.1500000000000004</v>
      </c>
      <c r="M1031" s="300">
        <f t="shared" si="104"/>
        <v>34.65</v>
      </c>
      <c r="O1031" s="517">
        <f t="shared" si="102"/>
        <v>34.65</v>
      </c>
    </row>
    <row r="1032" spans="1:15" outlineLevel="4" x14ac:dyDescent="0.3">
      <c r="A1032" s="35"/>
      <c r="B1032" s="36"/>
      <c r="C1032" s="495" t="s">
        <v>10663</v>
      </c>
      <c r="D1032" s="479">
        <v>53620</v>
      </c>
      <c r="E1032" s="249" t="str">
        <f>UPPER(IF($D1032=0,"",IF($A1032=4,_xlfn.XLOOKUP($D1032,Mercado!$C:$C,Mercado!$E:$E),_xlfn.XLOOKUP($D1032,Fontes!$B:$B,Fontes!$C:$C))))</f>
        <v>SBC</v>
      </c>
      <c r="F1032" s="327" t="s">
        <v>563</v>
      </c>
      <c r="G1032" s="249" t="str">
        <f>UPPER(IF($D1032=0,"",IF($A1032=4,_xlfn.XLOOKUP($D1032,Mercado!$C:$C,Mercado!$G:$G),_xlfn.XLOOKUP($D1032,Fontes!$B:$B,Fontes!$E:$E))))</f>
        <v>UN</v>
      </c>
      <c r="H1032" s="252">
        <v>305</v>
      </c>
      <c r="I1032" s="252">
        <f>IF($A1032="M",_xlfn.XLOOKUP($D1032,Mercado!$C:$C,Mercado!$I:$I),_xlfn.XLOOKUP($D1032,Fontes!$B:$B,Fontes!$J:$J))</f>
        <v>0.78</v>
      </c>
      <c r="J1032" s="252">
        <f>IF($A1032="M",_xlfn.XLOOKUP($D1032,Mercado!$C:$C,Mercado!$J:$J),_xlfn.XLOOKUP($D1032,Fontes!$B:$B,Fontes!$H:$H))</f>
        <v>9.4600000000000009</v>
      </c>
      <c r="K1032" s="252">
        <f>IF($A1032="M",0,_xlfn.XLOOKUP($D1032,Fontes!$B:$B,Fontes!$I:$I))</f>
        <v>0</v>
      </c>
      <c r="L1032" s="250">
        <f t="shared" si="101"/>
        <v>10.24</v>
      </c>
      <c r="M1032" s="300">
        <f t="shared" si="104"/>
        <v>3123.2</v>
      </c>
      <c r="O1032" s="517">
        <f t="shared" si="102"/>
        <v>3123.2</v>
      </c>
    </row>
    <row r="1033" spans="1:15" outlineLevel="4" x14ac:dyDescent="0.3">
      <c r="A1033" s="35"/>
      <c r="B1033" s="36"/>
      <c r="C1033" s="495" t="s">
        <v>10664</v>
      </c>
      <c r="D1033" s="479">
        <v>53619</v>
      </c>
      <c r="E1033" s="249" t="str">
        <f>UPPER(IF($D1033=0,"",IF($A1033=4,_xlfn.XLOOKUP($D1033,Mercado!$C:$C,Mercado!$E:$E),_xlfn.XLOOKUP($D1033,Fontes!$B:$B,Fontes!$C:$C))))</f>
        <v>SBC</v>
      </c>
      <c r="F1033" s="327" t="s">
        <v>3640</v>
      </c>
      <c r="G1033" s="249" t="str">
        <f>UPPER(IF($D1033=0,"",IF($A1033=4,_xlfn.XLOOKUP($D1033,Mercado!$C:$C,Mercado!$G:$G),_xlfn.XLOOKUP($D1033,Fontes!$B:$B,Fontes!$E:$E))))</f>
        <v>UN</v>
      </c>
      <c r="H1033" s="252">
        <v>80</v>
      </c>
      <c r="I1033" s="252">
        <f>IF($A1033="M",_xlfn.XLOOKUP($D1033,Mercado!$C:$C,Mercado!$I:$I),_xlfn.XLOOKUP($D1033,Fontes!$B:$B,Fontes!$J:$J))</f>
        <v>1.2</v>
      </c>
      <c r="J1033" s="252">
        <f>IF($A1033="M",_xlfn.XLOOKUP($D1033,Mercado!$C:$C,Mercado!$J:$J),_xlfn.XLOOKUP($D1033,Fontes!$B:$B,Fontes!$H:$H))</f>
        <v>9.19</v>
      </c>
      <c r="K1033" s="252">
        <f>IF($A1033="M",0,_xlfn.XLOOKUP($D1033,Fontes!$B:$B,Fontes!$I:$I))</f>
        <v>0</v>
      </c>
      <c r="L1033" s="250">
        <f t="shared" si="101"/>
        <v>10.389999999999999</v>
      </c>
      <c r="M1033" s="300">
        <f t="shared" si="104"/>
        <v>831.2</v>
      </c>
      <c r="O1033" s="517">
        <f t="shared" si="102"/>
        <v>831.2</v>
      </c>
    </row>
    <row r="1034" spans="1:15" outlineLevel="4" x14ac:dyDescent="0.3">
      <c r="A1034" s="35"/>
      <c r="B1034" s="36"/>
      <c r="C1034" s="495" t="s">
        <v>10665</v>
      </c>
      <c r="D1034" s="479">
        <v>53617</v>
      </c>
      <c r="E1034" s="249" t="str">
        <f>UPPER(IF($D1034=0,"",IF($A1034=4,_xlfn.XLOOKUP($D1034,Mercado!$C:$C,Mercado!$E:$E),_xlfn.XLOOKUP($D1034,Fontes!$B:$B,Fontes!$C:$C))))</f>
        <v>SBC</v>
      </c>
      <c r="F1034" s="327" t="s">
        <v>3641</v>
      </c>
      <c r="G1034" s="249" t="str">
        <f>UPPER(IF($D1034=0,"",IF($A1034=4,_xlfn.XLOOKUP($D1034,Mercado!$C:$C,Mercado!$G:$G),_xlfn.XLOOKUP($D1034,Fontes!$B:$B,Fontes!$E:$E))))</f>
        <v>UN</v>
      </c>
      <c r="H1034" s="252">
        <v>112</v>
      </c>
      <c r="I1034" s="252">
        <f>IF($A1034="M",_xlfn.XLOOKUP($D1034,Mercado!$C:$C,Mercado!$I:$I),_xlfn.XLOOKUP($D1034,Fontes!$B:$B,Fontes!$J:$J))</f>
        <v>1.5</v>
      </c>
      <c r="J1034" s="252">
        <f>IF($A1034="M",_xlfn.XLOOKUP($D1034,Mercado!$C:$C,Mercado!$J:$J),_xlfn.XLOOKUP($D1034,Fontes!$B:$B,Fontes!$H:$H))</f>
        <v>3.95</v>
      </c>
      <c r="K1034" s="252">
        <f>IF($A1034="M",0,_xlfn.XLOOKUP($D1034,Fontes!$B:$B,Fontes!$I:$I))</f>
        <v>0</v>
      </c>
      <c r="L1034" s="250">
        <f t="shared" si="101"/>
        <v>5.45</v>
      </c>
      <c r="M1034" s="300">
        <f t="shared" si="104"/>
        <v>610.4</v>
      </c>
      <c r="O1034" s="517">
        <f t="shared" si="102"/>
        <v>610.4</v>
      </c>
    </row>
    <row r="1035" spans="1:15" ht="38.4" outlineLevel="4" x14ac:dyDescent="0.3">
      <c r="A1035" s="35"/>
      <c r="B1035" s="36"/>
      <c r="C1035" s="495" t="s">
        <v>10666</v>
      </c>
      <c r="D1035" s="479">
        <v>1145</v>
      </c>
      <c r="E1035" s="249" t="str">
        <f>UPPER(IF($D1035=0,"",IF($A1035=4,_xlfn.XLOOKUP($D1035,Mercado!$C:$C,Mercado!$E:$E),_xlfn.XLOOKUP($D1035,Fontes!$B:$B,Fontes!$C:$C))))</f>
        <v>ORSE</v>
      </c>
      <c r="F1035" s="327" t="s">
        <v>3683</v>
      </c>
      <c r="G1035" s="249" t="str">
        <f>UPPER(IF($D1035=0,"",IF($A1035=4,_xlfn.XLOOKUP($D1035,Mercado!$C:$C,Mercado!$G:$G),_xlfn.XLOOKUP($D1035,Fontes!$B:$B,Fontes!$E:$E))))</f>
        <v>UN</v>
      </c>
      <c r="H1035" s="252">
        <v>11</v>
      </c>
      <c r="I1035" s="252">
        <f>IF($A1035="M",_xlfn.XLOOKUP($D1035,Mercado!$C:$C,Mercado!$I:$I),_xlfn.XLOOKUP($D1035,Fontes!$B:$B,Fontes!$J:$J))</f>
        <v>0</v>
      </c>
      <c r="J1035" s="252">
        <f>IF($A1035="M",_xlfn.XLOOKUP($D1035,Mercado!$C:$C,Mercado!$J:$J),_xlfn.XLOOKUP($D1035,Fontes!$B:$B,Fontes!$H:$H))</f>
        <v>0</v>
      </c>
      <c r="K1035" s="252">
        <f>IF($A1035="M",0,_xlfn.XLOOKUP($D1035,Fontes!$B:$B,Fontes!$I:$I))</f>
        <v>0</v>
      </c>
      <c r="L1035" s="250">
        <f t="shared" si="101"/>
        <v>0</v>
      </c>
      <c r="M1035" s="300">
        <f t="shared" si="104"/>
        <v>0</v>
      </c>
      <c r="O1035" s="517">
        <f t="shared" si="102"/>
        <v>0</v>
      </c>
    </row>
    <row r="1036" spans="1:15" ht="57.6" outlineLevel="4" x14ac:dyDescent="0.3">
      <c r="A1036" s="35"/>
      <c r="B1036" s="36"/>
      <c r="C1036" s="495" t="s">
        <v>10667</v>
      </c>
      <c r="D1036" s="479">
        <v>89724</v>
      </c>
      <c r="E1036" s="249" t="str">
        <f>UPPER(IF($D1036=0,"",IF($A1036=4,_xlfn.XLOOKUP($D1036,Mercado!$C:$C,Mercado!$E:$E),_xlfn.XLOOKUP($D1036,Fontes!$B:$B,Fontes!$C:$C))))</f>
        <v>SINAPI</v>
      </c>
      <c r="F1036" s="327" t="s">
        <v>91</v>
      </c>
      <c r="G1036" s="249" t="str">
        <f>UPPER(IF($D1036=0,"",IF($A1036=4,_xlfn.XLOOKUP($D1036,Mercado!$C:$C,Mercado!$G:$G),_xlfn.XLOOKUP($D1036,Fontes!$B:$B,Fontes!$E:$E))))</f>
        <v>UN</v>
      </c>
      <c r="H1036" s="252">
        <v>48</v>
      </c>
      <c r="I1036" s="252">
        <f>IF($A1036="M",_xlfn.XLOOKUP($D1036,Mercado!$C:$C,Mercado!$I:$I),_xlfn.XLOOKUP($D1036,Fontes!$B:$B,Fontes!$J:$J))</f>
        <v>6.39</v>
      </c>
      <c r="J1036" s="252">
        <f>IF($A1036="M",_xlfn.XLOOKUP($D1036,Mercado!$C:$C,Mercado!$J:$J),_xlfn.XLOOKUP($D1036,Fontes!$B:$B,Fontes!$H:$H))</f>
        <v>6.89</v>
      </c>
      <c r="K1036" s="252">
        <f>IF($A1036="M",0,_xlfn.XLOOKUP($D1036,Fontes!$B:$B,Fontes!$I:$I))</f>
        <v>0.48</v>
      </c>
      <c r="L1036" s="250">
        <f t="shared" si="101"/>
        <v>13.76</v>
      </c>
      <c r="M1036" s="300">
        <f t="shared" si="104"/>
        <v>660.48</v>
      </c>
      <c r="O1036" s="517">
        <f t="shared" si="102"/>
        <v>660.48</v>
      </c>
    </row>
    <row r="1037" spans="1:15" ht="57.6" outlineLevel="4" x14ac:dyDescent="0.3">
      <c r="A1037" s="35"/>
      <c r="B1037" s="36"/>
      <c r="C1037" s="495" t="s">
        <v>10668</v>
      </c>
      <c r="D1037" s="479">
        <v>89731</v>
      </c>
      <c r="E1037" s="249" t="str">
        <f>UPPER(IF($D1037=0,"",IF($A1037=4,_xlfn.XLOOKUP($D1037,Mercado!$C:$C,Mercado!$E:$E),_xlfn.XLOOKUP($D1037,Fontes!$B:$B,Fontes!$C:$C))))</f>
        <v>SINAPI</v>
      </c>
      <c r="F1037" s="327" t="s">
        <v>93</v>
      </c>
      <c r="G1037" s="249" t="str">
        <f>UPPER(IF($D1037=0,"",IF($A1037=4,_xlfn.XLOOKUP($D1037,Mercado!$C:$C,Mercado!$G:$G),_xlfn.XLOOKUP($D1037,Fontes!$B:$B,Fontes!$E:$E))))</f>
        <v>UN</v>
      </c>
      <c r="H1037" s="252">
        <v>63</v>
      </c>
      <c r="I1037" s="252">
        <f>IF($A1037="M",_xlfn.XLOOKUP($D1037,Mercado!$C:$C,Mercado!$I:$I),_xlfn.XLOOKUP($D1037,Fontes!$B:$B,Fontes!$J:$J))</f>
        <v>10.43</v>
      </c>
      <c r="J1037" s="252">
        <f>IF($A1037="M",_xlfn.XLOOKUP($D1037,Mercado!$C:$C,Mercado!$J:$J),_xlfn.XLOOKUP($D1037,Fontes!$B:$B,Fontes!$H:$H))</f>
        <v>7.49</v>
      </c>
      <c r="K1037" s="252">
        <f>IF($A1037="M",0,_xlfn.XLOOKUP($D1037,Fontes!$B:$B,Fontes!$I:$I))</f>
        <v>0.52</v>
      </c>
      <c r="L1037" s="250">
        <f t="shared" si="101"/>
        <v>18.440000000000001</v>
      </c>
      <c r="M1037" s="300">
        <f t="shared" si="104"/>
        <v>1161.72</v>
      </c>
      <c r="O1037" s="517">
        <f t="shared" si="102"/>
        <v>1161.72</v>
      </c>
    </row>
    <row r="1038" spans="1:15" ht="57.6" outlineLevel="4" x14ac:dyDescent="0.3">
      <c r="A1038" s="35"/>
      <c r="B1038" s="36"/>
      <c r="C1038" s="495" t="s">
        <v>10669</v>
      </c>
      <c r="D1038" s="479">
        <v>89744</v>
      </c>
      <c r="E1038" s="249" t="str">
        <f>UPPER(IF($D1038=0,"",IF($A1038=4,_xlfn.XLOOKUP($D1038,Mercado!$C:$C,Mercado!$E:$E),_xlfn.XLOOKUP($D1038,Fontes!$B:$B,Fontes!$C:$C))))</f>
        <v>SINAPI</v>
      </c>
      <c r="F1038" s="327" t="s">
        <v>96</v>
      </c>
      <c r="G1038" s="249" t="str">
        <f>UPPER(IF($D1038=0,"",IF($A1038=4,_xlfn.XLOOKUP($D1038,Mercado!$C:$C,Mercado!$G:$G),_xlfn.XLOOKUP($D1038,Fontes!$B:$B,Fontes!$E:$E))))</f>
        <v>UN</v>
      </c>
      <c r="H1038" s="252">
        <v>7</v>
      </c>
      <c r="I1038" s="252">
        <f>IF($A1038="M",_xlfn.XLOOKUP($D1038,Mercado!$C:$C,Mercado!$I:$I),_xlfn.XLOOKUP($D1038,Fontes!$B:$B,Fontes!$J:$J))</f>
        <v>21.62</v>
      </c>
      <c r="J1038" s="252">
        <f>IF($A1038="M",_xlfn.XLOOKUP($D1038,Mercado!$C:$C,Mercado!$J:$J),_xlfn.XLOOKUP($D1038,Fontes!$B:$B,Fontes!$H:$H))</f>
        <v>10.46</v>
      </c>
      <c r="K1038" s="252">
        <f>IF($A1038="M",0,_xlfn.XLOOKUP($D1038,Fontes!$B:$B,Fontes!$I:$I))</f>
        <v>0.72</v>
      </c>
      <c r="L1038" s="250">
        <f t="shared" ref="L1038:L1101" si="105">SUM(I1038:K1038)</f>
        <v>32.799999999999997</v>
      </c>
      <c r="M1038" s="300">
        <f t="shared" si="104"/>
        <v>229.6</v>
      </c>
      <c r="O1038" s="517">
        <f t="shared" si="102"/>
        <v>229.6</v>
      </c>
    </row>
    <row r="1039" spans="1:15" ht="57.6" outlineLevel="4" x14ac:dyDescent="0.3">
      <c r="A1039" s="35"/>
      <c r="B1039" s="36"/>
      <c r="C1039" s="495" t="s">
        <v>10670</v>
      </c>
      <c r="D1039" s="479">
        <v>89726</v>
      </c>
      <c r="E1039" s="249" t="str">
        <f>UPPER(IF($D1039=0,"",IF($A1039=4,_xlfn.XLOOKUP($D1039,Mercado!$C:$C,Mercado!$E:$E),_xlfn.XLOOKUP($D1039,Fontes!$B:$B,Fontes!$C:$C))))</f>
        <v>SINAPI</v>
      </c>
      <c r="F1039" s="327" t="s">
        <v>92</v>
      </c>
      <c r="G1039" s="249" t="str">
        <f>UPPER(IF($D1039=0,"",IF($A1039=4,_xlfn.XLOOKUP($D1039,Mercado!$C:$C,Mercado!$G:$G),_xlfn.XLOOKUP($D1039,Fontes!$B:$B,Fontes!$E:$E))))</f>
        <v>UN</v>
      </c>
      <c r="H1039" s="252">
        <v>23</v>
      </c>
      <c r="I1039" s="252">
        <f>IF($A1039="M",_xlfn.XLOOKUP($D1039,Mercado!$C:$C,Mercado!$I:$I),_xlfn.XLOOKUP($D1039,Fontes!$B:$B,Fontes!$J:$J))</f>
        <v>6.63</v>
      </c>
      <c r="J1039" s="252">
        <f>IF($A1039="M",_xlfn.XLOOKUP($D1039,Mercado!$C:$C,Mercado!$J:$J),_xlfn.XLOOKUP($D1039,Fontes!$B:$B,Fontes!$H:$H))</f>
        <v>6.89</v>
      </c>
      <c r="K1039" s="252">
        <f>IF($A1039="M",0,_xlfn.XLOOKUP($D1039,Fontes!$B:$B,Fontes!$I:$I))</f>
        <v>0.48</v>
      </c>
      <c r="L1039" s="250">
        <f t="shared" si="105"/>
        <v>14</v>
      </c>
      <c r="M1039" s="300">
        <f t="shared" si="104"/>
        <v>322</v>
      </c>
      <c r="O1039" s="517">
        <f t="shared" si="102"/>
        <v>322</v>
      </c>
    </row>
    <row r="1040" spans="1:15" ht="57.6" outlineLevel="4" x14ac:dyDescent="0.3">
      <c r="A1040" s="35"/>
      <c r="B1040" s="36"/>
      <c r="C1040" s="495" t="s">
        <v>10671</v>
      </c>
      <c r="D1040" s="479">
        <v>89732</v>
      </c>
      <c r="E1040" s="249" t="str">
        <f>UPPER(IF($D1040=0,"",IF($A1040=4,_xlfn.XLOOKUP($D1040,Mercado!$C:$C,Mercado!$E:$E),_xlfn.XLOOKUP($D1040,Fontes!$B:$B,Fontes!$C:$C))))</f>
        <v>SINAPI</v>
      </c>
      <c r="F1040" s="327" t="s">
        <v>94</v>
      </c>
      <c r="G1040" s="249" t="str">
        <f>UPPER(IF($D1040=0,"",IF($A1040=4,_xlfn.XLOOKUP($D1040,Mercado!$C:$C,Mercado!$G:$G),_xlfn.XLOOKUP($D1040,Fontes!$B:$B,Fontes!$E:$E))))</f>
        <v>UN</v>
      </c>
      <c r="H1040" s="252">
        <v>13</v>
      </c>
      <c r="I1040" s="252">
        <f>IF($A1040="M",_xlfn.XLOOKUP($D1040,Mercado!$C:$C,Mercado!$I:$I),_xlfn.XLOOKUP($D1040,Fontes!$B:$B,Fontes!$J:$J))</f>
        <v>11.21</v>
      </c>
      <c r="J1040" s="252">
        <f>IF($A1040="M",_xlfn.XLOOKUP($D1040,Mercado!$C:$C,Mercado!$J:$J),_xlfn.XLOOKUP($D1040,Fontes!$B:$B,Fontes!$H:$H))</f>
        <v>7.49</v>
      </c>
      <c r="K1040" s="252">
        <f>IF($A1040="M",0,_xlfn.XLOOKUP($D1040,Fontes!$B:$B,Fontes!$I:$I))</f>
        <v>0.52</v>
      </c>
      <c r="L1040" s="250">
        <f t="shared" si="105"/>
        <v>19.220000000000002</v>
      </c>
      <c r="M1040" s="300">
        <f t="shared" si="104"/>
        <v>249.86</v>
      </c>
      <c r="O1040" s="517">
        <f t="shared" si="102"/>
        <v>249.86</v>
      </c>
    </row>
    <row r="1041" spans="1:15" ht="57.6" outlineLevel="4" x14ac:dyDescent="0.3">
      <c r="A1041" s="35"/>
      <c r="B1041" s="36"/>
      <c r="C1041" s="495" t="s">
        <v>10672</v>
      </c>
      <c r="D1041" s="479">
        <v>89739</v>
      </c>
      <c r="E1041" s="249" t="str">
        <f>UPPER(IF($D1041=0,"",IF($A1041=4,_xlfn.XLOOKUP($D1041,Mercado!$C:$C,Mercado!$E:$E),_xlfn.XLOOKUP($D1041,Fontes!$B:$B,Fontes!$C:$C))))</f>
        <v>SINAPI</v>
      </c>
      <c r="F1041" s="327" t="s">
        <v>95</v>
      </c>
      <c r="G1041" s="249" t="str">
        <f>UPPER(IF($D1041=0,"",IF($A1041=4,_xlfn.XLOOKUP($D1041,Mercado!$C:$C,Mercado!$G:$G),_xlfn.XLOOKUP($D1041,Fontes!$B:$B,Fontes!$E:$E))))</f>
        <v>UN</v>
      </c>
      <c r="H1041" s="252">
        <v>10</v>
      </c>
      <c r="I1041" s="252">
        <f>IF($A1041="M",_xlfn.XLOOKUP($D1041,Mercado!$C:$C,Mercado!$I:$I),_xlfn.XLOOKUP($D1041,Fontes!$B:$B,Fontes!$J:$J))</f>
        <v>18.45</v>
      </c>
      <c r="J1041" s="252">
        <f>IF($A1041="M",_xlfn.XLOOKUP($D1041,Mercado!$C:$C,Mercado!$J:$J),_xlfn.XLOOKUP($D1041,Fontes!$B:$B,Fontes!$H:$H))</f>
        <v>8.9700000000000006</v>
      </c>
      <c r="K1041" s="252">
        <f>IF($A1041="M",0,_xlfn.XLOOKUP($D1041,Fontes!$B:$B,Fontes!$I:$I))</f>
        <v>0.62</v>
      </c>
      <c r="L1041" s="250">
        <f t="shared" si="105"/>
        <v>28.040000000000003</v>
      </c>
      <c r="M1041" s="300">
        <f t="shared" si="104"/>
        <v>280.39999999999998</v>
      </c>
      <c r="O1041" s="517">
        <f t="shared" si="102"/>
        <v>280.39999999999998</v>
      </c>
    </row>
    <row r="1042" spans="1:15" ht="57.6" outlineLevel="4" x14ac:dyDescent="0.3">
      <c r="A1042" s="35"/>
      <c r="B1042" s="36"/>
      <c r="C1042" s="495" t="s">
        <v>10673</v>
      </c>
      <c r="D1042" s="479">
        <v>89810</v>
      </c>
      <c r="E1042" s="249" t="str">
        <f>UPPER(IF($D1042=0,"",IF($A1042=4,_xlfn.XLOOKUP($D1042,Mercado!$C:$C,Mercado!$E:$E),_xlfn.XLOOKUP($D1042,Fontes!$B:$B,Fontes!$C:$C))))</f>
        <v>SINAPI</v>
      </c>
      <c r="F1042" s="327" t="s">
        <v>102</v>
      </c>
      <c r="G1042" s="249" t="str">
        <f>UPPER(IF($D1042=0,"",IF($A1042=4,_xlfn.XLOOKUP($D1042,Mercado!$C:$C,Mercado!$G:$G),_xlfn.XLOOKUP($D1042,Fontes!$B:$B,Fontes!$E:$E))))</f>
        <v>UN</v>
      </c>
      <c r="H1042" s="252">
        <v>6</v>
      </c>
      <c r="I1042" s="252">
        <f>IF($A1042="M",_xlfn.XLOOKUP($D1042,Mercado!$C:$C,Mercado!$I:$I),_xlfn.XLOOKUP($D1042,Fontes!$B:$B,Fontes!$J:$J))</f>
        <v>22.92</v>
      </c>
      <c r="J1042" s="252">
        <f>IF($A1042="M",_xlfn.XLOOKUP($D1042,Mercado!$C:$C,Mercado!$J:$J),_xlfn.XLOOKUP($D1042,Fontes!$B:$B,Fontes!$H:$H))</f>
        <v>11.79</v>
      </c>
      <c r="K1042" s="252">
        <f>IF($A1042="M",0,_xlfn.XLOOKUP($D1042,Fontes!$B:$B,Fontes!$I:$I))</f>
        <v>0.8</v>
      </c>
      <c r="L1042" s="250">
        <f t="shared" si="105"/>
        <v>35.51</v>
      </c>
      <c r="M1042" s="300">
        <f t="shared" si="104"/>
        <v>213.06</v>
      </c>
      <c r="O1042" s="517">
        <f t="shared" si="102"/>
        <v>213.06</v>
      </c>
    </row>
    <row r="1043" spans="1:15" ht="57.6" outlineLevel="4" x14ac:dyDescent="0.3">
      <c r="A1043" s="35"/>
      <c r="B1043" s="36"/>
      <c r="C1043" s="495" t="s">
        <v>10674</v>
      </c>
      <c r="D1043" s="479">
        <v>89561</v>
      </c>
      <c r="E1043" s="249" t="str">
        <f>UPPER(IF($D1043=0,"",IF($A1043=4,_xlfn.XLOOKUP($D1043,Mercado!$C:$C,Mercado!$E:$E),_xlfn.XLOOKUP($D1043,Fontes!$B:$B,Fontes!$C:$C))))</f>
        <v>SINAPI</v>
      </c>
      <c r="F1043" s="327" t="s">
        <v>62</v>
      </c>
      <c r="G1043" s="249" t="str">
        <f>UPPER(IF($D1043=0,"",IF($A1043=4,_xlfn.XLOOKUP($D1043,Mercado!$C:$C,Mercado!$G:$G),_xlfn.XLOOKUP($D1043,Fontes!$B:$B,Fontes!$E:$E))))</f>
        <v>UN</v>
      </c>
      <c r="H1043" s="252">
        <v>4</v>
      </c>
      <c r="I1043" s="252">
        <f>IF($A1043="M",_xlfn.XLOOKUP($D1043,Mercado!$C:$C,Mercado!$I:$I),_xlfn.XLOOKUP($D1043,Fontes!$B:$B,Fontes!$J:$J))</f>
        <v>13.4</v>
      </c>
      <c r="J1043" s="252">
        <f>IF($A1043="M",_xlfn.XLOOKUP($D1043,Mercado!$C:$C,Mercado!$J:$J),_xlfn.XLOOKUP($D1043,Fontes!$B:$B,Fontes!$H:$H))</f>
        <v>3.44</v>
      </c>
      <c r="K1043" s="252">
        <f>IF($A1043="M",0,_xlfn.XLOOKUP($D1043,Fontes!$B:$B,Fontes!$I:$I))</f>
        <v>0.24</v>
      </c>
      <c r="L1043" s="250">
        <f t="shared" si="105"/>
        <v>17.079999999999998</v>
      </c>
      <c r="M1043" s="300">
        <f t="shared" si="104"/>
        <v>68.319999999999993</v>
      </c>
      <c r="O1043" s="517">
        <f t="shared" si="102"/>
        <v>68.319999999999993</v>
      </c>
    </row>
    <row r="1044" spans="1:15" ht="57.6" outlineLevel="4" x14ac:dyDescent="0.3">
      <c r="A1044" s="35"/>
      <c r="B1044" s="36"/>
      <c r="C1044" s="495" t="s">
        <v>10675</v>
      </c>
      <c r="D1044" s="479">
        <v>89785</v>
      </c>
      <c r="E1044" s="249" t="str">
        <f>UPPER(IF($D1044=0,"",IF($A1044=4,_xlfn.XLOOKUP($D1044,Mercado!$C:$C,Mercado!$E:$E),_xlfn.XLOOKUP($D1044,Fontes!$B:$B,Fontes!$C:$C))))</f>
        <v>SINAPI</v>
      </c>
      <c r="F1044" s="327" t="s">
        <v>101</v>
      </c>
      <c r="G1044" s="249" t="str">
        <f>UPPER(IF($D1044=0,"",IF($A1044=4,_xlfn.XLOOKUP($D1044,Mercado!$C:$C,Mercado!$G:$G),_xlfn.XLOOKUP($D1044,Fontes!$B:$B,Fontes!$E:$E))))</f>
        <v>UN</v>
      </c>
      <c r="H1044" s="252">
        <v>2</v>
      </c>
      <c r="I1044" s="252">
        <f>IF($A1044="M",_xlfn.XLOOKUP($D1044,Mercado!$C:$C,Mercado!$I:$I),_xlfn.XLOOKUP($D1044,Fontes!$B:$B,Fontes!$J:$J))</f>
        <v>20.93</v>
      </c>
      <c r="J1044" s="252">
        <f>IF($A1044="M",_xlfn.XLOOKUP($D1044,Mercado!$C:$C,Mercado!$J:$J),_xlfn.XLOOKUP($D1044,Fontes!$B:$B,Fontes!$H:$H))</f>
        <v>9.98</v>
      </c>
      <c r="K1044" s="252">
        <f>IF($A1044="M",0,_xlfn.XLOOKUP($D1044,Fontes!$B:$B,Fontes!$I:$I))</f>
        <v>0.68</v>
      </c>
      <c r="L1044" s="250">
        <f t="shared" si="105"/>
        <v>31.59</v>
      </c>
      <c r="M1044" s="300">
        <f t="shared" si="104"/>
        <v>63.18</v>
      </c>
      <c r="O1044" s="517">
        <f t="shared" si="102"/>
        <v>63.18</v>
      </c>
    </row>
    <row r="1045" spans="1:15" ht="57.6" outlineLevel="4" x14ac:dyDescent="0.3">
      <c r="A1045" s="35"/>
      <c r="B1045" s="36"/>
      <c r="C1045" s="495" t="s">
        <v>10676</v>
      </c>
      <c r="D1045" s="479">
        <v>89685</v>
      </c>
      <c r="E1045" s="249" t="str">
        <f>UPPER(IF($D1045=0,"",IF($A1045=4,_xlfn.XLOOKUP($D1045,Mercado!$C:$C,Mercado!$E:$E),_xlfn.XLOOKUP($D1045,Fontes!$B:$B,Fontes!$C:$C))))</f>
        <v>SINAPI</v>
      </c>
      <c r="F1045" s="327" t="s">
        <v>84</v>
      </c>
      <c r="G1045" s="249" t="str">
        <f>UPPER(IF($D1045=0,"",IF($A1045=4,_xlfn.XLOOKUP($D1045,Mercado!$C:$C,Mercado!$G:$G),_xlfn.XLOOKUP($D1045,Fontes!$B:$B,Fontes!$E:$E))))</f>
        <v>UN</v>
      </c>
      <c r="H1045" s="252">
        <v>2</v>
      </c>
      <c r="I1045" s="252">
        <f>IF($A1045="M",_xlfn.XLOOKUP($D1045,Mercado!$C:$C,Mercado!$I:$I),_xlfn.XLOOKUP($D1045,Fontes!$B:$B,Fontes!$J:$J))</f>
        <v>54.77</v>
      </c>
      <c r="J1045" s="252">
        <f>IF($A1045="M",_xlfn.XLOOKUP($D1045,Mercado!$C:$C,Mercado!$J:$J),_xlfn.XLOOKUP($D1045,Fontes!$B:$B,Fontes!$H:$H))</f>
        <v>12.58</v>
      </c>
      <c r="K1045" s="252">
        <f>IF($A1045="M",0,_xlfn.XLOOKUP($D1045,Fontes!$B:$B,Fontes!$I:$I))</f>
        <v>0.86</v>
      </c>
      <c r="L1045" s="250">
        <f t="shared" si="105"/>
        <v>68.210000000000008</v>
      </c>
      <c r="M1045" s="300">
        <f t="shared" si="104"/>
        <v>136.41999999999999</v>
      </c>
      <c r="O1045" s="517">
        <f t="shared" si="102"/>
        <v>136.41999999999999</v>
      </c>
    </row>
    <row r="1046" spans="1:15" ht="57.6" outlineLevel="4" x14ac:dyDescent="0.3">
      <c r="A1046" s="35"/>
      <c r="B1046" s="36"/>
      <c r="C1046" s="495" t="s">
        <v>10677</v>
      </c>
      <c r="D1046" s="479">
        <v>89690</v>
      </c>
      <c r="E1046" s="249" t="str">
        <f>UPPER(IF($D1046=0,"",IF($A1046=4,_xlfn.XLOOKUP($D1046,Mercado!$C:$C,Mercado!$E:$E),_xlfn.XLOOKUP($D1046,Fontes!$B:$B,Fontes!$C:$C))))</f>
        <v>SINAPI</v>
      </c>
      <c r="F1046" s="327" t="s">
        <v>86</v>
      </c>
      <c r="G1046" s="249" t="str">
        <f>UPPER(IF($D1046=0,"",IF($A1046=4,_xlfn.XLOOKUP($D1046,Mercado!$C:$C,Mercado!$G:$G),_xlfn.XLOOKUP($D1046,Fontes!$B:$B,Fontes!$E:$E))))</f>
        <v>UN</v>
      </c>
      <c r="H1046" s="252">
        <v>4</v>
      </c>
      <c r="I1046" s="252">
        <f>IF($A1046="M",_xlfn.XLOOKUP($D1046,Mercado!$C:$C,Mercado!$I:$I),_xlfn.XLOOKUP($D1046,Fontes!$B:$B,Fontes!$J:$J))</f>
        <v>79.64</v>
      </c>
      <c r="J1046" s="252">
        <f>IF($A1046="M",_xlfn.XLOOKUP($D1046,Mercado!$C:$C,Mercado!$J:$J),_xlfn.XLOOKUP($D1046,Fontes!$B:$B,Fontes!$H:$H))</f>
        <v>19.760000000000002</v>
      </c>
      <c r="K1046" s="252">
        <f>IF($A1046="M",0,_xlfn.XLOOKUP($D1046,Fontes!$B:$B,Fontes!$I:$I))</f>
        <v>1.36</v>
      </c>
      <c r="L1046" s="250">
        <f t="shared" si="105"/>
        <v>100.76</v>
      </c>
      <c r="M1046" s="300">
        <f t="shared" si="104"/>
        <v>403.04</v>
      </c>
      <c r="O1046" s="517">
        <f t="shared" si="102"/>
        <v>403.04</v>
      </c>
    </row>
    <row r="1047" spans="1:15" ht="38.4" outlineLevel="4" x14ac:dyDescent="0.3">
      <c r="A1047" s="35"/>
      <c r="B1047" s="36"/>
      <c r="C1047" s="495" t="s">
        <v>10678</v>
      </c>
      <c r="D1047" s="479">
        <v>1560</v>
      </c>
      <c r="E1047" s="249" t="str">
        <f>UPPER(IF($D1047=0,"",IF($A1047=4,_xlfn.XLOOKUP($D1047,Mercado!$C:$C,Mercado!$E:$E),_xlfn.XLOOKUP($D1047,Fontes!$B:$B,Fontes!$C:$C))))</f>
        <v>ORSE</v>
      </c>
      <c r="F1047" s="327" t="s">
        <v>3684</v>
      </c>
      <c r="G1047" s="249" t="str">
        <f>UPPER(IF($D1047=0,"",IF($A1047=4,_xlfn.XLOOKUP($D1047,Mercado!$C:$C,Mercado!$G:$G),_xlfn.XLOOKUP($D1047,Fontes!$B:$B,Fontes!$E:$E))))</f>
        <v>UN</v>
      </c>
      <c r="H1047" s="252">
        <v>6</v>
      </c>
      <c r="I1047" s="252">
        <f>IF($A1047="M",_xlfn.XLOOKUP($D1047,Mercado!$C:$C,Mercado!$I:$I),_xlfn.XLOOKUP($D1047,Fontes!$B:$B,Fontes!$J:$J))</f>
        <v>22.1</v>
      </c>
      <c r="J1047" s="252">
        <f>IF($A1047="M",_xlfn.XLOOKUP($D1047,Mercado!$C:$C,Mercado!$J:$J),_xlfn.XLOOKUP($D1047,Fontes!$B:$B,Fontes!$H:$H))</f>
        <v>13.34</v>
      </c>
      <c r="K1047" s="252">
        <f>IF($A1047="M",0,_xlfn.XLOOKUP($D1047,Fontes!$B:$B,Fontes!$I:$I))</f>
        <v>0</v>
      </c>
      <c r="L1047" s="250">
        <f t="shared" si="105"/>
        <v>35.44</v>
      </c>
      <c r="M1047" s="300">
        <f t="shared" si="104"/>
        <v>212.64</v>
      </c>
      <c r="O1047" s="517">
        <f t="shared" si="102"/>
        <v>212.64</v>
      </c>
    </row>
    <row r="1048" spans="1:15" ht="38.4" outlineLevel="4" x14ac:dyDescent="0.3">
      <c r="A1048" s="35"/>
      <c r="B1048" s="36"/>
      <c r="C1048" s="495" t="s">
        <v>10679</v>
      </c>
      <c r="D1048" s="479">
        <v>1562</v>
      </c>
      <c r="E1048" s="249" t="str">
        <f>UPPER(IF($D1048=0,"",IF($A1048=4,_xlfn.XLOOKUP($D1048,Mercado!$C:$C,Mercado!$E:$E),_xlfn.XLOOKUP($D1048,Fontes!$B:$B,Fontes!$C:$C))))</f>
        <v>ORSE</v>
      </c>
      <c r="F1048" s="327" t="s">
        <v>3685</v>
      </c>
      <c r="G1048" s="249" t="str">
        <f>UPPER(IF($D1048=0,"",IF($A1048=4,_xlfn.XLOOKUP($D1048,Mercado!$C:$C,Mercado!$G:$G),_xlfn.XLOOKUP($D1048,Fontes!$B:$B,Fontes!$E:$E))))</f>
        <v>UN</v>
      </c>
      <c r="H1048" s="252">
        <v>7</v>
      </c>
      <c r="I1048" s="252">
        <f>IF($A1048="M",_xlfn.XLOOKUP($D1048,Mercado!$C:$C,Mercado!$I:$I),_xlfn.XLOOKUP($D1048,Fontes!$B:$B,Fontes!$J:$J))</f>
        <v>31.95</v>
      </c>
      <c r="J1048" s="252">
        <f>IF($A1048="M",_xlfn.XLOOKUP($D1048,Mercado!$C:$C,Mercado!$J:$J),_xlfn.XLOOKUP($D1048,Fontes!$B:$B,Fontes!$H:$H))</f>
        <v>16.579999999999998</v>
      </c>
      <c r="K1048" s="252">
        <f>IF($A1048="M",0,_xlfn.XLOOKUP($D1048,Fontes!$B:$B,Fontes!$I:$I))</f>
        <v>0</v>
      </c>
      <c r="L1048" s="250">
        <f t="shared" si="105"/>
        <v>48.53</v>
      </c>
      <c r="M1048" s="300">
        <f t="shared" si="104"/>
        <v>339.71</v>
      </c>
      <c r="O1048" s="517">
        <f t="shared" si="102"/>
        <v>339.71</v>
      </c>
    </row>
    <row r="1049" spans="1:15" ht="38.4" outlineLevel="4" x14ac:dyDescent="0.3">
      <c r="A1049" s="35"/>
      <c r="B1049" s="36"/>
      <c r="C1049" s="495" t="s">
        <v>10680</v>
      </c>
      <c r="D1049" s="479">
        <v>1563</v>
      </c>
      <c r="E1049" s="249" t="str">
        <f>UPPER(IF($D1049=0,"",IF($A1049=4,_xlfn.XLOOKUP($D1049,Mercado!$C:$C,Mercado!$E:$E),_xlfn.XLOOKUP($D1049,Fontes!$B:$B,Fontes!$C:$C))))</f>
        <v>ORSE</v>
      </c>
      <c r="F1049" s="327" t="s">
        <v>3686</v>
      </c>
      <c r="G1049" s="249" t="str">
        <f>UPPER(IF($D1049=0,"",IF($A1049=4,_xlfn.XLOOKUP($D1049,Mercado!$C:$C,Mercado!$G:$G),_xlfn.XLOOKUP($D1049,Fontes!$B:$B,Fontes!$E:$E))))</f>
        <v>UN</v>
      </c>
      <c r="H1049" s="252">
        <v>7</v>
      </c>
      <c r="I1049" s="252">
        <f>IF($A1049="M",_xlfn.XLOOKUP($D1049,Mercado!$C:$C,Mercado!$I:$I),_xlfn.XLOOKUP($D1049,Fontes!$B:$B,Fontes!$J:$J))</f>
        <v>38.86</v>
      </c>
      <c r="J1049" s="252">
        <f>IF($A1049="M",_xlfn.XLOOKUP($D1049,Mercado!$C:$C,Mercado!$J:$J),_xlfn.XLOOKUP($D1049,Fontes!$B:$B,Fontes!$H:$H))</f>
        <v>16.579999999999998</v>
      </c>
      <c r="K1049" s="252">
        <f>IF($A1049="M",0,_xlfn.XLOOKUP($D1049,Fontes!$B:$B,Fontes!$I:$I))</f>
        <v>0</v>
      </c>
      <c r="L1049" s="250">
        <f t="shared" si="105"/>
        <v>55.44</v>
      </c>
      <c r="M1049" s="300">
        <f t="shared" si="104"/>
        <v>388.08</v>
      </c>
      <c r="O1049" s="517">
        <f t="shared" si="102"/>
        <v>388.08</v>
      </c>
    </row>
    <row r="1050" spans="1:15" ht="57.6" outlineLevel="4" x14ac:dyDescent="0.3">
      <c r="A1050" s="35"/>
      <c r="B1050" s="36"/>
      <c r="C1050" s="495" t="s">
        <v>10681</v>
      </c>
      <c r="D1050" s="479">
        <v>89782</v>
      </c>
      <c r="E1050" s="249" t="str">
        <f>UPPER(IF($D1050=0,"",IF($A1050=4,_xlfn.XLOOKUP($D1050,Mercado!$C:$C,Mercado!$E:$E),_xlfn.XLOOKUP($D1050,Fontes!$B:$B,Fontes!$C:$C))))</f>
        <v>SINAPI</v>
      </c>
      <c r="F1050" s="327" t="s">
        <v>99</v>
      </c>
      <c r="G1050" s="249" t="str">
        <f>UPPER(IF($D1050=0,"",IF($A1050=4,_xlfn.XLOOKUP($D1050,Mercado!$C:$C,Mercado!$G:$G),_xlfn.XLOOKUP($D1050,Fontes!$B:$B,Fontes!$E:$E))))</f>
        <v>UN</v>
      </c>
      <c r="H1050" s="252">
        <v>6</v>
      </c>
      <c r="I1050" s="252">
        <f>IF($A1050="M",_xlfn.XLOOKUP($D1050,Mercado!$C:$C,Mercado!$I:$I),_xlfn.XLOOKUP($D1050,Fontes!$B:$B,Fontes!$J:$J))</f>
        <v>9.8000000000000007</v>
      </c>
      <c r="J1050" s="252">
        <f>IF($A1050="M",_xlfn.XLOOKUP($D1050,Mercado!$C:$C,Mercado!$J:$J),_xlfn.XLOOKUP($D1050,Fontes!$B:$B,Fontes!$H:$H))</f>
        <v>9.1999999999999993</v>
      </c>
      <c r="K1050" s="252">
        <f>IF($A1050="M",0,_xlfn.XLOOKUP($D1050,Fontes!$B:$B,Fontes!$I:$I))</f>
        <v>0.62</v>
      </c>
      <c r="L1050" s="250">
        <f t="shared" si="105"/>
        <v>19.62</v>
      </c>
      <c r="M1050" s="300">
        <f t="shared" si="104"/>
        <v>117.72</v>
      </c>
      <c r="O1050" s="517">
        <f t="shared" si="102"/>
        <v>117.72</v>
      </c>
    </row>
    <row r="1051" spans="1:15" ht="57.6" outlineLevel="4" x14ac:dyDescent="0.3">
      <c r="A1051" s="35"/>
      <c r="B1051" s="36"/>
      <c r="C1051" s="495" t="s">
        <v>10682</v>
      </c>
      <c r="D1051" s="479">
        <v>89784</v>
      </c>
      <c r="E1051" s="249" t="str">
        <f>UPPER(IF($D1051=0,"",IF($A1051=4,_xlfn.XLOOKUP($D1051,Mercado!$C:$C,Mercado!$E:$E),_xlfn.XLOOKUP($D1051,Fontes!$B:$B,Fontes!$C:$C))))</f>
        <v>SINAPI</v>
      </c>
      <c r="F1051" s="327" t="s">
        <v>100</v>
      </c>
      <c r="G1051" s="249" t="str">
        <f>UPPER(IF($D1051=0,"",IF($A1051=4,_xlfn.XLOOKUP($D1051,Mercado!$C:$C,Mercado!$G:$G),_xlfn.XLOOKUP($D1051,Fontes!$B:$B,Fontes!$E:$E))))</f>
        <v>UN</v>
      </c>
      <c r="H1051" s="252">
        <v>19</v>
      </c>
      <c r="I1051" s="252">
        <f>IF($A1051="M",_xlfn.XLOOKUP($D1051,Mercado!$C:$C,Mercado!$I:$I),_xlfn.XLOOKUP($D1051,Fontes!$B:$B,Fontes!$J:$J))</f>
        <v>18.43</v>
      </c>
      <c r="J1051" s="252">
        <f>IF($A1051="M",_xlfn.XLOOKUP($D1051,Mercado!$C:$C,Mercado!$J:$J),_xlfn.XLOOKUP($D1051,Fontes!$B:$B,Fontes!$H:$H))</f>
        <v>9.98</v>
      </c>
      <c r="K1051" s="252">
        <f>IF($A1051="M",0,_xlfn.XLOOKUP($D1051,Fontes!$B:$B,Fontes!$I:$I))</f>
        <v>0.68</v>
      </c>
      <c r="L1051" s="250">
        <f t="shared" si="105"/>
        <v>29.09</v>
      </c>
      <c r="M1051" s="300">
        <f t="shared" si="104"/>
        <v>552.71</v>
      </c>
      <c r="O1051" s="517">
        <f t="shared" si="102"/>
        <v>552.71</v>
      </c>
    </row>
    <row r="1052" spans="1:15" ht="76.8" outlineLevel="4" x14ac:dyDescent="0.3">
      <c r="A1052" s="35"/>
      <c r="B1052" s="36"/>
      <c r="C1052" s="495" t="s">
        <v>10683</v>
      </c>
      <c r="D1052" s="479">
        <v>94698</v>
      </c>
      <c r="E1052" s="249" t="str">
        <f>UPPER(IF($D1052=0,"",IF($A1052=4,_xlfn.XLOOKUP($D1052,Mercado!$C:$C,Mercado!$E:$E),_xlfn.XLOOKUP($D1052,Fontes!$B:$B,Fontes!$C:$C))))</f>
        <v>SINAPI</v>
      </c>
      <c r="F1052" s="327" t="s">
        <v>109</v>
      </c>
      <c r="G1052" s="249" t="str">
        <f>UPPER(IF($D1052=0,"",IF($A1052=4,_xlfn.XLOOKUP($D1052,Mercado!$C:$C,Mercado!$G:$G),_xlfn.XLOOKUP($D1052,Fontes!$B:$B,Fontes!$E:$E))))</f>
        <v>UN</v>
      </c>
      <c r="H1052" s="252">
        <v>7</v>
      </c>
      <c r="I1052" s="252">
        <f>IF($A1052="M",_xlfn.XLOOKUP($D1052,Mercado!$C:$C,Mercado!$I:$I),_xlfn.XLOOKUP($D1052,Fontes!$B:$B,Fontes!$J:$J))</f>
        <v>57.73</v>
      </c>
      <c r="J1052" s="252">
        <f>IF($A1052="M",_xlfn.XLOOKUP($D1052,Mercado!$C:$C,Mercado!$J:$J),_xlfn.XLOOKUP($D1052,Fontes!$B:$B,Fontes!$H:$H))</f>
        <v>16.78</v>
      </c>
      <c r="K1052" s="252">
        <f>IF($A1052="M",0,_xlfn.XLOOKUP($D1052,Fontes!$B:$B,Fontes!$I:$I))</f>
        <v>1.1399999999999999</v>
      </c>
      <c r="L1052" s="250">
        <f t="shared" si="105"/>
        <v>75.649999999999991</v>
      </c>
      <c r="M1052" s="300">
        <f t="shared" si="104"/>
        <v>529.54999999999995</v>
      </c>
      <c r="O1052" s="517">
        <f t="shared" si="102"/>
        <v>529.54999999999995</v>
      </c>
    </row>
    <row r="1053" spans="1:15" ht="76.8" outlineLevel="4" x14ac:dyDescent="0.3">
      <c r="A1053" s="35"/>
      <c r="B1053" s="36"/>
      <c r="C1053" s="495" t="s">
        <v>10684</v>
      </c>
      <c r="D1053" s="479">
        <v>94702</v>
      </c>
      <c r="E1053" s="249" t="str">
        <f>UPPER(IF($D1053=0,"",IF($A1053=4,_xlfn.XLOOKUP($D1053,Mercado!$C:$C,Mercado!$E:$E),_xlfn.XLOOKUP($D1053,Fontes!$B:$B,Fontes!$C:$C))))</f>
        <v>SINAPI</v>
      </c>
      <c r="F1053" s="327" t="s">
        <v>110</v>
      </c>
      <c r="G1053" s="249" t="str">
        <f>UPPER(IF($D1053=0,"",IF($A1053=4,_xlfn.XLOOKUP($D1053,Mercado!$C:$C,Mercado!$G:$G),_xlfn.XLOOKUP($D1053,Fontes!$B:$B,Fontes!$E:$E))))</f>
        <v>UN</v>
      </c>
      <c r="H1053" s="252">
        <v>1</v>
      </c>
      <c r="I1053" s="252">
        <f>IF($A1053="M",_xlfn.XLOOKUP($D1053,Mercado!$C:$C,Mercado!$I:$I),_xlfn.XLOOKUP($D1053,Fontes!$B:$B,Fontes!$J:$J))</f>
        <v>171.56</v>
      </c>
      <c r="J1053" s="252">
        <f>IF($A1053="M",_xlfn.XLOOKUP($D1053,Mercado!$C:$C,Mercado!$J:$J),_xlfn.XLOOKUP($D1053,Fontes!$B:$B,Fontes!$H:$H))</f>
        <v>31.7</v>
      </c>
      <c r="K1053" s="252">
        <f>IF($A1053="M",0,_xlfn.XLOOKUP($D1053,Fontes!$B:$B,Fontes!$I:$I))</f>
        <v>2.1800000000000002</v>
      </c>
      <c r="L1053" s="250">
        <f t="shared" si="105"/>
        <v>205.44</v>
      </c>
      <c r="M1053" s="300">
        <f t="shared" si="104"/>
        <v>205.44</v>
      </c>
      <c r="O1053" s="517">
        <f t="shared" si="102"/>
        <v>205.44</v>
      </c>
    </row>
    <row r="1054" spans="1:15" ht="57.6" outlineLevel="4" x14ac:dyDescent="0.3">
      <c r="A1054" s="35"/>
      <c r="B1054" s="36"/>
      <c r="C1054" s="495" t="s">
        <v>10685</v>
      </c>
      <c r="D1054" s="479">
        <v>89753</v>
      </c>
      <c r="E1054" s="249" t="str">
        <f>UPPER(IF($D1054=0,"",IF($A1054=4,_xlfn.XLOOKUP($D1054,Mercado!$C:$C,Mercado!$E:$E),_xlfn.XLOOKUP($D1054,Fontes!$B:$B,Fontes!$C:$C))))</f>
        <v>SINAPI</v>
      </c>
      <c r="F1054" s="327" t="s">
        <v>97</v>
      </c>
      <c r="G1054" s="249" t="str">
        <f>UPPER(IF($D1054=0,"",IF($A1054=4,_xlfn.XLOOKUP($D1054,Mercado!$C:$C,Mercado!$G:$G),_xlfn.XLOOKUP($D1054,Fontes!$B:$B,Fontes!$E:$E))))</f>
        <v>UN</v>
      </c>
      <c r="H1054" s="252">
        <v>95</v>
      </c>
      <c r="I1054" s="252">
        <f>IF($A1054="M",_xlfn.XLOOKUP($D1054,Mercado!$C:$C,Mercado!$I:$I),_xlfn.XLOOKUP($D1054,Fontes!$B:$B,Fontes!$J:$J))</f>
        <v>6.61</v>
      </c>
      <c r="J1054" s="252">
        <f>IF($A1054="M",_xlfn.XLOOKUP($D1054,Mercado!$C:$C,Mercado!$J:$J),_xlfn.XLOOKUP($D1054,Fontes!$B:$B,Fontes!$H:$H))</f>
        <v>4.99</v>
      </c>
      <c r="K1054" s="252">
        <f>IF($A1054="M",0,_xlfn.XLOOKUP($D1054,Fontes!$B:$B,Fontes!$I:$I))</f>
        <v>0.34</v>
      </c>
      <c r="L1054" s="250">
        <f t="shared" si="105"/>
        <v>11.940000000000001</v>
      </c>
      <c r="M1054" s="300">
        <f t="shared" si="104"/>
        <v>1134.3</v>
      </c>
      <c r="O1054" s="517">
        <f t="shared" si="102"/>
        <v>1134.3</v>
      </c>
    </row>
    <row r="1055" spans="1:15" ht="57.6" outlineLevel="4" x14ac:dyDescent="0.3">
      <c r="A1055" s="35"/>
      <c r="B1055" s="36"/>
      <c r="C1055" s="495" t="s">
        <v>10686</v>
      </c>
      <c r="D1055" s="479">
        <v>89774</v>
      </c>
      <c r="E1055" s="249" t="str">
        <f>UPPER(IF($D1055=0,"",IF($A1055=4,_xlfn.XLOOKUP($D1055,Mercado!$C:$C,Mercado!$E:$E),_xlfn.XLOOKUP($D1055,Fontes!$B:$B,Fontes!$C:$C))))</f>
        <v>SINAPI</v>
      </c>
      <c r="F1055" s="327" t="s">
        <v>98</v>
      </c>
      <c r="G1055" s="249" t="str">
        <f>UPPER(IF($D1055=0,"",IF($A1055=4,_xlfn.XLOOKUP($D1055,Mercado!$C:$C,Mercado!$G:$G),_xlfn.XLOOKUP($D1055,Fontes!$B:$B,Fontes!$E:$E))))</f>
        <v>UN</v>
      </c>
      <c r="H1055" s="252">
        <v>24</v>
      </c>
      <c r="I1055" s="252">
        <f>IF($A1055="M",_xlfn.XLOOKUP($D1055,Mercado!$C:$C,Mercado!$I:$I),_xlfn.XLOOKUP($D1055,Fontes!$B:$B,Fontes!$J:$J))</f>
        <v>12.64</v>
      </c>
      <c r="J1055" s="252">
        <f>IF($A1055="M",_xlfn.XLOOKUP($D1055,Mercado!$C:$C,Mercado!$J:$J),_xlfn.XLOOKUP($D1055,Fontes!$B:$B,Fontes!$H:$H))</f>
        <v>5.99</v>
      </c>
      <c r="K1055" s="252">
        <f>IF($A1055="M",0,_xlfn.XLOOKUP($D1055,Fontes!$B:$B,Fontes!$I:$I))</f>
        <v>0.4</v>
      </c>
      <c r="L1055" s="250">
        <f t="shared" si="105"/>
        <v>19.03</v>
      </c>
      <c r="M1055" s="300">
        <f t="shared" si="104"/>
        <v>456.72</v>
      </c>
      <c r="O1055" s="517">
        <f t="shared" si="102"/>
        <v>456.72</v>
      </c>
    </row>
    <row r="1056" spans="1:15" ht="57.6" outlineLevel="4" x14ac:dyDescent="0.3">
      <c r="A1056" s="35"/>
      <c r="B1056" s="36"/>
      <c r="C1056" s="495" t="s">
        <v>10687</v>
      </c>
      <c r="D1056" s="479">
        <v>89856</v>
      </c>
      <c r="E1056" s="249" t="str">
        <f>UPPER(IF($D1056=0,"",IF($A1056=4,_xlfn.XLOOKUP($D1056,Mercado!$C:$C,Mercado!$E:$E),_xlfn.XLOOKUP($D1056,Fontes!$B:$B,Fontes!$C:$C))))</f>
        <v>SINAPI</v>
      </c>
      <c r="F1056" s="327" t="s">
        <v>103</v>
      </c>
      <c r="G1056" s="249" t="str">
        <f>UPPER(IF($D1056=0,"",IF($A1056=4,_xlfn.XLOOKUP($D1056,Mercado!$C:$C,Mercado!$G:$G),_xlfn.XLOOKUP($D1056,Fontes!$B:$B,Fontes!$E:$E))))</f>
        <v>UN</v>
      </c>
      <c r="H1056" s="252">
        <v>31</v>
      </c>
      <c r="I1056" s="252">
        <f>IF($A1056="M",_xlfn.XLOOKUP($D1056,Mercado!$C:$C,Mercado!$I:$I),_xlfn.XLOOKUP($D1056,Fontes!$B:$B,Fontes!$J:$J))</f>
        <v>15.45</v>
      </c>
      <c r="J1056" s="252">
        <f>IF($A1056="M",_xlfn.XLOOKUP($D1056,Mercado!$C:$C,Mercado!$J:$J),_xlfn.XLOOKUP($D1056,Fontes!$B:$B,Fontes!$H:$H))</f>
        <v>10.039999999999999</v>
      </c>
      <c r="K1056" s="252">
        <f>IF($A1056="M",0,_xlfn.XLOOKUP($D1056,Fontes!$B:$B,Fontes!$I:$I))</f>
        <v>0.68</v>
      </c>
      <c r="L1056" s="250">
        <f t="shared" si="105"/>
        <v>26.169999999999998</v>
      </c>
      <c r="M1056" s="300">
        <f t="shared" si="104"/>
        <v>811.27</v>
      </c>
      <c r="O1056" s="517">
        <f t="shared" si="102"/>
        <v>811.27</v>
      </c>
    </row>
    <row r="1057" spans="1:15" ht="38.4" outlineLevel="4" x14ac:dyDescent="0.3">
      <c r="A1057" s="35"/>
      <c r="B1057" s="36"/>
      <c r="C1057" s="495" t="s">
        <v>10688</v>
      </c>
      <c r="D1057" s="479">
        <v>1608</v>
      </c>
      <c r="E1057" s="249" t="str">
        <f>UPPER(IF($D1057=0,"",IF($A1057=4,_xlfn.XLOOKUP($D1057,Mercado!$C:$C,Mercado!$E:$E),_xlfn.XLOOKUP($D1057,Fontes!$B:$B,Fontes!$C:$C))))</f>
        <v>ORSE</v>
      </c>
      <c r="F1057" s="327" t="s">
        <v>3687</v>
      </c>
      <c r="G1057" s="249" t="str">
        <f>UPPER(IF($D1057=0,"",IF($A1057=4,_xlfn.XLOOKUP($D1057,Mercado!$C:$C,Mercado!$G:$G),_xlfn.XLOOKUP($D1057,Fontes!$B:$B,Fontes!$E:$E))))</f>
        <v>UN</v>
      </c>
      <c r="H1057" s="252">
        <v>8</v>
      </c>
      <c r="I1057" s="252">
        <f>IF($A1057="M",_xlfn.XLOOKUP($D1057,Mercado!$C:$C,Mercado!$I:$I),_xlfn.XLOOKUP($D1057,Fontes!$B:$B,Fontes!$J:$J))</f>
        <v>12.1</v>
      </c>
      <c r="J1057" s="252">
        <f>IF($A1057="M",_xlfn.XLOOKUP($D1057,Mercado!$C:$C,Mercado!$J:$J),_xlfn.XLOOKUP($D1057,Fontes!$B:$B,Fontes!$H:$H))</f>
        <v>4.32</v>
      </c>
      <c r="K1057" s="252">
        <f>IF($A1057="M",0,_xlfn.XLOOKUP($D1057,Fontes!$B:$B,Fontes!$I:$I))</f>
        <v>0</v>
      </c>
      <c r="L1057" s="250">
        <f t="shared" si="105"/>
        <v>16.420000000000002</v>
      </c>
      <c r="M1057" s="300">
        <f t="shared" si="104"/>
        <v>131.36000000000001</v>
      </c>
      <c r="O1057" s="517">
        <f t="shared" si="102"/>
        <v>131.36000000000001</v>
      </c>
    </row>
    <row r="1058" spans="1:15" ht="38.4" outlineLevel="4" x14ac:dyDescent="0.3">
      <c r="A1058" s="35"/>
      <c r="B1058" s="36"/>
      <c r="C1058" s="495" t="s">
        <v>10689</v>
      </c>
      <c r="D1058" s="479">
        <v>1582</v>
      </c>
      <c r="E1058" s="249" t="str">
        <f>UPPER(IF($D1058=0,"",IF($A1058=4,_xlfn.XLOOKUP($D1058,Mercado!$C:$C,Mercado!$E:$E),_xlfn.XLOOKUP($D1058,Fontes!$B:$B,Fontes!$C:$C))))</f>
        <v>ORSE</v>
      </c>
      <c r="F1058" s="327" t="s">
        <v>3688</v>
      </c>
      <c r="G1058" s="249" t="str">
        <f>UPPER(IF($D1058=0,"",IF($A1058=4,_xlfn.XLOOKUP($D1058,Mercado!$C:$C,Mercado!$G:$G),_xlfn.XLOOKUP($D1058,Fontes!$B:$B,Fontes!$E:$E))))</f>
        <v>UN</v>
      </c>
      <c r="H1058" s="252">
        <v>2</v>
      </c>
      <c r="I1058" s="252">
        <f>IF($A1058="M",_xlfn.XLOOKUP($D1058,Mercado!$C:$C,Mercado!$I:$I),_xlfn.XLOOKUP($D1058,Fontes!$B:$B,Fontes!$J:$J))</f>
        <v>13.95</v>
      </c>
      <c r="J1058" s="252">
        <f>IF($A1058="M",_xlfn.XLOOKUP($D1058,Mercado!$C:$C,Mercado!$J:$J),_xlfn.XLOOKUP($D1058,Fontes!$B:$B,Fontes!$H:$H))</f>
        <v>6.49</v>
      </c>
      <c r="K1058" s="252">
        <f>IF($A1058="M",0,_xlfn.XLOOKUP($D1058,Fontes!$B:$B,Fontes!$I:$I))</f>
        <v>0</v>
      </c>
      <c r="L1058" s="250">
        <f t="shared" si="105"/>
        <v>20.439999999999998</v>
      </c>
      <c r="M1058" s="300">
        <f t="shared" ref="M1058:M1089" si="106">ROUND(H1058*L1058,2)</f>
        <v>40.880000000000003</v>
      </c>
      <c r="O1058" s="517">
        <f t="shared" ref="O1058:O1121" si="107">IF(D1058&lt;&gt;0,M1058,"")</f>
        <v>40.880000000000003</v>
      </c>
    </row>
    <row r="1059" spans="1:15" ht="38.4" outlineLevel="4" x14ac:dyDescent="0.3">
      <c r="A1059" s="35"/>
      <c r="B1059" s="36"/>
      <c r="C1059" s="495" t="s">
        <v>10690</v>
      </c>
      <c r="D1059" s="479">
        <v>1583</v>
      </c>
      <c r="E1059" s="249" t="str">
        <f>UPPER(IF($D1059=0,"",IF($A1059=4,_xlfn.XLOOKUP($D1059,Mercado!$C:$C,Mercado!$E:$E),_xlfn.XLOOKUP($D1059,Fontes!$B:$B,Fontes!$C:$C))))</f>
        <v>ORSE</v>
      </c>
      <c r="F1059" s="327" t="s">
        <v>3689</v>
      </c>
      <c r="G1059" s="249" t="str">
        <f>UPPER(IF($D1059=0,"",IF($A1059=4,_xlfn.XLOOKUP($D1059,Mercado!$C:$C,Mercado!$G:$G),_xlfn.XLOOKUP($D1059,Fontes!$B:$B,Fontes!$E:$E))))</f>
        <v>UN</v>
      </c>
      <c r="H1059" s="252">
        <v>2</v>
      </c>
      <c r="I1059" s="252">
        <f>IF($A1059="M",_xlfn.XLOOKUP($D1059,Mercado!$C:$C,Mercado!$I:$I),_xlfn.XLOOKUP($D1059,Fontes!$B:$B,Fontes!$J:$J))</f>
        <v>16.43</v>
      </c>
      <c r="J1059" s="252">
        <f>IF($A1059="M",_xlfn.XLOOKUP($D1059,Mercado!$C:$C,Mercado!$J:$J),_xlfn.XLOOKUP($D1059,Fontes!$B:$B,Fontes!$H:$H))</f>
        <v>8.2899999999999991</v>
      </c>
      <c r="K1059" s="252">
        <f>IF($A1059="M",0,_xlfn.XLOOKUP($D1059,Fontes!$B:$B,Fontes!$I:$I))</f>
        <v>0</v>
      </c>
      <c r="L1059" s="250">
        <f t="shared" si="105"/>
        <v>24.72</v>
      </c>
      <c r="M1059" s="300">
        <f t="shared" si="106"/>
        <v>49.44</v>
      </c>
      <c r="O1059" s="517">
        <f t="shared" si="107"/>
        <v>49.44</v>
      </c>
    </row>
    <row r="1060" spans="1:15" ht="38.4" outlineLevel="4" x14ac:dyDescent="0.3">
      <c r="A1060" s="35"/>
      <c r="B1060" s="36"/>
      <c r="C1060" s="495" t="s">
        <v>10691</v>
      </c>
      <c r="D1060" s="479">
        <v>1584</v>
      </c>
      <c r="E1060" s="249" t="str">
        <f>UPPER(IF($D1060=0,"",IF($A1060=4,_xlfn.XLOOKUP($D1060,Mercado!$C:$C,Mercado!$E:$E),_xlfn.XLOOKUP($D1060,Fontes!$B:$B,Fontes!$C:$C))))</f>
        <v>ORSE</v>
      </c>
      <c r="F1060" s="327" t="s">
        <v>3690</v>
      </c>
      <c r="G1060" s="249" t="str">
        <f>UPPER(IF($D1060=0,"",IF($A1060=4,_xlfn.XLOOKUP($D1060,Mercado!$C:$C,Mercado!$G:$G),_xlfn.XLOOKUP($D1060,Fontes!$B:$B,Fontes!$E:$E))))</f>
        <v>UN</v>
      </c>
      <c r="H1060" s="252">
        <v>1</v>
      </c>
      <c r="I1060" s="252">
        <f>IF($A1060="M",_xlfn.XLOOKUP($D1060,Mercado!$C:$C,Mercado!$I:$I),_xlfn.XLOOKUP($D1060,Fontes!$B:$B,Fontes!$J:$J))</f>
        <v>19.12</v>
      </c>
      <c r="J1060" s="252">
        <f>IF($A1060="M",_xlfn.XLOOKUP($D1060,Mercado!$C:$C,Mercado!$J:$J),_xlfn.XLOOKUP($D1060,Fontes!$B:$B,Fontes!$H:$H))</f>
        <v>8.2899999999999991</v>
      </c>
      <c r="K1060" s="252">
        <f>IF($A1060="M",0,_xlfn.XLOOKUP($D1060,Fontes!$B:$B,Fontes!$I:$I))</f>
        <v>0</v>
      </c>
      <c r="L1060" s="250">
        <f t="shared" si="105"/>
        <v>27.41</v>
      </c>
      <c r="M1060" s="300">
        <f t="shared" si="106"/>
        <v>27.41</v>
      </c>
      <c r="O1060" s="517">
        <f t="shared" si="107"/>
        <v>27.41</v>
      </c>
    </row>
    <row r="1061" spans="1:15" outlineLevel="4" x14ac:dyDescent="0.3">
      <c r="A1061" s="36" t="s">
        <v>7</v>
      </c>
      <c r="B1061" s="36"/>
      <c r="C1061" s="495" t="s">
        <v>781</v>
      </c>
      <c r="D1061" s="479"/>
      <c r="E1061" s="249" t="str">
        <f>UPPER(IF($D1061=0,"",IF($A1061=4,_xlfn.XLOOKUP($D1061,Mercado!$C:$C,Mercado!$E:$E),_xlfn.XLOOKUP($D1061,Fontes!$B:$B,Fontes!$C:$C))))</f>
        <v/>
      </c>
      <c r="F1061" s="327" t="s">
        <v>781</v>
      </c>
      <c r="G1061" s="249"/>
      <c r="H1061" s="252"/>
      <c r="I1061" s="252">
        <f>IF($A1061="M",_xlfn.XLOOKUP($D1061,Mercado!$C:$C,Mercado!$I:$I),_xlfn.XLOOKUP($D1061,Fontes!$B:$B,Fontes!$J:$J))</f>
        <v>0</v>
      </c>
      <c r="J1061" s="252">
        <f>IF($A1061="M",_xlfn.XLOOKUP($D1061,Mercado!$C:$C,Mercado!$J:$J),_xlfn.XLOOKUP($D1061,Fontes!$B:$B,Fontes!$H:$H))</f>
        <v>0</v>
      </c>
      <c r="K1061" s="252">
        <f>IF($A1061="M",0,_xlfn.XLOOKUP($D1061,Fontes!$B:$B,Fontes!$I:$I))</f>
        <v>0</v>
      </c>
      <c r="L1061" s="250">
        <f t="shared" si="105"/>
        <v>0</v>
      </c>
      <c r="M1061" s="300">
        <f t="shared" si="106"/>
        <v>0</v>
      </c>
      <c r="O1061" s="517" t="str">
        <f t="shared" si="107"/>
        <v/>
      </c>
    </row>
    <row r="1062" spans="1:15" ht="20.399999999999999" outlineLevel="3" x14ac:dyDescent="0.3">
      <c r="A1062" s="36" t="s">
        <v>7</v>
      </c>
      <c r="B1062" s="36"/>
      <c r="C1062" s="499" t="s">
        <v>10692</v>
      </c>
      <c r="D1062" s="494"/>
      <c r="E1062" s="249" t="str">
        <f>UPPER(IF($D1062=0,"",IF($A1062=4,_xlfn.XLOOKUP($D1062,Mercado!$C:$C,Mercado!$E:$E),_xlfn.XLOOKUP($D1062,Fontes!$B:$B,Fontes!$C:$C))))</f>
        <v/>
      </c>
      <c r="F1062" s="330" t="s">
        <v>551</v>
      </c>
      <c r="G1062" s="249"/>
      <c r="H1062" s="252"/>
      <c r="I1062" s="252">
        <f>IF($A1062="M",_xlfn.XLOOKUP($D1062,Mercado!$C:$C,Mercado!$I:$I),_xlfn.XLOOKUP($D1062,Fontes!$B:$B,Fontes!$J:$J))</f>
        <v>0</v>
      </c>
      <c r="J1062" s="252">
        <f>IF($A1062="M",_xlfn.XLOOKUP($D1062,Mercado!$C:$C,Mercado!$J:$J),_xlfn.XLOOKUP($D1062,Fontes!$B:$B,Fontes!$H:$H))</f>
        <v>0</v>
      </c>
      <c r="K1062" s="252">
        <f>IF($A1062="M",0,_xlfn.XLOOKUP($D1062,Fontes!$B:$B,Fontes!$I:$I))</f>
        <v>0</v>
      </c>
      <c r="L1062" s="252">
        <f t="shared" si="105"/>
        <v>0</v>
      </c>
      <c r="M1062" s="509">
        <f t="shared" si="106"/>
        <v>0</v>
      </c>
      <c r="N1062" s="243"/>
      <c r="O1062" s="517" t="str">
        <f t="shared" si="107"/>
        <v/>
      </c>
    </row>
    <row r="1063" spans="1:15" ht="57.6" outlineLevel="4" x14ac:dyDescent="0.3">
      <c r="A1063" s="35"/>
      <c r="B1063" s="36"/>
      <c r="C1063" s="495" t="s">
        <v>10693</v>
      </c>
      <c r="D1063" s="479">
        <v>89402</v>
      </c>
      <c r="E1063" s="249" t="str">
        <f>UPPER(IF($D1063=0,"",IF($A1063=4,_xlfn.XLOOKUP($D1063,Mercado!$C:$C,Mercado!$E:$E),_xlfn.XLOOKUP($D1063,Fontes!$B:$B,Fontes!$C:$C))))</f>
        <v>SINAPI</v>
      </c>
      <c r="F1063" s="327" t="s">
        <v>36</v>
      </c>
      <c r="G1063" s="249" t="str">
        <f>UPPER(IF($D1063=0,"",IF($A1063=4,_xlfn.XLOOKUP($D1063,Mercado!$C:$C,Mercado!$G:$G),_xlfn.XLOOKUP($D1063,Fontes!$B:$B,Fontes!$E:$E))))</f>
        <v>M</v>
      </c>
      <c r="H1063" s="252">
        <v>2</v>
      </c>
      <c r="I1063" s="252">
        <f>IF($A1063="M",_xlfn.XLOOKUP($D1063,Mercado!$C:$C,Mercado!$I:$I),_xlfn.XLOOKUP($D1063,Fontes!$B:$B,Fontes!$J:$J))</f>
        <v>7.15</v>
      </c>
      <c r="J1063" s="252">
        <f>IF($A1063="M",_xlfn.XLOOKUP($D1063,Mercado!$C:$C,Mercado!$J:$J),_xlfn.XLOOKUP($D1063,Fontes!$B:$B,Fontes!$H:$H))</f>
        <v>8.61</v>
      </c>
      <c r="K1063" s="252">
        <f>IF($A1063="M",0,_xlfn.XLOOKUP($D1063,Fontes!$B:$B,Fontes!$I:$I))</f>
        <v>0.57999999999999996</v>
      </c>
      <c r="L1063" s="250">
        <f t="shared" si="105"/>
        <v>16.34</v>
      </c>
      <c r="M1063" s="300">
        <f t="shared" si="106"/>
        <v>32.68</v>
      </c>
      <c r="O1063" s="517">
        <f t="shared" si="107"/>
        <v>32.68</v>
      </c>
    </row>
    <row r="1064" spans="1:15" ht="57.6" outlineLevel="4" x14ac:dyDescent="0.3">
      <c r="A1064" s="35"/>
      <c r="B1064" s="36"/>
      <c r="C1064" s="495" t="s">
        <v>10694</v>
      </c>
      <c r="D1064" s="479">
        <v>96664</v>
      </c>
      <c r="E1064" s="249" t="str">
        <f>UPPER(IF($D1064=0,"",IF($A1064=4,_xlfn.XLOOKUP($D1064,Mercado!$C:$C,Mercado!$E:$E),_xlfn.XLOOKUP($D1064,Fontes!$B:$B,Fontes!$C:$C))))</f>
        <v>SINAPI</v>
      </c>
      <c r="F1064" s="327" t="s">
        <v>207</v>
      </c>
      <c r="G1064" s="249" t="str">
        <f>UPPER(IF($D1064=0,"",IF($A1064=4,_xlfn.XLOOKUP($D1064,Mercado!$C:$C,Mercado!$G:$G),_xlfn.XLOOKUP($D1064,Fontes!$B:$B,Fontes!$E:$E))))</f>
        <v>UN</v>
      </c>
      <c r="H1064" s="252">
        <v>8</v>
      </c>
      <c r="I1064" s="252">
        <f>IF($A1064="M",_xlfn.XLOOKUP($D1064,Mercado!$C:$C,Mercado!$I:$I),_xlfn.XLOOKUP($D1064,Fontes!$B:$B,Fontes!$J:$J))</f>
        <v>15.89</v>
      </c>
      <c r="J1064" s="252">
        <f>IF($A1064="M",_xlfn.XLOOKUP($D1064,Mercado!$C:$C,Mercado!$J:$J),_xlfn.XLOOKUP($D1064,Fontes!$B:$B,Fontes!$H:$H))</f>
        <v>4.74</v>
      </c>
      <c r="K1064" s="252">
        <f>IF($A1064="M",0,_xlfn.XLOOKUP($D1064,Fontes!$B:$B,Fontes!$I:$I))</f>
        <v>0.32</v>
      </c>
      <c r="L1064" s="250">
        <f t="shared" si="105"/>
        <v>20.950000000000003</v>
      </c>
      <c r="M1064" s="300">
        <f t="shared" si="106"/>
        <v>167.6</v>
      </c>
      <c r="O1064" s="517">
        <f t="shared" si="107"/>
        <v>167.6</v>
      </c>
    </row>
    <row r="1065" spans="1:15" ht="57.6" outlineLevel="4" x14ac:dyDescent="0.3">
      <c r="A1065" s="35"/>
      <c r="B1065" s="36"/>
      <c r="C1065" s="495" t="s">
        <v>10695</v>
      </c>
      <c r="D1065" s="479">
        <v>89980</v>
      </c>
      <c r="E1065" s="249" t="str">
        <f>UPPER(IF($D1065=0,"",IF($A1065=4,_xlfn.XLOOKUP($D1065,Mercado!$C:$C,Mercado!$E:$E),_xlfn.XLOOKUP($D1065,Fontes!$B:$B,Fontes!$C:$C))))</f>
        <v>SINAPI</v>
      </c>
      <c r="F1065" s="327" t="s">
        <v>104</v>
      </c>
      <c r="G1065" s="249" t="str">
        <f>UPPER(IF($D1065=0,"",IF($A1065=4,_xlfn.XLOOKUP($D1065,Mercado!$C:$C,Mercado!$G:$G),_xlfn.XLOOKUP($D1065,Fontes!$B:$B,Fontes!$E:$E))))</f>
        <v>UN</v>
      </c>
      <c r="H1065" s="252">
        <v>8</v>
      </c>
      <c r="I1065" s="252">
        <f>IF($A1065="M",_xlfn.XLOOKUP($D1065,Mercado!$C:$C,Mercado!$I:$I),_xlfn.XLOOKUP($D1065,Fontes!$B:$B,Fontes!$J:$J))</f>
        <v>8.82</v>
      </c>
      <c r="J1065" s="252">
        <f>IF($A1065="M",_xlfn.XLOOKUP($D1065,Mercado!$C:$C,Mercado!$J:$J),_xlfn.XLOOKUP($D1065,Fontes!$B:$B,Fontes!$H:$H))</f>
        <v>2.17</v>
      </c>
      <c r="K1065" s="252">
        <f>IF($A1065="M",0,_xlfn.XLOOKUP($D1065,Fontes!$B:$B,Fontes!$I:$I))</f>
        <v>0.14000000000000001</v>
      </c>
      <c r="L1065" s="250">
        <f t="shared" si="105"/>
        <v>11.13</v>
      </c>
      <c r="M1065" s="300">
        <f t="shared" si="106"/>
        <v>89.04</v>
      </c>
      <c r="O1065" s="517">
        <f t="shared" si="107"/>
        <v>89.04</v>
      </c>
    </row>
    <row r="1066" spans="1:15" outlineLevel="4" x14ac:dyDescent="0.3">
      <c r="A1066" s="36" t="s">
        <v>7</v>
      </c>
      <c r="B1066" s="36"/>
      <c r="C1066" s="495" t="s">
        <v>781</v>
      </c>
      <c r="D1066" s="479"/>
      <c r="E1066" s="249" t="str">
        <f>UPPER(IF($D1066=0,"",IF($A1066=4,_xlfn.XLOOKUP($D1066,Mercado!$C:$C,Mercado!$E:$E),_xlfn.XLOOKUP($D1066,Fontes!$B:$B,Fontes!$C:$C))))</f>
        <v/>
      </c>
      <c r="F1066" s="327" t="s">
        <v>781</v>
      </c>
      <c r="G1066" s="249"/>
      <c r="H1066" s="252"/>
      <c r="I1066" s="252">
        <f>IF($A1066="M",_xlfn.XLOOKUP($D1066,Mercado!$C:$C,Mercado!$I:$I),_xlfn.XLOOKUP($D1066,Fontes!$B:$B,Fontes!$J:$J))</f>
        <v>0</v>
      </c>
      <c r="J1066" s="252">
        <f>IF($A1066="M",_xlfn.XLOOKUP($D1066,Mercado!$C:$C,Mercado!$J:$J),_xlfn.XLOOKUP($D1066,Fontes!$B:$B,Fontes!$H:$H))</f>
        <v>0</v>
      </c>
      <c r="K1066" s="252">
        <f>IF($A1066="M",0,_xlfn.XLOOKUP($D1066,Fontes!$B:$B,Fontes!$I:$I))</f>
        <v>0</v>
      </c>
      <c r="L1066" s="250">
        <f t="shared" si="105"/>
        <v>0</v>
      </c>
      <c r="M1066" s="300">
        <f t="shared" si="106"/>
        <v>0</v>
      </c>
      <c r="O1066" s="517" t="str">
        <f t="shared" si="107"/>
        <v/>
      </c>
    </row>
    <row r="1067" spans="1:15" ht="20.399999999999999" outlineLevel="3" x14ac:dyDescent="0.3">
      <c r="A1067" s="36" t="s">
        <v>7</v>
      </c>
      <c r="B1067" s="36"/>
      <c r="C1067" s="499" t="s">
        <v>10696</v>
      </c>
      <c r="D1067" s="494"/>
      <c r="E1067" s="249" t="str">
        <f>UPPER(IF($D1067=0,"",IF($A1067=4,_xlfn.XLOOKUP($D1067,Mercado!$C:$C,Mercado!$E:$E),_xlfn.XLOOKUP($D1067,Fontes!$B:$B,Fontes!$C:$C))))</f>
        <v/>
      </c>
      <c r="F1067" s="330" t="s">
        <v>552</v>
      </c>
      <c r="G1067" s="249"/>
      <c r="H1067" s="252"/>
      <c r="I1067" s="252">
        <f>IF($A1067="M",_xlfn.XLOOKUP($D1067,Mercado!$C:$C,Mercado!$I:$I),_xlfn.XLOOKUP($D1067,Fontes!$B:$B,Fontes!$J:$J))</f>
        <v>0</v>
      </c>
      <c r="J1067" s="252">
        <f>IF($A1067="M",_xlfn.XLOOKUP($D1067,Mercado!$C:$C,Mercado!$J:$J),_xlfn.XLOOKUP($D1067,Fontes!$B:$B,Fontes!$H:$H))</f>
        <v>0</v>
      </c>
      <c r="K1067" s="252">
        <f>IF($A1067="M",0,_xlfn.XLOOKUP($D1067,Fontes!$B:$B,Fontes!$I:$I))</f>
        <v>0</v>
      </c>
      <c r="L1067" s="252">
        <f t="shared" si="105"/>
        <v>0</v>
      </c>
      <c r="M1067" s="509">
        <f t="shared" si="106"/>
        <v>0</v>
      </c>
      <c r="N1067" s="243"/>
      <c r="O1067" s="517" t="str">
        <f t="shared" si="107"/>
        <v/>
      </c>
    </row>
    <row r="1068" spans="1:15" outlineLevel="4" x14ac:dyDescent="0.3">
      <c r="A1068" s="35"/>
      <c r="B1068" s="36"/>
      <c r="C1068" s="495" t="s">
        <v>10697</v>
      </c>
      <c r="D1068" s="479">
        <v>293</v>
      </c>
      <c r="E1068" s="249" t="str">
        <f>UPPER(IF($D1068=0,"",IF($A1068=4,_xlfn.XLOOKUP($D1068,Mercado!$C:$C,Mercado!$E:$E),_xlfn.XLOOKUP($D1068,Fontes!$B:$B,Fontes!$C:$C))))</f>
        <v>PRÓPRIO</v>
      </c>
      <c r="F1068" s="327" t="s">
        <v>581</v>
      </c>
      <c r="G1068" s="249" t="str">
        <f>UPPER(IF($D1068=0,"",IF($A1068=4,_xlfn.XLOOKUP($D1068,Mercado!$C:$C,Mercado!$G:$G),_xlfn.XLOOKUP($D1068,Fontes!$B:$B,Fontes!$E:$E))))</f>
        <v>PÇ</v>
      </c>
      <c r="H1068" s="252">
        <v>70</v>
      </c>
      <c r="I1068" s="252">
        <f>IF($A1068="M",_xlfn.XLOOKUP($D1068,Mercado!$C:$C,Mercado!$I:$I),_xlfn.XLOOKUP($D1068,Fontes!$B:$B,Fontes!$J:$J))</f>
        <v>9.0500000000000007</v>
      </c>
      <c r="J1068" s="252">
        <f>IF($A1068="M",_xlfn.XLOOKUP($D1068,Mercado!$C:$C,Mercado!$J:$J),_xlfn.XLOOKUP($D1068,Fontes!$B:$B,Fontes!$H:$H))</f>
        <v>28.48</v>
      </c>
      <c r="K1068" s="252">
        <f>IF($A1068="M",0,_xlfn.XLOOKUP($D1068,Fontes!$B:$B,Fontes!$I:$I))</f>
        <v>2.2999999999999998</v>
      </c>
      <c r="L1068" s="250">
        <f t="shared" si="105"/>
        <v>39.83</v>
      </c>
      <c r="M1068" s="300">
        <f t="shared" si="106"/>
        <v>2788.1</v>
      </c>
      <c r="O1068" s="517">
        <f t="shared" si="107"/>
        <v>2788.1</v>
      </c>
    </row>
    <row r="1069" spans="1:15" outlineLevel="4" x14ac:dyDescent="0.3">
      <c r="A1069" s="36" t="s">
        <v>7</v>
      </c>
      <c r="B1069" s="36"/>
      <c r="C1069" s="495" t="s">
        <v>781</v>
      </c>
      <c r="D1069" s="479"/>
      <c r="E1069" s="249" t="str">
        <f>UPPER(IF($D1069=0,"",IF($A1069=4,_xlfn.XLOOKUP($D1069,Mercado!$C:$C,Mercado!$E:$E),_xlfn.XLOOKUP($D1069,Fontes!$B:$B,Fontes!$C:$C))))</f>
        <v/>
      </c>
      <c r="F1069" s="327" t="s">
        <v>781</v>
      </c>
      <c r="G1069" s="249"/>
      <c r="H1069" s="252"/>
      <c r="I1069" s="252">
        <f>IF($A1069="M",_xlfn.XLOOKUP($D1069,Mercado!$C:$C,Mercado!$I:$I),_xlfn.XLOOKUP($D1069,Fontes!$B:$B,Fontes!$J:$J))</f>
        <v>0</v>
      </c>
      <c r="J1069" s="252">
        <f>IF($A1069="M",_xlfn.XLOOKUP($D1069,Mercado!$C:$C,Mercado!$J:$J),_xlfn.XLOOKUP($D1069,Fontes!$B:$B,Fontes!$H:$H))</f>
        <v>0</v>
      </c>
      <c r="K1069" s="252">
        <f>IF($A1069="M",0,_xlfn.XLOOKUP($D1069,Fontes!$B:$B,Fontes!$I:$I))</f>
        <v>0</v>
      </c>
      <c r="L1069" s="250">
        <f t="shared" si="105"/>
        <v>0</v>
      </c>
      <c r="M1069" s="300">
        <f t="shared" si="106"/>
        <v>0</v>
      </c>
      <c r="O1069" s="517" t="str">
        <f t="shared" si="107"/>
        <v/>
      </c>
    </row>
    <row r="1070" spans="1:15" ht="20.399999999999999" outlineLevel="3" x14ac:dyDescent="0.3">
      <c r="A1070" s="36" t="s">
        <v>7</v>
      </c>
      <c r="B1070" s="36"/>
      <c r="C1070" s="499" t="s">
        <v>10698</v>
      </c>
      <c r="D1070" s="494"/>
      <c r="E1070" s="249" t="str">
        <f>UPPER(IF($D1070=0,"",IF($A1070=4,_xlfn.XLOOKUP($D1070,Mercado!$C:$C,Mercado!$E:$E),_xlfn.XLOOKUP($D1070,Fontes!$B:$B,Fontes!$C:$C))))</f>
        <v/>
      </c>
      <c r="F1070" s="334" t="s">
        <v>1891</v>
      </c>
      <c r="G1070" s="249"/>
      <c r="H1070" s="252"/>
      <c r="I1070" s="252">
        <f>IF($A1070="M",_xlfn.XLOOKUP($D1070,Mercado!$C:$C,Mercado!$I:$I),_xlfn.XLOOKUP($D1070,Fontes!$B:$B,Fontes!$J:$J))</f>
        <v>0</v>
      </c>
      <c r="J1070" s="252">
        <f>IF($A1070="M",_xlfn.XLOOKUP($D1070,Mercado!$C:$C,Mercado!$J:$J),_xlfn.XLOOKUP($D1070,Fontes!$B:$B,Fontes!$H:$H))</f>
        <v>0</v>
      </c>
      <c r="K1070" s="252">
        <f>IF($A1070="M",0,_xlfn.XLOOKUP($D1070,Fontes!$B:$B,Fontes!$I:$I))</f>
        <v>0</v>
      </c>
      <c r="L1070" s="252">
        <f t="shared" si="105"/>
        <v>0</v>
      </c>
      <c r="M1070" s="509">
        <f t="shared" si="106"/>
        <v>0</v>
      </c>
      <c r="N1070" s="243"/>
      <c r="O1070" s="517" t="str">
        <f t="shared" si="107"/>
        <v/>
      </c>
    </row>
    <row r="1071" spans="1:15" ht="38.4" outlineLevel="4" x14ac:dyDescent="0.3">
      <c r="A1071" s="35"/>
      <c r="B1071" s="36"/>
      <c r="C1071" s="495" t="s">
        <v>10699</v>
      </c>
      <c r="D1071" s="479" t="s">
        <v>1892</v>
      </c>
      <c r="E1071" s="249" t="str">
        <f>UPPER(IF($D1071=0,"",IF($A1071=4,_xlfn.XLOOKUP($D1071,Mercado!$C:$C,Mercado!$E:$E),_xlfn.XLOOKUP($D1071,Fontes!$B:$B,Fontes!$C:$C))))</f>
        <v>CPOS/CDHU</v>
      </c>
      <c r="F1071" s="327" t="s">
        <v>3691</v>
      </c>
      <c r="G1071" s="249" t="str">
        <f>UPPER(IF($D1071=0,"",IF($A1071=4,_xlfn.XLOOKUP($D1071,Mercado!$C:$C,Mercado!$G:$G),_xlfn.XLOOKUP($D1071,Fontes!$B:$B,Fontes!$E:$E))))</f>
        <v>UN</v>
      </c>
      <c r="H1071" s="252">
        <v>1</v>
      </c>
      <c r="I1071" s="252">
        <f>IF($A1071="M",_xlfn.XLOOKUP($D1071,Mercado!$C:$C,Mercado!$I:$I),_xlfn.XLOOKUP($D1071,Fontes!$B:$B,Fontes!$J:$J))</f>
        <v>120.25</v>
      </c>
      <c r="J1071" s="252">
        <f>IF($A1071="M",_xlfn.XLOOKUP($D1071,Mercado!$C:$C,Mercado!$J:$J),_xlfn.XLOOKUP($D1071,Fontes!$B:$B,Fontes!$H:$H))</f>
        <v>16.75</v>
      </c>
      <c r="K1071" s="252">
        <f>IF($A1071="M",0,_xlfn.XLOOKUP($D1071,Fontes!$B:$B,Fontes!$I:$I))</f>
        <v>0</v>
      </c>
      <c r="L1071" s="250">
        <f t="shared" si="105"/>
        <v>137</v>
      </c>
      <c r="M1071" s="300">
        <f t="shared" si="106"/>
        <v>137</v>
      </c>
      <c r="O1071" s="517">
        <f t="shared" si="107"/>
        <v>137</v>
      </c>
    </row>
    <row r="1072" spans="1:15" ht="38.4" outlineLevel="4" x14ac:dyDescent="0.3">
      <c r="A1072" s="35"/>
      <c r="B1072" s="36"/>
      <c r="C1072" s="495" t="s">
        <v>10700</v>
      </c>
      <c r="D1072" s="479" t="s">
        <v>1893</v>
      </c>
      <c r="E1072" s="249" t="str">
        <f>UPPER(IF($D1072=0,"",IF($A1072=4,_xlfn.XLOOKUP($D1072,Mercado!$C:$C,Mercado!$E:$E),_xlfn.XLOOKUP($D1072,Fontes!$B:$B,Fontes!$C:$C))))</f>
        <v>CPOS/CDHU</v>
      </c>
      <c r="F1072" s="327" t="s">
        <v>3692</v>
      </c>
      <c r="G1072" s="249" t="str">
        <f>UPPER(IF($D1072=0,"",IF($A1072=4,_xlfn.XLOOKUP($D1072,Mercado!$C:$C,Mercado!$G:$G),_xlfn.XLOOKUP($D1072,Fontes!$B:$B,Fontes!$E:$E))))</f>
        <v>UN</v>
      </c>
      <c r="H1072" s="252">
        <v>2</v>
      </c>
      <c r="I1072" s="252">
        <f>IF($A1072="M",_xlfn.XLOOKUP($D1072,Mercado!$C:$C,Mercado!$I:$I),_xlfn.XLOOKUP($D1072,Fontes!$B:$B,Fontes!$J:$J))</f>
        <v>233.34</v>
      </c>
      <c r="J1072" s="252">
        <f>IF($A1072="M",_xlfn.XLOOKUP($D1072,Mercado!$C:$C,Mercado!$J:$J),_xlfn.XLOOKUP($D1072,Fontes!$B:$B,Fontes!$H:$H))</f>
        <v>22.33</v>
      </c>
      <c r="K1072" s="252">
        <f>IF($A1072="M",0,_xlfn.XLOOKUP($D1072,Fontes!$B:$B,Fontes!$I:$I))</f>
        <v>0</v>
      </c>
      <c r="L1072" s="250">
        <f t="shared" si="105"/>
        <v>255.67000000000002</v>
      </c>
      <c r="M1072" s="300">
        <f t="shared" si="106"/>
        <v>511.34</v>
      </c>
      <c r="O1072" s="517">
        <f t="shared" si="107"/>
        <v>511.34</v>
      </c>
    </row>
    <row r="1073" spans="1:15" outlineLevel="4" x14ac:dyDescent="0.3">
      <c r="A1073" s="36" t="s">
        <v>7</v>
      </c>
      <c r="B1073" s="36"/>
      <c r="C1073" s="495" t="s">
        <v>781</v>
      </c>
      <c r="D1073" s="479"/>
      <c r="E1073" s="249" t="str">
        <f>UPPER(IF($D1073=0,"",IF($A1073=4,_xlfn.XLOOKUP($D1073,Mercado!$C:$C,Mercado!$E:$E),_xlfn.XLOOKUP($D1073,Fontes!$B:$B,Fontes!$C:$C))))</f>
        <v/>
      </c>
      <c r="F1073" s="327" t="s">
        <v>781</v>
      </c>
      <c r="G1073" s="249"/>
      <c r="H1073" s="252"/>
      <c r="I1073" s="252">
        <f>IF($A1073="M",_xlfn.XLOOKUP($D1073,Mercado!$C:$C,Mercado!$I:$I),_xlfn.XLOOKUP($D1073,Fontes!$B:$B,Fontes!$J:$J))</f>
        <v>0</v>
      </c>
      <c r="J1073" s="252">
        <f>IF($A1073="M",_xlfn.XLOOKUP($D1073,Mercado!$C:$C,Mercado!$J:$J),_xlfn.XLOOKUP($D1073,Fontes!$B:$B,Fontes!$H:$H))</f>
        <v>0</v>
      </c>
      <c r="K1073" s="252">
        <f>IF($A1073="M",0,_xlfn.XLOOKUP($D1073,Fontes!$B:$B,Fontes!$I:$I))</f>
        <v>0</v>
      </c>
      <c r="L1073" s="250">
        <f t="shared" si="105"/>
        <v>0</v>
      </c>
      <c r="M1073" s="300">
        <f t="shared" si="106"/>
        <v>0</v>
      </c>
      <c r="O1073" s="517" t="str">
        <f t="shared" si="107"/>
        <v/>
      </c>
    </row>
    <row r="1074" spans="1:15" ht="20.399999999999999" outlineLevel="3" x14ac:dyDescent="0.3">
      <c r="A1074" s="36" t="s">
        <v>7</v>
      </c>
      <c r="B1074" s="36"/>
      <c r="C1074" s="499" t="s">
        <v>10701</v>
      </c>
      <c r="D1074" s="249"/>
      <c r="E1074" s="249" t="str">
        <f>UPPER(IF($D1074=0,"",IF($A1074=4,_xlfn.XLOOKUP($D1074,Mercado!$C:$C,Mercado!$E:$E),_xlfn.XLOOKUP($D1074,Fontes!$B:$B,Fontes!$C:$C))))</f>
        <v/>
      </c>
      <c r="F1074" s="330" t="s">
        <v>299</v>
      </c>
      <c r="G1074" s="249"/>
      <c r="H1074" s="252"/>
      <c r="I1074" s="252">
        <f>IF($A1074="M",_xlfn.XLOOKUP($D1074,Mercado!$C:$C,Mercado!$I:$I),_xlfn.XLOOKUP($D1074,Fontes!$B:$B,Fontes!$J:$J))</f>
        <v>0</v>
      </c>
      <c r="J1074" s="252">
        <f>IF($A1074="M",_xlfn.XLOOKUP($D1074,Mercado!$C:$C,Mercado!$J:$J),_xlfn.XLOOKUP($D1074,Fontes!$B:$B,Fontes!$H:$H))</f>
        <v>0</v>
      </c>
      <c r="K1074" s="252">
        <f>IF($A1074="M",0,_xlfn.XLOOKUP($D1074,Fontes!$B:$B,Fontes!$I:$I))</f>
        <v>0</v>
      </c>
      <c r="L1074" s="252">
        <f t="shared" si="105"/>
        <v>0</v>
      </c>
      <c r="M1074" s="509">
        <f t="shared" si="106"/>
        <v>0</v>
      </c>
      <c r="N1074" s="243"/>
      <c r="O1074" s="517" t="str">
        <f t="shared" si="107"/>
        <v/>
      </c>
    </row>
    <row r="1075" spans="1:15" ht="38.4" outlineLevel="4" x14ac:dyDescent="0.3">
      <c r="A1075" s="35"/>
      <c r="B1075" s="36"/>
      <c r="C1075" s="495" t="s">
        <v>10702</v>
      </c>
      <c r="D1075" s="479">
        <v>86881</v>
      </c>
      <c r="E1075" s="249" t="str">
        <f>UPPER(IF($D1075=0,"",IF($A1075=4,_xlfn.XLOOKUP($D1075,Mercado!$C:$C,Mercado!$E:$E),_xlfn.XLOOKUP($D1075,Fontes!$B:$B,Fontes!$C:$C))))</f>
        <v>SINAPI</v>
      </c>
      <c r="F1075" s="327" t="s">
        <v>211</v>
      </c>
      <c r="G1075" s="249" t="str">
        <f>UPPER(IF($D1075=0,"",IF($A1075=4,_xlfn.XLOOKUP($D1075,Mercado!$C:$C,Mercado!$G:$G),_xlfn.XLOOKUP($D1075,Fontes!$B:$B,Fontes!$E:$E))))</f>
        <v>UN</v>
      </c>
      <c r="H1075" s="252">
        <v>4</v>
      </c>
      <c r="I1075" s="252">
        <f>IF($A1075="M",_xlfn.XLOOKUP($D1075,Mercado!$C:$C,Mercado!$I:$I),_xlfn.XLOOKUP($D1075,Fontes!$B:$B,Fontes!$J:$J))</f>
        <v>221.01</v>
      </c>
      <c r="J1075" s="252">
        <f>IF($A1075="M",_xlfn.XLOOKUP($D1075,Mercado!$C:$C,Mercado!$J:$J),_xlfn.XLOOKUP($D1075,Fontes!$B:$B,Fontes!$H:$H))</f>
        <v>11.94</v>
      </c>
      <c r="K1075" s="252">
        <f>IF($A1075="M",0,_xlfn.XLOOKUP($D1075,Fontes!$B:$B,Fontes!$I:$I))</f>
        <v>0.84</v>
      </c>
      <c r="L1075" s="250">
        <f t="shared" si="105"/>
        <v>233.79</v>
      </c>
      <c r="M1075" s="300">
        <f t="shared" si="106"/>
        <v>935.16</v>
      </c>
      <c r="O1075" s="517">
        <f t="shared" si="107"/>
        <v>935.16</v>
      </c>
    </row>
    <row r="1076" spans="1:15" outlineLevel="4" x14ac:dyDescent="0.3">
      <c r="A1076" s="35"/>
      <c r="B1076" s="36"/>
      <c r="C1076" s="495" t="s">
        <v>10703</v>
      </c>
      <c r="D1076" s="479">
        <v>2094</v>
      </c>
      <c r="E1076" s="249" t="str">
        <f>UPPER(IF($D1076=0,"",IF($A1076=4,_xlfn.XLOOKUP($D1076,Mercado!$C:$C,Mercado!$E:$E),_xlfn.XLOOKUP($D1076,Fontes!$B:$B,Fontes!$C:$C))))</f>
        <v>ORSE</v>
      </c>
      <c r="F1076" s="327" t="s">
        <v>3693</v>
      </c>
      <c r="G1076" s="249" t="str">
        <f>UPPER(IF($D1076=0,"",IF($A1076=4,_xlfn.XLOOKUP($D1076,Mercado!$C:$C,Mercado!$G:$G),_xlfn.XLOOKUP($D1076,Fontes!$B:$B,Fontes!$E:$E))))</f>
        <v>UN</v>
      </c>
      <c r="H1076" s="252">
        <v>7</v>
      </c>
      <c r="I1076" s="252">
        <f>IF($A1076="M",_xlfn.XLOOKUP($D1076,Mercado!$C:$C,Mercado!$I:$I),_xlfn.XLOOKUP($D1076,Fontes!$B:$B,Fontes!$J:$J))</f>
        <v>354.95</v>
      </c>
      <c r="J1076" s="252">
        <f>IF($A1076="M",_xlfn.XLOOKUP($D1076,Mercado!$C:$C,Mercado!$J:$J),_xlfn.XLOOKUP($D1076,Fontes!$B:$B,Fontes!$H:$H))</f>
        <v>23.42</v>
      </c>
      <c r="K1076" s="252">
        <f>IF($A1076="M",0,_xlfn.XLOOKUP($D1076,Fontes!$B:$B,Fontes!$I:$I))</f>
        <v>0</v>
      </c>
      <c r="L1076" s="250">
        <f t="shared" si="105"/>
        <v>378.37</v>
      </c>
      <c r="M1076" s="300">
        <f t="shared" si="106"/>
        <v>2648.59</v>
      </c>
      <c r="O1076" s="517">
        <f t="shared" si="107"/>
        <v>2648.59</v>
      </c>
    </row>
    <row r="1077" spans="1:15" outlineLevel="4" x14ac:dyDescent="0.3">
      <c r="A1077" s="35"/>
      <c r="B1077" s="36"/>
      <c r="C1077" s="495" t="s">
        <v>10704</v>
      </c>
      <c r="D1077" s="479">
        <v>142106</v>
      </c>
      <c r="E1077" s="249" t="str">
        <f>UPPER(IF($D1077=0,"",IF($A1077=4,_xlfn.XLOOKUP($D1077,Mercado!$C:$C,Mercado!$E:$E),_xlfn.XLOOKUP($D1077,Fontes!$B:$B,Fontes!$C:$C))))</f>
        <v>IOPES</v>
      </c>
      <c r="F1077" s="327" t="s">
        <v>3694</v>
      </c>
      <c r="G1077" s="249" t="str">
        <f>UPPER(IF($D1077=0,"",IF($A1077=4,_xlfn.XLOOKUP($D1077,Mercado!$C:$C,Mercado!$G:$G),_xlfn.XLOOKUP($D1077,Fontes!$B:$B,Fontes!$E:$E))))</f>
        <v>UND</v>
      </c>
      <c r="H1077" s="252">
        <v>1</v>
      </c>
      <c r="I1077" s="252">
        <f>IF($A1077="M",_xlfn.XLOOKUP($D1077,Mercado!$C:$C,Mercado!$I:$I),_xlfn.XLOOKUP($D1077,Fontes!$B:$B,Fontes!$J:$J))</f>
        <v>18.63</v>
      </c>
      <c r="J1077" s="252">
        <f>IF($A1077="M",_xlfn.XLOOKUP($D1077,Mercado!$C:$C,Mercado!$J:$J),_xlfn.XLOOKUP($D1077,Fontes!$B:$B,Fontes!$H:$H))</f>
        <v>12</v>
      </c>
      <c r="K1077" s="252">
        <f>IF($A1077="M",0,_xlfn.XLOOKUP($D1077,Fontes!$B:$B,Fontes!$I:$I))</f>
        <v>0</v>
      </c>
      <c r="L1077" s="250">
        <f t="shared" si="105"/>
        <v>30.63</v>
      </c>
      <c r="M1077" s="300">
        <f t="shared" si="106"/>
        <v>30.63</v>
      </c>
      <c r="O1077" s="517">
        <f t="shared" si="107"/>
        <v>30.63</v>
      </c>
    </row>
    <row r="1078" spans="1:15" ht="38.4" outlineLevel="4" x14ac:dyDescent="0.3">
      <c r="A1078" s="35"/>
      <c r="B1078" s="36"/>
      <c r="C1078" s="495" t="s">
        <v>10705</v>
      </c>
      <c r="D1078" s="479">
        <v>1595</v>
      </c>
      <c r="E1078" s="249" t="str">
        <f>UPPER(IF($D1078=0,"",IF($A1078=4,_xlfn.XLOOKUP($D1078,Mercado!$C:$C,Mercado!$E:$E),_xlfn.XLOOKUP($D1078,Fontes!$B:$B,Fontes!$C:$C))))</f>
        <v>ORSE</v>
      </c>
      <c r="F1078" s="327" t="s">
        <v>3695</v>
      </c>
      <c r="G1078" s="249" t="str">
        <f>UPPER(IF($D1078=0,"",IF($A1078=4,_xlfn.XLOOKUP($D1078,Mercado!$C:$C,Mercado!$G:$G),_xlfn.XLOOKUP($D1078,Fontes!$B:$B,Fontes!$E:$E))))</f>
        <v>UN</v>
      </c>
      <c r="H1078" s="252">
        <v>4</v>
      </c>
      <c r="I1078" s="252">
        <f>IF($A1078="M",_xlfn.XLOOKUP($D1078,Mercado!$C:$C,Mercado!$I:$I),_xlfn.XLOOKUP($D1078,Fontes!$B:$B,Fontes!$J:$J))</f>
        <v>15.41</v>
      </c>
      <c r="J1078" s="252">
        <f>IF($A1078="M",_xlfn.XLOOKUP($D1078,Mercado!$C:$C,Mercado!$J:$J),_xlfn.XLOOKUP($D1078,Fontes!$B:$B,Fontes!$H:$H))</f>
        <v>8.2899999999999991</v>
      </c>
      <c r="K1078" s="252">
        <f>IF($A1078="M",0,_xlfn.XLOOKUP($D1078,Fontes!$B:$B,Fontes!$I:$I))</f>
        <v>0</v>
      </c>
      <c r="L1078" s="250">
        <f t="shared" si="105"/>
        <v>23.7</v>
      </c>
      <c r="M1078" s="300">
        <f t="shared" si="106"/>
        <v>94.8</v>
      </c>
      <c r="O1078" s="517">
        <f t="shared" si="107"/>
        <v>94.8</v>
      </c>
    </row>
    <row r="1079" spans="1:15" ht="38.4" outlineLevel="4" x14ac:dyDescent="0.3">
      <c r="A1079" s="35"/>
      <c r="B1079" s="36"/>
      <c r="C1079" s="495" t="s">
        <v>10706</v>
      </c>
      <c r="D1079" s="487">
        <v>1594</v>
      </c>
      <c r="E1079" s="249" t="str">
        <f>UPPER(IF($D1079=0,"",IF($A1079=4,_xlfn.XLOOKUP($D1079,Mercado!$C:$C,Mercado!$E:$E),_xlfn.XLOOKUP($D1079,Fontes!$B:$B,Fontes!$C:$C))))</f>
        <v>ORSE</v>
      </c>
      <c r="F1079" s="327" t="s">
        <v>3696</v>
      </c>
      <c r="G1079" s="249" t="str">
        <f>UPPER(IF($D1079=0,"",IF($A1079=4,_xlfn.XLOOKUP($D1079,Mercado!$C:$C,Mercado!$G:$G),_xlfn.XLOOKUP($D1079,Fontes!$B:$B,Fontes!$E:$E))))</f>
        <v>UN</v>
      </c>
      <c r="H1079" s="252">
        <v>5</v>
      </c>
      <c r="I1079" s="252">
        <f>IF($A1079="M",_xlfn.XLOOKUP($D1079,Mercado!$C:$C,Mercado!$I:$I),_xlfn.XLOOKUP($D1079,Fontes!$B:$B,Fontes!$J:$J))</f>
        <v>11.79</v>
      </c>
      <c r="J1079" s="252">
        <f>IF($A1079="M",_xlfn.XLOOKUP($D1079,Mercado!$C:$C,Mercado!$J:$J),_xlfn.XLOOKUP($D1079,Fontes!$B:$B,Fontes!$H:$H))</f>
        <v>2.52</v>
      </c>
      <c r="K1079" s="252">
        <f>IF($A1079="M",0,_xlfn.XLOOKUP($D1079,Fontes!$B:$B,Fontes!$I:$I))</f>
        <v>0</v>
      </c>
      <c r="L1079" s="250">
        <f t="shared" si="105"/>
        <v>14.309999999999999</v>
      </c>
      <c r="M1079" s="300">
        <f t="shared" si="106"/>
        <v>71.55</v>
      </c>
      <c r="O1079" s="517">
        <f t="shared" si="107"/>
        <v>71.55</v>
      </c>
    </row>
    <row r="1080" spans="1:15" outlineLevel="4" x14ac:dyDescent="0.3">
      <c r="A1080" s="36" t="s">
        <v>7</v>
      </c>
      <c r="B1080" s="36"/>
      <c r="C1080" s="495" t="s">
        <v>781</v>
      </c>
      <c r="D1080" s="487"/>
      <c r="E1080" s="249" t="str">
        <f>UPPER(IF($D1080=0,"",IF($A1080=4,_xlfn.XLOOKUP($D1080,Mercado!$C:$C,Mercado!$E:$E),_xlfn.XLOOKUP($D1080,Fontes!$B:$B,Fontes!$C:$C))))</f>
        <v/>
      </c>
      <c r="F1080" s="327" t="s">
        <v>781</v>
      </c>
      <c r="G1080" s="249"/>
      <c r="H1080" s="252"/>
      <c r="I1080" s="252">
        <f>IF($A1080="M",_xlfn.XLOOKUP($D1080,Mercado!$C:$C,Mercado!$I:$I),_xlfn.XLOOKUP($D1080,Fontes!$B:$B,Fontes!$J:$J))</f>
        <v>0</v>
      </c>
      <c r="J1080" s="252">
        <f>IF($A1080="M",_xlfn.XLOOKUP($D1080,Mercado!$C:$C,Mercado!$J:$J),_xlfn.XLOOKUP($D1080,Fontes!$B:$B,Fontes!$H:$H))</f>
        <v>0</v>
      </c>
      <c r="K1080" s="252">
        <f>IF($A1080="M",0,_xlfn.XLOOKUP($D1080,Fontes!$B:$B,Fontes!$I:$I))</f>
        <v>0</v>
      </c>
      <c r="L1080" s="250">
        <f t="shared" si="105"/>
        <v>0</v>
      </c>
      <c r="M1080" s="300">
        <f t="shared" si="106"/>
        <v>0</v>
      </c>
      <c r="O1080" s="517" t="str">
        <f t="shared" si="107"/>
        <v/>
      </c>
    </row>
    <row r="1081" spans="1:15" ht="20.399999999999999" outlineLevel="3" x14ac:dyDescent="0.3">
      <c r="A1081" s="36" t="s">
        <v>7</v>
      </c>
      <c r="B1081" s="36"/>
      <c r="C1081" s="499" t="s">
        <v>10707</v>
      </c>
      <c r="D1081" s="249"/>
      <c r="E1081" s="249" t="str">
        <f>UPPER(IF($D1081=0,"",IF($A1081=4,_xlfn.XLOOKUP($D1081,Mercado!$C:$C,Mercado!$E:$E),_xlfn.XLOOKUP($D1081,Fontes!$B:$B,Fontes!$C:$C))))</f>
        <v/>
      </c>
      <c r="F1081" s="330" t="s">
        <v>549</v>
      </c>
      <c r="G1081" s="249"/>
      <c r="H1081" s="252"/>
      <c r="I1081" s="252">
        <f>IF($A1081="M",_xlfn.XLOOKUP($D1081,Mercado!$C:$C,Mercado!$I:$I),_xlfn.XLOOKUP($D1081,Fontes!$B:$B,Fontes!$J:$J))</f>
        <v>0</v>
      </c>
      <c r="J1081" s="252">
        <f>IF($A1081="M",_xlfn.XLOOKUP($D1081,Mercado!$C:$C,Mercado!$J:$J),_xlfn.XLOOKUP($D1081,Fontes!$B:$B,Fontes!$H:$H))</f>
        <v>0</v>
      </c>
      <c r="K1081" s="252">
        <f>IF($A1081="M",0,_xlfn.XLOOKUP($D1081,Fontes!$B:$B,Fontes!$I:$I))</f>
        <v>0</v>
      </c>
      <c r="L1081" s="252">
        <f t="shared" si="105"/>
        <v>0</v>
      </c>
      <c r="M1081" s="509">
        <f t="shared" si="106"/>
        <v>0</v>
      </c>
      <c r="N1081" s="243"/>
      <c r="O1081" s="517" t="str">
        <f t="shared" si="107"/>
        <v/>
      </c>
    </row>
    <row r="1082" spans="1:15" outlineLevel="4" x14ac:dyDescent="0.3">
      <c r="A1082" s="35"/>
      <c r="B1082" s="36"/>
      <c r="C1082" s="495" t="s">
        <v>10708</v>
      </c>
      <c r="D1082" s="490" t="s">
        <v>1975</v>
      </c>
      <c r="E1082" s="249" t="str">
        <f>UPPER(IF($D1082=0,"",IF($A1082=4,_xlfn.XLOOKUP($D1082,Mercado!$C:$C,Mercado!$E:$E),_xlfn.XLOOKUP($D1082,Fontes!$B:$B,Fontes!$C:$C))))</f>
        <v>SUDECAP</v>
      </c>
      <c r="F1082" s="327" t="s">
        <v>1995</v>
      </c>
      <c r="G1082" s="249" t="str">
        <f>UPPER(IF($D1082=0,"",IF($A1082=4,_xlfn.XLOOKUP($D1082,Mercado!$C:$C,Mercado!$G:$G),_xlfn.XLOOKUP($D1082,Fontes!$B:$B,Fontes!$E:$E))))</f>
        <v>UN</v>
      </c>
      <c r="H1082" s="252">
        <v>7</v>
      </c>
      <c r="I1082" s="252">
        <f>IF($A1082="M",_xlfn.XLOOKUP($D1082,Mercado!$C:$C,Mercado!$I:$I),_xlfn.XLOOKUP($D1082,Fontes!$B:$B,Fontes!$J:$J))</f>
        <v>25.77</v>
      </c>
      <c r="J1082" s="252">
        <f>IF($A1082="M",_xlfn.XLOOKUP($D1082,Mercado!$C:$C,Mercado!$J:$J),_xlfn.XLOOKUP($D1082,Fontes!$B:$B,Fontes!$H:$H))</f>
        <v>24.86</v>
      </c>
      <c r="K1082" s="252">
        <f>IF($A1082="M",0,_xlfn.XLOOKUP($D1082,Fontes!$B:$B,Fontes!$I:$I))</f>
        <v>0</v>
      </c>
      <c r="L1082" s="250">
        <f t="shared" si="105"/>
        <v>50.629999999999995</v>
      </c>
      <c r="M1082" s="300">
        <f t="shared" si="106"/>
        <v>354.41</v>
      </c>
      <c r="O1082" s="517">
        <f t="shared" si="107"/>
        <v>354.41</v>
      </c>
    </row>
    <row r="1083" spans="1:15" ht="57.6" outlineLevel="4" x14ac:dyDescent="0.3">
      <c r="A1083" s="35"/>
      <c r="B1083" s="36"/>
      <c r="C1083" s="495" t="s">
        <v>10709</v>
      </c>
      <c r="D1083" s="487">
        <v>89708</v>
      </c>
      <c r="E1083" s="249" t="str">
        <f>UPPER(IF($D1083=0,"",IF($A1083=4,_xlfn.XLOOKUP($D1083,Mercado!$C:$C,Mercado!$E:$E),_xlfn.XLOOKUP($D1083,Fontes!$B:$B,Fontes!$C:$C))))</f>
        <v>SINAPI</v>
      </c>
      <c r="F1083" s="327" t="s">
        <v>118</v>
      </c>
      <c r="G1083" s="249" t="str">
        <f>UPPER(IF($D1083=0,"",IF($A1083=4,_xlfn.XLOOKUP($D1083,Mercado!$C:$C,Mercado!$G:$G),_xlfn.XLOOKUP($D1083,Fontes!$B:$B,Fontes!$E:$E))))</f>
        <v>UN</v>
      </c>
      <c r="H1083" s="252">
        <v>11</v>
      </c>
      <c r="I1083" s="252">
        <f>IF($A1083="M",_xlfn.XLOOKUP($D1083,Mercado!$C:$C,Mercado!$I:$I),_xlfn.XLOOKUP($D1083,Fontes!$B:$B,Fontes!$J:$J))</f>
        <v>115.27</v>
      </c>
      <c r="J1083" s="252">
        <f>IF($A1083="M",_xlfn.XLOOKUP($D1083,Mercado!$C:$C,Mercado!$J:$J),_xlfn.XLOOKUP($D1083,Fontes!$B:$B,Fontes!$H:$H))</f>
        <v>25.95</v>
      </c>
      <c r="K1083" s="252">
        <f>IF($A1083="M",0,_xlfn.XLOOKUP($D1083,Fontes!$B:$B,Fontes!$I:$I))</f>
        <v>1.78</v>
      </c>
      <c r="L1083" s="250">
        <f t="shared" si="105"/>
        <v>143</v>
      </c>
      <c r="M1083" s="300">
        <f t="shared" si="106"/>
        <v>1573</v>
      </c>
      <c r="N1083" s="243"/>
      <c r="O1083" s="517">
        <f t="shared" si="107"/>
        <v>1573</v>
      </c>
    </row>
    <row r="1084" spans="1:15" ht="38.4" outlineLevel="4" x14ac:dyDescent="0.3">
      <c r="A1084" s="35"/>
      <c r="B1084" s="36"/>
      <c r="C1084" s="495" t="s">
        <v>10710</v>
      </c>
      <c r="D1084" s="487" t="s">
        <v>1884</v>
      </c>
      <c r="E1084" s="249" t="str">
        <f>UPPER(IF($D1084=0,"",IF($A1084=4,_xlfn.XLOOKUP($D1084,Mercado!$C:$C,Mercado!$E:$E),_xlfn.XLOOKUP($D1084,Fontes!$B:$B,Fontes!$C:$C))))</f>
        <v>CPOS/CDHU</v>
      </c>
      <c r="F1084" s="327" t="s">
        <v>3658</v>
      </c>
      <c r="G1084" s="249" t="str">
        <f>UPPER(IF($D1084=0,"",IF($A1084=4,_xlfn.XLOOKUP($D1084,Mercado!$C:$C,Mercado!$G:$G),_xlfn.XLOOKUP($D1084,Fontes!$B:$B,Fontes!$E:$E))))</f>
        <v>UN</v>
      </c>
      <c r="H1084" s="252">
        <v>8</v>
      </c>
      <c r="I1084" s="252">
        <f>IF($A1084="M",_xlfn.XLOOKUP($D1084,Mercado!$C:$C,Mercado!$I:$I),_xlfn.XLOOKUP($D1084,Fontes!$B:$B,Fontes!$J:$J))</f>
        <v>409.71</v>
      </c>
      <c r="J1084" s="252">
        <f>IF($A1084="M",_xlfn.XLOOKUP($D1084,Mercado!$C:$C,Mercado!$J:$J),_xlfn.XLOOKUP($D1084,Fontes!$B:$B,Fontes!$H:$H))</f>
        <v>75.53</v>
      </c>
      <c r="K1084" s="252">
        <f>IF($A1084="M",0,_xlfn.XLOOKUP($D1084,Fontes!$B:$B,Fontes!$I:$I))</f>
        <v>0</v>
      </c>
      <c r="L1084" s="250">
        <f t="shared" si="105"/>
        <v>485.24</v>
      </c>
      <c r="M1084" s="300">
        <f t="shared" si="106"/>
        <v>3881.92</v>
      </c>
      <c r="N1084" s="243"/>
      <c r="O1084" s="517">
        <f t="shared" si="107"/>
        <v>3881.92</v>
      </c>
    </row>
    <row r="1085" spans="1:15" outlineLevel="4" x14ac:dyDescent="0.3">
      <c r="A1085" s="36" t="s">
        <v>7</v>
      </c>
      <c r="B1085" s="36"/>
      <c r="C1085" s="495" t="s">
        <v>781</v>
      </c>
      <c r="D1085" s="487"/>
      <c r="E1085" s="249" t="str">
        <f>UPPER(IF($D1085=0,"",IF($A1085=4,_xlfn.XLOOKUP($D1085,Mercado!$C:$C,Mercado!$E:$E),_xlfn.XLOOKUP($D1085,Fontes!$B:$B,Fontes!$C:$C))))</f>
        <v/>
      </c>
      <c r="F1085" s="327" t="s">
        <v>781</v>
      </c>
      <c r="G1085" s="249"/>
      <c r="H1085" s="252"/>
      <c r="I1085" s="252">
        <f>IF($A1085="M",_xlfn.XLOOKUP($D1085,Mercado!$C:$C,Mercado!$I:$I),_xlfn.XLOOKUP($D1085,Fontes!$B:$B,Fontes!$J:$J))</f>
        <v>0</v>
      </c>
      <c r="J1085" s="252">
        <f>IF($A1085="M",_xlfn.XLOOKUP($D1085,Mercado!$C:$C,Mercado!$J:$J),_xlfn.XLOOKUP($D1085,Fontes!$B:$B,Fontes!$H:$H))</f>
        <v>0</v>
      </c>
      <c r="K1085" s="252">
        <f>IF($A1085="M",0,_xlfn.XLOOKUP($D1085,Fontes!$B:$B,Fontes!$I:$I))</f>
        <v>0</v>
      </c>
      <c r="L1085" s="250">
        <f t="shared" si="105"/>
        <v>0</v>
      </c>
      <c r="M1085" s="300">
        <f t="shared" si="106"/>
        <v>0</v>
      </c>
      <c r="O1085" s="517" t="str">
        <f t="shared" si="107"/>
        <v/>
      </c>
    </row>
    <row r="1086" spans="1:15" ht="20.399999999999999" outlineLevel="3" x14ac:dyDescent="0.3">
      <c r="A1086" s="36" t="s">
        <v>7</v>
      </c>
      <c r="B1086" s="36"/>
      <c r="C1086" s="499" t="s">
        <v>10711</v>
      </c>
      <c r="D1086" s="249"/>
      <c r="E1086" s="249" t="str">
        <f>UPPER(IF($D1086=0,"",IF($A1086=4,_xlfn.XLOOKUP($D1086,Mercado!$C:$C,Mercado!$E:$E),_xlfn.XLOOKUP($D1086,Fontes!$B:$B,Fontes!$C:$C))))</f>
        <v/>
      </c>
      <c r="F1086" s="330" t="s">
        <v>549</v>
      </c>
      <c r="G1086" s="249"/>
      <c r="H1086" s="252"/>
      <c r="I1086" s="252">
        <f>IF($A1086="M",_xlfn.XLOOKUP($D1086,Mercado!$C:$C,Mercado!$I:$I),_xlfn.XLOOKUP($D1086,Fontes!$B:$B,Fontes!$J:$J))</f>
        <v>0</v>
      </c>
      <c r="J1086" s="252">
        <f>IF($A1086="M",_xlfn.XLOOKUP($D1086,Mercado!$C:$C,Mercado!$J:$J),_xlfn.XLOOKUP($D1086,Fontes!$B:$B,Fontes!$H:$H))</f>
        <v>0</v>
      </c>
      <c r="K1086" s="252">
        <f>IF($A1086="M",0,_xlfn.XLOOKUP($D1086,Fontes!$B:$B,Fontes!$I:$I))</f>
        <v>0</v>
      </c>
      <c r="L1086" s="252">
        <f t="shared" si="105"/>
        <v>0</v>
      </c>
      <c r="M1086" s="509">
        <f t="shared" si="106"/>
        <v>0</v>
      </c>
      <c r="N1086" s="243"/>
      <c r="O1086" s="517" t="str">
        <f t="shared" si="107"/>
        <v/>
      </c>
    </row>
    <row r="1087" spans="1:15" ht="57.6" outlineLevel="4" x14ac:dyDescent="0.3">
      <c r="A1087" s="35"/>
      <c r="B1087" s="36"/>
      <c r="C1087" s="495" t="s">
        <v>10712</v>
      </c>
      <c r="D1087" s="249">
        <v>96523</v>
      </c>
      <c r="E1087" s="249" t="str">
        <f>UPPER(IF($D1087=0,"",IF($A1087=4,_xlfn.XLOOKUP($D1087,Mercado!$C:$C,Mercado!$E:$E),_xlfn.XLOOKUP($D1087,Fontes!$B:$B,Fontes!$C:$C))))</f>
        <v>SINAPI</v>
      </c>
      <c r="F1087" s="327" t="s">
        <v>368</v>
      </c>
      <c r="G1087" s="249" t="str">
        <f>UPPER(IF($D1087=0,"",IF($A1087=4,_xlfn.XLOOKUP($D1087,Mercado!$C:$C,Mercado!$G:$G),_xlfn.XLOOKUP($D1087,Fontes!$B:$B,Fontes!$E:$E))))</f>
        <v>M³</v>
      </c>
      <c r="H1087" s="252">
        <v>5.67</v>
      </c>
      <c r="I1087" s="252">
        <f>IF($A1087="M",_xlfn.XLOOKUP($D1087,Mercado!$C:$C,Mercado!$I:$I),_xlfn.XLOOKUP($D1087,Fontes!$B:$B,Fontes!$J:$J))</f>
        <v>32.159999999999997</v>
      </c>
      <c r="J1087" s="252">
        <f>IF($A1087="M",_xlfn.XLOOKUP($D1087,Mercado!$C:$C,Mercado!$J:$J),_xlfn.XLOOKUP($D1087,Fontes!$B:$B,Fontes!$H:$H))</f>
        <v>101.45</v>
      </c>
      <c r="K1087" s="252">
        <f>IF($A1087="M",0,_xlfn.XLOOKUP($D1087,Fontes!$B:$B,Fontes!$I:$I))</f>
        <v>9.6199999999999992</v>
      </c>
      <c r="L1087" s="250">
        <f t="shared" si="105"/>
        <v>143.23000000000002</v>
      </c>
      <c r="M1087" s="300">
        <f t="shared" si="106"/>
        <v>812.11</v>
      </c>
      <c r="N1087" s="243"/>
      <c r="O1087" s="517">
        <f t="shared" si="107"/>
        <v>812.11</v>
      </c>
    </row>
    <row r="1088" spans="1:15" ht="38.4" outlineLevel="4" x14ac:dyDescent="0.3">
      <c r="A1088" s="35"/>
      <c r="B1088" s="36"/>
      <c r="C1088" s="495" t="s">
        <v>10713</v>
      </c>
      <c r="D1088" s="249">
        <v>93382</v>
      </c>
      <c r="E1088" s="249" t="str">
        <f>UPPER(IF($D1088=0,"",IF($A1088=4,_xlfn.XLOOKUP($D1088,Mercado!$C:$C,Mercado!$E:$E),_xlfn.XLOOKUP($D1088,Fontes!$B:$B,Fontes!$C:$C))))</f>
        <v>SINAPI</v>
      </c>
      <c r="F1088" s="327" t="s">
        <v>119</v>
      </c>
      <c r="G1088" s="249" t="str">
        <f>UPPER(IF($D1088=0,"",IF($A1088=4,_xlfn.XLOOKUP($D1088,Mercado!$C:$C,Mercado!$G:$G),_xlfn.XLOOKUP($D1088,Fontes!$B:$B,Fontes!$E:$E))))</f>
        <v>M³</v>
      </c>
      <c r="H1088" s="252">
        <v>4.37</v>
      </c>
      <c r="I1088" s="252">
        <f>IF($A1088="M",_xlfn.XLOOKUP($D1088,Mercado!$C:$C,Mercado!$I:$I),_xlfn.XLOOKUP($D1088,Fontes!$B:$B,Fontes!$J:$J))</f>
        <v>10.41</v>
      </c>
      <c r="J1088" s="252">
        <f>IF($A1088="M",_xlfn.XLOOKUP($D1088,Mercado!$C:$C,Mercado!$J:$J),_xlfn.XLOOKUP($D1088,Fontes!$B:$B,Fontes!$H:$H))</f>
        <v>24.64</v>
      </c>
      <c r="K1088" s="252">
        <f>IF($A1088="M",0,_xlfn.XLOOKUP($D1088,Fontes!$B:$B,Fontes!$I:$I))</f>
        <v>2.98</v>
      </c>
      <c r="L1088" s="250">
        <f t="shared" si="105"/>
        <v>38.029999999999994</v>
      </c>
      <c r="M1088" s="300">
        <f t="shared" si="106"/>
        <v>166.19</v>
      </c>
      <c r="N1088" s="243"/>
      <c r="O1088" s="517">
        <f t="shared" si="107"/>
        <v>166.19</v>
      </c>
    </row>
    <row r="1089" spans="1:15" ht="76.8" outlineLevel="4" x14ac:dyDescent="0.3">
      <c r="A1089" s="35"/>
      <c r="B1089" s="36"/>
      <c r="C1089" s="495" t="s">
        <v>10714</v>
      </c>
      <c r="D1089" s="249">
        <v>100981</v>
      </c>
      <c r="E1089" s="249" t="str">
        <f>UPPER(IF($D1089=0,"",IF($A1089=4,_xlfn.XLOOKUP($D1089,Mercado!$C:$C,Mercado!$E:$E),_xlfn.XLOOKUP($D1089,Fontes!$B:$B,Fontes!$C:$C))))</f>
        <v>SINAPI</v>
      </c>
      <c r="F1089" s="327" t="s">
        <v>295</v>
      </c>
      <c r="G1089" s="249" t="str">
        <f>UPPER(IF($D1089=0,"",IF($A1089=4,_xlfn.XLOOKUP($D1089,Mercado!$C:$C,Mercado!$G:$G),_xlfn.XLOOKUP($D1089,Fontes!$B:$B,Fontes!$E:$E))))</f>
        <v>M³</v>
      </c>
      <c r="H1089" s="252">
        <f>4.37*1.35</f>
        <v>5.8995000000000006</v>
      </c>
      <c r="I1089" s="252">
        <f>IF($A1089="M",_xlfn.XLOOKUP($D1089,Mercado!$C:$C,Mercado!$I:$I),_xlfn.XLOOKUP($D1089,Fontes!$B:$B,Fontes!$J:$J))</f>
        <v>4.1399999999999997</v>
      </c>
      <c r="J1089" s="252">
        <f>IF($A1089="M",_xlfn.XLOOKUP($D1089,Mercado!$C:$C,Mercado!$J:$J),_xlfn.XLOOKUP($D1089,Fontes!$B:$B,Fontes!$H:$H))</f>
        <v>3.06</v>
      </c>
      <c r="K1089" s="252">
        <f>IF($A1089="M",0,_xlfn.XLOOKUP($D1089,Fontes!$B:$B,Fontes!$I:$I))</f>
        <v>4.32</v>
      </c>
      <c r="L1089" s="250">
        <f t="shared" si="105"/>
        <v>11.52</v>
      </c>
      <c r="M1089" s="300">
        <f t="shared" si="106"/>
        <v>67.959999999999994</v>
      </c>
      <c r="N1089" s="243"/>
      <c r="O1089" s="517">
        <f t="shared" si="107"/>
        <v>67.959999999999994</v>
      </c>
    </row>
    <row r="1090" spans="1:15" ht="57.6" outlineLevel="4" x14ac:dyDescent="0.3">
      <c r="A1090" s="35"/>
      <c r="B1090" s="36"/>
      <c r="C1090" s="495" t="s">
        <v>10715</v>
      </c>
      <c r="D1090" s="249">
        <v>95875</v>
      </c>
      <c r="E1090" s="249" t="str">
        <f>UPPER(IF($D1090=0,"",IF($A1090=4,_xlfn.XLOOKUP($D1090,Mercado!$C:$C,Mercado!$E:$E),_xlfn.XLOOKUP($D1090,Fontes!$B:$B,Fontes!$C:$C))))</f>
        <v>SINAPI</v>
      </c>
      <c r="F1090" s="327" t="s">
        <v>294</v>
      </c>
      <c r="G1090" s="249" t="str">
        <f>UPPER(IF($D1090=0,"",IF($A1090=4,_xlfn.XLOOKUP($D1090,Mercado!$C:$C,Mercado!$G:$G),_xlfn.XLOOKUP($D1090,Fontes!$B:$B,Fontes!$E:$E))))</f>
        <v>M3XKM</v>
      </c>
      <c r="H1090" s="252">
        <f>+H1089*30</f>
        <v>176.98500000000001</v>
      </c>
      <c r="I1090" s="252">
        <f>IF($A1090="M",_xlfn.XLOOKUP($D1090,Mercado!$C:$C,Mercado!$I:$I),_xlfn.XLOOKUP($D1090,Fontes!$B:$B,Fontes!$J:$J))</f>
        <v>1.68</v>
      </c>
      <c r="J1090" s="252">
        <f>IF($A1090="M",_xlfn.XLOOKUP($D1090,Mercado!$C:$C,Mercado!$J:$J),_xlfn.XLOOKUP($D1090,Fontes!$B:$B,Fontes!$H:$H))</f>
        <v>0.6</v>
      </c>
      <c r="K1090" s="252">
        <f>IF($A1090="M",0,_xlfn.XLOOKUP($D1090,Fontes!$B:$B,Fontes!$I:$I))</f>
        <v>0.92</v>
      </c>
      <c r="L1090" s="250">
        <f t="shared" si="105"/>
        <v>3.1999999999999997</v>
      </c>
      <c r="M1090" s="300">
        <f t="shared" ref="M1090:M1099" si="108">ROUND(H1090*L1090,2)</f>
        <v>566.35</v>
      </c>
      <c r="N1090" s="243"/>
      <c r="O1090" s="517">
        <f t="shared" si="107"/>
        <v>566.35</v>
      </c>
    </row>
    <row r="1091" spans="1:15" ht="57.6" outlineLevel="4" x14ac:dyDescent="0.3">
      <c r="A1091" s="35"/>
      <c r="B1091" s="36"/>
      <c r="C1091" s="495" t="s">
        <v>10716</v>
      </c>
      <c r="D1091" s="249">
        <v>93590</v>
      </c>
      <c r="E1091" s="249" t="str">
        <f>UPPER(IF($D1091=0,"",IF($A1091=4,_xlfn.XLOOKUP($D1091,Mercado!$C:$C,Mercado!$E:$E),_xlfn.XLOOKUP($D1091,Fontes!$B:$B,Fontes!$C:$C))))</f>
        <v>SINAPI</v>
      </c>
      <c r="F1091" s="327" t="s">
        <v>293</v>
      </c>
      <c r="G1091" s="249" t="str">
        <f>UPPER(IF($D1091=0,"",IF($A1091=4,_xlfn.XLOOKUP($D1091,Mercado!$C:$C,Mercado!$G:$G),_xlfn.XLOOKUP($D1091,Fontes!$B:$B,Fontes!$E:$E))))</f>
        <v>M3XKM</v>
      </c>
      <c r="H1091" s="252">
        <f>+H1089*10</f>
        <v>58.995000000000005</v>
      </c>
      <c r="I1091" s="252">
        <f>IF($A1091="M",_xlfn.XLOOKUP($D1091,Mercado!$C:$C,Mercado!$I:$I),_xlfn.XLOOKUP($D1091,Fontes!$B:$B,Fontes!$J:$J))</f>
        <v>0.65</v>
      </c>
      <c r="J1091" s="252">
        <f>IF($A1091="M",_xlfn.XLOOKUP($D1091,Mercado!$C:$C,Mercado!$J:$J),_xlfn.XLOOKUP($D1091,Fontes!$B:$B,Fontes!$H:$H))</f>
        <v>0.23</v>
      </c>
      <c r="K1091" s="252">
        <f>IF($A1091="M",0,_xlfn.XLOOKUP($D1091,Fontes!$B:$B,Fontes!$I:$I))</f>
        <v>0.35</v>
      </c>
      <c r="L1091" s="250">
        <f t="shared" si="105"/>
        <v>1.23</v>
      </c>
      <c r="M1091" s="300">
        <f t="shared" si="108"/>
        <v>72.56</v>
      </c>
      <c r="N1091" s="243"/>
      <c r="O1091" s="517">
        <f t="shared" si="107"/>
        <v>72.56</v>
      </c>
    </row>
    <row r="1092" spans="1:15" ht="38.4" outlineLevel="4" x14ac:dyDescent="0.3">
      <c r="A1092" s="35"/>
      <c r="B1092" s="36"/>
      <c r="C1092" s="495" t="s">
        <v>10717</v>
      </c>
      <c r="D1092" s="249">
        <v>20014</v>
      </c>
      <c r="E1092" s="249" t="str">
        <f>UPPER(IF($D1092=0,"",IF($A1092=4,_xlfn.XLOOKUP($D1092,Mercado!$C:$C,Mercado!$E:$E),_xlfn.XLOOKUP($D1092,Fontes!$B:$B,Fontes!$C:$C))))</f>
        <v>SBC</v>
      </c>
      <c r="F1092" s="327" t="s">
        <v>1679</v>
      </c>
      <c r="G1092" s="249" t="str">
        <f>UPPER(IF($D1092=0,"",IF($A1092=4,_xlfn.XLOOKUP($D1092,Mercado!$C:$C,Mercado!$G:$G),_xlfn.XLOOKUP($D1092,Fontes!$B:$B,Fontes!$E:$E))))</f>
        <v>M³</v>
      </c>
      <c r="H1092" s="252">
        <f>1.62*0.15</f>
        <v>0.24299999999999999</v>
      </c>
      <c r="I1092" s="252">
        <f>IF($A1092="M",_xlfn.XLOOKUP($D1092,Mercado!$C:$C,Mercado!$I:$I),_xlfn.XLOOKUP($D1092,Fontes!$B:$B,Fontes!$J:$J))</f>
        <v>0</v>
      </c>
      <c r="J1092" s="252">
        <f>IF($A1092="M",_xlfn.XLOOKUP($D1092,Mercado!$C:$C,Mercado!$J:$J),_xlfn.XLOOKUP($D1092,Fontes!$B:$B,Fontes!$H:$H))</f>
        <v>102.63</v>
      </c>
      <c r="K1092" s="252">
        <f>IF($A1092="M",0,_xlfn.XLOOKUP($D1092,Fontes!$B:$B,Fontes!$I:$I))</f>
        <v>0</v>
      </c>
      <c r="L1092" s="250">
        <f t="shared" si="105"/>
        <v>102.63</v>
      </c>
      <c r="M1092" s="300">
        <f t="shared" si="108"/>
        <v>24.94</v>
      </c>
      <c r="N1092" s="243"/>
      <c r="O1092" s="517">
        <f t="shared" si="107"/>
        <v>24.94</v>
      </c>
    </row>
    <row r="1093" spans="1:15" s="255" customFormat="1" ht="38.4" outlineLevel="4" x14ac:dyDescent="0.3">
      <c r="A1093" s="35"/>
      <c r="B1093" s="36"/>
      <c r="C1093" s="495" t="s">
        <v>10718</v>
      </c>
      <c r="D1093" s="249">
        <v>96616</v>
      </c>
      <c r="E1093" s="249" t="str">
        <f>UPPER(IF($D1093=0,"",IF($A1093=4,_xlfn.XLOOKUP($D1093,Mercado!$C:$C,Mercado!$E:$E),_xlfn.XLOOKUP($D1093,Fontes!$B:$B,Fontes!$C:$C))))</f>
        <v>SINAPI</v>
      </c>
      <c r="F1093" s="327" t="s">
        <v>193</v>
      </c>
      <c r="G1093" s="249" t="str">
        <f>UPPER(IF($D1093=0,"",IF($A1093=4,_xlfn.XLOOKUP($D1093,Mercado!$C:$C,Mercado!$G:$G),_xlfn.XLOOKUP($D1093,Fontes!$B:$B,Fontes!$E:$E))))</f>
        <v>M³</v>
      </c>
      <c r="H1093" s="252">
        <v>0.11</v>
      </c>
      <c r="I1093" s="252">
        <f>IF($A1093="M",_xlfn.XLOOKUP($D1093,Mercado!$C:$C,Mercado!$I:$I),_xlfn.XLOOKUP($D1093,Fontes!$B:$B,Fontes!$J:$J))</f>
        <v>556.25</v>
      </c>
      <c r="J1093" s="252">
        <f>IF($A1093="M",_xlfn.XLOOKUP($D1093,Mercado!$C:$C,Mercado!$J:$J),_xlfn.XLOOKUP($D1093,Fontes!$B:$B,Fontes!$H:$H))</f>
        <v>383.38</v>
      </c>
      <c r="K1093" s="252">
        <f>IF($A1093="M",0,_xlfn.XLOOKUP($D1093,Fontes!$B:$B,Fontes!$I:$I))</f>
        <v>35.51</v>
      </c>
      <c r="L1093" s="250">
        <f t="shared" si="105"/>
        <v>975.14</v>
      </c>
      <c r="M1093" s="300">
        <f t="shared" si="108"/>
        <v>107.27</v>
      </c>
      <c r="N1093" s="243"/>
      <c r="O1093" s="517">
        <f t="shared" si="107"/>
        <v>107.27</v>
      </c>
    </row>
    <row r="1094" spans="1:15" s="255" customFormat="1" outlineLevel="4" x14ac:dyDescent="0.3">
      <c r="A1094" s="35"/>
      <c r="B1094" s="36"/>
      <c r="C1094" s="495" t="s">
        <v>10719</v>
      </c>
      <c r="D1094" s="249" t="s">
        <v>2771</v>
      </c>
      <c r="E1094" s="249" t="str">
        <f>UPPER(IF($D1094=0,"",IF($A1094=4,_xlfn.XLOOKUP($D1094,Mercado!$C:$C,Mercado!$E:$E),_xlfn.XLOOKUP($D1094,Fontes!$B:$B,Fontes!$C:$C))))</f>
        <v>CPOS/CDHU</v>
      </c>
      <c r="F1094" s="327" t="s">
        <v>3697</v>
      </c>
      <c r="G1094" s="249" t="str">
        <f>UPPER(IF($D1094=0,"",IF($A1094=4,_xlfn.XLOOKUP($D1094,Mercado!$C:$C,Mercado!$G:$G),_xlfn.XLOOKUP($D1094,Fontes!$B:$B,Fontes!$E:$E))))</f>
        <v>M²</v>
      </c>
      <c r="H1094" s="252">
        <v>1.08</v>
      </c>
      <c r="I1094" s="252">
        <f>IF($A1094="M",_xlfn.XLOOKUP($D1094,Mercado!$C:$C,Mercado!$I:$I),_xlfn.XLOOKUP($D1094,Fontes!$B:$B,Fontes!$J:$J))</f>
        <v>44.14</v>
      </c>
      <c r="J1094" s="252">
        <f>IF($A1094="M",_xlfn.XLOOKUP($D1094,Mercado!$C:$C,Mercado!$J:$J),_xlfn.XLOOKUP($D1094,Fontes!$B:$B,Fontes!$H:$H))</f>
        <v>65.45</v>
      </c>
      <c r="K1094" s="252">
        <f>IF($A1094="M",0,_xlfn.XLOOKUP($D1094,Fontes!$B:$B,Fontes!$I:$I))</f>
        <v>0</v>
      </c>
      <c r="L1094" s="250">
        <f t="shared" si="105"/>
        <v>109.59</v>
      </c>
      <c r="M1094" s="300">
        <f t="shared" si="108"/>
        <v>118.36</v>
      </c>
      <c r="N1094" s="243"/>
      <c r="O1094" s="517">
        <f t="shared" si="107"/>
        <v>118.36</v>
      </c>
    </row>
    <row r="1095" spans="1:15" s="255" customFormat="1" ht="38.4" outlineLevel="4" x14ac:dyDescent="0.3">
      <c r="A1095" s="35"/>
      <c r="B1095" s="36"/>
      <c r="C1095" s="495" t="s">
        <v>10720</v>
      </c>
      <c r="D1095" s="249">
        <v>96545</v>
      </c>
      <c r="E1095" s="249" t="str">
        <f>UPPER(IF($D1095=0,"",IF($A1095=4,_xlfn.XLOOKUP($D1095,Mercado!$C:$C,Mercado!$E:$E),_xlfn.XLOOKUP($D1095,Fontes!$B:$B,Fontes!$C:$C))))</f>
        <v>SINAPI</v>
      </c>
      <c r="F1095" s="327" t="s">
        <v>185</v>
      </c>
      <c r="G1095" s="249" t="str">
        <f>UPPER(IF($D1095=0,"",IF($A1095=4,_xlfn.XLOOKUP($D1095,Mercado!$C:$C,Mercado!$G:$G),_xlfn.XLOOKUP($D1095,Fontes!$B:$B,Fontes!$E:$E))))</f>
        <v>KG</v>
      </c>
      <c r="H1095" s="252">
        <f>+H1096*60</f>
        <v>29.4</v>
      </c>
      <c r="I1095" s="252">
        <f>IF($A1095="M",_xlfn.XLOOKUP($D1095,Mercado!$C:$C,Mercado!$I:$I),_xlfn.XLOOKUP($D1095,Fontes!$B:$B,Fontes!$J:$J))</f>
        <v>12.28</v>
      </c>
      <c r="J1095" s="252">
        <f>IF($A1095="M",_xlfn.XLOOKUP($D1095,Mercado!$C:$C,Mercado!$J:$J),_xlfn.XLOOKUP($D1095,Fontes!$B:$B,Fontes!$H:$H))</f>
        <v>6.5</v>
      </c>
      <c r="K1095" s="252">
        <f>IF($A1095="M",0,_xlfn.XLOOKUP($D1095,Fontes!$B:$B,Fontes!$I:$I))</f>
        <v>0.48</v>
      </c>
      <c r="L1095" s="250">
        <f t="shared" si="105"/>
        <v>19.260000000000002</v>
      </c>
      <c r="M1095" s="300">
        <f t="shared" si="108"/>
        <v>566.24</v>
      </c>
      <c r="N1095" s="243"/>
      <c r="O1095" s="517">
        <f t="shared" si="107"/>
        <v>566.24</v>
      </c>
    </row>
    <row r="1096" spans="1:15" s="255" customFormat="1" outlineLevel="4" x14ac:dyDescent="0.3">
      <c r="A1096" s="35"/>
      <c r="B1096" s="36"/>
      <c r="C1096" s="495" t="s">
        <v>10721</v>
      </c>
      <c r="D1096" s="481" t="s">
        <v>754</v>
      </c>
      <c r="E1096" s="249" t="str">
        <f>UPPER(IF($D1096=0,"",IF($A1096=4,_xlfn.XLOOKUP($D1096,Mercado!$C:$C,Mercado!$E:$E),_xlfn.XLOOKUP($D1096,Fontes!$B:$B,Fontes!$C:$C))))</f>
        <v>CPOS/CDHU</v>
      </c>
      <c r="F1096" s="327" t="s">
        <v>3492</v>
      </c>
      <c r="G1096" s="249" t="str">
        <f>UPPER(IF($D1096=0,"",IF($A1096=4,_xlfn.XLOOKUP($D1096,Mercado!$C:$C,Mercado!$G:$G),_xlfn.XLOOKUP($D1096,Fontes!$B:$B,Fontes!$E:$E))))</f>
        <v>M³</v>
      </c>
      <c r="H1096" s="252">
        <v>0.49</v>
      </c>
      <c r="I1096" s="252">
        <f>IF($A1096="M",_xlfn.XLOOKUP($D1096,Mercado!$C:$C,Mercado!$I:$I),_xlfn.XLOOKUP($D1096,Fontes!$B:$B,Fontes!$J:$J))</f>
        <v>598.41999999999996</v>
      </c>
      <c r="J1096" s="252">
        <f>IF($A1096="M",_xlfn.XLOOKUP($D1096,Mercado!$C:$C,Mercado!$J:$J),_xlfn.XLOOKUP($D1096,Fontes!$B:$B,Fontes!$H:$H))</f>
        <v>0</v>
      </c>
      <c r="K1096" s="252">
        <f>IF($A1096="M",0,_xlfn.XLOOKUP($D1096,Fontes!$B:$B,Fontes!$I:$I))</f>
        <v>0</v>
      </c>
      <c r="L1096" s="250">
        <f t="shared" si="105"/>
        <v>598.41999999999996</v>
      </c>
      <c r="M1096" s="300">
        <f t="shared" si="108"/>
        <v>293.23</v>
      </c>
      <c r="N1096" s="243"/>
      <c r="O1096" s="517">
        <f t="shared" si="107"/>
        <v>293.23</v>
      </c>
    </row>
    <row r="1097" spans="1:15" s="255" customFormat="1" ht="57.6" outlineLevel="4" x14ac:dyDescent="0.3">
      <c r="A1097" s="35"/>
      <c r="B1097" s="36"/>
      <c r="C1097" s="495" t="s">
        <v>10722</v>
      </c>
      <c r="D1097" s="481">
        <v>90285</v>
      </c>
      <c r="E1097" s="249" t="str">
        <f>UPPER(IF($D1097=0,"",IF($A1097=4,_xlfn.XLOOKUP($D1097,Mercado!$C:$C,Mercado!$E:$E),_xlfn.XLOOKUP($D1097,Fontes!$B:$B,Fontes!$C:$C))))</f>
        <v>SINAPI</v>
      </c>
      <c r="F1097" s="327" t="s">
        <v>348</v>
      </c>
      <c r="G1097" s="249" t="str">
        <f>UPPER(IF($D1097=0,"",IF($A1097=4,_xlfn.XLOOKUP($D1097,Mercado!$C:$C,Mercado!$G:$G),_xlfn.XLOOKUP($D1097,Fontes!$B:$B,Fontes!$E:$E))))</f>
        <v>M³</v>
      </c>
      <c r="H1097" s="252">
        <v>0.81</v>
      </c>
      <c r="I1097" s="252">
        <f>IF($A1097="M",_xlfn.XLOOKUP($D1097,Mercado!$C:$C,Mercado!$I:$I),_xlfn.XLOOKUP($D1097,Fontes!$B:$B,Fontes!$J:$J))</f>
        <v>666.94</v>
      </c>
      <c r="J1097" s="252">
        <f>IF($A1097="M",_xlfn.XLOOKUP($D1097,Mercado!$C:$C,Mercado!$J:$J),_xlfn.XLOOKUP($D1097,Fontes!$B:$B,Fontes!$H:$H))</f>
        <v>93.16</v>
      </c>
      <c r="K1097" s="252">
        <f>IF($A1097="M",0,_xlfn.XLOOKUP($D1097,Fontes!$B:$B,Fontes!$I:$I))</f>
        <v>8.48</v>
      </c>
      <c r="L1097" s="250">
        <f t="shared" si="105"/>
        <v>768.58</v>
      </c>
      <c r="M1097" s="300">
        <f t="shared" si="108"/>
        <v>622.54999999999995</v>
      </c>
      <c r="N1097" s="243"/>
      <c r="O1097" s="517">
        <f t="shared" si="107"/>
        <v>622.54999999999995</v>
      </c>
    </row>
    <row r="1098" spans="1:15" s="255" customFormat="1" ht="38.4" outlineLevel="4" x14ac:dyDescent="0.3">
      <c r="A1098" s="35"/>
      <c r="B1098" s="36"/>
      <c r="C1098" s="495" t="s">
        <v>10723</v>
      </c>
      <c r="D1098" s="481" t="s">
        <v>1996</v>
      </c>
      <c r="E1098" s="249" t="str">
        <f>UPPER(IF($D1098=0,"",IF($A1098=4,_xlfn.XLOOKUP($D1098,Mercado!$C:$C,Mercado!$E:$E),_xlfn.XLOOKUP($D1098,Fontes!$B:$B,Fontes!$C:$C))))</f>
        <v>CPOS/CDHU</v>
      </c>
      <c r="F1098" s="327" t="s">
        <v>3494</v>
      </c>
      <c r="G1098" s="249" t="str">
        <f>UPPER(IF($D1098=0,"",IF($A1098=4,_xlfn.XLOOKUP($D1098,Mercado!$C:$C,Mercado!$G:$G),_xlfn.XLOOKUP($D1098,Fontes!$B:$B,Fontes!$E:$E))))</f>
        <v>M³</v>
      </c>
      <c r="H1098" s="252">
        <f>+H1096+H1097</f>
        <v>1.3</v>
      </c>
      <c r="I1098" s="252">
        <f>IF($A1098="M",_xlfn.XLOOKUP($D1098,Mercado!$C:$C,Mercado!$I:$I),_xlfn.XLOOKUP($D1098,Fontes!$B:$B,Fontes!$J:$J))</f>
        <v>0</v>
      </c>
      <c r="J1098" s="252">
        <f>IF($A1098="M",_xlfn.XLOOKUP($D1098,Mercado!$C:$C,Mercado!$J:$J),_xlfn.XLOOKUP($D1098,Fontes!$B:$B,Fontes!$H:$H))</f>
        <v>191.54</v>
      </c>
      <c r="K1098" s="252">
        <f>IF($A1098="M",0,_xlfn.XLOOKUP($D1098,Fontes!$B:$B,Fontes!$I:$I))</f>
        <v>0</v>
      </c>
      <c r="L1098" s="250">
        <f t="shared" si="105"/>
        <v>191.54</v>
      </c>
      <c r="M1098" s="300">
        <f t="shared" si="108"/>
        <v>249</v>
      </c>
      <c r="N1098" s="243"/>
      <c r="O1098" s="517">
        <f t="shared" si="107"/>
        <v>249</v>
      </c>
    </row>
    <row r="1099" spans="1:15" outlineLevel="3" x14ac:dyDescent="0.3">
      <c r="A1099" s="36" t="s">
        <v>7</v>
      </c>
      <c r="B1099" s="36"/>
      <c r="C1099" s="495" t="s">
        <v>781</v>
      </c>
      <c r="D1099" s="249"/>
      <c r="E1099" s="249" t="str">
        <f>UPPER(IF($D1099=0,"",IF($A1099=4,_xlfn.XLOOKUP($D1099,Mercado!$C:$C,Mercado!$E:$E),_xlfn.XLOOKUP($D1099,Fontes!$B:$B,Fontes!$C:$C))))</f>
        <v/>
      </c>
      <c r="F1099" s="327" t="s">
        <v>781</v>
      </c>
      <c r="G1099" s="249"/>
      <c r="H1099" s="252"/>
      <c r="I1099" s="252">
        <f>IF($A1099="M",_xlfn.XLOOKUP($D1099,Mercado!$C:$C,Mercado!$I:$I),_xlfn.XLOOKUP($D1099,Fontes!$B:$B,Fontes!$J:$J))</f>
        <v>0</v>
      </c>
      <c r="J1099" s="252">
        <f>IF($A1099="M",_xlfn.XLOOKUP($D1099,Mercado!$C:$C,Mercado!$J:$J),_xlfn.XLOOKUP($D1099,Fontes!$B:$B,Fontes!$H:$H))</f>
        <v>0</v>
      </c>
      <c r="K1099" s="252">
        <f>IF($A1099="M",0,_xlfn.XLOOKUP($D1099,Fontes!$B:$B,Fontes!$I:$I))</f>
        <v>0</v>
      </c>
      <c r="L1099" s="250">
        <f t="shared" si="105"/>
        <v>0</v>
      </c>
      <c r="M1099" s="300">
        <f t="shared" si="108"/>
        <v>0</v>
      </c>
      <c r="O1099" s="517" t="str">
        <f t="shared" si="107"/>
        <v/>
      </c>
    </row>
    <row r="1100" spans="1:15" ht="20.399999999999999" outlineLevel="2" x14ac:dyDescent="0.3">
      <c r="A1100" s="36" t="s">
        <v>7</v>
      </c>
      <c r="B1100" s="36"/>
      <c r="C1100" s="496" t="s">
        <v>10724</v>
      </c>
      <c r="D1100" s="253"/>
      <c r="E1100" s="253" t="str">
        <f>UPPER(IF($D1100=0,"",IF($A1100=4,_xlfn.XLOOKUP($D1100,Mercado!$C:$C,Mercado!$E:$E),_xlfn.XLOOKUP($D1100,Fontes!$B:$B,Fontes!$C:$C))))</f>
        <v/>
      </c>
      <c r="F1100" s="329" t="s">
        <v>1945</v>
      </c>
      <c r="G1100" s="253"/>
      <c r="H1100" s="254"/>
      <c r="I1100" s="254">
        <f>IF($A1100="M",_xlfn.XLOOKUP($D1100,Mercado!$C:$C,Mercado!$I:$I),_xlfn.XLOOKUP($D1100,Fontes!$B:$B,Fontes!$J:$J))</f>
        <v>0</v>
      </c>
      <c r="J1100" s="254">
        <f>IF($A1100="M",_xlfn.XLOOKUP($D1100,Mercado!$C:$C,Mercado!$J:$J),_xlfn.XLOOKUP($D1100,Fontes!$B:$B,Fontes!$H:$H))</f>
        <v>0</v>
      </c>
      <c r="K1100" s="254">
        <f>IF($A1100="M",0,_xlfn.XLOOKUP($D1100,Fontes!$B:$B,Fontes!$I:$I))</f>
        <v>0</v>
      </c>
      <c r="L1100" s="254">
        <f t="shared" si="105"/>
        <v>0</v>
      </c>
      <c r="M1100" s="510">
        <f>SUBTOTAL(9,M1101:M1139)</f>
        <v>71973.77</v>
      </c>
      <c r="O1100" s="517" t="str">
        <f t="shared" si="107"/>
        <v/>
      </c>
    </row>
    <row r="1101" spans="1:15" outlineLevel="3" x14ac:dyDescent="0.3">
      <c r="A1101" s="36" t="s">
        <v>7</v>
      </c>
      <c r="B1101" s="36"/>
      <c r="C1101" s="495" t="s">
        <v>781</v>
      </c>
      <c r="D1101" s="479"/>
      <c r="E1101" s="249" t="str">
        <f>UPPER(IF($D1101=0,"",IF($A1101=4,_xlfn.XLOOKUP($D1101,Mercado!$C:$C,Mercado!$E:$E),_xlfn.XLOOKUP($D1101,Fontes!$B:$B,Fontes!$C:$C))))</f>
        <v/>
      </c>
      <c r="F1101" s="331" t="s">
        <v>781</v>
      </c>
      <c r="G1101" s="249"/>
      <c r="H1101" s="252"/>
      <c r="I1101" s="252">
        <f>IF($A1101="M",_xlfn.XLOOKUP($D1101,Mercado!$C:$C,Mercado!$I:$I),_xlfn.XLOOKUP($D1101,Fontes!$B:$B,Fontes!$J:$J))</f>
        <v>0</v>
      </c>
      <c r="J1101" s="252">
        <f>IF($A1101="M",_xlfn.XLOOKUP($D1101,Mercado!$C:$C,Mercado!$J:$J),_xlfn.XLOOKUP($D1101,Fontes!$B:$B,Fontes!$H:$H))</f>
        <v>0</v>
      </c>
      <c r="K1101" s="252">
        <f>IF($A1101="M",0,_xlfn.XLOOKUP($D1101,Fontes!$B:$B,Fontes!$I:$I))</f>
        <v>0</v>
      </c>
      <c r="L1101" s="252">
        <f t="shared" si="105"/>
        <v>0</v>
      </c>
      <c r="M1101" s="300">
        <f t="shared" ref="M1101:M1139" si="109">ROUND(H1101*L1101,2)</f>
        <v>0</v>
      </c>
      <c r="N1101" s="243"/>
      <c r="O1101" s="517" t="str">
        <f t="shared" si="107"/>
        <v/>
      </c>
    </row>
    <row r="1102" spans="1:15" ht="20.399999999999999" outlineLevel="3" x14ac:dyDescent="0.3">
      <c r="A1102" s="36" t="s">
        <v>7</v>
      </c>
      <c r="B1102" s="36"/>
      <c r="C1102" s="499" t="s">
        <v>10725</v>
      </c>
      <c r="D1102" s="479"/>
      <c r="E1102" s="249" t="str">
        <f>UPPER(IF($D1102=0,"",IF($A1102=4,_xlfn.XLOOKUP($D1102,Mercado!$C:$C,Mercado!$E:$E),_xlfn.XLOOKUP($D1102,Fontes!$B:$B,Fontes!$C:$C))))</f>
        <v/>
      </c>
      <c r="F1102" s="334" t="s">
        <v>553</v>
      </c>
      <c r="G1102" s="249"/>
      <c r="H1102" s="252"/>
      <c r="I1102" s="252">
        <f>IF($A1102="M",_xlfn.XLOOKUP($D1102,Mercado!$C:$C,Mercado!$I:$I),_xlfn.XLOOKUP($D1102,Fontes!$B:$B,Fontes!$J:$J))</f>
        <v>0</v>
      </c>
      <c r="J1102" s="252">
        <f>IF($A1102="M",_xlfn.XLOOKUP($D1102,Mercado!$C:$C,Mercado!$J:$J),_xlfn.XLOOKUP($D1102,Fontes!$B:$B,Fontes!$H:$H))</f>
        <v>0</v>
      </c>
      <c r="K1102" s="252">
        <f>IF($A1102="M",0,_xlfn.XLOOKUP($D1102,Fontes!$B:$B,Fontes!$I:$I))</f>
        <v>0</v>
      </c>
      <c r="L1102" s="252">
        <f t="shared" ref="L1102:L1165" si="110">SUM(I1102:K1102)</f>
        <v>0</v>
      </c>
      <c r="M1102" s="509">
        <f t="shared" si="109"/>
        <v>0</v>
      </c>
      <c r="N1102" s="243"/>
      <c r="O1102" s="517" t="str">
        <f t="shared" si="107"/>
        <v/>
      </c>
    </row>
    <row r="1103" spans="1:15" ht="57.6" outlineLevel="4" x14ac:dyDescent="0.3">
      <c r="A1103" s="35"/>
      <c r="B1103" s="36"/>
      <c r="C1103" s="495" t="s">
        <v>10726</v>
      </c>
      <c r="D1103" s="479">
        <v>92336</v>
      </c>
      <c r="E1103" s="249" t="str">
        <f>UPPER(IF($D1103=0,"",IF($A1103=4,_xlfn.XLOOKUP($D1103,Mercado!$C:$C,Mercado!$E:$E),_xlfn.XLOOKUP($D1103,Fontes!$B:$B,Fontes!$C:$C))))</f>
        <v>SINAPI</v>
      </c>
      <c r="F1103" s="327" t="s">
        <v>332</v>
      </c>
      <c r="G1103" s="249" t="str">
        <f>UPPER(IF($D1103=0,"",IF($A1103=4,_xlfn.XLOOKUP($D1103,Mercado!$C:$C,Mercado!$G:$G),_xlfn.XLOOKUP($D1103,Fontes!$B:$B,Fontes!$E:$E))))</f>
        <v>M</v>
      </c>
      <c r="H1103" s="252">
        <v>167</v>
      </c>
      <c r="I1103" s="252">
        <f>IF($A1103="M",_xlfn.XLOOKUP($D1103,Mercado!$C:$C,Mercado!$I:$I),_xlfn.XLOOKUP($D1103,Fontes!$B:$B,Fontes!$J:$J))</f>
        <v>99.79</v>
      </c>
      <c r="J1103" s="252">
        <f>IF($A1103="M",_xlfn.XLOOKUP($D1103,Mercado!$C:$C,Mercado!$J:$J),_xlfn.XLOOKUP($D1103,Fontes!$B:$B,Fontes!$H:$H))</f>
        <v>16.059999999999999</v>
      </c>
      <c r="K1103" s="252">
        <f>IF($A1103="M",0,_xlfn.XLOOKUP($D1103,Fontes!$B:$B,Fontes!$I:$I))</f>
        <v>1.1000000000000001</v>
      </c>
      <c r="L1103" s="250">
        <f t="shared" si="110"/>
        <v>116.95</v>
      </c>
      <c r="M1103" s="300">
        <f t="shared" si="109"/>
        <v>19530.650000000001</v>
      </c>
      <c r="N1103" s="243"/>
      <c r="O1103" s="517">
        <f t="shared" si="107"/>
        <v>19530.650000000001</v>
      </c>
    </row>
    <row r="1104" spans="1:15" ht="57.6" outlineLevel="4" x14ac:dyDescent="0.3">
      <c r="A1104" s="35"/>
      <c r="B1104" s="36"/>
      <c r="C1104" s="495" t="s">
        <v>10727</v>
      </c>
      <c r="D1104" s="479">
        <v>92337</v>
      </c>
      <c r="E1104" s="249" t="str">
        <f>UPPER(IF($D1104=0,"",IF($A1104=4,_xlfn.XLOOKUP($D1104,Mercado!$C:$C,Mercado!$E:$E),_xlfn.XLOOKUP($D1104,Fontes!$B:$B,Fontes!$C:$C))))</f>
        <v>SINAPI</v>
      </c>
      <c r="F1104" s="327" t="s">
        <v>333</v>
      </c>
      <c r="G1104" s="249" t="str">
        <f>UPPER(IF($D1104=0,"",IF($A1104=4,_xlfn.XLOOKUP($D1104,Mercado!$C:$C,Mercado!$G:$G),_xlfn.XLOOKUP($D1104,Fontes!$B:$B,Fontes!$E:$E))))</f>
        <v>M</v>
      </c>
      <c r="H1104" s="252">
        <v>10</v>
      </c>
      <c r="I1104" s="252">
        <f>IF($A1104="M",_xlfn.XLOOKUP($D1104,Mercado!$C:$C,Mercado!$I:$I),_xlfn.XLOOKUP($D1104,Fontes!$B:$B,Fontes!$J:$J))</f>
        <v>132.84</v>
      </c>
      <c r="J1104" s="252">
        <f>IF($A1104="M",_xlfn.XLOOKUP($D1104,Mercado!$C:$C,Mercado!$J:$J),_xlfn.XLOOKUP($D1104,Fontes!$B:$B,Fontes!$H:$H))</f>
        <v>16.59</v>
      </c>
      <c r="K1104" s="252">
        <f>IF($A1104="M",0,_xlfn.XLOOKUP($D1104,Fontes!$B:$B,Fontes!$I:$I))</f>
        <v>1.1399999999999999</v>
      </c>
      <c r="L1104" s="250">
        <f t="shared" si="110"/>
        <v>150.57</v>
      </c>
      <c r="M1104" s="300">
        <f t="shared" si="109"/>
        <v>1505.7</v>
      </c>
      <c r="N1104" s="243"/>
      <c r="O1104" s="517">
        <f t="shared" si="107"/>
        <v>1505.7</v>
      </c>
    </row>
    <row r="1105" spans="1:15" ht="76.8" outlineLevel="4" x14ac:dyDescent="0.3">
      <c r="A1105" s="35"/>
      <c r="B1105" s="36"/>
      <c r="C1105" s="495" t="s">
        <v>10728</v>
      </c>
      <c r="D1105" s="479">
        <v>94473</v>
      </c>
      <c r="E1105" s="249" t="str">
        <f>UPPER(IF($D1105=0,"",IF($A1105=4,_xlfn.XLOOKUP($D1105,Mercado!$C:$C,Mercado!$E:$E),_xlfn.XLOOKUP($D1105,Fontes!$B:$B,Fontes!$C:$C))))</f>
        <v>SINAPI</v>
      </c>
      <c r="F1105" s="327" t="s">
        <v>105</v>
      </c>
      <c r="G1105" s="249" t="str">
        <f>UPPER(IF($D1105=0,"",IF($A1105=4,_xlfn.XLOOKUP($D1105,Mercado!$C:$C,Mercado!$G:$G),_xlfn.XLOOKUP($D1105,Fontes!$B:$B,Fontes!$E:$E))))</f>
        <v>UN</v>
      </c>
      <c r="H1105" s="252">
        <v>26</v>
      </c>
      <c r="I1105" s="252">
        <f>IF($A1105="M",_xlfn.XLOOKUP($D1105,Mercado!$C:$C,Mercado!$I:$I),_xlfn.XLOOKUP($D1105,Fontes!$B:$B,Fontes!$J:$J))</f>
        <v>106.62</v>
      </c>
      <c r="J1105" s="252">
        <f>IF($A1105="M",_xlfn.XLOOKUP($D1105,Mercado!$C:$C,Mercado!$J:$J),_xlfn.XLOOKUP($D1105,Fontes!$B:$B,Fontes!$H:$H))</f>
        <v>29.82</v>
      </c>
      <c r="K1105" s="252">
        <f>IF($A1105="M",0,_xlfn.XLOOKUP($D1105,Fontes!$B:$B,Fontes!$I:$I))</f>
        <v>2.04</v>
      </c>
      <c r="L1105" s="250">
        <f t="shared" si="110"/>
        <v>138.47999999999999</v>
      </c>
      <c r="M1105" s="300">
        <f t="shared" si="109"/>
        <v>3600.48</v>
      </c>
      <c r="N1105" s="243"/>
      <c r="O1105" s="517">
        <f t="shared" si="107"/>
        <v>3600.48</v>
      </c>
    </row>
    <row r="1106" spans="1:15" ht="76.8" outlineLevel="4" x14ac:dyDescent="0.3">
      <c r="A1106" s="35"/>
      <c r="B1106" s="36"/>
      <c r="C1106" s="495" t="s">
        <v>10729</v>
      </c>
      <c r="D1106" s="479">
        <v>94475</v>
      </c>
      <c r="E1106" s="249" t="str">
        <f>UPPER(IF($D1106=0,"",IF($A1106=4,_xlfn.XLOOKUP($D1106,Mercado!$C:$C,Mercado!$E:$E),_xlfn.XLOOKUP($D1106,Fontes!$B:$B,Fontes!$C:$C))))</f>
        <v>SINAPI</v>
      </c>
      <c r="F1106" s="327" t="s">
        <v>106</v>
      </c>
      <c r="G1106" s="249" t="str">
        <f>UPPER(IF($D1106=0,"",IF($A1106=4,_xlfn.XLOOKUP($D1106,Mercado!$C:$C,Mercado!$G:$G),_xlfn.XLOOKUP($D1106,Fontes!$B:$B,Fontes!$E:$E))))</f>
        <v>UN</v>
      </c>
      <c r="H1106" s="252">
        <v>8</v>
      </c>
      <c r="I1106" s="252">
        <f>IF($A1106="M",_xlfn.XLOOKUP($D1106,Mercado!$C:$C,Mercado!$I:$I),_xlfn.XLOOKUP($D1106,Fontes!$B:$B,Fontes!$J:$J))</f>
        <v>148.19999999999999</v>
      </c>
      <c r="J1106" s="252">
        <f>IF($A1106="M",_xlfn.XLOOKUP($D1106,Mercado!$C:$C,Mercado!$J:$J),_xlfn.XLOOKUP($D1106,Fontes!$B:$B,Fontes!$H:$H))</f>
        <v>35.18</v>
      </c>
      <c r="K1106" s="252">
        <f>IF($A1106="M",0,_xlfn.XLOOKUP($D1106,Fontes!$B:$B,Fontes!$I:$I))</f>
        <v>2.4</v>
      </c>
      <c r="L1106" s="250">
        <f t="shared" si="110"/>
        <v>185.78</v>
      </c>
      <c r="M1106" s="300">
        <f t="shared" si="109"/>
        <v>1486.24</v>
      </c>
      <c r="N1106" s="243"/>
      <c r="O1106" s="517">
        <f t="shared" si="107"/>
        <v>1486.24</v>
      </c>
    </row>
    <row r="1107" spans="1:15" outlineLevel="4" x14ac:dyDescent="0.3">
      <c r="A1107" s="35"/>
      <c r="B1107" s="36"/>
      <c r="C1107" s="495" t="s">
        <v>10730</v>
      </c>
      <c r="D1107" s="479">
        <v>55718</v>
      </c>
      <c r="E1107" s="249" t="str">
        <f>UPPER(IF($D1107=0,"",IF($A1107=4,_xlfn.XLOOKUP($D1107,Mercado!$C:$C,Mercado!$E:$E),_xlfn.XLOOKUP($D1107,Fontes!$B:$B,Fontes!$C:$C))))</f>
        <v>SBC</v>
      </c>
      <c r="F1107" s="327" t="s">
        <v>586</v>
      </c>
      <c r="G1107" s="249" t="str">
        <f>UPPER(IF($D1107=0,"",IF($A1107=4,_xlfn.XLOOKUP($D1107,Mercado!$C:$C,Mercado!$G:$G),_xlfn.XLOOKUP($D1107,Fontes!$B:$B,Fontes!$E:$E))))</f>
        <v>UN</v>
      </c>
      <c r="H1107" s="252">
        <v>8</v>
      </c>
      <c r="I1107" s="252">
        <f>IF($A1107="M",_xlfn.XLOOKUP($D1107,Mercado!$C:$C,Mercado!$I:$I),_xlfn.XLOOKUP($D1107,Fontes!$B:$B,Fontes!$J:$J))</f>
        <v>147.08000000000001</v>
      </c>
      <c r="J1107" s="252">
        <f>IF($A1107="M",_xlfn.XLOOKUP($D1107,Mercado!$C:$C,Mercado!$J:$J),_xlfn.XLOOKUP($D1107,Fontes!$B:$B,Fontes!$H:$H))</f>
        <v>25.42</v>
      </c>
      <c r="K1107" s="252">
        <f>IF($A1107="M",0,_xlfn.XLOOKUP($D1107,Fontes!$B:$B,Fontes!$I:$I))</f>
        <v>0</v>
      </c>
      <c r="L1107" s="250">
        <f t="shared" si="110"/>
        <v>172.5</v>
      </c>
      <c r="M1107" s="300">
        <f t="shared" si="109"/>
        <v>1380</v>
      </c>
      <c r="N1107" s="243"/>
      <c r="O1107" s="517">
        <f t="shared" si="107"/>
        <v>1380</v>
      </c>
    </row>
    <row r="1108" spans="1:15" outlineLevel="4" x14ac:dyDescent="0.3">
      <c r="A1108" s="35"/>
      <c r="B1108" s="36"/>
      <c r="C1108" s="495" t="s">
        <v>10731</v>
      </c>
      <c r="D1108" s="479">
        <v>55713</v>
      </c>
      <c r="E1108" s="249" t="str">
        <f>UPPER(IF($D1108=0,"",IF($A1108=4,_xlfn.XLOOKUP($D1108,Mercado!$C:$C,Mercado!$E:$E),_xlfn.XLOOKUP($D1108,Fontes!$B:$B,Fontes!$C:$C))))</f>
        <v>SBC</v>
      </c>
      <c r="F1108" s="327" t="s">
        <v>587</v>
      </c>
      <c r="G1108" s="249" t="str">
        <f>UPPER(IF($D1108=0,"",IF($A1108=4,_xlfn.XLOOKUP($D1108,Mercado!$C:$C,Mercado!$G:$G),_xlfn.XLOOKUP($D1108,Fontes!$B:$B,Fontes!$E:$E))))</f>
        <v>UN</v>
      </c>
      <c r="H1108" s="252">
        <v>3</v>
      </c>
      <c r="I1108" s="252">
        <f>IF($A1108="M",_xlfn.XLOOKUP($D1108,Mercado!$C:$C,Mercado!$I:$I),_xlfn.XLOOKUP($D1108,Fontes!$B:$B,Fontes!$J:$J))</f>
        <v>192.28</v>
      </c>
      <c r="J1108" s="252">
        <f>IF($A1108="M",_xlfn.XLOOKUP($D1108,Mercado!$C:$C,Mercado!$J:$J),_xlfn.XLOOKUP($D1108,Fontes!$B:$B,Fontes!$H:$H))</f>
        <v>28.57</v>
      </c>
      <c r="K1108" s="252">
        <f>IF($A1108="M",0,_xlfn.XLOOKUP($D1108,Fontes!$B:$B,Fontes!$I:$I))</f>
        <v>0</v>
      </c>
      <c r="L1108" s="250">
        <f t="shared" si="110"/>
        <v>220.85</v>
      </c>
      <c r="M1108" s="300">
        <f t="shared" si="109"/>
        <v>662.55</v>
      </c>
      <c r="N1108" s="243"/>
      <c r="O1108" s="517">
        <f t="shared" si="107"/>
        <v>662.55</v>
      </c>
    </row>
    <row r="1109" spans="1:15" ht="38.4" outlineLevel="4" x14ac:dyDescent="0.3">
      <c r="A1109" s="35"/>
      <c r="B1109" s="36"/>
      <c r="C1109" s="495" t="s">
        <v>10732</v>
      </c>
      <c r="D1109" s="487">
        <v>1016</v>
      </c>
      <c r="E1109" s="249" t="str">
        <f>UPPER(IF($D1109=0,"",IF($A1109=4,_xlfn.XLOOKUP($D1109,Mercado!$C:$C,Mercado!$E:$E),_xlfn.XLOOKUP($D1109,Fontes!$B:$B,Fontes!$C:$C))))</f>
        <v>ORSE</v>
      </c>
      <c r="F1109" s="327" t="s">
        <v>3698</v>
      </c>
      <c r="G1109" s="249" t="str">
        <f>UPPER(IF($D1109=0,"",IF($A1109=4,_xlfn.XLOOKUP($D1109,Mercado!$C:$C,Mercado!$G:$G),_xlfn.XLOOKUP($D1109,Fontes!$B:$B,Fontes!$E:$E))))</f>
        <v>UN</v>
      </c>
      <c r="H1109" s="252">
        <v>1</v>
      </c>
      <c r="I1109" s="252">
        <f>IF($A1109="M",_xlfn.XLOOKUP($D1109,Mercado!$C:$C,Mercado!$I:$I),_xlfn.XLOOKUP($D1109,Fontes!$B:$B,Fontes!$J:$J))</f>
        <v>207.53</v>
      </c>
      <c r="J1109" s="252">
        <f>IF($A1109="M",_xlfn.XLOOKUP($D1109,Mercado!$C:$C,Mercado!$J:$J),_xlfn.XLOOKUP($D1109,Fontes!$B:$B,Fontes!$H:$H))</f>
        <v>15.49</v>
      </c>
      <c r="K1109" s="252">
        <f>IF($A1109="M",0,_xlfn.XLOOKUP($D1109,Fontes!$B:$B,Fontes!$I:$I))</f>
        <v>0</v>
      </c>
      <c r="L1109" s="250">
        <f t="shared" si="110"/>
        <v>223.02</v>
      </c>
      <c r="M1109" s="300">
        <f t="shared" si="109"/>
        <v>223.02</v>
      </c>
      <c r="N1109" s="243"/>
      <c r="O1109" s="517">
        <f t="shared" si="107"/>
        <v>223.02</v>
      </c>
    </row>
    <row r="1110" spans="1:15" outlineLevel="4" x14ac:dyDescent="0.3">
      <c r="A1110" s="35"/>
      <c r="B1110" s="36"/>
      <c r="C1110" s="495" t="s">
        <v>10733</v>
      </c>
      <c r="D1110" s="487">
        <v>55232</v>
      </c>
      <c r="E1110" s="249" t="str">
        <f>UPPER(IF($D1110=0,"",IF($A1110=4,_xlfn.XLOOKUP($D1110,Mercado!$C:$C,Mercado!$E:$E),_xlfn.XLOOKUP($D1110,Fontes!$B:$B,Fontes!$C:$C))))</f>
        <v>SBC</v>
      </c>
      <c r="F1110" s="327" t="s">
        <v>1950</v>
      </c>
      <c r="G1110" s="249" t="str">
        <f>UPPER(IF($D1110=0,"",IF($A1110=4,_xlfn.XLOOKUP($D1110,Mercado!$C:$C,Mercado!$G:$G),_xlfn.XLOOKUP($D1110,Fontes!$B:$B,Fontes!$E:$E))))</f>
        <v>UN</v>
      </c>
      <c r="H1110" s="252">
        <v>12</v>
      </c>
      <c r="I1110" s="252">
        <f>IF($A1110="M",_xlfn.XLOOKUP($D1110,Mercado!$C:$C,Mercado!$I:$I),_xlfn.XLOOKUP($D1110,Fontes!$B:$B,Fontes!$J:$J))</f>
        <v>68.22</v>
      </c>
      <c r="J1110" s="252">
        <f>IF($A1110="M",_xlfn.XLOOKUP($D1110,Mercado!$C:$C,Mercado!$J:$J),_xlfn.XLOOKUP($D1110,Fontes!$B:$B,Fontes!$H:$H))</f>
        <v>15.43</v>
      </c>
      <c r="K1110" s="252">
        <f>IF($A1110="M",0,_xlfn.XLOOKUP($D1110,Fontes!$B:$B,Fontes!$I:$I))</f>
        <v>0</v>
      </c>
      <c r="L1110" s="250">
        <f t="shared" si="110"/>
        <v>83.65</v>
      </c>
      <c r="M1110" s="300">
        <f t="shared" si="109"/>
        <v>1003.8</v>
      </c>
      <c r="N1110" s="243"/>
      <c r="O1110" s="517">
        <f t="shared" si="107"/>
        <v>1003.8</v>
      </c>
    </row>
    <row r="1111" spans="1:15" outlineLevel="4" x14ac:dyDescent="0.3">
      <c r="A1111" s="35"/>
      <c r="B1111" s="36"/>
      <c r="C1111" s="495" t="s">
        <v>10734</v>
      </c>
      <c r="D1111" s="487">
        <v>52295</v>
      </c>
      <c r="E1111" s="249" t="str">
        <f>UPPER(IF($D1111=0,"",IF($A1111=4,_xlfn.XLOOKUP($D1111,Mercado!$C:$C,Mercado!$E:$E),_xlfn.XLOOKUP($D1111,Fontes!$B:$B,Fontes!$C:$C))))</f>
        <v>SBC</v>
      </c>
      <c r="F1111" s="327" t="s">
        <v>1952</v>
      </c>
      <c r="G1111" s="249" t="str">
        <f>UPPER(IF($D1111=0,"",IF($A1111=4,_xlfn.XLOOKUP($D1111,Mercado!$C:$C,Mercado!$G:$G),_xlfn.XLOOKUP($D1111,Fontes!$B:$B,Fontes!$E:$E))))</f>
        <v>UN</v>
      </c>
      <c r="H1111" s="252">
        <v>9</v>
      </c>
      <c r="I1111" s="252">
        <f>IF($A1111="M",_xlfn.XLOOKUP($D1111,Mercado!$C:$C,Mercado!$I:$I),_xlfn.XLOOKUP($D1111,Fontes!$B:$B,Fontes!$J:$J))</f>
        <v>98.36</v>
      </c>
      <c r="J1111" s="252">
        <f>IF($A1111="M",_xlfn.XLOOKUP($D1111,Mercado!$C:$C,Mercado!$J:$J),_xlfn.XLOOKUP($D1111,Fontes!$B:$B,Fontes!$H:$H))</f>
        <v>18.079999999999998</v>
      </c>
      <c r="K1111" s="252">
        <f>IF($A1111="M",0,_xlfn.XLOOKUP($D1111,Fontes!$B:$B,Fontes!$I:$I))</f>
        <v>0</v>
      </c>
      <c r="L1111" s="250">
        <f t="shared" si="110"/>
        <v>116.44</v>
      </c>
      <c r="M1111" s="300">
        <f t="shared" si="109"/>
        <v>1047.96</v>
      </c>
      <c r="N1111" s="243"/>
      <c r="O1111" s="517">
        <f t="shared" si="107"/>
        <v>1047.96</v>
      </c>
    </row>
    <row r="1112" spans="1:15" ht="38.4" outlineLevel="4" x14ac:dyDescent="0.3">
      <c r="A1112" s="35"/>
      <c r="B1112" s="36"/>
      <c r="C1112" s="495" t="s">
        <v>10735</v>
      </c>
      <c r="D1112" s="487">
        <v>986</v>
      </c>
      <c r="E1112" s="249" t="str">
        <f>UPPER(IF($D1112=0,"",IF($A1112=4,_xlfn.XLOOKUP($D1112,Mercado!$C:$C,Mercado!$E:$E),_xlfn.XLOOKUP($D1112,Fontes!$B:$B,Fontes!$C:$C))))</f>
        <v>ORSE</v>
      </c>
      <c r="F1112" s="327" t="s">
        <v>3699</v>
      </c>
      <c r="G1112" s="249" t="str">
        <f>UPPER(IF($D1112=0,"",IF($A1112=4,_xlfn.XLOOKUP($D1112,Mercado!$C:$C,Mercado!$G:$G),_xlfn.XLOOKUP($D1112,Fontes!$B:$B,Fontes!$E:$E))))</f>
        <v>UN</v>
      </c>
      <c r="H1112" s="252">
        <v>2</v>
      </c>
      <c r="I1112" s="252">
        <f>IF($A1112="M",_xlfn.XLOOKUP($D1112,Mercado!$C:$C,Mercado!$I:$I),_xlfn.XLOOKUP($D1112,Fontes!$B:$B,Fontes!$J:$J))</f>
        <v>273.10000000000002</v>
      </c>
      <c r="J1112" s="252">
        <f>IF($A1112="M",_xlfn.XLOOKUP($D1112,Mercado!$C:$C,Mercado!$J:$J),_xlfn.XLOOKUP($D1112,Fontes!$B:$B,Fontes!$H:$H))</f>
        <v>14.42</v>
      </c>
      <c r="K1112" s="252">
        <f>IF($A1112="M",0,_xlfn.XLOOKUP($D1112,Fontes!$B:$B,Fontes!$I:$I))</f>
        <v>0</v>
      </c>
      <c r="L1112" s="250">
        <f t="shared" si="110"/>
        <v>287.52000000000004</v>
      </c>
      <c r="M1112" s="300">
        <f t="shared" si="109"/>
        <v>575.04</v>
      </c>
      <c r="N1112" s="243"/>
      <c r="O1112" s="517">
        <f t="shared" si="107"/>
        <v>575.04</v>
      </c>
    </row>
    <row r="1113" spans="1:15" ht="38.4" outlineLevel="4" x14ac:dyDescent="0.3">
      <c r="A1113" s="35"/>
      <c r="B1113" s="36"/>
      <c r="C1113" s="495" t="s">
        <v>10736</v>
      </c>
      <c r="D1113" s="487">
        <v>987</v>
      </c>
      <c r="E1113" s="249" t="str">
        <f>UPPER(IF($D1113=0,"",IF($A1113=4,_xlfn.XLOOKUP($D1113,Mercado!$C:$C,Mercado!$E:$E),_xlfn.XLOOKUP($D1113,Fontes!$B:$B,Fontes!$C:$C))))</f>
        <v>ORSE</v>
      </c>
      <c r="F1113" s="327" t="s">
        <v>3700</v>
      </c>
      <c r="G1113" s="249" t="str">
        <f>UPPER(IF($D1113=0,"",IF($A1113=4,_xlfn.XLOOKUP($D1113,Mercado!$C:$C,Mercado!$G:$G),_xlfn.XLOOKUP($D1113,Fontes!$B:$B,Fontes!$E:$E))))</f>
        <v>UN</v>
      </c>
      <c r="H1113" s="252">
        <v>2</v>
      </c>
      <c r="I1113" s="252">
        <f>IF($A1113="M",_xlfn.XLOOKUP($D1113,Mercado!$C:$C,Mercado!$I:$I),_xlfn.XLOOKUP($D1113,Fontes!$B:$B,Fontes!$J:$J))</f>
        <v>439.92</v>
      </c>
      <c r="J1113" s="252">
        <f>IF($A1113="M",_xlfn.XLOOKUP($D1113,Mercado!$C:$C,Mercado!$J:$J),_xlfn.XLOOKUP($D1113,Fontes!$B:$B,Fontes!$H:$H))</f>
        <v>15.49</v>
      </c>
      <c r="K1113" s="252">
        <f>IF($A1113="M",0,_xlfn.XLOOKUP($D1113,Fontes!$B:$B,Fontes!$I:$I))</f>
        <v>0</v>
      </c>
      <c r="L1113" s="250">
        <f t="shared" si="110"/>
        <v>455.41</v>
      </c>
      <c r="M1113" s="300">
        <f t="shared" si="109"/>
        <v>910.82</v>
      </c>
      <c r="N1113" s="243"/>
      <c r="O1113" s="517">
        <f t="shared" si="107"/>
        <v>910.82</v>
      </c>
    </row>
    <row r="1114" spans="1:15" outlineLevel="4" x14ac:dyDescent="0.3">
      <c r="A1114" s="36" t="s">
        <v>7</v>
      </c>
      <c r="B1114" s="36"/>
      <c r="C1114" s="495" t="s">
        <v>781</v>
      </c>
      <c r="D1114" s="479"/>
      <c r="E1114" s="249" t="str">
        <f>UPPER(IF($D1114=0,"",IF($A1114=4,_xlfn.XLOOKUP($D1114,Mercado!$C:$C,Mercado!$E:$E),_xlfn.XLOOKUP($D1114,Fontes!$B:$B,Fontes!$C:$C))))</f>
        <v/>
      </c>
      <c r="F1114" s="327" t="s">
        <v>781</v>
      </c>
      <c r="G1114" s="249"/>
      <c r="H1114" s="252"/>
      <c r="I1114" s="252">
        <f>IF($A1114="M",_xlfn.XLOOKUP($D1114,Mercado!$C:$C,Mercado!$I:$I),_xlfn.XLOOKUP($D1114,Fontes!$B:$B,Fontes!$J:$J))</f>
        <v>0</v>
      </c>
      <c r="J1114" s="252">
        <f>IF($A1114="M",_xlfn.XLOOKUP($D1114,Mercado!$C:$C,Mercado!$J:$J),_xlfn.XLOOKUP($D1114,Fontes!$B:$B,Fontes!$H:$H))</f>
        <v>0</v>
      </c>
      <c r="K1114" s="252">
        <f>IF($A1114="M",0,_xlfn.XLOOKUP($D1114,Fontes!$B:$B,Fontes!$I:$I))</f>
        <v>0</v>
      </c>
      <c r="L1114" s="250">
        <f t="shared" si="110"/>
        <v>0</v>
      </c>
      <c r="M1114" s="300">
        <f t="shared" si="109"/>
        <v>0</v>
      </c>
      <c r="N1114" s="243"/>
      <c r="O1114" s="517" t="str">
        <f t="shared" si="107"/>
        <v/>
      </c>
    </row>
    <row r="1115" spans="1:15" ht="20.399999999999999" outlineLevel="3" x14ac:dyDescent="0.3">
      <c r="A1115" s="36" t="s">
        <v>7</v>
      </c>
      <c r="B1115" s="36"/>
      <c r="C1115" s="499" t="s">
        <v>10737</v>
      </c>
      <c r="D1115" s="479"/>
      <c r="E1115" s="249" t="str">
        <f>UPPER(IF($D1115=0,"",IF($A1115=4,_xlfn.XLOOKUP($D1115,Mercado!$C:$C,Mercado!$E:$E),_xlfn.XLOOKUP($D1115,Fontes!$B:$B,Fontes!$C:$C))))</f>
        <v/>
      </c>
      <c r="F1115" s="334" t="s">
        <v>554</v>
      </c>
      <c r="G1115" s="249"/>
      <c r="H1115" s="252"/>
      <c r="I1115" s="252">
        <f>IF($A1115="M",_xlfn.XLOOKUP($D1115,Mercado!$C:$C,Mercado!$I:$I),_xlfn.XLOOKUP($D1115,Fontes!$B:$B,Fontes!$J:$J))</f>
        <v>0</v>
      </c>
      <c r="J1115" s="252">
        <f>IF($A1115="M",_xlfn.XLOOKUP($D1115,Mercado!$C:$C,Mercado!$J:$J),_xlfn.XLOOKUP($D1115,Fontes!$B:$B,Fontes!$H:$H))</f>
        <v>0</v>
      </c>
      <c r="K1115" s="252">
        <f>IF($A1115="M",0,_xlfn.XLOOKUP($D1115,Fontes!$B:$B,Fontes!$I:$I))</f>
        <v>0</v>
      </c>
      <c r="L1115" s="252">
        <f t="shared" si="110"/>
        <v>0</v>
      </c>
      <c r="M1115" s="509">
        <f t="shared" si="109"/>
        <v>0</v>
      </c>
      <c r="N1115" s="243"/>
      <c r="O1115" s="517" t="str">
        <f t="shared" si="107"/>
        <v/>
      </c>
    </row>
    <row r="1116" spans="1:15" ht="38.4" outlineLevel="4" x14ac:dyDescent="0.3">
      <c r="A1116" s="35"/>
      <c r="B1116" s="36"/>
      <c r="C1116" s="495" t="s">
        <v>10738</v>
      </c>
      <c r="D1116" s="479">
        <v>99624</v>
      </c>
      <c r="E1116" s="249" t="str">
        <f>UPPER(IF($D1116=0,"",IF($A1116=4,_xlfn.XLOOKUP($D1116,Mercado!$C:$C,Mercado!$E:$E),_xlfn.XLOOKUP($D1116,Fontes!$B:$B,Fontes!$C:$C))))</f>
        <v>SINAPI</v>
      </c>
      <c r="F1116" s="327" t="s">
        <v>363</v>
      </c>
      <c r="G1116" s="249" t="str">
        <f>UPPER(IF($D1116=0,"",IF($A1116=4,_xlfn.XLOOKUP($D1116,Mercado!$C:$C,Mercado!$G:$G),_xlfn.XLOOKUP($D1116,Fontes!$B:$B,Fontes!$E:$E))))</f>
        <v>UN</v>
      </c>
      <c r="H1116" s="252">
        <v>2</v>
      </c>
      <c r="I1116" s="252">
        <f>IF($A1116="M",_xlfn.XLOOKUP($D1116,Mercado!$C:$C,Mercado!$I:$I),_xlfn.XLOOKUP($D1116,Fontes!$B:$B,Fontes!$J:$J))</f>
        <v>799.06</v>
      </c>
      <c r="J1116" s="252">
        <f>IF($A1116="M",_xlfn.XLOOKUP($D1116,Mercado!$C:$C,Mercado!$J:$J),_xlfn.XLOOKUP($D1116,Fontes!$B:$B,Fontes!$H:$H))</f>
        <v>24.69</v>
      </c>
      <c r="K1116" s="252">
        <f>IF($A1116="M",0,_xlfn.XLOOKUP($D1116,Fontes!$B:$B,Fontes!$I:$I))</f>
        <v>1.7</v>
      </c>
      <c r="L1116" s="250">
        <f t="shared" si="110"/>
        <v>825.45</v>
      </c>
      <c r="M1116" s="300">
        <f t="shared" si="109"/>
        <v>1650.9</v>
      </c>
      <c r="N1116" s="243"/>
      <c r="O1116" s="517">
        <f t="shared" si="107"/>
        <v>1650.9</v>
      </c>
    </row>
    <row r="1117" spans="1:15" ht="38.4" outlineLevel="4" x14ac:dyDescent="0.3">
      <c r="A1117" s="35"/>
      <c r="B1117" s="36"/>
      <c r="C1117" s="495" t="s">
        <v>10739</v>
      </c>
      <c r="D1117" s="479">
        <v>99625</v>
      </c>
      <c r="E1117" s="249" t="str">
        <f>UPPER(IF($D1117=0,"",IF($A1117=4,_xlfn.XLOOKUP($D1117,Mercado!$C:$C,Mercado!$E:$E),_xlfn.XLOOKUP($D1117,Fontes!$B:$B,Fontes!$C:$C))))</f>
        <v>SINAPI</v>
      </c>
      <c r="F1117" s="327" t="s">
        <v>364</v>
      </c>
      <c r="G1117" s="249" t="str">
        <f>UPPER(IF($D1117=0,"",IF($A1117=4,_xlfn.XLOOKUP($D1117,Mercado!$C:$C,Mercado!$G:$G),_xlfn.XLOOKUP($D1117,Fontes!$B:$B,Fontes!$E:$E))))</f>
        <v>UN</v>
      </c>
      <c r="H1117" s="252">
        <v>1</v>
      </c>
      <c r="I1117" s="252">
        <f>IF($A1117="M",_xlfn.XLOOKUP($D1117,Mercado!$C:$C,Mercado!$I:$I),_xlfn.XLOOKUP($D1117,Fontes!$B:$B,Fontes!$J:$J))</f>
        <v>1102.6600000000001</v>
      </c>
      <c r="J1117" s="252">
        <f>IF($A1117="M",_xlfn.XLOOKUP($D1117,Mercado!$C:$C,Mercado!$J:$J),_xlfn.XLOOKUP($D1117,Fontes!$B:$B,Fontes!$H:$H))</f>
        <v>30.93</v>
      </c>
      <c r="K1117" s="252">
        <f>IF($A1117="M",0,_xlfn.XLOOKUP($D1117,Fontes!$B:$B,Fontes!$I:$I))</f>
        <v>2.12</v>
      </c>
      <c r="L1117" s="250">
        <f t="shared" si="110"/>
        <v>1135.71</v>
      </c>
      <c r="M1117" s="300">
        <f t="shared" si="109"/>
        <v>1135.71</v>
      </c>
      <c r="N1117" s="243"/>
      <c r="O1117" s="517">
        <f t="shared" si="107"/>
        <v>1135.71</v>
      </c>
    </row>
    <row r="1118" spans="1:15" ht="38.4" outlineLevel="4" x14ac:dyDescent="0.3">
      <c r="A1118" s="35"/>
      <c r="B1118" s="36"/>
      <c r="C1118" s="495" t="s">
        <v>10740</v>
      </c>
      <c r="D1118" s="479">
        <v>103016</v>
      </c>
      <c r="E1118" s="249" t="str">
        <f>UPPER(IF($D1118=0,"",IF($A1118=4,_xlfn.XLOOKUP($D1118,Mercado!$C:$C,Mercado!$E:$E),_xlfn.XLOOKUP($D1118,Fontes!$B:$B,Fontes!$C:$C))))</f>
        <v>SINAPI</v>
      </c>
      <c r="F1118" s="327" t="s">
        <v>366</v>
      </c>
      <c r="G1118" s="249" t="str">
        <f>UPPER(IF($D1118=0,"",IF($A1118=4,_xlfn.XLOOKUP($D1118,Mercado!$C:$C,Mercado!$G:$G),_xlfn.XLOOKUP($D1118,Fontes!$B:$B,Fontes!$E:$E))))</f>
        <v>UN</v>
      </c>
      <c r="H1118" s="252">
        <v>2</v>
      </c>
      <c r="I1118" s="252">
        <f>IF($A1118="M",_xlfn.XLOOKUP($D1118,Mercado!$C:$C,Mercado!$I:$I),_xlfn.XLOOKUP($D1118,Fontes!$B:$B,Fontes!$J:$J))</f>
        <v>760.29</v>
      </c>
      <c r="J1118" s="252">
        <f>IF($A1118="M",_xlfn.XLOOKUP($D1118,Mercado!$C:$C,Mercado!$J:$J),_xlfn.XLOOKUP($D1118,Fontes!$B:$B,Fontes!$H:$H))</f>
        <v>15.47</v>
      </c>
      <c r="K1118" s="252">
        <f>IF($A1118="M",0,_xlfn.XLOOKUP($D1118,Fontes!$B:$B,Fontes!$I:$I))</f>
        <v>1.06</v>
      </c>
      <c r="L1118" s="250">
        <f t="shared" si="110"/>
        <v>776.81999999999994</v>
      </c>
      <c r="M1118" s="300">
        <f t="shared" si="109"/>
        <v>1553.64</v>
      </c>
      <c r="N1118" s="243"/>
      <c r="O1118" s="517">
        <f t="shared" si="107"/>
        <v>1553.64</v>
      </c>
    </row>
    <row r="1119" spans="1:15" ht="38.4" outlineLevel="4" x14ac:dyDescent="0.3">
      <c r="A1119" s="35"/>
      <c r="B1119" s="36"/>
      <c r="C1119" s="495" t="s">
        <v>10741</v>
      </c>
      <c r="D1119" s="479">
        <v>94499</v>
      </c>
      <c r="E1119" s="249" t="str">
        <f>UPPER(IF($D1119=0,"",IF($A1119=4,_xlfn.XLOOKUP($D1119,Mercado!$C:$C,Mercado!$E:$E),_xlfn.XLOOKUP($D1119,Fontes!$B:$B,Fontes!$C:$C))))</f>
        <v>SINAPI</v>
      </c>
      <c r="F1119" s="327" t="s">
        <v>354</v>
      </c>
      <c r="G1119" s="249" t="str">
        <f>UPPER(IF($D1119=0,"",IF($A1119=4,_xlfn.XLOOKUP($D1119,Mercado!$C:$C,Mercado!$G:$G),_xlfn.XLOOKUP($D1119,Fontes!$B:$B,Fontes!$E:$E))))</f>
        <v>UN</v>
      </c>
      <c r="H1119" s="252">
        <v>2</v>
      </c>
      <c r="I1119" s="252">
        <f>IF($A1119="M",_xlfn.XLOOKUP($D1119,Mercado!$C:$C,Mercado!$I:$I),_xlfn.XLOOKUP($D1119,Fontes!$B:$B,Fontes!$J:$J))</f>
        <v>210.23</v>
      </c>
      <c r="J1119" s="252">
        <f>IF($A1119="M",_xlfn.XLOOKUP($D1119,Mercado!$C:$C,Mercado!$J:$J),_xlfn.XLOOKUP($D1119,Fontes!$B:$B,Fontes!$H:$H))</f>
        <v>24.69</v>
      </c>
      <c r="K1119" s="252">
        <f>IF($A1119="M",0,_xlfn.XLOOKUP($D1119,Fontes!$B:$B,Fontes!$I:$I))</f>
        <v>1.7</v>
      </c>
      <c r="L1119" s="250">
        <f t="shared" si="110"/>
        <v>236.61999999999998</v>
      </c>
      <c r="M1119" s="300">
        <f t="shared" si="109"/>
        <v>473.24</v>
      </c>
      <c r="N1119" s="243"/>
      <c r="O1119" s="517">
        <f t="shared" si="107"/>
        <v>473.24</v>
      </c>
    </row>
    <row r="1120" spans="1:15" ht="38.4" outlineLevel="4" x14ac:dyDescent="0.3">
      <c r="A1120" s="35"/>
      <c r="B1120" s="36"/>
      <c r="C1120" s="495" t="s">
        <v>10742</v>
      </c>
      <c r="D1120" s="479">
        <v>94500</v>
      </c>
      <c r="E1120" s="249" t="str">
        <f>UPPER(IF($D1120=0,"",IF($A1120=4,_xlfn.XLOOKUP($D1120,Mercado!$C:$C,Mercado!$E:$E),_xlfn.XLOOKUP($D1120,Fontes!$B:$B,Fontes!$C:$C))))</f>
        <v>SINAPI</v>
      </c>
      <c r="F1120" s="327" t="s">
        <v>355</v>
      </c>
      <c r="G1120" s="249" t="str">
        <f>UPPER(IF($D1120=0,"",IF($A1120=4,_xlfn.XLOOKUP($D1120,Mercado!$C:$C,Mercado!$G:$G),_xlfn.XLOOKUP($D1120,Fontes!$B:$B,Fontes!$E:$E))))</f>
        <v>UN</v>
      </c>
      <c r="H1120" s="252">
        <v>2</v>
      </c>
      <c r="I1120" s="252">
        <f>IF($A1120="M",_xlfn.XLOOKUP($D1120,Mercado!$C:$C,Mercado!$I:$I),_xlfn.XLOOKUP($D1120,Fontes!$B:$B,Fontes!$J:$J))</f>
        <v>254.81</v>
      </c>
      <c r="J1120" s="252">
        <f>IF($A1120="M",_xlfn.XLOOKUP($D1120,Mercado!$C:$C,Mercado!$J:$J),_xlfn.XLOOKUP($D1120,Fontes!$B:$B,Fontes!$H:$H))</f>
        <v>30.93</v>
      </c>
      <c r="K1120" s="252">
        <f>IF($A1120="M",0,_xlfn.XLOOKUP($D1120,Fontes!$B:$B,Fontes!$I:$I))</f>
        <v>2.12</v>
      </c>
      <c r="L1120" s="250">
        <f t="shared" si="110"/>
        <v>287.86</v>
      </c>
      <c r="M1120" s="300">
        <f t="shared" si="109"/>
        <v>575.72</v>
      </c>
      <c r="N1120" s="243"/>
      <c r="O1120" s="517">
        <f t="shared" si="107"/>
        <v>575.72</v>
      </c>
    </row>
    <row r="1121" spans="1:15" outlineLevel="4" x14ac:dyDescent="0.3">
      <c r="A1121" s="36" t="s">
        <v>7</v>
      </c>
      <c r="B1121" s="36"/>
      <c r="C1121" s="495" t="s">
        <v>781</v>
      </c>
      <c r="D1121" s="479"/>
      <c r="E1121" s="249" t="str">
        <f>UPPER(IF($D1121=0,"",IF($A1121=4,_xlfn.XLOOKUP($D1121,Mercado!$C:$C,Mercado!$E:$E),_xlfn.XLOOKUP($D1121,Fontes!$B:$B,Fontes!$C:$C))))</f>
        <v/>
      </c>
      <c r="F1121" s="327" t="s">
        <v>781</v>
      </c>
      <c r="G1121" s="249"/>
      <c r="H1121" s="252"/>
      <c r="I1121" s="252">
        <f>IF($A1121="M",_xlfn.XLOOKUP($D1121,Mercado!$C:$C,Mercado!$I:$I),_xlfn.XLOOKUP($D1121,Fontes!$B:$B,Fontes!$J:$J))</f>
        <v>0</v>
      </c>
      <c r="J1121" s="252">
        <f>IF($A1121="M",_xlfn.XLOOKUP($D1121,Mercado!$C:$C,Mercado!$J:$J),_xlfn.XLOOKUP($D1121,Fontes!$B:$B,Fontes!$H:$H))</f>
        <v>0</v>
      </c>
      <c r="K1121" s="252">
        <f>IF($A1121="M",0,_xlfn.XLOOKUP($D1121,Fontes!$B:$B,Fontes!$I:$I))</f>
        <v>0</v>
      </c>
      <c r="L1121" s="250">
        <f t="shared" si="110"/>
        <v>0</v>
      </c>
      <c r="M1121" s="300">
        <f t="shared" si="109"/>
        <v>0</v>
      </c>
      <c r="N1121" s="243"/>
      <c r="O1121" s="517" t="str">
        <f t="shared" si="107"/>
        <v/>
      </c>
    </row>
    <row r="1122" spans="1:15" ht="20.399999999999999" outlineLevel="3" x14ac:dyDescent="0.3">
      <c r="A1122" s="36" t="s">
        <v>7</v>
      </c>
      <c r="B1122" s="36"/>
      <c r="C1122" s="499" t="s">
        <v>10743</v>
      </c>
      <c r="D1122" s="479"/>
      <c r="E1122" s="249" t="str">
        <f>UPPER(IF($D1122=0,"",IF($A1122=4,_xlfn.XLOOKUP($D1122,Mercado!$C:$C,Mercado!$E:$E),_xlfn.XLOOKUP($D1122,Fontes!$B:$B,Fontes!$C:$C))))</f>
        <v/>
      </c>
      <c r="F1122" s="334" t="s">
        <v>389</v>
      </c>
      <c r="G1122" s="249"/>
      <c r="H1122" s="252"/>
      <c r="I1122" s="252">
        <f>IF($A1122="M",_xlfn.XLOOKUP($D1122,Mercado!$C:$C,Mercado!$I:$I),_xlfn.XLOOKUP($D1122,Fontes!$B:$B,Fontes!$J:$J))</f>
        <v>0</v>
      </c>
      <c r="J1122" s="252">
        <f>IF($A1122="M",_xlfn.XLOOKUP($D1122,Mercado!$C:$C,Mercado!$J:$J),_xlfn.XLOOKUP($D1122,Fontes!$B:$B,Fontes!$H:$H))</f>
        <v>0</v>
      </c>
      <c r="K1122" s="252">
        <f>IF($A1122="M",0,_xlfn.XLOOKUP($D1122,Fontes!$B:$B,Fontes!$I:$I))</f>
        <v>0</v>
      </c>
      <c r="L1122" s="252">
        <f t="shared" si="110"/>
        <v>0</v>
      </c>
      <c r="M1122" s="509">
        <f t="shared" si="109"/>
        <v>0</v>
      </c>
      <c r="N1122" s="243"/>
      <c r="O1122" s="517" t="str">
        <f t="shared" ref="O1122:O1185" si="111">IF(D1122&lt;&gt;0,M1122,"")</f>
        <v/>
      </c>
    </row>
    <row r="1123" spans="1:15" ht="96" outlineLevel="4" x14ac:dyDescent="0.3">
      <c r="A1123" s="35"/>
      <c r="B1123" s="36"/>
      <c r="C1123" s="495" t="s">
        <v>10744</v>
      </c>
      <c r="D1123" s="487">
        <v>299</v>
      </c>
      <c r="E1123" s="249" t="str">
        <f>UPPER(IF($D1123=0,"",IF($A1123=4,_xlfn.XLOOKUP($D1123,Mercado!$C:$C,Mercado!$E:$E),_xlfn.XLOOKUP($D1123,Fontes!$B:$B,Fontes!$C:$C))))</f>
        <v>PRÓPRIO</v>
      </c>
      <c r="F1123" s="327" t="s">
        <v>2052</v>
      </c>
      <c r="G1123" s="249" t="str">
        <f>UPPER(IF($D1123=0,"",IF($A1123=4,_xlfn.XLOOKUP($D1123,Mercado!$C:$C,Mercado!$G:$G),_xlfn.XLOOKUP($D1123,Fontes!$B:$B,Fontes!$E:$E))))</f>
        <v>UN</v>
      </c>
      <c r="H1123" s="252">
        <v>4</v>
      </c>
      <c r="I1123" s="252">
        <f>IF($A1123="M",_xlfn.XLOOKUP($D1123,Mercado!$C:$C,Mercado!$I:$I),_xlfn.XLOOKUP($D1123,Fontes!$B:$B,Fontes!$J:$J))</f>
        <v>2533.2399999999998</v>
      </c>
      <c r="J1123" s="252">
        <f>IF($A1123="M",_xlfn.XLOOKUP($D1123,Mercado!$C:$C,Mercado!$J:$J),_xlfn.XLOOKUP($D1123,Fontes!$B:$B,Fontes!$H:$H))</f>
        <v>164.94</v>
      </c>
      <c r="K1123" s="252">
        <f>IF($A1123="M",0,_xlfn.XLOOKUP($D1123,Fontes!$B:$B,Fontes!$I:$I))</f>
        <v>11.3</v>
      </c>
      <c r="L1123" s="250">
        <f t="shared" si="110"/>
        <v>2709.48</v>
      </c>
      <c r="M1123" s="300">
        <f t="shared" si="109"/>
        <v>10837.92</v>
      </c>
      <c r="N1123" s="243"/>
      <c r="O1123" s="517">
        <f t="shared" si="111"/>
        <v>10837.92</v>
      </c>
    </row>
    <row r="1124" spans="1:15" ht="96" outlineLevel="4" x14ac:dyDescent="0.3">
      <c r="A1124" s="35"/>
      <c r="B1124" s="36"/>
      <c r="C1124" s="495" t="s">
        <v>10745</v>
      </c>
      <c r="D1124" s="487">
        <v>300</v>
      </c>
      <c r="E1124" s="249" t="str">
        <f>UPPER(IF($D1124=0,"",IF($A1124=4,_xlfn.XLOOKUP($D1124,Mercado!$C:$C,Mercado!$E:$E),_xlfn.XLOOKUP($D1124,Fontes!$B:$B,Fontes!$C:$C))))</f>
        <v>PRÓPRIO</v>
      </c>
      <c r="F1124" s="327" t="s">
        <v>2053</v>
      </c>
      <c r="G1124" s="249" t="str">
        <f>UPPER(IF($D1124=0,"",IF($A1124=4,_xlfn.XLOOKUP($D1124,Mercado!$C:$C,Mercado!$G:$G),_xlfn.XLOOKUP($D1124,Fontes!$B:$B,Fontes!$E:$E))))</f>
        <v>UN</v>
      </c>
      <c r="H1124" s="252">
        <v>2</v>
      </c>
      <c r="I1124" s="252">
        <f>IF($A1124="M",_xlfn.XLOOKUP($D1124,Mercado!$C:$C,Mercado!$I:$I),_xlfn.XLOOKUP($D1124,Fontes!$B:$B,Fontes!$J:$J))</f>
        <v>2538.63</v>
      </c>
      <c r="J1124" s="252">
        <f>IF($A1124="M",_xlfn.XLOOKUP($D1124,Mercado!$C:$C,Mercado!$J:$J),_xlfn.XLOOKUP($D1124,Fontes!$B:$B,Fontes!$H:$H))</f>
        <v>164.94</v>
      </c>
      <c r="K1124" s="252">
        <f>IF($A1124="M",0,_xlfn.XLOOKUP($D1124,Fontes!$B:$B,Fontes!$I:$I))</f>
        <v>11.3</v>
      </c>
      <c r="L1124" s="250">
        <f t="shared" si="110"/>
        <v>2714.8700000000003</v>
      </c>
      <c r="M1124" s="300">
        <f t="shared" si="109"/>
        <v>5429.74</v>
      </c>
      <c r="N1124" s="243"/>
      <c r="O1124" s="517">
        <f t="shared" si="111"/>
        <v>5429.74</v>
      </c>
    </row>
    <row r="1125" spans="1:15" outlineLevel="4" x14ac:dyDescent="0.3">
      <c r="A1125" s="36" t="s">
        <v>7</v>
      </c>
      <c r="B1125" s="36"/>
      <c r="C1125" s="495" t="s">
        <v>781</v>
      </c>
      <c r="D1125" s="479"/>
      <c r="E1125" s="249" t="str">
        <f>UPPER(IF($D1125=0,"",IF($A1125=4,_xlfn.XLOOKUP($D1125,Mercado!$C:$C,Mercado!$E:$E),_xlfn.XLOOKUP($D1125,Fontes!$B:$B,Fontes!$C:$C))))</f>
        <v/>
      </c>
      <c r="F1125" s="327" t="s">
        <v>781</v>
      </c>
      <c r="G1125" s="249"/>
      <c r="H1125" s="252"/>
      <c r="I1125" s="252">
        <f>IF($A1125="M",_xlfn.XLOOKUP($D1125,Mercado!$C:$C,Mercado!$I:$I),_xlfn.XLOOKUP($D1125,Fontes!$B:$B,Fontes!$J:$J))</f>
        <v>0</v>
      </c>
      <c r="J1125" s="252">
        <f>IF($A1125="M",_xlfn.XLOOKUP($D1125,Mercado!$C:$C,Mercado!$J:$J),_xlfn.XLOOKUP($D1125,Fontes!$B:$B,Fontes!$H:$H))</f>
        <v>0</v>
      </c>
      <c r="K1125" s="252">
        <f>IF($A1125="M",0,_xlfn.XLOOKUP($D1125,Fontes!$B:$B,Fontes!$I:$I))</f>
        <v>0</v>
      </c>
      <c r="L1125" s="250">
        <f t="shared" si="110"/>
        <v>0</v>
      </c>
      <c r="M1125" s="300">
        <f t="shared" si="109"/>
        <v>0</v>
      </c>
      <c r="N1125" s="243"/>
      <c r="O1125" s="517" t="str">
        <f t="shared" si="111"/>
        <v/>
      </c>
    </row>
    <row r="1126" spans="1:15" ht="20.399999999999999" outlineLevel="3" x14ac:dyDescent="0.3">
      <c r="A1126" s="36" t="s">
        <v>7</v>
      </c>
      <c r="B1126" s="36"/>
      <c r="C1126" s="499" t="s">
        <v>10746</v>
      </c>
      <c r="D1126" s="479"/>
      <c r="E1126" s="249" t="str">
        <f>UPPER(IF($D1126=0,"",IF($A1126=4,_xlfn.XLOOKUP($D1126,Mercado!$C:$C,Mercado!$E:$E),_xlfn.XLOOKUP($D1126,Fontes!$B:$B,Fontes!$C:$C))))</f>
        <v/>
      </c>
      <c r="F1126" s="334" t="s">
        <v>555</v>
      </c>
      <c r="G1126" s="249"/>
      <c r="H1126" s="252"/>
      <c r="I1126" s="252">
        <f>IF($A1126="M",_xlfn.XLOOKUP($D1126,Mercado!$C:$C,Mercado!$I:$I),_xlfn.XLOOKUP($D1126,Fontes!$B:$B,Fontes!$J:$J))</f>
        <v>0</v>
      </c>
      <c r="J1126" s="252">
        <f>IF($A1126="M",_xlfn.XLOOKUP($D1126,Mercado!$C:$C,Mercado!$J:$J),_xlfn.XLOOKUP($D1126,Fontes!$B:$B,Fontes!$H:$H))</f>
        <v>0</v>
      </c>
      <c r="K1126" s="252">
        <f>IF($A1126="M",0,_xlfn.XLOOKUP($D1126,Fontes!$B:$B,Fontes!$I:$I))</f>
        <v>0</v>
      </c>
      <c r="L1126" s="252">
        <f t="shared" si="110"/>
        <v>0</v>
      </c>
      <c r="M1126" s="509">
        <f t="shared" si="109"/>
        <v>0</v>
      </c>
      <c r="N1126" s="243"/>
      <c r="O1126" s="517" t="str">
        <f t="shared" si="111"/>
        <v/>
      </c>
    </row>
    <row r="1127" spans="1:15" ht="38.4" outlineLevel="4" x14ac:dyDescent="0.3">
      <c r="A1127" s="35"/>
      <c r="B1127" s="36"/>
      <c r="C1127" s="495" t="s">
        <v>10747</v>
      </c>
      <c r="D1127" s="479" t="s">
        <v>556</v>
      </c>
      <c r="E1127" s="249" t="str">
        <f>UPPER(IF($D1127=0,"",IF($A1127=4,_xlfn.XLOOKUP($D1127,Mercado!$C:$C,Mercado!$E:$E),_xlfn.XLOOKUP($D1127,Fontes!$B:$B,Fontes!$C:$C))))</f>
        <v>CPOS/CDHU</v>
      </c>
      <c r="F1127" s="327" t="s">
        <v>3701</v>
      </c>
      <c r="G1127" s="249" t="str">
        <f>UPPER(IF($D1127=0,"",IF($A1127=4,_xlfn.XLOOKUP($D1127,Mercado!$C:$C,Mercado!$G:$G),_xlfn.XLOOKUP($D1127,Fontes!$B:$B,Fontes!$E:$E))))</f>
        <v>UN</v>
      </c>
      <c r="H1127" s="252">
        <v>1</v>
      </c>
      <c r="I1127" s="252">
        <f>IF($A1127="M",_xlfn.XLOOKUP($D1127,Mercado!$C:$C,Mercado!$I:$I),_xlfn.XLOOKUP($D1127,Fontes!$B:$B,Fontes!$J:$J))</f>
        <v>118.07</v>
      </c>
      <c r="J1127" s="252">
        <f>IF($A1127="M",_xlfn.XLOOKUP($D1127,Mercado!$C:$C,Mercado!$J:$J),_xlfn.XLOOKUP($D1127,Fontes!$B:$B,Fontes!$H:$H))</f>
        <v>5.58</v>
      </c>
      <c r="K1127" s="252">
        <f>IF($A1127="M",0,_xlfn.XLOOKUP($D1127,Fontes!$B:$B,Fontes!$I:$I))</f>
        <v>0</v>
      </c>
      <c r="L1127" s="250">
        <f t="shared" si="110"/>
        <v>123.64999999999999</v>
      </c>
      <c r="M1127" s="300">
        <f t="shared" si="109"/>
        <v>123.65</v>
      </c>
      <c r="N1127" s="243"/>
      <c r="O1127" s="517">
        <f t="shared" si="111"/>
        <v>123.65</v>
      </c>
    </row>
    <row r="1128" spans="1:15" ht="57.6" outlineLevel="4" x14ac:dyDescent="0.3">
      <c r="A1128" s="35"/>
      <c r="B1128" s="36"/>
      <c r="C1128" s="495" t="s">
        <v>10748</v>
      </c>
      <c r="D1128" s="479">
        <v>103019</v>
      </c>
      <c r="E1128" s="249" t="str">
        <f>UPPER(IF($D1128=0,"",IF($A1128=4,_xlfn.XLOOKUP($D1128,Mercado!$C:$C,Mercado!$E:$E),_xlfn.XLOOKUP($D1128,Fontes!$B:$B,Fontes!$C:$C))))</f>
        <v>SINAPI</v>
      </c>
      <c r="F1128" s="327" t="s">
        <v>367</v>
      </c>
      <c r="G1128" s="249" t="str">
        <f>UPPER(IF($D1128=0,"",IF($A1128=4,_xlfn.XLOOKUP($D1128,Mercado!$C:$C,Mercado!$G:$G),_xlfn.XLOOKUP($D1128,Fontes!$B:$B,Fontes!$E:$E))))</f>
        <v>UN</v>
      </c>
      <c r="H1128" s="252">
        <v>1</v>
      </c>
      <c r="I1128" s="252">
        <f>IF($A1128="M",_xlfn.XLOOKUP($D1128,Mercado!$C:$C,Mercado!$I:$I),_xlfn.XLOOKUP($D1128,Fontes!$B:$B,Fontes!$J:$J))</f>
        <v>225.63</v>
      </c>
      <c r="J1128" s="252">
        <f>IF($A1128="M",_xlfn.XLOOKUP($D1128,Mercado!$C:$C,Mercado!$J:$J),_xlfn.XLOOKUP($D1128,Fontes!$B:$B,Fontes!$H:$H))</f>
        <v>24.69</v>
      </c>
      <c r="K1128" s="252">
        <f>IF($A1128="M",0,_xlfn.XLOOKUP($D1128,Fontes!$B:$B,Fontes!$I:$I))</f>
        <v>1.7</v>
      </c>
      <c r="L1128" s="250">
        <f t="shared" si="110"/>
        <v>252.01999999999998</v>
      </c>
      <c r="M1128" s="300">
        <f t="shared" si="109"/>
        <v>252.02</v>
      </c>
      <c r="N1128" s="243"/>
      <c r="O1128" s="517">
        <f t="shared" si="111"/>
        <v>252.02</v>
      </c>
    </row>
    <row r="1129" spans="1:15" outlineLevel="4" x14ac:dyDescent="0.3">
      <c r="A1129" s="36" t="s">
        <v>7</v>
      </c>
      <c r="B1129" s="36"/>
      <c r="C1129" s="495" t="s">
        <v>781</v>
      </c>
      <c r="D1129" s="479"/>
      <c r="E1129" s="249" t="str">
        <f>UPPER(IF($D1129=0,"",IF($A1129=4,_xlfn.XLOOKUP($D1129,Mercado!$C:$C,Mercado!$E:$E),_xlfn.XLOOKUP($D1129,Fontes!$B:$B,Fontes!$C:$C))))</f>
        <v/>
      </c>
      <c r="F1129" s="327" t="s">
        <v>781</v>
      </c>
      <c r="G1129" s="249"/>
      <c r="H1129" s="252"/>
      <c r="I1129" s="252">
        <f>IF($A1129="M",_xlfn.XLOOKUP($D1129,Mercado!$C:$C,Mercado!$I:$I),_xlfn.XLOOKUP($D1129,Fontes!$B:$B,Fontes!$J:$J))</f>
        <v>0</v>
      </c>
      <c r="J1129" s="252">
        <f>IF($A1129="M",_xlfn.XLOOKUP($D1129,Mercado!$C:$C,Mercado!$J:$J),_xlfn.XLOOKUP($D1129,Fontes!$B:$B,Fontes!$H:$H))</f>
        <v>0</v>
      </c>
      <c r="K1129" s="252">
        <f>IF($A1129="M",0,_xlfn.XLOOKUP($D1129,Fontes!$B:$B,Fontes!$I:$I))</f>
        <v>0</v>
      </c>
      <c r="L1129" s="250">
        <f t="shared" si="110"/>
        <v>0</v>
      </c>
      <c r="M1129" s="300">
        <f t="shared" si="109"/>
        <v>0</v>
      </c>
      <c r="N1129" s="243"/>
      <c r="O1129" s="517" t="str">
        <f t="shared" si="111"/>
        <v/>
      </c>
    </row>
    <row r="1130" spans="1:15" ht="20.399999999999999" outlineLevel="3" x14ac:dyDescent="0.3">
      <c r="A1130" s="36" t="s">
        <v>7</v>
      </c>
      <c r="B1130" s="36"/>
      <c r="C1130" s="499" t="s">
        <v>10749</v>
      </c>
      <c r="D1130" s="479"/>
      <c r="E1130" s="249" t="str">
        <f>UPPER(IF($D1130=0,"",IF($A1130=4,_xlfn.XLOOKUP($D1130,Mercado!$C:$C,Mercado!$E:$E),_xlfn.XLOOKUP($D1130,Fontes!$B:$B,Fontes!$C:$C))))</f>
        <v/>
      </c>
      <c r="F1130" s="334" t="s">
        <v>1953</v>
      </c>
      <c r="G1130" s="249"/>
      <c r="H1130" s="252"/>
      <c r="I1130" s="252">
        <f>IF($A1130="M",_xlfn.XLOOKUP($D1130,Mercado!$C:$C,Mercado!$I:$I),_xlfn.XLOOKUP($D1130,Fontes!$B:$B,Fontes!$J:$J))</f>
        <v>0</v>
      </c>
      <c r="J1130" s="252">
        <f>IF($A1130="M",_xlfn.XLOOKUP($D1130,Mercado!$C:$C,Mercado!$J:$J),_xlfn.XLOOKUP($D1130,Fontes!$B:$B,Fontes!$H:$H))</f>
        <v>0</v>
      </c>
      <c r="K1130" s="252">
        <f>IF($A1130="M",0,_xlfn.XLOOKUP($D1130,Fontes!$B:$B,Fontes!$I:$I))</f>
        <v>0</v>
      </c>
      <c r="L1130" s="252">
        <f t="shared" si="110"/>
        <v>0</v>
      </c>
      <c r="M1130" s="509">
        <f t="shared" si="109"/>
        <v>0</v>
      </c>
      <c r="N1130" s="243"/>
      <c r="O1130" s="517" t="str">
        <f t="shared" si="111"/>
        <v/>
      </c>
    </row>
    <row r="1131" spans="1:15" ht="38.4" outlineLevel="4" x14ac:dyDescent="0.3">
      <c r="A1131" s="35"/>
      <c r="B1131" s="36"/>
      <c r="C1131" s="495" t="s">
        <v>10750</v>
      </c>
      <c r="D1131" s="479" t="s">
        <v>1954</v>
      </c>
      <c r="E1131" s="249" t="str">
        <f>UPPER(IF($D1131=0,"",IF($A1131=4,_xlfn.XLOOKUP($D1131,Mercado!$C:$C,Mercado!$E:$E),_xlfn.XLOOKUP($D1131,Fontes!$B:$B,Fontes!$C:$C))))</f>
        <v>CPOS/CDHU</v>
      </c>
      <c r="F1131" s="335" t="s">
        <v>3702</v>
      </c>
      <c r="G1131" s="249" t="str">
        <f>UPPER(IF($D1131=0,"",IF($A1131=4,_xlfn.XLOOKUP($D1131,Mercado!$C:$C,Mercado!$G:$G),_xlfn.XLOOKUP($D1131,Fontes!$B:$B,Fontes!$E:$E))))</f>
        <v>UN</v>
      </c>
      <c r="H1131" s="252">
        <v>3</v>
      </c>
      <c r="I1131" s="252">
        <f>IF($A1131="M",_xlfn.XLOOKUP($D1131,Mercado!$C:$C,Mercado!$I:$I),_xlfn.XLOOKUP($D1131,Fontes!$B:$B,Fontes!$J:$J))</f>
        <v>627.65</v>
      </c>
      <c r="J1131" s="252">
        <f>IF($A1131="M",_xlfn.XLOOKUP($D1131,Mercado!$C:$C,Mercado!$J:$J),_xlfn.XLOOKUP($D1131,Fontes!$B:$B,Fontes!$H:$H))</f>
        <v>23.18</v>
      </c>
      <c r="K1131" s="252">
        <f>IF($A1131="M",0,_xlfn.XLOOKUP($D1131,Fontes!$B:$B,Fontes!$I:$I))</f>
        <v>0</v>
      </c>
      <c r="L1131" s="250">
        <f t="shared" si="110"/>
        <v>650.82999999999993</v>
      </c>
      <c r="M1131" s="300">
        <f t="shared" si="109"/>
        <v>1952.49</v>
      </c>
      <c r="N1131" s="243"/>
      <c r="O1131" s="517">
        <f t="shared" si="111"/>
        <v>1952.49</v>
      </c>
    </row>
    <row r="1132" spans="1:15" ht="38.4" outlineLevel="4" x14ac:dyDescent="0.3">
      <c r="A1132" s="35"/>
      <c r="B1132" s="36"/>
      <c r="C1132" s="495" t="s">
        <v>10751</v>
      </c>
      <c r="D1132" s="479" t="s">
        <v>2024</v>
      </c>
      <c r="E1132" s="249" t="str">
        <f>UPPER(IF($D1132=0,"",IF($A1132=4,_xlfn.XLOOKUP($D1132,Mercado!$C:$C,Mercado!$E:$E),_xlfn.XLOOKUP($D1132,Fontes!$B:$B,Fontes!$C:$C))))</f>
        <v>CPOS/CDHU</v>
      </c>
      <c r="F1132" s="335" t="s">
        <v>3703</v>
      </c>
      <c r="G1132" s="249" t="str">
        <f>UPPER(IF($D1132=0,"",IF($A1132=4,_xlfn.XLOOKUP($D1132,Mercado!$C:$C,Mercado!$G:$G),_xlfn.XLOOKUP($D1132,Fontes!$B:$B,Fontes!$E:$E))))</f>
        <v>UN</v>
      </c>
      <c r="H1132" s="439">
        <v>4</v>
      </c>
      <c r="I1132" s="252">
        <f>IF($A1132="M",_xlfn.XLOOKUP($D1132,Mercado!$C:$C,Mercado!$I:$I),_xlfn.XLOOKUP($D1132,Fontes!$B:$B,Fontes!$J:$J))</f>
        <v>181.31</v>
      </c>
      <c r="J1132" s="252">
        <f>IF($A1132="M",_xlfn.XLOOKUP($D1132,Mercado!$C:$C,Mercado!$J:$J),_xlfn.XLOOKUP($D1132,Fontes!$B:$B,Fontes!$H:$H))</f>
        <v>23.18</v>
      </c>
      <c r="K1132" s="252">
        <f>IF($A1132="M",0,_xlfn.XLOOKUP($D1132,Fontes!$B:$B,Fontes!$I:$I))</f>
        <v>0</v>
      </c>
      <c r="L1132" s="250">
        <f t="shared" si="110"/>
        <v>204.49</v>
      </c>
      <c r="M1132" s="300">
        <f t="shared" si="109"/>
        <v>817.96</v>
      </c>
      <c r="N1132" s="243"/>
      <c r="O1132" s="517">
        <f t="shared" si="111"/>
        <v>817.96</v>
      </c>
    </row>
    <row r="1133" spans="1:15" ht="38.4" outlineLevel="4" x14ac:dyDescent="0.3">
      <c r="A1133" s="35"/>
      <c r="B1133" s="36"/>
      <c r="C1133" s="495" t="s">
        <v>10752</v>
      </c>
      <c r="D1133" s="479" t="s">
        <v>1955</v>
      </c>
      <c r="E1133" s="249" t="str">
        <f>UPPER(IF($D1133=0,"",IF($A1133=4,_xlfn.XLOOKUP($D1133,Mercado!$C:$C,Mercado!$E:$E),_xlfn.XLOOKUP($D1133,Fontes!$B:$B,Fontes!$C:$C))))</f>
        <v>SETOP</v>
      </c>
      <c r="F1133" s="336" t="s">
        <v>1959</v>
      </c>
      <c r="G1133" s="249" t="str">
        <f>UPPER(IF($D1133=0,"",IF($A1133=4,_xlfn.XLOOKUP($D1133,Mercado!$C:$C,Mercado!$G:$G),_xlfn.XLOOKUP($D1133,Fontes!$B:$B,Fontes!$E:$E))))</f>
        <v>U</v>
      </c>
      <c r="H1133" s="252">
        <v>9</v>
      </c>
      <c r="I1133" s="252">
        <f>IF($A1133="M",_xlfn.XLOOKUP($D1133,Mercado!$C:$C,Mercado!$I:$I),_xlfn.XLOOKUP($D1133,Fontes!$B:$B,Fontes!$J:$J))</f>
        <v>173.55</v>
      </c>
      <c r="J1133" s="252">
        <f>IF($A1133="M",_xlfn.XLOOKUP($D1133,Mercado!$C:$C,Mercado!$J:$J),_xlfn.XLOOKUP($D1133,Fontes!$B:$B,Fontes!$H:$H))</f>
        <v>43.57</v>
      </c>
      <c r="K1133" s="252">
        <f>IF($A1133="M",0,_xlfn.XLOOKUP($D1133,Fontes!$B:$B,Fontes!$I:$I))</f>
        <v>0</v>
      </c>
      <c r="L1133" s="250">
        <f t="shared" si="110"/>
        <v>217.12</v>
      </c>
      <c r="M1133" s="300">
        <f t="shared" si="109"/>
        <v>1954.08</v>
      </c>
      <c r="N1133" s="243"/>
      <c r="O1133" s="517">
        <f t="shared" si="111"/>
        <v>1954.08</v>
      </c>
    </row>
    <row r="1134" spans="1:15" outlineLevel="4" x14ac:dyDescent="0.3">
      <c r="A1134" s="36" t="s">
        <v>7</v>
      </c>
      <c r="B1134" s="36"/>
      <c r="C1134" s="495" t="s">
        <v>781</v>
      </c>
      <c r="D1134" s="479"/>
      <c r="E1134" s="249" t="str">
        <f>UPPER(IF($D1134=0,"",IF($A1134=4,_xlfn.XLOOKUP($D1134,Mercado!$C:$C,Mercado!$E:$E),_xlfn.XLOOKUP($D1134,Fontes!$B:$B,Fontes!$C:$C))))</f>
        <v/>
      </c>
      <c r="F1134" s="327" t="s">
        <v>781</v>
      </c>
      <c r="G1134" s="249"/>
      <c r="H1134" s="252"/>
      <c r="I1134" s="252">
        <f>IF($A1134="M",_xlfn.XLOOKUP($D1134,Mercado!$C:$C,Mercado!$I:$I),_xlfn.XLOOKUP($D1134,Fontes!$B:$B,Fontes!$J:$J))</f>
        <v>0</v>
      </c>
      <c r="J1134" s="252">
        <f>IF($A1134="M",_xlfn.XLOOKUP($D1134,Mercado!$C:$C,Mercado!$J:$J),_xlfn.XLOOKUP($D1134,Fontes!$B:$B,Fontes!$H:$H))</f>
        <v>0</v>
      </c>
      <c r="K1134" s="252">
        <f>IF($A1134="M",0,_xlfn.XLOOKUP($D1134,Fontes!$B:$B,Fontes!$I:$I))</f>
        <v>0</v>
      </c>
      <c r="L1134" s="250">
        <f t="shared" si="110"/>
        <v>0</v>
      </c>
      <c r="M1134" s="300">
        <f t="shared" si="109"/>
        <v>0</v>
      </c>
      <c r="N1134" s="243"/>
      <c r="O1134" s="517" t="str">
        <f t="shared" si="111"/>
        <v/>
      </c>
    </row>
    <row r="1135" spans="1:15" ht="20.399999999999999" outlineLevel="3" x14ac:dyDescent="0.3">
      <c r="A1135" s="36" t="s">
        <v>7</v>
      </c>
      <c r="B1135" s="36"/>
      <c r="C1135" s="499" t="s">
        <v>10753</v>
      </c>
      <c r="D1135" s="479"/>
      <c r="E1135" s="249" t="str">
        <f>UPPER(IF($D1135=0,"",IF($A1135=4,_xlfn.XLOOKUP($D1135,Mercado!$C:$C,Mercado!$E:$E),_xlfn.XLOOKUP($D1135,Fontes!$B:$B,Fontes!$C:$C))))</f>
        <v/>
      </c>
      <c r="F1135" s="334" t="s">
        <v>557</v>
      </c>
      <c r="G1135" s="249"/>
      <c r="H1135" s="252"/>
      <c r="I1135" s="252">
        <f>IF($A1135="M",_xlfn.XLOOKUP($D1135,Mercado!$C:$C,Mercado!$I:$I),_xlfn.XLOOKUP($D1135,Fontes!$B:$B,Fontes!$J:$J))</f>
        <v>0</v>
      </c>
      <c r="J1135" s="252">
        <f>IF($A1135="M",_xlfn.XLOOKUP($D1135,Mercado!$C:$C,Mercado!$J:$J),_xlfn.XLOOKUP($D1135,Fontes!$B:$B,Fontes!$H:$H))</f>
        <v>0</v>
      </c>
      <c r="K1135" s="252">
        <f>IF($A1135="M",0,_xlfn.XLOOKUP($D1135,Fontes!$B:$B,Fontes!$I:$I))</f>
        <v>0</v>
      </c>
      <c r="L1135" s="252">
        <f t="shared" si="110"/>
        <v>0</v>
      </c>
      <c r="M1135" s="509">
        <f t="shared" si="109"/>
        <v>0</v>
      </c>
      <c r="N1135" s="243"/>
      <c r="O1135" s="517" t="str">
        <f t="shared" si="111"/>
        <v/>
      </c>
    </row>
    <row r="1136" spans="1:15" ht="57.6" outlineLevel="4" x14ac:dyDescent="0.3">
      <c r="A1136" s="35"/>
      <c r="B1136" s="36"/>
      <c r="C1136" s="495" t="s">
        <v>10754</v>
      </c>
      <c r="D1136" s="249">
        <v>704</v>
      </c>
      <c r="E1136" s="249" t="str">
        <f>UPPER(IF($D1136=0,"",IF($A1136=4,_xlfn.XLOOKUP($D1136,Mercado!$C:$C,Mercado!$E:$E),_xlfn.XLOOKUP($D1136,Fontes!$B:$B,Fontes!$C:$C))))</f>
        <v>PRÓPRIO</v>
      </c>
      <c r="F1136" s="337" t="s">
        <v>3704</v>
      </c>
      <c r="G1136" s="249" t="str">
        <f>UPPER(IF($D1136=0,"",IF($A1136=4,_xlfn.XLOOKUP($D1136,Mercado!$C:$C,Mercado!$G:$G),_xlfn.XLOOKUP($D1136,Fontes!$B:$B,Fontes!$E:$E))))</f>
        <v>UN</v>
      </c>
      <c r="H1136" s="252">
        <v>2</v>
      </c>
      <c r="I1136" s="252">
        <f>IF($A1136="M",_xlfn.XLOOKUP($D1136,Mercado!$C:$C,Mercado!$I:$I),_xlfn.XLOOKUP($D1136,Fontes!$B:$B,Fontes!$J:$J))</f>
        <v>2915.69</v>
      </c>
      <c r="J1136" s="252">
        <f>IF($A1136="M",_xlfn.XLOOKUP($D1136,Mercado!$C:$C,Mercado!$J:$J),_xlfn.XLOOKUP($D1136,Fontes!$B:$B,Fontes!$H:$H))</f>
        <v>199.52</v>
      </c>
      <c r="K1136" s="252">
        <f>IF($A1136="M",0,_xlfn.XLOOKUP($D1136,Fontes!$B:$B,Fontes!$I:$I))</f>
        <v>14.5</v>
      </c>
      <c r="L1136" s="250">
        <f t="shared" si="110"/>
        <v>3129.71</v>
      </c>
      <c r="M1136" s="300">
        <f t="shared" si="109"/>
        <v>6259.42</v>
      </c>
      <c r="O1136" s="517">
        <f t="shared" si="111"/>
        <v>6259.42</v>
      </c>
    </row>
    <row r="1137" spans="1:15" ht="38.4" outlineLevel="4" x14ac:dyDescent="0.3">
      <c r="A1137" s="35"/>
      <c r="B1137" s="36"/>
      <c r="C1137" s="495" t="s">
        <v>10755</v>
      </c>
      <c r="D1137" s="487">
        <v>701</v>
      </c>
      <c r="E1137" s="248" t="str">
        <f>UPPER(IF($D1137=0,"",IF($A1137=4,_xlfn.XLOOKUP($D1137,Mercado!$C:$C,Mercado!$E:$E),_xlfn.XLOOKUP($D1137,Fontes!$B:$B,Fontes!$C:$C))))</f>
        <v>PRÓPRIO</v>
      </c>
      <c r="F1137" s="337" t="s">
        <v>3680</v>
      </c>
      <c r="G1137" s="248" t="str">
        <f>UPPER(IF($D1137=0,"",IF($A1137=4,_xlfn.XLOOKUP($D1137,Mercado!$C:$C,Mercado!$G:$G),_xlfn.XLOOKUP($D1137,Fontes!$B:$B,Fontes!$E:$E))))</f>
        <v>CJ</v>
      </c>
      <c r="H1137" s="439">
        <v>2</v>
      </c>
      <c r="I1137" s="252">
        <f>IF($A1137="M",_xlfn.XLOOKUP($D1137,Mercado!$C:$C,Mercado!$I:$I),_xlfn.XLOOKUP($D1137,Fontes!$B:$B,Fontes!$J:$J))</f>
        <v>3289.04</v>
      </c>
      <c r="J1137" s="252">
        <f>IF($A1137="M",_xlfn.XLOOKUP($D1137,Mercado!$C:$C,Mercado!$J:$J),_xlfn.XLOOKUP($D1137,Fontes!$B:$B,Fontes!$H:$H))</f>
        <v>81.13</v>
      </c>
      <c r="K1137" s="252">
        <f>IF($A1137="M",0,_xlfn.XLOOKUP($D1137,Fontes!$B:$B,Fontes!$I:$I))</f>
        <v>6.36</v>
      </c>
      <c r="L1137" s="250">
        <f t="shared" si="110"/>
        <v>3376.53</v>
      </c>
      <c r="M1137" s="300">
        <f t="shared" si="109"/>
        <v>6753.06</v>
      </c>
      <c r="N1137" s="243"/>
      <c r="O1137" s="517">
        <f t="shared" si="111"/>
        <v>6753.06</v>
      </c>
    </row>
    <row r="1138" spans="1:15" ht="38.4" outlineLevel="4" x14ac:dyDescent="0.3">
      <c r="A1138" s="35"/>
      <c r="B1138" s="36"/>
      <c r="C1138" s="495" t="s">
        <v>10756</v>
      </c>
      <c r="D1138" s="487">
        <v>705</v>
      </c>
      <c r="E1138" s="248" t="str">
        <f>UPPER(IF($D1138=0,"",IF($A1138=4,_xlfn.XLOOKUP($D1138,Mercado!$C:$C,Mercado!$E:$E),_xlfn.XLOOKUP($D1138,Fontes!$B:$B,Fontes!$C:$C))))</f>
        <v>PRÓPRIO</v>
      </c>
      <c r="F1138" s="328" t="s">
        <v>3705</v>
      </c>
      <c r="G1138" s="249" t="str">
        <f>UPPER(IF($D1138=0,"",IF($A1138=4,_xlfn.XLOOKUP($D1138,Mercado!$C:$C,Mercado!$G:$G),_xlfn.XLOOKUP($D1138,Fontes!$B:$B,Fontes!$E:$E))))</f>
        <v>UN</v>
      </c>
      <c r="H1138" s="252">
        <v>2</v>
      </c>
      <c r="I1138" s="252">
        <f>IF($A1138="M",_xlfn.XLOOKUP($D1138,Mercado!$C:$C,Mercado!$I:$I),_xlfn.XLOOKUP($D1138,Fontes!$B:$B,Fontes!$J:$J))</f>
        <v>80.95</v>
      </c>
      <c r="J1138" s="252">
        <f>IF($A1138="M",_xlfn.XLOOKUP($D1138,Mercado!$C:$C,Mercado!$J:$J),_xlfn.XLOOKUP($D1138,Fontes!$B:$B,Fontes!$H:$H))</f>
        <v>54.31</v>
      </c>
      <c r="K1138" s="252">
        <f>IF($A1138="M",0,_xlfn.XLOOKUP($D1138,Fontes!$B:$B,Fontes!$I:$I))</f>
        <v>3.72</v>
      </c>
      <c r="L1138" s="250">
        <f t="shared" si="110"/>
        <v>138.97999999999999</v>
      </c>
      <c r="M1138" s="300">
        <f t="shared" si="109"/>
        <v>277.95999999999998</v>
      </c>
      <c r="N1138" s="243"/>
      <c r="O1138" s="517">
        <f t="shared" si="111"/>
        <v>277.95999999999998</v>
      </c>
    </row>
    <row r="1139" spans="1:15" outlineLevel="3" x14ac:dyDescent="0.3">
      <c r="A1139" s="36" t="s">
        <v>7</v>
      </c>
      <c r="B1139" s="36"/>
      <c r="C1139" s="495" t="s">
        <v>781</v>
      </c>
      <c r="D1139" s="479"/>
      <c r="E1139" s="249" t="str">
        <f>UPPER(IF($D1139=0,"",IF($A1139=4,_xlfn.XLOOKUP($D1139,Mercado!$C:$C,Mercado!$E:$E),_xlfn.XLOOKUP($D1139,Fontes!$B:$B,Fontes!$C:$C))))</f>
        <v/>
      </c>
      <c r="F1139" s="327" t="s">
        <v>781</v>
      </c>
      <c r="G1139" s="249"/>
      <c r="H1139" s="252"/>
      <c r="I1139" s="252">
        <f>IF($A1139="M",_xlfn.XLOOKUP($D1139,Mercado!$C:$C,Mercado!$I:$I),_xlfn.XLOOKUP($D1139,Fontes!$B:$B,Fontes!$J:$J))</f>
        <v>0</v>
      </c>
      <c r="J1139" s="252">
        <f>IF($A1139="M",_xlfn.XLOOKUP($D1139,Mercado!$C:$C,Mercado!$J:$J),_xlfn.XLOOKUP($D1139,Fontes!$B:$B,Fontes!$H:$H))</f>
        <v>0</v>
      </c>
      <c r="K1139" s="252">
        <f>IF($A1139="M",0,_xlfn.XLOOKUP($D1139,Fontes!$B:$B,Fontes!$I:$I))</f>
        <v>0</v>
      </c>
      <c r="L1139" s="250">
        <f t="shared" si="110"/>
        <v>0</v>
      </c>
      <c r="M1139" s="300">
        <f t="shared" si="109"/>
        <v>0</v>
      </c>
      <c r="N1139" s="243"/>
      <c r="O1139" s="517" t="str">
        <f t="shared" si="111"/>
        <v/>
      </c>
    </row>
    <row r="1140" spans="1:15" ht="20.399999999999999" outlineLevel="1" x14ac:dyDescent="0.3">
      <c r="A1140" s="36"/>
      <c r="B1140" s="36"/>
      <c r="C1140" s="530" t="s">
        <v>3754</v>
      </c>
      <c r="D1140" s="531"/>
      <c r="E1140" s="531" t="str">
        <f>UPPER(IF($D1140=0,"",IF($A1140=4,_xlfn.XLOOKUP($D1140,Mercado!$C:$C,Mercado!$E:$E),_xlfn.XLOOKUP($D1140,Fontes!$B:$B,Fontes!$C:$C))))</f>
        <v/>
      </c>
      <c r="F1140" s="532" t="s">
        <v>846</v>
      </c>
      <c r="G1140" s="531"/>
      <c r="H1140" s="535"/>
      <c r="I1140" s="535">
        <f>IF($A1140="M",_xlfn.XLOOKUP($D1140,Mercado!$C:$C,Mercado!$I:$I),_xlfn.XLOOKUP($D1140,Fontes!$B:$B,Fontes!$J:$J))</f>
        <v>0</v>
      </c>
      <c r="J1140" s="535">
        <f>IF($A1140="M",_xlfn.XLOOKUP($D1140,Mercado!$C:$C,Mercado!$J:$J),_xlfn.XLOOKUP($D1140,Fontes!$B:$B,Fontes!$H:$H))</f>
        <v>0</v>
      </c>
      <c r="K1140" s="535">
        <f>IF($A1140="M",0,_xlfn.XLOOKUP($D1140,Fontes!$B:$B,Fontes!$I:$I))</f>
        <v>0</v>
      </c>
      <c r="L1140" s="535">
        <f t="shared" si="110"/>
        <v>0</v>
      </c>
      <c r="M1140" s="538">
        <f>SUBTOTAL(9,M1141:M1178)</f>
        <v>57866.18</v>
      </c>
      <c r="O1140" s="517" t="str">
        <f t="shared" si="111"/>
        <v/>
      </c>
    </row>
    <row r="1141" spans="1:15" ht="20.399999999999999" outlineLevel="2" x14ac:dyDescent="0.3">
      <c r="A1141" s="36" t="s">
        <v>7</v>
      </c>
      <c r="B1141" s="36"/>
      <c r="C1141" s="496" t="s">
        <v>10757</v>
      </c>
      <c r="D1141" s="253"/>
      <c r="E1141" s="253" t="str">
        <f>UPPER(IF($D1141=0,"",IF($A1141=4,_xlfn.XLOOKUP($D1141,Mercado!$C:$C,Mercado!$E:$E),_xlfn.XLOOKUP($D1141,Fontes!$B:$B,Fontes!$C:$C))))</f>
        <v/>
      </c>
      <c r="F1141" s="329" t="s">
        <v>558</v>
      </c>
      <c r="G1141" s="253"/>
      <c r="H1141" s="254"/>
      <c r="I1141" s="254">
        <f>IF($A1141="M",_xlfn.XLOOKUP($D1141,Mercado!$C:$C,Mercado!$I:$I),_xlfn.XLOOKUP($D1141,Fontes!$B:$B,Fontes!$J:$J))</f>
        <v>0</v>
      </c>
      <c r="J1141" s="254">
        <f>IF($A1141="M",_xlfn.XLOOKUP($D1141,Mercado!$C:$C,Mercado!$J:$J),_xlfn.XLOOKUP($D1141,Fontes!$B:$B,Fontes!$H:$H))</f>
        <v>0</v>
      </c>
      <c r="K1141" s="254">
        <f>IF($A1141="M",0,_xlfn.XLOOKUP($D1141,Fontes!$B:$B,Fontes!$I:$I))</f>
        <v>0</v>
      </c>
      <c r="L1141" s="254">
        <f t="shared" si="110"/>
        <v>0</v>
      </c>
      <c r="M1141" s="510">
        <f>SUBTOTAL(9,M1142:M1166)</f>
        <v>22073.620000000003</v>
      </c>
      <c r="N1141" s="243"/>
      <c r="O1141" s="517" t="str">
        <f t="shared" si="111"/>
        <v/>
      </c>
    </row>
    <row r="1142" spans="1:15" ht="57.6" outlineLevel="3" x14ac:dyDescent="0.3">
      <c r="A1142" s="35"/>
      <c r="B1142" s="36"/>
      <c r="C1142" s="495" t="s">
        <v>10758</v>
      </c>
      <c r="D1142" s="479">
        <v>97341</v>
      </c>
      <c r="E1142" s="249" t="str">
        <f>UPPER(IF($D1142=0,"",IF($A1142=4,_xlfn.XLOOKUP($D1142,Mercado!$C:$C,Mercado!$E:$E),_xlfn.XLOOKUP($D1142,Fontes!$B:$B,Fontes!$C:$C))))</f>
        <v>SINAPI</v>
      </c>
      <c r="F1142" s="327" t="s">
        <v>199</v>
      </c>
      <c r="G1142" s="249" t="str">
        <f>UPPER(IF($D1142=0,"",IF($A1142=4,_xlfn.XLOOKUP($D1142,Mercado!$C:$C,Mercado!$G:$G),_xlfn.XLOOKUP($D1142,Fontes!$B:$B,Fontes!$E:$E))))</f>
        <v>M</v>
      </c>
      <c r="H1142" s="252">
        <v>77</v>
      </c>
      <c r="I1142" s="252">
        <f>IF($A1142="M",_xlfn.XLOOKUP($D1142,Mercado!$C:$C,Mercado!$I:$I),_xlfn.XLOOKUP($D1142,Fontes!$B:$B,Fontes!$J:$J))</f>
        <v>53.6</v>
      </c>
      <c r="J1142" s="252">
        <f>IF($A1142="M",_xlfn.XLOOKUP($D1142,Mercado!$C:$C,Mercado!$J:$J),_xlfn.XLOOKUP($D1142,Fontes!$B:$B,Fontes!$H:$H))</f>
        <v>6.79</v>
      </c>
      <c r="K1142" s="252">
        <f>IF($A1142="M",0,_xlfn.XLOOKUP($D1142,Fontes!$B:$B,Fontes!$I:$I))</f>
        <v>0.46</v>
      </c>
      <c r="L1142" s="250">
        <f t="shared" si="110"/>
        <v>60.85</v>
      </c>
      <c r="M1142" s="300">
        <f t="shared" ref="M1142:M1166" si="112">ROUND(H1142*L1142,2)</f>
        <v>4685.45</v>
      </c>
      <c r="N1142" s="243"/>
      <c r="O1142" s="517">
        <f t="shared" si="111"/>
        <v>4685.45</v>
      </c>
    </row>
    <row r="1143" spans="1:15" ht="57.6" outlineLevel="3" x14ac:dyDescent="0.3">
      <c r="A1143" s="35"/>
      <c r="B1143" s="36"/>
      <c r="C1143" s="495" t="s">
        <v>10759</v>
      </c>
      <c r="D1143" s="479">
        <v>97342</v>
      </c>
      <c r="E1143" s="249" t="str">
        <f>UPPER(IF($D1143=0,"",IF($A1143=4,_xlfn.XLOOKUP($D1143,Mercado!$C:$C,Mercado!$E:$E),_xlfn.XLOOKUP($D1143,Fontes!$B:$B,Fontes!$C:$C))))</f>
        <v>SINAPI</v>
      </c>
      <c r="F1143" s="327" t="s">
        <v>200</v>
      </c>
      <c r="G1143" s="249" t="str">
        <f>UPPER(IF($D1143=0,"",IF($A1143=4,_xlfn.XLOOKUP($D1143,Mercado!$C:$C,Mercado!$G:$G),_xlfn.XLOOKUP($D1143,Fontes!$B:$B,Fontes!$E:$E))))</f>
        <v>M</v>
      </c>
      <c r="H1143" s="252">
        <v>35</v>
      </c>
      <c r="I1143" s="252">
        <f>IF($A1143="M",_xlfn.XLOOKUP($D1143,Mercado!$C:$C,Mercado!$I:$I),_xlfn.XLOOKUP($D1143,Fontes!$B:$B,Fontes!$J:$J))</f>
        <v>85.81</v>
      </c>
      <c r="J1143" s="252">
        <f>IF($A1143="M",_xlfn.XLOOKUP($D1143,Mercado!$C:$C,Mercado!$J:$J),_xlfn.XLOOKUP($D1143,Fontes!$B:$B,Fontes!$H:$H))</f>
        <v>7.82</v>
      </c>
      <c r="K1143" s="252">
        <f>IF($A1143="M",0,_xlfn.XLOOKUP($D1143,Fontes!$B:$B,Fontes!$I:$I))</f>
        <v>0.54</v>
      </c>
      <c r="L1143" s="250">
        <f t="shared" si="110"/>
        <v>94.17</v>
      </c>
      <c r="M1143" s="300">
        <f t="shared" si="112"/>
        <v>3295.95</v>
      </c>
      <c r="N1143" s="243"/>
      <c r="O1143" s="517">
        <f t="shared" si="111"/>
        <v>3295.95</v>
      </c>
    </row>
    <row r="1144" spans="1:15" ht="57.6" outlineLevel="3" x14ac:dyDescent="0.3">
      <c r="A1144" s="35"/>
      <c r="B1144" s="36"/>
      <c r="C1144" s="495" t="s">
        <v>10760</v>
      </c>
      <c r="D1144" s="487">
        <v>97343</v>
      </c>
      <c r="E1144" s="249" t="str">
        <f>UPPER(IF($D1144=0,"",IF($A1144=4,_xlfn.XLOOKUP($D1144,Mercado!$C:$C,Mercado!$E:$E),_xlfn.XLOOKUP($D1144,Fontes!$B:$B,Fontes!$C:$C))))</f>
        <v>SINAPI</v>
      </c>
      <c r="F1144" s="327" t="s">
        <v>201</v>
      </c>
      <c r="G1144" s="249" t="str">
        <f>UPPER(IF($D1144=0,"",IF($A1144=4,_xlfn.XLOOKUP($D1144,Mercado!$C:$C,Mercado!$G:$G),_xlfn.XLOOKUP($D1144,Fontes!$B:$B,Fontes!$E:$E))))</f>
        <v>M</v>
      </c>
      <c r="H1144" s="252">
        <v>17</v>
      </c>
      <c r="I1144" s="252">
        <f>IF($A1144="M",_xlfn.XLOOKUP($D1144,Mercado!$C:$C,Mercado!$I:$I),_xlfn.XLOOKUP($D1144,Fontes!$B:$B,Fontes!$J:$J))</f>
        <v>108.79</v>
      </c>
      <c r="J1144" s="252">
        <f>IF($A1144="M",_xlfn.XLOOKUP($D1144,Mercado!$C:$C,Mercado!$J:$J),_xlfn.XLOOKUP($D1144,Fontes!$B:$B,Fontes!$H:$H))</f>
        <v>8.69</v>
      </c>
      <c r="K1144" s="252">
        <f>IF($A1144="M",0,_xlfn.XLOOKUP($D1144,Fontes!$B:$B,Fontes!$I:$I))</f>
        <v>0.6</v>
      </c>
      <c r="L1144" s="250">
        <f t="shared" si="110"/>
        <v>118.08</v>
      </c>
      <c r="M1144" s="300">
        <f t="shared" si="112"/>
        <v>2007.36</v>
      </c>
      <c r="N1144" s="243"/>
      <c r="O1144" s="517">
        <f t="shared" si="111"/>
        <v>2007.36</v>
      </c>
    </row>
    <row r="1145" spans="1:15" ht="57.6" outlineLevel="3" x14ac:dyDescent="0.3">
      <c r="A1145" s="35"/>
      <c r="B1145" s="36"/>
      <c r="C1145" s="495" t="s">
        <v>10761</v>
      </c>
      <c r="D1145" s="487">
        <v>97337</v>
      </c>
      <c r="E1145" s="249" t="str">
        <f>UPPER(IF($D1145=0,"",IF($A1145=4,_xlfn.XLOOKUP($D1145,Mercado!$C:$C,Mercado!$E:$E),_xlfn.XLOOKUP($D1145,Fontes!$B:$B,Fontes!$C:$C))))</f>
        <v>SINAPI</v>
      </c>
      <c r="F1145" s="327" t="s">
        <v>2597</v>
      </c>
      <c r="G1145" s="249" t="str">
        <f>UPPER(IF($D1145=0,"",IF($A1145=4,_xlfn.XLOOKUP($D1145,Mercado!$C:$C,Mercado!$G:$G),_xlfn.XLOOKUP($D1145,Fontes!$B:$B,Fontes!$E:$E))))</f>
        <v>M</v>
      </c>
      <c r="H1145" s="252">
        <v>44</v>
      </c>
      <c r="I1145" s="252">
        <f>IF($A1145="M",_xlfn.XLOOKUP($D1145,Mercado!$C:$C,Mercado!$I:$I),_xlfn.XLOOKUP($D1145,Fontes!$B:$B,Fontes!$J:$J))</f>
        <v>161.86000000000001</v>
      </c>
      <c r="J1145" s="252">
        <f>IF($A1145="M",_xlfn.XLOOKUP($D1145,Mercado!$C:$C,Mercado!$J:$J),_xlfn.XLOOKUP($D1145,Fontes!$B:$B,Fontes!$H:$H))</f>
        <v>3.89</v>
      </c>
      <c r="K1145" s="252">
        <f>IF($A1145="M",0,_xlfn.XLOOKUP($D1145,Fontes!$B:$B,Fontes!$I:$I))</f>
        <v>0.26</v>
      </c>
      <c r="L1145" s="250">
        <f t="shared" si="110"/>
        <v>166.01</v>
      </c>
      <c r="M1145" s="300">
        <f t="shared" si="112"/>
        <v>7304.44</v>
      </c>
      <c r="N1145" s="243"/>
      <c r="O1145" s="517">
        <f t="shared" si="111"/>
        <v>7304.44</v>
      </c>
    </row>
    <row r="1146" spans="1:15" ht="57.6" outlineLevel="3" x14ac:dyDescent="0.3">
      <c r="A1146" s="35"/>
      <c r="B1146" s="36"/>
      <c r="C1146" s="495" t="s">
        <v>10762</v>
      </c>
      <c r="D1146" s="487">
        <v>92314</v>
      </c>
      <c r="E1146" s="249" t="str">
        <f>UPPER(IF($D1146=0,"",IF($A1146=4,_xlfn.XLOOKUP($D1146,Mercado!$C:$C,Mercado!$E:$E),_xlfn.XLOOKUP($D1146,Fontes!$B:$B,Fontes!$C:$C))))</f>
        <v>SINAPI</v>
      </c>
      <c r="F1146" s="327" t="s">
        <v>2603</v>
      </c>
      <c r="G1146" s="249" t="str">
        <f>UPPER(IF($D1146=0,"",IF($A1146=4,_xlfn.XLOOKUP($D1146,Mercado!$C:$C,Mercado!$G:$G),_xlfn.XLOOKUP($D1146,Fontes!$B:$B,Fontes!$E:$E))))</f>
        <v>UN</v>
      </c>
      <c r="H1146" s="252">
        <v>15</v>
      </c>
      <c r="I1146" s="252">
        <f>IF($A1146="M",_xlfn.XLOOKUP($D1146,Mercado!$C:$C,Mercado!$I:$I),_xlfn.XLOOKUP($D1146,Fontes!$B:$B,Fontes!$J:$J))</f>
        <v>5.61</v>
      </c>
      <c r="J1146" s="252">
        <f>IF($A1146="M",_xlfn.XLOOKUP($D1146,Mercado!$C:$C,Mercado!$J:$J),_xlfn.XLOOKUP($D1146,Fontes!$B:$B,Fontes!$H:$H))</f>
        <v>5.41</v>
      </c>
      <c r="K1146" s="252">
        <f>IF($A1146="M",0,_xlfn.XLOOKUP($D1146,Fontes!$B:$B,Fontes!$I:$I))</f>
        <v>0.38</v>
      </c>
      <c r="L1146" s="252">
        <f t="shared" si="110"/>
        <v>11.4</v>
      </c>
      <c r="M1146" s="300">
        <f t="shared" si="112"/>
        <v>171</v>
      </c>
      <c r="N1146" s="243"/>
      <c r="O1146" s="517">
        <f t="shared" si="111"/>
        <v>171</v>
      </c>
    </row>
    <row r="1147" spans="1:15" ht="57.6" outlineLevel="3" x14ac:dyDescent="0.3">
      <c r="A1147" s="35"/>
      <c r="B1147" s="36"/>
      <c r="C1147" s="495" t="s">
        <v>10763</v>
      </c>
      <c r="D1147" s="487">
        <v>92315</v>
      </c>
      <c r="E1147" s="249" t="str">
        <f>UPPER(IF($D1147=0,"",IF($A1147=4,_xlfn.XLOOKUP($D1147,Mercado!$C:$C,Mercado!$E:$E),_xlfn.XLOOKUP($D1147,Fontes!$B:$B,Fontes!$C:$C))))</f>
        <v>SINAPI</v>
      </c>
      <c r="F1147" s="327" t="s">
        <v>2604</v>
      </c>
      <c r="G1147" s="249" t="str">
        <f>UPPER(IF($D1147=0,"",IF($A1147=4,_xlfn.XLOOKUP($D1147,Mercado!$C:$C,Mercado!$G:$G),_xlfn.XLOOKUP($D1147,Fontes!$B:$B,Fontes!$E:$E))))</f>
        <v>UN</v>
      </c>
      <c r="H1147" s="252">
        <v>7</v>
      </c>
      <c r="I1147" s="252">
        <f>IF($A1147="M",_xlfn.XLOOKUP($D1147,Mercado!$C:$C,Mercado!$I:$I),_xlfn.XLOOKUP($D1147,Fontes!$B:$B,Fontes!$J:$J))</f>
        <v>9.34</v>
      </c>
      <c r="J1147" s="252">
        <f>IF($A1147="M",_xlfn.XLOOKUP($D1147,Mercado!$C:$C,Mercado!$J:$J),_xlfn.XLOOKUP($D1147,Fontes!$B:$B,Fontes!$H:$H))</f>
        <v>6.24</v>
      </c>
      <c r="K1147" s="252">
        <f>IF($A1147="M",0,_xlfn.XLOOKUP($D1147,Fontes!$B:$B,Fontes!$I:$I))</f>
        <v>0.42</v>
      </c>
      <c r="L1147" s="252">
        <f t="shared" si="110"/>
        <v>16</v>
      </c>
      <c r="M1147" s="300">
        <f t="shared" si="112"/>
        <v>112</v>
      </c>
      <c r="N1147" s="243"/>
      <c r="O1147" s="517">
        <f t="shared" si="111"/>
        <v>112</v>
      </c>
    </row>
    <row r="1148" spans="1:15" ht="57.6" outlineLevel="3" x14ac:dyDescent="0.3">
      <c r="A1148" s="35"/>
      <c r="B1148" s="36"/>
      <c r="C1148" s="495" t="s">
        <v>10764</v>
      </c>
      <c r="D1148" s="487">
        <v>92316</v>
      </c>
      <c r="E1148" s="249" t="str">
        <f>UPPER(IF($D1148=0,"",IF($A1148=4,_xlfn.XLOOKUP($D1148,Mercado!$C:$C,Mercado!$E:$E),_xlfn.XLOOKUP($D1148,Fontes!$B:$B,Fontes!$C:$C))))</f>
        <v>SINAPI</v>
      </c>
      <c r="F1148" s="327" t="s">
        <v>2605</v>
      </c>
      <c r="G1148" s="249" t="str">
        <f>UPPER(IF($D1148=0,"",IF($A1148=4,_xlfn.XLOOKUP($D1148,Mercado!$C:$C,Mercado!$G:$G),_xlfn.XLOOKUP($D1148,Fontes!$B:$B,Fontes!$E:$E))))</f>
        <v>UN</v>
      </c>
      <c r="H1148" s="252">
        <v>3</v>
      </c>
      <c r="I1148" s="252">
        <f>IF($A1148="M",_xlfn.XLOOKUP($D1148,Mercado!$C:$C,Mercado!$I:$I),_xlfn.XLOOKUP($D1148,Fontes!$B:$B,Fontes!$J:$J))</f>
        <v>15.97</v>
      </c>
      <c r="J1148" s="252">
        <f>IF($A1148="M",_xlfn.XLOOKUP($D1148,Mercado!$C:$C,Mercado!$J:$J),_xlfn.XLOOKUP($D1148,Fontes!$B:$B,Fontes!$H:$H))</f>
        <v>6.96</v>
      </c>
      <c r="K1148" s="252">
        <f>IF($A1148="M",0,_xlfn.XLOOKUP($D1148,Fontes!$B:$B,Fontes!$I:$I))</f>
        <v>0.48</v>
      </c>
      <c r="L1148" s="252">
        <f t="shared" si="110"/>
        <v>23.41</v>
      </c>
      <c r="M1148" s="300">
        <f t="shared" si="112"/>
        <v>70.23</v>
      </c>
      <c r="N1148" s="243"/>
      <c r="O1148" s="517">
        <f t="shared" si="111"/>
        <v>70.23</v>
      </c>
    </row>
    <row r="1149" spans="1:15" ht="57.6" outlineLevel="3" x14ac:dyDescent="0.3">
      <c r="A1149" s="35"/>
      <c r="B1149" s="36"/>
      <c r="C1149" s="495" t="s">
        <v>10765</v>
      </c>
      <c r="D1149" s="487">
        <v>92295</v>
      </c>
      <c r="E1149" s="249" t="str">
        <f>UPPER(IF($D1149=0,"",IF($A1149=4,_xlfn.XLOOKUP($D1149,Mercado!$C:$C,Mercado!$E:$E),_xlfn.XLOOKUP($D1149,Fontes!$B:$B,Fontes!$C:$C))))</f>
        <v>SINAPI</v>
      </c>
      <c r="F1149" s="327" t="s">
        <v>2600</v>
      </c>
      <c r="G1149" s="249" t="str">
        <f>UPPER(IF($D1149=0,"",IF($A1149=4,_xlfn.XLOOKUP($D1149,Mercado!$C:$C,Mercado!$G:$G),_xlfn.XLOOKUP($D1149,Fontes!$B:$B,Fontes!$E:$E))))</f>
        <v>UN</v>
      </c>
      <c r="H1149" s="252">
        <v>9</v>
      </c>
      <c r="I1149" s="252">
        <f>IF($A1149="M",_xlfn.XLOOKUP($D1149,Mercado!$C:$C,Mercado!$I:$I),_xlfn.XLOOKUP($D1149,Fontes!$B:$B,Fontes!$J:$J))</f>
        <v>30.34</v>
      </c>
      <c r="J1149" s="252">
        <f>IF($A1149="M",_xlfn.XLOOKUP($D1149,Mercado!$C:$C,Mercado!$J:$J),_xlfn.XLOOKUP($D1149,Fontes!$B:$B,Fontes!$H:$H))</f>
        <v>5.24</v>
      </c>
      <c r="K1149" s="252">
        <f>IF($A1149="M",0,_xlfn.XLOOKUP($D1149,Fontes!$B:$B,Fontes!$I:$I))</f>
        <v>0.36</v>
      </c>
      <c r="L1149" s="252">
        <f t="shared" si="110"/>
        <v>35.94</v>
      </c>
      <c r="M1149" s="300">
        <f t="shared" si="112"/>
        <v>323.45999999999998</v>
      </c>
      <c r="N1149" s="243"/>
      <c r="O1149" s="517">
        <f t="shared" si="111"/>
        <v>323.45999999999998</v>
      </c>
    </row>
    <row r="1150" spans="1:15" ht="57.6" outlineLevel="3" x14ac:dyDescent="0.3">
      <c r="A1150" s="35"/>
      <c r="B1150" s="36"/>
      <c r="C1150" s="495" t="s">
        <v>10766</v>
      </c>
      <c r="D1150" s="487">
        <v>92311</v>
      </c>
      <c r="E1150" s="249" t="str">
        <f>UPPER(IF($D1150=0,"",IF($A1150=4,_xlfn.XLOOKUP($D1150,Mercado!$C:$C,Mercado!$E:$E),_xlfn.XLOOKUP($D1150,Fontes!$B:$B,Fontes!$C:$C))))</f>
        <v>SINAPI</v>
      </c>
      <c r="F1150" s="327" t="s">
        <v>203</v>
      </c>
      <c r="G1150" s="249" t="str">
        <f>UPPER(IF($D1150=0,"",IF($A1150=4,_xlfn.XLOOKUP($D1150,Mercado!$C:$C,Mercado!$G:$G),_xlfn.XLOOKUP($D1150,Fontes!$B:$B,Fontes!$E:$E))))</f>
        <v>UN</v>
      </c>
      <c r="H1150" s="252">
        <v>40</v>
      </c>
      <c r="I1150" s="252">
        <f>IF($A1150="M",_xlfn.XLOOKUP($D1150,Mercado!$C:$C,Mercado!$I:$I),_xlfn.XLOOKUP($D1150,Fontes!$B:$B,Fontes!$J:$J))</f>
        <v>8.82</v>
      </c>
      <c r="J1150" s="252">
        <f>IF($A1150="M",_xlfn.XLOOKUP($D1150,Mercado!$C:$C,Mercado!$J:$J),_xlfn.XLOOKUP($D1150,Fontes!$B:$B,Fontes!$H:$H))</f>
        <v>7.44</v>
      </c>
      <c r="K1150" s="252">
        <f>IF($A1150="M",0,_xlfn.XLOOKUP($D1150,Fontes!$B:$B,Fontes!$I:$I))</f>
        <v>0.5</v>
      </c>
      <c r="L1150" s="252">
        <f t="shared" si="110"/>
        <v>16.760000000000002</v>
      </c>
      <c r="M1150" s="300">
        <f t="shared" si="112"/>
        <v>670.4</v>
      </c>
      <c r="N1150" s="243"/>
      <c r="O1150" s="517">
        <f t="shared" si="111"/>
        <v>670.4</v>
      </c>
    </row>
    <row r="1151" spans="1:15" ht="57.6" outlineLevel="3" x14ac:dyDescent="0.3">
      <c r="A1151" s="35"/>
      <c r="B1151" s="36"/>
      <c r="C1151" s="495" t="s">
        <v>10767</v>
      </c>
      <c r="D1151" s="487">
        <v>92312</v>
      </c>
      <c r="E1151" s="249" t="str">
        <f>UPPER(IF($D1151=0,"",IF($A1151=4,_xlfn.XLOOKUP($D1151,Mercado!$C:$C,Mercado!$E:$E),_xlfn.XLOOKUP($D1151,Fontes!$B:$B,Fontes!$C:$C))))</f>
        <v>SINAPI</v>
      </c>
      <c r="F1151" s="327" t="s">
        <v>2602</v>
      </c>
      <c r="G1151" s="249" t="str">
        <f>UPPER(IF($D1151=0,"",IF($A1151=4,_xlfn.XLOOKUP($D1151,Mercado!$C:$C,Mercado!$G:$G),_xlfn.XLOOKUP($D1151,Fontes!$B:$B,Fontes!$E:$E))))</f>
        <v>UN</v>
      </c>
      <c r="H1151" s="252">
        <v>9</v>
      </c>
      <c r="I1151" s="252">
        <f>IF($A1151="M",_xlfn.XLOOKUP($D1151,Mercado!$C:$C,Mercado!$I:$I),_xlfn.XLOOKUP($D1151,Fontes!$B:$B,Fontes!$J:$J))</f>
        <v>16.760000000000002</v>
      </c>
      <c r="J1151" s="252">
        <f>IF($A1151="M",_xlfn.XLOOKUP($D1151,Mercado!$C:$C,Mercado!$J:$J),_xlfn.XLOOKUP($D1151,Fontes!$B:$B,Fontes!$H:$H))</f>
        <v>9.36</v>
      </c>
      <c r="K1151" s="252">
        <f>IF($A1151="M",0,_xlfn.XLOOKUP($D1151,Fontes!$B:$B,Fontes!$I:$I))</f>
        <v>0.64</v>
      </c>
      <c r="L1151" s="252">
        <f t="shared" si="110"/>
        <v>26.76</v>
      </c>
      <c r="M1151" s="300">
        <f t="shared" si="112"/>
        <v>240.84</v>
      </c>
      <c r="N1151" s="243"/>
      <c r="O1151" s="517">
        <f t="shared" si="111"/>
        <v>240.84</v>
      </c>
    </row>
    <row r="1152" spans="1:15" ht="57.6" outlineLevel="3" x14ac:dyDescent="0.3">
      <c r="A1152" s="35"/>
      <c r="B1152" s="36"/>
      <c r="C1152" s="495" t="s">
        <v>10768</v>
      </c>
      <c r="D1152" s="487">
        <v>92289</v>
      </c>
      <c r="E1152" s="249" t="str">
        <f>UPPER(IF($D1152=0,"",IF($A1152=4,_xlfn.XLOOKUP($D1152,Mercado!$C:$C,Mercado!$E:$E),_xlfn.XLOOKUP($D1152,Fontes!$B:$B,Fontes!$C:$C))))</f>
        <v>SINAPI</v>
      </c>
      <c r="F1152" s="327" t="s">
        <v>2599</v>
      </c>
      <c r="G1152" s="249" t="str">
        <f>UPPER(IF($D1152=0,"",IF($A1152=4,_xlfn.XLOOKUP($D1152,Mercado!$C:$C,Mercado!$G:$G),_xlfn.XLOOKUP($D1152,Fontes!$B:$B,Fontes!$E:$E))))</f>
        <v>UN</v>
      </c>
      <c r="H1152" s="252">
        <v>11</v>
      </c>
      <c r="I1152" s="252">
        <f>IF($A1152="M",_xlfn.XLOOKUP($D1152,Mercado!$C:$C,Mercado!$I:$I),_xlfn.XLOOKUP($D1152,Fontes!$B:$B,Fontes!$J:$J))</f>
        <v>46.92</v>
      </c>
      <c r="J1152" s="252">
        <f>IF($A1152="M",_xlfn.XLOOKUP($D1152,Mercado!$C:$C,Mercado!$J:$J),_xlfn.XLOOKUP($D1152,Fontes!$B:$B,Fontes!$H:$H))</f>
        <v>7.87</v>
      </c>
      <c r="K1152" s="252">
        <f>IF($A1152="M",0,_xlfn.XLOOKUP($D1152,Fontes!$B:$B,Fontes!$I:$I))</f>
        <v>0.54</v>
      </c>
      <c r="L1152" s="252">
        <f t="shared" si="110"/>
        <v>55.33</v>
      </c>
      <c r="M1152" s="300">
        <f t="shared" si="112"/>
        <v>608.63</v>
      </c>
      <c r="N1152" s="243"/>
      <c r="O1152" s="517">
        <f t="shared" si="111"/>
        <v>608.63</v>
      </c>
    </row>
    <row r="1153" spans="1:15" ht="57.6" outlineLevel="3" x14ac:dyDescent="0.3">
      <c r="A1153" s="35"/>
      <c r="B1153" s="36"/>
      <c r="C1153" s="495" t="s">
        <v>10769</v>
      </c>
      <c r="D1153" s="487">
        <v>92317</v>
      </c>
      <c r="E1153" s="249" t="str">
        <f>UPPER(IF($D1153=0,"",IF($A1153=4,_xlfn.XLOOKUP($D1153,Mercado!$C:$C,Mercado!$E:$E),_xlfn.XLOOKUP($D1153,Fontes!$B:$B,Fontes!$C:$C))))</f>
        <v>SINAPI</v>
      </c>
      <c r="F1153" s="327" t="s">
        <v>2606</v>
      </c>
      <c r="G1153" s="249" t="str">
        <f>UPPER(IF($D1153=0,"",IF($A1153=4,_xlfn.XLOOKUP($D1153,Mercado!$C:$C,Mercado!$G:$G),_xlfn.XLOOKUP($D1153,Fontes!$B:$B,Fontes!$E:$E))))</f>
        <v>UN</v>
      </c>
      <c r="H1153" s="252">
        <v>1</v>
      </c>
      <c r="I1153" s="252">
        <f>IF($A1153="M",_xlfn.XLOOKUP($D1153,Mercado!$C:$C,Mercado!$I:$I),_xlfn.XLOOKUP($D1153,Fontes!$B:$B,Fontes!$J:$J))</f>
        <v>12.11</v>
      </c>
      <c r="J1153" s="252">
        <f>IF($A1153="M",_xlfn.XLOOKUP($D1153,Mercado!$C:$C,Mercado!$J:$J),_xlfn.XLOOKUP($D1153,Fontes!$B:$B,Fontes!$H:$H))</f>
        <v>10.82</v>
      </c>
      <c r="K1153" s="252">
        <f>IF($A1153="M",0,_xlfn.XLOOKUP($D1153,Fontes!$B:$B,Fontes!$I:$I))</f>
        <v>0.74</v>
      </c>
      <c r="L1153" s="252">
        <f t="shared" si="110"/>
        <v>23.669999999999998</v>
      </c>
      <c r="M1153" s="300">
        <f t="shared" si="112"/>
        <v>23.67</v>
      </c>
      <c r="N1153" s="243"/>
      <c r="O1153" s="517">
        <f t="shared" si="111"/>
        <v>23.67</v>
      </c>
    </row>
    <row r="1154" spans="1:15" ht="57.6" outlineLevel="3" x14ac:dyDescent="0.3">
      <c r="A1154" s="35"/>
      <c r="B1154" s="36"/>
      <c r="C1154" s="495" t="s">
        <v>10770</v>
      </c>
      <c r="D1154" s="487">
        <v>92318</v>
      </c>
      <c r="E1154" s="249" t="str">
        <f>UPPER(IF($D1154=0,"",IF($A1154=4,_xlfn.XLOOKUP($D1154,Mercado!$C:$C,Mercado!$E:$E),_xlfn.XLOOKUP($D1154,Fontes!$B:$B,Fontes!$C:$C))))</f>
        <v>SINAPI</v>
      </c>
      <c r="F1154" s="327" t="s">
        <v>2607</v>
      </c>
      <c r="G1154" s="249" t="str">
        <f>UPPER(IF($D1154=0,"",IF($A1154=4,_xlfn.XLOOKUP($D1154,Mercado!$C:$C,Mercado!$G:$G),_xlfn.XLOOKUP($D1154,Fontes!$B:$B,Fontes!$E:$E))))</f>
        <v>UN</v>
      </c>
      <c r="H1154" s="252">
        <v>2</v>
      </c>
      <c r="I1154" s="252">
        <f>IF($A1154="M",_xlfn.XLOOKUP($D1154,Mercado!$C:$C,Mercado!$I:$I),_xlfn.XLOOKUP($D1154,Fontes!$B:$B,Fontes!$J:$J))</f>
        <v>22.01</v>
      </c>
      <c r="J1154" s="252">
        <f>IF($A1154="M",_xlfn.XLOOKUP($D1154,Mercado!$C:$C,Mercado!$J:$J),_xlfn.XLOOKUP($D1154,Fontes!$B:$B,Fontes!$H:$H))</f>
        <v>12.49</v>
      </c>
      <c r="K1154" s="252">
        <f>IF($A1154="M",0,_xlfn.XLOOKUP($D1154,Fontes!$B:$B,Fontes!$I:$I))</f>
        <v>0.86</v>
      </c>
      <c r="L1154" s="252">
        <f t="shared" si="110"/>
        <v>35.36</v>
      </c>
      <c r="M1154" s="300">
        <f t="shared" si="112"/>
        <v>70.72</v>
      </c>
      <c r="N1154" s="243"/>
      <c r="O1154" s="517">
        <f t="shared" si="111"/>
        <v>70.72</v>
      </c>
    </row>
    <row r="1155" spans="1:15" ht="57.6" outlineLevel="3" x14ac:dyDescent="0.3">
      <c r="A1155" s="35"/>
      <c r="B1155" s="36"/>
      <c r="C1155" s="495" t="s">
        <v>10771</v>
      </c>
      <c r="D1155" s="487">
        <v>92301</v>
      </c>
      <c r="E1155" s="249" t="str">
        <f>UPPER(IF($D1155=0,"",IF($A1155=4,_xlfn.XLOOKUP($D1155,Mercado!$C:$C,Mercado!$E:$E),_xlfn.XLOOKUP($D1155,Fontes!$B:$B,Fontes!$C:$C))))</f>
        <v>SINAPI</v>
      </c>
      <c r="F1155" s="327" t="s">
        <v>2601</v>
      </c>
      <c r="G1155" s="249" t="str">
        <f>UPPER(IF($D1155=0,"",IF($A1155=4,_xlfn.XLOOKUP($D1155,Mercado!$C:$C,Mercado!$G:$G),_xlfn.XLOOKUP($D1155,Fontes!$B:$B,Fontes!$E:$E))))</f>
        <v>UN</v>
      </c>
      <c r="H1155" s="252">
        <v>2</v>
      </c>
      <c r="I1155" s="252">
        <f>IF($A1155="M",_xlfn.XLOOKUP($D1155,Mercado!$C:$C,Mercado!$I:$I),_xlfn.XLOOKUP($D1155,Fontes!$B:$B,Fontes!$J:$J))</f>
        <v>67.11</v>
      </c>
      <c r="J1155" s="252">
        <f>IF($A1155="M",_xlfn.XLOOKUP($D1155,Mercado!$C:$C,Mercado!$J:$J),_xlfn.XLOOKUP($D1155,Fontes!$B:$B,Fontes!$H:$H))</f>
        <v>10.48</v>
      </c>
      <c r="K1155" s="252">
        <f>IF($A1155="M",0,_xlfn.XLOOKUP($D1155,Fontes!$B:$B,Fontes!$I:$I))</f>
        <v>0.72</v>
      </c>
      <c r="L1155" s="252">
        <f t="shared" si="110"/>
        <v>78.31</v>
      </c>
      <c r="M1155" s="300">
        <f t="shared" si="112"/>
        <v>156.62</v>
      </c>
      <c r="N1155" s="243"/>
      <c r="O1155" s="517">
        <f t="shared" si="111"/>
        <v>156.62</v>
      </c>
    </row>
    <row r="1156" spans="1:15" outlineLevel="3" x14ac:dyDescent="0.3">
      <c r="A1156" s="35"/>
      <c r="B1156" s="36"/>
      <c r="C1156" s="495" t="s">
        <v>10772</v>
      </c>
      <c r="D1156" s="487">
        <v>296</v>
      </c>
      <c r="E1156" s="249" t="str">
        <f>UPPER(IF($D1156=0,"",IF($A1156=4,_xlfn.XLOOKUP($D1156,Mercado!$C:$C,Mercado!$E:$E),_xlfn.XLOOKUP($D1156,Fontes!$B:$B,Fontes!$C:$C))))</f>
        <v>PRÓPRIO</v>
      </c>
      <c r="F1156" s="327" t="s">
        <v>3706</v>
      </c>
      <c r="G1156" s="249" t="str">
        <f>UPPER(IF($D1156=0,"",IF($A1156=4,_xlfn.XLOOKUP($D1156,Mercado!$C:$C,Mercado!$G:$G),_xlfn.XLOOKUP($D1156,Fontes!$B:$B,Fontes!$E:$E))))</f>
        <v>UN</v>
      </c>
      <c r="H1156" s="252">
        <v>8</v>
      </c>
      <c r="I1156" s="252">
        <f>IF($A1156="M",_xlfn.XLOOKUP($D1156,Mercado!$C:$C,Mercado!$I:$I),_xlfn.XLOOKUP($D1156,Fontes!$B:$B,Fontes!$J:$J))</f>
        <v>67</v>
      </c>
      <c r="J1156" s="252">
        <f>IF($A1156="M",_xlfn.XLOOKUP($D1156,Mercado!$C:$C,Mercado!$J:$J),_xlfn.XLOOKUP($D1156,Fontes!$B:$B,Fontes!$H:$H))</f>
        <v>29.43</v>
      </c>
      <c r="K1156" s="252">
        <f>IF($A1156="M",0,_xlfn.XLOOKUP($D1156,Fontes!$B:$B,Fontes!$I:$I))</f>
        <v>2.02</v>
      </c>
      <c r="L1156" s="252">
        <f t="shared" si="110"/>
        <v>98.45</v>
      </c>
      <c r="M1156" s="300">
        <f t="shared" si="112"/>
        <v>787.6</v>
      </c>
      <c r="N1156" s="243"/>
      <c r="O1156" s="517">
        <f t="shared" si="111"/>
        <v>787.6</v>
      </c>
    </row>
    <row r="1157" spans="1:15" outlineLevel="3" x14ac:dyDescent="0.3">
      <c r="A1157" s="35"/>
      <c r="B1157" s="36"/>
      <c r="C1157" s="495" t="s">
        <v>10773</v>
      </c>
      <c r="D1157" s="487">
        <v>297</v>
      </c>
      <c r="E1157" s="249" t="str">
        <f>UPPER(IF($D1157=0,"",IF($A1157=4,_xlfn.XLOOKUP($D1157,Mercado!$C:$C,Mercado!$E:$E),_xlfn.XLOOKUP($D1157,Fontes!$B:$B,Fontes!$C:$C))))</f>
        <v>PRÓPRIO</v>
      </c>
      <c r="F1157" s="327" t="s">
        <v>3707</v>
      </c>
      <c r="G1157" s="249" t="str">
        <f>UPPER(IF($D1157=0,"",IF($A1157=4,_xlfn.XLOOKUP($D1157,Mercado!$C:$C,Mercado!$G:$G),_xlfn.XLOOKUP($D1157,Fontes!$B:$B,Fontes!$E:$E))))</f>
        <v>UN</v>
      </c>
      <c r="H1157" s="439">
        <v>7</v>
      </c>
      <c r="I1157" s="439">
        <f>IF($A1157="M",_xlfn.XLOOKUP($D1157,Mercado!$C:$C,Mercado!$I:$I),_xlfn.XLOOKUP($D1157,Fontes!$B:$B,Fontes!$J:$J))</f>
        <v>57.33</v>
      </c>
      <c r="J1157" s="252">
        <f>IF($A1157="M",_xlfn.XLOOKUP($D1157,Mercado!$C:$C,Mercado!$J:$J),_xlfn.XLOOKUP($D1157,Fontes!$B:$B,Fontes!$H:$H))</f>
        <v>29.43</v>
      </c>
      <c r="K1157" s="252">
        <f>IF($A1157="M",0,_xlfn.XLOOKUP($D1157,Fontes!$B:$B,Fontes!$I:$I))</f>
        <v>2.02</v>
      </c>
      <c r="L1157" s="252">
        <f t="shared" si="110"/>
        <v>88.779999999999987</v>
      </c>
      <c r="M1157" s="300">
        <f t="shared" si="112"/>
        <v>621.46</v>
      </c>
      <c r="N1157" s="243"/>
      <c r="O1157" s="517">
        <f t="shared" si="111"/>
        <v>621.46</v>
      </c>
    </row>
    <row r="1158" spans="1:15" outlineLevel="3" x14ac:dyDescent="0.3">
      <c r="A1158" s="35"/>
      <c r="B1158" s="36"/>
      <c r="C1158" s="495" t="s">
        <v>10774</v>
      </c>
      <c r="D1158" s="487">
        <v>620</v>
      </c>
      <c r="E1158" s="249" t="str">
        <f>UPPER(IF($D1158=0,"",IF($A1158=4,_xlfn.XLOOKUP($D1158,Mercado!$C:$C,Mercado!$E:$E),_xlfn.XLOOKUP($D1158,Fontes!$B:$B,Fontes!$C:$C))))</f>
        <v>PRÓPRIO</v>
      </c>
      <c r="F1158" s="327" t="s">
        <v>3708</v>
      </c>
      <c r="G1158" s="249" t="str">
        <f>UPPER(IF($D1158=0,"",IF($A1158=4,_xlfn.XLOOKUP($D1158,Mercado!$C:$C,Mercado!$G:$G),_xlfn.XLOOKUP($D1158,Fontes!$B:$B,Fontes!$E:$E))))</f>
        <v>UN</v>
      </c>
      <c r="H1158" s="439">
        <v>1</v>
      </c>
      <c r="I1158" s="439">
        <f>IF($A1158="M",_xlfn.XLOOKUP($D1158,Mercado!$C:$C,Mercado!$I:$I),_xlfn.XLOOKUP($D1158,Fontes!$B:$B,Fontes!$J:$J))</f>
        <v>79.17</v>
      </c>
      <c r="J1158" s="252">
        <f>IF($A1158="M",_xlfn.XLOOKUP($D1158,Mercado!$C:$C,Mercado!$J:$J),_xlfn.XLOOKUP($D1158,Fontes!$B:$B,Fontes!$H:$H))</f>
        <v>29.43</v>
      </c>
      <c r="K1158" s="252">
        <f>IF($A1158="M",0,_xlfn.XLOOKUP($D1158,Fontes!$B:$B,Fontes!$I:$I))</f>
        <v>2.02</v>
      </c>
      <c r="L1158" s="252">
        <f t="shared" si="110"/>
        <v>110.61999999999999</v>
      </c>
      <c r="M1158" s="300">
        <f t="shared" si="112"/>
        <v>110.62</v>
      </c>
      <c r="N1158" s="243"/>
      <c r="O1158" s="517">
        <f t="shared" si="111"/>
        <v>110.62</v>
      </c>
    </row>
    <row r="1159" spans="1:15" outlineLevel="3" x14ac:dyDescent="0.3">
      <c r="A1159" s="35"/>
      <c r="B1159" s="36"/>
      <c r="C1159" s="495" t="s">
        <v>10775</v>
      </c>
      <c r="D1159" s="487">
        <v>617</v>
      </c>
      <c r="E1159" s="249" t="str">
        <f>UPPER(IF($D1159=0,"",IF($A1159=4,_xlfn.XLOOKUP($D1159,Mercado!$C:$C,Mercado!$E:$E),_xlfn.XLOOKUP($D1159,Fontes!$B:$B,Fontes!$C:$C))))</f>
        <v>PRÓPRIO</v>
      </c>
      <c r="F1159" s="328" t="s">
        <v>3709</v>
      </c>
      <c r="G1159" s="249" t="str">
        <f>UPPER(IF($D1159=0,"",IF($A1159=4,_xlfn.XLOOKUP($D1159,Mercado!$C:$C,Mercado!$G:$G),_xlfn.XLOOKUP($D1159,Fontes!$B:$B,Fontes!$E:$E))))</f>
        <v>UN</v>
      </c>
      <c r="H1159" s="439">
        <v>1</v>
      </c>
      <c r="I1159" s="439">
        <f>IF($A1159="M",_xlfn.XLOOKUP($D1159,Mercado!$C:$C,Mercado!$I:$I),_xlfn.XLOOKUP($D1159,Fontes!$B:$B,Fontes!$J:$J))</f>
        <v>99.7</v>
      </c>
      <c r="J1159" s="252">
        <f>IF($A1159="M",_xlfn.XLOOKUP($D1159,Mercado!$C:$C,Mercado!$J:$J),_xlfn.XLOOKUP($D1159,Fontes!$B:$B,Fontes!$H:$H))</f>
        <v>29.43</v>
      </c>
      <c r="K1159" s="252">
        <f>IF($A1159="M",0,_xlfn.XLOOKUP($D1159,Fontes!$B:$B,Fontes!$I:$I))</f>
        <v>2.02</v>
      </c>
      <c r="L1159" s="252">
        <f t="shared" si="110"/>
        <v>131.15</v>
      </c>
      <c r="M1159" s="300">
        <f t="shared" si="112"/>
        <v>131.15</v>
      </c>
      <c r="N1159" s="243"/>
      <c r="O1159" s="517">
        <f t="shared" si="111"/>
        <v>131.15</v>
      </c>
    </row>
    <row r="1160" spans="1:15" ht="57.6" outlineLevel="3" x14ac:dyDescent="0.3">
      <c r="A1160" s="35"/>
      <c r="B1160" s="36"/>
      <c r="C1160" s="495" t="s">
        <v>10776</v>
      </c>
      <c r="D1160" s="487">
        <v>93108</v>
      </c>
      <c r="E1160" s="249" t="str">
        <f>UPPER(IF($D1160=0,"",IF($A1160=4,_xlfn.XLOOKUP($D1160,Mercado!$C:$C,Mercado!$E:$E),_xlfn.XLOOKUP($D1160,Fontes!$B:$B,Fontes!$C:$C))))</f>
        <v>SINAPI</v>
      </c>
      <c r="F1160" s="327" t="s">
        <v>206</v>
      </c>
      <c r="G1160" s="249" t="str">
        <f>UPPER(IF($D1160=0,"",IF($A1160=4,_xlfn.XLOOKUP($D1160,Mercado!$C:$C,Mercado!$G:$G),_xlfn.XLOOKUP($D1160,Fontes!$B:$B,Fontes!$E:$E))))</f>
        <v>UN</v>
      </c>
      <c r="H1160" s="439">
        <v>7</v>
      </c>
      <c r="I1160" s="439">
        <f>IF($A1160="M",_xlfn.XLOOKUP($D1160,Mercado!$C:$C,Mercado!$I:$I),_xlfn.XLOOKUP($D1160,Fontes!$B:$B,Fontes!$J:$J))</f>
        <v>9.7100000000000009</v>
      </c>
      <c r="J1160" s="252">
        <f>IF($A1160="M",_xlfn.XLOOKUP($D1160,Mercado!$C:$C,Mercado!$J:$J),_xlfn.XLOOKUP($D1160,Fontes!$B:$B,Fontes!$H:$H))</f>
        <v>7.03</v>
      </c>
      <c r="K1160" s="252">
        <f>IF($A1160="M",0,_xlfn.XLOOKUP($D1160,Fontes!$B:$B,Fontes!$I:$I))</f>
        <v>0.48</v>
      </c>
      <c r="L1160" s="252">
        <f t="shared" si="110"/>
        <v>17.220000000000002</v>
      </c>
      <c r="M1160" s="300">
        <f t="shared" si="112"/>
        <v>120.54</v>
      </c>
      <c r="N1160" s="243"/>
      <c r="O1160" s="517">
        <f t="shared" si="111"/>
        <v>120.54</v>
      </c>
    </row>
    <row r="1161" spans="1:15" ht="38.4" outlineLevel="3" x14ac:dyDescent="0.3">
      <c r="A1161" s="35"/>
      <c r="B1161" s="36"/>
      <c r="C1161" s="495" t="s">
        <v>10777</v>
      </c>
      <c r="D1161" s="487">
        <v>11009</v>
      </c>
      <c r="E1161" s="249" t="str">
        <f>UPPER(IF($D1161=0,"",IF($A1161=4,_xlfn.XLOOKUP($D1161,Mercado!$C:$C,Mercado!$E:$E),_xlfn.XLOOKUP($D1161,Fontes!$B:$B,Fontes!$C:$C))))</f>
        <v>ORSE</v>
      </c>
      <c r="F1161" s="327" t="s">
        <v>3710</v>
      </c>
      <c r="G1161" s="249" t="str">
        <f>UPPER(IF($D1161=0,"",IF($A1161=4,_xlfn.XLOOKUP($D1161,Mercado!$C:$C,Mercado!$G:$G),_xlfn.XLOOKUP($D1161,Fontes!$B:$B,Fontes!$E:$E))))</f>
        <v>UN</v>
      </c>
      <c r="H1161" s="439">
        <v>8</v>
      </c>
      <c r="I1161" s="439">
        <f>IF($A1161="M",_xlfn.XLOOKUP($D1161,Mercado!$C:$C,Mercado!$I:$I),_xlfn.XLOOKUP($D1161,Fontes!$B:$B,Fontes!$J:$J))</f>
        <v>10.38</v>
      </c>
      <c r="J1161" s="252">
        <f>IF($A1161="M",_xlfn.XLOOKUP($D1161,Mercado!$C:$C,Mercado!$J:$J),_xlfn.XLOOKUP($D1161,Fontes!$B:$B,Fontes!$H:$H))</f>
        <v>8.65</v>
      </c>
      <c r="K1161" s="252">
        <f>IF($A1161="M",0,_xlfn.XLOOKUP($D1161,Fontes!$B:$B,Fontes!$I:$I))</f>
        <v>0</v>
      </c>
      <c r="L1161" s="252">
        <f t="shared" si="110"/>
        <v>19.03</v>
      </c>
      <c r="M1161" s="300">
        <f t="shared" si="112"/>
        <v>152.24</v>
      </c>
      <c r="N1161" s="243"/>
      <c r="O1161" s="517">
        <f t="shared" si="111"/>
        <v>152.24</v>
      </c>
    </row>
    <row r="1162" spans="1:15" ht="57.6" outlineLevel="3" x14ac:dyDescent="0.3">
      <c r="A1162" s="35"/>
      <c r="B1162" s="36"/>
      <c r="C1162" s="495" t="s">
        <v>10778</v>
      </c>
      <c r="D1162" s="487">
        <v>93091</v>
      </c>
      <c r="E1162" s="249" t="str">
        <f>UPPER(IF($D1162=0,"",IF($A1162=4,_xlfn.XLOOKUP($D1162,Mercado!$C:$C,Mercado!$E:$E),_xlfn.XLOOKUP($D1162,Fontes!$B:$B,Fontes!$C:$C))))</f>
        <v>SINAPI</v>
      </c>
      <c r="F1162" s="327" t="s">
        <v>205</v>
      </c>
      <c r="G1162" s="249" t="str">
        <f>UPPER(IF($D1162=0,"",IF($A1162=4,_xlfn.XLOOKUP($D1162,Mercado!$C:$C,Mercado!$G:$G),_xlfn.XLOOKUP($D1162,Fontes!$B:$B,Fontes!$E:$E))))</f>
        <v>UN</v>
      </c>
      <c r="H1162" s="439">
        <v>2</v>
      </c>
      <c r="I1162" s="439">
        <f>IF($A1162="M",_xlfn.XLOOKUP($D1162,Mercado!$C:$C,Mercado!$I:$I),_xlfn.XLOOKUP($D1162,Fontes!$B:$B,Fontes!$J:$J))</f>
        <v>13.3</v>
      </c>
      <c r="J1162" s="252">
        <f>IF($A1162="M",_xlfn.XLOOKUP($D1162,Mercado!$C:$C,Mercado!$J:$J),_xlfn.XLOOKUP($D1162,Fontes!$B:$B,Fontes!$H:$H))</f>
        <v>6.6</v>
      </c>
      <c r="K1162" s="252">
        <f>IF($A1162="M",0,_xlfn.XLOOKUP($D1162,Fontes!$B:$B,Fontes!$I:$I))</f>
        <v>0.46</v>
      </c>
      <c r="L1162" s="252">
        <f t="shared" si="110"/>
        <v>20.36</v>
      </c>
      <c r="M1162" s="300">
        <f t="shared" si="112"/>
        <v>40.72</v>
      </c>
      <c r="N1162" s="243"/>
      <c r="O1162" s="517">
        <f t="shared" si="111"/>
        <v>40.72</v>
      </c>
    </row>
    <row r="1163" spans="1:15" ht="38.4" outlineLevel="3" x14ac:dyDescent="0.3">
      <c r="A1163" s="35"/>
      <c r="B1163" s="36"/>
      <c r="C1163" s="495" t="s">
        <v>10779</v>
      </c>
      <c r="D1163" s="487">
        <v>11011</v>
      </c>
      <c r="E1163" s="249" t="str">
        <f>UPPER(IF($D1163=0,"",IF($A1163=4,_xlfn.XLOOKUP($D1163,Mercado!$C:$C,Mercado!$E:$E),_xlfn.XLOOKUP($D1163,Fontes!$B:$B,Fontes!$C:$C))))</f>
        <v>ORSE</v>
      </c>
      <c r="F1163" s="327" t="s">
        <v>3711</v>
      </c>
      <c r="G1163" s="249" t="str">
        <f>UPPER(IF($D1163=0,"",IF($A1163=4,_xlfn.XLOOKUP($D1163,Mercado!$C:$C,Mercado!$G:$G),_xlfn.XLOOKUP($D1163,Fontes!$B:$B,Fontes!$E:$E))))</f>
        <v>UN</v>
      </c>
      <c r="H1163" s="439">
        <v>1</v>
      </c>
      <c r="I1163" s="439">
        <f>IF($A1163="M",_xlfn.XLOOKUP($D1163,Mercado!$C:$C,Mercado!$I:$I),_xlfn.XLOOKUP($D1163,Fontes!$B:$B,Fontes!$J:$J))</f>
        <v>22.11</v>
      </c>
      <c r="J1163" s="252">
        <f>IF($A1163="M",_xlfn.XLOOKUP($D1163,Mercado!$C:$C,Mercado!$J:$J),_xlfn.XLOOKUP($D1163,Fontes!$B:$B,Fontes!$H:$H))</f>
        <v>8.65</v>
      </c>
      <c r="K1163" s="252">
        <f>IF($A1163="M",0,_xlfn.XLOOKUP($D1163,Fontes!$B:$B,Fontes!$I:$I))</f>
        <v>0</v>
      </c>
      <c r="L1163" s="252">
        <f t="shared" si="110"/>
        <v>30.759999999999998</v>
      </c>
      <c r="M1163" s="300">
        <f t="shared" si="112"/>
        <v>30.76</v>
      </c>
      <c r="N1163" s="243"/>
      <c r="O1163" s="517">
        <f t="shared" si="111"/>
        <v>30.76</v>
      </c>
    </row>
    <row r="1164" spans="1:15" ht="57.6" outlineLevel="3" x14ac:dyDescent="0.3">
      <c r="A1164" s="35"/>
      <c r="B1164" s="36"/>
      <c r="C1164" s="495" t="s">
        <v>10780</v>
      </c>
      <c r="D1164" s="487">
        <v>93062</v>
      </c>
      <c r="E1164" s="249" t="str">
        <f>UPPER(IF($D1164=0,"",IF($A1164=4,_xlfn.XLOOKUP($D1164,Mercado!$C:$C,Mercado!$E:$E),_xlfn.XLOOKUP($D1164,Fontes!$B:$B,Fontes!$C:$C))))</f>
        <v>SINAPI</v>
      </c>
      <c r="F1164" s="327" t="s">
        <v>204</v>
      </c>
      <c r="G1164" s="249" t="str">
        <f>UPPER(IF($D1164=0,"",IF($A1164=4,_xlfn.XLOOKUP($D1164,Mercado!$C:$C,Mercado!$G:$G),_xlfn.XLOOKUP($D1164,Fontes!$B:$B,Fontes!$E:$E))))</f>
        <v>UN</v>
      </c>
      <c r="H1164" s="439">
        <v>2</v>
      </c>
      <c r="I1164" s="439">
        <f>IF($A1164="M",_xlfn.XLOOKUP($D1164,Mercado!$C:$C,Mercado!$I:$I),_xlfn.XLOOKUP($D1164,Fontes!$B:$B,Fontes!$J:$J))</f>
        <v>25.51</v>
      </c>
      <c r="J1164" s="252">
        <f>IF($A1164="M",_xlfn.XLOOKUP($D1164,Mercado!$C:$C,Mercado!$J:$J),_xlfn.XLOOKUP($D1164,Fontes!$B:$B,Fontes!$H:$H))</f>
        <v>4.7</v>
      </c>
      <c r="K1164" s="252">
        <f>IF($A1164="M",0,_xlfn.XLOOKUP($D1164,Fontes!$B:$B,Fontes!$I:$I))</f>
        <v>0.32</v>
      </c>
      <c r="L1164" s="252">
        <f t="shared" si="110"/>
        <v>30.53</v>
      </c>
      <c r="M1164" s="300">
        <f t="shared" si="112"/>
        <v>61.06</v>
      </c>
      <c r="N1164" s="243"/>
      <c r="O1164" s="517">
        <f t="shared" si="111"/>
        <v>61.06</v>
      </c>
    </row>
    <row r="1165" spans="1:15" outlineLevel="3" x14ac:dyDescent="0.3">
      <c r="A1165" s="35"/>
      <c r="B1165" s="36"/>
      <c r="C1165" s="495" t="s">
        <v>10781</v>
      </c>
      <c r="D1165" s="487">
        <v>621</v>
      </c>
      <c r="E1165" s="249" t="str">
        <f>UPPER(IF($D1165=0,"",IF($A1165=4,_xlfn.XLOOKUP($D1165,Mercado!$C:$C,Mercado!$E:$E),_xlfn.XLOOKUP($D1165,Fontes!$B:$B,Fontes!$C:$C))))</f>
        <v>PRÓPRIO</v>
      </c>
      <c r="F1165" s="338" t="s">
        <v>3712</v>
      </c>
      <c r="G1165" s="249" t="str">
        <f>UPPER(IF($D1165=0,"",IF($A1165=4,_xlfn.XLOOKUP($D1165,Mercado!$C:$C,Mercado!$G:$G),_xlfn.XLOOKUP($D1165,Fontes!$B:$B,Fontes!$E:$E))))</f>
        <v>UN</v>
      </c>
      <c r="H1165" s="252">
        <v>2</v>
      </c>
      <c r="I1165" s="252">
        <f>IF($A1165="M",_xlfn.XLOOKUP($D1165,Mercado!$C:$C,Mercado!$I:$I),_xlfn.XLOOKUP($D1165,Fontes!$B:$B,Fontes!$J:$J))</f>
        <v>106.9</v>
      </c>
      <c r="J1165" s="252">
        <f>IF($A1165="M",_xlfn.XLOOKUP($D1165,Mercado!$C:$C,Mercado!$J:$J),_xlfn.XLOOKUP($D1165,Fontes!$B:$B,Fontes!$H:$H))</f>
        <v>29.43</v>
      </c>
      <c r="K1165" s="252">
        <f>IF($A1165="M",0,_xlfn.XLOOKUP($D1165,Fontes!$B:$B,Fontes!$I:$I))</f>
        <v>2.02</v>
      </c>
      <c r="L1165" s="252">
        <f t="shared" si="110"/>
        <v>138.35000000000002</v>
      </c>
      <c r="M1165" s="300">
        <f t="shared" si="112"/>
        <v>276.7</v>
      </c>
      <c r="N1165" s="243"/>
      <c r="O1165" s="517">
        <f t="shared" si="111"/>
        <v>276.7</v>
      </c>
    </row>
    <row r="1166" spans="1:15" outlineLevel="3" x14ac:dyDescent="0.3">
      <c r="A1166" s="36" t="s">
        <v>7</v>
      </c>
      <c r="B1166" s="36"/>
      <c r="C1166" s="495" t="s">
        <v>781</v>
      </c>
      <c r="D1166" s="479"/>
      <c r="E1166" s="249" t="str">
        <f>UPPER(IF($D1166=0,"",IF($A1166=4,_xlfn.XLOOKUP($D1166,Mercado!$C:$C,Mercado!$E:$E),_xlfn.XLOOKUP($D1166,Fontes!$B:$B,Fontes!$C:$C))))</f>
        <v/>
      </c>
      <c r="F1166" s="327" t="s">
        <v>781</v>
      </c>
      <c r="G1166" s="249"/>
      <c r="H1166" s="252"/>
      <c r="I1166" s="252">
        <f>IF($A1166="M",_xlfn.XLOOKUP($D1166,Mercado!$C:$C,Mercado!$I:$I),_xlfn.XLOOKUP($D1166,Fontes!$B:$B,Fontes!$J:$J))</f>
        <v>0</v>
      </c>
      <c r="J1166" s="252">
        <f>IF($A1166="M",_xlfn.XLOOKUP($D1166,Mercado!$C:$C,Mercado!$J:$J),_xlfn.XLOOKUP($D1166,Fontes!$B:$B,Fontes!$H:$H))</f>
        <v>0</v>
      </c>
      <c r="K1166" s="252">
        <f>IF($A1166="M",0,_xlfn.XLOOKUP($D1166,Fontes!$B:$B,Fontes!$I:$I))</f>
        <v>0</v>
      </c>
      <c r="L1166" s="252">
        <f t="shared" ref="L1166:L1193" si="113">SUM(I1166:K1166)</f>
        <v>0</v>
      </c>
      <c r="M1166" s="300">
        <f t="shared" si="112"/>
        <v>0</v>
      </c>
      <c r="N1166" s="243"/>
      <c r="O1166" s="517" t="str">
        <f t="shared" si="111"/>
        <v/>
      </c>
    </row>
    <row r="1167" spans="1:15" ht="20.399999999999999" outlineLevel="2" x14ac:dyDescent="0.3">
      <c r="A1167" s="36" t="s">
        <v>7</v>
      </c>
      <c r="B1167" s="36"/>
      <c r="C1167" s="496" t="s">
        <v>10782</v>
      </c>
      <c r="D1167" s="253"/>
      <c r="E1167" s="253" t="str">
        <f>UPPER(IF($D1167=0,"",IF($A1167=4,_xlfn.XLOOKUP($D1167,Mercado!$C:$C,Mercado!$E:$E),_xlfn.XLOOKUP($D1167,Fontes!$B:$B,Fontes!$C:$C))))</f>
        <v/>
      </c>
      <c r="F1167" s="329" t="s">
        <v>559</v>
      </c>
      <c r="G1167" s="253"/>
      <c r="H1167" s="254"/>
      <c r="I1167" s="254">
        <f>IF($A1167="M",_xlfn.XLOOKUP($D1167,Mercado!$C:$C,Mercado!$I:$I),_xlfn.XLOOKUP($D1167,Fontes!$B:$B,Fontes!$J:$J))</f>
        <v>0</v>
      </c>
      <c r="J1167" s="254">
        <f>IF($A1167="M",_xlfn.XLOOKUP($D1167,Mercado!$C:$C,Mercado!$J:$J),_xlfn.XLOOKUP($D1167,Fontes!$B:$B,Fontes!$H:$H))</f>
        <v>0</v>
      </c>
      <c r="K1167" s="254">
        <f>IF($A1167="M",0,_xlfn.XLOOKUP($D1167,Fontes!$B:$B,Fontes!$I:$I))</f>
        <v>0</v>
      </c>
      <c r="L1167" s="254">
        <f t="shared" si="113"/>
        <v>0</v>
      </c>
      <c r="M1167" s="510">
        <f>SUBTOTAL(9,M1168:M1169)</f>
        <v>3129.71</v>
      </c>
      <c r="N1167" s="243"/>
      <c r="O1167" s="517" t="str">
        <f t="shared" si="111"/>
        <v/>
      </c>
    </row>
    <row r="1168" spans="1:15" ht="57.6" outlineLevel="3" x14ac:dyDescent="0.3">
      <c r="A1168" s="35"/>
      <c r="B1168" s="36"/>
      <c r="C1168" s="495" t="s">
        <v>10783</v>
      </c>
      <c r="D1168" s="479">
        <v>704</v>
      </c>
      <c r="E1168" s="249" t="str">
        <f>UPPER(IF($D1168=0,"",IF($A1168=4,_xlfn.XLOOKUP($D1168,Mercado!$C:$C,Mercado!$E:$E),_xlfn.XLOOKUP($D1168,Fontes!$B:$B,Fontes!$C:$C))))</f>
        <v>PRÓPRIO</v>
      </c>
      <c r="F1168" s="328" t="s">
        <v>3704</v>
      </c>
      <c r="G1168" s="249" t="str">
        <f>UPPER(IF($D1168=0,"",IF($A1168=4,_xlfn.XLOOKUP($D1168,Mercado!$C:$C,Mercado!$G:$G),_xlfn.XLOOKUP($D1168,Fontes!$B:$B,Fontes!$E:$E))))</f>
        <v>UN</v>
      </c>
      <c r="H1168" s="252">
        <v>1</v>
      </c>
      <c r="I1168" s="252">
        <f>IF($A1168="M",_xlfn.XLOOKUP($D1168,Mercado!$C:$C,Mercado!$I:$I),_xlfn.XLOOKUP($D1168,Fontes!$B:$B,Fontes!$J:$J))</f>
        <v>2915.69</v>
      </c>
      <c r="J1168" s="252">
        <f>IF($A1168="M",_xlfn.XLOOKUP($D1168,Mercado!$C:$C,Mercado!$J:$J),_xlfn.XLOOKUP($D1168,Fontes!$B:$B,Fontes!$H:$H))</f>
        <v>199.52</v>
      </c>
      <c r="K1168" s="252">
        <f>IF($A1168="M",0,_xlfn.XLOOKUP($D1168,Fontes!$B:$B,Fontes!$I:$I))</f>
        <v>14.5</v>
      </c>
      <c r="L1168" s="252">
        <f t="shared" si="113"/>
        <v>3129.71</v>
      </c>
      <c r="M1168" s="300">
        <f t="shared" ref="M1168:M1169" si="114">ROUND(H1168*L1168,2)</f>
        <v>3129.71</v>
      </c>
      <c r="N1168" s="243"/>
      <c r="O1168" s="517">
        <f t="shared" si="111"/>
        <v>3129.71</v>
      </c>
    </row>
    <row r="1169" spans="1:15" outlineLevel="3" x14ac:dyDescent="0.3">
      <c r="A1169" s="36" t="s">
        <v>7</v>
      </c>
      <c r="B1169" s="36"/>
      <c r="C1169" s="495" t="s">
        <v>781</v>
      </c>
      <c r="D1169" s="479"/>
      <c r="E1169" s="249" t="str">
        <f>UPPER(IF($D1169=0,"",IF($A1169=4,_xlfn.XLOOKUP($D1169,Mercado!$C:$C,Mercado!$E:$E),_xlfn.XLOOKUP($D1169,Fontes!$B:$B,Fontes!$C:$C))))</f>
        <v/>
      </c>
      <c r="F1169" s="327" t="s">
        <v>781</v>
      </c>
      <c r="G1169" s="249"/>
      <c r="H1169" s="252"/>
      <c r="I1169" s="252">
        <f>IF($A1169="M",_xlfn.XLOOKUP($D1169,Mercado!$C:$C,Mercado!$I:$I),_xlfn.XLOOKUP($D1169,Fontes!$B:$B,Fontes!$J:$J))</f>
        <v>0</v>
      </c>
      <c r="J1169" s="252">
        <f>IF($A1169="M",_xlfn.XLOOKUP($D1169,Mercado!$C:$C,Mercado!$J:$J),_xlfn.XLOOKUP($D1169,Fontes!$B:$B,Fontes!$H:$H))</f>
        <v>0</v>
      </c>
      <c r="K1169" s="252">
        <f>IF($A1169="M",0,_xlfn.XLOOKUP($D1169,Fontes!$B:$B,Fontes!$I:$I))</f>
        <v>0</v>
      </c>
      <c r="L1169" s="252">
        <f t="shared" si="113"/>
        <v>0</v>
      </c>
      <c r="M1169" s="300">
        <f t="shared" si="114"/>
        <v>0</v>
      </c>
      <c r="N1169" s="243"/>
      <c r="O1169" s="517" t="str">
        <f t="shared" si="111"/>
        <v/>
      </c>
    </row>
    <row r="1170" spans="1:15" ht="20.399999999999999" outlineLevel="2" x14ac:dyDescent="0.3">
      <c r="A1170" s="36" t="s">
        <v>7</v>
      </c>
      <c r="B1170" s="36"/>
      <c r="C1170" s="496" t="s">
        <v>10784</v>
      </c>
      <c r="D1170" s="253"/>
      <c r="E1170" s="253" t="str">
        <f>UPPER(IF($D1170=0,"",IF($A1170=4,_xlfn.XLOOKUP($D1170,Mercado!$C:$C,Mercado!$E:$E),_xlfn.XLOOKUP($D1170,Fontes!$B:$B,Fontes!$C:$C))))</f>
        <v/>
      </c>
      <c r="F1170" s="329" t="s">
        <v>560</v>
      </c>
      <c r="G1170" s="253"/>
      <c r="H1170" s="254"/>
      <c r="I1170" s="254">
        <f>IF($A1170="M",_xlfn.XLOOKUP($D1170,Mercado!$C:$C,Mercado!$I:$I),_xlfn.XLOOKUP($D1170,Fontes!$B:$B,Fontes!$J:$J))</f>
        <v>0</v>
      </c>
      <c r="J1170" s="254">
        <f>IF($A1170="M",_xlfn.XLOOKUP($D1170,Mercado!$C:$C,Mercado!$J:$J),_xlfn.XLOOKUP($D1170,Fontes!$B:$B,Fontes!$H:$H))</f>
        <v>0</v>
      </c>
      <c r="K1170" s="254">
        <f>IF($A1170="M",0,_xlfn.XLOOKUP($D1170,Fontes!$B:$B,Fontes!$I:$I))</f>
        <v>0</v>
      </c>
      <c r="L1170" s="254">
        <f t="shared" si="113"/>
        <v>0</v>
      </c>
      <c r="M1170" s="510">
        <f>SUBTOTAL(9,M1171:M1172)</f>
        <v>5740.08</v>
      </c>
      <c r="N1170" s="243"/>
      <c r="O1170" s="517" t="str">
        <f t="shared" si="111"/>
        <v/>
      </c>
    </row>
    <row r="1171" spans="1:15" outlineLevel="3" x14ac:dyDescent="0.3">
      <c r="A1171" s="35"/>
      <c r="B1171" s="36"/>
      <c r="C1171" s="495" t="s">
        <v>10785</v>
      </c>
      <c r="D1171" s="479">
        <v>287</v>
      </c>
      <c r="E1171" s="249" t="str">
        <f>UPPER(IF($D1171=0,"",IF($A1171=4,_xlfn.XLOOKUP($D1171,Mercado!$C:$C,Mercado!$E:$E),_xlfn.XLOOKUP($D1171,Fontes!$B:$B,Fontes!$C:$C))))</f>
        <v>PRÓPRIO</v>
      </c>
      <c r="F1171" s="327" t="s">
        <v>560</v>
      </c>
      <c r="G1171" s="249" t="str">
        <f>UPPER(IF($D1171=0,"",IF($A1171=4,_xlfn.XLOOKUP($D1171,Mercado!$C:$C,Mercado!$G:$G),_xlfn.XLOOKUP($D1171,Fontes!$B:$B,Fontes!$E:$E))))</f>
        <v>UN</v>
      </c>
      <c r="H1171" s="252">
        <v>24</v>
      </c>
      <c r="I1171" s="252">
        <f>IF($A1171="M",_xlfn.XLOOKUP($D1171,Mercado!$C:$C,Mercado!$I:$I),_xlfn.XLOOKUP($D1171,Fontes!$B:$B,Fontes!$J:$J))</f>
        <v>216.26</v>
      </c>
      <c r="J1171" s="252">
        <f>IF($A1171="M",_xlfn.XLOOKUP($D1171,Mercado!$C:$C,Mercado!$J:$J),_xlfn.XLOOKUP($D1171,Fontes!$B:$B,Fontes!$H:$H))</f>
        <v>21.45</v>
      </c>
      <c r="K1171" s="252">
        <f>IF($A1171="M",0,_xlfn.XLOOKUP($D1171,Fontes!$B:$B,Fontes!$I:$I))</f>
        <v>1.46</v>
      </c>
      <c r="L1171" s="252">
        <f t="shared" si="113"/>
        <v>239.17</v>
      </c>
      <c r="M1171" s="300">
        <f t="shared" ref="M1171:M1172" si="115">ROUND(H1171*L1171,2)</f>
        <v>5740.08</v>
      </c>
      <c r="N1171" s="243"/>
      <c r="O1171" s="517">
        <f t="shared" si="111"/>
        <v>5740.08</v>
      </c>
    </row>
    <row r="1172" spans="1:15" outlineLevel="3" x14ac:dyDescent="0.3">
      <c r="A1172" s="36" t="s">
        <v>7</v>
      </c>
      <c r="B1172" s="36"/>
      <c r="C1172" s="495" t="s">
        <v>781</v>
      </c>
      <c r="D1172" s="479"/>
      <c r="E1172" s="249" t="str">
        <f>UPPER(IF($D1172=0,"",IF($A1172=4,_xlfn.XLOOKUP($D1172,Mercado!$C:$C,Mercado!$E:$E),_xlfn.XLOOKUP($D1172,Fontes!$B:$B,Fontes!$C:$C))))</f>
        <v/>
      </c>
      <c r="F1172" s="327" t="s">
        <v>781</v>
      </c>
      <c r="G1172" s="249"/>
      <c r="H1172" s="252"/>
      <c r="I1172" s="252">
        <f>IF($A1172="M",_xlfn.XLOOKUP($D1172,Mercado!$C:$C,Mercado!$I:$I),_xlfn.XLOOKUP($D1172,Fontes!$B:$B,Fontes!$J:$J))</f>
        <v>0</v>
      </c>
      <c r="J1172" s="252">
        <f>IF($A1172="M",_xlfn.XLOOKUP($D1172,Mercado!$C:$C,Mercado!$J:$J),_xlfn.XLOOKUP($D1172,Fontes!$B:$B,Fontes!$H:$H))</f>
        <v>0</v>
      </c>
      <c r="K1172" s="252">
        <f>IF($A1172="M",0,_xlfn.XLOOKUP($D1172,Fontes!$B:$B,Fontes!$I:$I))</f>
        <v>0</v>
      </c>
      <c r="L1172" s="252">
        <f t="shared" si="113"/>
        <v>0</v>
      </c>
      <c r="M1172" s="511">
        <f t="shared" si="115"/>
        <v>0</v>
      </c>
      <c r="N1172" s="243"/>
      <c r="O1172" s="517" t="str">
        <f t="shared" si="111"/>
        <v/>
      </c>
    </row>
    <row r="1173" spans="1:15" ht="20.399999999999999" outlineLevel="2" x14ac:dyDescent="0.3">
      <c r="A1173" s="36" t="s">
        <v>7</v>
      </c>
      <c r="B1173" s="36"/>
      <c r="C1173" s="496" t="s">
        <v>10786</v>
      </c>
      <c r="D1173" s="253"/>
      <c r="E1173" s="253" t="str">
        <f>UPPER(IF($D1173=0,"",IF($A1173=4,_xlfn.XLOOKUP($D1173,Mercado!$C:$C,Mercado!$E:$E),_xlfn.XLOOKUP($D1173,Fontes!$B:$B,Fontes!$C:$C))))</f>
        <v/>
      </c>
      <c r="F1173" s="329" t="s">
        <v>1915</v>
      </c>
      <c r="G1173" s="253"/>
      <c r="H1173" s="254"/>
      <c r="I1173" s="254">
        <f>IF($A1173="M",_xlfn.XLOOKUP($D1173,Mercado!$C:$C,Mercado!$I:$I),_xlfn.XLOOKUP($D1173,Fontes!$B:$B,Fontes!$J:$J))</f>
        <v>0</v>
      </c>
      <c r="J1173" s="254">
        <f>IF($A1173="M",_xlfn.XLOOKUP($D1173,Mercado!$C:$C,Mercado!$J:$J),_xlfn.XLOOKUP($D1173,Fontes!$B:$B,Fontes!$H:$H))</f>
        <v>0</v>
      </c>
      <c r="K1173" s="254">
        <f>IF($A1173="M",0,_xlfn.XLOOKUP($D1173,Fontes!$B:$B,Fontes!$I:$I))</f>
        <v>0</v>
      </c>
      <c r="L1173" s="254">
        <f t="shared" si="113"/>
        <v>0</v>
      </c>
      <c r="M1173" s="510">
        <f>SUBTOTAL(9,M1174:M1175)</f>
        <v>4978.38</v>
      </c>
      <c r="N1173" s="243"/>
      <c r="O1173" s="517" t="str">
        <f t="shared" si="111"/>
        <v/>
      </c>
    </row>
    <row r="1174" spans="1:15" ht="38.4" outlineLevel="3" x14ac:dyDescent="0.3">
      <c r="A1174" s="35"/>
      <c r="B1174" s="36"/>
      <c r="C1174" s="495" t="s">
        <v>10787</v>
      </c>
      <c r="D1174" s="479">
        <v>707</v>
      </c>
      <c r="E1174" s="249" t="str">
        <f>UPPER(IF($D1174=0,"",IF($A1174=4,_xlfn.XLOOKUP($D1174,Mercado!$C:$C,Mercado!$E:$E),_xlfn.XLOOKUP($D1174,Fontes!$B:$B,Fontes!$C:$C))))</f>
        <v>ORSE</v>
      </c>
      <c r="F1174" s="335" t="s">
        <v>3610</v>
      </c>
      <c r="G1174" s="249" t="str">
        <f>UPPER(IF($D1174=0,"",IF($A1174=4,_xlfn.XLOOKUP($D1174,Mercado!$C:$C,Mercado!$G:$G),_xlfn.XLOOKUP($D1174,Fontes!$B:$B,Fontes!$E:$E))))</f>
        <v>UN</v>
      </c>
      <c r="H1174" s="252">
        <v>22</v>
      </c>
      <c r="I1174" s="252">
        <f>IF($A1174="M",_xlfn.XLOOKUP($D1174,Mercado!$C:$C,Mercado!$I:$I),_xlfn.XLOOKUP($D1174,Fontes!$B:$B,Fontes!$J:$J))</f>
        <v>204.67</v>
      </c>
      <c r="J1174" s="252">
        <f>IF($A1174="M",_xlfn.XLOOKUP($D1174,Mercado!$C:$C,Mercado!$J:$J),_xlfn.XLOOKUP($D1174,Fontes!$B:$B,Fontes!$H:$H))</f>
        <v>21.62</v>
      </c>
      <c r="K1174" s="252">
        <f>IF($A1174="M",0,_xlfn.XLOOKUP($D1174,Fontes!$B:$B,Fontes!$I:$I))</f>
        <v>0</v>
      </c>
      <c r="L1174" s="252">
        <f t="shared" si="113"/>
        <v>226.29</v>
      </c>
      <c r="M1174" s="300">
        <f t="shared" ref="M1174:M1175" si="116">ROUND(H1174*L1174,2)</f>
        <v>4978.38</v>
      </c>
      <c r="N1174" s="243"/>
      <c r="O1174" s="517">
        <f t="shared" si="111"/>
        <v>4978.38</v>
      </c>
    </row>
    <row r="1175" spans="1:15" outlineLevel="3" x14ac:dyDescent="0.3">
      <c r="A1175" s="36" t="s">
        <v>7</v>
      </c>
      <c r="B1175" s="36"/>
      <c r="C1175" s="495" t="s">
        <v>781</v>
      </c>
      <c r="D1175" s="479"/>
      <c r="E1175" s="249" t="str">
        <f>UPPER(IF($D1175=0,"",IF($A1175=4,_xlfn.XLOOKUP($D1175,Mercado!$C:$C,Mercado!$E:$E),_xlfn.XLOOKUP($D1175,Fontes!$B:$B,Fontes!$C:$C))))</f>
        <v/>
      </c>
      <c r="F1175" s="327" t="s">
        <v>781</v>
      </c>
      <c r="G1175" s="249"/>
      <c r="H1175" s="252"/>
      <c r="I1175" s="252">
        <f>IF($A1175="M",_xlfn.XLOOKUP($D1175,Mercado!$C:$C,Mercado!$I:$I),_xlfn.XLOOKUP($D1175,Fontes!$B:$B,Fontes!$J:$J))</f>
        <v>0</v>
      </c>
      <c r="J1175" s="252">
        <f>IF($A1175="M",_xlfn.XLOOKUP($D1175,Mercado!$C:$C,Mercado!$J:$J),_xlfn.XLOOKUP($D1175,Fontes!$B:$B,Fontes!$H:$H))</f>
        <v>0</v>
      </c>
      <c r="K1175" s="252">
        <f>IF($A1175="M",0,_xlfn.XLOOKUP($D1175,Fontes!$B:$B,Fontes!$I:$I))</f>
        <v>0</v>
      </c>
      <c r="L1175" s="252">
        <f t="shared" si="113"/>
        <v>0</v>
      </c>
      <c r="M1175" s="300">
        <f t="shared" si="116"/>
        <v>0</v>
      </c>
      <c r="N1175" s="243"/>
      <c r="O1175" s="517" t="str">
        <f t="shared" si="111"/>
        <v/>
      </c>
    </row>
    <row r="1176" spans="1:15" ht="20.399999999999999" outlineLevel="2" x14ac:dyDescent="0.3">
      <c r="A1176" s="36" t="s">
        <v>7</v>
      </c>
      <c r="B1176" s="36"/>
      <c r="C1176" s="496" t="s">
        <v>10788</v>
      </c>
      <c r="D1176" s="253"/>
      <c r="E1176" s="253" t="str">
        <f>UPPER(IF($D1176=0,"",IF($A1176=4,_xlfn.XLOOKUP($D1176,Mercado!$C:$C,Mercado!$E:$E),_xlfn.XLOOKUP($D1176,Fontes!$B:$B,Fontes!$C:$C))))</f>
        <v/>
      </c>
      <c r="F1176" s="329" t="s">
        <v>561</v>
      </c>
      <c r="G1176" s="253"/>
      <c r="H1176" s="254"/>
      <c r="I1176" s="254">
        <f>IF($A1176="M",_xlfn.XLOOKUP($D1176,Mercado!$C:$C,Mercado!$I:$I),_xlfn.XLOOKUP($D1176,Fontes!$B:$B,Fontes!$J:$J))</f>
        <v>0</v>
      </c>
      <c r="J1176" s="254">
        <f>IF($A1176="M",_xlfn.XLOOKUP($D1176,Mercado!$C:$C,Mercado!$J:$J),_xlfn.XLOOKUP($D1176,Fontes!$B:$B,Fontes!$H:$H))</f>
        <v>0</v>
      </c>
      <c r="K1176" s="254">
        <f>IF($A1176="M",0,_xlfn.XLOOKUP($D1176,Fontes!$B:$B,Fontes!$I:$I))</f>
        <v>0</v>
      </c>
      <c r="L1176" s="254">
        <f t="shared" si="113"/>
        <v>0</v>
      </c>
      <c r="M1176" s="510">
        <f>SUBTOTAL(9,M1177:M1178)</f>
        <v>21944.39</v>
      </c>
      <c r="N1176" s="243"/>
      <c r="O1176" s="517" t="str">
        <f t="shared" si="111"/>
        <v/>
      </c>
    </row>
    <row r="1177" spans="1:15" ht="57.6" outlineLevel="3" x14ac:dyDescent="0.3">
      <c r="A1177" s="35"/>
      <c r="B1177" s="36"/>
      <c r="C1177" s="495" t="s">
        <v>10789</v>
      </c>
      <c r="D1177" s="479">
        <v>712</v>
      </c>
      <c r="E1177" s="249" t="str">
        <f>UPPER(IF($D1177=0,"",IF($A1177=4,_xlfn.XLOOKUP($D1177,Mercado!$C:$C,Mercado!$E:$E),_xlfn.XLOOKUP($D1177,Fontes!$B:$B,Fontes!$C:$C))))</f>
        <v>PRÓPRIO</v>
      </c>
      <c r="F1177" s="328" t="s">
        <v>3713</v>
      </c>
      <c r="G1177" s="249" t="str">
        <f>UPPER(IF($D1177=0,"",IF($A1177=4,_xlfn.XLOOKUP($D1177,Mercado!$C:$C,Mercado!$G:$G),_xlfn.XLOOKUP($D1177,Fontes!$B:$B,Fontes!$E:$E))))</f>
        <v>UN</v>
      </c>
      <c r="H1177" s="252">
        <v>1</v>
      </c>
      <c r="I1177" s="252">
        <f>IF($A1177="M",_xlfn.XLOOKUP($D1177,Mercado!$C:$C,Mercado!$I:$I),_xlfn.XLOOKUP($D1177,Fontes!$B:$B,Fontes!$J:$J))</f>
        <v>21659.62</v>
      </c>
      <c r="J1177" s="252">
        <f>IF($A1177="M",_xlfn.XLOOKUP($D1177,Mercado!$C:$C,Mercado!$J:$J),_xlfn.XLOOKUP($D1177,Fontes!$B:$B,Fontes!$H:$H))</f>
        <v>264.81</v>
      </c>
      <c r="K1177" s="252">
        <f>IF($A1177="M",0,_xlfn.XLOOKUP($D1177,Fontes!$B:$B,Fontes!$I:$I))</f>
        <v>19.96</v>
      </c>
      <c r="L1177" s="252">
        <f t="shared" si="113"/>
        <v>21944.39</v>
      </c>
      <c r="M1177" s="300">
        <f t="shared" ref="M1177:M1178" si="117">ROUND(H1177*L1177,2)</f>
        <v>21944.39</v>
      </c>
      <c r="N1177" s="243"/>
      <c r="O1177" s="517">
        <f t="shared" si="111"/>
        <v>21944.39</v>
      </c>
    </row>
    <row r="1178" spans="1:15" outlineLevel="3" x14ac:dyDescent="0.3">
      <c r="A1178" s="36" t="s">
        <v>7</v>
      </c>
      <c r="B1178" s="36"/>
      <c r="C1178" s="495" t="s">
        <v>781</v>
      </c>
      <c r="D1178" s="479"/>
      <c r="E1178" s="249" t="str">
        <f>UPPER(IF($D1178=0,"",IF($A1178=4,_xlfn.XLOOKUP($D1178,Mercado!$C:$C,Mercado!$E:$E),_xlfn.XLOOKUP($D1178,Fontes!$B:$B,Fontes!$C:$C))))</f>
        <v/>
      </c>
      <c r="F1178" s="327" t="s">
        <v>781</v>
      </c>
      <c r="G1178" s="249"/>
      <c r="H1178" s="252"/>
      <c r="I1178" s="252">
        <f>IF($A1178="M",_xlfn.XLOOKUP($D1178,Mercado!$C:$C,Mercado!$I:$I),_xlfn.XLOOKUP($D1178,Fontes!$B:$B,Fontes!$J:$J))</f>
        <v>0</v>
      </c>
      <c r="J1178" s="252">
        <f>IF($A1178="M",_xlfn.XLOOKUP($D1178,Mercado!$C:$C,Mercado!$J:$J),_xlfn.XLOOKUP($D1178,Fontes!$B:$B,Fontes!$H:$H))</f>
        <v>0</v>
      </c>
      <c r="K1178" s="252">
        <f>IF($A1178="M",0,_xlfn.XLOOKUP($D1178,Fontes!$B:$B,Fontes!$I:$I))</f>
        <v>0</v>
      </c>
      <c r="L1178" s="250">
        <f t="shared" si="113"/>
        <v>0</v>
      </c>
      <c r="M1178" s="300">
        <f t="shared" si="117"/>
        <v>0</v>
      </c>
      <c r="N1178" s="243"/>
      <c r="O1178" s="517" t="str">
        <f t="shared" si="111"/>
        <v/>
      </c>
    </row>
    <row r="1179" spans="1:15" ht="20.399999999999999" outlineLevel="1" x14ac:dyDescent="0.3">
      <c r="A1179" s="36"/>
      <c r="B1179" s="36"/>
      <c r="C1179" s="530" t="s">
        <v>3755</v>
      </c>
      <c r="D1179" s="531"/>
      <c r="E1179" s="531" t="str">
        <f>UPPER(IF($D1179=0,"",IF($A1179=4,_xlfn.XLOOKUP($D1179,Mercado!$C:$C,Mercado!$E:$E),_xlfn.XLOOKUP($D1179,Fontes!$B:$B,Fontes!$C:$C))))</f>
        <v/>
      </c>
      <c r="F1179" s="532" t="s">
        <v>298</v>
      </c>
      <c r="G1179" s="531"/>
      <c r="H1179" s="535"/>
      <c r="I1179" s="535">
        <f>IF($A1179="M",_xlfn.XLOOKUP($D1179,Mercado!$C:$C,Mercado!$I:$I),_xlfn.XLOOKUP($D1179,Fontes!$B:$B,Fontes!$J:$J))</f>
        <v>0</v>
      </c>
      <c r="J1179" s="535">
        <f>IF($A1179="M",_xlfn.XLOOKUP($D1179,Mercado!$C:$C,Mercado!$J:$J),_xlfn.XLOOKUP($D1179,Fontes!$B:$B,Fontes!$H:$H))</f>
        <v>0</v>
      </c>
      <c r="K1179" s="539">
        <f>IF($A1179="M",0,_xlfn.XLOOKUP($D1179,Fontes!$B:$B,Fontes!$I:$I))</f>
        <v>0</v>
      </c>
      <c r="L1179" s="535">
        <f t="shared" si="113"/>
        <v>0</v>
      </c>
      <c r="M1179" s="538">
        <f>SUBTOTAL(9,M1180:M1189)</f>
        <v>377810</v>
      </c>
      <c r="O1179" s="517" t="str">
        <f t="shared" si="111"/>
        <v/>
      </c>
    </row>
    <row r="1180" spans="1:15" outlineLevel="3" x14ac:dyDescent="0.3">
      <c r="A1180" s="36" t="s">
        <v>7</v>
      </c>
      <c r="B1180" s="36"/>
      <c r="C1180" s="504"/>
      <c r="D1180" s="266"/>
      <c r="E1180" s="266" t="str">
        <f>UPPER(IF($D1180=0,"",IF($A1180=4,_xlfn.XLOOKUP($D1180,Mercado!$C:$C,Mercado!$E:$E),_xlfn.XLOOKUP($D1180,Fontes!$B:$B,Fontes!$C:$C))))</f>
        <v/>
      </c>
      <c r="F1180" s="332" t="s">
        <v>781</v>
      </c>
      <c r="G1180" s="266"/>
      <c r="H1180" s="267"/>
      <c r="I1180" s="267">
        <f>IF($A1180="M",_xlfn.XLOOKUP($D1180,Mercado!$C:$C,Mercado!$I:$I),_xlfn.XLOOKUP($D1180,Fontes!$B:$B,Fontes!$J:$J))</f>
        <v>0</v>
      </c>
      <c r="J1180" s="267">
        <f>IF($A1180="M",_xlfn.XLOOKUP($D1180,Mercado!$C:$C,Mercado!$J:$J),_xlfn.XLOOKUP($D1180,Fontes!$B:$B,Fontes!$H:$H))</f>
        <v>0</v>
      </c>
      <c r="K1180" s="267">
        <f>IF($A1180="M",0,_xlfn.XLOOKUP($D1180,Fontes!$B:$B,Fontes!$I:$I))</f>
        <v>0</v>
      </c>
      <c r="L1180" s="267">
        <f t="shared" si="113"/>
        <v>0</v>
      </c>
      <c r="M1180" s="300">
        <f>ROUND(H1180*L1180,2)</f>
        <v>0</v>
      </c>
      <c r="O1180" s="517" t="str">
        <f t="shared" si="111"/>
        <v/>
      </c>
    </row>
    <row r="1181" spans="1:15" ht="20.399999999999999" outlineLevel="2" x14ac:dyDescent="0.3">
      <c r="A1181" s="36" t="s">
        <v>7</v>
      </c>
      <c r="B1181" s="36"/>
      <c r="C1181" s="496" t="s">
        <v>10790</v>
      </c>
      <c r="D1181" s="253"/>
      <c r="E1181" s="253" t="str">
        <f>UPPER(IF($D1181=0,"",IF($A1181=4,_xlfn.XLOOKUP($D1181,Mercado!$C:$C,Mercado!$E:$E),_xlfn.XLOOKUP($D1181,Fontes!$B:$B,Fontes!$C:$C))))</f>
        <v/>
      </c>
      <c r="F1181" s="329" t="s">
        <v>2891</v>
      </c>
      <c r="G1181" s="253"/>
      <c r="H1181" s="254"/>
      <c r="I1181" s="254">
        <f>IF($A1181="M",_xlfn.XLOOKUP($D1181,Mercado!$C:$C,Mercado!$I:$I),_xlfn.XLOOKUP($D1181,Fontes!$B:$B,Fontes!$J:$J))</f>
        <v>0</v>
      </c>
      <c r="J1181" s="254">
        <f>IF($A1181="M",_xlfn.XLOOKUP($D1181,Mercado!$C:$C,Mercado!$J:$J),_xlfn.XLOOKUP($D1181,Fontes!$B:$B,Fontes!$H:$H))</f>
        <v>0</v>
      </c>
      <c r="K1181" s="254">
        <f>IF($A1181="M",0,_xlfn.XLOOKUP($D1181,Fontes!$B:$B,Fontes!$I:$I))</f>
        <v>0</v>
      </c>
      <c r="L1181" s="254">
        <f t="shared" si="113"/>
        <v>0</v>
      </c>
      <c r="M1181" s="510">
        <f>SUBTOTAL(9,M1182:M1189)</f>
        <v>377810</v>
      </c>
      <c r="O1181" s="517" t="str">
        <f t="shared" si="111"/>
        <v/>
      </c>
    </row>
    <row r="1182" spans="1:15" outlineLevel="4" x14ac:dyDescent="0.3">
      <c r="A1182" s="36"/>
      <c r="B1182" s="36"/>
      <c r="C1182" s="495" t="s">
        <v>781</v>
      </c>
      <c r="D1182" s="479"/>
      <c r="E1182" s="249" t="str">
        <f>UPPER(IF($D1182=0,"",IF($A1182=4,_xlfn.XLOOKUP($D1182,Mercado!$C:$C,Mercado!$E:$E),_xlfn.XLOOKUP($D1182,Fontes!$B:$B,Fontes!$C:$C))))</f>
        <v/>
      </c>
      <c r="F1182" s="339" t="s">
        <v>781</v>
      </c>
      <c r="G1182" s="249"/>
      <c r="H1182" s="252"/>
      <c r="I1182" s="252">
        <f>IF($A1182="M",_xlfn.XLOOKUP($D1182,Mercado!$C:$C,Mercado!$I:$I),_xlfn.XLOOKUP($D1182,Fontes!$B:$B,Fontes!$J:$J))</f>
        <v>0</v>
      </c>
      <c r="J1182" s="252">
        <f>IF($A1182="M",_xlfn.XLOOKUP($D1182,Mercado!$C:$C,Mercado!$J:$J),_xlfn.XLOOKUP($D1182,Fontes!$B:$B,Fontes!$H:$H))</f>
        <v>0</v>
      </c>
      <c r="K1182" s="252">
        <f>IF($A1182="M",0,_xlfn.XLOOKUP($D1182,Fontes!$B:$B,Fontes!$I:$I))</f>
        <v>0</v>
      </c>
      <c r="L1182" s="250">
        <f t="shared" si="113"/>
        <v>0</v>
      </c>
      <c r="M1182" s="300">
        <f t="shared" ref="M1182:M1189" si="118">ROUND(H1182*L1182,2)</f>
        <v>0</v>
      </c>
      <c r="N1182" s="243"/>
      <c r="O1182" s="517" t="str">
        <f t="shared" si="111"/>
        <v/>
      </c>
    </row>
    <row r="1183" spans="1:15" ht="38.4" outlineLevel="3" x14ac:dyDescent="0.3">
      <c r="A1183" s="36" t="s">
        <v>7</v>
      </c>
      <c r="B1183" s="36"/>
      <c r="C1183" s="499" t="s">
        <v>10791</v>
      </c>
      <c r="D1183" s="479"/>
      <c r="E1183" s="249" t="str">
        <f>UPPER(IF($D1183=0,"",IF($A1183=4,_xlfn.XLOOKUP($D1183,Mercado!$C:$C,Mercado!$E:$E),_xlfn.XLOOKUP($D1183,Fontes!$B:$B,Fontes!$C:$C))))</f>
        <v/>
      </c>
      <c r="F1183" s="493" t="s">
        <v>2782</v>
      </c>
      <c r="G1183" s="249"/>
      <c r="H1183" s="252"/>
      <c r="I1183" s="252">
        <f>IF($A1183="M",_xlfn.XLOOKUP($D1183,Mercado!$C:$C,Mercado!$I:$I),_xlfn.XLOOKUP($D1183,Fontes!$B:$B,Fontes!$J:$J))</f>
        <v>0</v>
      </c>
      <c r="J1183" s="252">
        <f>IF($A1183="M",_xlfn.XLOOKUP($D1183,Mercado!$C:$C,Mercado!$J:$J),_xlfn.XLOOKUP($D1183,Fontes!$B:$B,Fontes!$H:$H))</f>
        <v>0</v>
      </c>
      <c r="K1183" s="252">
        <f>IF($A1183="M",0,_xlfn.XLOOKUP($D1183,Fontes!$B:$B,Fontes!$I:$I))</f>
        <v>0</v>
      </c>
      <c r="L1183" s="252">
        <f t="shared" si="113"/>
        <v>0</v>
      </c>
      <c r="M1183" s="509">
        <f t="shared" si="118"/>
        <v>0</v>
      </c>
      <c r="N1183" s="243"/>
      <c r="O1183" s="517" t="str">
        <f t="shared" si="111"/>
        <v/>
      </c>
    </row>
    <row r="1184" spans="1:15" outlineLevel="4" x14ac:dyDescent="0.3">
      <c r="A1184" s="35" t="s">
        <v>7</v>
      </c>
      <c r="B1184" s="36"/>
      <c r="C1184" s="495" t="s">
        <v>10792</v>
      </c>
      <c r="D1184" s="483" t="s">
        <v>2854</v>
      </c>
      <c r="E1184" s="249" t="str">
        <f>UPPER(_xlfn.XLOOKUP($D1184,Mercado!C:C,Mercado!E:E,_xlfn.XLOOKUP($D1277,Fontes!$B:$B,Fontes!$C:$C)))</f>
        <v>AMBIENT AIR</v>
      </c>
      <c r="F1184" s="333" t="s">
        <v>2778</v>
      </c>
      <c r="G1184" s="249" t="str">
        <f>UPPER(_xlfn.XLOOKUP(D1184,Mercado!C:C,Mercado!G:G))</f>
        <v>GL</v>
      </c>
      <c r="H1184" s="252">
        <v>1</v>
      </c>
      <c r="I1184" s="252">
        <f>IF($A1184="M",_xlfn.XLOOKUP($D1184,Mercado!$C:$C,Mercado!$I:$I),_xlfn.XLOOKUP($D1184,Fontes!$B:$B,Fontes!$J:$J))</f>
        <v>125720</v>
      </c>
      <c r="J1184" s="252">
        <f>IF($A1184="M",_xlfn.XLOOKUP($D1184,Mercado!$C:$C,Mercado!$J:$J),_xlfn.XLOOKUP($D1184,Fontes!$B:$B,Fontes!$H:$H))</f>
        <v>0</v>
      </c>
      <c r="K1184" s="252">
        <f>IF($A1184="M",0,_xlfn.XLOOKUP($D1184,Fontes!$B:$B,Fontes!$I:$I))</f>
        <v>0</v>
      </c>
      <c r="L1184" s="250">
        <f t="shared" si="113"/>
        <v>125720</v>
      </c>
      <c r="M1184" s="300">
        <f t="shared" si="118"/>
        <v>125720</v>
      </c>
      <c r="O1184" s="517">
        <f t="shared" si="111"/>
        <v>125720</v>
      </c>
    </row>
    <row r="1185" spans="1:15" outlineLevel="4" x14ac:dyDescent="0.3">
      <c r="A1185" s="35" t="s">
        <v>7</v>
      </c>
      <c r="B1185" s="36"/>
      <c r="C1185" s="495" t="s">
        <v>10793</v>
      </c>
      <c r="D1185" s="483" t="s">
        <v>2855</v>
      </c>
      <c r="E1185" s="249" t="str">
        <f>UPPER(_xlfn.XLOOKUP($D1185,Mercado!C:C,Mercado!E:E,_xlfn.XLOOKUP($D1278,Fontes!$B:$B,Fontes!$C:$C)))</f>
        <v>AMBIENT AIR</v>
      </c>
      <c r="F1185" s="333" t="s">
        <v>2780</v>
      </c>
      <c r="G1185" s="249" t="str">
        <f>UPPER(_xlfn.XLOOKUP(D1185,Mercado!C:C,Mercado!G:G))</f>
        <v>GL</v>
      </c>
      <c r="H1185" s="252">
        <v>1</v>
      </c>
      <c r="I1185" s="252">
        <f>IF($A1185="M",_xlfn.XLOOKUP($D1185,Mercado!$C:$C,Mercado!$I:$I),_xlfn.XLOOKUP($D1185,Fontes!$B:$B,Fontes!$J:$J))</f>
        <v>3790</v>
      </c>
      <c r="J1185" s="252">
        <f>IF($A1185="M",_xlfn.XLOOKUP($D1185,Mercado!$C:$C,Mercado!$J:$J),_xlfn.XLOOKUP($D1185,Fontes!$B:$B,Fontes!$H:$H))</f>
        <v>0</v>
      </c>
      <c r="K1185" s="252">
        <f>IF($A1185="M",0,_xlfn.XLOOKUP($D1185,Fontes!$B:$B,Fontes!$I:$I))</f>
        <v>0</v>
      </c>
      <c r="L1185" s="250">
        <f t="shared" si="113"/>
        <v>3790</v>
      </c>
      <c r="M1185" s="300">
        <f t="shared" si="118"/>
        <v>3790</v>
      </c>
      <c r="O1185" s="517">
        <f t="shared" si="111"/>
        <v>3790</v>
      </c>
    </row>
    <row r="1186" spans="1:15" outlineLevel="4" x14ac:dyDescent="0.3">
      <c r="A1186" s="35" t="s">
        <v>7</v>
      </c>
      <c r="B1186" s="36"/>
      <c r="C1186" s="495" t="s">
        <v>10794</v>
      </c>
      <c r="D1186" s="483" t="s">
        <v>2856</v>
      </c>
      <c r="E1186" s="249" t="str">
        <f>UPPER(_xlfn.XLOOKUP($D1186,Mercado!C:C,Mercado!E:E,_xlfn.XLOOKUP($D1279,Fontes!$B:$B,Fontes!$C:$C)))</f>
        <v>AMBIENT AIR</v>
      </c>
      <c r="F1186" s="333" t="s">
        <v>8368</v>
      </c>
      <c r="G1186" s="249" t="str">
        <f>UPPER(_xlfn.XLOOKUP(D1186,Mercado!C:C,Mercado!G:G))</f>
        <v>GL</v>
      </c>
      <c r="H1186" s="252">
        <v>1</v>
      </c>
      <c r="I1186" s="252">
        <f>IF($A1186="M",_xlfn.XLOOKUP($D1186,Mercado!$C:$C,Mercado!$I:$I),_xlfn.XLOOKUP($D1186,Fontes!$B:$B,Fontes!$J:$J))</f>
        <v>59800</v>
      </c>
      <c r="J1186" s="252">
        <f>IF($A1186="M",_xlfn.XLOOKUP($D1186,Mercado!$C:$C,Mercado!$J:$J),_xlfn.XLOOKUP($D1186,Fontes!$B:$B,Fontes!$H:$H))</f>
        <v>0</v>
      </c>
      <c r="K1186" s="252">
        <f>IF($A1186="M",0,_xlfn.XLOOKUP($D1186,Fontes!$B:$B,Fontes!$I:$I))</f>
        <v>0</v>
      </c>
      <c r="L1186" s="250">
        <f t="shared" si="113"/>
        <v>59800</v>
      </c>
      <c r="M1186" s="300">
        <f t="shared" si="118"/>
        <v>59800</v>
      </c>
      <c r="O1186" s="517">
        <f t="shared" ref="O1186:O1193" si="119">IF(D1186&lt;&gt;0,M1186,"")</f>
        <v>59800</v>
      </c>
    </row>
    <row r="1187" spans="1:15" ht="38.4" outlineLevel="4" x14ac:dyDescent="0.3">
      <c r="A1187" s="35" t="s">
        <v>7</v>
      </c>
      <c r="B1187" s="36"/>
      <c r="C1187" s="495" t="s">
        <v>10795</v>
      </c>
      <c r="D1187" s="483" t="s">
        <v>2857</v>
      </c>
      <c r="E1187" s="249" t="str">
        <f>UPPER(_xlfn.XLOOKUP($D1187,Mercado!C:C,Mercado!E:E,_xlfn.XLOOKUP($D1280,Fontes!$B:$B,Fontes!$C:$C)))</f>
        <v>AMBIENT AIR</v>
      </c>
      <c r="F1187" s="333" t="s">
        <v>8370</v>
      </c>
      <c r="G1187" s="249" t="str">
        <f>UPPER(_xlfn.XLOOKUP(D1187,Mercado!C:C,Mercado!G:G))</f>
        <v>GL</v>
      </c>
      <c r="H1187" s="252">
        <v>1</v>
      </c>
      <c r="I1187" s="252">
        <f>IF($A1187="M",_xlfn.XLOOKUP($D1187,Mercado!$C:$C,Mercado!$I:$I),_xlfn.XLOOKUP($D1187,Fontes!$B:$B,Fontes!$J:$J))</f>
        <v>72000</v>
      </c>
      <c r="J1187" s="252">
        <f>IF($A1187="M",_xlfn.XLOOKUP($D1187,Mercado!$C:$C,Mercado!$J:$J),_xlfn.XLOOKUP($D1187,Fontes!$B:$B,Fontes!$H:$H))</f>
        <v>0</v>
      </c>
      <c r="K1187" s="252">
        <f>IF($A1187="M",0,_xlfn.XLOOKUP($D1187,Fontes!$B:$B,Fontes!$I:$I))</f>
        <v>0</v>
      </c>
      <c r="L1187" s="250">
        <f t="shared" si="113"/>
        <v>72000</v>
      </c>
      <c r="M1187" s="300">
        <f t="shared" si="118"/>
        <v>72000</v>
      </c>
      <c r="O1187" s="517">
        <f t="shared" si="119"/>
        <v>72000</v>
      </c>
    </row>
    <row r="1188" spans="1:15" outlineLevel="4" x14ac:dyDescent="0.3">
      <c r="A1188" s="35" t="s">
        <v>7</v>
      </c>
      <c r="B1188" s="36"/>
      <c r="C1188" s="495" t="s">
        <v>10796</v>
      </c>
      <c r="D1188" s="483" t="s">
        <v>2858</v>
      </c>
      <c r="E1188" s="249" t="str">
        <f>UPPER(_xlfn.XLOOKUP($D1188,Mercado!C:C,Mercado!E:E,_xlfn.XLOOKUP($D1281,Fontes!$B:$B,Fontes!$C:$C)))</f>
        <v>AMBIENT AIR</v>
      </c>
      <c r="F1188" s="333" t="s">
        <v>8369</v>
      </c>
      <c r="G1188" s="249" t="str">
        <f>UPPER(_xlfn.XLOOKUP(D1188,Mercado!C:C,Mercado!G:G))</f>
        <v>GL</v>
      </c>
      <c r="H1188" s="252">
        <v>1</v>
      </c>
      <c r="I1188" s="252">
        <f>IF($A1188="M",_xlfn.XLOOKUP($D1188,Mercado!$C:$C,Mercado!$I:$I),_xlfn.XLOOKUP($D1188,Fontes!$B:$B,Fontes!$J:$J))</f>
        <v>116500</v>
      </c>
      <c r="J1188" s="252">
        <f>IF($A1188="M",_xlfn.XLOOKUP($D1188,Mercado!$C:$C,Mercado!$J:$J),_xlfn.XLOOKUP($D1188,Fontes!$B:$B,Fontes!$H:$H))</f>
        <v>0</v>
      </c>
      <c r="K1188" s="252">
        <f>IF($A1188="M",0,_xlfn.XLOOKUP($D1188,Fontes!$B:$B,Fontes!$I:$I))</f>
        <v>0</v>
      </c>
      <c r="L1188" s="250">
        <f t="shared" si="113"/>
        <v>116500</v>
      </c>
      <c r="M1188" s="300">
        <f t="shared" si="118"/>
        <v>116500</v>
      </c>
      <c r="O1188" s="517">
        <f t="shared" si="119"/>
        <v>116500</v>
      </c>
    </row>
    <row r="1189" spans="1:15" outlineLevel="3" x14ac:dyDescent="0.3">
      <c r="A1189" s="36" t="s">
        <v>7</v>
      </c>
      <c r="B1189" s="36"/>
      <c r="C1189" s="495" t="s">
        <v>781</v>
      </c>
      <c r="D1189" s="479"/>
      <c r="E1189" s="249" t="str">
        <f>UPPER(IF($D1189=0,"",IF($A1189=4,_xlfn.XLOOKUP($D1189,Mercado!$C:$C,Mercado!$E:$E),_xlfn.XLOOKUP($D1189,Fontes!$B:$B,Fontes!$C:$C))))</f>
        <v/>
      </c>
      <c r="F1189" s="327" t="s">
        <v>781</v>
      </c>
      <c r="G1189" s="249"/>
      <c r="H1189" s="252"/>
      <c r="I1189" s="252">
        <f>IF($A1189="M",_xlfn.XLOOKUP($D1189,Mercado!$C:$C,Mercado!$I:$I),_xlfn.XLOOKUP($D1189,Fontes!$B:$B,Fontes!$J:$J))</f>
        <v>0</v>
      </c>
      <c r="J1189" s="252">
        <f>IF($A1189="M",_xlfn.XLOOKUP($D1189,Mercado!$C:$C,Mercado!$J:$J),_xlfn.XLOOKUP($D1189,Fontes!$B:$B,Fontes!$H:$H))</f>
        <v>0</v>
      </c>
      <c r="K1189" s="252">
        <f>IF($A1189="M",0,_xlfn.XLOOKUP($D1189,Fontes!$B:$B,Fontes!$I:$I))</f>
        <v>0</v>
      </c>
      <c r="L1189" s="250">
        <f t="shared" si="113"/>
        <v>0</v>
      </c>
      <c r="M1189" s="300">
        <f t="shared" si="118"/>
        <v>0</v>
      </c>
      <c r="N1189" s="243"/>
      <c r="O1189" s="517" t="str">
        <f t="shared" si="119"/>
        <v/>
      </c>
    </row>
    <row r="1190" spans="1:15" ht="20.399999999999999" outlineLevel="1" x14ac:dyDescent="0.3">
      <c r="A1190" s="36"/>
      <c r="B1190" s="36"/>
      <c r="C1190" s="530" t="s">
        <v>3756</v>
      </c>
      <c r="D1190" s="531"/>
      <c r="E1190" s="531" t="str">
        <f>UPPER(IF($D1190=0,"",IF($A1190=4,_xlfn.XLOOKUP($D1190,Mercado!$C:$C,Mercado!$E:$E),_xlfn.XLOOKUP($D1190,Fontes!$B:$B,Fontes!$C:$C))))</f>
        <v/>
      </c>
      <c r="F1190" s="532" t="s">
        <v>393</v>
      </c>
      <c r="G1190" s="531"/>
      <c r="H1190" s="535"/>
      <c r="I1190" s="535">
        <f>IF($A1190="M",_xlfn.XLOOKUP($D1190,Mercado!$C:$C,Mercado!$I:$I),_xlfn.XLOOKUP($D1190,Fontes!$B:$B,Fontes!$J:$J))</f>
        <v>0</v>
      </c>
      <c r="J1190" s="535">
        <f>IF($A1190="M",_xlfn.XLOOKUP($D1190,Mercado!$C:$C,Mercado!$J:$J),_xlfn.XLOOKUP($D1190,Fontes!$B:$B,Fontes!$H:$H))</f>
        <v>0</v>
      </c>
      <c r="K1190" s="535">
        <f>IF($A1190="M",0,_xlfn.XLOOKUP($D1190,Fontes!$B:$B,Fontes!$I:$I))</f>
        <v>0</v>
      </c>
      <c r="L1190" s="535">
        <f t="shared" si="113"/>
        <v>0</v>
      </c>
      <c r="M1190" s="538">
        <f>SUBTOTAL(9,M1191:M1194)</f>
        <v>31230</v>
      </c>
      <c r="O1190" s="517" t="str">
        <f t="shared" si="119"/>
        <v/>
      </c>
    </row>
    <row r="1191" spans="1:15" ht="20.399999999999999" outlineLevel="2" x14ac:dyDescent="0.3">
      <c r="A1191" s="36" t="s">
        <v>7</v>
      </c>
      <c r="B1191" s="36"/>
      <c r="C1191" s="496" t="s">
        <v>10797</v>
      </c>
      <c r="D1191" s="491"/>
      <c r="E1191" s="253" t="str">
        <f>UPPER(IF($D1191=0,"",IF($A1191=4,_xlfn.XLOOKUP($D1191,Mercado!$C:$C,Mercado!$E:$E),_xlfn.XLOOKUP($D1191,Fontes!$B:$B,Fontes!$C:$C))))</f>
        <v/>
      </c>
      <c r="F1191" s="329" t="s">
        <v>3110</v>
      </c>
      <c r="G1191" s="253"/>
      <c r="H1191" s="254"/>
      <c r="I1191" s="254">
        <f>IF($A1191="M",_xlfn.XLOOKUP($D1191,Mercado!$C:$C,Mercado!$I:$I),_xlfn.XLOOKUP($D1191,Fontes!$B:$B,Fontes!$J:$J))</f>
        <v>0</v>
      </c>
      <c r="J1191" s="254">
        <f>IF($A1191="M",_xlfn.XLOOKUP($D1191,Mercado!$C:$C,Mercado!$J:$J),_xlfn.XLOOKUP($D1191,Fontes!$B:$B,Fontes!$H:$H))</f>
        <v>0</v>
      </c>
      <c r="K1191" s="254">
        <f>IF($A1191="M",0,_xlfn.XLOOKUP($D1191,Fontes!$B:$B,Fontes!$I:$I))</f>
        <v>0</v>
      </c>
      <c r="L1191" s="254">
        <f t="shared" si="113"/>
        <v>0</v>
      </c>
      <c r="M1191" s="510">
        <f>SUBTOTAL(9,M1192:M1194)</f>
        <v>31230</v>
      </c>
      <c r="O1191" s="517" t="str">
        <f t="shared" si="119"/>
        <v/>
      </c>
    </row>
    <row r="1192" spans="1:15" outlineLevel="3" x14ac:dyDescent="0.3">
      <c r="A1192" s="35"/>
      <c r="B1192" s="36"/>
      <c r="C1192" s="495" t="s">
        <v>10798</v>
      </c>
      <c r="D1192" s="249" t="s">
        <v>1639</v>
      </c>
      <c r="E1192" s="249" t="str">
        <f>UPPER(IF($D1192=0,"",IF($A1192=4,_xlfn.XLOOKUP($D1192,Mercado!$C:$C,Mercado!$E:$E),_xlfn.XLOOKUP($D1192,Fontes!$B:$B,Fontes!$C:$C))))</f>
        <v>CPOS/CDHU</v>
      </c>
      <c r="F1192" s="327" t="s">
        <v>394</v>
      </c>
      <c r="G1192" s="249" t="str">
        <f>UPPER(IF($D1192=0,"",IF($A1192=4,_xlfn.XLOOKUP($D1192,Mercado!$C:$C,Mercado!$G:$G),_xlfn.XLOOKUP($D1192,Fontes!$B:$B,Fontes!$E:$E))))</f>
        <v>M²</v>
      </c>
      <c r="H1192" s="252">
        <v>1500</v>
      </c>
      <c r="I1192" s="252">
        <f>IF($A1192="M",_xlfn.XLOOKUP($D1192,Mercado!$C:$C,Mercado!$I:$I),_xlfn.XLOOKUP($D1192,Fontes!$B:$B,Fontes!$J:$J))</f>
        <v>0</v>
      </c>
      <c r="J1192" s="252">
        <f>IF($A1192="M",_xlfn.XLOOKUP($D1192,Mercado!$C:$C,Mercado!$J:$J),_xlfn.XLOOKUP($D1192,Fontes!$B:$B,Fontes!$H:$H))</f>
        <v>15.9</v>
      </c>
      <c r="K1192" s="252">
        <f>IF($A1192="M",0,_xlfn.XLOOKUP($D1192,Fontes!$B:$B,Fontes!$I:$I))</f>
        <v>0</v>
      </c>
      <c r="L1192" s="252">
        <f t="shared" si="113"/>
        <v>15.9</v>
      </c>
      <c r="M1192" s="300">
        <f t="shared" ref="M1192:M1193" si="120">ROUND(H1192*L1192,2)</f>
        <v>23850</v>
      </c>
      <c r="O1192" s="517">
        <f t="shared" si="119"/>
        <v>23850</v>
      </c>
    </row>
    <row r="1193" spans="1:15" ht="57.6" outlineLevel="3" x14ac:dyDescent="0.3">
      <c r="A1193" s="35"/>
      <c r="B1193" s="36"/>
      <c r="C1193" s="495" t="s">
        <v>10799</v>
      </c>
      <c r="D1193" s="249">
        <v>93590</v>
      </c>
      <c r="E1193" s="249" t="str">
        <f>UPPER(IF($D1193=0,"",IF($A1193=4,_xlfn.XLOOKUP($D1193,Mercado!$C:$C,Mercado!$E:$E),_xlfn.XLOOKUP($D1193,Fontes!$B:$B,Fontes!$C:$C))))</f>
        <v>SINAPI</v>
      </c>
      <c r="F1193" s="327" t="s">
        <v>293</v>
      </c>
      <c r="G1193" s="249" t="str">
        <f>UPPER(IF($D1193=0,"",IF($A1193=4,_xlfn.XLOOKUP($D1193,Mercado!$C:$C,Mercado!$G:$G),_xlfn.XLOOKUP($D1193,Fontes!$B:$B,Fontes!$E:$E))))</f>
        <v>M3XKM</v>
      </c>
      <c r="H1193" s="252">
        <f>+H1192*0.1*40</f>
        <v>6000</v>
      </c>
      <c r="I1193" s="252">
        <f>IF($A1193="M",_xlfn.XLOOKUP($D1193,Mercado!$C:$C,Mercado!$I:$I),_xlfn.XLOOKUP($D1193,Fontes!$B:$B,Fontes!$J:$J))</f>
        <v>0.65</v>
      </c>
      <c r="J1193" s="252">
        <f>IF($A1193="M",_xlfn.XLOOKUP($D1193,Mercado!$C:$C,Mercado!$J:$J),_xlfn.XLOOKUP($D1193,Fontes!$B:$B,Fontes!$H:$H))</f>
        <v>0.23</v>
      </c>
      <c r="K1193" s="252">
        <f>IF($A1193="M",0,_xlfn.XLOOKUP($D1193,Fontes!$B:$B,Fontes!$I:$I))</f>
        <v>0.35</v>
      </c>
      <c r="L1193" s="250">
        <f t="shared" si="113"/>
        <v>1.23</v>
      </c>
      <c r="M1193" s="300">
        <f t="shared" si="120"/>
        <v>7380</v>
      </c>
      <c r="N1193" s="243"/>
      <c r="O1193" s="517">
        <f t="shared" si="119"/>
        <v>7380</v>
      </c>
    </row>
    <row r="1194" spans="1:15" ht="19.8" outlineLevel="2" thickBot="1" x14ac:dyDescent="0.35">
      <c r="A1194" s="36"/>
      <c r="B1194" s="36"/>
      <c r="C1194" s="512"/>
      <c r="D1194" s="301"/>
      <c r="E1194" s="301"/>
      <c r="F1194" s="340"/>
      <c r="G1194" s="301"/>
      <c r="H1194" s="302"/>
      <c r="I1194" s="303"/>
      <c r="J1194" s="304"/>
      <c r="K1194" s="302"/>
      <c r="L1194" s="305"/>
      <c r="M1194" s="513"/>
      <c r="O1194" s="517" t="str">
        <f>IF(D1194&lt;&gt;0,M1194,"")</f>
        <v/>
      </c>
    </row>
    <row r="1195" spans="1:15" ht="20.399999999999999" outlineLevel="2" thickTop="1" thickBot="1" x14ac:dyDescent="0.35">
      <c r="A1195" s="36"/>
      <c r="B1195" s="36"/>
      <c r="C1195" s="466"/>
      <c r="D1195" s="295"/>
      <c r="E1195" s="294"/>
      <c r="F1195" s="341"/>
      <c r="G1195" s="294"/>
      <c r="H1195" s="296"/>
      <c r="I1195" s="297"/>
      <c r="J1195" s="298"/>
      <c r="K1195" s="296"/>
      <c r="L1195" s="299"/>
      <c r="M1195" s="467"/>
      <c r="O1195" s="517"/>
    </row>
    <row r="1196" spans="1:15" x14ac:dyDescent="0.3">
      <c r="A1196" s="35"/>
      <c r="B1196" s="35"/>
      <c r="C1196" s="468"/>
      <c r="D1196" s="453"/>
      <c r="E1196" s="454"/>
      <c r="F1196" s="455" t="s">
        <v>3741</v>
      </c>
      <c r="G1196" s="454"/>
      <c r="H1196" s="456"/>
      <c r="I1196" s="457"/>
      <c r="J1196" s="454"/>
      <c r="K1196" s="456"/>
      <c r="L1196" s="456"/>
      <c r="M1196" s="469">
        <f>SUBTOTAL(9,M13:M1194)</f>
        <v>13918608.949999982</v>
      </c>
      <c r="O1196" s="517" t="str">
        <f t="shared" ref="O1196:O1201" si="121">IF(D1196&lt;&gt;0,M1196,"")</f>
        <v/>
      </c>
    </row>
    <row r="1197" spans="1:15" ht="6" customHeight="1" x14ac:dyDescent="0.3">
      <c r="A1197" s="35"/>
      <c r="B1197" s="35"/>
      <c r="C1197" s="465"/>
      <c r="D1197" s="262"/>
      <c r="E1197" s="257"/>
      <c r="F1197" s="330"/>
      <c r="G1197" s="257"/>
      <c r="H1197" s="259"/>
      <c r="I1197" s="258"/>
      <c r="J1197" s="257"/>
      <c r="K1197" s="259"/>
      <c r="L1197" s="259"/>
      <c r="M1197" s="470"/>
      <c r="O1197" s="517" t="str">
        <f t="shared" si="121"/>
        <v/>
      </c>
    </row>
    <row r="1198" spans="1:15" x14ac:dyDescent="0.3">
      <c r="A1198" s="35"/>
      <c r="B1198" s="35"/>
      <c r="C1198" s="471"/>
      <c r="D1198" s="289"/>
      <c r="E1198" s="290"/>
      <c r="F1198" s="342" t="s">
        <v>3715</v>
      </c>
      <c r="G1198" s="291">
        <f>BDI!E30/100</f>
        <v>0.2742</v>
      </c>
      <c r="H1198" s="292"/>
      <c r="I1198" s="293"/>
      <c r="J1198" s="290"/>
      <c r="K1198" s="292"/>
      <c r="L1198" s="292"/>
      <c r="M1198" s="472">
        <f>ROUND(M1196*G1198,2)</f>
        <v>3816482.57</v>
      </c>
      <c r="O1198" s="517" t="str">
        <f t="shared" si="121"/>
        <v/>
      </c>
    </row>
    <row r="1199" spans="1:15" ht="6" customHeight="1" x14ac:dyDescent="0.3">
      <c r="A1199" s="35"/>
      <c r="B1199" s="35"/>
      <c r="C1199" s="465"/>
      <c r="D1199" s="262"/>
      <c r="E1199" s="257"/>
      <c r="F1199" s="330"/>
      <c r="G1199" s="257"/>
      <c r="H1199" s="259"/>
      <c r="I1199" s="258"/>
      <c r="J1199" s="257"/>
      <c r="K1199" s="259"/>
      <c r="L1199" s="259"/>
      <c r="M1199" s="470"/>
      <c r="O1199" s="517" t="str">
        <f t="shared" si="121"/>
        <v/>
      </c>
    </row>
    <row r="1200" spans="1:15" x14ac:dyDescent="0.3">
      <c r="A1200" s="35"/>
      <c r="B1200" s="35"/>
      <c r="C1200" s="473"/>
      <c r="D1200" s="285"/>
      <c r="E1200" s="286"/>
      <c r="F1200" s="343" t="s">
        <v>3742</v>
      </c>
      <c r="G1200" s="286"/>
      <c r="H1200" s="287"/>
      <c r="I1200" s="288"/>
      <c r="J1200" s="286"/>
      <c r="K1200" s="287"/>
      <c r="L1200" s="287"/>
      <c r="M1200" s="474">
        <f>+M1198+M1196</f>
        <v>17735091.519999981</v>
      </c>
      <c r="O1200" s="517" t="str">
        <f t="shared" si="121"/>
        <v/>
      </c>
    </row>
    <row r="1201" spans="1:15" ht="6" customHeight="1" thickBot="1" x14ac:dyDescent="0.35">
      <c r="A1201" s="35"/>
      <c r="B1201" s="35"/>
      <c r="C1201" s="552"/>
      <c r="D1201" s="553"/>
      <c r="E1201" s="554"/>
      <c r="F1201" s="554"/>
      <c r="G1201" s="554"/>
      <c r="H1201" s="554"/>
      <c r="I1201" s="554"/>
      <c r="J1201" s="553"/>
      <c r="K1201" s="554"/>
      <c r="L1201" s="554"/>
      <c r="M1201" s="555"/>
      <c r="O1201" s="517" t="str">
        <f t="shared" si="121"/>
        <v/>
      </c>
    </row>
    <row r="1202" spans="1:15" x14ac:dyDescent="0.3">
      <c r="A1202" s="23"/>
      <c r="C1202" s="475"/>
      <c r="D1202" s="459"/>
      <c r="E1202" s="458"/>
      <c r="F1202" s="460"/>
      <c r="G1202" s="458"/>
      <c r="H1202" s="461"/>
      <c r="I1202" s="462"/>
      <c r="J1202" s="463"/>
      <c r="K1202" s="461"/>
      <c r="L1202" s="461"/>
      <c r="M1202" s="476"/>
    </row>
    <row r="1203" spans="1:15" x14ac:dyDescent="0.3">
      <c r="A1203" s="23"/>
      <c r="M1203" s="24">
        <f>SUM(O13:O1201)</f>
        <v>13918608.949999982</v>
      </c>
      <c r="O1203" s="515"/>
    </row>
    <row r="1204" spans="1:15" x14ac:dyDescent="0.3">
      <c r="A1204" s="23"/>
      <c r="M1204" s="24">
        <f>+M1196-M1203</f>
        <v>0</v>
      </c>
    </row>
    <row r="1205" spans="1:15" x14ac:dyDescent="0.3">
      <c r="A1205" s="23"/>
      <c r="M1205" s="24">
        <f>+M1196/H1192</f>
        <v>9279.0726333333223</v>
      </c>
      <c r="N1205" s="239" t="s">
        <v>5844</v>
      </c>
    </row>
  </sheetData>
  <protectedRanges>
    <protectedRange password="D922" sqref="D453:D455" name="Intervalo2_3_1_1_2"/>
    <protectedRange password="D922" sqref="D542" name="Intervalo2_3_1_3_2"/>
    <protectedRange password="D922" sqref="D894:D895" name="Intervalo2_3_2_2_2_2"/>
    <protectedRange password="D922" sqref="D896" name="Intervalo2_3_3_2_2_2"/>
    <protectedRange password="D922" sqref="D1109:D1113" name="Intervalo2_3_3_2_4_2"/>
    <protectedRange password="D922" sqref="D1160:D1164" name="Intervalo2_3_2_2_5_2"/>
    <protectedRange password="D922" sqref="D523" name="Intervalo2_3_3_2_3"/>
    <protectedRange password="D922" sqref="D36" name="Intervalo2_3_2"/>
    <protectedRange password="D922" sqref="D1055" name="Intervalo2_3_3_2_3_1_2"/>
  </protectedRanges>
  <autoFilter ref="A12:O1205" xr:uid="{2C2B1D42-600A-443D-B374-5C5377BFDD04}"/>
  <mergeCells count="21">
    <mergeCell ref="C1201:M1201"/>
    <mergeCell ref="M10:M11"/>
    <mergeCell ref="I10:L10"/>
    <mergeCell ref="G10:G12"/>
    <mergeCell ref="H10:H12"/>
    <mergeCell ref="I11:I12"/>
    <mergeCell ref="J11:J12"/>
    <mergeCell ref="K11:K12"/>
    <mergeCell ref="L11:L12"/>
    <mergeCell ref="C10:C12"/>
    <mergeCell ref="D10:D12"/>
    <mergeCell ref="E10:E12"/>
    <mergeCell ref="F10:F12"/>
    <mergeCell ref="O10:O11"/>
    <mergeCell ref="C2:M2"/>
    <mergeCell ref="D4:L4"/>
    <mergeCell ref="D5:L5"/>
    <mergeCell ref="D6:L6"/>
    <mergeCell ref="D7:L7"/>
    <mergeCell ref="C4:C7"/>
    <mergeCell ref="M4:M7"/>
  </mergeCells>
  <phoneticPr fontId="8" type="noConversion"/>
  <conditionalFormatting sqref="C189:E191 G189:L191 K362:L362 C362:E395 G362:G402 I363:L395 C396:L396">
    <cfRule type="expression" dxfId="79" priority="3643">
      <formula>$G189=0</formula>
    </cfRule>
  </conditionalFormatting>
  <conditionalFormatting sqref="C189:E191 G189:L191 K362:L362 G362:G402 I363:L395 C396:L396 C397:M397 C398:L404 C362:E395">
    <cfRule type="expression" dxfId="78" priority="3644">
      <formula>#REF!=1</formula>
    </cfRule>
  </conditionalFormatting>
  <conditionalFormatting sqref="C189:E191 G189:L191 M189:M194 C192:L194 R203 C264:D264 C265:C270 F271:F272 C271:D287 E273:M273 M274:M288 C288:L288 C289:M361 K362:L362 G362:G402 I363:L395">
    <cfRule type="expression" dxfId="77" priority="640">
      <formula>#REF!=2</formula>
    </cfRule>
  </conditionalFormatting>
  <conditionalFormatting sqref="C362:E395">
    <cfRule type="expression" dxfId="76" priority="310">
      <formula>#REF!=2</formula>
    </cfRule>
  </conditionalFormatting>
  <conditionalFormatting sqref="C396:L396">
    <cfRule type="expression" dxfId="75" priority="357">
      <formula>#REF!=2</formula>
    </cfRule>
  </conditionalFormatting>
  <conditionalFormatting sqref="C13:M188 C195:M263 E264:E272 G264:M272 E274:L287">
    <cfRule type="expression" dxfId="74" priority="3956">
      <formula>#REF!=2</formula>
    </cfRule>
    <cfRule type="expression" dxfId="73" priority="3957">
      <formula>$G13=0</formula>
    </cfRule>
    <cfRule type="expression" dxfId="72" priority="3958">
      <formula>#REF!=1</formula>
    </cfRule>
  </conditionalFormatting>
  <conditionalFormatting sqref="C397:M1195">
    <cfRule type="expression" dxfId="71" priority="3962">
      <formula>#REF!=2</formula>
    </cfRule>
    <cfRule type="expression" dxfId="70" priority="3963">
      <formula>$G397=0</formula>
    </cfRule>
  </conditionalFormatting>
  <conditionalFormatting sqref="C405:M1195">
    <cfRule type="expression" dxfId="69" priority="3">
      <formula>#REF!=1</formula>
    </cfRule>
  </conditionalFormatting>
  <conditionalFormatting sqref="E398:E402">
    <cfRule type="expression" dxfId="68" priority="296">
      <formula>#REF!=2</formula>
    </cfRule>
  </conditionalFormatting>
  <conditionalFormatting sqref="I362:J395 M189:M194 C192:L194 R203 C264:D264 C265:C270 F271:F272 C271:D287 E273:M273 M274:M288 C288:L288 C289:M361">
    <cfRule type="expression" dxfId="67" priority="3985">
      <formula>#REF!=1</formula>
    </cfRule>
  </conditionalFormatting>
  <conditionalFormatting sqref="I362:J395">
    <cfRule type="expression" dxfId="66" priority="3936">
      <formula>#REF!=2</formula>
    </cfRule>
  </conditionalFormatting>
  <conditionalFormatting sqref="M189:M194 C192:L194 R203 C264:D264 C265:C270 F271:F272 C271:D287 E273:M273 M274:M288 C288:L288 C289:M361 I362:J395">
    <cfRule type="expression" dxfId="65" priority="3984">
      <formula>$G189=0</formula>
    </cfRule>
  </conditionalFormatting>
  <conditionalFormatting sqref="M362:M396">
    <cfRule type="expression" dxfId="64" priority="4008">
      <formula>$G362=0</formula>
    </cfRule>
    <cfRule type="expression" dxfId="63" priority="4009">
      <formula>#REF!=2</formula>
    </cfRule>
    <cfRule type="expression" dxfId="62" priority="4010">
      <formula>#REF!=1</formula>
    </cfRule>
  </conditionalFormatting>
  <conditionalFormatting sqref="M398:M404">
    <cfRule type="expression" dxfId="61" priority="292">
      <formula>#REF!=1</formula>
    </cfRule>
  </conditionalFormatting>
  <pageMargins left="0.51181102362204722" right="0.51181102362204722" top="0.78740157480314965" bottom="0.78740157480314965" header="0.31496062992125984" footer="0.31496062992125984"/>
  <pageSetup paperSize="9" scale="61" fitToHeight="0" orientation="landscape"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D7E6B-6272-47B7-961C-C4ACB2574C98}">
  <sheetPr>
    <tabColor rgb="FF92D050"/>
    <pageSetUpPr fitToPage="1"/>
  </sheetPr>
  <dimension ref="A1:P1319"/>
  <sheetViews>
    <sheetView showGridLines="0" zoomScale="85" zoomScaleNormal="85" zoomScaleSheetLayoutView="85" workbookViewId="0">
      <pane xSplit="6" ySplit="5" topLeftCell="G44" activePane="bottomRight" state="frozen"/>
      <selection activeCell="G14" sqref="G14"/>
      <selection pane="topRight" activeCell="G14" sqref="G14"/>
      <selection pane="bottomLeft" activeCell="G14" sqref="G14"/>
      <selection pane="bottomRight" activeCell="B46" sqref="B46"/>
    </sheetView>
  </sheetViews>
  <sheetFormatPr defaultColWidth="9.109375" defaultRowHeight="16.8" x14ac:dyDescent="0.4"/>
  <cols>
    <col min="1" max="1" width="11.44140625" style="174" bestFit="1" customWidth="1"/>
    <col min="2" max="2" width="14.6640625" style="323" customWidth="1"/>
    <col min="3" max="3" width="11.44140625" style="174" bestFit="1" customWidth="1"/>
    <col min="4" max="4" width="68.5546875" style="174" bestFit="1" customWidth="1"/>
    <col min="5" max="5" width="5.6640625" style="174" bestFit="1" customWidth="1"/>
    <col min="6" max="6" width="11.44140625" style="174" customWidth="1"/>
    <col min="7" max="7" width="20.44140625" style="174" customWidth="1"/>
    <col min="8" max="16" width="11.44140625" style="174" bestFit="1" customWidth="1"/>
    <col min="17" max="16384" width="9.109375" style="174"/>
  </cols>
  <sheetData>
    <row r="1" spans="1:16" ht="15" customHeight="1" x14ac:dyDescent="0.4">
      <c r="A1" s="310"/>
      <c r="B1" s="310" t="s">
        <v>3484</v>
      </c>
      <c r="C1" s="310"/>
      <c r="D1" s="310" t="s">
        <v>411</v>
      </c>
      <c r="E1" s="587" t="s">
        <v>412</v>
      </c>
      <c r="F1" s="587"/>
      <c r="G1" s="587"/>
      <c r="H1" s="587" t="s">
        <v>1027</v>
      </c>
      <c r="I1" s="587"/>
      <c r="J1" s="587"/>
      <c r="K1" s="587" t="s">
        <v>1028</v>
      </c>
      <c r="L1" s="587"/>
      <c r="M1" s="587"/>
      <c r="N1" s="587"/>
      <c r="O1" s="587"/>
      <c r="P1" s="587"/>
    </row>
    <row r="2" spans="1:16" ht="42" customHeight="1" x14ac:dyDescent="0.4">
      <c r="A2" s="311"/>
      <c r="B2" s="311" t="s">
        <v>3484</v>
      </c>
      <c r="C2" s="311"/>
      <c r="D2" s="311" t="s">
        <v>5901</v>
      </c>
      <c r="E2" s="582" t="s">
        <v>8392</v>
      </c>
      <c r="F2" s="582"/>
      <c r="G2" s="582"/>
      <c r="H2" s="582" t="s">
        <v>2254</v>
      </c>
      <c r="I2" s="582"/>
      <c r="J2" s="582"/>
      <c r="K2" s="582" t="s">
        <v>3765</v>
      </c>
      <c r="L2" s="582"/>
      <c r="M2" s="582"/>
      <c r="N2" s="582"/>
      <c r="O2" s="582"/>
      <c r="P2" s="582"/>
    </row>
    <row r="3" spans="1:16" ht="24" customHeight="1" x14ac:dyDescent="0.4">
      <c r="A3" s="588" t="s">
        <v>3313</v>
      </c>
      <c r="B3" s="589"/>
      <c r="C3" s="589"/>
      <c r="D3" s="589"/>
      <c r="E3" s="589"/>
      <c r="F3" s="589"/>
      <c r="G3" s="589"/>
      <c r="H3" s="589"/>
      <c r="I3" s="589"/>
      <c r="J3" s="589"/>
      <c r="K3" s="589"/>
      <c r="L3" s="589"/>
      <c r="M3" s="589"/>
      <c r="N3" s="589"/>
      <c r="O3" s="589"/>
      <c r="P3" s="589"/>
    </row>
    <row r="4" spans="1:16" s="237" customFormat="1" ht="38.4" customHeight="1" x14ac:dyDescent="0.4">
      <c r="A4" s="586" t="s">
        <v>3314</v>
      </c>
      <c r="B4" s="586" t="s">
        <v>413</v>
      </c>
      <c r="C4" s="586" t="s">
        <v>414</v>
      </c>
      <c r="D4" s="586" t="s">
        <v>415</v>
      </c>
      <c r="E4" s="585" t="s">
        <v>416</v>
      </c>
      <c r="F4" s="584" t="s">
        <v>1030</v>
      </c>
      <c r="G4" s="584" t="s">
        <v>1031</v>
      </c>
      <c r="H4" s="585" t="s">
        <v>3315</v>
      </c>
      <c r="I4" s="586"/>
      <c r="J4" s="586"/>
      <c r="K4" s="586"/>
      <c r="L4" s="585" t="s">
        <v>1032</v>
      </c>
      <c r="M4" s="586"/>
      <c r="N4" s="586"/>
      <c r="O4" s="586"/>
      <c r="P4" s="584" t="s">
        <v>3316</v>
      </c>
    </row>
    <row r="5" spans="1:16" s="237" customFormat="1" ht="15" customHeight="1" x14ac:dyDescent="0.4">
      <c r="A5" s="584"/>
      <c r="B5" s="586"/>
      <c r="C5" s="584"/>
      <c r="D5" s="584"/>
      <c r="E5" s="584"/>
      <c r="F5" s="584"/>
      <c r="G5" s="584"/>
      <c r="H5" s="312" t="s">
        <v>3317</v>
      </c>
      <c r="I5" s="312" t="s">
        <v>3318</v>
      </c>
      <c r="J5" s="312" t="s">
        <v>3319</v>
      </c>
      <c r="K5" s="312" t="s">
        <v>1032</v>
      </c>
      <c r="L5" s="312" t="s">
        <v>3317</v>
      </c>
      <c r="M5" s="312" t="s">
        <v>3318</v>
      </c>
      <c r="N5" s="312" t="s">
        <v>3319</v>
      </c>
      <c r="O5" s="312" t="s">
        <v>1032</v>
      </c>
      <c r="P5" s="584"/>
    </row>
    <row r="6" spans="1:16" ht="24" customHeight="1" x14ac:dyDescent="0.4">
      <c r="A6" s="313" t="s">
        <v>603</v>
      </c>
      <c r="B6" s="313">
        <v>93567</v>
      </c>
      <c r="C6" s="313" t="s">
        <v>395</v>
      </c>
      <c r="D6" s="313" t="s">
        <v>156</v>
      </c>
      <c r="E6" s="314" t="s">
        <v>10</v>
      </c>
      <c r="F6" s="315">
        <v>1</v>
      </c>
      <c r="G6" s="316">
        <v>28769.19</v>
      </c>
      <c r="H6" s="316">
        <v>27549.86</v>
      </c>
      <c r="I6" s="316">
        <v>184.85</v>
      </c>
      <c r="J6" s="316">
        <v>1034.48</v>
      </c>
      <c r="K6" s="316">
        <v>28769.19</v>
      </c>
      <c r="L6" s="316">
        <v>27549.86</v>
      </c>
      <c r="M6" s="316">
        <v>184.85</v>
      </c>
      <c r="N6" s="316">
        <v>1034.48</v>
      </c>
      <c r="O6" s="316">
        <v>28769.19</v>
      </c>
      <c r="P6" s="317">
        <v>4.9477128798353649E-2</v>
      </c>
    </row>
    <row r="7" spans="1:16" ht="24" customHeight="1" x14ac:dyDescent="0.4">
      <c r="A7" s="313" t="s">
        <v>604</v>
      </c>
      <c r="B7" s="313" t="s">
        <v>8366</v>
      </c>
      <c r="C7" s="313" t="s">
        <v>439</v>
      </c>
      <c r="D7" s="313" t="s">
        <v>8371</v>
      </c>
      <c r="E7" s="314" t="s">
        <v>2627</v>
      </c>
      <c r="F7" s="315">
        <v>1</v>
      </c>
      <c r="G7" s="316">
        <v>24788.99</v>
      </c>
      <c r="H7" s="316">
        <v>23951.34</v>
      </c>
      <c r="I7" s="316">
        <v>0</v>
      </c>
      <c r="J7" s="316">
        <v>837.65</v>
      </c>
      <c r="K7" s="316">
        <v>24788.99</v>
      </c>
      <c r="L7" s="316">
        <v>23951.34</v>
      </c>
      <c r="M7" s="316">
        <v>0</v>
      </c>
      <c r="N7" s="316">
        <v>837.65</v>
      </c>
      <c r="O7" s="316">
        <v>24788.99</v>
      </c>
      <c r="P7" s="317">
        <v>4.2631998016318867E-2</v>
      </c>
    </row>
    <row r="8" spans="1:16" ht="24" customHeight="1" x14ac:dyDescent="0.4">
      <c r="A8" s="313" t="s">
        <v>605</v>
      </c>
      <c r="B8" s="313">
        <v>101390</v>
      </c>
      <c r="C8" s="313" t="s">
        <v>395</v>
      </c>
      <c r="D8" s="313" t="s">
        <v>297</v>
      </c>
      <c r="E8" s="314" t="s">
        <v>10</v>
      </c>
      <c r="F8" s="315">
        <v>1</v>
      </c>
      <c r="G8" s="316">
        <v>8554.41</v>
      </c>
      <c r="H8" s="316">
        <v>7045.58</v>
      </c>
      <c r="I8" s="316">
        <v>184.85</v>
      </c>
      <c r="J8" s="316">
        <v>1323.98</v>
      </c>
      <c r="K8" s="316">
        <v>8554.41</v>
      </c>
      <c r="L8" s="316">
        <v>7045.58</v>
      </c>
      <c r="M8" s="316">
        <v>184.85</v>
      </c>
      <c r="N8" s="316">
        <v>1323.98</v>
      </c>
      <c r="O8" s="316">
        <v>8554.41</v>
      </c>
      <c r="P8" s="317">
        <v>1.4711837398408659E-2</v>
      </c>
    </row>
    <row r="9" spans="1:16" ht="24" customHeight="1" x14ac:dyDescent="0.4">
      <c r="A9" s="313" t="s">
        <v>606</v>
      </c>
      <c r="B9" s="313">
        <v>100534</v>
      </c>
      <c r="C9" s="313" t="s">
        <v>395</v>
      </c>
      <c r="D9" s="313" t="s">
        <v>229</v>
      </c>
      <c r="E9" s="314" t="s">
        <v>10</v>
      </c>
      <c r="F9" s="315">
        <v>1</v>
      </c>
      <c r="G9" s="316">
        <v>5464.76</v>
      </c>
      <c r="H9" s="316">
        <v>3984.31</v>
      </c>
      <c r="I9" s="316">
        <v>156.47</v>
      </c>
      <c r="J9" s="316">
        <v>1323.98</v>
      </c>
      <c r="K9" s="316">
        <v>5464.76</v>
      </c>
      <c r="L9" s="316">
        <v>3984.31</v>
      </c>
      <c r="M9" s="316">
        <v>156.47</v>
      </c>
      <c r="N9" s="316">
        <v>1323.98</v>
      </c>
      <c r="O9" s="316">
        <v>5464.76</v>
      </c>
      <c r="P9" s="317">
        <v>9.3982706628893999E-3</v>
      </c>
    </row>
    <row r="10" spans="1:16" ht="24" customHeight="1" x14ac:dyDescent="0.4">
      <c r="A10" s="313" t="s">
        <v>607</v>
      </c>
      <c r="B10" s="313">
        <v>94295</v>
      </c>
      <c r="C10" s="313" t="s">
        <v>395</v>
      </c>
      <c r="D10" s="313" t="s">
        <v>157</v>
      </c>
      <c r="E10" s="314" t="s">
        <v>10</v>
      </c>
      <c r="F10" s="315">
        <v>1</v>
      </c>
      <c r="G10" s="316">
        <v>13625.29</v>
      </c>
      <c r="H10" s="316">
        <v>12031.26</v>
      </c>
      <c r="I10" s="316">
        <v>270.05</v>
      </c>
      <c r="J10" s="316">
        <v>1323.98</v>
      </c>
      <c r="K10" s="316">
        <v>13625.29</v>
      </c>
      <c r="L10" s="316">
        <v>12031.26</v>
      </c>
      <c r="M10" s="316">
        <v>270.05</v>
      </c>
      <c r="N10" s="316">
        <v>1323.98</v>
      </c>
      <c r="O10" s="316">
        <v>13625.29</v>
      </c>
      <c r="P10" s="317">
        <v>2.3432714937226942E-2</v>
      </c>
    </row>
    <row r="11" spans="1:16" ht="24" customHeight="1" x14ac:dyDescent="0.4">
      <c r="A11" s="313" t="s">
        <v>608</v>
      </c>
      <c r="B11" s="313">
        <v>93572</v>
      </c>
      <c r="C11" s="313" t="s">
        <v>395</v>
      </c>
      <c r="D11" s="313" t="s">
        <v>159</v>
      </c>
      <c r="E11" s="314" t="s">
        <v>10</v>
      </c>
      <c r="F11" s="315">
        <v>1</v>
      </c>
      <c r="G11" s="316">
        <v>10350.52</v>
      </c>
      <c r="H11" s="316">
        <v>8756.49</v>
      </c>
      <c r="I11" s="316">
        <v>270.05</v>
      </c>
      <c r="J11" s="316">
        <v>1323.98</v>
      </c>
      <c r="K11" s="316">
        <v>10350.52</v>
      </c>
      <c r="L11" s="316">
        <v>8756.49</v>
      </c>
      <c r="M11" s="316">
        <v>270.05</v>
      </c>
      <c r="N11" s="316">
        <v>1323.98</v>
      </c>
      <c r="O11" s="316">
        <v>10350.52</v>
      </c>
      <c r="P11" s="317">
        <v>1.780077962465872E-2</v>
      </c>
    </row>
    <row r="12" spans="1:16" ht="24" customHeight="1" x14ac:dyDescent="0.4">
      <c r="A12" s="313" t="s">
        <v>609</v>
      </c>
      <c r="B12" s="313">
        <v>100309</v>
      </c>
      <c r="C12" s="313" t="s">
        <v>395</v>
      </c>
      <c r="D12" s="313" t="s">
        <v>228</v>
      </c>
      <c r="E12" s="314" t="s">
        <v>6</v>
      </c>
      <c r="F12" s="315">
        <v>1</v>
      </c>
      <c r="G12" s="316">
        <v>57.42</v>
      </c>
      <c r="H12" s="316">
        <v>48.64</v>
      </c>
      <c r="I12" s="316">
        <v>0.92</v>
      </c>
      <c r="J12" s="316">
        <v>7.86</v>
      </c>
      <c r="K12" s="316">
        <v>57.42</v>
      </c>
      <c r="L12" s="316">
        <v>48.64</v>
      </c>
      <c r="M12" s="316">
        <v>0.92</v>
      </c>
      <c r="N12" s="316">
        <v>7.86</v>
      </c>
      <c r="O12" s="316">
        <v>57.42</v>
      </c>
      <c r="P12" s="317">
        <v>9.8750668183618178E-5</v>
      </c>
    </row>
    <row r="13" spans="1:16" ht="24" customHeight="1" x14ac:dyDescent="0.4">
      <c r="A13" s="313" t="s">
        <v>610</v>
      </c>
      <c r="B13" s="313">
        <v>100534</v>
      </c>
      <c r="C13" s="313" t="s">
        <v>395</v>
      </c>
      <c r="D13" s="313" t="s">
        <v>229</v>
      </c>
      <c r="E13" s="314" t="s">
        <v>10</v>
      </c>
      <c r="F13" s="315">
        <v>1</v>
      </c>
      <c r="G13" s="316">
        <v>5464.76</v>
      </c>
      <c r="H13" s="316">
        <v>3984.31</v>
      </c>
      <c r="I13" s="316">
        <v>156.47</v>
      </c>
      <c r="J13" s="316">
        <v>1323.98</v>
      </c>
      <c r="K13" s="316">
        <v>5464.76</v>
      </c>
      <c r="L13" s="316">
        <v>3984.31</v>
      </c>
      <c r="M13" s="316">
        <v>156.47</v>
      </c>
      <c r="N13" s="316">
        <v>1323.98</v>
      </c>
      <c r="O13" s="316">
        <v>5464.76</v>
      </c>
      <c r="P13" s="317">
        <v>9.3982706628893999E-3</v>
      </c>
    </row>
    <row r="14" spans="1:16" ht="24" customHeight="1" x14ac:dyDescent="0.4">
      <c r="A14" s="313" t="s">
        <v>611</v>
      </c>
      <c r="B14" s="313" t="s">
        <v>2617</v>
      </c>
      <c r="C14" s="313" t="s">
        <v>2616</v>
      </c>
      <c r="D14" s="313" t="s">
        <v>2620</v>
      </c>
      <c r="E14" s="314" t="s">
        <v>10</v>
      </c>
      <c r="F14" s="315">
        <v>1</v>
      </c>
      <c r="G14" s="316">
        <v>5836.16</v>
      </c>
      <c r="H14" s="316">
        <v>5836.16</v>
      </c>
      <c r="I14" s="316">
        <v>0</v>
      </c>
      <c r="J14" s="316">
        <v>0</v>
      </c>
      <c r="K14" s="316">
        <v>5836.16</v>
      </c>
      <c r="L14" s="316">
        <v>5836.16</v>
      </c>
      <c r="M14" s="316">
        <v>0</v>
      </c>
      <c r="N14" s="316">
        <v>0</v>
      </c>
      <c r="O14" s="316">
        <v>5836.16</v>
      </c>
      <c r="P14" s="317">
        <v>1.0037002779980932E-2</v>
      </c>
    </row>
    <row r="15" spans="1:16" ht="24" customHeight="1" x14ac:dyDescent="0.4">
      <c r="A15" s="313" t="s">
        <v>612</v>
      </c>
      <c r="B15" s="313">
        <v>93566</v>
      </c>
      <c r="C15" s="313" t="s">
        <v>395</v>
      </c>
      <c r="D15" s="313" t="s">
        <v>154</v>
      </c>
      <c r="E15" s="314" t="s">
        <v>10</v>
      </c>
      <c r="F15" s="315">
        <v>1</v>
      </c>
      <c r="G15" s="316">
        <v>6069.85</v>
      </c>
      <c r="H15" s="316">
        <v>4589.3999999999996</v>
      </c>
      <c r="I15" s="316">
        <v>156.47</v>
      </c>
      <c r="J15" s="316">
        <v>1323.98</v>
      </c>
      <c r="K15" s="316">
        <v>6069.85</v>
      </c>
      <c r="L15" s="316">
        <v>4589.3999999999996</v>
      </c>
      <c r="M15" s="316">
        <v>156.47</v>
      </c>
      <c r="N15" s="316">
        <v>1323.98</v>
      </c>
      <c r="O15" s="316">
        <v>6069.85</v>
      </c>
      <c r="P15" s="317">
        <v>1.0438901833408827E-2</v>
      </c>
    </row>
    <row r="16" spans="1:16" ht="24" customHeight="1" x14ac:dyDescent="0.4">
      <c r="A16" s="313" t="s">
        <v>613</v>
      </c>
      <c r="B16" s="313">
        <v>93563</v>
      </c>
      <c r="C16" s="313" t="s">
        <v>395</v>
      </c>
      <c r="D16" s="313" t="s">
        <v>153</v>
      </c>
      <c r="E16" s="314" t="s">
        <v>10</v>
      </c>
      <c r="F16" s="315">
        <v>1</v>
      </c>
      <c r="G16" s="316">
        <v>7650.3</v>
      </c>
      <c r="H16" s="316">
        <v>6169.85</v>
      </c>
      <c r="I16" s="316">
        <v>156.47</v>
      </c>
      <c r="J16" s="316">
        <v>1323.98</v>
      </c>
      <c r="K16" s="316">
        <v>7650.3</v>
      </c>
      <c r="L16" s="316">
        <v>6169.85</v>
      </c>
      <c r="M16" s="316">
        <v>156.47</v>
      </c>
      <c r="N16" s="316">
        <v>1323.98</v>
      </c>
      <c r="O16" s="316">
        <v>7650.3</v>
      </c>
      <c r="P16" s="317">
        <v>1.3156952922416129E-2</v>
      </c>
    </row>
    <row r="17" spans="1:16" ht="24" customHeight="1" x14ac:dyDescent="0.4">
      <c r="A17" s="313" t="s">
        <v>614</v>
      </c>
      <c r="B17" s="313">
        <v>88326</v>
      </c>
      <c r="C17" s="313" t="s">
        <v>395</v>
      </c>
      <c r="D17" s="313" t="s">
        <v>150</v>
      </c>
      <c r="E17" s="314" t="s">
        <v>6</v>
      </c>
      <c r="F17" s="315">
        <v>1</v>
      </c>
      <c r="G17" s="316">
        <v>40.950000000000003</v>
      </c>
      <c r="H17" s="316">
        <v>30.74</v>
      </c>
      <c r="I17" s="316">
        <v>2.35</v>
      </c>
      <c r="J17" s="316">
        <v>7.86</v>
      </c>
      <c r="K17" s="316">
        <v>40.950000000000003</v>
      </c>
      <c r="L17" s="316">
        <v>30.74</v>
      </c>
      <c r="M17" s="316">
        <v>2.35</v>
      </c>
      <c r="N17" s="316">
        <v>7.86</v>
      </c>
      <c r="O17" s="316">
        <v>40.950000000000003</v>
      </c>
      <c r="P17" s="317">
        <v>7.0425633265746513E-5</v>
      </c>
    </row>
    <row r="18" spans="1:16" ht="24" customHeight="1" x14ac:dyDescent="0.4">
      <c r="A18" s="313" t="s">
        <v>615</v>
      </c>
      <c r="B18" s="313">
        <v>100289</v>
      </c>
      <c r="C18" s="313" t="s">
        <v>395</v>
      </c>
      <c r="D18" s="313" t="s">
        <v>227</v>
      </c>
      <c r="E18" s="314" t="s">
        <v>6</v>
      </c>
      <c r="F18" s="315">
        <v>1</v>
      </c>
      <c r="G18" s="316">
        <v>35.11</v>
      </c>
      <c r="H18" s="316">
        <v>24.9</v>
      </c>
      <c r="I18" s="316">
        <v>2.35</v>
      </c>
      <c r="J18" s="316">
        <v>7.86</v>
      </c>
      <c r="K18" s="316">
        <v>35.11</v>
      </c>
      <c r="L18" s="316">
        <v>24.9</v>
      </c>
      <c r="M18" s="316">
        <v>2.35</v>
      </c>
      <c r="N18" s="316">
        <v>7.86</v>
      </c>
      <c r="O18" s="316">
        <v>35.11</v>
      </c>
      <c r="P18" s="317">
        <v>6.0382026470338459E-5</v>
      </c>
    </row>
    <row r="19" spans="1:16" ht="24" customHeight="1" x14ac:dyDescent="0.4">
      <c r="A19" s="313" t="s">
        <v>616</v>
      </c>
      <c r="B19" s="313">
        <v>94296</v>
      </c>
      <c r="C19" s="313" t="s">
        <v>395</v>
      </c>
      <c r="D19" s="313" t="s">
        <v>158</v>
      </c>
      <c r="E19" s="314" t="s">
        <v>10</v>
      </c>
      <c r="F19" s="315">
        <v>1</v>
      </c>
      <c r="G19" s="316">
        <v>6525.75</v>
      </c>
      <c r="H19" s="316">
        <v>5042.63</v>
      </c>
      <c r="I19" s="316">
        <v>159.13999999999999</v>
      </c>
      <c r="J19" s="316">
        <v>1323.98</v>
      </c>
      <c r="K19" s="316">
        <v>6525.75</v>
      </c>
      <c r="L19" s="316">
        <v>5042.63</v>
      </c>
      <c r="M19" s="316">
        <v>159.13999999999999</v>
      </c>
      <c r="N19" s="316">
        <v>1323.98</v>
      </c>
      <c r="O19" s="316">
        <v>6525.75</v>
      </c>
      <c r="P19" s="317">
        <v>1.122295668581063E-2</v>
      </c>
    </row>
    <row r="20" spans="1:16" ht="24" customHeight="1" x14ac:dyDescent="0.4">
      <c r="A20" s="313" t="s">
        <v>617</v>
      </c>
      <c r="B20" s="313">
        <v>101389</v>
      </c>
      <c r="C20" s="313" t="s">
        <v>395</v>
      </c>
      <c r="D20" s="313" t="s">
        <v>132</v>
      </c>
      <c r="E20" s="314" t="s">
        <v>10</v>
      </c>
      <c r="F20" s="315">
        <v>1</v>
      </c>
      <c r="G20" s="316">
        <v>3752.45</v>
      </c>
      <c r="H20" s="316">
        <v>2269.33</v>
      </c>
      <c r="I20" s="316">
        <v>159.13999999999999</v>
      </c>
      <c r="J20" s="316">
        <v>1323.98</v>
      </c>
      <c r="K20" s="316">
        <v>3752.45</v>
      </c>
      <c r="L20" s="316">
        <v>2269.33</v>
      </c>
      <c r="M20" s="316">
        <v>159.13999999999999</v>
      </c>
      <c r="N20" s="316">
        <v>1323.98</v>
      </c>
      <c r="O20" s="316">
        <v>3752.45</v>
      </c>
      <c r="P20" s="317">
        <v>6.4534473149707077E-3</v>
      </c>
    </row>
    <row r="21" spans="1:16" ht="36" customHeight="1" x14ac:dyDescent="0.4">
      <c r="A21" s="313" t="s">
        <v>618</v>
      </c>
      <c r="B21" s="313" t="s">
        <v>847</v>
      </c>
      <c r="C21" s="313" t="s">
        <v>5902</v>
      </c>
      <c r="D21" s="313" t="s">
        <v>852</v>
      </c>
      <c r="E21" s="314" t="s">
        <v>853</v>
      </c>
      <c r="F21" s="315">
        <v>1</v>
      </c>
      <c r="G21" s="316">
        <v>1588.65</v>
      </c>
      <c r="H21" s="316">
        <v>155.52000000000001</v>
      </c>
      <c r="I21" s="316">
        <v>0</v>
      </c>
      <c r="J21" s="316">
        <v>1433.13</v>
      </c>
      <c r="K21" s="316">
        <v>1588.65</v>
      </c>
      <c r="L21" s="316">
        <v>155.52000000000001</v>
      </c>
      <c r="M21" s="316">
        <v>0</v>
      </c>
      <c r="N21" s="316">
        <v>1433.13</v>
      </c>
      <c r="O21" s="316">
        <v>1588.65</v>
      </c>
      <c r="P21" s="317">
        <v>2.7321534136172942E-3</v>
      </c>
    </row>
    <row r="22" spans="1:16" ht="36" customHeight="1" x14ac:dyDescent="0.4">
      <c r="A22" s="313" t="s">
        <v>619</v>
      </c>
      <c r="B22" s="313" t="s">
        <v>848</v>
      </c>
      <c r="C22" s="313" t="s">
        <v>5902</v>
      </c>
      <c r="D22" s="313" t="s">
        <v>856</v>
      </c>
      <c r="E22" s="314" t="s">
        <v>853</v>
      </c>
      <c r="F22" s="315">
        <v>1</v>
      </c>
      <c r="G22" s="316">
        <v>1532.04</v>
      </c>
      <c r="H22" s="316">
        <v>155.52000000000001</v>
      </c>
      <c r="I22" s="316">
        <v>0</v>
      </c>
      <c r="J22" s="316">
        <v>1376.52</v>
      </c>
      <c r="K22" s="316">
        <v>1532.04</v>
      </c>
      <c r="L22" s="316">
        <v>155.52000000000001</v>
      </c>
      <c r="M22" s="316">
        <v>0</v>
      </c>
      <c r="N22" s="316">
        <v>1376.52</v>
      </c>
      <c r="O22" s="316">
        <v>1532.04</v>
      </c>
      <c r="P22" s="317">
        <v>2.6347957799378336E-3</v>
      </c>
    </row>
    <row r="23" spans="1:16" ht="84" customHeight="1" x14ac:dyDescent="0.4">
      <c r="A23" s="313" t="s">
        <v>620</v>
      </c>
      <c r="B23" s="313" t="s">
        <v>2618</v>
      </c>
      <c r="C23" s="313" t="s">
        <v>439</v>
      </c>
      <c r="D23" s="313" t="s">
        <v>2626</v>
      </c>
      <c r="E23" s="314" t="s">
        <v>2627</v>
      </c>
      <c r="F23" s="315">
        <v>1</v>
      </c>
      <c r="G23" s="316">
        <v>965.14</v>
      </c>
      <c r="H23" s="316">
        <v>0.77</v>
      </c>
      <c r="I23" s="316">
        <v>0</v>
      </c>
      <c r="J23" s="316">
        <v>964.37</v>
      </c>
      <c r="K23" s="316">
        <v>965.14</v>
      </c>
      <c r="L23" s="316">
        <v>0.77</v>
      </c>
      <c r="M23" s="316">
        <v>0</v>
      </c>
      <c r="N23" s="316">
        <v>964.37</v>
      </c>
      <c r="O23" s="316">
        <v>965.14</v>
      </c>
      <c r="P23" s="317">
        <v>1.6598436065959118E-3</v>
      </c>
    </row>
    <row r="24" spans="1:16" ht="24" customHeight="1" x14ac:dyDescent="0.4">
      <c r="A24" s="313" t="s">
        <v>621</v>
      </c>
      <c r="B24" s="313" t="s">
        <v>849</v>
      </c>
      <c r="C24" s="313" t="s">
        <v>5902</v>
      </c>
      <c r="D24" s="313" t="s">
        <v>859</v>
      </c>
      <c r="E24" s="314" t="s">
        <v>853</v>
      </c>
      <c r="F24" s="315">
        <v>1</v>
      </c>
      <c r="G24" s="316">
        <v>999.51</v>
      </c>
      <c r="H24" s="316">
        <v>92.75</v>
      </c>
      <c r="I24" s="316">
        <v>0</v>
      </c>
      <c r="J24" s="316">
        <v>906.76</v>
      </c>
      <c r="K24" s="316">
        <v>999.51</v>
      </c>
      <c r="L24" s="316">
        <v>92.75</v>
      </c>
      <c r="M24" s="316">
        <v>0</v>
      </c>
      <c r="N24" s="316">
        <v>906.76</v>
      </c>
      <c r="O24" s="316">
        <v>999.51</v>
      </c>
      <c r="P24" s="317">
        <v>1.7189529842599827E-3</v>
      </c>
    </row>
    <row r="25" spans="1:16" ht="24" customHeight="1" x14ac:dyDescent="0.4">
      <c r="A25" s="313" t="s">
        <v>622</v>
      </c>
      <c r="B25" s="313" t="s">
        <v>1769</v>
      </c>
      <c r="C25" s="313" t="s">
        <v>5902</v>
      </c>
      <c r="D25" s="313" t="s">
        <v>1795</v>
      </c>
      <c r="E25" s="314" t="s">
        <v>853</v>
      </c>
      <c r="F25" s="315">
        <v>1</v>
      </c>
      <c r="G25" s="316">
        <v>1017.42</v>
      </c>
      <c r="H25" s="316">
        <v>30.91</v>
      </c>
      <c r="I25" s="316">
        <v>0</v>
      </c>
      <c r="J25" s="316">
        <v>986.51</v>
      </c>
      <c r="K25" s="316">
        <v>1017.42</v>
      </c>
      <c r="L25" s="316">
        <v>30.91</v>
      </c>
      <c r="M25" s="316">
        <v>0</v>
      </c>
      <c r="N25" s="316">
        <v>986.51</v>
      </c>
      <c r="O25" s="316">
        <v>1017.42</v>
      </c>
      <c r="P25" s="317">
        <v>1.7497545249630236E-3</v>
      </c>
    </row>
    <row r="26" spans="1:16" ht="24" customHeight="1" x14ac:dyDescent="0.4">
      <c r="A26" s="313" t="s">
        <v>623</v>
      </c>
      <c r="B26" s="313" t="s">
        <v>1791</v>
      </c>
      <c r="C26" s="313" t="s">
        <v>5902</v>
      </c>
      <c r="D26" s="313" t="s">
        <v>1797</v>
      </c>
      <c r="E26" s="314" t="s">
        <v>675</v>
      </c>
      <c r="F26" s="315">
        <v>1</v>
      </c>
      <c r="G26" s="316">
        <v>109.46</v>
      </c>
      <c r="H26" s="316">
        <v>60.57</v>
      </c>
      <c r="I26" s="316">
        <v>0</v>
      </c>
      <c r="J26" s="316">
        <v>48.89</v>
      </c>
      <c r="K26" s="316">
        <v>109.46</v>
      </c>
      <c r="L26" s="316">
        <v>60.57</v>
      </c>
      <c r="M26" s="316">
        <v>0</v>
      </c>
      <c r="N26" s="316">
        <v>48.89</v>
      </c>
      <c r="O26" s="316">
        <v>109.46</v>
      </c>
      <c r="P26" s="317">
        <v>1.8824883558653512E-4</v>
      </c>
    </row>
    <row r="27" spans="1:16" ht="24" customHeight="1" x14ac:dyDescent="0.4">
      <c r="A27" s="313" t="s">
        <v>624</v>
      </c>
      <c r="B27" s="313">
        <v>98459</v>
      </c>
      <c r="C27" s="313" t="s">
        <v>395</v>
      </c>
      <c r="D27" s="313" t="s">
        <v>5903</v>
      </c>
      <c r="E27" s="314" t="s">
        <v>675</v>
      </c>
      <c r="F27" s="315">
        <v>1</v>
      </c>
      <c r="G27" s="316">
        <v>101.84</v>
      </c>
      <c r="H27" s="316">
        <v>37.32</v>
      </c>
      <c r="I27" s="316">
        <v>2.5299999999999998</v>
      </c>
      <c r="J27" s="316">
        <v>61.99</v>
      </c>
      <c r="K27" s="316">
        <v>101.84</v>
      </c>
      <c r="L27" s="316">
        <v>37.32</v>
      </c>
      <c r="M27" s="316">
        <v>2.5299999999999998</v>
      </c>
      <c r="N27" s="316">
        <v>61.99</v>
      </c>
      <c r="O27" s="316">
        <v>101.84</v>
      </c>
      <c r="P27" s="317">
        <v>1.7514399247334859E-4</v>
      </c>
    </row>
    <row r="28" spans="1:16" ht="36" customHeight="1" x14ac:dyDescent="0.4">
      <c r="A28" s="313" t="s">
        <v>625</v>
      </c>
      <c r="B28" s="313">
        <v>93582</v>
      </c>
      <c r="C28" s="313" t="s">
        <v>395</v>
      </c>
      <c r="D28" s="313" t="s">
        <v>12</v>
      </c>
      <c r="E28" s="314" t="s">
        <v>675</v>
      </c>
      <c r="F28" s="315">
        <v>1</v>
      </c>
      <c r="G28" s="316">
        <v>339.43</v>
      </c>
      <c r="H28" s="316">
        <v>88.85</v>
      </c>
      <c r="I28" s="316">
        <v>7.11</v>
      </c>
      <c r="J28" s="316">
        <v>243.47</v>
      </c>
      <c r="K28" s="316">
        <v>339.43</v>
      </c>
      <c r="L28" s="316">
        <v>88.85</v>
      </c>
      <c r="M28" s="316">
        <v>7.11</v>
      </c>
      <c r="N28" s="316">
        <v>243.47</v>
      </c>
      <c r="O28" s="316">
        <v>339.43</v>
      </c>
      <c r="P28" s="317">
        <v>5.8375024906940991E-4</v>
      </c>
    </row>
    <row r="29" spans="1:16" ht="36" customHeight="1" x14ac:dyDescent="0.4">
      <c r="A29" s="313" t="s">
        <v>626</v>
      </c>
      <c r="B29" s="313">
        <v>93583</v>
      </c>
      <c r="C29" s="313" t="s">
        <v>395</v>
      </c>
      <c r="D29" s="313" t="s">
        <v>13</v>
      </c>
      <c r="E29" s="314" t="s">
        <v>675</v>
      </c>
      <c r="F29" s="315">
        <v>1</v>
      </c>
      <c r="G29" s="316">
        <v>576.44000000000005</v>
      </c>
      <c r="H29" s="316">
        <v>146.9</v>
      </c>
      <c r="I29" s="316">
        <v>12.05</v>
      </c>
      <c r="J29" s="316">
        <v>417.49</v>
      </c>
      <c r="K29" s="316">
        <v>576.44000000000005</v>
      </c>
      <c r="L29" s="316">
        <v>146.9</v>
      </c>
      <c r="M29" s="316">
        <v>12.05</v>
      </c>
      <c r="N29" s="316">
        <v>417.49</v>
      </c>
      <c r="O29" s="316">
        <v>576.44000000000005</v>
      </c>
      <c r="P29" s="317">
        <v>9.913590241686671E-4</v>
      </c>
    </row>
    <row r="30" spans="1:16" ht="36" customHeight="1" x14ac:dyDescent="0.4">
      <c r="A30" s="318" t="s">
        <v>627</v>
      </c>
      <c r="B30" s="318">
        <v>10527</v>
      </c>
      <c r="C30" s="318" t="s">
        <v>395</v>
      </c>
      <c r="D30" s="318" t="s">
        <v>3320</v>
      </c>
      <c r="E30" s="319" t="s">
        <v>3321</v>
      </c>
      <c r="F30" s="320">
        <v>1</v>
      </c>
      <c r="G30" s="321">
        <v>35</v>
      </c>
      <c r="H30" s="321">
        <v>0</v>
      </c>
      <c r="I30" s="321">
        <v>35</v>
      </c>
      <c r="J30" s="321">
        <v>0</v>
      </c>
      <c r="K30" s="321">
        <v>35</v>
      </c>
      <c r="L30" s="321">
        <v>0</v>
      </c>
      <c r="M30" s="321">
        <v>35</v>
      </c>
      <c r="N30" s="321">
        <v>0</v>
      </c>
      <c r="O30" s="321">
        <v>35</v>
      </c>
      <c r="P30" s="322">
        <v>6.0192848945082488E-5</v>
      </c>
    </row>
    <row r="31" spans="1:16" ht="36" customHeight="1" x14ac:dyDescent="0.4">
      <c r="A31" s="313" t="s">
        <v>628</v>
      </c>
      <c r="B31" s="313">
        <v>93243</v>
      </c>
      <c r="C31" s="313" t="s">
        <v>395</v>
      </c>
      <c r="D31" s="313" t="s">
        <v>190</v>
      </c>
      <c r="E31" s="314" t="s">
        <v>4</v>
      </c>
      <c r="F31" s="315">
        <v>1</v>
      </c>
      <c r="G31" s="316">
        <v>13317.27</v>
      </c>
      <c r="H31" s="316">
        <v>3181.64</v>
      </c>
      <c r="I31" s="316">
        <v>215.85</v>
      </c>
      <c r="J31" s="316">
        <v>9919.7800000000007</v>
      </c>
      <c r="K31" s="316">
        <v>13317.27</v>
      </c>
      <c r="L31" s="316">
        <v>3181.64</v>
      </c>
      <c r="M31" s="316">
        <v>215.85</v>
      </c>
      <c r="N31" s="316">
        <v>9919.7800000000007</v>
      </c>
      <c r="O31" s="316">
        <v>13317.27</v>
      </c>
      <c r="P31" s="317">
        <v>2.2902983470596532E-2</v>
      </c>
    </row>
    <row r="32" spans="1:16" ht="24" customHeight="1" x14ac:dyDescent="0.4">
      <c r="A32" s="313" t="s">
        <v>629</v>
      </c>
      <c r="B32" s="313">
        <v>210500</v>
      </c>
      <c r="C32" s="313" t="s">
        <v>408</v>
      </c>
      <c r="D32" s="313" t="s">
        <v>5904</v>
      </c>
      <c r="E32" s="314" t="s">
        <v>4</v>
      </c>
      <c r="F32" s="315">
        <v>1</v>
      </c>
      <c r="G32" s="316">
        <v>370</v>
      </c>
      <c r="H32" s="316">
        <v>0</v>
      </c>
      <c r="I32" s="316">
        <v>0</v>
      </c>
      <c r="J32" s="316">
        <v>370</v>
      </c>
      <c r="K32" s="316">
        <v>370</v>
      </c>
      <c r="L32" s="316">
        <v>0</v>
      </c>
      <c r="M32" s="316">
        <v>0</v>
      </c>
      <c r="N32" s="316">
        <v>370</v>
      </c>
      <c r="O32" s="316">
        <v>370</v>
      </c>
      <c r="P32" s="317">
        <v>6.3632440313372916E-4</v>
      </c>
    </row>
    <row r="33" spans="1:16" ht="24" customHeight="1" x14ac:dyDescent="0.4">
      <c r="A33" s="313" t="s">
        <v>630</v>
      </c>
      <c r="B33" s="313">
        <v>692</v>
      </c>
      <c r="C33" s="313" t="s">
        <v>575</v>
      </c>
      <c r="D33" s="313" t="s">
        <v>2761</v>
      </c>
      <c r="E33" s="314" t="s">
        <v>380</v>
      </c>
      <c r="F33" s="315">
        <v>1</v>
      </c>
      <c r="G33" s="316">
        <v>10244.879999999999</v>
      </c>
      <c r="H33" s="316">
        <v>0</v>
      </c>
      <c r="I33" s="316">
        <v>0</v>
      </c>
      <c r="J33" s="316">
        <v>10244.879999999999</v>
      </c>
      <c r="K33" s="316">
        <v>10244.879999999999</v>
      </c>
      <c r="L33" s="316">
        <v>0</v>
      </c>
      <c r="M33" s="316">
        <v>0</v>
      </c>
      <c r="N33" s="316">
        <v>10244.879999999999</v>
      </c>
      <c r="O33" s="316">
        <v>10244.879999999999</v>
      </c>
      <c r="P33" s="317">
        <v>1.7619100408585619E-2</v>
      </c>
    </row>
    <row r="34" spans="1:16" ht="24" customHeight="1" x14ac:dyDescent="0.4">
      <c r="A34" s="313" t="s">
        <v>631</v>
      </c>
      <c r="B34" s="313">
        <v>3099</v>
      </c>
      <c r="C34" s="313" t="s">
        <v>420</v>
      </c>
      <c r="D34" s="313" t="s">
        <v>5905</v>
      </c>
      <c r="E34" s="314" t="s">
        <v>2763</v>
      </c>
      <c r="F34" s="315">
        <v>1</v>
      </c>
      <c r="G34" s="316">
        <v>945.34</v>
      </c>
      <c r="H34" s="316">
        <v>801.73</v>
      </c>
      <c r="I34" s="316">
        <v>143.6</v>
      </c>
      <c r="J34" s="316">
        <v>0.01</v>
      </c>
      <c r="K34" s="316">
        <v>945.34</v>
      </c>
      <c r="L34" s="316">
        <v>801.73</v>
      </c>
      <c r="M34" s="316">
        <v>143.6</v>
      </c>
      <c r="N34" s="316">
        <v>0.01</v>
      </c>
      <c r="O34" s="316">
        <v>945.34</v>
      </c>
      <c r="P34" s="317">
        <v>1.6257916520498366E-3</v>
      </c>
    </row>
    <row r="35" spans="1:16" ht="36" customHeight="1" x14ac:dyDescent="0.4">
      <c r="A35" s="313" t="s">
        <v>632</v>
      </c>
      <c r="B35" s="313" t="s">
        <v>2769</v>
      </c>
      <c r="C35" s="313" t="s">
        <v>2616</v>
      </c>
      <c r="D35" s="313" t="s">
        <v>2765</v>
      </c>
      <c r="E35" s="314" t="s">
        <v>10</v>
      </c>
      <c r="F35" s="315">
        <v>1</v>
      </c>
      <c r="G35" s="316">
        <v>37429.919999999998</v>
      </c>
      <c r="H35" s="316">
        <v>37429.919999999998</v>
      </c>
      <c r="I35" s="316">
        <v>0</v>
      </c>
      <c r="J35" s="316">
        <v>0</v>
      </c>
      <c r="K35" s="316">
        <v>37429.919999999998</v>
      </c>
      <c r="L35" s="316">
        <v>37429.919999999998</v>
      </c>
      <c r="M35" s="316">
        <v>0</v>
      </c>
      <c r="N35" s="316">
        <v>0</v>
      </c>
      <c r="O35" s="316">
        <v>37429.919999999998</v>
      </c>
      <c r="P35" s="317">
        <v>6.4371814873900632E-2</v>
      </c>
    </row>
    <row r="36" spans="1:16" ht="48" customHeight="1" x14ac:dyDescent="0.4">
      <c r="A36" s="313" t="s">
        <v>633</v>
      </c>
      <c r="B36" s="313" t="s">
        <v>2770</v>
      </c>
      <c r="C36" s="313" t="s">
        <v>2616</v>
      </c>
      <c r="D36" s="313" t="s">
        <v>5906</v>
      </c>
      <c r="E36" s="314" t="s">
        <v>2768</v>
      </c>
      <c r="F36" s="315">
        <v>1</v>
      </c>
      <c r="G36" s="316">
        <v>37.42</v>
      </c>
      <c r="H36" s="316">
        <v>0</v>
      </c>
      <c r="I36" s="316">
        <v>0</v>
      </c>
      <c r="J36" s="316">
        <v>37.42</v>
      </c>
      <c r="K36" s="316">
        <v>37.42</v>
      </c>
      <c r="L36" s="316">
        <v>0</v>
      </c>
      <c r="M36" s="316">
        <v>0</v>
      </c>
      <c r="N36" s="316">
        <v>37.42</v>
      </c>
      <c r="O36" s="316">
        <v>37.42</v>
      </c>
      <c r="P36" s="317">
        <v>6.4354754500713901E-5</v>
      </c>
    </row>
    <row r="37" spans="1:16" ht="36" customHeight="1" x14ac:dyDescent="0.4">
      <c r="A37" s="313" t="s">
        <v>634</v>
      </c>
      <c r="B37" s="313">
        <v>99059</v>
      </c>
      <c r="C37" s="313" t="s">
        <v>395</v>
      </c>
      <c r="D37" s="313" t="s">
        <v>5907</v>
      </c>
      <c r="E37" s="314" t="s">
        <v>7</v>
      </c>
      <c r="F37" s="315">
        <v>1</v>
      </c>
      <c r="G37" s="316">
        <v>85.37</v>
      </c>
      <c r="H37" s="316">
        <v>42.26</v>
      </c>
      <c r="I37" s="316">
        <v>2.94</v>
      </c>
      <c r="J37" s="316">
        <v>40.17</v>
      </c>
      <c r="K37" s="316">
        <v>85.37</v>
      </c>
      <c r="L37" s="316">
        <v>42.26</v>
      </c>
      <c r="M37" s="316">
        <v>2.94</v>
      </c>
      <c r="N37" s="316">
        <v>40.17</v>
      </c>
      <c r="O37" s="316">
        <v>85.37</v>
      </c>
      <c r="P37" s="317">
        <v>1.4681895755547692E-4</v>
      </c>
    </row>
    <row r="38" spans="1:16" ht="36" customHeight="1" x14ac:dyDescent="0.4">
      <c r="A38" s="313" t="s">
        <v>635</v>
      </c>
      <c r="B38" s="313">
        <v>101124</v>
      </c>
      <c r="C38" s="313" t="s">
        <v>395</v>
      </c>
      <c r="D38" s="313" t="s">
        <v>340</v>
      </c>
      <c r="E38" s="314" t="s">
        <v>713</v>
      </c>
      <c r="F38" s="315">
        <v>1</v>
      </c>
      <c r="G38" s="316">
        <v>17.78</v>
      </c>
      <c r="H38" s="316">
        <v>4.29</v>
      </c>
      <c r="I38" s="316">
        <v>6.85</v>
      </c>
      <c r="J38" s="316">
        <v>6.64</v>
      </c>
      <c r="K38" s="316">
        <v>17.78</v>
      </c>
      <c r="L38" s="316">
        <v>4.29</v>
      </c>
      <c r="M38" s="316">
        <v>6.85</v>
      </c>
      <c r="N38" s="316">
        <v>6.64</v>
      </c>
      <c r="O38" s="316">
        <v>17.78</v>
      </c>
      <c r="P38" s="317">
        <v>3.0577967264101906E-5</v>
      </c>
    </row>
    <row r="39" spans="1:16" ht="36" customHeight="1" x14ac:dyDescent="0.4">
      <c r="A39" s="313" t="s">
        <v>636</v>
      </c>
      <c r="B39" s="313">
        <v>96523</v>
      </c>
      <c r="C39" s="313" t="s">
        <v>395</v>
      </c>
      <c r="D39" s="313" t="s">
        <v>5908</v>
      </c>
      <c r="E39" s="314" t="s">
        <v>713</v>
      </c>
      <c r="F39" s="315">
        <v>1</v>
      </c>
      <c r="G39" s="316">
        <v>143.22999999999999</v>
      </c>
      <c r="H39" s="316">
        <v>101.45</v>
      </c>
      <c r="I39" s="316">
        <v>9.6199999999999992</v>
      </c>
      <c r="J39" s="316">
        <v>32.159999999999997</v>
      </c>
      <c r="K39" s="316">
        <v>143.22999999999999</v>
      </c>
      <c r="L39" s="316">
        <v>101.45</v>
      </c>
      <c r="M39" s="316">
        <v>9.6199999999999992</v>
      </c>
      <c r="N39" s="316">
        <v>32.159999999999997</v>
      </c>
      <c r="O39" s="316">
        <v>143.22999999999999</v>
      </c>
      <c r="P39" s="317">
        <v>2.4632633584011901E-4</v>
      </c>
    </row>
    <row r="40" spans="1:16" ht="24" customHeight="1" x14ac:dyDescent="0.4">
      <c r="A40" s="313" t="s">
        <v>637</v>
      </c>
      <c r="B40" s="313">
        <v>93382</v>
      </c>
      <c r="C40" s="313" t="s">
        <v>395</v>
      </c>
      <c r="D40" s="313" t="s">
        <v>5909</v>
      </c>
      <c r="E40" s="314" t="s">
        <v>713</v>
      </c>
      <c r="F40" s="315">
        <v>1</v>
      </c>
      <c r="G40" s="316">
        <v>38.03</v>
      </c>
      <c r="H40" s="316">
        <v>24.64</v>
      </c>
      <c r="I40" s="316">
        <v>2.98</v>
      </c>
      <c r="J40" s="316">
        <v>10.41</v>
      </c>
      <c r="K40" s="316">
        <v>38.03</v>
      </c>
      <c r="L40" s="316">
        <v>24.64</v>
      </c>
      <c r="M40" s="316">
        <v>2.98</v>
      </c>
      <c r="N40" s="316">
        <v>10.41</v>
      </c>
      <c r="O40" s="316">
        <v>38.03</v>
      </c>
      <c r="P40" s="317">
        <v>6.5403829868042486E-5</v>
      </c>
    </row>
    <row r="41" spans="1:16" ht="48" customHeight="1" x14ac:dyDescent="0.4">
      <c r="A41" s="313" t="s">
        <v>638</v>
      </c>
      <c r="B41" s="313">
        <v>100981</v>
      </c>
      <c r="C41" s="313" t="s">
        <v>395</v>
      </c>
      <c r="D41" s="313" t="s">
        <v>5910</v>
      </c>
      <c r="E41" s="314" t="s">
        <v>713</v>
      </c>
      <c r="F41" s="315">
        <v>1</v>
      </c>
      <c r="G41" s="316">
        <v>11.52</v>
      </c>
      <c r="H41" s="316">
        <v>3.06</v>
      </c>
      <c r="I41" s="316">
        <v>4.32</v>
      </c>
      <c r="J41" s="316">
        <v>4.1399999999999997</v>
      </c>
      <c r="K41" s="316">
        <v>11.52</v>
      </c>
      <c r="L41" s="316">
        <v>3.06</v>
      </c>
      <c r="M41" s="316">
        <v>4.32</v>
      </c>
      <c r="N41" s="316">
        <v>4.1399999999999997</v>
      </c>
      <c r="O41" s="316">
        <v>11.52</v>
      </c>
      <c r="P41" s="317">
        <v>1.9812046281352864E-5</v>
      </c>
    </row>
    <row r="42" spans="1:16" ht="36" customHeight="1" x14ac:dyDescent="0.4">
      <c r="A42" s="313" t="s">
        <v>639</v>
      </c>
      <c r="B42" s="313">
        <v>95875</v>
      </c>
      <c r="C42" s="313" t="s">
        <v>395</v>
      </c>
      <c r="D42" s="313" t="s">
        <v>5911</v>
      </c>
      <c r="E42" s="314" t="s">
        <v>120</v>
      </c>
      <c r="F42" s="315">
        <v>1</v>
      </c>
      <c r="G42" s="316">
        <v>3.2</v>
      </c>
      <c r="H42" s="316">
        <v>0.6</v>
      </c>
      <c r="I42" s="316">
        <v>0.92</v>
      </c>
      <c r="J42" s="316">
        <v>1.68</v>
      </c>
      <c r="K42" s="316">
        <v>3.2</v>
      </c>
      <c r="L42" s="316">
        <v>0.6</v>
      </c>
      <c r="M42" s="316">
        <v>0.92</v>
      </c>
      <c r="N42" s="316">
        <v>1.68</v>
      </c>
      <c r="O42" s="316">
        <v>3.2</v>
      </c>
      <c r="P42" s="317">
        <v>5.5033461892646843E-6</v>
      </c>
    </row>
    <row r="43" spans="1:16" ht="36" customHeight="1" x14ac:dyDescent="0.4">
      <c r="A43" s="313" t="s">
        <v>640</v>
      </c>
      <c r="B43" s="313">
        <v>93590</v>
      </c>
      <c r="C43" s="313" t="s">
        <v>395</v>
      </c>
      <c r="D43" s="313" t="s">
        <v>5912</v>
      </c>
      <c r="E43" s="314" t="s">
        <v>120</v>
      </c>
      <c r="F43" s="315">
        <v>1</v>
      </c>
      <c r="G43" s="316">
        <v>1.23</v>
      </c>
      <c r="H43" s="316">
        <v>0.23</v>
      </c>
      <c r="I43" s="316">
        <v>0.35</v>
      </c>
      <c r="J43" s="316">
        <v>0.65</v>
      </c>
      <c r="K43" s="316">
        <v>1.23</v>
      </c>
      <c r="L43" s="316">
        <v>0.23</v>
      </c>
      <c r="M43" s="316">
        <v>0.35</v>
      </c>
      <c r="N43" s="316">
        <v>0.65</v>
      </c>
      <c r="O43" s="316">
        <v>1.23</v>
      </c>
      <c r="P43" s="317">
        <v>2.1153486914986132E-6</v>
      </c>
    </row>
    <row r="44" spans="1:16" ht="36" customHeight="1" x14ac:dyDescent="0.4">
      <c r="A44" s="313" t="s">
        <v>641</v>
      </c>
      <c r="B44" s="313" t="s">
        <v>753</v>
      </c>
      <c r="C44" s="313" t="s">
        <v>5902</v>
      </c>
      <c r="D44" s="313" t="s">
        <v>756</v>
      </c>
      <c r="E44" s="314" t="s">
        <v>757</v>
      </c>
      <c r="F44" s="315">
        <v>1</v>
      </c>
      <c r="G44" s="316">
        <v>43853.17</v>
      </c>
      <c r="H44" s="316">
        <v>0</v>
      </c>
      <c r="I44" s="316">
        <v>0</v>
      </c>
      <c r="J44" s="316">
        <v>43853.17</v>
      </c>
      <c r="K44" s="316">
        <v>43853.17</v>
      </c>
      <c r="L44" s="316">
        <v>0</v>
      </c>
      <c r="M44" s="316">
        <v>0</v>
      </c>
      <c r="N44" s="316">
        <v>43853.17</v>
      </c>
      <c r="O44" s="316">
        <v>43853.17</v>
      </c>
      <c r="P44" s="317">
        <v>7.5418492502086376E-2</v>
      </c>
    </row>
    <row r="45" spans="1:16" ht="24" customHeight="1" x14ac:dyDescent="0.4">
      <c r="A45" s="313" t="s">
        <v>642</v>
      </c>
      <c r="B45" s="313" t="s">
        <v>789</v>
      </c>
      <c r="C45" s="313" t="s">
        <v>439</v>
      </c>
      <c r="D45" s="313" t="s">
        <v>791</v>
      </c>
      <c r="E45" s="314" t="s">
        <v>437</v>
      </c>
      <c r="F45" s="315">
        <v>1</v>
      </c>
      <c r="G45" s="316">
        <v>77.64</v>
      </c>
      <c r="H45" s="316">
        <v>0</v>
      </c>
      <c r="I45" s="316">
        <v>0</v>
      </c>
      <c r="J45" s="316">
        <v>77.64</v>
      </c>
      <c r="K45" s="316">
        <v>77.64</v>
      </c>
      <c r="L45" s="316">
        <v>0</v>
      </c>
      <c r="M45" s="316">
        <v>0</v>
      </c>
      <c r="N45" s="316">
        <v>77.64</v>
      </c>
      <c r="O45" s="316">
        <v>77.64</v>
      </c>
      <c r="P45" s="317">
        <v>1.335249369170344E-4</v>
      </c>
    </row>
    <row r="46" spans="1:16" ht="24" customHeight="1" x14ac:dyDescent="0.4">
      <c r="A46" s="313" t="s">
        <v>643</v>
      </c>
      <c r="B46" s="313">
        <v>96545</v>
      </c>
      <c r="C46" s="313" t="s">
        <v>395</v>
      </c>
      <c r="D46" s="313" t="s">
        <v>5913</v>
      </c>
      <c r="E46" s="314" t="s">
        <v>3</v>
      </c>
      <c r="F46" s="315">
        <v>1</v>
      </c>
      <c r="G46" s="316">
        <v>19.260000000000002</v>
      </c>
      <c r="H46" s="316">
        <v>6.5</v>
      </c>
      <c r="I46" s="316">
        <v>0.48</v>
      </c>
      <c r="J46" s="316">
        <v>12.28</v>
      </c>
      <c r="K46" s="316">
        <v>19.260000000000002</v>
      </c>
      <c r="L46" s="316">
        <v>6.5</v>
      </c>
      <c r="M46" s="316">
        <v>0.48</v>
      </c>
      <c r="N46" s="316">
        <v>12.28</v>
      </c>
      <c r="O46" s="316">
        <v>19.260000000000002</v>
      </c>
      <c r="P46" s="317">
        <v>3.312326487663682E-5</v>
      </c>
    </row>
    <row r="47" spans="1:16" ht="24" customHeight="1" x14ac:dyDescent="0.4">
      <c r="A47" s="313" t="s">
        <v>644</v>
      </c>
      <c r="B47" s="313">
        <v>96548</v>
      </c>
      <c r="C47" s="313" t="s">
        <v>395</v>
      </c>
      <c r="D47" s="313" t="s">
        <v>188</v>
      </c>
      <c r="E47" s="314" t="s">
        <v>3</v>
      </c>
      <c r="F47" s="315">
        <v>1</v>
      </c>
      <c r="G47" s="316">
        <v>11.28</v>
      </c>
      <c r="H47" s="316">
        <v>2.0099999999999998</v>
      </c>
      <c r="I47" s="316">
        <v>0.17</v>
      </c>
      <c r="J47" s="316">
        <v>9.1</v>
      </c>
      <c r="K47" s="316">
        <v>11.28</v>
      </c>
      <c r="L47" s="316">
        <v>2.0099999999999998</v>
      </c>
      <c r="M47" s="316">
        <v>0.17</v>
      </c>
      <c r="N47" s="316">
        <v>9.1</v>
      </c>
      <c r="O47" s="316">
        <v>11.28</v>
      </c>
      <c r="P47" s="317">
        <v>1.9399295317158011E-5</v>
      </c>
    </row>
    <row r="48" spans="1:16" ht="24" customHeight="1" x14ac:dyDescent="0.4">
      <c r="A48" s="313" t="s">
        <v>645</v>
      </c>
      <c r="B48" s="313" t="s">
        <v>754</v>
      </c>
      <c r="C48" s="313" t="s">
        <v>5902</v>
      </c>
      <c r="D48" s="313" t="s">
        <v>759</v>
      </c>
      <c r="E48" s="314" t="s">
        <v>713</v>
      </c>
      <c r="F48" s="315">
        <v>1</v>
      </c>
      <c r="G48" s="316">
        <v>598.41999999999996</v>
      </c>
      <c r="H48" s="316">
        <v>0</v>
      </c>
      <c r="I48" s="316">
        <v>0</v>
      </c>
      <c r="J48" s="316">
        <v>598.41999999999996</v>
      </c>
      <c r="K48" s="316">
        <v>598.41999999999996</v>
      </c>
      <c r="L48" s="316">
        <v>0</v>
      </c>
      <c r="M48" s="316">
        <v>0</v>
      </c>
      <c r="N48" s="316">
        <v>598.41999999999996</v>
      </c>
      <c r="O48" s="316">
        <v>598.41999999999996</v>
      </c>
      <c r="P48" s="317">
        <v>1.0291601333061789E-3</v>
      </c>
    </row>
    <row r="49" spans="1:16" ht="24" customHeight="1" x14ac:dyDescent="0.4">
      <c r="A49" s="313" t="s">
        <v>646</v>
      </c>
      <c r="B49" s="313">
        <v>95602</v>
      </c>
      <c r="C49" s="313" t="s">
        <v>395</v>
      </c>
      <c r="D49" s="313" t="s">
        <v>312</v>
      </c>
      <c r="E49" s="314" t="s">
        <v>4</v>
      </c>
      <c r="F49" s="315">
        <v>1</v>
      </c>
      <c r="G49" s="316">
        <v>43.22</v>
      </c>
      <c r="H49" s="316">
        <v>30.74</v>
      </c>
      <c r="I49" s="316">
        <v>2.77</v>
      </c>
      <c r="J49" s="316">
        <v>9.7100000000000009</v>
      </c>
      <c r="K49" s="316">
        <v>43.22</v>
      </c>
      <c r="L49" s="316">
        <v>30.74</v>
      </c>
      <c r="M49" s="316">
        <v>2.77</v>
      </c>
      <c r="N49" s="316">
        <v>9.7100000000000009</v>
      </c>
      <c r="O49" s="316">
        <v>43.22</v>
      </c>
      <c r="P49" s="317">
        <v>7.432956946875614E-5</v>
      </c>
    </row>
    <row r="50" spans="1:16" ht="24" customHeight="1" x14ac:dyDescent="0.4">
      <c r="A50" s="313" t="s">
        <v>647</v>
      </c>
      <c r="B50" s="313">
        <v>96616</v>
      </c>
      <c r="C50" s="313" t="s">
        <v>395</v>
      </c>
      <c r="D50" s="313" t="s">
        <v>5914</v>
      </c>
      <c r="E50" s="314" t="s">
        <v>713</v>
      </c>
      <c r="F50" s="315">
        <v>1</v>
      </c>
      <c r="G50" s="316">
        <v>975.14</v>
      </c>
      <c r="H50" s="316">
        <v>383.38</v>
      </c>
      <c r="I50" s="316">
        <v>35.51</v>
      </c>
      <c r="J50" s="316">
        <v>556.25</v>
      </c>
      <c r="K50" s="316">
        <v>975.14</v>
      </c>
      <c r="L50" s="316">
        <v>383.38</v>
      </c>
      <c r="M50" s="316">
        <v>35.51</v>
      </c>
      <c r="N50" s="316">
        <v>556.25</v>
      </c>
      <c r="O50" s="316">
        <v>975.14</v>
      </c>
      <c r="P50" s="317">
        <v>1.6770415634373638E-3</v>
      </c>
    </row>
    <row r="51" spans="1:16" ht="24" customHeight="1" x14ac:dyDescent="0.4">
      <c r="A51" s="313" t="s">
        <v>648</v>
      </c>
      <c r="B51" s="313">
        <v>7582</v>
      </c>
      <c r="C51" s="313" t="s">
        <v>420</v>
      </c>
      <c r="D51" s="313" t="s">
        <v>765</v>
      </c>
      <c r="E51" s="314" t="s">
        <v>675</v>
      </c>
      <c r="F51" s="315">
        <v>1</v>
      </c>
      <c r="G51" s="316">
        <v>102.22</v>
      </c>
      <c r="H51" s="316">
        <v>32.17</v>
      </c>
      <c r="I51" s="316">
        <v>0.16</v>
      </c>
      <c r="J51" s="316">
        <v>69.89</v>
      </c>
      <c r="K51" s="316">
        <v>102.22</v>
      </c>
      <c r="L51" s="316">
        <v>32.17</v>
      </c>
      <c r="M51" s="316">
        <v>0.16</v>
      </c>
      <c r="N51" s="316">
        <v>69.89</v>
      </c>
      <c r="O51" s="316">
        <v>102.22</v>
      </c>
      <c r="P51" s="317">
        <v>1.7579751483332376E-4</v>
      </c>
    </row>
    <row r="52" spans="1:16" ht="24" customHeight="1" x14ac:dyDescent="0.4">
      <c r="A52" s="313" t="s">
        <v>649</v>
      </c>
      <c r="B52" s="313">
        <v>96544</v>
      </c>
      <c r="C52" s="313" t="s">
        <v>395</v>
      </c>
      <c r="D52" s="313" t="s">
        <v>5915</v>
      </c>
      <c r="E52" s="314" t="s">
        <v>3</v>
      </c>
      <c r="F52" s="315">
        <v>1</v>
      </c>
      <c r="G52" s="316">
        <v>22.08</v>
      </c>
      <c r="H52" s="316">
        <v>8.85</v>
      </c>
      <c r="I52" s="316">
        <v>0.64</v>
      </c>
      <c r="J52" s="316">
        <v>12.59</v>
      </c>
      <c r="K52" s="316">
        <v>22.08</v>
      </c>
      <c r="L52" s="316">
        <v>8.85</v>
      </c>
      <c r="M52" s="316">
        <v>0.64</v>
      </c>
      <c r="N52" s="316">
        <v>12.59</v>
      </c>
      <c r="O52" s="316">
        <v>22.08</v>
      </c>
      <c r="P52" s="317">
        <v>3.7973088705926323E-5</v>
      </c>
    </row>
    <row r="53" spans="1:16" ht="24" customHeight="1" x14ac:dyDescent="0.4">
      <c r="A53" s="313" t="s">
        <v>650</v>
      </c>
      <c r="B53" s="313">
        <v>96545</v>
      </c>
      <c r="C53" s="313" t="s">
        <v>395</v>
      </c>
      <c r="D53" s="313" t="s">
        <v>5913</v>
      </c>
      <c r="E53" s="314" t="s">
        <v>3</v>
      </c>
      <c r="F53" s="315">
        <v>1</v>
      </c>
      <c r="G53" s="316">
        <v>19.260000000000002</v>
      </c>
      <c r="H53" s="316">
        <v>6.5</v>
      </c>
      <c r="I53" s="316">
        <v>0.48</v>
      </c>
      <c r="J53" s="316">
        <v>12.28</v>
      </c>
      <c r="K53" s="316">
        <v>19.260000000000002</v>
      </c>
      <c r="L53" s="316">
        <v>6.5</v>
      </c>
      <c r="M53" s="316">
        <v>0.48</v>
      </c>
      <c r="N53" s="316">
        <v>12.28</v>
      </c>
      <c r="O53" s="316">
        <v>19.260000000000002</v>
      </c>
      <c r="P53" s="317">
        <v>3.312326487663682E-5</v>
      </c>
    </row>
    <row r="54" spans="1:16" ht="24" customHeight="1" x14ac:dyDescent="0.4">
      <c r="A54" s="313" t="s">
        <v>651</v>
      </c>
      <c r="B54" s="313">
        <v>96546</v>
      </c>
      <c r="C54" s="313" t="s">
        <v>395</v>
      </c>
      <c r="D54" s="313" t="s">
        <v>5916</v>
      </c>
      <c r="E54" s="314" t="s">
        <v>3</v>
      </c>
      <c r="F54" s="315">
        <v>1</v>
      </c>
      <c r="G54" s="316">
        <v>16.5</v>
      </c>
      <c r="H54" s="316">
        <v>4.9000000000000004</v>
      </c>
      <c r="I54" s="316">
        <v>0.37</v>
      </c>
      <c r="J54" s="316">
        <v>11.23</v>
      </c>
      <c r="K54" s="316">
        <v>16.5</v>
      </c>
      <c r="L54" s="316">
        <v>4.9000000000000004</v>
      </c>
      <c r="M54" s="316">
        <v>0.37</v>
      </c>
      <c r="N54" s="316">
        <v>11.23</v>
      </c>
      <c r="O54" s="316">
        <v>16.5</v>
      </c>
      <c r="P54" s="317">
        <v>2.837662878839603E-5</v>
      </c>
    </row>
    <row r="55" spans="1:16" ht="24" customHeight="1" x14ac:dyDescent="0.4">
      <c r="A55" s="313" t="s">
        <v>652</v>
      </c>
      <c r="B55" s="313">
        <v>96547</v>
      </c>
      <c r="C55" s="313" t="s">
        <v>395</v>
      </c>
      <c r="D55" s="313" t="s">
        <v>187</v>
      </c>
      <c r="E55" s="314" t="s">
        <v>3</v>
      </c>
      <c r="F55" s="315">
        <v>1</v>
      </c>
      <c r="G55" s="316">
        <v>12.44</v>
      </c>
      <c r="H55" s="316">
        <v>2.83</v>
      </c>
      <c r="I55" s="316">
        <v>0.23</v>
      </c>
      <c r="J55" s="316">
        <v>9.3800000000000008</v>
      </c>
      <c r="K55" s="316">
        <v>12.44</v>
      </c>
      <c r="L55" s="316">
        <v>2.83</v>
      </c>
      <c r="M55" s="316">
        <v>0.23</v>
      </c>
      <c r="N55" s="316">
        <v>9.3800000000000008</v>
      </c>
      <c r="O55" s="316">
        <v>12.44</v>
      </c>
      <c r="P55" s="317">
        <v>2.1394258310766462E-5</v>
      </c>
    </row>
    <row r="56" spans="1:16" ht="24" customHeight="1" x14ac:dyDescent="0.4">
      <c r="A56" s="313" t="s">
        <v>653</v>
      </c>
      <c r="B56" s="313">
        <v>96548</v>
      </c>
      <c r="C56" s="313" t="s">
        <v>395</v>
      </c>
      <c r="D56" s="313" t="s">
        <v>188</v>
      </c>
      <c r="E56" s="314" t="s">
        <v>3</v>
      </c>
      <c r="F56" s="315">
        <v>1</v>
      </c>
      <c r="G56" s="316">
        <v>11.28</v>
      </c>
      <c r="H56" s="316">
        <v>2.0099999999999998</v>
      </c>
      <c r="I56" s="316">
        <v>0.17</v>
      </c>
      <c r="J56" s="316">
        <v>9.1</v>
      </c>
      <c r="K56" s="316">
        <v>11.28</v>
      </c>
      <c r="L56" s="316">
        <v>2.0099999999999998</v>
      </c>
      <c r="M56" s="316">
        <v>0.17</v>
      </c>
      <c r="N56" s="316">
        <v>9.1</v>
      </c>
      <c r="O56" s="316">
        <v>11.28</v>
      </c>
      <c r="P56" s="317">
        <v>1.9399295317158011E-5</v>
      </c>
    </row>
    <row r="57" spans="1:16" ht="24" customHeight="1" x14ac:dyDescent="0.4">
      <c r="A57" s="313" t="s">
        <v>654</v>
      </c>
      <c r="B57" s="313">
        <v>96549</v>
      </c>
      <c r="C57" s="313" t="s">
        <v>395</v>
      </c>
      <c r="D57" s="313" t="s">
        <v>189</v>
      </c>
      <c r="E57" s="314" t="s">
        <v>3</v>
      </c>
      <c r="F57" s="315">
        <v>1</v>
      </c>
      <c r="G57" s="316">
        <v>12</v>
      </c>
      <c r="H57" s="316">
        <v>1.46</v>
      </c>
      <c r="I57" s="316">
        <v>0.12</v>
      </c>
      <c r="J57" s="316">
        <v>10.42</v>
      </c>
      <c r="K57" s="316">
        <v>12</v>
      </c>
      <c r="L57" s="316">
        <v>1.46</v>
      </c>
      <c r="M57" s="316">
        <v>0.12</v>
      </c>
      <c r="N57" s="316">
        <v>10.42</v>
      </c>
      <c r="O57" s="316">
        <v>12</v>
      </c>
      <c r="P57" s="317">
        <v>2.0637548209742568E-5</v>
      </c>
    </row>
    <row r="58" spans="1:16" ht="24" customHeight="1" x14ac:dyDescent="0.4">
      <c r="A58" s="313" t="s">
        <v>655</v>
      </c>
      <c r="B58" s="313" t="s">
        <v>754</v>
      </c>
      <c r="C58" s="313" t="s">
        <v>5902</v>
      </c>
      <c r="D58" s="313" t="s">
        <v>759</v>
      </c>
      <c r="E58" s="314" t="s">
        <v>713</v>
      </c>
      <c r="F58" s="315">
        <v>1</v>
      </c>
      <c r="G58" s="316">
        <v>598.41999999999996</v>
      </c>
      <c r="H58" s="316">
        <v>0</v>
      </c>
      <c r="I58" s="316">
        <v>0</v>
      </c>
      <c r="J58" s="316">
        <v>598.41999999999996</v>
      </c>
      <c r="K58" s="316">
        <v>598.41999999999996</v>
      </c>
      <c r="L58" s="316">
        <v>0</v>
      </c>
      <c r="M58" s="316">
        <v>0</v>
      </c>
      <c r="N58" s="316">
        <v>598.41999999999996</v>
      </c>
      <c r="O58" s="316">
        <v>598.41999999999996</v>
      </c>
      <c r="P58" s="317">
        <v>1.0291601333061789E-3</v>
      </c>
    </row>
    <row r="59" spans="1:16" ht="36" customHeight="1" x14ac:dyDescent="0.4">
      <c r="A59" s="313" t="s">
        <v>656</v>
      </c>
      <c r="B59" s="313">
        <v>90285</v>
      </c>
      <c r="C59" s="313" t="s">
        <v>395</v>
      </c>
      <c r="D59" s="313" t="s">
        <v>348</v>
      </c>
      <c r="E59" s="314" t="s">
        <v>713</v>
      </c>
      <c r="F59" s="315">
        <v>1</v>
      </c>
      <c r="G59" s="316">
        <v>768.58</v>
      </c>
      <c r="H59" s="316">
        <v>93.16</v>
      </c>
      <c r="I59" s="316">
        <v>8.48</v>
      </c>
      <c r="J59" s="316">
        <v>666.94</v>
      </c>
      <c r="K59" s="316">
        <v>768.58</v>
      </c>
      <c r="L59" s="316">
        <v>93.16</v>
      </c>
      <c r="M59" s="316">
        <v>8.48</v>
      </c>
      <c r="N59" s="316">
        <v>666.94</v>
      </c>
      <c r="O59" s="316">
        <v>768.58</v>
      </c>
      <c r="P59" s="317">
        <v>1.3218005669203285E-3</v>
      </c>
    </row>
    <row r="60" spans="1:16" ht="24" customHeight="1" x14ac:dyDescent="0.4">
      <c r="A60" s="313" t="s">
        <v>657</v>
      </c>
      <c r="B60" s="313" t="s">
        <v>1996</v>
      </c>
      <c r="C60" s="313" t="s">
        <v>5902</v>
      </c>
      <c r="D60" s="313" t="s">
        <v>2001</v>
      </c>
      <c r="E60" s="314" t="s">
        <v>713</v>
      </c>
      <c r="F60" s="315">
        <v>1</v>
      </c>
      <c r="G60" s="316">
        <v>191.54</v>
      </c>
      <c r="H60" s="316">
        <v>191.54</v>
      </c>
      <c r="I60" s="316">
        <v>0</v>
      </c>
      <c r="J60" s="316">
        <v>0</v>
      </c>
      <c r="K60" s="316">
        <v>191.54</v>
      </c>
      <c r="L60" s="316">
        <v>191.54</v>
      </c>
      <c r="M60" s="316">
        <v>0</v>
      </c>
      <c r="N60" s="316">
        <v>0</v>
      </c>
      <c r="O60" s="316">
        <v>191.54</v>
      </c>
      <c r="P60" s="317">
        <v>3.2940966534117426E-4</v>
      </c>
    </row>
    <row r="61" spans="1:16" ht="36" customHeight="1" x14ac:dyDescent="0.4">
      <c r="A61" s="313" t="s">
        <v>658</v>
      </c>
      <c r="B61" s="313">
        <v>100890</v>
      </c>
      <c r="C61" s="313" t="s">
        <v>395</v>
      </c>
      <c r="D61" s="313" t="s">
        <v>192</v>
      </c>
      <c r="E61" s="314" t="s">
        <v>3</v>
      </c>
      <c r="F61" s="315">
        <v>1</v>
      </c>
      <c r="G61" s="316">
        <v>12.1</v>
      </c>
      <c r="H61" s="316">
        <v>0.52</v>
      </c>
      <c r="I61" s="316">
        <v>0.17</v>
      </c>
      <c r="J61" s="316">
        <v>11.41</v>
      </c>
      <c r="K61" s="316">
        <v>12.1</v>
      </c>
      <c r="L61" s="316">
        <v>0.52</v>
      </c>
      <c r="M61" s="316">
        <v>0.17</v>
      </c>
      <c r="N61" s="316">
        <v>11.41</v>
      </c>
      <c r="O61" s="316">
        <v>12.1</v>
      </c>
      <c r="P61" s="317">
        <v>2.0809527778157088E-5</v>
      </c>
    </row>
    <row r="62" spans="1:16" ht="24" customHeight="1" x14ac:dyDescent="0.4">
      <c r="A62" s="313" t="s">
        <v>659</v>
      </c>
      <c r="B62" s="313" t="s">
        <v>8375</v>
      </c>
      <c r="C62" s="313" t="s">
        <v>490</v>
      </c>
      <c r="D62" s="313" t="s">
        <v>8377</v>
      </c>
      <c r="E62" s="314" t="s">
        <v>7</v>
      </c>
      <c r="F62" s="315">
        <v>1</v>
      </c>
      <c r="G62" s="316">
        <v>626.25</v>
      </c>
      <c r="H62" s="316">
        <v>9.16</v>
      </c>
      <c r="I62" s="316">
        <v>0</v>
      </c>
      <c r="J62" s="316">
        <v>617.09</v>
      </c>
      <c r="K62" s="316">
        <v>626.25</v>
      </c>
      <c r="L62" s="316">
        <v>9.16</v>
      </c>
      <c r="M62" s="316">
        <v>0</v>
      </c>
      <c r="N62" s="316">
        <v>617.09</v>
      </c>
      <c r="O62" s="316">
        <v>626.25</v>
      </c>
      <c r="P62" s="317">
        <v>1.0770220471959403E-3</v>
      </c>
    </row>
    <row r="63" spans="1:16" ht="24" customHeight="1" x14ac:dyDescent="0.4">
      <c r="A63" s="313" t="s">
        <v>660</v>
      </c>
      <c r="B63" s="313" t="s">
        <v>763</v>
      </c>
      <c r="C63" s="313" t="s">
        <v>490</v>
      </c>
      <c r="D63" s="313" t="s">
        <v>778</v>
      </c>
      <c r="E63" s="314" t="s">
        <v>675</v>
      </c>
      <c r="F63" s="315">
        <v>1</v>
      </c>
      <c r="G63" s="316">
        <v>302.24</v>
      </c>
      <c r="H63" s="316">
        <v>59.01</v>
      </c>
      <c r="I63" s="316">
        <v>29.16</v>
      </c>
      <c r="J63" s="316">
        <v>214.07</v>
      </c>
      <c r="K63" s="316">
        <v>302.24</v>
      </c>
      <c r="L63" s="316">
        <v>59.01</v>
      </c>
      <c r="M63" s="316">
        <v>29.16</v>
      </c>
      <c r="N63" s="316">
        <v>214.07</v>
      </c>
      <c r="O63" s="316">
        <v>302.24</v>
      </c>
      <c r="P63" s="317">
        <v>5.1979104757604946E-4</v>
      </c>
    </row>
    <row r="64" spans="1:16" ht="24" customHeight="1" x14ac:dyDescent="0.4">
      <c r="A64" s="313" t="s">
        <v>661</v>
      </c>
      <c r="B64" s="313" t="s">
        <v>754</v>
      </c>
      <c r="C64" s="313" t="s">
        <v>5902</v>
      </c>
      <c r="D64" s="313" t="s">
        <v>759</v>
      </c>
      <c r="E64" s="314" t="s">
        <v>713</v>
      </c>
      <c r="F64" s="315">
        <v>1</v>
      </c>
      <c r="G64" s="316">
        <v>598.41999999999996</v>
      </c>
      <c r="H64" s="316">
        <v>0</v>
      </c>
      <c r="I64" s="316">
        <v>0</v>
      </c>
      <c r="J64" s="316">
        <v>598.41999999999996</v>
      </c>
      <c r="K64" s="316">
        <v>598.41999999999996</v>
      </c>
      <c r="L64" s="316">
        <v>0</v>
      </c>
      <c r="M64" s="316">
        <v>0</v>
      </c>
      <c r="N64" s="316">
        <v>598.41999999999996</v>
      </c>
      <c r="O64" s="316">
        <v>598.41999999999996</v>
      </c>
      <c r="P64" s="317">
        <v>1.0291601333061789E-3</v>
      </c>
    </row>
    <row r="65" spans="1:16" ht="36" customHeight="1" x14ac:dyDescent="0.4">
      <c r="A65" s="313" t="s">
        <v>662</v>
      </c>
      <c r="B65" s="313" t="s">
        <v>1997</v>
      </c>
      <c r="C65" s="313" t="s">
        <v>5902</v>
      </c>
      <c r="D65" s="313" t="s">
        <v>1999</v>
      </c>
      <c r="E65" s="314" t="s">
        <v>713</v>
      </c>
      <c r="F65" s="315">
        <v>1</v>
      </c>
      <c r="G65" s="316">
        <v>132.30000000000001</v>
      </c>
      <c r="H65" s="316">
        <v>132.30000000000001</v>
      </c>
      <c r="I65" s="316">
        <v>0</v>
      </c>
      <c r="J65" s="316">
        <v>0</v>
      </c>
      <c r="K65" s="316">
        <v>132.30000000000001</v>
      </c>
      <c r="L65" s="316">
        <v>132.30000000000001</v>
      </c>
      <c r="M65" s="316">
        <v>0</v>
      </c>
      <c r="N65" s="316">
        <v>0</v>
      </c>
      <c r="O65" s="316">
        <v>132.30000000000001</v>
      </c>
      <c r="P65" s="317">
        <v>2.275289690124118E-4</v>
      </c>
    </row>
    <row r="66" spans="1:16" ht="24" customHeight="1" x14ac:dyDescent="0.4">
      <c r="A66" s="313" t="s">
        <v>663</v>
      </c>
      <c r="B66" s="313">
        <v>103653</v>
      </c>
      <c r="C66" s="313" t="s">
        <v>395</v>
      </c>
      <c r="D66" s="313" t="s">
        <v>396</v>
      </c>
      <c r="E66" s="314" t="s">
        <v>675</v>
      </c>
      <c r="F66" s="315">
        <v>1</v>
      </c>
      <c r="G66" s="316">
        <v>40.090000000000003</v>
      </c>
      <c r="H66" s="316">
        <v>0.49</v>
      </c>
      <c r="I66" s="316">
        <v>0.04</v>
      </c>
      <c r="J66" s="316">
        <v>39.56</v>
      </c>
      <c r="K66" s="316">
        <v>40.090000000000003</v>
      </c>
      <c r="L66" s="316">
        <v>0.49</v>
      </c>
      <c r="M66" s="316">
        <v>0.04</v>
      </c>
      <c r="N66" s="316">
        <v>39.56</v>
      </c>
      <c r="O66" s="316">
        <v>40.090000000000003</v>
      </c>
      <c r="P66" s="317">
        <v>6.8946608977381624E-5</v>
      </c>
    </row>
    <row r="67" spans="1:16" ht="36" customHeight="1" x14ac:dyDescent="0.4">
      <c r="A67" s="313" t="s">
        <v>664</v>
      </c>
      <c r="B67" s="313">
        <v>102718</v>
      </c>
      <c r="C67" s="313" t="s">
        <v>395</v>
      </c>
      <c r="D67" s="313" t="s">
        <v>346</v>
      </c>
      <c r="E67" s="314" t="s">
        <v>713</v>
      </c>
      <c r="F67" s="315">
        <v>1</v>
      </c>
      <c r="G67" s="316">
        <v>169.16</v>
      </c>
      <c r="H67" s="316">
        <v>36.99</v>
      </c>
      <c r="I67" s="316">
        <v>3.49</v>
      </c>
      <c r="J67" s="316">
        <v>128.68</v>
      </c>
      <c r="K67" s="316">
        <v>169.16</v>
      </c>
      <c r="L67" s="316">
        <v>36.99</v>
      </c>
      <c r="M67" s="316">
        <v>3.49</v>
      </c>
      <c r="N67" s="316">
        <v>128.68</v>
      </c>
      <c r="O67" s="316">
        <v>169.16</v>
      </c>
      <c r="P67" s="317">
        <v>2.9092063793000441E-4</v>
      </c>
    </row>
    <row r="68" spans="1:16" ht="36" customHeight="1" x14ac:dyDescent="0.4">
      <c r="A68" s="313" t="s">
        <v>665</v>
      </c>
      <c r="B68" s="313">
        <v>96523</v>
      </c>
      <c r="C68" s="313" t="s">
        <v>395</v>
      </c>
      <c r="D68" s="313" t="s">
        <v>5908</v>
      </c>
      <c r="E68" s="314" t="s">
        <v>713</v>
      </c>
      <c r="F68" s="315">
        <v>1</v>
      </c>
      <c r="G68" s="316">
        <v>143.22999999999999</v>
      </c>
      <c r="H68" s="316">
        <v>101.45</v>
      </c>
      <c r="I68" s="316">
        <v>9.6199999999999992</v>
      </c>
      <c r="J68" s="316">
        <v>32.159999999999997</v>
      </c>
      <c r="K68" s="316">
        <v>143.22999999999999</v>
      </c>
      <c r="L68" s="316">
        <v>101.45</v>
      </c>
      <c r="M68" s="316">
        <v>9.6199999999999992</v>
      </c>
      <c r="N68" s="316">
        <v>32.159999999999997</v>
      </c>
      <c r="O68" s="316">
        <v>143.22999999999999</v>
      </c>
      <c r="P68" s="317">
        <v>2.4632633584011901E-4</v>
      </c>
    </row>
    <row r="69" spans="1:16" ht="36" customHeight="1" x14ac:dyDescent="0.4">
      <c r="A69" s="313" t="s">
        <v>666</v>
      </c>
      <c r="B69" s="313">
        <v>95108</v>
      </c>
      <c r="C69" s="313" t="s">
        <v>395</v>
      </c>
      <c r="D69" s="313" t="s">
        <v>5917</v>
      </c>
      <c r="E69" s="314" t="s">
        <v>4</v>
      </c>
      <c r="F69" s="315">
        <v>1</v>
      </c>
      <c r="G69" s="316">
        <v>52.09</v>
      </c>
      <c r="H69" s="316">
        <v>30.95</v>
      </c>
      <c r="I69" s="316">
        <v>2.58</v>
      </c>
      <c r="J69" s="316">
        <v>18.559999999999999</v>
      </c>
      <c r="K69" s="316">
        <v>52.09</v>
      </c>
      <c r="L69" s="316">
        <v>30.95</v>
      </c>
      <c r="M69" s="316">
        <v>2.58</v>
      </c>
      <c r="N69" s="316">
        <v>18.559999999999999</v>
      </c>
      <c r="O69" s="316">
        <v>52.09</v>
      </c>
      <c r="P69" s="317">
        <v>8.9584157187124199E-5</v>
      </c>
    </row>
    <row r="70" spans="1:16" ht="24" customHeight="1" x14ac:dyDescent="0.4">
      <c r="A70" s="313" t="s">
        <v>667</v>
      </c>
      <c r="B70" s="313">
        <v>104283</v>
      </c>
      <c r="C70" s="313" t="s">
        <v>395</v>
      </c>
      <c r="D70" s="313" t="s">
        <v>8379</v>
      </c>
      <c r="E70" s="314" t="s">
        <v>4</v>
      </c>
      <c r="F70" s="315">
        <v>1</v>
      </c>
      <c r="G70" s="316">
        <v>104.45</v>
      </c>
      <c r="H70" s="316">
        <v>67.290000000000006</v>
      </c>
      <c r="I70" s="316">
        <v>5.73</v>
      </c>
      <c r="J70" s="316">
        <v>31.43</v>
      </c>
      <c r="K70" s="316">
        <v>104.45</v>
      </c>
      <c r="L70" s="316">
        <v>67.290000000000006</v>
      </c>
      <c r="M70" s="316">
        <v>5.73</v>
      </c>
      <c r="N70" s="316">
        <v>31.43</v>
      </c>
      <c r="O70" s="316">
        <v>104.45</v>
      </c>
      <c r="P70" s="317">
        <v>1.796326592089676E-4</v>
      </c>
    </row>
    <row r="71" spans="1:16" ht="24" customHeight="1" x14ac:dyDescent="0.4">
      <c r="A71" s="313" t="s">
        <v>668</v>
      </c>
      <c r="B71" s="313" t="s">
        <v>8381</v>
      </c>
      <c r="C71" s="313" t="s">
        <v>2616</v>
      </c>
      <c r="D71" s="313" t="s">
        <v>8380</v>
      </c>
      <c r="E71" s="314" t="s">
        <v>3</v>
      </c>
      <c r="F71" s="315">
        <v>1</v>
      </c>
      <c r="G71" s="316">
        <v>0.65</v>
      </c>
      <c r="H71" s="316">
        <v>0</v>
      </c>
      <c r="I71" s="316">
        <v>0</v>
      </c>
      <c r="J71" s="316">
        <v>0.65</v>
      </c>
      <c r="K71" s="316">
        <v>0.65</v>
      </c>
      <c r="L71" s="316">
        <v>0</v>
      </c>
      <c r="M71" s="316">
        <v>0</v>
      </c>
      <c r="N71" s="316">
        <v>0.65</v>
      </c>
      <c r="O71" s="316">
        <v>0.65</v>
      </c>
      <c r="P71" s="317">
        <v>1.1178671946943891E-6</v>
      </c>
    </row>
    <row r="72" spans="1:16" ht="48" customHeight="1" x14ac:dyDescent="0.4">
      <c r="A72" s="313" t="s">
        <v>669</v>
      </c>
      <c r="B72" s="313" t="s">
        <v>8481</v>
      </c>
      <c r="C72" s="313" t="s">
        <v>5902</v>
      </c>
      <c r="D72" s="313" t="s">
        <v>8482</v>
      </c>
      <c r="E72" s="314" t="s">
        <v>713</v>
      </c>
      <c r="F72" s="315">
        <v>1</v>
      </c>
      <c r="G72" s="316">
        <v>3153.52</v>
      </c>
      <c r="H72" s="316">
        <v>921.14</v>
      </c>
      <c r="I72" s="316">
        <v>0</v>
      </c>
      <c r="J72" s="316">
        <v>2232.38</v>
      </c>
      <c r="K72" s="316">
        <v>3153.52</v>
      </c>
      <c r="L72" s="316">
        <v>921.14</v>
      </c>
      <c r="M72" s="316">
        <v>0</v>
      </c>
      <c r="N72" s="316">
        <v>2232.38</v>
      </c>
      <c r="O72" s="316">
        <v>3153.52</v>
      </c>
      <c r="P72" s="317">
        <v>5.423410085865615E-3</v>
      </c>
    </row>
    <row r="73" spans="1:16" ht="48" customHeight="1" x14ac:dyDescent="0.4">
      <c r="A73" s="313" t="s">
        <v>670</v>
      </c>
      <c r="B73" s="313" t="s">
        <v>8382</v>
      </c>
      <c r="C73" s="313" t="s">
        <v>2616</v>
      </c>
      <c r="D73" s="313" t="s">
        <v>8383</v>
      </c>
      <c r="E73" s="314" t="s">
        <v>7</v>
      </c>
      <c r="F73" s="315">
        <v>1</v>
      </c>
      <c r="G73" s="316">
        <v>186.14</v>
      </c>
      <c r="H73" s="316">
        <v>126.85</v>
      </c>
      <c r="I73" s="316">
        <v>0</v>
      </c>
      <c r="J73" s="316">
        <v>59.29</v>
      </c>
      <c r="K73" s="316">
        <v>186.14</v>
      </c>
      <c r="L73" s="316">
        <v>126.85</v>
      </c>
      <c r="M73" s="316">
        <v>0</v>
      </c>
      <c r="N73" s="316">
        <v>59.29</v>
      </c>
      <c r="O73" s="316">
        <v>186.14</v>
      </c>
      <c r="P73" s="317">
        <v>3.2012276864679009E-4</v>
      </c>
    </row>
    <row r="74" spans="1:16" ht="48" customHeight="1" x14ac:dyDescent="0.4">
      <c r="A74" s="313" t="s">
        <v>671</v>
      </c>
      <c r="B74" s="313">
        <v>21006</v>
      </c>
      <c r="C74" s="313" t="s">
        <v>408</v>
      </c>
      <c r="D74" s="313" t="s">
        <v>8378</v>
      </c>
      <c r="E74" s="314" t="s">
        <v>4</v>
      </c>
      <c r="F74" s="315">
        <v>1</v>
      </c>
      <c r="G74" s="316">
        <v>155.9</v>
      </c>
      <c r="H74" s="316">
        <v>87.7</v>
      </c>
      <c r="I74" s="316">
        <v>0</v>
      </c>
      <c r="J74" s="316">
        <v>68.2</v>
      </c>
      <c r="K74" s="316">
        <v>155.9</v>
      </c>
      <c r="L74" s="316">
        <v>87.7</v>
      </c>
      <c r="M74" s="316">
        <v>0</v>
      </c>
      <c r="N74" s="316">
        <v>68.2</v>
      </c>
      <c r="O74" s="316">
        <v>155.9</v>
      </c>
      <c r="P74" s="317">
        <v>2.6811614715823887E-4</v>
      </c>
    </row>
    <row r="75" spans="1:16" ht="48" customHeight="1" x14ac:dyDescent="0.4">
      <c r="A75" s="313" t="s">
        <v>672</v>
      </c>
      <c r="B75" s="313" t="s">
        <v>2003</v>
      </c>
      <c r="C75" s="313" t="s">
        <v>5902</v>
      </c>
      <c r="D75" s="313" t="s">
        <v>2014</v>
      </c>
      <c r="E75" s="314" t="s">
        <v>675</v>
      </c>
      <c r="F75" s="315">
        <v>1</v>
      </c>
      <c r="G75" s="316">
        <v>204.2</v>
      </c>
      <c r="H75" s="316">
        <v>40.31</v>
      </c>
      <c r="I75" s="316">
        <v>0</v>
      </c>
      <c r="J75" s="316">
        <v>163.89</v>
      </c>
      <c r="K75" s="316">
        <v>204.2</v>
      </c>
      <c r="L75" s="316">
        <v>40.31</v>
      </c>
      <c r="M75" s="316">
        <v>0</v>
      </c>
      <c r="N75" s="316">
        <v>163.89</v>
      </c>
      <c r="O75" s="316">
        <v>204.2</v>
      </c>
      <c r="P75" s="317">
        <v>3.5118227870245268E-4</v>
      </c>
    </row>
    <row r="76" spans="1:16" ht="48" customHeight="1" x14ac:dyDescent="0.4">
      <c r="A76" s="313" t="s">
        <v>673</v>
      </c>
      <c r="B76" s="313" t="s">
        <v>835</v>
      </c>
      <c r="C76" s="313" t="s">
        <v>5902</v>
      </c>
      <c r="D76" s="313" t="s">
        <v>843</v>
      </c>
      <c r="E76" s="314" t="s">
        <v>675</v>
      </c>
      <c r="F76" s="315">
        <v>1</v>
      </c>
      <c r="G76" s="316">
        <v>192.39</v>
      </c>
      <c r="H76" s="316">
        <v>77.3</v>
      </c>
      <c r="I76" s="316">
        <v>0</v>
      </c>
      <c r="J76" s="316">
        <v>115.09</v>
      </c>
      <c r="K76" s="316">
        <v>192.39</v>
      </c>
      <c r="L76" s="316">
        <v>77.3</v>
      </c>
      <c r="M76" s="316">
        <v>0</v>
      </c>
      <c r="N76" s="316">
        <v>115.09</v>
      </c>
      <c r="O76" s="316">
        <v>192.39</v>
      </c>
      <c r="P76" s="317">
        <v>3.3087149167269772E-4</v>
      </c>
    </row>
    <row r="77" spans="1:16" ht="48" customHeight="1" x14ac:dyDescent="0.4">
      <c r="A77" s="313" t="s">
        <v>674</v>
      </c>
      <c r="B77" s="313" t="s">
        <v>2903</v>
      </c>
      <c r="C77" s="313" t="s">
        <v>5902</v>
      </c>
      <c r="D77" s="313" t="s">
        <v>2902</v>
      </c>
      <c r="E77" s="314" t="s">
        <v>675</v>
      </c>
      <c r="F77" s="315">
        <v>1</v>
      </c>
      <c r="G77" s="316">
        <v>9.76</v>
      </c>
      <c r="H77" s="316">
        <v>5.68</v>
      </c>
      <c r="I77" s="316">
        <v>0</v>
      </c>
      <c r="J77" s="316">
        <v>4.08</v>
      </c>
      <c r="K77" s="316">
        <v>9.76</v>
      </c>
      <c r="L77" s="316">
        <v>5.68</v>
      </c>
      <c r="M77" s="316">
        <v>0</v>
      </c>
      <c r="N77" s="316">
        <v>4.08</v>
      </c>
      <c r="O77" s="316">
        <v>9.76</v>
      </c>
      <c r="P77" s="317">
        <v>1.6785205877257289E-5</v>
      </c>
    </row>
    <row r="78" spans="1:16" ht="48" customHeight="1" x14ac:dyDescent="0.4">
      <c r="A78" s="313" t="s">
        <v>676</v>
      </c>
      <c r="B78" s="313">
        <v>92759</v>
      </c>
      <c r="C78" s="313" t="s">
        <v>395</v>
      </c>
      <c r="D78" s="313" t="s">
        <v>5918</v>
      </c>
      <c r="E78" s="314" t="s">
        <v>3</v>
      </c>
      <c r="F78" s="315">
        <v>1</v>
      </c>
      <c r="G78" s="316">
        <v>16.86</v>
      </c>
      <c r="H78" s="316">
        <v>5.69</v>
      </c>
      <c r="I78" s="316">
        <v>0.28999999999999998</v>
      </c>
      <c r="J78" s="316">
        <v>10.88</v>
      </c>
      <c r="K78" s="316">
        <v>16.86</v>
      </c>
      <c r="L78" s="316">
        <v>5.69</v>
      </c>
      <c r="M78" s="316">
        <v>0.28999999999999998</v>
      </c>
      <c r="N78" s="316">
        <v>10.88</v>
      </c>
      <c r="O78" s="316">
        <v>16.86</v>
      </c>
      <c r="P78" s="317">
        <v>2.8995755234688308E-5</v>
      </c>
    </row>
    <row r="79" spans="1:16" ht="24" customHeight="1" x14ac:dyDescent="0.4">
      <c r="A79" s="313" t="s">
        <v>678</v>
      </c>
      <c r="B79" s="313">
        <v>92776</v>
      </c>
      <c r="C79" s="313" t="s">
        <v>395</v>
      </c>
      <c r="D79" s="313" t="s">
        <v>178</v>
      </c>
      <c r="E79" s="314" t="s">
        <v>3</v>
      </c>
      <c r="F79" s="315">
        <v>1</v>
      </c>
      <c r="G79" s="316">
        <v>19.989999999999998</v>
      </c>
      <c r="H79" s="316">
        <v>7.34</v>
      </c>
      <c r="I79" s="316">
        <v>0.57999999999999996</v>
      </c>
      <c r="J79" s="316">
        <v>12.07</v>
      </c>
      <c r="K79" s="316">
        <v>19.989999999999998</v>
      </c>
      <c r="L79" s="316">
        <v>7.34</v>
      </c>
      <c r="M79" s="316">
        <v>0.57999999999999996</v>
      </c>
      <c r="N79" s="316">
        <v>12.07</v>
      </c>
      <c r="O79" s="316">
        <v>19.989999999999998</v>
      </c>
      <c r="P79" s="317">
        <v>3.4378715726062823E-5</v>
      </c>
    </row>
    <row r="80" spans="1:16" ht="24" customHeight="1" x14ac:dyDescent="0.4">
      <c r="A80" s="313" t="s">
        <v>679</v>
      </c>
      <c r="B80" s="313">
        <v>92777</v>
      </c>
      <c r="C80" s="313" t="s">
        <v>395</v>
      </c>
      <c r="D80" s="313" t="s">
        <v>179</v>
      </c>
      <c r="E80" s="314" t="s">
        <v>3</v>
      </c>
      <c r="F80" s="315">
        <v>1</v>
      </c>
      <c r="G80" s="316">
        <v>17.43</v>
      </c>
      <c r="H80" s="316">
        <v>5.18</v>
      </c>
      <c r="I80" s="316">
        <v>0.41</v>
      </c>
      <c r="J80" s="316">
        <v>11.84</v>
      </c>
      <c r="K80" s="316">
        <v>17.43</v>
      </c>
      <c r="L80" s="316">
        <v>5.18</v>
      </c>
      <c r="M80" s="316">
        <v>0.41</v>
      </c>
      <c r="N80" s="316">
        <v>11.84</v>
      </c>
      <c r="O80" s="316">
        <v>17.43</v>
      </c>
      <c r="P80" s="317">
        <v>2.9976038774651078E-5</v>
      </c>
    </row>
    <row r="81" spans="1:16" ht="36" customHeight="1" x14ac:dyDescent="0.4">
      <c r="A81" s="313" t="s">
        <v>680</v>
      </c>
      <c r="B81" s="313">
        <v>92778</v>
      </c>
      <c r="C81" s="313" t="s">
        <v>395</v>
      </c>
      <c r="D81" s="313" t="s">
        <v>180</v>
      </c>
      <c r="E81" s="314" t="s">
        <v>3</v>
      </c>
      <c r="F81" s="315">
        <v>1</v>
      </c>
      <c r="G81" s="316">
        <v>14.88</v>
      </c>
      <c r="H81" s="316">
        <v>3.72</v>
      </c>
      <c r="I81" s="316">
        <v>0.28999999999999998</v>
      </c>
      <c r="J81" s="316">
        <v>10.87</v>
      </c>
      <c r="K81" s="316">
        <v>14.88</v>
      </c>
      <c r="L81" s="316">
        <v>3.72</v>
      </c>
      <c r="M81" s="316">
        <v>0.28999999999999998</v>
      </c>
      <c r="N81" s="316">
        <v>10.87</v>
      </c>
      <c r="O81" s="316">
        <v>14.88</v>
      </c>
      <c r="P81" s="317">
        <v>2.5590559780080783E-5</v>
      </c>
    </row>
    <row r="82" spans="1:16" ht="36" customHeight="1" x14ac:dyDescent="0.4">
      <c r="A82" s="313" t="s">
        <v>682</v>
      </c>
      <c r="B82" s="313">
        <v>92779</v>
      </c>
      <c r="C82" s="313" t="s">
        <v>395</v>
      </c>
      <c r="D82" s="313" t="s">
        <v>181</v>
      </c>
      <c r="E82" s="314" t="s">
        <v>3</v>
      </c>
      <c r="F82" s="315">
        <v>1</v>
      </c>
      <c r="G82" s="316">
        <v>12.16</v>
      </c>
      <c r="H82" s="316">
        <v>2.64</v>
      </c>
      <c r="I82" s="316">
        <v>0.21</v>
      </c>
      <c r="J82" s="316">
        <v>9.31</v>
      </c>
      <c r="K82" s="316">
        <v>12.16</v>
      </c>
      <c r="L82" s="316">
        <v>2.64</v>
      </c>
      <c r="M82" s="316">
        <v>0.21</v>
      </c>
      <c r="N82" s="316">
        <v>9.31</v>
      </c>
      <c r="O82" s="316">
        <v>12.16</v>
      </c>
      <c r="P82" s="317">
        <v>2.0912715519205801E-5</v>
      </c>
    </row>
    <row r="83" spans="1:16" ht="24" customHeight="1" x14ac:dyDescent="0.4">
      <c r="A83" s="313" t="s">
        <v>684</v>
      </c>
      <c r="B83" s="313">
        <v>92780</v>
      </c>
      <c r="C83" s="313" t="s">
        <v>395</v>
      </c>
      <c r="D83" s="313" t="s">
        <v>182</v>
      </c>
      <c r="E83" s="314" t="s">
        <v>3</v>
      </c>
      <c r="F83" s="315">
        <v>1</v>
      </c>
      <c r="G83" s="316">
        <v>10.92</v>
      </c>
      <c r="H83" s="316">
        <v>1.74</v>
      </c>
      <c r="I83" s="316">
        <v>0.14000000000000001</v>
      </c>
      <c r="J83" s="316">
        <v>9.0399999999999991</v>
      </c>
      <c r="K83" s="316">
        <v>10.92</v>
      </c>
      <c r="L83" s="316">
        <v>1.74</v>
      </c>
      <c r="M83" s="316">
        <v>0.14000000000000001</v>
      </c>
      <c r="N83" s="316">
        <v>9.0399999999999991</v>
      </c>
      <c r="O83" s="316">
        <v>10.92</v>
      </c>
      <c r="P83" s="317">
        <v>1.8780168870865736E-5</v>
      </c>
    </row>
    <row r="84" spans="1:16" ht="48" customHeight="1" x14ac:dyDescent="0.4">
      <c r="A84" s="313" t="s">
        <v>685</v>
      </c>
      <c r="B84" s="313">
        <v>40827</v>
      </c>
      <c r="C84" s="313" t="s">
        <v>408</v>
      </c>
      <c r="D84" s="313" t="s">
        <v>8384</v>
      </c>
      <c r="E84" s="314" t="s">
        <v>3</v>
      </c>
      <c r="F84" s="315">
        <v>1</v>
      </c>
      <c r="G84" s="316">
        <v>27.11</v>
      </c>
      <c r="H84" s="316">
        <v>2.89</v>
      </c>
      <c r="I84" s="316">
        <v>0</v>
      </c>
      <c r="J84" s="316">
        <v>24.22</v>
      </c>
      <c r="K84" s="316">
        <v>27.11</v>
      </c>
      <c r="L84" s="316">
        <v>2.89</v>
      </c>
      <c r="M84" s="316">
        <v>0</v>
      </c>
      <c r="N84" s="316">
        <v>24.22</v>
      </c>
      <c r="O84" s="316">
        <v>27.11</v>
      </c>
      <c r="P84" s="317">
        <v>4.662366099717675E-5</v>
      </c>
    </row>
    <row r="85" spans="1:16" ht="36" customHeight="1" x14ac:dyDescent="0.4">
      <c r="A85" s="313" t="s">
        <v>687</v>
      </c>
      <c r="B85" s="313">
        <v>92781</v>
      </c>
      <c r="C85" s="313" t="s">
        <v>395</v>
      </c>
      <c r="D85" s="313" t="s">
        <v>183</v>
      </c>
      <c r="E85" s="314" t="s">
        <v>3</v>
      </c>
      <c r="F85" s="315">
        <v>1</v>
      </c>
      <c r="G85" s="316">
        <v>11.55</v>
      </c>
      <c r="H85" s="316">
        <v>1.1399999999999999</v>
      </c>
      <c r="I85" s="316">
        <v>0.08</v>
      </c>
      <c r="J85" s="316">
        <v>10.33</v>
      </c>
      <c r="K85" s="316">
        <v>11.55</v>
      </c>
      <c r="L85" s="316">
        <v>1.1399999999999999</v>
      </c>
      <c r="M85" s="316">
        <v>0.08</v>
      </c>
      <c r="N85" s="316">
        <v>10.33</v>
      </c>
      <c r="O85" s="316">
        <v>11.55</v>
      </c>
      <c r="P85" s="317">
        <v>1.9863640151877219E-5</v>
      </c>
    </row>
    <row r="86" spans="1:16" ht="36" customHeight="1" x14ac:dyDescent="0.4">
      <c r="A86" s="313" t="s">
        <v>688</v>
      </c>
      <c r="B86" s="313">
        <v>97089</v>
      </c>
      <c r="C86" s="313" t="s">
        <v>395</v>
      </c>
      <c r="D86" s="313" t="s">
        <v>8470</v>
      </c>
      <c r="E86" s="314" t="s">
        <v>3</v>
      </c>
      <c r="F86" s="315">
        <v>1</v>
      </c>
      <c r="G86" s="316">
        <v>13.67</v>
      </c>
      <c r="H86" s="316">
        <v>1.41</v>
      </c>
      <c r="I86" s="316">
        <v>0.11</v>
      </c>
      <c r="J86" s="316">
        <v>12.15</v>
      </c>
      <c r="K86" s="316">
        <v>13.67</v>
      </c>
      <c r="L86" s="316">
        <v>1.41</v>
      </c>
      <c r="M86" s="316">
        <v>0.11</v>
      </c>
      <c r="N86" s="316">
        <v>12.15</v>
      </c>
      <c r="O86" s="316">
        <v>13.67</v>
      </c>
      <c r="P86" s="317">
        <v>2.3509607002265073E-5</v>
      </c>
    </row>
    <row r="87" spans="1:16" ht="24" customHeight="1" x14ac:dyDescent="0.4">
      <c r="A87" s="313" t="s">
        <v>689</v>
      </c>
      <c r="B87" s="313" t="s">
        <v>834</v>
      </c>
      <c r="C87" s="313" t="s">
        <v>5902</v>
      </c>
      <c r="D87" s="313" t="s">
        <v>839</v>
      </c>
      <c r="E87" s="314" t="s">
        <v>713</v>
      </c>
      <c r="F87" s="315">
        <v>1</v>
      </c>
      <c r="G87" s="316">
        <v>623.86</v>
      </c>
      <c r="H87" s="316">
        <v>0</v>
      </c>
      <c r="I87" s="316">
        <v>0</v>
      </c>
      <c r="J87" s="316">
        <v>623.86</v>
      </c>
      <c r="K87" s="316">
        <v>623.86</v>
      </c>
      <c r="L87" s="316">
        <v>0</v>
      </c>
      <c r="M87" s="316">
        <v>0</v>
      </c>
      <c r="N87" s="316">
        <v>623.86</v>
      </c>
      <c r="O87" s="316">
        <v>623.86</v>
      </c>
      <c r="P87" s="317">
        <v>1.0729117355108332E-3</v>
      </c>
    </row>
    <row r="88" spans="1:16" ht="24" customHeight="1" x14ac:dyDescent="0.4">
      <c r="A88" s="313" t="s">
        <v>690</v>
      </c>
      <c r="B88" s="313" t="s">
        <v>1997</v>
      </c>
      <c r="C88" s="313" t="s">
        <v>5902</v>
      </c>
      <c r="D88" s="313" t="s">
        <v>1999</v>
      </c>
      <c r="E88" s="314" t="s">
        <v>713</v>
      </c>
      <c r="F88" s="315">
        <v>1</v>
      </c>
      <c r="G88" s="316">
        <v>132.30000000000001</v>
      </c>
      <c r="H88" s="316">
        <v>132.30000000000001</v>
      </c>
      <c r="I88" s="316">
        <v>0</v>
      </c>
      <c r="J88" s="316">
        <v>0</v>
      </c>
      <c r="K88" s="316">
        <v>132.30000000000001</v>
      </c>
      <c r="L88" s="316">
        <v>132.30000000000001</v>
      </c>
      <c r="M88" s="316">
        <v>0</v>
      </c>
      <c r="N88" s="316">
        <v>0</v>
      </c>
      <c r="O88" s="316">
        <v>132.30000000000001</v>
      </c>
      <c r="P88" s="317">
        <v>2.275289690124118E-4</v>
      </c>
    </row>
    <row r="89" spans="1:16" ht="24" customHeight="1" x14ac:dyDescent="0.4">
      <c r="A89" s="313" t="s">
        <v>691</v>
      </c>
      <c r="B89" s="313">
        <v>101124</v>
      </c>
      <c r="C89" s="313" t="s">
        <v>395</v>
      </c>
      <c r="D89" s="313" t="s">
        <v>340</v>
      </c>
      <c r="E89" s="314" t="s">
        <v>713</v>
      </c>
      <c r="F89" s="315">
        <v>1</v>
      </c>
      <c r="G89" s="316">
        <v>17.78</v>
      </c>
      <c r="H89" s="316">
        <v>4.29</v>
      </c>
      <c r="I89" s="316">
        <v>6.85</v>
      </c>
      <c r="J89" s="316">
        <v>6.64</v>
      </c>
      <c r="K89" s="316">
        <v>17.78</v>
      </c>
      <c r="L89" s="316">
        <v>4.29</v>
      </c>
      <c r="M89" s="316">
        <v>6.85</v>
      </c>
      <c r="N89" s="316">
        <v>6.64</v>
      </c>
      <c r="O89" s="316">
        <v>17.78</v>
      </c>
      <c r="P89" s="317">
        <v>3.0577967264101906E-5</v>
      </c>
    </row>
    <row r="90" spans="1:16" ht="24" customHeight="1" x14ac:dyDescent="0.4">
      <c r="A90" s="313" t="s">
        <v>692</v>
      </c>
      <c r="B90" s="313">
        <v>96523</v>
      </c>
      <c r="C90" s="313" t="s">
        <v>395</v>
      </c>
      <c r="D90" s="313" t="s">
        <v>5908</v>
      </c>
      <c r="E90" s="314" t="s">
        <v>713</v>
      </c>
      <c r="F90" s="315">
        <v>1</v>
      </c>
      <c r="G90" s="316">
        <v>143.22999999999999</v>
      </c>
      <c r="H90" s="316">
        <v>101.45</v>
      </c>
      <c r="I90" s="316">
        <v>9.6199999999999992</v>
      </c>
      <c r="J90" s="316">
        <v>32.159999999999997</v>
      </c>
      <c r="K90" s="316">
        <v>143.22999999999999</v>
      </c>
      <c r="L90" s="316">
        <v>101.45</v>
      </c>
      <c r="M90" s="316">
        <v>9.6199999999999992</v>
      </c>
      <c r="N90" s="316">
        <v>32.159999999999997</v>
      </c>
      <c r="O90" s="316">
        <v>143.22999999999999</v>
      </c>
      <c r="P90" s="317">
        <v>2.4632633584011901E-4</v>
      </c>
    </row>
    <row r="91" spans="1:16" ht="24" customHeight="1" x14ac:dyDescent="0.4">
      <c r="A91" s="313" t="s">
        <v>693</v>
      </c>
      <c r="B91" s="313">
        <v>93382</v>
      </c>
      <c r="C91" s="313" t="s">
        <v>395</v>
      </c>
      <c r="D91" s="313" t="s">
        <v>5909</v>
      </c>
      <c r="E91" s="314" t="s">
        <v>713</v>
      </c>
      <c r="F91" s="315">
        <v>1</v>
      </c>
      <c r="G91" s="316">
        <v>38.03</v>
      </c>
      <c r="H91" s="316">
        <v>24.64</v>
      </c>
      <c r="I91" s="316">
        <v>2.98</v>
      </c>
      <c r="J91" s="316">
        <v>10.41</v>
      </c>
      <c r="K91" s="316">
        <v>38.03</v>
      </c>
      <c r="L91" s="316">
        <v>24.64</v>
      </c>
      <c r="M91" s="316">
        <v>2.98</v>
      </c>
      <c r="N91" s="316">
        <v>10.41</v>
      </c>
      <c r="O91" s="316">
        <v>38.03</v>
      </c>
      <c r="P91" s="317">
        <v>6.5403829868042486E-5</v>
      </c>
    </row>
    <row r="92" spans="1:16" ht="24" customHeight="1" x14ac:dyDescent="0.4">
      <c r="A92" s="313" t="s">
        <v>694</v>
      </c>
      <c r="B92" s="313">
        <v>100981</v>
      </c>
      <c r="C92" s="313" t="s">
        <v>395</v>
      </c>
      <c r="D92" s="313" t="s">
        <v>5910</v>
      </c>
      <c r="E92" s="314" t="s">
        <v>713</v>
      </c>
      <c r="F92" s="315">
        <v>1</v>
      </c>
      <c r="G92" s="316">
        <v>11.52</v>
      </c>
      <c r="H92" s="316">
        <v>3.06</v>
      </c>
      <c r="I92" s="316">
        <v>4.32</v>
      </c>
      <c r="J92" s="316">
        <v>4.1399999999999997</v>
      </c>
      <c r="K92" s="316">
        <v>11.52</v>
      </c>
      <c r="L92" s="316">
        <v>3.06</v>
      </c>
      <c r="M92" s="316">
        <v>4.32</v>
      </c>
      <c r="N92" s="316">
        <v>4.1399999999999997</v>
      </c>
      <c r="O92" s="316">
        <v>11.52</v>
      </c>
      <c r="P92" s="317">
        <v>1.9812046281352864E-5</v>
      </c>
    </row>
    <row r="93" spans="1:16" ht="24" customHeight="1" x14ac:dyDescent="0.4">
      <c r="A93" s="313" t="s">
        <v>695</v>
      </c>
      <c r="B93" s="313">
        <v>95875</v>
      </c>
      <c r="C93" s="313" t="s">
        <v>395</v>
      </c>
      <c r="D93" s="313" t="s">
        <v>5911</v>
      </c>
      <c r="E93" s="314" t="s">
        <v>120</v>
      </c>
      <c r="F93" s="315">
        <v>1</v>
      </c>
      <c r="G93" s="316">
        <v>3.2</v>
      </c>
      <c r="H93" s="316">
        <v>0.6</v>
      </c>
      <c r="I93" s="316">
        <v>0.92</v>
      </c>
      <c r="J93" s="316">
        <v>1.68</v>
      </c>
      <c r="K93" s="316">
        <v>3.2</v>
      </c>
      <c r="L93" s="316">
        <v>0.6</v>
      </c>
      <c r="M93" s="316">
        <v>0.92</v>
      </c>
      <c r="N93" s="316">
        <v>1.68</v>
      </c>
      <c r="O93" s="316">
        <v>3.2</v>
      </c>
      <c r="P93" s="317">
        <v>5.5033461892646843E-6</v>
      </c>
    </row>
    <row r="94" spans="1:16" ht="24" customHeight="1" x14ac:dyDescent="0.4">
      <c r="A94" s="313" t="s">
        <v>696</v>
      </c>
      <c r="B94" s="313">
        <v>93590</v>
      </c>
      <c r="C94" s="313" t="s">
        <v>395</v>
      </c>
      <c r="D94" s="313" t="s">
        <v>5912</v>
      </c>
      <c r="E94" s="314" t="s">
        <v>120</v>
      </c>
      <c r="F94" s="315">
        <v>1</v>
      </c>
      <c r="G94" s="316">
        <v>1.23</v>
      </c>
      <c r="H94" s="316">
        <v>0.23</v>
      </c>
      <c r="I94" s="316">
        <v>0.35</v>
      </c>
      <c r="J94" s="316">
        <v>0.65</v>
      </c>
      <c r="K94" s="316">
        <v>1.23</v>
      </c>
      <c r="L94" s="316">
        <v>0.23</v>
      </c>
      <c r="M94" s="316">
        <v>0.35</v>
      </c>
      <c r="N94" s="316">
        <v>0.65</v>
      </c>
      <c r="O94" s="316">
        <v>1.23</v>
      </c>
      <c r="P94" s="317">
        <v>2.1153486914986132E-6</v>
      </c>
    </row>
    <row r="95" spans="1:16" ht="24" customHeight="1" x14ac:dyDescent="0.4">
      <c r="A95" s="313" t="s">
        <v>697</v>
      </c>
      <c r="B95" s="313">
        <v>96616</v>
      </c>
      <c r="C95" s="313" t="s">
        <v>395</v>
      </c>
      <c r="D95" s="313" t="s">
        <v>5914</v>
      </c>
      <c r="E95" s="314" t="s">
        <v>713</v>
      </c>
      <c r="F95" s="315">
        <v>1</v>
      </c>
      <c r="G95" s="316">
        <v>975.14</v>
      </c>
      <c r="H95" s="316">
        <v>383.38</v>
      </c>
      <c r="I95" s="316">
        <v>35.51</v>
      </c>
      <c r="J95" s="316">
        <v>556.25</v>
      </c>
      <c r="K95" s="316">
        <v>975.14</v>
      </c>
      <c r="L95" s="316">
        <v>383.38</v>
      </c>
      <c r="M95" s="316">
        <v>35.51</v>
      </c>
      <c r="N95" s="316">
        <v>556.25</v>
      </c>
      <c r="O95" s="316">
        <v>975.14</v>
      </c>
      <c r="P95" s="317">
        <v>1.6770415634373638E-3</v>
      </c>
    </row>
    <row r="96" spans="1:16" ht="36" customHeight="1" x14ac:dyDescent="0.4">
      <c r="A96" s="313" t="s">
        <v>698</v>
      </c>
      <c r="B96" s="313">
        <v>7582</v>
      </c>
      <c r="C96" s="313" t="s">
        <v>420</v>
      </c>
      <c r="D96" s="313" t="s">
        <v>765</v>
      </c>
      <c r="E96" s="314" t="s">
        <v>675</v>
      </c>
      <c r="F96" s="315">
        <v>1</v>
      </c>
      <c r="G96" s="316">
        <v>102.22</v>
      </c>
      <c r="H96" s="316">
        <v>32.17</v>
      </c>
      <c r="I96" s="316">
        <v>0.16</v>
      </c>
      <c r="J96" s="316">
        <v>69.89</v>
      </c>
      <c r="K96" s="316">
        <v>102.22</v>
      </c>
      <c r="L96" s="316">
        <v>32.17</v>
      </c>
      <c r="M96" s="316">
        <v>0.16</v>
      </c>
      <c r="N96" s="316">
        <v>69.89</v>
      </c>
      <c r="O96" s="316">
        <v>102.22</v>
      </c>
      <c r="P96" s="317">
        <v>1.7579751483332376E-4</v>
      </c>
    </row>
    <row r="97" spans="1:16" ht="24" customHeight="1" x14ac:dyDescent="0.4">
      <c r="A97" s="313" t="s">
        <v>699</v>
      </c>
      <c r="B97" s="313">
        <v>96547</v>
      </c>
      <c r="C97" s="313" t="s">
        <v>395</v>
      </c>
      <c r="D97" s="313" t="s">
        <v>187</v>
      </c>
      <c r="E97" s="314" t="s">
        <v>3</v>
      </c>
      <c r="F97" s="315">
        <v>1</v>
      </c>
      <c r="G97" s="316">
        <v>12.44</v>
      </c>
      <c r="H97" s="316">
        <v>2.83</v>
      </c>
      <c r="I97" s="316">
        <v>0.23</v>
      </c>
      <c r="J97" s="316">
        <v>9.3800000000000008</v>
      </c>
      <c r="K97" s="316">
        <v>12.44</v>
      </c>
      <c r="L97" s="316">
        <v>2.83</v>
      </c>
      <c r="M97" s="316">
        <v>0.23</v>
      </c>
      <c r="N97" s="316">
        <v>9.3800000000000008</v>
      </c>
      <c r="O97" s="316">
        <v>12.44</v>
      </c>
      <c r="P97" s="317">
        <v>2.1394258310766462E-5</v>
      </c>
    </row>
    <row r="98" spans="1:16" ht="48" customHeight="1" x14ac:dyDescent="0.4">
      <c r="A98" s="313" t="s">
        <v>700</v>
      </c>
      <c r="B98" s="313" t="s">
        <v>834</v>
      </c>
      <c r="C98" s="313" t="s">
        <v>5902</v>
      </c>
      <c r="D98" s="313" t="s">
        <v>839</v>
      </c>
      <c r="E98" s="314" t="s">
        <v>713</v>
      </c>
      <c r="F98" s="315">
        <v>1</v>
      </c>
      <c r="G98" s="316">
        <v>623.86</v>
      </c>
      <c r="H98" s="316">
        <v>0</v>
      </c>
      <c r="I98" s="316">
        <v>0</v>
      </c>
      <c r="J98" s="316">
        <v>623.86</v>
      </c>
      <c r="K98" s="316">
        <v>623.86</v>
      </c>
      <c r="L98" s="316">
        <v>0</v>
      </c>
      <c r="M98" s="316">
        <v>0</v>
      </c>
      <c r="N98" s="316">
        <v>623.86</v>
      </c>
      <c r="O98" s="316">
        <v>623.86</v>
      </c>
      <c r="P98" s="317">
        <v>1.0729117355108332E-3</v>
      </c>
    </row>
    <row r="99" spans="1:16" ht="36" customHeight="1" x14ac:dyDescent="0.4">
      <c r="A99" s="313" t="s">
        <v>701</v>
      </c>
      <c r="B99" s="313" t="s">
        <v>1997</v>
      </c>
      <c r="C99" s="313" t="s">
        <v>5902</v>
      </c>
      <c r="D99" s="313" t="s">
        <v>1999</v>
      </c>
      <c r="E99" s="314" t="s">
        <v>713</v>
      </c>
      <c r="F99" s="315">
        <v>1</v>
      </c>
      <c r="G99" s="316">
        <v>132.30000000000001</v>
      </c>
      <c r="H99" s="316">
        <v>132.30000000000001</v>
      </c>
      <c r="I99" s="316">
        <v>0</v>
      </c>
      <c r="J99" s="316">
        <v>0</v>
      </c>
      <c r="K99" s="316">
        <v>132.30000000000001</v>
      </c>
      <c r="L99" s="316">
        <v>132.30000000000001</v>
      </c>
      <c r="M99" s="316">
        <v>0</v>
      </c>
      <c r="N99" s="316">
        <v>0</v>
      </c>
      <c r="O99" s="316">
        <v>132.30000000000001</v>
      </c>
      <c r="P99" s="317">
        <v>2.275289690124118E-4</v>
      </c>
    </row>
    <row r="100" spans="1:16" ht="36" customHeight="1" x14ac:dyDescent="0.4">
      <c r="A100" s="313" t="s">
        <v>702</v>
      </c>
      <c r="B100" s="313" t="s">
        <v>3013</v>
      </c>
      <c r="C100" s="313" t="s">
        <v>5902</v>
      </c>
      <c r="D100" s="313" t="s">
        <v>3015</v>
      </c>
      <c r="E100" s="314" t="s">
        <v>7</v>
      </c>
      <c r="F100" s="315">
        <v>1</v>
      </c>
      <c r="G100" s="316">
        <v>2660.98</v>
      </c>
      <c r="H100" s="316">
        <v>182.65</v>
      </c>
      <c r="I100" s="316">
        <v>0</v>
      </c>
      <c r="J100" s="316">
        <v>2478.33</v>
      </c>
      <c r="K100" s="316">
        <v>2660.98</v>
      </c>
      <c r="L100" s="316">
        <v>182.65</v>
      </c>
      <c r="M100" s="316">
        <v>0</v>
      </c>
      <c r="N100" s="316">
        <v>2478.33</v>
      </c>
      <c r="O100" s="316">
        <v>2660.98</v>
      </c>
      <c r="P100" s="317">
        <v>4.5763419195967315E-3</v>
      </c>
    </row>
    <row r="101" spans="1:16" ht="24" customHeight="1" x14ac:dyDescent="0.4">
      <c r="A101" s="313" t="s">
        <v>703</v>
      </c>
      <c r="B101" s="313" t="s">
        <v>2909</v>
      </c>
      <c r="C101" s="313" t="s">
        <v>5902</v>
      </c>
      <c r="D101" s="313" t="s">
        <v>2912</v>
      </c>
      <c r="E101" s="314" t="s">
        <v>675</v>
      </c>
      <c r="F101" s="315">
        <v>1</v>
      </c>
      <c r="G101" s="316">
        <v>88.78</v>
      </c>
      <c r="H101" s="316">
        <v>21.92</v>
      </c>
      <c r="I101" s="316">
        <v>0</v>
      </c>
      <c r="J101" s="316">
        <v>66.86</v>
      </c>
      <c r="K101" s="316">
        <v>88.78</v>
      </c>
      <c r="L101" s="316">
        <v>21.92</v>
      </c>
      <c r="M101" s="316">
        <v>0</v>
      </c>
      <c r="N101" s="316">
        <v>66.86</v>
      </c>
      <c r="O101" s="316">
        <v>88.78</v>
      </c>
      <c r="P101" s="317">
        <v>1.5268346083841208E-4</v>
      </c>
    </row>
    <row r="102" spans="1:16" ht="24" customHeight="1" x14ac:dyDescent="0.4">
      <c r="A102" s="313" t="s">
        <v>704</v>
      </c>
      <c r="B102" s="313" t="s">
        <v>3006</v>
      </c>
      <c r="C102" s="313" t="s">
        <v>5902</v>
      </c>
      <c r="D102" s="313" t="s">
        <v>3009</v>
      </c>
      <c r="E102" s="314" t="s">
        <v>675</v>
      </c>
      <c r="F102" s="315">
        <v>1</v>
      </c>
      <c r="G102" s="316">
        <v>1569.75</v>
      </c>
      <c r="H102" s="316">
        <v>100.7</v>
      </c>
      <c r="I102" s="316">
        <v>0</v>
      </c>
      <c r="J102" s="316">
        <v>1469.05</v>
      </c>
      <c r="K102" s="316">
        <v>1569.75</v>
      </c>
      <c r="L102" s="316">
        <v>100.7</v>
      </c>
      <c r="M102" s="316">
        <v>0</v>
      </c>
      <c r="N102" s="316">
        <v>1469.05</v>
      </c>
      <c r="O102" s="316">
        <v>1569.75</v>
      </c>
      <c r="P102" s="317">
        <v>2.6996492751869493E-3</v>
      </c>
    </row>
    <row r="103" spans="1:16" ht="24" customHeight="1" x14ac:dyDescent="0.4">
      <c r="A103" s="313" t="s">
        <v>705</v>
      </c>
      <c r="B103" s="313">
        <v>111701</v>
      </c>
      <c r="C103" s="313" t="s">
        <v>408</v>
      </c>
      <c r="D103" s="313" t="s">
        <v>3012</v>
      </c>
      <c r="E103" s="314" t="s">
        <v>7</v>
      </c>
      <c r="F103" s="315">
        <v>1</v>
      </c>
      <c r="G103" s="316">
        <v>1249.95</v>
      </c>
      <c r="H103" s="316">
        <v>31.78</v>
      </c>
      <c r="I103" s="316">
        <v>0</v>
      </c>
      <c r="J103" s="316">
        <v>1218.17</v>
      </c>
      <c r="K103" s="316">
        <v>1249.95</v>
      </c>
      <c r="L103" s="316">
        <v>31.78</v>
      </c>
      <c r="M103" s="316">
        <v>0</v>
      </c>
      <c r="N103" s="316">
        <v>1218.17</v>
      </c>
      <c r="O103" s="316">
        <v>1249.95</v>
      </c>
      <c r="P103" s="317">
        <v>2.14965861539731E-3</v>
      </c>
    </row>
    <row r="104" spans="1:16" ht="24" customHeight="1" x14ac:dyDescent="0.4">
      <c r="A104" s="313" t="s">
        <v>706</v>
      </c>
      <c r="B104" s="313">
        <v>96523</v>
      </c>
      <c r="C104" s="313" t="s">
        <v>395</v>
      </c>
      <c r="D104" s="313" t="s">
        <v>5908</v>
      </c>
      <c r="E104" s="314" t="s">
        <v>713</v>
      </c>
      <c r="F104" s="315">
        <v>1</v>
      </c>
      <c r="G104" s="316">
        <v>143.22999999999999</v>
      </c>
      <c r="H104" s="316">
        <v>101.45</v>
      </c>
      <c r="I104" s="316">
        <v>9.6199999999999992</v>
      </c>
      <c r="J104" s="316">
        <v>32.159999999999997</v>
      </c>
      <c r="K104" s="316">
        <v>143.22999999999999</v>
      </c>
      <c r="L104" s="316">
        <v>101.45</v>
      </c>
      <c r="M104" s="316">
        <v>9.6199999999999992</v>
      </c>
      <c r="N104" s="316">
        <v>32.159999999999997</v>
      </c>
      <c r="O104" s="316">
        <v>143.22999999999999</v>
      </c>
      <c r="P104" s="317">
        <v>2.4632633584011901E-4</v>
      </c>
    </row>
    <row r="105" spans="1:16" ht="48" customHeight="1" x14ac:dyDescent="0.4">
      <c r="A105" s="313" t="s">
        <v>708</v>
      </c>
      <c r="B105" s="313">
        <v>93382</v>
      </c>
      <c r="C105" s="313" t="s">
        <v>395</v>
      </c>
      <c r="D105" s="313" t="s">
        <v>5909</v>
      </c>
      <c r="E105" s="314" t="s">
        <v>713</v>
      </c>
      <c r="F105" s="315">
        <v>1</v>
      </c>
      <c r="G105" s="316">
        <v>38.03</v>
      </c>
      <c r="H105" s="316">
        <v>24.64</v>
      </c>
      <c r="I105" s="316">
        <v>2.98</v>
      </c>
      <c r="J105" s="316">
        <v>10.41</v>
      </c>
      <c r="K105" s="316">
        <v>38.03</v>
      </c>
      <c r="L105" s="316">
        <v>24.64</v>
      </c>
      <c r="M105" s="316">
        <v>2.98</v>
      </c>
      <c r="N105" s="316">
        <v>10.41</v>
      </c>
      <c r="O105" s="316">
        <v>38.03</v>
      </c>
      <c r="P105" s="317">
        <v>6.5403829868042486E-5</v>
      </c>
    </row>
    <row r="106" spans="1:16" ht="24" customHeight="1" x14ac:dyDescent="0.4">
      <c r="A106" s="313" t="s">
        <v>710</v>
      </c>
      <c r="B106" s="313">
        <v>100981</v>
      </c>
      <c r="C106" s="313" t="s">
        <v>395</v>
      </c>
      <c r="D106" s="313" t="s">
        <v>5910</v>
      </c>
      <c r="E106" s="314" t="s">
        <v>713</v>
      </c>
      <c r="F106" s="315">
        <v>1</v>
      </c>
      <c r="G106" s="316">
        <v>11.52</v>
      </c>
      <c r="H106" s="316">
        <v>3.06</v>
      </c>
      <c r="I106" s="316">
        <v>4.32</v>
      </c>
      <c r="J106" s="316">
        <v>4.1399999999999997</v>
      </c>
      <c r="K106" s="316">
        <v>11.52</v>
      </c>
      <c r="L106" s="316">
        <v>3.06</v>
      </c>
      <c r="M106" s="316">
        <v>4.32</v>
      </c>
      <c r="N106" s="316">
        <v>4.1399999999999997</v>
      </c>
      <c r="O106" s="316">
        <v>11.52</v>
      </c>
      <c r="P106" s="317">
        <v>1.9812046281352864E-5</v>
      </c>
    </row>
    <row r="107" spans="1:16" ht="24" customHeight="1" x14ac:dyDescent="0.4">
      <c r="A107" s="313" t="s">
        <v>1000</v>
      </c>
      <c r="B107" s="313">
        <v>95875</v>
      </c>
      <c r="C107" s="313" t="s">
        <v>395</v>
      </c>
      <c r="D107" s="313" t="s">
        <v>5911</v>
      </c>
      <c r="E107" s="314" t="s">
        <v>120</v>
      </c>
      <c r="F107" s="315">
        <v>1</v>
      </c>
      <c r="G107" s="316">
        <v>3.2</v>
      </c>
      <c r="H107" s="316">
        <v>0.6</v>
      </c>
      <c r="I107" s="316">
        <v>0.92</v>
      </c>
      <c r="J107" s="316">
        <v>1.68</v>
      </c>
      <c r="K107" s="316">
        <v>3.2</v>
      </c>
      <c r="L107" s="316">
        <v>0.6</v>
      </c>
      <c r="M107" s="316">
        <v>0.92</v>
      </c>
      <c r="N107" s="316">
        <v>1.68</v>
      </c>
      <c r="O107" s="316">
        <v>3.2</v>
      </c>
      <c r="P107" s="317">
        <v>5.5033461892646843E-6</v>
      </c>
    </row>
    <row r="108" spans="1:16" ht="24" customHeight="1" x14ac:dyDescent="0.4">
      <c r="A108" s="313" t="s">
        <v>1001</v>
      </c>
      <c r="B108" s="313">
        <v>93590</v>
      </c>
      <c r="C108" s="313" t="s">
        <v>395</v>
      </c>
      <c r="D108" s="313" t="s">
        <v>5912</v>
      </c>
      <c r="E108" s="314" t="s">
        <v>120</v>
      </c>
      <c r="F108" s="315">
        <v>1</v>
      </c>
      <c r="G108" s="316">
        <v>1.23</v>
      </c>
      <c r="H108" s="316">
        <v>0.23</v>
      </c>
      <c r="I108" s="316">
        <v>0.35</v>
      </c>
      <c r="J108" s="316">
        <v>0.65</v>
      </c>
      <c r="K108" s="316">
        <v>1.23</v>
      </c>
      <c r="L108" s="316">
        <v>0.23</v>
      </c>
      <c r="M108" s="316">
        <v>0.35</v>
      </c>
      <c r="N108" s="316">
        <v>0.65</v>
      </c>
      <c r="O108" s="316">
        <v>1.23</v>
      </c>
      <c r="P108" s="317">
        <v>2.1153486914986132E-6</v>
      </c>
    </row>
    <row r="109" spans="1:16" ht="24" customHeight="1" x14ac:dyDescent="0.4">
      <c r="A109" s="313" t="s">
        <v>714</v>
      </c>
      <c r="B109" s="313">
        <v>9032</v>
      </c>
      <c r="C109" s="313" t="s">
        <v>420</v>
      </c>
      <c r="D109" s="313" t="s">
        <v>2920</v>
      </c>
      <c r="E109" s="314" t="s">
        <v>713</v>
      </c>
      <c r="F109" s="315">
        <v>1</v>
      </c>
      <c r="G109" s="316">
        <v>165.37</v>
      </c>
      <c r="H109" s="316">
        <v>0.54</v>
      </c>
      <c r="I109" s="316">
        <v>6.28</v>
      </c>
      <c r="J109" s="316">
        <v>158.55000000000001</v>
      </c>
      <c r="K109" s="316">
        <v>165.37</v>
      </c>
      <c r="L109" s="316">
        <v>0.54</v>
      </c>
      <c r="M109" s="316">
        <v>6.28</v>
      </c>
      <c r="N109" s="316">
        <v>158.55000000000001</v>
      </c>
      <c r="O109" s="316">
        <v>165.37</v>
      </c>
      <c r="P109" s="317">
        <v>2.8440261228709402E-4</v>
      </c>
    </row>
    <row r="110" spans="1:16" ht="24" customHeight="1" x14ac:dyDescent="0.4">
      <c r="A110" s="313" t="s">
        <v>715</v>
      </c>
      <c r="B110" s="313">
        <v>96616</v>
      </c>
      <c r="C110" s="313" t="s">
        <v>395</v>
      </c>
      <c r="D110" s="313" t="s">
        <v>5914</v>
      </c>
      <c r="E110" s="314" t="s">
        <v>713</v>
      </c>
      <c r="F110" s="315">
        <v>1</v>
      </c>
      <c r="G110" s="316">
        <v>975.14</v>
      </c>
      <c r="H110" s="316">
        <v>383.38</v>
      </c>
      <c r="I110" s="316">
        <v>35.51</v>
      </c>
      <c r="J110" s="316">
        <v>556.25</v>
      </c>
      <c r="K110" s="316">
        <v>975.14</v>
      </c>
      <c r="L110" s="316">
        <v>383.38</v>
      </c>
      <c r="M110" s="316">
        <v>35.51</v>
      </c>
      <c r="N110" s="316">
        <v>556.25</v>
      </c>
      <c r="O110" s="316">
        <v>975.14</v>
      </c>
      <c r="P110" s="317">
        <v>1.6770415634373638E-3</v>
      </c>
    </row>
    <row r="111" spans="1:16" ht="48" customHeight="1" x14ac:dyDescent="0.4">
      <c r="A111" s="313" t="s">
        <v>716</v>
      </c>
      <c r="B111" s="313">
        <v>7582</v>
      </c>
      <c r="C111" s="313" t="s">
        <v>420</v>
      </c>
      <c r="D111" s="313" t="s">
        <v>765</v>
      </c>
      <c r="E111" s="314" t="s">
        <v>675</v>
      </c>
      <c r="F111" s="315">
        <v>1</v>
      </c>
      <c r="G111" s="316">
        <v>102.22</v>
      </c>
      <c r="H111" s="316">
        <v>32.17</v>
      </c>
      <c r="I111" s="316">
        <v>0.16</v>
      </c>
      <c r="J111" s="316">
        <v>69.89</v>
      </c>
      <c r="K111" s="316">
        <v>102.22</v>
      </c>
      <c r="L111" s="316">
        <v>32.17</v>
      </c>
      <c r="M111" s="316">
        <v>0.16</v>
      </c>
      <c r="N111" s="316">
        <v>69.89</v>
      </c>
      <c r="O111" s="316">
        <v>102.22</v>
      </c>
      <c r="P111" s="317">
        <v>1.7579751483332376E-4</v>
      </c>
    </row>
    <row r="112" spans="1:16" ht="48" customHeight="1" x14ac:dyDescent="0.4">
      <c r="A112" s="313" t="s">
        <v>717</v>
      </c>
      <c r="B112" s="313">
        <v>96545</v>
      </c>
      <c r="C112" s="313" t="s">
        <v>395</v>
      </c>
      <c r="D112" s="313" t="s">
        <v>5913</v>
      </c>
      <c r="E112" s="314" t="s">
        <v>3</v>
      </c>
      <c r="F112" s="315">
        <v>1</v>
      </c>
      <c r="G112" s="316">
        <v>19.260000000000002</v>
      </c>
      <c r="H112" s="316">
        <v>6.5</v>
      </c>
      <c r="I112" s="316">
        <v>0.48</v>
      </c>
      <c r="J112" s="316">
        <v>12.28</v>
      </c>
      <c r="K112" s="316">
        <v>19.260000000000002</v>
      </c>
      <c r="L112" s="316">
        <v>6.5</v>
      </c>
      <c r="M112" s="316">
        <v>0.48</v>
      </c>
      <c r="N112" s="316">
        <v>12.28</v>
      </c>
      <c r="O112" s="316">
        <v>19.260000000000002</v>
      </c>
      <c r="P112" s="317">
        <v>3.312326487663682E-5</v>
      </c>
    </row>
    <row r="113" spans="1:16" ht="24" customHeight="1" x14ac:dyDescent="0.4">
      <c r="A113" s="313" t="s">
        <v>718</v>
      </c>
      <c r="B113" s="313">
        <v>103340</v>
      </c>
      <c r="C113" s="313" t="s">
        <v>395</v>
      </c>
      <c r="D113" s="313" t="s">
        <v>5919</v>
      </c>
      <c r="E113" s="314" t="s">
        <v>675</v>
      </c>
      <c r="F113" s="315">
        <v>1</v>
      </c>
      <c r="G113" s="316">
        <v>160.96</v>
      </c>
      <c r="H113" s="316">
        <v>64.89</v>
      </c>
      <c r="I113" s="316">
        <v>5.27</v>
      </c>
      <c r="J113" s="316">
        <v>90.8</v>
      </c>
      <c r="K113" s="316">
        <v>160.96</v>
      </c>
      <c r="L113" s="316">
        <v>64.89</v>
      </c>
      <c r="M113" s="316">
        <v>5.27</v>
      </c>
      <c r="N113" s="316">
        <v>90.8</v>
      </c>
      <c r="O113" s="316">
        <v>160.96</v>
      </c>
      <c r="P113" s="317">
        <v>2.7681831332001362E-4</v>
      </c>
    </row>
    <row r="114" spans="1:16" ht="24" customHeight="1" x14ac:dyDescent="0.4">
      <c r="A114" s="313" t="s">
        <v>722</v>
      </c>
      <c r="B114" s="313" t="s">
        <v>834</v>
      </c>
      <c r="C114" s="313" t="s">
        <v>5902</v>
      </c>
      <c r="D114" s="313" t="s">
        <v>839</v>
      </c>
      <c r="E114" s="314" t="s">
        <v>713</v>
      </c>
      <c r="F114" s="315">
        <v>1</v>
      </c>
      <c r="G114" s="316">
        <v>623.86</v>
      </c>
      <c r="H114" s="316">
        <v>0</v>
      </c>
      <c r="I114" s="316">
        <v>0</v>
      </c>
      <c r="J114" s="316">
        <v>623.86</v>
      </c>
      <c r="K114" s="316">
        <v>623.86</v>
      </c>
      <c r="L114" s="316">
        <v>0</v>
      </c>
      <c r="M114" s="316">
        <v>0</v>
      </c>
      <c r="N114" s="316">
        <v>623.86</v>
      </c>
      <c r="O114" s="316">
        <v>623.86</v>
      </c>
      <c r="P114" s="317">
        <v>1.0729117355108332E-3</v>
      </c>
    </row>
    <row r="115" spans="1:16" ht="36" customHeight="1" x14ac:dyDescent="0.4">
      <c r="A115" s="313" t="s">
        <v>724</v>
      </c>
      <c r="B115" s="313" t="s">
        <v>1997</v>
      </c>
      <c r="C115" s="313" t="s">
        <v>5902</v>
      </c>
      <c r="D115" s="313" t="s">
        <v>1999</v>
      </c>
      <c r="E115" s="314" t="s">
        <v>713</v>
      </c>
      <c r="F115" s="315">
        <v>1</v>
      </c>
      <c r="G115" s="316">
        <v>132.30000000000001</v>
      </c>
      <c r="H115" s="316">
        <v>132.30000000000001</v>
      </c>
      <c r="I115" s="316">
        <v>0</v>
      </c>
      <c r="J115" s="316">
        <v>0</v>
      </c>
      <c r="K115" s="316">
        <v>132.30000000000001</v>
      </c>
      <c r="L115" s="316">
        <v>132.30000000000001</v>
      </c>
      <c r="M115" s="316">
        <v>0</v>
      </c>
      <c r="N115" s="316">
        <v>0</v>
      </c>
      <c r="O115" s="316">
        <v>132.30000000000001</v>
      </c>
      <c r="P115" s="317">
        <v>2.275289690124118E-4</v>
      </c>
    </row>
    <row r="116" spans="1:16" ht="24" customHeight="1" x14ac:dyDescent="0.4">
      <c r="A116" s="313" t="s">
        <v>725</v>
      </c>
      <c r="B116" s="313" t="s">
        <v>2909</v>
      </c>
      <c r="C116" s="313" t="s">
        <v>5902</v>
      </c>
      <c r="D116" s="313" t="s">
        <v>2912</v>
      </c>
      <c r="E116" s="314" t="s">
        <v>675</v>
      </c>
      <c r="F116" s="315">
        <v>1</v>
      </c>
      <c r="G116" s="316">
        <v>88.78</v>
      </c>
      <c r="H116" s="316">
        <v>21.92</v>
      </c>
      <c r="I116" s="316">
        <v>0</v>
      </c>
      <c r="J116" s="316">
        <v>66.86</v>
      </c>
      <c r="K116" s="316">
        <v>88.78</v>
      </c>
      <c r="L116" s="316">
        <v>21.92</v>
      </c>
      <c r="M116" s="316">
        <v>0</v>
      </c>
      <c r="N116" s="316">
        <v>66.86</v>
      </c>
      <c r="O116" s="316">
        <v>88.78</v>
      </c>
      <c r="P116" s="317">
        <v>1.5268346083841208E-4</v>
      </c>
    </row>
    <row r="117" spans="1:16" ht="36" customHeight="1" x14ac:dyDescent="0.4">
      <c r="A117" s="313" t="s">
        <v>727</v>
      </c>
      <c r="B117" s="313" t="s">
        <v>821</v>
      </c>
      <c r="C117" s="313" t="s">
        <v>5902</v>
      </c>
      <c r="D117" s="313" t="s">
        <v>825</v>
      </c>
      <c r="E117" s="314" t="s">
        <v>3</v>
      </c>
      <c r="F117" s="315">
        <v>1</v>
      </c>
      <c r="G117" s="316">
        <v>33.15</v>
      </c>
      <c r="H117" s="316">
        <v>0</v>
      </c>
      <c r="I117" s="316">
        <v>0</v>
      </c>
      <c r="J117" s="316">
        <v>33.15</v>
      </c>
      <c r="K117" s="316">
        <v>33.15</v>
      </c>
      <c r="L117" s="316">
        <v>0</v>
      </c>
      <c r="M117" s="316">
        <v>0</v>
      </c>
      <c r="N117" s="316">
        <v>33.15</v>
      </c>
      <c r="O117" s="316">
        <v>33.15</v>
      </c>
      <c r="P117" s="317">
        <v>5.7011226929413839E-5</v>
      </c>
    </row>
    <row r="118" spans="1:16" ht="60" customHeight="1" x14ac:dyDescent="0.4">
      <c r="A118" s="313" t="s">
        <v>729</v>
      </c>
      <c r="B118" s="313">
        <v>103338</v>
      </c>
      <c r="C118" s="313" t="s">
        <v>395</v>
      </c>
      <c r="D118" s="313" t="s">
        <v>8492</v>
      </c>
      <c r="E118" s="314" t="s">
        <v>675</v>
      </c>
      <c r="F118" s="315">
        <v>1</v>
      </c>
      <c r="G118" s="316">
        <v>134.97</v>
      </c>
      <c r="H118" s="316">
        <v>57.27</v>
      </c>
      <c r="I118" s="316">
        <v>4.67</v>
      </c>
      <c r="J118" s="316">
        <v>73.03</v>
      </c>
      <c r="K118" s="316">
        <v>134.97</v>
      </c>
      <c r="L118" s="316">
        <v>57.27</v>
      </c>
      <c r="M118" s="316">
        <v>4.67</v>
      </c>
      <c r="N118" s="316">
        <v>73.03</v>
      </c>
      <c r="O118" s="316">
        <v>134.97</v>
      </c>
      <c r="P118" s="317">
        <v>2.3212082348907952E-4</v>
      </c>
    </row>
    <row r="119" spans="1:16" ht="24" customHeight="1" x14ac:dyDescent="0.4">
      <c r="A119" s="313" t="s">
        <v>730</v>
      </c>
      <c r="B119" s="313">
        <v>103336</v>
      </c>
      <c r="C119" s="313" t="s">
        <v>395</v>
      </c>
      <c r="D119" s="313" t="s">
        <v>8493</v>
      </c>
      <c r="E119" s="314" t="s">
        <v>675</v>
      </c>
      <c r="F119" s="315">
        <v>1</v>
      </c>
      <c r="G119" s="316">
        <v>101.79</v>
      </c>
      <c r="H119" s="316">
        <v>41.99</v>
      </c>
      <c r="I119" s="316">
        <v>3.41</v>
      </c>
      <c r="J119" s="316">
        <v>56.39</v>
      </c>
      <c r="K119" s="316">
        <v>101.79</v>
      </c>
      <c r="L119" s="316">
        <v>41.99</v>
      </c>
      <c r="M119" s="316">
        <v>3.41</v>
      </c>
      <c r="N119" s="316">
        <v>56.39</v>
      </c>
      <c r="O119" s="316">
        <v>101.79</v>
      </c>
      <c r="P119" s="317">
        <v>1.7505800268914133E-4</v>
      </c>
    </row>
    <row r="120" spans="1:16" ht="24" customHeight="1" x14ac:dyDescent="0.4">
      <c r="A120" s="313" t="s">
        <v>731</v>
      </c>
      <c r="B120" s="313" t="s">
        <v>822</v>
      </c>
      <c r="C120" s="313" t="s">
        <v>490</v>
      </c>
      <c r="D120" s="313" t="s">
        <v>5920</v>
      </c>
      <c r="E120" s="314" t="s">
        <v>3</v>
      </c>
      <c r="F120" s="315">
        <v>1</v>
      </c>
      <c r="G120" s="316">
        <v>27.21</v>
      </c>
      <c r="H120" s="316">
        <v>0</v>
      </c>
      <c r="I120" s="316">
        <v>0</v>
      </c>
      <c r="J120" s="316">
        <v>27.21</v>
      </c>
      <c r="K120" s="316">
        <v>27.21</v>
      </c>
      <c r="L120" s="316">
        <v>0</v>
      </c>
      <c r="M120" s="316">
        <v>0</v>
      </c>
      <c r="N120" s="316">
        <v>27.21</v>
      </c>
      <c r="O120" s="316">
        <v>27.21</v>
      </c>
      <c r="P120" s="317">
        <v>4.6795640565591267E-5</v>
      </c>
    </row>
    <row r="121" spans="1:16" ht="24" customHeight="1" x14ac:dyDescent="0.4">
      <c r="A121" s="313" t="s">
        <v>732</v>
      </c>
      <c r="B121" s="313">
        <v>103340</v>
      </c>
      <c r="C121" s="313" t="s">
        <v>395</v>
      </c>
      <c r="D121" s="313" t="s">
        <v>5919</v>
      </c>
      <c r="E121" s="314" t="s">
        <v>675</v>
      </c>
      <c r="F121" s="315">
        <v>1</v>
      </c>
      <c r="G121" s="316">
        <v>160.96</v>
      </c>
      <c r="H121" s="316">
        <v>64.89</v>
      </c>
      <c r="I121" s="316">
        <v>5.27</v>
      </c>
      <c r="J121" s="316">
        <v>90.8</v>
      </c>
      <c r="K121" s="316">
        <v>160.96</v>
      </c>
      <c r="L121" s="316">
        <v>64.89</v>
      </c>
      <c r="M121" s="316">
        <v>5.27</v>
      </c>
      <c r="N121" s="316">
        <v>90.8</v>
      </c>
      <c r="O121" s="316">
        <v>160.96</v>
      </c>
      <c r="P121" s="317">
        <v>2.7681831332001362E-4</v>
      </c>
    </row>
    <row r="122" spans="1:16" ht="24" customHeight="1" x14ac:dyDescent="0.4">
      <c r="A122" s="313" t="s">
        <v>733</v>
      </c>
      <c r="B122" s="313">
        <v>96359</v>
      </c>
      <c r="C122" s="313" t="s">
        <v>395</v>
      </c>
      <c r="D122" s="313" t="s">
        <v>8495</v>
      </c>
      <c r="E122" s="314" t="s">
        <v>675</v>
      </c>
      <c r="F122" s="315">
        <v>1</v>
      </c>
      <c r="G122" s="316">
        <v>109.44</v>
      </c>
      <c r="H122" s="316">
        <v>23.91</v>
      </c>
      <c r="I122" s="316">
        <v>4.91</v>
      </c>
      <c r="J122" s="316">
        <v>80.62</v>
      </c>
      <c r="K122" s="316">
        <v>109.44</v>
      </c>
      <c r="L122" s="316">
        <v>23.91</v>
      </c>
      <c r="M122" s="316">
        <v>4.91</v>
      </c>
      <c r="N122" s="316">
        <v>80.62</v>
      </c>
      <c r="O122" s="316">
        <v>109.44</v>
      </c>
      <c r="P122" s="317">
        <v>1.8821443967285221E-4</v>
      </c>
    </row>
    <row r="123" spans="1:16" ht="24" customHeight="1" x14ac:dyDescent="0.4">
      <c r="A123" s="313" t="s">
        <v>734</v>
      </c>
      <c r="B123" s="313">
        <v>96363</v>
      </c>
      <c r="C123" s="313" t="s">
        <v>395</v>
      </c>
      <c r="D123" s="313" t="s">
        <v>8501</v>
      </c>
      <c r="E123" s="314" t="s">
        <v>675</v>
      </c>
      <c r="F123" s="315">
        <v>1</v>
      </c>
      <c r="G123" s="316">
        <v>138.91</v>
      </c>
      <c r="H123" s="316">
        <v>28.36</v>
      </c>
      <c r="I123" s="316">
        <v>5.1100000000000003</v>
      </c>
      <c r="J123" s="316">
        <v>105.44</v>
      </c>
      <c r="K123" s="316">
        <v>138.91</v>
      </c>
      <c r="L123" s="316">
        <v>28.36</v>
      </c>
      <c r="M123" s="316">
        <v>5.1100000000000003</v>
      </c>
      <c r="N123" s="316">
        <v>105.44</v>
      </c>
      <c r="O123" s="316">
        <v>138.91</v>
      </c>
      <c r="P123" s="317">
        <v>2.3889681848461165E-4</v>
      </c>
    </row>
    <row r="124" spans="1:16" ht="24" customHeight="1" x14ac:dyDescent="0.4">
      <c r="A124" s="313" t="s">
        <v>735</v>
      </c>
      <c r="B124" s="313">
        <v>104721</v>
      </c>
      <c r="C124" s="313" t="s">
        <v>395</v>
      </c>
      <c r="D124" s="313" t="s">
        <v>8503</v>
      </c>
      <c r="E124" s="314" t="s">
        <v>675</v>
      </c>
      <c r="F124" s="315">
        <v>1</v>
      </c>
      <c r="G124" s="316">
        <v>213.51</v>
      </c>
      <c r="H124" s="316">
        <v>44.37</v>
      </c>
      <c r="I124" s="316">
        <v>5.85</v>
      </c>
      <c r="J124" s="316">
        <v>163.29</v>
      </c>
      <c r="K124" s="316">
        <v>213.51</v>
      </c>
      <c r="L124" s="316">
        <v>44.37</v>
      </c>
      <c r="M124" s="316">
        <v>5.85</v>
      </c>
      <c r="N124" s="316">
        <v>163.29</v>
      </c>
      <c r="O124" s="316">
        <v>213.51</v>
      </c>
      <c r="P124" s="317">
        <v>3.6719357652184462E-4</v>
      </c>
    </row>
    <row r="125" spans="1:16" ht="24" customHeight="1" x14ac:dyDescent="0.4">
      <c r="A125" s="313" t="s">
        <v>736</v>
      </c>
      <c r="B125" s="313">
        <v>104723</v>
      </c>
      <c r="C125" s="313" t="s">
        <v>395</v>
      </c>
      <c r="D125" s="313" t="s">
        <v>8498</v>
      </c>
      <c r="E125" s="314" t="s">
        <v>675</v>
      </c>
      <c r="F125" s="315">
        <v>1</v>
      </c>
      <c r="G125" s="316">
        <v>244.87</v>
      </c>
      <c r="H125" s="316">
        <v>50.28</v>
      </c>
      <c r="I125" s="316">
        <v>6.12</v>
      </c>
      <c r="J125" s="316">
        <v>188.47</v>
      </c>
      <c r="K125" s="316">
        <v>244.87</v>
      </c>
      <c r="L125" s="316">
        <v>50.28</v>
      </c>
      <c r="M125" s="316">
        <v>6.12</v>
      </c>
      <c r="N125" s="316">
        <v>188.47</v>
      </c>
      <c r="O125" s="316">
        <v>244.87</v>
      </c>
      <c r="P125" s="317">
        <v>4.2112636917663855E-4</v>
      </c>
    </row>
    <row r="126" spans="1:16" ht="48" customHeight="1" x14ac:dyDescent="0.4">
      <c r="A126" s="313" t="s">
        <v>737</v>
      </c>
      <c r="B126" s="313">
        <v>104725</v>
      </c>
      <c r="C126" s="313" t="s">
        <v>395</v>
      </c>
      <c r="D126" s="313" t="s">
        <v>8505</v>
      </c>
      <c r="E126" s="314" t="s">
        <v>675</v>
      </c>
      <c r="F126" s="315">
        <v>1</v>
      </c>
      <c r="G126" s="316">
        <v>32.89</v>
      </c>
      <c r="H126" s="316">
        <v>3.03</v>
      </c>
      <c r="I126" s="316">
        <v>0.14000000000000001</v>
      </c>
      <c r="J126" s="316">
        <v>29.72</v>
      </c>
      <c r="K126" s="316">
        <v>32.89</v>
      </c>
      <c r="L126" s="316">
        <v>3.03</v>
      </c>
      <c r="M126" s="316">
        <v>0.14000000000000001</v>
      </c>
      <c r="N126" s="316">
        <v>29.72</v>
      </c>
      <c r="O126" s="316">
        <v>32.89</v>
      </c>
      <c r="P126" s="317">
        <v>5.6564080051536088E-5</v>
      </c>
    </row>
    <row r="127" spans="1:16" ht="48" customHeight="1" x14ac:dyDescent="0.4">
      <c r="A127" s="313" t="s">
        <v>739</v>
      </c>
      <c r="B127" s="313" t="s">
        <v>1650</v>
      </c>
      <c r="C127" s="313" t="s">
        <v>5902</v>
      </c>
      <c r="D127" s="313" t="s">
        <v>1656</v>
      </c>
      <c r="E127" s="314" t="s">
        <v>675</v>
      </c>
      <c r="F127" s="315">
        <v>1</v>
      </c>
      <c r="G127" s="316">
        <v>231.39</v>
      </c>
      <c r="H127" s="316">
        <v>75.17</v>
      </c>
      <c r="I127" s="316">
        <v>0</v>
      </c>
      <c r="J127" s="316">
        <v>156.22</v>
      </c>
      <c r="K127" s="316">
        <v>231.39</v>
      </c>
      <c r="L127" s="316">
        <v>75.17</v>
      </c>
      <c r="M127" s="316">
        <v>0</v>
      </c>
      <c r="N127" s="316">
        <v>156.22</v>
      </c>
      <c r="O127" s="316">
        <v>231.39</v>
      </c>
      <c r="P127" s="317">
        <v>3.9794352335436104E-4</v>
      </c>
    </row>
    <row r="128" spans="1:16" ht="24" customHeight="1" x14ac:dyDescent="0.4">
      <c r="A128" s="313" t="s">
        <v>740</v>
      </c>
      <c r="B128" s="313">
        <v>102235</v>
      </c>
      <c r="C128" s="313" t="s">
        <v>395</v>
      </c>
      <c r="D128" s="313" t="s">
        <v>5921</v>
      </c>
      <c r="E128" s="314" t="s">
        <v>675</v>
      </c>
      <c r="F128" s="315">
        <v>1</v>
      </c>
      <c r="G128" s="316">
        <v>632.32000000000005</v>
      </c>
      <c r="H128" s="316">
        <v>50.19</v>
      </c>
      <c r="I128" s="316">
        <v>3.21</v>
      </c>
      <c r="J128" s="316">
        <v>578.91999999999996</v>
      </c>
      <c r="K128" s="316">
        <v>632.32000000000005</v>
      </c>
      <c r="L128" s="316">
        <v>50.19</v>
      </c>
      <c r="M128" s="316">
        <v>3.21</v>
      </c>
      <c r="N128" s="316">
        <v>578.91999999999996</v>
      </c>
      <c r="O128" s="316">
        <v>632.32000000000005</v>
      </c>
      <c r="P128" s="317">
        <v>1.0874612069987017E-3</v>
      </c>
    </row>
    <row r="129" spans="1:16" ht="36" customHeight="1" x14ac:dyDescent="0.4">
      <c r="A129" s="313" t="s">
        <v>741</v>
      </c>
      <c r="B129" s="313" t="s">
        <v>602</v>
      </c>
      <c r="C129" s="313" t="s">
        <v>5902</v>
      </c>
      <c r="D129" s="313" t="s">
        <v>677</v>
      </c>
      <c r="E129" s="314" t="s">
        <v>675</v>
      </c>
      <c r="F129" s="315">
        <v>1</v>
      </c>
      <c r="G129" s="316">
        <v>839.86</v>
      </c>
      <c r="H129" s="316">
        <v>0</v>
      </c>
      <c r="I129" s="316">
        <v>0</v>
      </c>
      <c r="J129" s="316">
        <v>839.86</v>
      </c>
      <c r="K129" s="316">
        <v>839.86</v>
      </c>
      <c r="L129" s="316">
        <v>0</v>
      </c>
      <c r="M129" s="316">
        <v>0</v>
      </c>
      <c r="N129" s="316">
        <v>839.86</v>
      </c>
      <c r="O129" s="316">
        <v>839.86</v>
      </c>
      <c r="P129" s="317">
        <v>1.4443876032861993E-3</v>
      </c>
    </row>
    <row r="130" spans="1:16" ht="24" customHeight="1" x14ac:dyDescent="0.4">
      <c r="A130" s="313" t="s">
        <v>742</v>
      </c>
      <c r="B130" s="313">
        <v>110308</v>
      </c>
      <c r="C130" s="313" t="s">
        <v>408</v>
      </c>
      <c r="D130" s="313" t="s">
        <v>2099</v>
      </c>
      <c r="E130" s="314" t="s">
        <v>4</v>
      </c>
      <c r="F130" s="315">
        <v>1</v>
      </c>
      <c r="G130" s="316">
        <v>1275.1400000000001</v>
      </c>
      <c r="H130" s="316">
        <v>252.62</v>
      </c>
      <c r="I130" s="316">
        <v>0</v>
      </c>
      <c r="J130" s="316">
        <v>1022.52</v>
      </c>
      <c r="K130" s="316">
        <v>1275.1400000000001</v>
      </c>
      <c r="L130" s="316">
        <v>252.62</v>
      </c>
      <c r="M130" s="316">
        <v>0</v>
      </c>
      <c r="N130" s="316">
        <v>1022.52</v>
      </c>
      <c r="O130" s="316">
        <v>1275.1400000000001</v>
      </c>
      <c r="P130" s="317">
        <v>2.192980268680928E-3</v>
      </c>
    </row>
    <row r="131" spans="1:16" ht="48" customHeight="1" x14ac:dyDescent="0.4">
      <c r="A131" s="313" t="s">
        <v>743</v>
      </c>
      <c r="B131" s="313">
        <v>87878</v>
      </c>
      <c r="C131" s="313" t="s">
        <v>395</v>
      </c>
      <c r="D131" s="313" t="s">
        <v>5922</v>
      </c>
      <c r="E131" s="314" t="s">
        <v>675</v>
      </c>
      <c r="F131" s="315">
        <v>1</v>
      </c>
      <c r="G131" s="316">
        <v>6.54</v>
      </c>
      <c r="H131" s="316">
        <v>3.67</v>
      </c>
      <c r="I131" s="316">
        <v>0.32</v>
      </c>
      <c r="J131" s="316">
        <v>2.5499999999999998</v>
      </c>
      <c r="K131" s="316">
        <v>6.54</v>
      </c>
      <c r="L131" s="316">
        <v>3.67</v>
      </c>
      <c r="M131" s="316">
        <v>0.32</v>
      </c>
      <c r="N131" s="316">
        <v>2.5499999999999998</v>
      </c>
      <c r="O131" s="316">
        <v>6.54</v>
      </c>
      <c r="P131" s="317">
        <v>1.1247463774309699E-5</v>
      </c>
    </row>
    <row r="132" spans="1:16" ht="36" customHeight="1" x14ac:dyDescent="0.4">
      <c r="A132" s="313" t="s">
        <v>744</v>
      </c>
      <c r="B132" s="313">
        <v>87536</v>
      </c>
      <c r="C132" s="313" t="s">
        <v>395</v>
      </c>
      <c r="D132" s="313" t="s">
        <v>5923</v>
      </c>
      <c r="E132" s="314" t="s">
        <v>675</v>
      </c>
      <c r="F132" s="315">
        <v>1</v>
      </c>
      <c r="G132" s="316">
        <v>47.87</v>
      </c>
      <c r="H132" s="316">
        <v>23.77</v>
      </c>
      <c r="I132" s="316">
        <v>2.11</v>
      </c>
      <c r="J132" s="316">
        <v>21.99</v>
      </c>
      <c r="K132" s="316">
        <v>47.87</v>
      </c>
      <c r="L132" s="316">
        <v>23.77</v>
      </c>
      <c r="M132" s="316">
        <v>2.11</v>
      </c>
      <c r="N132" s="316">
        <v>21.99</v>
      </c>
      <c r="O132" s="316">
        <v>47.87</v>
      </c>
      <c r="P132" s="317">
        <v>8.2326619400031385E-5</v>
      </c>
    </row>
    <row r="133" spans="1:16" ht="36" customHeight="1" x14ac:dyDescent="0.4">
      <c r="A133" s="313" t="s">
        <v>745</v>
      </c>
      <c r="B133" s="313">
        <v>120012</v>
      </c>
      <c r="C133" s="313" t="s">
        <v>408</v>
      </c>
      <c r="D133" s="313" t="s">
        <v>681</v>
      </c>
      <c r="E133" s="314" t="s">
        <v>675</v>
      </c>
      <c r="F133" s="315">
        <v>1</v>
      </c>
      <c r="G133" s="316">
        <v>13.46</v>
      </c>
      <c r="H133" s="316">
        <v>6.95</v>
      </c>
      <c r="I133" s="316">
        <v>0</v>
      </c>
      <c r="J133" s="316">
        <v>6.51</v>
      </c>
      <c r="K133" s="316">
        <v>13.46</v>
      </c>
      <c r="L133" s="316">
        <v>6.95</v>
      </c>
      <c r="M133" s="316">
        <v>0</v>
      </c>
      <c r="N133" s="316">
        <v>6.51</v>
      </c>
      <c r="O133" s="316">
        <v>13.46</v>
      </c>
      <c r="P133" s="317">
        <v>2.3148449908594578E-5</v>
      </c>
    </row>
    <row r="134" spans="1:16" ht="36" customHeight="1" x14ac:dyDescent="0.4">
      <c r="A134" s="313" t="s">
        <v>746</v>
      </c>
      <c r="B134" s="313">
        <v>120492</v>
      </c>
      <c r="C134" s="313" t="s">
        <v>408</v>
      </c>
      <c r="D134" s="313" t="s">
        <v>683</v>
      </c>
      <c r="E134" s="314" t="s">
        <v>675</v>
      </c>
      <c r="F134" s="315">
        <v>1</v>
      </c>
      <c r="G134" s="316">
        <v>105.29</v>
      </c>
      <c r="H134" s="316">
        <v>28.61</v>
      </c>
      <c r="I134" s="316">
        <v>0</v>
      </c>
      <c r="J134" s="316">
        <v>76.680000000000007</v>
      </c>
      <c r="K134" s="316">
        <v>105.29</v>
      </c>
      <c r="L134" s="316">
        <v>28.61</v>
      </c>
      <c r="M134" s="316">
        <v>0</v>
      </c>
      <c r="N134" s="316">
        <v>76.680000000000007</v>
      </c>
      <c r="O134" s="316">
        <v>105.29</v>
      </c>
      <c r="P134" s="317">
        <v>1.8107728758364958E-4</v>
      </c>
    </row>
    <row r="135" spans="1:16" ht="36" customHeight="1" x14ac:dyDescent="0.4">
      <c r="A135" s="313" t="s">
        <v>747</v>
      </c>
      <c r="B135" s="313">
        <v>368</v>
      </c>
      <c r="C135" s="313" t="s">
        <v>575</v>
      </c>
      <c r="D135" s="313" t="s">
        <v>1721</v>
      </c>
      <c r="E135" s="314" t="s">
        <v>675</v>
      </c>
      <c r="F135" s="315">
        <v>1</v>
      </c>
      <c r="G135" s="316">
        <v>322.44</v>
      </c>
      <c r="H135" s="316">
        <v>20.010000000000002</v>
      </c>
      <c r="I135" s="316">
        <v>0</v>
      </c>
      <c r="J135" s="316">
        <v>302.43</v>
      </c>
      <c r="K135" s="316">
        <v>322.44</v>
      </c>
      <c r="L135" s="316">
        <v>20.010000000000002</v>
      </c>
      <c r="M135" s="316">
        <v>0</v>
      </c>
      <c r="N135" s="316">
        <v>302.43</v>
      </c>
      <c r="O135" s="316">
        <v>322.44</v>
      </c>
      <c r="P135" s="317">
        <v>5.5453092039578272E-4</v>
      </c>
    </row>
    <row r="136" spans="1:16" ht="36" customHeight="1" x14ac:dyDescent="0.4">
      <c r="A136" s="313" t="s">
        <v>748</v>
      </c>
      <c r="B136" s="313" t="s">
        <v>8549</v>
      </c>
      <c r="C136" s="313" t="s">
        <v>5902</v>
      </c>
      <c r="D136" s="313" t="s">
        <v>8550</v>
      </c>
      <c r="E136" s="314" t="s">
        <v>675</v>
      </c>
      <c r="F136" s="315">
        <v>1</v>
      </c>
      <c r="G136" s="316">
        <v>882.9</v>
      </c>
      <c r="H136" s="316">
        <v>319.47000000000003</v>
      </c>
      <c r="I136" s="316">
        <v>0</v>
      </c>
      <c r="J136" s="316">
        <v>563.42999999999995</v>
      </c>
      <c r="K136" s="316">
        <v>882.9</v>
      </c>
      <c r="L136" s="316">
        <v>319.47000000000003</v>
      </c>
      <c r="M136" s="316">
        <v>0</v>
      </c>
      <c r="N136" s="316">
        <v>563.42999999999995</v>
      </c>
      <c r="O136" s="316">
        <v>882.9</v>
      </c>
      <c r="P136" s="317">
        <v>1.5184076095318094E-3</v>
      </c>
    </row>
    <row r="137" spans="1:16" ht="24" customHeight="1" x14ac:dyDescent="0.4">
      <c r="A137" s="313" t="s">
        <v>750</v>
      </c>
      <c r="B137" s="313">
        <v>369</v>
      </c>
      <c r="C137" s="313" t="s">
        <v>575</v>
      </c>
      <c r="D137" s="313" t="s">
        <v>1723</v>
      </c>
      <c r="E137" s="314" t="s">
        <v>675</v>
      </c>
      <c r="F137" s="315">
        <v>1</v>
      </c>
      <c r="G137" s="316">
        <v>322.44</v>
      </c>
      <c r="H137" s="316">
        <v>20.010000000000002</v>
      </c>
      <c r="I137" s="316">
        <v>0</v>
      </c>
      <c r="J137" s="316">
        <v>302.43</v>
      </c>
      <c r="K137" s="316">
        <v>322.44</v>
      </c>
      <c r="L137" s="316">
        <v>20.010000000000002</v>
      </c>
      <c r="M137" s="316">
        <v>0</v>
      </c>
      <c r="N137" s="316">
        <v>302.43</v>
      </c>
      <c r="O137" s="316">
        <v>322.44</v>
      </c>
      <c r="P137" s="317">
        <v>5.5453092039578272E-4</v>
      </c>
    </row>
    <row r="138" spans="1:16" ht="36" customHeight="1" x14ac:dyDescent="0.4">
      <c r="A138" s="313" t="s">
        <v>755</v>
      </c>
      <c r="B138" s="313" t="s">
        <v>1717</v>
      </c>
      <c r="C138" s="313" t="s">
        <v>5902</v>
      </c>
      <c r="D138" s="313" t="s">
        <v>1725</v>
      </c>
      <c r="E138" s="314" t="s">
        <v>675</v>
      </c>
      <c r="F138" s="315">
        <v>1</v>
      </c>
      <c r="G138" s="316">
        <v>243.62</v>
      </c>
      <c r="H138" s="316">
        <v>145.18</v>
      </c>
      <c r="I138" s="316">
        <v>0</v>
      </c>
      <c r="J138" s="316">
        <v>98.44</v>
      </c>
      <c r="K138" s="316">
        <v>243.62</v>
      </c>
      <c r="L138" s="316">
        <v>145.18</v>
      </c>
      <c r="M138" s="316">
        <v>0</v>
      </c>
      <c r="N138" s="316">
        <v>98.44</v>
      </c>
      <c r="O138" s="316">
        <v>243.62</v>
      </c>
      <c r="P138" s="317">
        <v>4.1897662457145699E-4</v>
      </c>
    </row>
    <row r="139" spans="1:16" ht="24" customHeight="1" x14ac:dyDescent="0.4">
      <c r="A139" s="313" t="s">
        <v>758</v>
      </c>
      <c r="B139" s="313">
        <v>180586</v>
      </c>
      <c r="C139" s="313" t="s">
        <v>408</v>
      </c>
      <c r="D139" s="313" t="s">
        <v>686</v>
      </c>
      <c r="E139" s="314" t="s">
        <v>675</v>
      </c>
      <c r="F139" s="315">
        <v>1</v>
      </c>
      <c r="G139" s="316">
        <v>67.58</v>
      </c>
      <c r="H139" s="316">
        <v>44.7</v>
      </c>
      <c r="I139" s="316">
        <v>0</v>
      </c>
      <c r="J139" s="316">
        <v>22.88</v>
      </c>
      <c r="K139" s="316">
        <v>67.58</v>
      </c>
      <c r="L139" s="316">
        <v>44.7</v>
      </c>
      <c r="M139" s="316">
        <v>0</v>
      </c>
      <c r="N139" s="316">
        <v>22.88</v>
      </c>
      <c r="O139" s="316">
        <v>67.58</v>
      </c>
      <c r="P139" s="317">
        <v>1.1622379233453356E-4</v>
      </c>
    </row>
    <row r="140" spans="1:16" ht="36" customHeight="1" x14ac:dyDescent="0.4">
      <c r="A140" s="313" t="s">
        <v>760</v>
      </c>
      <c r="B140" s="313">
        <v>102489</v>
      </c>
      <c r="C140" s="313" t="s">
        <v>395</v>
      </c>
      <c r="D140" s="313" t="s">
        <v>341</v>
      </c>
      <c r="E140" s="314" t="s">
        <v>675</v>
      </c>
      <c r="F140" s="315">
        <v>1</v>
      </c>
      <c r="G140" s="316">
        <v>33.65</v>
      </c>
      <c r="H140" s="316">
        <v>14.53</v>
      </c>
      <c r="I140" s="316">
        <v>1.82</v>
      </c>
      <c r="J140" s="316">
        <v>17.3</v>
      </c>
      <c r="K140" s="316">
        <v>33.65</v>
      </c>
      <c r="L140" s="316">
        <v>14.53</v>
      </c>
      <c r="M140" s="316">
        <v>1.82</v>
      </c>
      <c r="N140" s="316">
        <v>17.3</v>
      </c>
      <c r="O140" s="316">
        <v>33.65</v>
      </c>
      <c r="P140" s="317">
        <v>5.7871124771486446E-5</v>
      </c>
    </row>
    <row r="141" spans="1:16" ht="36" customHeight="1" x14ac:dyDescent="0.4">
      <c r="A141" s="313" t="s">
        <v>764</v>
      </c>
      <c r="B141" s="313">
        <v>100758</v>
      </c>
      <c r="C141" s="313" t="s">
        <v>395</v>
      </c>
      <c r="D141" s="313" t="s">
        <v>218</v>
      </c>
      <c r="E141" s="314" t="s">
        <v>675</v>
      </c>
      <c r="F141" s="315">
        <v>1</v>
      </c>
      <c r="G141" s="316">
        <v>71.790000000000006</v>
      </c>
      <c r="H141" s="316">
        <v>41.95</v>
      </c>
      <c r="I141" s="316">
        <v>5.52</v>
      </c>
      <c r="J141" s="316">
        <v>24.32</v>
      </c>
      <c r="K141" s="316">
        <v>71.790000000000006</v>
      </c>
      <c r="L141" s="316">
        <v>41.95</v>
      </c>
      <c r="M141" s="316">
        <v>5.52</v>
      </c>
      <c r="N141" s="316">
        <v>24.32</v>
      </c>
      <c r="O141" s="316">
        <v>71.790000000000006</v>
      </c>
      <c r="P141" s="317">
        <v>1.2346413216478492E-4</v>
      </c>
    </row>
    <row r="142" spans="1:16" ht="36" customHeight="1" x14ac:dyDescent="0.4">
      <c r="A142" s="313" t="s">
        <v>767</v>
      </c>
      <c r="B142" s="313">
        <v>3761</v>
      </c>
      <c r="C142" s="313" t="s">
        <v>420</v>
      </c>
      <c r="D142" s="313" t="s">
        <v>2711</v>
      </c>
      <c r="E142" s="314" t="s">
        <v>675</v>
      </c>
      <c r="F142" s="315">
        <v>1</v>
      </c>
      <c r="G142" s="316">
        <v>138.62</v>
      </c>
      <c r="H142" s="316">
        <v>45.19</v>
      </c>
      <c r="I142" s="316">
        <v>0</v>
      </c>
      <c r="J142" s="316">
        <v>93.43</v>
      </c>
      <c r="K142" s="316">
        <v>138.62</v>
      </c>
      <c r="L142" s="316">
        <v>45.19</v>
      </c>
      <c r="M142" s="316">
        <v>0</v>
      </c>
      <c r="N142" s="316">
        <v>93.43</v>
      </c>
      <c r="O142" s="316">
        <v>138.62</v>
      </c>
      <c r="P142" s="317">
        <v>2.3839807773620955E-4</v>
      </c>
    </row>
    <row r="143" spans="1:16" ht="24" customHeight="1" x14ac:dyDescent="0.4">
      <c r="A143" s="313" t="s">
        <v>768</v>
      </c>
      <c r="B143" s="313">
        <v>96616</v>
      </c>
      <c r="C143" s="313" t="s">
        <v>395</v>
      </c>
      <c r="D143" s="313" t="s">
        <v>5914</v>
      </c>
      <c r="E143" s="314" t="s">
        <v>713</v>
      </c>
      <c r="F143" s="315">
        <v>1</v>
      </c>
      <c r="G143" s="316">
        <v>975.14</v>
      </c>
      <c r="H143" s="316">
        <v>383.38</v>
      </c>
      <c r="I143" s="316">
        <v>35.51</v>
      </c>
      <c r="J143" s="316">
        <v>556.25</v>
      </c>
      <c r="K143" s="316">
        <v>975.14</v>
      </c>
      <c r="L143" s="316">
        <v>383.38</v>
      </c>
      <c r="M143" s="316">
        <v>35.51</v>
      </c>
      <c r="N143" s="316">
        <v>556.25</v>
      </c>
      <c r="O143" s="316">
        <v>975.14</v>
      </c>
      <c r="P143" s="317">
        <v>1.6770415634373638E-3</v>
      </c>
    </row>
    <row r="144" spans="1:16" ht="24" customHeight="1" x14ac:dyDescent="0.4">
      <c r="A144" s="313" t="s">
        <v>769</v>
      </c>
      <c r="B144" s="313">
        <v>622</v>
      </c>
      <c r="C144" s="313" t="s">
        <v>575</v>
      </c>
      <c r="D144" s="313" t="s">
        <v>2065</v>
      </c>
      <c r="E144" s="314" t="s">
        <v>675</v>
      </c>
      <c r="F144" s="315">
        <v>1</v>
      </c>
      <c r="G144" s="316">
        <v>117.49</v>
      </c>
      <c r="H144" s="316">
        <v>24.65</v>
      </c>
      <c r="I144" s="316">
        <v>2.0099999999999998</v>
      </c>
      <c r="J144" s="316">
        <v>90.83</v>
      </c>
      <c r="K144" s="316">
        <v>117.49</v>
      </c>
      <c r="L144" s="316">
        <v>24.65</v>
      </c>
      <c r="M144" s="316">
        <v>2.0099999999999998</v>
      </c>
      <c r="N144" s="316">
        <v>90.83</v>
      </c>
      <c r="O144" s="316">
        <v>117.49</v>
      </c>
      <c r="P144" s="317">
        <v>2.0205879493022117E-4</v>
      </c>
    </row>
    <row r="145" spans="1:16" ht="24" customHeight="1" x14ac:dyDescent="0.4">
      <c r="A145" s="313" t="s">
        <v>771</v>
      </c>
      <c r="B145" s="313">
        <v>100576</v>
      </c>
      <c r="C145" s="313" t="s">
        <v>395</v>
      </c>
      <c r="D145" s="313" t="s">
        <v>5924</v>
      </c>
      <c r="E145" s="314" t="s">
        <v>675</v>
      </c>
      <c r="F145" s="315">
        <v>1</v>
      </c>
      <c r="G145" s="316">
        <v>3.53</v>
      </c>
      <c r="H145" s="316">
        <v>1.1599999999999999</v>
      </c>
      <c r="I145" s="316">
        <v>1.58</v>
      </c>
      <c r="J145" s="316">
        <v>0.79</v>
      </c>
      <c r="K145" s="316">
        <v>3.53</v>
      </c>
      <c r="L145" s="316">
        <v>1.1599999999999999</v>
      </c>
      <c r="M145" s="316">
        <v>1.58</v>
      </c>
      <c r="N145" s="316">
        <v>0.79</v>
      </c>
      <c r="O145" s="316">
        <v>3.53</v>
      </c>
      <c r="P145" s="317">
        <v>6.0708787650326054E-6</v>
      </c>
    </row>
    <row r="146" spans="1:16" ht="24" customHeight="1" x14ac:dyDescent="0.4">
      <c r="A146" s="313" t="s">
        <v>773</v>
      </c>
      <c r="B146" s="313">
        <v>96397</v>
      </c>
      <c r="C146" s="313" t="s">
        <v>395</v>
      </c>
      <c r="D146" s="313" t="s">
        <v>5925</v>
      </c>
      <c r="E146" s="314" t="s">
        <v>713</v>
      </c>
      <c r="F146" s="315">
        <v>1</v>
      </c>
      <c r="G146" s="316">
        <v>299.01</v>
      </c>
      <c r="H146" s="316">
        <v>9.52</v>
      </c>
      <c r="I146" s="316">
        <v>12.04</v>
      </c>
      <c r="J146" s="316">
        <v>277.45</v>
      </c>
      <c r="K146" s="316">
        <v>299.01</v>
      </c>
      <c r="L146" s="316">
        <v>9.52</v>
      </c>
      <c r="M146" s="316">
        <v>12.04</v>
      </c>
      <c r="N146" s="316">
        <v>277.45</v>
      </c>
      <c r="O146" s="316">
        <v>299.01</v>
      </c>
      <c r="P146" s="317">
        <v>5.1423610751626038E-4</v>
      </c>
    </row>
    <row r="147" spans="1:16" ht="24" customHeight="1" x14ac:dyDescent="0.4">
      <c r="A147" s="313" t="s">
        <v>774</v>
      </c>
      <c r="B147" s="313">
        <v>97096</v>
      </c>
      <c r="C147" s="313" t="s">
        <v>395</v>
      </c>
      <c r="D147" s="313" t="s">
        <v>347</v>
      </c>
      <c r="E147" s="314" t="s">
        <v>713</v>
      </c>
      <c r="F147" s="315">
        <v>1</v>
      </c>
      <c r="G147" s="316">
        <v>675.9</v>
      </c>
      <c r="H147" s="316">
        <v>22.38</v>
      </c>
      <c r="I147" s="316">
        <v>2.02</v>
      </c>
      <c r="J147" s="316">
        <v>651.5</v>
      </c>
      <c r="K147" s="316">
        <v>675.9</v>
      </c>
      <c r="L147" s="316">
        <v>22.38</v>
      </c>
      <c r="M147" s="316">
        <v>2.02</v>
      </c>
      <c r="N147" s="316">
        <v>651.5</v>
      </c>
      <c r="O147" s="316">
        <v>675.9</v>
      </c>
      <c r="P147" s="317">
        <v>1.1624099029137502E-3</v>
      </c>
    </row>
    <row r="148" spans="1:16" ht="48" customHeight="1" x14ac:dyDescent="0.4">
      <c r="A148" s="313" t="s">
        <v>775</v>
      </c>
      <c r="B148" s="313">
        <v>13193</v>
      </c>
      <c r="C148" s="313" t="s">
        <v>420</v>
      </c>
      <c r="D148" s="313" t="s">
        <v>2914</v>
      </c>
      <c r="E148" s="314" t="s">
        <v>437</v>
      </c>
      <c r="F148" s="315">
        <v>1</v>
      </c>
      <c r="G148" s="316">
        <v>15.94</v>
      </c>
      <c r="H148" s="316">
        <v>5.1100000000000003</v>
      </c>
      <c r="I148" s="316">
        <v>0</v>
      </c>
      <c r="J148" s="316">
        <v>10.83</v>
      </c>
      <c r="K148" s="316">
        <v>15.94</v>
      </c>
      <c r="L148" s="316">
        <v>5.1100000000000003</v>
      </c>
      <c r="M148" s="316">
        <v>0</v>
      </c>
      <c r="N148" s="316">
        <v>10.83</v>
      </c>
      <c r="O148" s="316">
        <v>15.94</v>
      </c>
      <c r="P148" s="317">
        <v>2.741354320527471E-5</v>
      </c>
    </row>
    <row r="149" spans="1:16" ht="36" customHeight="1" x14ac:dyDescent="0.4">
      <c r="A149" s="313" t="s">
        <v>776</v>
      </c>
      <c r="B149" s="313">
        <v>12788</v>
      </c>
      <c r="C149" s="313" t="s">
        <v>420</v>
      </c>
      <c r="D149" s="313" t="s">
        <v>5926</v>
      </c>
      <c r="E149" s="314" t="s">
        <v>437</v>
      </c>
      <c r="F149" s="315">
        <v>1</v>
      </c>
      <c r="G149" s="316">
        <v>22.82</v>
      </c>
      <c r="H149" s="316">
        <v>8.6199999999999992</v>
      </c>
      <c r="I149" s="316">
        <v>2.25</v>
      </c>
      <c r="J149" s="316">
        <v>11.95</v>
      </c>
      <c r="K149" s="316">
        <v>22.82</v>
      </c>
      <c r="L149" s="316">
        <v>8.6199999999999992</v>
      </c>
      <c r="M149" s="316">
        <v>2.25</v>
      </c>
      <c r="N149" s="316">
        <v>11.95</v>
      </c>
      <c r="O149" s="316">
        <v>22.82</v>
      </c>
      <c r="P149" s="317">
        <v>3.924573751219378E-5</v>
      </c>
    </row>
    <row r="150" spans="1:16" ht="24" customHeight="1" x14ac:dyDescent="0.4">
      <c r="A150" s="313" t="s">
        <v>777</v>
      </c>
      <c r="B150" s="313" t="s">
        <v>749</v>
      </c>
      <c r="C150" s="313" t="s">
        <v>5902</v>
      </c>
      <c r="D150" s="313" t="s">
        <v>751</v>
      </c>
      <c r="E150" s="314" t="s">
        <v>7</v>
      </c>
      <c r="F150" s="315">
        <v>1</v>
      </c>
      <c r="G150" s="316">
        <v>11.8</v>
      </c>
      <c r="H150" s="316">
        <v>3.46</v>
      </c>
      <c r="I150" s="316">
        <v>0</v>
      </c>
      <c r="J150" s="316">
        <v>8.34</v>
      </c>
      <c r="K150" s="316">
        <v>11.8</v>
      </c>
      <c r="L150" s="316">
        <v>3.46</v>
      </c>
      <c r="M150" s="316">
        <v>0</v>
      </c>
      <c r="N150" s="316">
        <v>8.34</v>
      </c>
      <c r="O150" s="316">
        <v>11.8</v>
      </c>
      <c r="P150" s="317">
        <v>2.0293589072913523E-5</v>
      </c>
    </row>
    <row r="151" spans="1:16" ht="36" customHeight="1" x14ac:dyDescent="0.4">
      <c r="A151" s="313" t="s">
        <v>779</v>
      </c>
      <c r="B151" s="313">
        <v>329</v>
      </c>
      <c r="C151" s="313" t="s">
        <v>575</v>
      </c>
      <c r="D151" s="313" t="s">
        <v>800</v>
      </c>
      <c r="E151" s="314" t="s">
        <v>437</v>
      </c>
      <c r="F151" s="315">
        <v>1</v>
      </c>
      <c r="G151" s="316">
        <v>27.46</v>
      </c>
      <c r="H151" s="316">
        <v>15.15</v>
      </c>
      <c r="I151" s="316">
        <v>0</v>
      </c>
      <c r="J151" s="316">
        <v>12.31</v>
      </c>
      <c r="K151" s="316">
        <v>27.46</v>
      </c>
      <c r="L151" s="316">
        <v>15.15</v>
      </c>
      <c r="M151" s="316">
        <v>0</v>
      </c>
      <c r="N151" s="316">
        <v>12.31</v>
      </c>
      <c r="O151" s="316">
        <v>27.46</v>
      </c>
      <c r="P151" s="317">
        <v>4.7225589486627571E-5</v>
      </c>
    </row>
    <row r="152" spans="1:16" ht="36" customHeight="1" x14ac:dyDescent="0.4">
      <c r="A152" s="313" t="s">
        <v>780</v>
      </c>
      <c r="B152" s="313">
        <v>330</v>
      </c>
      <c r="C152" s="313" t="s">
        <v>575</v>
      </c>
      <c r="D152" s="313" t="s">
        <v>802</v>
      </c>
      <c r="E152" s="314" t="s">
        <v>437</v>
      </c>
      <c r="F152" s="315">
        <v>1</v>
      </c>
      <c r="G152" s="316">
        <v>29.85</v>
      </c>
      <c r="H152" s="316">
        <v>15.15</v>
      </c>
      <c r="I152" s="316">
        <v>0</v>
      </c>
      <c r="J152" s="316">
        <v>14.7</v>
      </c>
      <c r="K152" s="316">
        <v>29.85</v>
      </c>
      <c r="L152" s="316">
        <v>15.15</v>
      </c>
      <c r="M152" s="316">
        <v>0</v>
      </c>
      <c r="N152" s="316">
        <v>14.7</v>
      </c>
      <c r="O152" s="316">
        <v>29.85</v>
      </c>
      <c r="P152" s="317">
        <v>5.1335901171734636E-5</v>
      </c>
    </row>
    <row r="153" spans="1:16" ht="24" customHeight="1" x14ac:dyDescent="0.4">
      <c r="A153" s="313" t="s">
        <v>783</v>
      </c>
      <c r="B153" s="313">
        <v>97118</v>
      </c>
      <c r="C153" s="313" t="s">
        <v>395</v>
      </c>
      <c r="D153" s="313" t="s">
        <v>5927</v>
      </c>
      <c r="E153" s="314" t="s">
        <v>3</v>
      </c>
      <c r="F153" s="315">
        <v>1</v>
      </c>
      <c r="G153" s="316">
        <v>18.38</v>
      </c>
      <c r="H153" s="316">
        <v>4.3899999999999997</v>
      </c>
      <c r="I153" s="316">
        <v>0.35</v>
      </c>
      <c r="J153" s="316">
        <v>13.64</v>
      </c>
      <c r="K153" s="316">
        <v>18.38</v>
      </c>
      <c r="L153" s="316">
        <v>4.3899999999999997</v>
      </c>
      <c r="M153" s="316">
        <v>0.35</v>
      </c>
      <c r="N153" s="316">
        <v>13.64</v>
      </c>
      <c r="O153" s="316">
        <v>18.38</v>
      </c>
      <c r="P153" s="317">
        <v>3.160984467458903E-5</v>
      </c>
    </row>
    <row r="154" spans="1:16" ht="24" customHeight="1" x14ac:dyDescent="0.4">
      <c r="A154" s="313" t="s">
        <v>784</v>
      </c>
      <c r="B154" s="313" t="s">
        <v>392</v>
      </c>
      <c r="C154" s="313" t="s">
        <v>5902</v>
      </c>
      <c r="D154" s="313" t="s">
        <v>712</v>
      </c>
      <c r="E154" s="314" t="s">
        <v>713</v>
      </c>
      <c r="F154" s="315">
        <v>1</v>
      </c>
      <c r="G154" s="316">
        <v>854.23</v>
      </c>
      <c r="H154" s="316">
        <v>358.88</v>
      </c>
      <c r="I154" s="316">
        <v>0</v>
      </c>
      <c r="J154" s="316">
        <v>495.35</v>
      </c>
      <c r="K154" s="316">
        <v>854.23</v>
      </c>
      <c r="L154" s="316">
        <v>358.88</v>
      </c>
      <c r="M154" s="316">
        <v>0</v>
      </c>
      <c r="N154" s="316">
        <v>495.35</v>
      </c>
      <c r="O154" s="316">
        <v>854.23</v>
      </c>
      <c r="P154" s="317">
        <v>1.4691010672673662E-3</v>
      </c>
    </row>
    <row r="155" spans="1:16" ht="24" customHeight="1" x14ac:dyDescent="0.4">
      <c r="A155" s="313" t="s">
        <v>785</v>
      </c>
      <c r="B155" s="313">
        <v>170182</v>
      </c>
      <c r="C155" s="313" t="s">
        <v>408</v>
      </c>
      <c r="D155" s="313" t="s">
        <v>8525</v>
      </c>
      <c r="E155" s="314" t="s">
        <v>675</v>
      </c>
      <c r="F155" s="315">
        <v>1</v>
      </c>
      <c r="G155" s="316">
        <v>236.28</v>
      </c>
      <c r="H155" s="316">
        <v>47.05</v>
      </c>
      <c r="I155" s="316">
        <v>0</v>
      </c>
      <c r="J155" s="316">
        <v>189.23</v>
      </c>
      <c r="K155" s="316">
        <v>236.28</v>
      </c>
      <c r="L155" s="316">
        <v>47.05</v>
      </c>
      <c r="M155" s="316">
        <v>0</v>
      </c>
      <c r="N155" s="316">
        <v>189.23</v>
      </c>
      <c r="O155" s="316">
        <v>236.28</v>
      </c>
      <c r="P155" s="317">
        <v>4.0635332424983112E-4</v>
      </c>
    </row>
    <row r="156" spans="1:16" ht="48" customHeight="1" x14ac:dyDescent="0.4">
      <c r="A156" s="313" t="s">
        <v>787</v>
      </c>
      <c r="B156" s="313">
        <v>170047</v>
      </c>
      <c r="C156" s="313" t="s">
        <v>408</v>
      </c>
      <c r="D156" s="313" t="s">
        <v>8527</v>
      </c>
      <c r="E156" s="314" t="s">
        <v>675</v>
      </c>
      <c r="F156" s="315">
        <v>1</v>
      </c>
      <c r="G156" s="316">
        <v>284.07</v>
      </c>
      <c r="H156" s="316">
        <v>78.69</v>
      </c>
      <c r="I156" s="316">
        <v>0</v>
      </c>
      <c r="J156" s="316">
        <v>205.38</v>
      </c>
      <c r="K156" s="316">
        <v>284.07</v>
      </c>
      <c r="L156" s="316">
        <v>78.69</v>
      </c>
      <c r="M156" s="316">
        <v>0</v>
      </c>
      <c r="N156" s="316">
        <v>205.38</v>
      </c>
      <c r="O156" s="316">
        <v>284.07</v>
      </c>
      <c r="P156" s="317">
        <v>4.8854235999513094E-4</v>
      </c>
    </row>
    <row r="157" spans="1:16" ht="24" customHeight="1" x14ac:dyDescent="0.4">
      <c r="A157" s="313" t="s">
        <v>790</v>
      </c>
      <c r="B157" s="313">
        <v>377</v>
      </c>
      <c r="C157" s="313" t="s">
        <v>575</v>
      </c>
      <c r="D157" s="313" t="s">
        <v>1765</v>
      </c>
      <c r="E157" s="314" t="s">
        <v>675</v>
      </c>
      <c r="F157" s="315">
        <v>1</v>
      </c>
      <c r="G157" s="316">
        <v>401.71</v>
      </c>
      <c r="H157" s="316">
        <v>87.82</v>
      </c>
      <c r="I157" s="316">
        <v>7.5</v>
      </c>
      <c r="J157" s="316">
        <v>306.39</v>
      </c>
      <c r="K157" s="316">
        <v>401.71</v>
      </c>
      <c r="L157" s="316">
        <v>87.82</v>
      </c>
      <c r="M157" s="316">
        <v>7.5</v>
      </c>
      <c r="N157" s="316">
        <v>306.39</v>
      </c>
      <c r="O157" s="316">
        <v>401.71</v>
      </c>
      <c r="P157" s="317">
        <v>6.9085912427797392E-4</v>
      </c>
    </row>
    <row r="158" spans="1:16" ht="24" customHeight="1" x14ac:dyDescent="0.4">
      <c r="A158" s="313" t="s">
        <v>792</v>
      </c>
      <c r="B158" s="313">
        <v>101749</v>
      </c>
      <c r="C158" s="313" t="s">
        <v>395</v>
      </c>
      <c r="D158" s="313" t="s">
        <v>5928</v>
      </c>
      <c r="E158" s="314" t="s">
        <v>675</v>
      </c>
      <c r="F158" s="315">
        <v>1</v>
      </c>
      <c r="G158" s="316">
        <v>58.21</v>
      </c>
      <c r="H158" s="316">
        <v>24.73</v>
      </c>
      <c r="I158" s="316">
        <v>1.54</v>
      </c>
      <c r="J158" s="316">
        <v>31.94</v>
      </c>
      <c r="K158" s="316">
        <v>58.21</v>
      </c>
      <c r="L158" s="316">
        <v>24.73</v>
      </c>
      <c r="M158" s="316">
        <v>1.54</v>
      </c>
      <c r="N158" s="316">
        <v>31.94</v>
      </c>
      <c r="O158" s="316">
        <v>58.21</v>
      </c>
      <c r="P158" s="317">
        <v>1.001093067740929E-4</v>
      </c>
    </row>
    <row r="159" spans="1:16" ht="48" customHeight="1" x14ac:dyDescent="0.4">
      <c r="A159" s="313" t="s">
        <v>794</v>
      </c>
      <c r="B159" s="313">
        <v>87262</v>
      </c>
      <c r="C159" s="313" t="s">
        <v>395</v>
      </c>
      <c r="D159" s="313" t="s">
        <v>5929</v>
      </c>
      <c r="E159" s="314" t="s">
        <v>675</v>
      </c>
      <c r="F159" s="315">
        <v>1</v>
      </c>
      <c r="G159" s="316">
        <v>147.44999999999999</v>
      </c>
      <c r="H159" s="316">
        <v>32.159999999999997</v>
      </c>
      <c r="I159" s="316">
        <v>2.38</v>
      </c>
      <c r="J159" s="316">
        <v>112.91</v>
      </c>
      <c r="K159" s="316">
        <v>147.44999999999999</v>
      </c>
      <c r="L159" s="316">
        <v>32.159999999999997</v>
      </c>
      <c r="M159" s="316">
        <v>2.38</v>
      </c>
      <c r="N159" s="316">
        <v>112.91</v>
      </c>
      <c r="O159" s="316">
        <v>147.44999999999999</v>
      </c>
      <c r="P159" s="317">
        <v>2.5358387362721179E-4</v>
      </c>
    </row>
    <row r="160" spans="1:16" ht="24" customHeight="1" x14ac:dyDescent="0.4">
      <c r="A160" s="313" t="s">
        <v>795</v>
      </c>
      <c r="B160" s="313">
        <v>351</v>
      </c>
      <c r="C160" s="313" t="s">
        <v>575</v>
      </c>
      <c r="D160" s="313" t="s">
        <v>1682</v>
      </c>
      <c r="E160" s="314" t="s">
        <v>7</v>
      </c>
      <c r="F160" s="315">
        <v>1</v>
      </c>
      <c r="G160" s="316">
        <v>186.13</v>
      </c>
      <c r="H160" s="316">
        <v>30.15</v>
      </c>
      <c r="I160" s="316">
        <v>2.5</v>
      </c>
      <c r="J160" s="316">
        <v>153.47999999999999</v>
      </c>
      <c r="K160" s="316">
        <v>186.13</v>
      </c>
      <c r="L160" s="316">
        <v>30.15</v>
      </c>
      <c r="M160" s="316">
        <v>2.5</v>
      </c>
      <c r="N160" s="316">
        <v>153.47999999999999</v>
      </c>
      <c r="O160" s="316">
        <v>186.13</v>
      </c>
      <c r="P160" s="317">
        <v>3.2010557068994864E-4</v>
      </c>
    </row>
    <row r="161" spans="1:16" ht="48" customHeight="1" x14ac:dyDescent="0.4">
      <c r="A161" s="313" t="s">
        <v>796</v>
      </c>
      <c r="B161" s="313" t="s">
        <v>1761</v>
      </c>
      <c r="C161" s="313" t="s">
        <v>5902</v>
      </c>
      <c r="D161" s="313" t="s">
        <v>1763</v>
      </c>
      <c r="E161" s="314" t="s">
        <v>7</v>
      </c>
      <c r="F161" s="315">
        <v>1</v>
      </c>
      <c r="G161" s="316">
        <v>52.79</v>
      </c>
      <c r="H161" s="316">
        <v>4.54</v>
      </c>
      <c r="I161" s="316">
        <v>0</v>
      </c>
      <c r="J161" s="316">
        <v>48.25</v>
      </c>
      <c r="K161" s="316">
        <v>52.79</v>
      </c>
      <c r="L161" s="316">
        <v>4.54</v>
      </c>
      <c r="M161" s="316">
        <v>0</v>
      </c>
      <c r="N161" s="316">
        <v>48.25</v>
      </c>
      <c r="O161" s="316">
        <v>52.79</v>
      </c>
      <c r="P161" s="317">
        <v>9.0788014166025841E-5</v>
      </c>
    </row>
    <row r="162" spans="1:16" ht="36" customHeight="1" x14ac:dyDescent="0.4">
      <c r="A162" s="313" t="s">
        <v>797</v>
      </c>
      <c r="B162" s="313" t="s">
        <v>1680</v>
      </c>
      <c r="C162" s="313" t="s">
        <v>5902</v>
      </c>
      <c r="D162" s="313" t="s">
        <v>1688</v>
      </c>
      <c r="E162" s="314" t="s">
        <v>7</v>
      </c>
      <c r="F162" s="315">
        <v>1</v>
      </c>
      <c r="G162" s="316">
        <v>77.180000000000007</v>
      </c>
      <c r="H162" s="316">
        <v>8.8699999999999992</v>
      </c>
      <c r="I162" s="316">
        <v>0</v>
      </c>
      <c r="J162" s="316">
        <v>68.31</v>
      </c>
      <c r="K162" s="316">
        <v>77.180000000000007</v>
      </c>
      <c r="L162" s="316">
        <v>8.8699999999999992</v>
      </c>
      <c r="M162" s="316">
        <v>0</v>
      </c>
      <c r="N162" s="316">
        <v>68.31</v>
      </c>
      <c r="O162" s="316">
        <v>77.180000000000007</v>
      </c>
      <c r="P162" s="317">
        <v>1.3273383090232761E-4</v>
      </c>
    </row>
    <row r="163" spans="1:16" ht="48" customHeight="1" x14ac:dyDescent="0.4">
      <c r="A163" s="313" t="s">
        <v>798</v>
      </c>
      <c r="B163" s="313">
        <v>352</v>
      </c>
      <c r="C163" s="313" t="s">
        <v>575</v>
      </c>
      <c r="D163" s="313" t="s">
        <v>1684</v>
      </c>
      <c r="E163" s="314" t="s">
        <v>7</v>
      </c>
      <c r="F163" s="315">
        <v>1</v>
      </c>
      <c r="G163" s="316">
        <v>38.79</v>
      </c>
      <c r="H163" s="316">
        <v>10.73</v>
      </c>
      <c r="I163" s="316">
        <v>1.05</v>
      </c>
      <c r="J163" s="316">
        <v>27.01</v>
      </c>
      <c r="K163" s="316">
        <v>38.79</v>
      </c>
      <c r="L163" s="316">
        <v>10.73</v>
      </c>
      <c r="M163" s="316">
        <v>1.05</v>
      </c>
      <c r="N163" s="316">
        <v>27.01</v>
      </c>
      <c r="O163" s="316">
        <v>38.79</v>
      </c>
      <c r="P163" s="317">
        <v>6.6710874587992851E-5</v>
      </c>
    </row>
    <row r="164" spans="1:16" ht="24" customHeight="1" x14ac:dyDescent="0.4">
      <c r="A164" s="313" t="s">
        <v>799</v>
      </c>
      <c r="B164" s="313">
        <v>353</v>
      </c>
      <c r="C164" s="313" t="s">
        <v>575</v>
      </c>
      <c r="D164" s="313" t="s">
        <v>1686</v>
      </c>
      <c r="E164" s="314" t="s">
        <v>7</v>
      </c>
      <c r="F164" s="315">
        <v>1</v>
      </c>
      <c r="G164" s="316">
        <v>80.790000000000006</v>
      </c>
      <c r="H164" s="316">
        <v>10.73</v>
      </c>
      <c r="I164" s="316">
        <v>1.05</v>
      </c>
      <c r="J164" s="316">
        <v>69.010000000000005</v>
      </c>
      <c r="K164" s="316">
        <v>80.790000000000006</v>
      </c>
      <c r="L164" s="316">
        <v>10.73</v>
      </c>
      <c r="M164" s="316">
        <v>1.05</v>
      </c>
      <c r="N164" s="316">
        <v>69.010000000000005</v>
      </c>
      <c r="O164" s="316">
        <v>80.790000000000006</v>
      </c>
      <c r="P164" s="317">
        <v>1.3894229332209182E-4</v>
      </c>
    </row>
    <row r="165" spans="1:16" ht="24" customHeight="1" x14ac:dyDescent="0.4">
      <c r="A165" s="313" t="s">
        <v>801</v>
      </c>
      <c r="B165" s="313" t="s">
        <v>1766</v>
      </c>
      <c r="C165" s="313" t="s">
        <v>5902</v>
      </c>
      <c r="D165" s="313" t="s">
        <v>1768</v>
      </c>
      <c r="E165" s="314" t="s">
        <v>7</v>
      </c>
      <c r="F165" s="315">
        <v>1</v>
      </c>
      <c r="G165" s="316">
        <v>38.090000000000003</v>
      </c>
      <c r="H165" s="316">
        <v>12.59</v>
      </c>
      <c r="I165" s="316">
        <v>0</v>
      </c>
      <c r="J165" s="316">
        <v>25.5</v>
      </c>
      <c r="K165" s="316">
        <v>38.090000000000003</v>
      </c>
      <c r="L165" s="316">
        <v>12.59</v>
      </c>
      <c r="M165" s="316">
        <v>0</v>
      </c>
      <c r="N165" s="316">
        <v>25.5</v>
      </c>
      <c r="O165" s="316">
        <v>38.090000000000003</v>
      </c>
      <c r="P165" s="317">
        <v>6.5507017609091195E-5</v>
      </c>
    </row>
    <row r="166" spans="1:16" ht="24" customHeight="1" x14ac:dyDescent="0.4">
      <c r="A166" s="313" t="s">
        <v>1025</v>
      </c>
      <c r="B166" s="313">
        <v>93679</v>
      </c>
      <c r="C166" s="313" t="s">
        <v>395</v>
      </c>
      <c r="D166" s="313" t="s">
        <v>5930</v>
      </c>
      <c r="E166" s="314" t="s">
        <v>675</v>
      </c>
      <c r="F166" s="315">
        <v>1</v>
      </c>
      <c r="G166" s="316">
        <v>126.4</v>
      </c>
      <c r="H166" s="316">
        <v>19.73</v>
      </c>
      <c r="I166" s="316">
        <v>2.0299999999999998</v>
      </c>
      <c r="J166" s="316">
        <v>104.64</v>
      </c>
      <c r="K166" s="316">
        <v>126.4</v>
      </c>
      <c r="L166" s="316">
        <v>19.73</v>
      </c>
      <c r="M166" s="316">
        <v>2.0299999999999998</v>
      </c>
      <c r="N166" s="316">
        <v>104.64</v>
      </c>
      <c r="O166" s="316">
        <v>126.4</v>
      </c>
      <c r="P166" s="317">
        <v>2.1738217447595505E-4</v>
      </c>
    </row>
    <row r="167" spans="1:16" ht="24" customHeight="1" x14ac:dyDescent="0.4">
      <c r="A167" s="313" t="s">
        <v>804</v>
      </c>
      <c r="B167" s="313">
        <v>103946</v>
      </c>
      <c r="C167" s="313" t="s">
        <v>395</v>
      </c>
      <c r="D167" s="313" t="s">
        <v>8539</v>
      </c>
      <c r="E167" s="314" t="s">
        <v>675</v>
      </c>
      <c r="F167" s="315">
        <v>1</v>
      </c>
      <c r="G167" s="316">
        <v>22.49</v>
      </c>
      <c r="H167" s="316">
        <v>3.79</v>
      </c>
      <c r="I167" s="316">
        <v>0.4</v>
      </c>
      <c r="J167" s="316">
        <v>18.3</v>
      </c>
      <c r="K167" s="316">
        <v>22.49</v>
      </c>
      <c r="L167" s="316">
        <v>3.79</v>
      </c>
      <c r="M167" s="316">
        <v>0.4</v>
      </c>
      <c r="N167" s="316">
        <v>18.3</v>
      </c>
      <c r="O167" s="316">
        <v>22.49</v>
      </c>
      <c r="P167" s="317">
        <v>3.867820493642586E-5</v>
      </c>
    </row>
    <row r="168" spans="1:16" ht="24" customHeight="1" x14ac:dyDescent="0.4">
      <c r="A168" s="313" t="s">
        <v>805</v>
      </c>
      <c r="B168" s="313">
        <v>101978</v>
      </c>
      <c r="C168" s="313" t="s">
        <v>395</v>
      </c>
      <c r="D168" s="313" t="s">
        <v>8540</v>
      </c>
      <c r="E168" s="314" t="s">
        <v>7</v>
      </c>
      <c r="F168" s="315">
        <v>1</v>
      </c>
      <c r="G168" s="316">
        <v>73.89</v>
      </c>
      <c r="H168" s="316">
        <v>54.41</v>
      </c>
      <c r="I168" s="316">
        <v>3.29</v>
      </c>
      <c r="J168" s="316">
        <v>16.190000000000001</v>
      </c>
      <c r="K168" s="316">
        <v>73.89</v>
      </c>
      <c r="L168" s="316">
        <v>54.41</v>
      </c>
      <c r="M168" s="316">
        <v>3.29</v>
      </c>
      <c r="N168" s="316">
        <v>16.190000000000001</v>
      </c>
      <c r="O168" s="316">
        <v>73.89</v>
      </c>
      <c r="P168" s="317">
        <v>1.2707570310148986E-4</v>
      </c>
    </row>
    <row r="169" spans="1:16" ht="24" customHeight="1" x14ac:dyDescent="0.4">
      <c r="A169" s="313" t="s">
        <v>806</v>
      </c>
      <c r="B169" s="313">
        <v>101970</v>
      </c>
      <c r="C169" s="313" t="s">
        <v>395</v>
      </c>
      <c r="D169" s="313" t="s">
        <v>8541</v>
      </c>
      <c r="E169" s="314" t="s">
        <v>7</v>
      </c>
      <c r="F169" s="315">
        <v>1</v>
      </c>
      <c r="G169" s="316">
        <v>57.84</v>
      </c>
      <c r="H169" s="316">
        <v>42.23</v>
      </c>
      <c r="I169" s="316">
        <v>2.56</v>
      </c>
      <c r="J169" s="316">
        <v>13.05</v>
      </c>
      <c r="K169" s="316">
        <v>57.84</v>
      </c>
      <c r="L169" s="316">
        <v>42.23</v>
      </c>
      <c r="M169" s="316">
        <v>2.56</v>
      </c>
      <c r="N169" s="316">
        <v>13.05</v>
      </c>
      <c r="O169" s="316">
        <v>57.84</v>
      </c>
      <c r="P169" s="317">
        <v>9.9472982370959169E-5</v>
      </c>
    </row>
    <row r="170" spans="1:16" ht="24" customHeight="1" x14ac:dyDescent="0.4">
      <c r="A170" s="313" t="s">
        <v>807</v>
      </c>
      <c r="B170" s="313" t="s">
        <v>392</v>
      </c>
      <c r="C170" s="313" t="s">
        <v>5902</v>
      </c>
      <c r="D170" s="313" t="s">
        <v>712</v>
      </c>
      <c r="E170" s="314" t="s">
        <v>713</v>
      </c>
      <c r="F170" s="315">
        <v>1</v>
      </c>
      <c r="G170" s="316">
        <v>854.23</v>
      </c>
      <c r="H170" s="316">
        <v>358.88</v>
      </c>
      <c r="I170" s="316">
        <v>0</v>
      </c>
      <c r="J170" s="316">
        <v>495.35</v>
      </c>
      <c r="K170" s="316">
        <v>854.23</v>
      </c>
      <c r="L170" s="316">
        <v>358.88</v>
      </c>
      <c r="M170" s="316">
        <v>0</v>
      </c>
      <c r="N170" s="316">
        <v>495.35</v>
      </c>
      <c r="O170" s="316">
        <v>854.23</v>
      </c>
      <c r="P170" s="317">
        <v>1.4691010672673662E-3</v>
      </c>
    </row>
    <row r="171" spans="1:16" ht="24" customHeight="1" x14ac:dyDescent="0.4">
      <c r="A171" s="313" t="s">
        <v>808</v>
      </c>
      <c r="B171" s="313" t="s">
        <v>1706</v>
      </c>
      <c r="C171" s="313" t="s">
        <v>5902</v>
      </c>
      <c r="D171" s="313" t="s">
        <v>1710</v>
      </c>
      <c r="E171" s="314" t="s">
        <v>675</v>
      </c>
      <c r="F171" s="315">
        <v>1</v>
      </c>
      <c r="G171" s="316">
        <v>167.51</v>
      </c>
      <c r="H171" s="316">
        <v>27.59</v>
      </c>
      <c r="I171" s="316">
        <v>0</v>
      </c>
      <c r="J171" s="316">
        <v>139.91999999999999</v>
      </c>
      <c r="K171" s="316">
        <v>167.51</v>
      </c>
      <c r="L171" s="316">
        <v>27.59</v>
      </c>
      <c r="M171" s="316">
        <v>0</v>
      </c>
      <c r="N171" s="316">
        <v>139.91999999999999</v>
      </c>
      <c r="O171" s="316">
        <v>167.51</v>
      </c>
      <c r="P171" s="317">
        <v>2.8808297505116481E-4</v>
      </c>
    </row>
    <row r="172" spans="1:16" ht="36" customHeight="1" x14ac:dyDescent="0.4">
      <c r="A172" s="313" t="s">
        <v>809</v>
      </c>
      <c r="B172" s="313" t="s">
        <v>1707</v>
      </c>
      <c r="C172" s="313" t="s">
        <v>5902</v>
      </c>
      <c r="D172" s="313" t="s">
        <v>1712</v>
      </c>
      <c r="E172" s="314" t="s">
        <v>675</v>
      </c>
      <c r="F172" s="315">
        <v>1</v>
      </c>
      <c r="G172" s="316">
        <v>103.17</v>
      </c>
      <c r="H172" s="316">
        <v>25.18</v>
      </c>
      <c r="I172" s="316">
        <v>0</v>
      </c>
      <c r="J172" s="316">
        <v>77.989999999999995</v>
      </c>
      <c r="K172" s="316">
        <v>103.17</v>
      </c>
      <c r="L172" s="316">
        <v>25.18</v>
      </c>
      <c r="M172" s="316">
        <v>0</v>
      </c>
      <c r="N172" s="316">
        <v>77.989999999999995</v>
      </c>
      <c r="O172" s="316">
        <v>103.17</v>
      </c>
      <c r="P172" s="317">
        <v>1.7743132073326173E-4</v>
      </c>
    </row>
    <row r="173" spans="1:16" ht="36" customHeight="1" x14ac:dyDescent="0.4">
      <c r="A173" s="313" t="s">
        <v>810</v>
      </c>
      <c r="B173" s="313" t="s">
        <v>600</v>
      </c>
      <c r="C173" s="313" t="s">
        <v>5902</v>
      </c>
      <c r="D173" s="313" t="s">
        <v>5931</v>
      </c>
      <c r="E173" s="314" t="s">
        <v>675</v>
      </c>
      <c r="F173" s="315">
        <v>1</v>
      </c>
      <c r="G173" s="316">
        <v>288.16000000000003</v>
      </c>
      <c r="H173" s="316">
        <v>0</v>
      </c>
      <c r="I173" s="316">
        <v>0</v>
      </c>
      <c r="J173" s="316">
        <v>288.16000000000003</v>
      </c>
      <c r="K173" s="316">
        <v>288.16000000000003</v>
      </c>
      <c r="L173" s="316">
        <v>0</v>
      </c>
      <c r="M173" s="316">
        <v>0</v>
      </c>
      <c r="N173" s="316">
        <v>288.16000000000003</v>
      </c>
      <c r="O173" s="316">
        <v>288.16000000000003</v>
      </c>
      <c r="P173" s="317">
        <v>4.9557632434328483E-4</v>
      </c>
    </row>
    <row r="174" spans="1:16" ht="36" customHeight="1" x14ac:dyDescent="0.4">
      <c r="A174" s="313" t="s">
        <v>812</v>
      </c>
      <c r="B174" s="313" t="s">
        <v>601</v>
      </c>
      <c r="C174" s="313" t="s">
        <v>5902</v>
      </c>
      <c r="D174" s="313" t="s">
        <v>5932</v>
      </c>
      <c r="E174" s="314" t="s">
        <v>675</v>
      </c>
      <c r="F174" s="315">
        <v>1</v>
      </c>
      <c r="G174" s="316">
        <v>129.83000000000001</v>
      </c>
      <c r="H174" s="316">
        <v>0</v>
      </c>
      <c r="I174" s="316">
        <v>0</v>
      </c>
      <c r="J174" s="316">
        <v>129.83000000000001</v>
      </c>
      <c r="K174" s="316">
        <v>129.83000000000001</v>
      </c>
      <c r="L174" s="316">
        <v>0</v>
      </c>
      <c r="M174" s="316">
        <v>0</v>
      </c>
      <c r="N174" s="316">
        <v>129.83000000000001</v>
      </c>
      <c r="O174" s="316">
        <v>129.83000000000001</v>
      </c>
      <c r="P174" s="317">
        <v>2.2328107367257312E-4</v>
      </c>
    </row>
    <row r="175" spans="1:16" ht="24" customHeight="1" x14ac:dyDescent="0.4">
      <c r="A175" s="313" t="s">
        <v>813</v>
      </c>
      <c r="B175" s="313">
        <v>9082</v>
      </c>
      <c r="C175" s="313" t="s">
        <v>420</v>
      </c>
      <c r="D175" s="313" t="s">
        <v>1719</v>
      </c>
      <c r="E175" s="314" t="s">
        <v>437</v>
      </c>
      <c r="F175" s="315">
        <v>1</v>
      </c>
      <c r="G175" s="316">
        <v>25.86</v>
      </c>
      <c r="H175" s="316">
        <v>0</v>
      </c>
      <c r="I175" s="316">
        <v>0</v>
      </c>
      <c r="J175" s="316">
        <v>25.86</v>
      </c>
      <c r="K175" s="316">
        <v>25.86</v>
      </c>
      <c r="L175" s="316">
        <v>0</v>
      </c>
      <c r="M175" s="316">
        <v>0</v>
      </c>
      <c r="N175" s="316">
        <v>25.86</v>
      </c>
      <c r="O175" s="316">
        <v>25.86</v>
      </c>
      <c r="P175" s="317">
        <v>4.4473916391995232E-5</v>
      </c>
    </row>
    <row r="176" spans="1:16" ht="36" customHeight="1" x14ac:dyDescent="0.4">
      <c r="A176" s="313" t="s">
        <v>816</v>
      </c>
      <c r="B176" s="313">
        <v>86932</v>
      </c>
      <c r="C176" s="313" t="s">
        <v>395</v>
      </c>
      <c r="D176" s="313" t="s">
        <v>5933</v>
      </c>
      <c r="E176" s="314" t="s">
        <v>4</v>
      </c>
      <c r="F176" s="315">
        <v>1</v>
      </c>
      <c r="G176" s="316">
        <v>615.84</v>
      </c>
      <c r="H176" s="316">
        <v>45.39</v>
      </c>
      <c r="I176" s="316">
        <v>3.38</v>
      </c>
      <c r="J176" s="316">
        <v>567.07000000000005</v>
      </c>
      <c r="K176" s="316">
        <v>615.84</v>
      </c>
      <c r="L176" s="316">
        <v>45.39</v>
      </c>
      <c r="M176" s="316">
        <v>3.38</v>
      </c>
      <c r="N176" s="316">
        <v>567.07000000000005</v>
      </c>
      <c r="O176" s="316">
        <v>615.84</v>
      </c>
      <c r="P176" s="317">
        <v>1.0591189741239885E-3</v>
      </c>
    </row>
    <row r="177" spans="1:16" ht="36" customHeight="1" x14ac:dyDescent="0.4">
      <c r="A177" s="313" t="s">
        <v>818</v>
      </c>
      <c r="B177" s="313">
        <v>202314</v>
      </c>
      <c r="C177" s="313" t="s">
        <v>408</v>
      </c>
      <c r="D177" s="313" t="s">
        <v>1730</v>
      </c>
      <c r="E177" s="314" t="s">
        <v>4</v>
      </c>
      <c r="F177" s="315">
        <v>1</v>
      </c>
      <c r="G177" s="316">
        <v>1527.07</v>
      </c>
      <c r="H177" s="316">
        <v>6.48</v>
      </c>
      <c r="I177" s="316">
        <v>0</v>
      </c>
      <c r="J177" s="316">
        <v>1520.59</v>
      </c>
      <c r="K177" s="316">
        <v>1527.07</v>
      </c>
      <c r="L177" s="316">
        <v>6.48</v>
      </c>
      <c r="M177" s="316">
        <v>0</v>
      </c>
      <c r="N177" s="316">
        <v>1520.59</v>
      </c>
      <c r="O177" s="316">
        <v>1527.07</v>
      </c>
      <c r="P177" s="317">
        <v>2.6262483953876318E-3</v>
      </c>
    </row>
    <row r="178" spans="1:16" ht="36" customHeight="1" x14ac:dyDescent="0.4">
      <c r="A178" s="313" t="s">
        <v>819</v>
      </c>
      <c r="B178" s="313">
        <v>190454</v>
      </c>
      <c r="C178" s="313" t="s">
        <v>408</v>
      </c>
      <c r="D178" s="313" t="s">
        <v>384</v>
      </c>
      <c r="E178" s="314" t="s">
        <v>4</v>
      </c>
      <c r="F178" s="315">
        <v>1</v>
      </c>
      <c r="G178" s="316">
        <v>384.07</v>
      </c>
      <c r="H178" s="316">
        <v>116.76</v>
      </c>
      <c r="I178" s="316">
        <v>0</v>
      </c>
      <c r="J178" s="316">
        <v>267.31</v>
      </c>
      <c r="K178" s="316">
        <v>384.07</v>
      </c>
      <c r="L178" s="316">
        <v>116.76</v>
      </c>
      <c r="M178" s="316">
        <v>0</v>
      </c>
      <c r="N178" s="316">
        <v>267.31</v>
      </c>
      <c r="O178" s="316">
        <v>384.07</v>
      </c>
      <c r="P178" s="317">
        <v>6.6052192840965228E-4</v>
      </c>
    </row>
    <row r="179" spans="1:16" ht="24" customHeight="1" x14ac:dyDescent="0.4">
      <c r="A179" s="313" t="s">
        <v>820</v>
      </c>
      <c r="B179" s="313">
        <v>12437</v>
      </c>
      <c r="C179" s="313" t="s">
        <v>420</v>
      </c>
      <c r="D179" s="313" t="s">
        <v>3004</v>
      </c>
      <c r="E179" s="314" t="s">
        <v>422</v>
      </c>
      <c r="F179" s="315">
        <v>1</v>
      </c>
      <c r="G179" s="316">
        <v>1385.81</v>
      </c>
      <c r="H179" s="316">
        <v>54.07</v>
      </c>
      <c r="I179" s="316">
        <v>0</v>
      </c>
      <c r="J179" s="316">
        <v>1331.74</v>
      </c>
      <c r="K179" s="316">
        <v>1385.81</v>
      </c>
      <c r="L179" s="316">
        <v>54.07</v>
      </c>
      <c r="M179" s="316">
        <v>0</v>
      </c>
      <c r="N179" s="316">
        <v>1331.74</v>
      </c>
      <c r="O179" s="316">
        <v>1385.81</v>
      </c>
      <c r="P179" s="317">
        <v>2.3833100570452787E-3</v>
      </c>
    </row>
    <row r="180" spans="1:16" ht="24" customHeight="1" x14ac:dyDescent="0.4">
      <c r="A180" s="313" t="s">
        <v>823</v>
      </c>
      <c r="B180" s="313">
        <v>190213</v>
      </c>
      <c r="C180" s="313" t="s">
        <v>408</v>
      </c>
      <c r="D180" s="313" t="s">
        <v>815</v>
      </c>
      <c r="E180" s="314" t="s">
        <v>4</v>
      </c>
      <c r="F180" s="315">
        <v>1</v>
      </c>
      <c r="G180" s="316">
        <v>1245.67</v>
      </c>
      <c r="H180" s="316">
        <v>89.89</v>
      </c>
      <c r="I180" s="316">
        <v>0</v>
      </c>
      <c r="J180" s="316">
        <v>1155.78</v>
      </c>
      <c r="K180" s="316">
        <v>1245.67</v>
      </c>
      <c r="L180" s="316">
        <v>89.89</v>
      </c>
      <c r="M180" s="316">
        <v>0</v>
      </c>
      <c r="N180" s="316">
        <v>1155.78</v>
      </c>
      <c r="O180" s="316">
        <v>1245.67</v>
      </c>
      <c r="P180" s="317">
        <v>2.1422978898691684E-3</v>
      </c>
    </row>
    <row r="181" spans="1:16" ht="24" customHeight="1" x14ac:dyDescent="0.4">
      <c r="A181" s="313" t="s">
        <v>826</v>
      </c>
      <c r="B181" s="313">
        <v>374</v>
      </c>
      <c r="C181" s="313" t="s">
        <v>575</v>
      </c>
      <c r="D181" s="313" t="s">
        <v>8543</v>
      </c>
      <c r="E181" s="314" t="s">
        <v>4</v>
      </c>
      <c r="F181" s="315">
        <v>1</v>
      </c>
      <c r="G181" s="316">
        <v>726.09</v>
      </c>
      <c r="H181" s="316">
        <v>69.319999999999993</v>
      </c>
      <c r="I181" s="316">
        <v>6.82</v>
      </c>
      <c r="J181" s="316">
        <v>649.95000000000005</v>
      </c>
      <c r="K181" s="316">
        <v>726.09</v>
      </c>
      <c r="L181" s="316">
        <v>69.319999999999993</v>
      </c>
      <c r="M181" s="316">
        <v>6.82</v>
      </c>
      <c r="N181" s="316">
        <v>649.95000000000005</v>
      </c>
      <c r="O181" s="316">
        <v>726.09</v>
      </c>
      <c r="P181" s="317">
        <v>1.2487264483009985E-3</v>
      </c>
    </row>
    <row r="182" spans="1:16" ht="24" customHeight="1" x14ac:dyDescent="0.4">
      <c r="A182" s="313" t="s">
        <v>829</v>
      </c>
      <c r="B182" s="313">
        <v>375</v>
      </c>
      <c r="C182" s="313" t="s">
        <v>575</v>
      </c>
      <c r="D182" s="313" t="s">
        <v>8544</v>
      </c>
      <c r="E182" s="314" t="s">
        <v>4</v>
      </c>
      <c r="F182" s="315">
        <v>1</v>
      </c>
      <c r="G182" s="316">
        <v>758.07</v>
      </c>
      <c r="H182" s="316">
        <v>81.12</v>
      </c>
      <c r="I182" s="316">
        <v>7.99</v>
      </c>
      <c r="J182" s="316">
        <v>668.96</v>
      </c>
      <c r="K182" s="316">
        <v>758.07</v>
      </c>
      <c r="L182" s="316">
        <v>81.12</v>
      </c>
      <c r="M182" s="316">
        <v>7.99</v>
      </c>
      <c r="N182" s="316">
        <v>668.96</v>
      </c>
      <c r="O182" s="316">
        <v>758.07</v>
      </c>
      <c r="P182" s="317">
        <v>1.3037255142799623E-3</v>
      </c>
    </row>
    <row r="183" spans="1:16" ht="24" customHeight="1" x14ac:dyDescent="0.4">
      <c r="A183" s="313" t="s">
        <v>832</v>
      </c>
      <c r="B183" s="313">
        <v>376</v>
      </c>
      <c r="C183" s="313" t="s">
        <v>575</v>
      </c>
      <c r="D183" s="313" t="s">
        <v>8545</v>
      </c>
      <c r="E183" s="314" t="s">
        <v>4</v>
      </c>
      <c r="F183" s="315">
        <v>1</v>
      </c>
      <c r="G183" s="316">
        <v>1841.8</v>
      </c>
      <c r="H183" s="316">
        <v>126.59</v>
      </c>
      <c r="I183" s="316">
        <v>12.46</v>
      </c>
      <c r="J183" s="316">
        <v>1702.75</v>
      </c>
      <c r="K183" s="316">
        <v>1841.8</v>
      </c>
      <c r="L183" s="316">
        <v>126.59</v>
      </c>
      <c r="M183" s="316">
        <v>12.46</v>
      </c>
      <c r="N183" s="316">
        <v>1702.75</v>
      </c>
      <c r="O183" s="316">
        <v>1841.8</v>
      </c>
      <c r="P183" s="317">
        <v>3.1675196910586549E-3</v>
      </c>
    </row>
    <row r="184" spans="1:16" ht="24" customHeight="1" x14ac:dyDescent="0.4">
      <c r="A184" s="313" t="s">
        <v>836</v>
      </c>
      <c r="B184" s="313" t="s">
        <v>719</v>
      </c>
      <c r="C184" s="313" t="s">
        <v>5902</v>
      </c>
      <c r="D184" s="313" t="s">
        <v>723</v>
      </c>
      <c r="E184" s="314" t="s">
        <v>4</v>
      </c>
      <c r="F184" s="315">
        <v>1</v>
      </c>
      <c r="G184" s="316">
        <v>67.569999999999993</v>
      </c>
      <c r="H184" s="316">
        <v>6.91</v>
      </c>
      <c r="I184" s="316">
        <v>0</v>
      </c>
      <c r="J184" s="316">
        <v>60.66</v>
      </c>
      <c r="K184" s="316">
        <v>67.569999999999993</v>
      </c>
      <c r="L184" s="316">
        <v>6.91</v>
      </c>
      <c r="M184" s="316">
        <v>0</v>
      </c>
      <c r="N184" s="316">
        <v>60.66</v>
      </c>
      <c r="O184" s="316">
        <v>67.569999999999993</v>
      </c>
      <c r="P184" s="317">
        <v>1.162065943776921E-4</v>
      </c>
    </row>
    <row r="185" spans="1:16" ht="24" customHeight="1" x14ac:dyDescent="0.4">
      <c r="A185" s="313" t="s">
        <v>837</v>
      </c>
      <c r="B185" s="313">
        <v>656</v>
      </c>
      <c r="C185" s="313" t="s">
        <v>575</v>
      </c>
      <c r="D185" s="313" t="s">
        <v>2103</v>
      </c>
      <c r="E185" s="314" t="s">
        <v>4</v>
      </c>
      <c r="F185" s="315">
        <v>1</v>
      </c>
      <c r="G185" s="316">
        <v>242.77</v>
      </c>
      <c r="H185" s="316">
        <v>6.91</v>
      </c>
      <c r="I185" s="316">
        <v>0</v>
      </c>
      <c r="J185" s="316">
        <v>235.86</v>
      </c>
      <c r="K185" s="316">
        <v>242.77</v>
      </c>
      <c r="L185" s="316">
        <v>6.91</v>
      </c>
      <c r="M185" s="316">
        <v>0</v>
      </c>
      <c r="N185" s="316">
        <v>235.86</v>
      </c>
      <c r="O185" s="316">
        <v>242.77</v>
      </c>
      <c r="P185" s="317">
        <v>4.1751479823993359E-4</v>
      </c>
    </row>
    <row r="186" spans="1:16" ht="24" customHeight="1" x14ac:dyDescent="0.4">
      <c r="A186" s="313" t="s">
        <v>840</v>
      </c>
      <c r="B186" s="313">
        <v>370</v>
      </c>
      <c r="C186" s="313" t="s">
        <v>575</v>
      </c>
      <c r="D186" s="313" t="s">
        <v>1742</v>
      </c>
      <c r="E186" s="314" t="s">
        <v>4</v>
      </c>
      <c r="F186" s="315">
        <v>1</v>
      </c>
      <c r="G186" s="316">
        <v>126.89</v>
      </c>
      <c r="H186" s="316">
        <v>6.91</v>
      </c>
      <c r="I186" s="316">
        <v>0</v>
      </c>
      <c r="J186" s="316">
        <v>119.98</v>
      </c>
      <c r="K186" s="316">
        <v>126.89</v>
      </c>
      <c r="L186" s="316">
        <v>6.91</v>
      </c>
      <c r="M186" s="316">
        <v>0</v>
      </c>
      <c r="N186" s="316">
        <v>119.98</v>
      </c>
      <c r="O186" s="316">
        <v>126.89</v>
      </c>
      <c r="P186" s="317">
        <v>2.182248743611862E-4</v>
      </c>
    </row>
    <row r="187" spans="1:16" ht="24" customHeight="1" x14ac:dyDescent="0.4">
      <c r="A187" s="313" t="s">
        <v>841</v>
      </c>
      <c r="B187" s="313">
        <v>371</v>
      </c>
      <c r="C187" s="313" t="s">
        <v>575</v>
      </c>
      <c r="D187" s="313" t="s">
        <v>1744</v>
      </c>
      <c r="E187" s="314" t="s">
        <v>4</v>
      </c>
      <c r="F187" s="315">
        <v>1</v>
      </c>
      <c r="G187" s="316">
        <v>152.91</v>
      </c>
      <c r="H187" s="316">
        <v>6.91</v>
      </c>
      <c r="I187" s="316">
        <v>0</v>
      </c>
      <c r="J187" s="316">
        <v>146</v>
      </c>
      <c r="K187" s="316">
        <v>152.91</v>
      </c>
      <c r="L187" s="316">
        <v>6.91</v>
      </c>
      <c r="M187" s="316">
        <v>0</v>
      </c>
      <c r="N187" s="316">
        <v>146</v>
      </c>
      <c r="O187" s="316">
        <v>152.91</v>
      </c>
      <c r="P187" s="317">
        <v>2.6297395806264468E-4</v>
      </c>
    </row>
    <row r="188" spans="1:16" ht="36" customHeight="1" x14ac:dyDescent="0.4">
      <c r="A188" s="313" t="s">
        <v>844</v>
      </c>
      <c r="B188" s="313">
        <v>372</v>
      </c>
      <c r="C188" s="313" t="s">
        <v>575</v>
      </c>
      <c r="D188" s="313" t="s">
        <v>1746</v>
      </c>
      <c r="E188" s="314" t="s">
        <v>422</v>
      </c>
      <c r="F188" s="315">
        <v>1</v>
      </c>
      <c r="G188" s="316">
        <v>238.93</v>
      </c>
      <c r="H188" s="316">
        <v>15.02</v>
      </c>
      <c r="I188" s="316">
        <v>0</v>
      </c>
      <c r="J188" s="316">
        <v>223.91</v>
      </c>
      <c r="K188" s="316">
        <v>238.93</v>
      </c>
      <c r="L188" s="316">
        <v>15.02</v>
      </c>
      <c r="M188" s="316">
        <v>0</v>
      </c>
      <c r="N188" s="316">
        <v>223.91</v>
      </c>
      <c r="O188" s="316">
        <v>238.93</v>
      </c>
      <c r="P188" s="317">
        <v>4.1091078281281593E-4</v>
      </c>
    </row>
    <row r="189" spans="1:16" ht="24" customHeight="1" x14ac:dyDescent="0.4">
      <c r="A189" s="313" t="s">
        <v>850</v>
      </c>
      <c r="B189" s="313" t="s">
        <v>1728</v>
      </c>
      <c r="C189" s="313" t="s">
        <v>5902</v>
      </c>
      <c r="D189" s="313" t="s">
        <v>1748</v>
      </c>
      <c r="E189" s="314" t="s">
        <v>4</v>
      </c>
      <c r="F189" s="315">
        <v>1</v>
      </c>
      <c r="G189" s="316">
        <v>77.459999999999994</v>
      </c>
      <c r="H189" s="316">
        <v>6.91</v>
      </c>
      <c r="I189" s="316">
        <v>0</v>
      </c>
      <c r="J189" s="316">
        <v>70.55</v>
      </c>
      <c r="K189" s="316">
        <v>77.459999999999994</v>
      </c>
      <c r="L189" s="316">
        <v>6.91</v>
      </c>
      <c r="M189" s="316">
        <v>0</v>
      </c>
      <c r="N189" s="316">
        <v>70.55</v>
      </c>
      <c r="O189" s="316">
        <v>77.459999999999994</v>
      </c>
      <c r="P189" s="317">
        <v>1.3321537369388826E-4</v>
      </c>
    </row>
    <row r="190" spans="1:16" ht="36" customHeight="1" x14ac:dyDescent="0.4">
      <c r="A190" s="313" t="s">
        <v>854</v>
      </c>
      <c r="B190" s="313">
        <v>202351</v>
      </c>
      <c r="C190" s="313" t="s">
        <v>408</v>
      </c>
      <c r="D190" s="313" t="s">
        <v>1732</v>
      </c>
      <c r="E190" s="314" t="s">
        <v>4</v>
      </c>
      <c r="F190" s="315">
        <v>1</v>
      </c>
      <c r="G190" s="316">
        <v>683.38</v>
      </c>
      <c r="H190" s="316">
        <v>18.39</v>
      </c>
      <c r="I190" s="316">
        <v>0</v>
      </c>
      <c r="J190" s="316">
        <v>664.99</v>
      </c>
      <c r="K190" s="316">
        <v>683.38</v>
      </c>
      <c r="L190" s="316">
        <v>18.39</v>
      </c>
      <c r="M190" s="316">
        <v>0</v>
      </c>
      <c r="N190" s="316">
        <v>664.99</v>
      </c>
      <c r="O190" s="316">
        <v>683.38</v>
      </c>
      <c r="P190" s="317">
        <v>1.1752739746311563E-3</v>
      </c>
    </row>
    <row r="191" spans="1:16" ht="60" customHeight="1" x14ac:dyDescent="0.4">
      <c r="A191" s="313" t="s">
        <v>857</v>
      </c>
      <c r="B191" s="313" t="s">
        <v>1726</v>
      </c>
      <c r="C191" s="313" t="s">
        <v>5902</v>
      </c>
      <c r="D191" s="313" t="s">
        <v>1750</v>
      </c>
      <c r="E191" s="314" t="s">
        <v>4</v>
      </c>
      <c r="F191" s="315">
        <v>1</v>
      </c>
      <c r="G191" s="316">
        <v>502.49</v>
      </c>
      <c r="H191" s="316">
        <v>27.92</v>
      </c>
      <c r="I191" s="316">
        <v>0</v>
      </c>
      <c r="J191" s="316">
        <v>474.57</v>
      </c>
      <c r="K191" s="316">
        <v>502.49</v>
      </c>
      <c r="L191" s="316">
        <v>27.92</v>
      </c>
      <c r="M191" s="316">
        <v>0</v>
      </c>
      <c r="N191" s="316">
        <v>474.57</v>
      </c>
      <c r="O191" s="316">
        <v>502.49</v>
      </c>
      <c r="P191" s="317">
        <v>8.6418013332612855E-4</v>
      </c>
    </row>
    <row r="192" spans="1:16" ht="36" customHeight="1" x14ac:dyDescent="0.4">
      <c r="A192" s="313" t="s">
        <v>1641</v>
      </c>
      <c r="B192" s="313">
        <v>100868</v>
      </c>
      <c r="C192" s="313" t="s">
        <v>395</v>
      </c>
      <c r="D192" s="313" t="s">
        <v>5934</v>
      </c>
      <c r="E192" s="314" t="s">
        <v>4</v>
      </c>
      <c r="F192" s="315">
        <v>1</v>
      </c>
      <c r="G192" s="316">
        <v>297.67</v>
      </c>
      <c r="H192" s="316">
        <v>44.3</v>
      </c>
      <c r="I192" s="316">
        <v>3.12</v>
      </c>
      <c r="J192" s="316">
        <v>250.25</v>
      </c>
      <c r="K192" s="316">
        <v>297.67</v>
      </c>
      <c r="L192" s="316">
        <v>44.3</v>
      </c>
      <c r="M192" s="316">
        <v>3.12</v>
      </c>
      <c r="N192" s="316">
        <v>250.25</v>
      </c>
      <c r="O192" s="316">
        <v>297.67</v>
      </c>
      <c r="P192" s="317">
        <v>5.1193158129950579E-4</v>
      </c>
    </row>
    <row r="193" spans="1:16" ht="24" customHeight="1" x14ac:dyDescent="0.4">
      <c r="A193" s="313" t="s">
        <v>1642</v>
      </c>
      <c r="B193" s="313" t="s">
        <v>1727</v>
      </c>
      <c r="C193" s="313" t="s">
        <v>5902</v>
      </c>
      <c r="D193" s="313" t="s">
        <v>1757</v>
      </c>
      <c r="E193" s="314" t="s">
        <v>4</v>
      </c>
      <c r="F193" s="315">
        <v>1</v>
      </c>
      <c r="G193" s="316">
        <v>187.42</v>
      </c>
      <c r="H193" s="316">
        <v>15.1</v>
      </c>
      <c r="I193" s="316">
        <v>0</v>
      </c>
      <c r="J193" s="316">
        <v>172.32</v>
      </c>
      <c r="K193" s="316">
        <v>187.42</v>
      </c>
      <c r="L193" s="316">
        <v>15.1</v>
      </c>
      <c r="M193" s="316">
        <v>0</v>
      </c>
      <c r="N193" s="316">
        <v>172.32</v>
      </c>
      <c r="O193" s="316">
        <v>187.42</v>
      </c>
      <c r="P193" s="317">
        <v>3.2232410712249601E-4</v>
      </c>
    </row>
    <row r="194" spans="1:16" ht="24" customHeight="1" x14ac:dyDescent="0.4">
      <c r="A194" s="313" t="s">
        <v>1652</v>
      </c>
      <c r="B194" s="313">
        <v>100865</v>
      </c>
      <c r="C194" s="313" t="s">
        <v>395</v>
      </c>
      <c r="D194" s="313" t="s">
        <v>5935</v>
      </c>
      <c r="E194" s="314" t="s">
        <v>4</v>
      </c>
      <c r="F194" s="315">
        <v>1</v>
      </c>
      <c r="G194" s="316">
        <v>407.68</v>
      </c>
      <c r="H194" s="316">
        <v>29.53</v>
      </c>
      <c r="I194" s="316">
        <v>2.08</v>
      </c>
      <c r="J194" s="316">
        <v>376.07</v>
      </c>
      <c r="K194" s="316">
        <v>407.68</v>
      </c>
      <c r="L194" s="316">
        <v>29.53</v>
      </c>
      <c r="M194" s="316">
        <v>2.08</v>
      </c>
      <c r="N194" s="316">
        <v>376.07</v>
      </c>
      <c r="O194" s="316">
        <v>407.68</v>
      </c>
      <c r="P194" s="317">
        <v>7.0112630451232079E-4</v>
      </c>
    </row>
    <row r="195" spans="1:16" ht="24" customHeight="1" x14ac:dyDescent="0.4">
      <c r="A195" s="313" t="s">
        <v>1653</v>
      </c>
      <c r="B195" s="313">
        <v>190535</v>
      </c>
      <c r="C195" s="313" t="s">
        <v>408</v>
      </c>
      <c r="D195" s="313" t="s">
        <v>1735</v>
      </c>
      <c r="E195" s="314" t="s">
        <v>4</v>
      </c>
      <c r="F195" s="315">
        <v>1</v>
      </c>
      <c r="G195" s="316">
        <v>145.94</v>
      </c>
      <c r="H195" s="316">
        <v>20.98</v>
      </c>
      <c r="I195" s="316">
        <v>0</v>
      </c>
      <c r="J195" s="316">
        <v>124.96</v>
      </c>
      <c r="K195" s="316">
        <v>145.94</v>
      </c>
      <c r="L195" s="316">
        <v>20.98</v>
      </c>
      <c r="M195" s="316">
        <v>0</v>
      </c>
      <c r="N195" s="316">
        <v>124.96</v>
      </c>
      <c r="O195" s="316">
        <v>145.94</v>
      </c>
      <c r="P195" s="317">
        <v>2.5098698214415254E-4</v>
      </c>
    </row>
    <row r="196" spans="1:16" ht="24" customHeight="1" x14ac:dyDescent="0.4">
      <c r="A196" s="313" t="s">
        <v>1770</v>
      </c>
      <c r="B196" s="313">
        <v>86877</v>
      </c>
      <c r="C196" s="313" t="s">
        <v>395</v>
      </c>
      <c r="D196" s="313" t="s">
        <v>5936</v>
      </c>
      <c r="E196" s="314" t="s">
        <v>4</v>
      </c>
      <c r="F196" s="315">
        <v>1</v>
      </c>
      <c r="G196" s="316">
        <v>77.95</v>
      </c>
      <c r="H196" s="316">
        <v>7.03</v>
      </c>
      <c r="I196" s="316">
        <v>0.49</v>
      </c>
      <c r="J196" s="316">
        <v>70.430000000000007</v>
      </c>
      <c r="K196" s="316">
        <v>77.95</v>
      </c>
      <c r="L196" s="316">
        <v>7.03</v>
      </c>
      <c r="M196" s="316">
        <v>0.49</v>
      </c>
      <c r="N196" s="316">
        <v>70.430000000000007</v>
      </c>
      <c r="O196" s="316">
        <v>77.95</v>
      </c>
      <c r="P196" s="317">
        <v>1.3405807357911944E-4</v>
      </c>
    </row>
    <row r="197" spans="1:16" ht="24" customHeight="1" x14ac:dyDescent="0.4">
      <c r="A197" s="313" t="s">
        <v>1655</v>
      </c>
      <c r="B197" s="313">
        <v>89985</v>
      </c>
      <c r="C197" s="313" t="s">
        <v>395</v>
      </c>
      <c r="D197" s="313" t="s">
        <v>352</v>
      </c>
      <c r="E197" s="314" t="s">
        <v>4</v>
      </c>
      <c r="F197" s="315">
        <v>1</v>
      </c>
      <c r="G197" s="316">
        <v>75.91</v>
      </c>
      <c r="H197" s="316">
        <v>12.01</v>
      </c>
      <c r="I197" s="316">
        <v>0.82</v>
      </c>
      <c r="J197" s="316">
        <v>63.08</v>
      </c>
      <c r="K197" s="316">
        <v>75.91</v>
      </c>
      <c r="L197" s="316">
        <v>12.01</v>
      </c>
      <c r="M197" s="316">
        <v>0.82</v>
      </c>
      <c r="N197" s="316">
        <v>63.08</v>
      </c>
      <c r="O197" s="316">
        <v>75.91</v>
      </c>
      <c r="P197" s="317">
        <v>1.3054969038346319E-4</v>
      </c>
    </row>
    <row r="198" spans="1:16" ht="48" customHeight="1" x14ac:dyDescent="0.4">
      <c r="A198" s="313" t="s">
        <v>1657</v>
      </c>
      <c r="B198" s="313">
        <v>89987</v>
      </c>
      <c r="C198" s="313" t="s">
        <v>395</v>
      </c>
      <c r="D198" s="313" t="s">
        <v>353</v>
      </c>
      <c r="E198" s="314" t="s">
        <v>4</v>
      </c>
      <c r="F198" s="315">
        <v>1</v>
      </c>
      <c r="G198" s="316">
        <v>79.489999999999995</v>
      </c>
      <c r="H198" s="316">
        <v>12.01</v>
      </c>
      <c r="I198" s="316">
        <v>0.82</v>
      </c>
      <c r="J198" s="316">
        <v>66.66</v>
      </c>
      <c r="K198" s="316">
        <v>79.489999999999995</v>
      </c>
      <c r="L198" s="316">
        <v>12.01</v>
      </c>
      <c r="M198" s="316">
        <v>0.82</v>
      </c>
      <c r="N198" s="316">
        <v>66.66</v>
      </c>
      <c r="O198" s="316">
        <v>79.489999999999995</v>
      </c>
      <c r="P198" s="317">
        <v>1.3670655893270305E-4</v>
      </c>
    </row>
    <row r="199" spans="1:16" ht="48" customHeight="1" x14ac:dyDescent="0.4">
      <c r="A199" s="313" t="s">
        <v>1658</v>
      </c>
      <c r="B199" s="313">
        <v>3708</v>
      </c>
      <c r="C199" s="313" t="s">
        <v>420</v>
      </c>
      <c r="D199" s="313" t="s">
        <v>1752</v>
      </c>
      <c r="E199" s="314" t="s">
        <v>422</v>
      </c>
      <c r="F199" s="315">
        <v>1</v>
      </c>
      <c r="G199" s="316">
        <v>116.92</v>
      </c>
      <c r="H199" s="316">
        <v>14.32</v>
      </c>
      <c r="I199" s="316">
        <v>0</v>
      </c>
      <c r="J199" s="316">
        <v>102.6</v>
      </c>
      <c r="K199" s="316">
        <v>116.92</v>
      </c>
      <c r="L199" s="316">
        <v>14.32</v>
      </c>
      <c r="M199" s="316">
        <v>0</v>
      </c>
      <c r="N199" s="316">
        <v>102.6</v>
      </c>
      <c r="O199" s="316">
        <v>116.92</v>
      </c>
      <c r="P199" s="317">
        <v>2.0107851139025842E-4</v>
      </c>
    </row>
    <row r="200" spans="1:16" ht="48" customHeight="1" x14ac:dyDescent="0.4">
      <c r="A200" s="313" t="s">
        <v>1659</v>
      </c>
      <c r="B200" s="313">
        <v>7347</v>
      </c>
      <c r="C200" s="313" t="s">
        <v>420</v>
      </c>
      <c r="D200" s="313" t="s">
        <v>5937</v>
      </c>
      <c r="E200" s="314" t="s">
        <v>422</v>
      </c>
      <c r="F200" s="315">
        <v>1</v>
      </c>
      <c r="G200" s="316">
        <v>328.57</v>
      </c>
      <c r="H200" s="316">
        <v>0</v>
      </c>
      <c r="I200" s="316">
        <v>0</v>
      </c>
      <c r="J200" s="316">
        <v>328.57</v>
      </c>
      <c r="K200" s="316">
        <v>328.57</v>
      </c>
      <c r="L200" s="316">
        <v>0</v>
      </c>
      <c r="M200" s="316">
        <v>0</v>
      </c>
      <c r="N200" s="316">
        <v>328.57</v>
      </c>
      <c r="O200" s="316">
        <v>328.57</v>
      </c>
      <c r="P200" s="317">
        <v>5.6507326793959296E-4</v>
      </c>
    </row>
    <row r="201" spans="1:16" ht="48" customHeight="1" x14ac:dyDescent="0.4">
      <c r="A201" s="313" t="s">
        <v>1660</v>
      </c>
      <c r="B201" s="313">
        <v>200123</v>
      </c>
      <c r="C201" s="313" t="s">
        <v>408</v>
      </c>
      <c r="D201" s="313" t="s">
        <v>1737</v>
      </c>
      <c r="E201" s="314" t="s">
        <v>675</v>
      </c>
      <c r="F201" s="315">
        <v>1</v>
      </c>
      <c r="G201" s="316">
        <v>438.2</v>
      </c>
      <c r="H201" s="316">
        <v>34.96</v>
      </c>
      <c r="I201" s="316">
        <v>0</v>
      </c>
      <c r="J201" s="316">
        <v>403.24</v>
      </c>
      <c r="K201" s="316">
        <v>438.2</v>
      </c>
      <c r="L201" s="316">
        <v>34.96</v>
      </c>
      <c r="M201" s="316">
        <v>0</v>
      </c>
      <c r="N201" s="316">
        <v>403.24</v>
      </c>
      <c r="O201" s="316">
        <v>438.2</v>
      </c>
      <c r="P201" s="317">
        <v>7.5361446879243271E-4</v>
      </c>
    </row>
    <row r="202" spans="1:16" ht="48" customHeight="1" x14ac:dyDescent="0.4">
      <c r="A202" s="313" t="s">
        <v>1661</v>
      </c>
      <c r="B202" s="313" t="s">
        <v>720</v>
      </c>
      <c r="C202" s="313" t="s">
        <v>5902</v>
      </c>
      <c r="D202" s="313" t="s">
        <v>726</v>
      </c>
      <c r="E202" s="314" t="s">
        <v>4</v>
      </c>
      <c r="F202" s="315">
        <v>1</v>
      </c>
      <c r="G202" s="316">
        <v>195.2</v>
      </c>
      <c r="H202" s="316">
        <v>27.92</v>
      </c>
      <c r="I202" s="316">
        <v>0</v>
      </c>
      <c r="J202" s="316">
        <v>167.28</v>
      </c>
      <c r="K202" s="316">
        <v>195.2</v>
      </c>
      <c r="L202" s="316">
        <v>27.92</v>
      </c>
      <c r="M202" s="316">
        <v>0</v>
      </c>
      <c r="N202" s="316">
        <v>167.28</v>
      </c>
      <c r="O202" s="316">
        <v>195.2</v>
      </c>
      <c r="P202" s="317">
        <v>3.3570411754514575E-4</v>
      </c>
    </row>
    <row r="203" spans="1:16" ht="48" customHeight="1" x14ac:dyDescent="0.4">
      <c r="A203" s="313" t="s">
        <v>1771</v>
      </c>
      <c r="B203" s="313" t="s">
        <v>721</v>
      </c>
      <c r="C203" s="313" t="s">
        <v>5902</v>
      </c>
      <c r="D203" s="313" t="s">
        <v>728</v>
      </c>
      <c r="E203" s="314" t="s">
        <v>4</v>
      </c>
      <c r="F203" s="315">
        <v>1</v>
      </c>
      <c r="G203" s="316">
        <v>152.47999999999999</v>
      </c>
      <c r="H203" s="316">
        <v>27.92</v>
      </c>
      <c r="I203" s="316">
        <v>0</v>
      </c>
      <c r="J203" s="316">
        <v>124.56</v>
      </c>
      <c r="K203" s="316">
        <v>152.47999999999999</v>
      </c>
      <c r="L203" s="316">
        <v>27.92</v>
      </c>
      <c r="M203" s="316">
        <v>0</v>
      </c>
      <c r="N203" s="316">
        <v>124.56</v>
      </c>
      <c r="O203" s="316">
        <v>152.47999999999999</v>
      </c>
      <c r="P203" s="317">
        <v>2.6223444591846223E-4</v>
      </c>
    </row>
    <row r="204" spans="1:16" ht="48" customHeight="1" x14ac:dyDescent="0.4">
      <c r="A204" s="313" t="s">
        <v>1668</v>
      </c>
      <c r="B204" s="313">
        <v>100854</v>
      </c>
      <c r="C204" s="313" t="s">
        <v>395</v>
      </c>
      <c r="D204" s="313" t="s">
        <v>5938</v>
      </c>
      <c r="E204" s="314" t="s">
        <v>4</v>
      </c>
      <c r="F204" s="315">
        <v>1</v>
      </c>
      <c r="G204" s="316">
        <v>2101.84</v>
      </c>
      <c r="H204" s="316">
        <v>19.14</v>
      </c>
      <c r="I204" s="316">
        <v>1.35</v>
      </c>
      <c r="J204" s="316">
        <v>2081.35</v>
      </c>
      <c r="K204" s="316">
        <v>2101.84</v>
      </c>
      <c r="L204" s="316">
        <v>19.14</v>
      </c>
      <c r="M204" s="316">
        <v>1.35</v>
      </c>
      <c r="N204" s="316">
        <v>2081.35</v>
      </c>
      <c r="O204" s="316">
        <v>2101.84</v>
      </c>
      <c r="P204" s="317">
        <v>3.6147353607637765E-3</v>
      </c>
    </row>
    <row r="205" spans="1:16" ht="48" customHeight="1" x14ac:dyDescent="0.4">
      <c r="A205" s="313" t="s">
        <v>1672</v>
      </c>
      <c r="B205" s="313">
        <v>86914</v>
      </c>
      <c r="C205" s="313" t="s">
        <v>395</v>
      </c>
      <c r="D205" s="313" t="s">
        <v>5939</v>
      </c>
      <c r="E205" s="314" t="s">
        <v>4</v>
      </c>
      <c r="F205" s="315">
        <v>1</v>
      </c>
      <c r="G205" s="316">
        <v>118.04</v>
      </c>
      <c r="H205" s="316">
        <v>6.35</v>
      </c>
      <c r="I205" s="316">
        <v>0.45</v>
      </c>
      <c r="J205" s="316">
        <v>111.24</v>
      </c>
      <c r="K205" s="316">
        <v>118.04</v>
      </c>
      <c r="L205" s="316">
        <v>6.35</v>
      </c>
      <c r="M205" s="316">
        <v>0.45</v>
      </c>
      <c r="N205" s="316">
        <v>111.24</v>
      </c>
      <c r="O205" s="316">
        <v>118.04</v>
      </c>
      <c r="P205" s="317">
        <v>2.0300468255650105E-4</v>
      </c>
    </row>
    <row r="206" spans="1:16" ht="48" customHeight="1" x14ac:dyDescent="0.4">
      <c r="A206" s="313" t="s">
        <v>1676</v>
      </c>
      <c r="B206" s="313">
        <v>354</v>
      </c>
      <c r="C206" s="313" t="s">
        <v>575</v>
      </c>
      <c r="D206" s="313" t="s">
        <v>1690</v>
      </c>
      <c r="E206" s="314" t="s">
        <v>4</v>
      </c>
      <c r="F206" s="315">
        <v>1</v>
      </c>
      <c r="G206" s="316">
        <v>1946.81</v>
      </c>
      <c r="H206" s="316">
        <v>890.15</v>
      </c>
      <c r="I206" s="316">
        <v>60.21</v>
      </c>
      <c r="J206" s="316">
        <v>996.45</v>
      </c>
      <c r="K206" s="316">
        <v>1946.81</v>
      </c>
      <c r="L206" s="316">
        <v>890.15</v>
      </c>
      <c r="M206" s="316">
        <v>60.21</v>
      </c>
      <c r="N206" s="316">
        <v>996.45</v>
      </c>
      <c r="O206" s="316">
        <v>1946.81</v>
      </c>
      <c r="P206" s="317">
        <v>3.348115435850744E-3</v>
      </c>
    </row>
    <row r="207" spans="1:16" ht="48" customHeight="1" x14ac:dyDescent="0.4">
      <c r="A207" s="313" t="s">
        <v>1677</v>
      </c>
      <c r="B207" s="313">
        <v>355</v>
      </c>
      <c r="C207" s="313" t="s">
        <v>575</v>
      </c>
      <c r="D207" s="313" t="s">
        <v>1692</v>
      </c>
      <c r="E207" s="314" t="s">
        <v>4</v>
      </c>
      <c r="F207" s="315">
        <v>1</v>
      </c>
      <c r="G207" s="316">
        <v>2581.37</v>
      </c>
      <c r="H207" s="316">
        <v>955.86</v>
      </c>
      <c r="I207" s="316">
        <v>62.03</v>
      </c>
      <c r="J207" s="316">
        <v>1563.48</v>
      </c>
      <c r="K207" s="316">
        <v>2581.37</v>
      </c>
      <c r="L207" s="316">
        <v>955.86</v>
      </c>
      <c r="M207" s="316">
        <v>62.03</v>
      </c>
      <c r="N207" s="316">
        <v>1563.48</v>
      </c>
      <c r="O207" s="316">
        <v>2581.37</v>
      </c>
      <c r="P207" s="317">
        <v>4.4394289851819304E-3</v>
      </c>
    </row>
    <row r="208" spans="1:16" ht="48" customHeight="1" x14ac:dyDescent="0.4">
      <c r="A208" s="313" t="s">
        <v>1678</v>
      </c>
      <c r="B208" s="313">
        <v>361</v>
      </c>
      <c r="C208" s="313" t="s">
        <v>575</v>
      </c>
      <c r="D208" s="313" t="s">
        <v>1694</v>
      </c>
      <c r="E208" s="314" t="s">
        <v>4</v>
      </c>
      <c r="F208" s="315">
        <v>1</v>
      </c>
      <c r="G208" s="316">
        <v>3207.34</v>
      </c>
      <c r="H208" s="316">
        <v>1324.37</v>
      </c>
      <c r="I208" s="316">
        <v>86.08</v>
      </c>
      <c r="J208" s="316">
        <v>1796.89</v>
      </c>
      <c r="K208" s="316">
        <v>3207.34</v>
      </c>
      <c r="L208" s="316">
        <v>1324.37</v>
      </c>
      <c r="M208" s="316">
        <v>86.08</v>
      </c>
      <c r="N208" s="316">
        <v>1796.89</v>
      </c>
      <c r="O208" s="316">
        <v>3207.34</v>
      </c>
      <c r="P208" s="317">
        <v>5.5159694895863106E-3</v>
      </c>
    </row>
    <row r="209" spans="1:16" ht="36" customHeight="1" x14ac:dyDescent="0.4">
      <c r="A209" s="313" t="s">
        <v>1681</v>
      </c>
      <c r="B209" s="313">
        <v>362</v>
      </c>
      <c r="C209" s="313" t="s">
        <v>575</v>
      </c>
      <c r="D209" s="313" t="s">
        <v>1696</v>
      </c>
      <c r="E209" s="314" t="s">
        <v>4</v>
      </c>
      <c r="F209" s="315">
        <v>1</v>
      </c>
      <c r="G209" s="316">
        <v>1987.43</v>
      </c>
      <c r="H209" s="316">
        <v>890.15</v>
      </c>
      <c r="I209" s="316">
        <v>60.21</v>
      </c>
      <c r="J209" s="316">
        <v>1037.07</v>
      </c>
      <c r="K209" s="316">
        <v>1987.43</v>
      </c>
      <c r="L209" s="316">
        <v>890.15</v>
      </c>
      <c r="M209" s="316">
        <v>60.21</v>
      </c>
      <c r="N209" s="316">
        <v>1037.07</v>
      </c>
      <c r="O209" s="316">
        <v>1987.43</v>
      </c>
      <c r="P209" s="317">
        <v>3.4179735365407224E-3</v>
      </c>
    </row>
    <row r="210" spans="1:16" ht="36" customHeight="1" x14ac:dyDescent="0.4">
      <c r="A210" s="313" t="s">
        <v>1683</v>
      </c>
      <c r="B210" s="313">
        <v>363</v>
      </c>
      <c r="C210" s="313" t="s">
        <v>575</v>
      </c>
      <c r="D210" s="313" t="s">
        <v>8456</v>
      </c>
      <c r="E210" s="314" t="s">
        <v>4</v>
      </c>
      <c r="F210" s="315">
        <v>1</v>
      </c>
      <c r="G210" s="316">
        <v>2078.71</v>
      </c>
      <c r="H210" s="316">
        <v>998.18</v>
      </c>
      <c r="I210" s="316">
        <v>66.040000000000006</v>
      </c>
      <c r="J210" s="316">
        <v>1014.49</v>
      </c>
      <c r="K210" s="316">
        <v>2078.71</v>
      </c>
      <c r="L210" s="316">
        <v>998.18</v>
      </c>
      <c r="M210" s="316">
        <v>66.040000000000006</v>
      </c>
      <c r="N210" s="316">
        <v>1014.49</v>
      </c>
      <c r="O210" s="316">
        <v>2078.71</v>
      </c>
      <c r="P210" s="317">
        <v>3.5749564865894977E-3</v>
      </c>
    </row>
    <row r="211" spans="1:16" ht="36" customHeight="1" x14ac:dyDescent="0.4">
      <c r="A211" s="313" t="s">
        <v>1685</v>
      </c>
      <c r="B211" s="313">
        <v>359</v>
      </c>
      <c r="C211" s="313" t="s">
        <v>575</v>
      </c>
      <c r="D211" s="313" t="s">
        <v>8455</v>
      </c>
      <c r="E211" s="314" t="s">
        <v>4</v>
      </c>
      <c r="F211" s="315">
        <v>1</v>
      </c>
      <c r="G211" s="316">
        <v>3795.12</v>
      </c>
      <c r="H211" s="316">
        <v>1366.19</v>
      </c>
      <c r="I211" s="316">
        <v>89.63</v>
      </c>
      <c r="J211" s="316">
        <v>2339.3000000000002</v>
      </c>
      <c r="K211" s="316">
        <v>3795.12</v>
      </c>
      <c r="L211" s="316">
        <v>1366.19</v>
      </c>
      <c r="M211" s="316">
        <v>89.63</v>
      </c>
      <c r="N211" s="316">
        <v>2339.3000000000002</v>
      </c>
      <c r="O211" s="316">
        <v>3795.12</v>
      </c>
      <c r="P211" s="317">
        <v>6.526830996813184E-3</v>
      </c>
    </row>
    <row r="212" spans="1:16" ht="36" customHeight="1" x14ac:dyDescent="0.4">
      <c r="A212" s="313" t="s">
        <v>1687</v>
      </c>
      <c r="B212" s="313">
        <v>364</v>
      </c>
      <c r="C212" s="313" t="s">
        <v>575</v>
      </c>
      <c r="D212" s="313" t="s">
        <v>8457</v>
      </c>
      <c r="E212" s="314" t="s">
        <v>4</v>
      </c>
      <c r="F212" s="315">
        <v>1</v>
      </c>
      <c r="G212" s="316">
        <v>2268.6</v>
      </c>
      <c r="H212" s="316">
        <v>890.15</v>
      </c>
      <c r="I212" s="316">
        <v>60.21</v>
      </c>
      <c r="J212" s="316">
        <v>1318.24</v>
      </c>
      <c r="K212" s="316">
        <v>2268.6</v>
      </c>
      <c r="L212" s="316">
        <v>890.15</v>
      </c>
      <c r="M212" s="316">
        <v>60.21</v>
      </c>
      <c r="N212" s="316">
        <v>1318.24</v>
      </c>
      <c r="O212" s="316">
        <v>2268.6</v>
      </c>
      <c r="P212" s="317">
        <v>3.9015284890518325E-3</v>
      </c>
    </row>
    <row r="213" spans="1:16" ht="36" customHeight="1" x14ac:dyDescent="0.4">
      <c r="A213" s="313" t="s">
        <v>1689</v>
      </c>
      <c r="B213" s="313">
        <v>365</v>
      </c>
      <c r="C213" s="313" t="s">
        <v>575</v>
      </c>
      <c r="D213" s="313" t="s">
        <v>1701</v>
      </c>
      <c r="E213" s="314" t="s">
        <v>4</v>
      </c>
      <c r="F213" s="315">
        <v>1</v>
      </c>
      <c r="G213" s="316">
        <v>333.03</v>
      </c>
      <c r="H213" s="316">
        <v>35.39</v>
      </c>
      <c r="I213" s="316">
        <v>2.4</v>
      </c>
      <c r="J213" s="316">
        <v>295.24</v>
      </c>
      <c r="K213" s="316">
        <v>333.03</v>
      </c>
      <c r="L213" s="316">
        <v>35.39</v>
      </c>
      <c r="M213" s="316">
        <v>2.4</v>
      </c>
      <c r="N213" s="316">
        <v>295.24</v>
      </c>
      <c r="O213" s="316">
        <v>333.03</v>
      </c>
      <c r="P213" s="317">
        <v>5.7274355669088058E-4</v>
      </c>
    </row>
    <row r="214" spans="1:16" ht="36" customHeight="1" x14ac:dyDescent="0.4">
      <c r="A214" s="313" t="s">
        <v>1691</v>
      </c>
      <c r="B214" s="313">
        <v>366</v>
      </c>
      <c r="C214" s="313" t="s">
        <v>575</v>
      </c>
      <c r="D214" s="313" t="s">
        <v>1703</v>
      </c>
      <c r="E214" s="314" t="s">
        <v>4</v>
      </c>
      <c r="F214" s="315">
        <v>1</v>
      </c>
      <c r="G214" s="316">
        <v>238.71</v>
      </c>
      <c r="H214" s="316">
        <v>9.9700000000000006</v>
      </c>
      <c r="I214" s="316">
        <v>0.76</v>
      </c>
      <c r="J214" s="316">
        <v>227.98</v>
      </c>
      <c r="K214" s="316">
        <v>238.71</v>
      </c>
      <c r="L214" s="316">
        <v>9.9700000000000006</v>
      </c>
      <c r="M214" s="316">
        <v>0.76</v>
      </c>
      <c r="N214" s="316">
        <v>227.98</v>
      </c>
      <c r="O214" s="316">
        <v>238.71</v>
      </c>
      <c r="P214" s="317">
        <v>4.10532427762304E-4</v>
      </c>
    </row>
    <row r="215" spans="1:16" ht="36" customHeight="1" x14ac:dyDescent="0.4">
      <c r="A215" s="313" t="s">
        <v>1693</v>
      </c>
      <c r="B215" s="313">
        <v>367</v>
      </c>
      <c r="C215" s="313" t="s">
        <v>575</v>
      </c>
      <c r="D215" s="313" t="s">
        <v>1705</v>
      </c>
      <c r="E215" s="314" t="s">
        <v>4</v>
      </c>
      <c r="F215" s="315">
        <v>1</v>
      </c>
      <c r="G215" s="316">
        <v>973.27</v>
      </c>
      <c r="H215" s="316">
        <v>59.49</v>
      </c>
      <c r="I215" s="316">
        <v>3.75</v>
      </c>
      <c r="J215" s="316">
        <v>910.03</v>
      </c>
      <c r="K215" s="316">
        <v>973.27</v>
      </c>
      <c r="L215" s="316">
        <v>59.49</v>
      </c>
      <c r="M215" s="316">
        <v>3.75</v>
      </c>
      <c r="N215" s="316">
        <v>910.03</v>
      </c>
      <c r="O215" s="316">
        <v>973.27</v>
      </c>
      <c r="P215" s="317">
        <v>1.6738255455080123E-3</v>
      </c>
    </row>
    <row r="216" spans="1:16" ht="36" customHeight="1" x14ac:dyDescent="0.4">
      <c r="A216" s="313" t="s">
        <v>1695</v>
      </c>
      <c r="B216" s="313">
        <v>382</v>
      </c>
      <c r="C216" s="313" t="s">
        <v>575</v>
      </c>
      <c r="D216" s="313" t="s">
        <v>1787</v>
      </c>
      <c r="E216" s="314" t="s">
        <v>422</v>
      </c>
      <c r="F216" s="315">
        <v>1</v>
      </c>
      <c r="G216" s="316">
        <v>261.36</v>
      </c>
      <c r="H216" s="316">
        <v>46.78</v>
      </c>
      <c r="I216" s="316">
        <v>3.14</v>
      </c>
      <c r="J216" s="316">
        <v>211.44</v>
      </c>
      <c r="K216" s="316">
        <v>261.36</v>
      </c>
      <c r="L216" s="316">
        <v>46.78</v>
      </c>
      <c r="M216" s="316">
        <v>3.14</v>
      </c>
      <c r="N216" s="316">
        <v>211.44</v>
      </c>
      <c r="O216" s="316">
        <v>261.36</v>
      </c>
      <c r="P216" s="317">
        <v>4.4948580000819311E-4</v>
      </c>
    </row>
    <row r="217" spans="1:16" ht="36" customHeight="1" x14ac:dyDescent="0.4">
      <c r="A217" s="313" t="s">
        <v>1697</v>
      </c>
      <c r="B217" s="313">
        <v>383</v>
      </c>
      <c r="C217" s="313" t="s">
        <v>575</v>
      </c>
      <c r="D217" s="313" t="s">
        <v>1789</v>
      </c>
      <c r="E217" s="314" t="s">
        <v>422</v>
      </c>
      <c r="F217" s="315">
        <v>1</v>
      </c>
      <c r="G217" s="316">
        <v>261.36</v>
      </c>
      <c r="H217" s="316">
        <v>46.78</v>
      </c>
      <c r="I217" s="316">
        <v>3.14</v>
      </c>
      <c r="J217" s="316">
        <v>211.44</v>
      </c>
      <c r="K217" s="316">
        <v>261.36</v>
      </c>
      <c r="L217" s="316">
        <v>46.78</v>
      </c>
      <c r="M217" s="316">
        <v>3.14</v>
      </c>
      <c r="N217" s="316">
        <v>211.44</v>
      </c>
      <c r="O217" s="316">
        <v>261.36</v>
      </c>
      <c r="P217" s="317">
        <v>4.4948580000819311E-4</v>
      </c>
    </row>
    <row r="218" spans="1:16" ht="60" customHeight="1" x14ac:dyDescent="0.4">
      <c r="A218" s="313" t="s">
        <v>1698</v>
      </c>
      <c r="B218" s="313">
        <v>100674</v>
      </c>
      <c r="C218" s="313" t="s">
        <v>395</v>
      </c>
      <c r="D218" s="313" t="s">
        <v>5941</v>
      </c>
      <c r="E218" s="314" t="s">
        <v>675</v>
      </c>
      <c r="F218" s="315">
        <v>1</v>
      </c>
      <c r="G218" s="316">
        <v>1466.28</v>
      </c>
      <c r="H218" s="316">
        <v>32.03</v>
      </c>
      <c r="I218" s="316">
        <v>2.61</v>
      </c>
      <c r="J218" s="316">
        <v>1431.64</v>
      </c>
      <c r="K218" s="316">
        <v>1466.28</v>
      </c>
      <c r="L218" s="316">
        <v>32.03</v>
      </c>
      <c r="M218" s="316">
        <v>2.61</v>
      </c>
      <c r="N218" s="316">
        <v>1431.64</v>
      </c>
      <c r="O218" s="316">
        <v>1466.28</v>
      </c>
      <c r="P218" s="317">
        <v>2.5217020157484444E-3</v>
      </c>
    </row>
    <row r="219" spans="1:16" ht="66" x14ac:dyDescent="0.4">
      <c r="A219" s="313" t="s">
        <v>1699</v>
      </c>
      <c r="B219" s="313">
        <v>94569</v>
      </c>
      <c r="C219" s="313" t="s">
        <v>395</v>
      </c>
      <c r="D219" s="313" t="s">
        <v>5940</v>
      </c>
      <c r="E219" s="314" t="s">
        <v>675</v>
      </c>
      <c r="F219" s="315">
        <v>1</v>
      </c>
      <c r="G219" s="316">
        <v>1262.01</v>
      </c>
      <c r="H219" s="316">
        <v>43.6</v>
      </c>
      <c r="I219" s="316">
        <v>3.56</v>
      </c>
      <c r="J219" s="316">
        <v>1214.8499999999999</v>
      </c>
      <c r="K219" s="316">
        <v>1262.01</v>
      </c>
      <c r="L219" s="316">
        <v>43.6</v>
      </c>
      <c r="M219" s="316">
        <v>3.56</v>
      </c>
      <c r="N219" s="316">
        <v>1214.8499999999999</v>
      </c>
      <c r="O219" s="316">
        <v>1262.01</v>
      </c>
      <c r="P219" s="317">
        <v>2.1703993513481016E-3</v>
      </c>
    </row>
    <row r="220" spans="1:16" ht="26.4" x14ac:dyDescent="0.4">
      <c r="A220" s="313" t="s">
        <v>1700</v>
      </c>
      <c r="B220" s="313">
        <v>91341</v>
      </c>
      <c r="C220" s="313" t="s">
        <v>395</v>
      </c>
      <c r="D220" s="313" t="s">
        <v>5942</v>
      </c>
      <c r="E220" s="314" t="s">
        <v>675</v>
      </c>
      <c r="F220" s="315">
        <v>1</v>
      </c>
      <c r="G220" s="316">
        <v>898.85</v>
      </c>
      <c r="H220" s="316">
        <v>21.22</v>
      </c>
      <c r="I220" s="316">
        <v>1.67</v>
      </c>
      <c r="J220" s="316">
        <v>875.96</v>
      </c>
      <c r="K220" s="316">
        <v>898.85</v>
      </c>
      <c r="L220" s="316">
        <v>21.22</v>
      </c>
      <c r="M220" s="316">
        <v>1.67</v>
      </c>
      <c r="N220" s="316">
        <v>875.96</v>
      </c>
      <c r="O220" s="316">
        <v>898.85</v>
      </c>
      <c r="P220" s="317">
        <v>1.5458383506939256E-3</v>
      </c>
    </row>
    <row r="221" spans="1:16" ht="24" customHeight="1" x14ac:dyDescent="0.4">
      <c r="A221" s="313" t="s">
        <v>1702</v>
      </c>
      <c r="B221" s="313">
        <v>102235</v>
      </c>
      <c r="C221" s="313" t="s">
        <v>395</v>
      </c>
      <c r="D221" s="313" t="s">
        <v>5921</v>
      </c>
      <c r="E221" s="314" t="s">
        <v>675</v>
      </c>
      <c r="F221" s="315">
        <v>1</v>
      </c>
      <c r="G221" s="316">
        <v>632.32000000000005</v>
      </c>
      <c r="H221" s="316">
        <v>50.19</v>
      </c>
      <c r="I221" s="316">
        <v>3.21</v>
      </c>
      <c r="J221" s="316">
        <v>578.91999999999996</v>
      </c>
      <c r="K221" s="316">
        <v>632.32000000000005</v>
      </c>
      <c r="L221" s="316">
        <v>50.19</v>
      </c>
      <c r="M221" s="316">
        <v>3.21</v>
      </c>
      <c r="N221" s="316">
        <v>578.91999999999996</v>
      </c>
      <c r="O221" s="316">
        <v>632.32000000000005</v>
      </c>
      <c r="P221" s="317">
        <v>1.0874612069987017E-3</v>
      </c>
    </row>
    <row r="222" spans="1:16" ht="36" customHeight="1" x14ac:dyDescent="0.4">
      <c r="A222" s="313" t="s">
        <v>1704</v>
      </c>
      <c r="B222" s="313">
        <v>102180</v>
      </c>
      <c r="C222" s="313" t="s">
        <v>395</v>
      </c>
      <c r="D222" s="313" t="s">
        <v>5943</v>
      </c>
      <c r="E222" s="314" t="s">
        <v>675</v>
      </c>
      <c r="F222" s="315">
        <v>1</v>
      </c>
      <c r="G222" s="316">
        <v>559.79999999999995</v>
      </c>
      <c r="H222" s="316">
        <v>57.3</v>
      </c>
      <c r="I222" s="316">
        <v>5.35</v>
      </c>
      <c r="J222" s="316">
        <v>497.15</v>
      </c>
      <c r="K222" s="316">
        <v>559.79999999999995</v>
      </c>
      <c r="L222" s="316">
        <v>57.3</v>
      </c>
      <c r="M222" s="316">
        <v>5.35</v>
      </c>
      <c r="N222" s="316">
        <v>497.15</v>
      </c>
      <c r="O222" s="316">
        <v>559.79999999999995</v>
      </c>
      <c r="P222" s="317">
        <v>9.6274162398449074E-4</v>
      </c>
    </row>
    <row r="223" spans="1:16" ht="24" customHeight="1" x14ac:dyDescent="0.4">
      <c r="A223" s="313" t="s">
        <v>1708</v>
      </c>
      <c r="B223" s="313" t="s">
        <v>8451</v>
      </c>
      <c r="C223" s="313" t="s">
        <v>5902</v>
      </c>
      <c r="D223" s="313" t="s">
        <v>8452</v>
      </c>
      <c r="E223" s="314" t="s">
        <v>4</v>
      </c>
      <c r="F223" s="315">
        <v>1</v>
      </c>
      <c r="G223" s="316">
        <v>2747.7</v>
      </c>
      <c r="H223" s="316">
        <v>168.83</v>
      </c>
      <c r="I223" s="316">
        <v>0</v>
      </c>
      <c r="J223" s="316">
        <v>2578.87</v>
      </c>
      <c r="K223" s="316">
        <v>2747.7</v>
      </c>
      <c r="L223" s="316">
        <v>168.83</v>
      </c>
      <c r="M223" s="316">
        <v>0</v>
      </c>
      <c r="N223" s="316">
        <v>2578.87</v>
      </c>
      <c r="O223" s="316">
        <v>2747.7</v>
      </c>
      <c r="P223" s="317">
        <v>4.7254826013258039E-3</v>
      </c>
    </row>
    <row r="224" spans="1:16" ht="36" customHeight="1" x14ac:dyDescent="0.4">
      <c r="A224" s="313" t="s">
        <v>1709</v>
      </c>
      <c r="B224" s="313" t="s">
        <v>8450</v>
      </c>
      <c r="C224" s="313" t="s">
        <v>5902</v>
      </c>
      <c r="D224" s="313" t="s">
        <v>8453</v>
      </c>
      <c r="E224" s="314" t="s">
        <v>4</v>
      </c>
      <c r="F224" s="315">
        <v>1</v>
      </c>
      <c r="G224" s="316">
        <v>1595.51</v>
      </c>
      <c r="H224" s="316">
        <v>168.83</v>
      </c>
      <c r="I224" s="316">
        <v>0</v>
      </c>
      <c r="J224" s="316">
        <v>1426.68</v>
      </c>
      <c r="K224" s="316">
        <v>1595.51</v>
      </c>
      <c r="L224" s="316">
        <v>168.83</v>
      </c>
      <c r="M224" s="316">
        <v>0</v>
      </c>
      <c r="N224" s="316">
        <v>1426.68</v>
      </c>
      <c r="O224" s="316">
        <v>1595.51</v>
      </c>
      <c r="P224" s="317">
        <v>2.7439512120105303E-3</v>
      </c>
    </row>
    <row r="225" spans="1:16" ht="36" customHeight="1" x14ac:dyDescent="0.4">
      <c r="A225" s="313" t="s">
        <v>1711</v>
      </c>
      <c r="B225" s="313">
        <v>11960</v>
      </c>
      <c r="C225" s="313" t="s">
        <v>420</v>
      </c>
      <c r="D225" s="313" t="s">
        <v>709</v>
      </c>
      <c r="E225" s="314" t="s">
        <v>422</v>
      </c>
      <c r="F225" s="315">
        <v>1</v>
      </c>
      <c r="G225" s="316">
        <v>1812.97</v>
      </c>
      <c r="H225" s="316">
        <v>246.92</v>
      </c>
      <c r="I225" s="316">
        <v>0</v>
      </c>
      <c r="J225" s="316">
        <v>1566.05</v>
      </c>
      <c r="K225" s="316">
        <v>1812.97</v>
      </c>
      <c r="L225" s="316">
        <v>246.92</v>
      </c>
      <c r="M225" s="316">
        <v>0</v>
      </c>
      <c r="N225" s="316">
        <v>1566.05</v>
      </c>
      <c r="O225" s="316">
        <v>1812.97</v>
      </c>
      <c r="P225" s="317">
        <v>3.1179379814847484E-3</v>
      </c>
    </row>
    <row r="226" spans="1:16" ht="24" customHeight="1" x14ac:dyDescent="0.4">
      <c r="A226" s="313" t="s">
        <v>1713</v>
      </c>
      <c r="B226" s="313">
        <v>12168</v>
      </c>
      <c r="C226" s="313" t="s">
        <v>420</v>
      </c>
      <c r="D226" s="313" t="s">
        <v>8454</v>
      </c>
      <c r="E226" s="314" t="s">
        <v>422</v>
      </c>
      <c r="F226" s="315">
        <v>1</v>
      </c>
      <c r="G226" s="316">
        <v>3049.86</v>
      </c>
      <c r="H226" s="316">
        <v>246.92</v>
      </c>
      <c r="I226" s="316">
        <v>0</v>
      </c>
      <c r="J226" s="316">
        <v>2802.94</v>
      </c>
      <c r="K226" s="316">
        <v>3049.86</v>
      </c>
      <c r="L226" s="316">
        <v>246.92</v>
      </c>
      <c r="M226" s="316">
        <v>0</v>
      </c>
      <c r="N226" s="316">
        <v>2802.94</v>
      </c>
      <c r="O226" s="316">
        <v>3049.86</v>
      </c>
      <c r="P226" s="317">
        <v>5.245136065247122E-3</v>
      </c>
    </row>
    <row r="227" spans="1:16" ht="36" customHeight="1" x14ac:dyDescent="0.4">
      <c r="A227" s="313" t="s">
        <v>1714</v>
      </c>
      <c r="B227" s="313">
        <v>336</v>
      </c>
      <c r="C227" s="313" t="s">
        <v>575</v>
      </c>
      <c r="D227" s="313" t="s">
        <v>8458</v>
      </c>
      <c r="E227" s="314" t="s">
        <v>422</v>
      </c>
      <c r="F227" s="315">
        <v>1</v>
      </c>
      <c r="G227" s="316">
        <v>4225.2</v>
      </c>
      <c r="H227" s="316">
        <v>0</v>
      </c>
      <c r="I227" s="316">
        <v>0</v>
      </c>
      <c r="J227" s="316">
        <v>4225.2</v>
      </c>
      <c r="K227" s="316">
        <v>4225.2</v>
      </c>
      <c r="L227" s="316">
        <v>0</v>
      </c>
      <c r="M227" s="316">
        <v>0</v>
      </c>
      <c r="N227" s="316">
        <v>4225.2</v>
      </c>
      <c r="O227" s="316">
        <v>4225.2</v>
      </c>
      <c r="P227" s="317">
        <v>7.2664807246503576E-3</v>
      </c>
    </row>
    <row r="228" spans="1:16" ht="36" customHeight="1" x14ac:dyDescent="0.4">
      <c r="A228" s="313" t="s">
        <v>1715</v>
      </c>
      <c r="B228" s="313" t="s">
        <v>599</v>
      </c>
      <c r="C228" s="313" t="s">
        <v>5902</v>
      </c>
      <c r="D228" s="313" t="s">
        <v>707</v>
      </c>
      <c r="E228" s="314" t="s">
        <v>675</v>
      </c>
      <c r="F228" s="315">
        <v>1</v>
      </c>
      <c r="G228" s="316">
        <v>957.66</v>
      </c>
      <c r="H228" s="316">
        <v>95.77</v>
      </c>
      <c r="I228" s="316">
        <v>0</v>
      </c>
      <c r="J228" s="316">
        <v>861.89</v>
      </c>
      <c r="K228" s="316">
        <v>957.66</v>
      </c>
      <c r="L228" s="316">
        <v>95.77</v>
      </c>
      <c r="M228" s="316">
        <v>0</v>
      </c>
      <c r="N228" s="316">
        <v>861.89</v>
      </c>
      <c r="O228" s="316">
        <v>957.66</v>
      </c>
      <c r="P228" s="317">
        <v>1.6469795348785057E-3</v>
      </c>
    </row>
    <row r="229" spans="1:16" ht="36" customHeight="1" x14ac:dyDescent="0.4">
      <c r="A229" s="313" t="s">
        <v>1716</v>
      </c>
      <c r="B229" s="313" t="s">
        <v>803</v>
      </c>
      <c r="C229" s="313" t="s">
        <v>5902</v>
      </c>
      <c r="D229" s="313" t="s">
        <v>811</v>
      </c>
      <c r="E229" s="314" t="s">
        <v>7</v>
      </c>
      <c r="F229" s="315">
        <v>1</v>
      </c>
      <c r="G229" s="316">
        <v>736.31</v>
      </c>
      <c r="H229" s="316">
        <v>60.42</v>
      </c>
      <c r="I229" s="316">
        <v>0</v>
      </c>
      <c r="J229" s="316">
        <v>675.89</v>
      </c>
      <c r="K229" s="316">
        <v>736.31</v>
      </c>
      <c r="L229" s="316">
        <v>60.42</v>
      </c>
      <c r="M229" s="316">
        <v>0</v>
      </c>
      <c r="N229" s="316">
        <v>675.89</v>
      </c>
      <c r="O229" s="316">
        <v>736.31</v>
      </c>
      <c r="P229" s="317">
        <v>1.2663027601929624E-3</v>
      </c>
    </row>
    <row r="230" spans="1:16" ht="36" customHeight="1" x14ac:dyDescent="0.4">
      <c r="A230" s="313" t="s">
        <v>1718</v>
      </c>
      <c r="B230" s="313">
        <v>693</v>
      </c>
      <c r="C230" s="313" t="s">
        <v>575</v>
      </c>
      <c r="D230" s="313" t="s">
        <v>2777</v>
      </c>
      <c r="E230" s="314" t="s">
        <v>4</v>
      </c>
      <c r="F230" s="315">
        <v>1</v>
      </c>
      <c r="G230" s="316">
        <v>28.23</v>
      </c>
      <c r="H230" s="316">
        <v>20.6</v>
      </c>
      <c r="I230" s="316">
        <v>1.82</v>
      </c>
      <c r="J230" s="316">
        <v>5.81</v>
      </c>
      <c r="K230" s="316">
        <v>28.23</v>
      </c>
      <c r="L230" s="316">
        <v>20.6</v>
      </c>
      <c r="M230" s="316">
        <v>1.82</v>
      </c>
      <c r="N230" s="316">
        <v>5.81</v>
      </c>
      <c r="O230" s="316">
        <v>28.23</v>
      </c>
      <c r="P230" s="317">
        <v>4.8549832163419389E-5</v>
      </c>
    </row>
    <row r="231" spans="1:16" ht="24" customHeight="1" x14ac:dyDescent="0.4">
      <c r="A231" s="313" t="s">
        <v>1720</v>
      </c>
      <c r="B231" s="313">
        <v>91941</v>
      </c>
      <c r="C231" s="313" t="s">
        <v>395</v>
      </c>
      <c r="D231" s="313" t="s">
        <v>5944</v>
      </c>
      <c r="E231" s="314" t="s">
        <v>4</v>
      </c>
      <c r="F231" s="315">
        <v>1</v>
      </c>
      <c r="G231" s="316">
        <v>16.41</v>
      </c>
      <c r="H231" s="316">
        <v>9.3000000000000007</v>
      </c>
      <c r="I231" s="316">
        <v>0.82</v>
      </c>
      <c r="J231" s="316">
        <v>6.29</v>
      </c>
      <c r="K231" s="316">
        <v>16.41</v>
      </c>
      <c r="L231" s="316">
        <v>9.3000000000000007</v>
      </c>
      <c r="M231" s="316">
        <v>0.82</v>
      </c>
      <c r="N231" s="316">
        <v>6.29</v>
      </c>
      <c r="O231" s="316">
        <v>16.41</v>
      </c>
      <c r="P231" s="317">
        <v>2.8221847176822959E-5</v>
      </c>
    </row>
    <row r="232" spans="1:16" ht="24" customHeight="1" x14ac:dyDescent="0.4">
      <c r="A232" s="313" t="s">
        <v>1722</v>
      </c>
      <c r="B232" s="313">
        <v>91944</v>
      </c>
      <c r="C232" s="313" t="s">
        <v>395</v>
      </c>
      <c r="D232" s="313" t="s">
        <v>5945</v>
      </c>
      <c r="E232" s="314" t="s">
        <v>4</v>
      </c>
      <c r="F232" s="315">
        <v>1</v>
      </c>
      <c r="G232" s="316">
        <v>20.2</v>
      </c>
      <c r="H232" s="316">
        <v>9.64</v>
      </c>
      <c r="I232" s="316">
        <v>0.86</v>
      </c>
      <c r="J232" s="316">
        <v>9.6999999999999993</v>
      </c>
      <c r="K232" s="316">
        <v>20.2</v>
      </c>
      <c r="L232" s="316">
        <v>9.64</v>
      </c>
      <c r="M232" s="316">
        <v>0.86</v>
      </c>
      <c r="N232" s="316">
        <v>9.6999999999999993</v>
      </c>
      <c r="O232" s="316">
        <v>20.2</v>
      </c>
      <c r="P232" s="317">
        <v>3.4739872819733319E-5</v>
      </c>
    </row>
    <row r="233" spans="1:16" ht="36" customHeight="1" x14ac:dyDescent="0.4">
      <c r="A233" s="313" t="s">
        <v>1724</v>
      </c>
      <c r="B233" s="313" t="s">
        <v>489</v>
      </c>
      <c r="C233" s="313" t="s">
        <v>490</v>
      </c>
      <c r="D233" s="313" t="s">
        <v>491</v>
      </c>
      <c r="E233" s="314" t="s">
        <v>4</v>
      </c>
      <c r="F233" s="315">
        <v>1</v>
      </c>
      <c r="G233" s="316">
        <v>69.62</v>
      </c>
      <c r="H233" s="316">
        <v>49.15</v>
      </c>
      <c r="I233" s="316">
        <v>0</v>
      </c>
      <c r="J233" s="316">
        <v>20.47</v>
      </c>
      <c r="K233" s="316">
        <v>69.62</v>
      </c>
      <c r="L233" s="316">
        <v>49.15</v>
      </c>
      <c r="M233" s="316">
        <v>0</v>
      </c>
      <c r="N233" s="316">
        <v>20.47</v>
      </c>
      <c r="O233" s="316">
        <v>69.62</v>
      </c>
      <c r="P233" s="317">
        <v>1.1973217553018979E-4</v>
      </c>
    </row>
    <row r="234" spans="1:16" ht="36" customHeight="1" x14ac:dyDescent="0.4">
      <c r="A234" s="313" t="s">
        <v>1729</v>
      </c>
      <c r="B234" s="313">
        <v>95795</v>
      </c>
      <c r="C234" s="313" t="s">
        <v>395</v>
      </c>
      <c r="D234" s="313" t="s">
        <v>5946</v>
      </c>
      <c r="E234" s="314" t="s">
        <v>4</v>
      </c>
      <c r="F234" s="315">
        <v>1</v>
      </c>
      <c r="G234" s="316">
        <v>42.41</v>
      </c>
      <c r="H234" s="316">
        <v>20.85</v>
      </c>
      <c r="I234" s="316">
        <v>1.77</v>
      </c>
      <c r="J234" s="316">
        <v>19.79</v>
      </c>
      <c r="K234" s="316">
        <v>42.41</v>
      </c>
      <c r="L234" s="316">
        <v>20.85</v>
      </c>
      <c r="M234" s="316">
        <v>1.77</v>
      </c>
      <c r="N234" s="316">
        <v>19.79</v>
      </c>
      <c r="O234" s="316">
        <v>42.41</v>
      </c>
      <c r="P234" s="317">
        <v>7.293653496459852E-5</v>
      </c>
    </row>
    <row r="235" spans="1:16" ht="24" customHeight="1" x14ac:dyDescent="0.4">
      <c r="A235" s="313" t="s">
        <v>1731</v>
      </c>
      <c r="B235" s="313">
        <v>597</v>
      </c>
      <c r="C235" s="313" t="s">
        <v>575</v>
      </c>
      <c r="D235" s="313" t="s">
        <v>1816</v>
      </c>
      <c r="E235" s="314" t="s">
        <v>4</v>
      </c>
      <c r="F235" s="315">
        <v>1</v>
      </c>
      <c r="G235" s="316">
        <v>62.48</v>
      </c>
      <c r="H235" s="316">
        <v>20.98</v>
      </c>
      <c r="I235" s="316">
        <v>1.86</v>
      </c>
      <c r="J235" s="316">
        <v>39.64</v>
      </c>
      <c r="K235" s="316">
        <v>62.48</v>
      </c>
      <c r="L235" s="316">
        <v>20.98</v>
      </c>
      <c r="M235" s="316">
        <v>1.86</v>
      </c>
      <c r="N235" s="316">
        <v>39.64</v>
      </c>
      <c r="O235" s="316">
        <v>62.48</v>
      </c>
      <c r="P235" s="317">
        <v>1.0745283434539296E-4</v>
      </c>
    </row>
    <row r="236" spans="1:16" ht="24" customHeight="1" x14ac:dyDescent="0.4">
      <c r="A236" s="313" t="s">
        <v>1733</v>
      </c>
      <c r="B236" s="313">
        <v>95796</v>
      </c>
      <c r="C236" s="313" t="s">
        <v>395</v>
      </c>
      <c r="D236" s="313" t="s">
        <v>5947</v>
      </c>
      <c r="E236" s="314" t="s">
        <v>4</v>
      </c>
      <c r="F236" s="315">
        <v>1</v>
      </c>
      <c r="G236" s="316">
        <v>51.7</v>
      </c>
      <c r="H236" s="316">
        <v>21.49</v>
      </c>
      <c r="I236" s="316">
        <v>1.82</v>
      </c>
      <c r="J236" s="316">
        <v>28.39</v>
      </c>
      <c r="K236" s="316">
        <v>51.7</v>
      </c>
      <c r="L236" s="316">
        <v>21.49</v>
      </c>
      <c r="M236" s="316">
        <v>1.82</v>
      </c>
      <c r="N236" s="316">
        <v>28.39</v>
      </c>
      <c r="O236" s="316">
        <v>51.7</v>
      </c>
      <c r="P236" s="317">
        <v>8.8913436870307556E-5</v>
      </c>
    </row>
    <row r="237" spans="1:16" ht="24" customHeight="1" x14ac:dyDescent="0.4">
      <c r="A237" s="313" t="s">
        <v>1734</v>
      </c>
      <c r="B237" s="313">
        <v>598</v>
      </c>
      <c r="C237" s="313" t="s">
        <v>575</v>
      </c>
      <c r="D237" s="313" t="s">
        <v>1817</v>
      </c>
      <c r="E237" s="314" t="s">
        <v>4</v>
      </c>
      <c r="F237" s="315">
        <v>1</v>
      </c>
      <c r="G237" s="316">
        <v>85.84</v>
      </c>
      <c r="H237" s="316">
        <v>22.15</v>
      </c>
      <c r="I237" s="316">
        <v>1.96</v>
      </c>
      <c r="J237" s="316">
        <v>61.73</v>
      </c>
      <c r="K237" s="316">
        <v>85.84</v>
      </c>
      <c r="L237" s="316">
        <v>22.15</v>
      </c>
      <c r="M237" s="316">
        <v>1.96</v>
      </c>
      <c r="N237" s="316">
        <v>61.73</v>
      </c>
      <c r="O237" s="316">
        <v>85.84</v>
      </c>
      <c r="P237" s="317">
        <v>1.4762726152702516E-4</v>
      </c>
    </row>
    <row r="238" spans="1:16" ht="24" customHeight="1" x14ac:dyDescent="0.4">
      <c r="A238" s="313" t="s">
        <v>1736</v>
      </c>
      <c r="B238" s="313" t="s">
        <v>409</v>
      </c>
      <c r="C238" s="313" t="s">
        <v>5902</v>
      </c>
      <c r="D238" s="313" t="s">
        <v>5948</v>
      </c>
      <c r="E238" s="314" t="s">
        <v>380</v>
      </c>
      <c r="F238" s="315">
        <v>1</v>
      </c>
      <c r="G238" s="316">
        <v>33.479999999999997</v>
      </c>
      <c r="H238" s="316">
        <v>18.98</v>
      </c>
      <c r="I238" s="316">
        <v>0</v>
      </c>
      <c r="J238" s="316">
        <v>14.5</v>
      </c>
      <c r="K238" s="316">
        <v>33.479999999999997</v>
      </c>
      <c r="L238" s="316">
        <v>18.98</v>
      </c>
      <c r="M238" s="316">
        <v>0</v>
      </c>
      <c r="N238" s="316">
        <v>14.5</v>
      </c>
      <c r="O238" s="316">
        <v>33.479999999999997</v>
      </c>
      <c r="P238" s="317">
        <v>5.7578759505181759E-5</v>
      </c>
    </row>
    <row r="239" spans="1:16" ht="24" customHeight="1" x14ac:dyDescent="0.4">
      <c r="A239" s="313" t="s">
        <v>1738</v>
      </c>
      <c r="B239" s="313" t="s">
        <v>410</v>
      </c>
      <c r="C239" s="313" t="s">
        <v>5902</v>
      </c>
      <c r="D239" s="313" t="s">
        <v>5949</v>
      </c>
      <c r="E239" s="314" t="s">
        <v>380</v>
      </c>
      <c r="F239" s="315">
        <v>1</v>
      </c>
      <c r="G239" s="316">
        <v>33.83</v>
      </c>
      <c r="H239" s="316">
        <v>15.07</v>
      </c>
      <c r="I239" s="316">
        <v>0</v>
      </c>
      <c r="J239" s="316">
        <v>18.760000000000002</v>
      </c>
      <c r="K239" s="316">
        <v>33.83</v>
      </c>
      <c r="L239" s="316">
        <v>15.07</v>
      </c>
      <c r="M239" s="316">
        <v>0</v>
      </c>
      <c r="N239" s="316">
        <v>18.760000000000002</v>
      </c>
      <c r="O239" s="316">
        <v>33.83</v>
      </c>
      <c r="P239" s="317">
        <v>5.8180687994632587E-5</v>
      </c>
    </row>
    <row r="240" spans="1:16" ht="24" customHeight="1" x14ac:dyDescent="0.4">
      <c r="A240" s="313" t="s">
        <v>1739</v>
      </c>
      <c r="B240" s="313">
        <v>91990</v>
      </c>
      <c r="C240" s="313" t="s">
        <v>395</v>
      </c>
      <c r="D240" s="313" t="s">
        <v>5950</v>
      </c>
      <c r="E240" s="314" t="s">
        <v>4</v>
      </c>
      <c r="F240" s="315">
        <v>1</v>
      </c>
      <c r="G240" s="316">
        <v>45.46</v>
      </c>
      <c r="H240" s="316">
        <v>28.45</v>
      </c>
      <c r="I240" s="316">
        <v>2.52</v>
      </c>
      <c r="J240" s="316">
        <v>14.49</v>
      </c>
      <c r="K240" s="316">
        <v>45.46</v>
      </c>
      <c r="L240" s="316">
        <v>28.45</v>
      </c>
      <c r="M240" s="316">
        <v>2.52</v>
      </c>
      <c r="N240" s="316">
        <v>14.49</v>
      </c>
      <c r="O240" s="316">
        <v>45.46</v>
      </c>
      <c r="P240" s="317">
        <v>7.8181911801241419E-5</v>
      </c>
    </row>
    <row r="241" spans="1:16" ht="36" customHeight="1" x14ac:dyDescent="0.4">
      <c r="A241" s="313" t="s">
        <v>1740</v>
      </c>
      <c r="B241" s="313">
        <v>91991</v>
      </c>
      <c r="C241" s="313" t="s">
        <v>395</v>
      </c>
      <c r="D241" s="313" t="s">
        <v>5951</v>
      </c>
      <c r="E241" s="314" t="s">
        <v>4</v>
      </c>
      <c r="F241" s="315">
        <v>1</v>
      </c>
      <c r="G241" s="316">
        <v>47.26</v>
      </c>
      <c r="H241" s="316">
        <v>28.45</v>
      </c>
      <c r="I241" s="316">
        <v>2.52</v>
      </c>
      <c r="J241" s="316">
        <v>16.29</v>
      </c>
      <c r="K241" s="316">
        <v>47.26</v>
      </c>
      <c r="L241" s="316">
        <v>28.45</v>
      </c>
      <c r="M241" s="316">
        <v>2.52</v>
      </c>
      <c r="N241" s="316">
        <v>16.29</v>
      </c>
      <c r="O241" s="316">
        <v>47.26</v>
      </c>
      <c r="P241" s="317">
        <v>8.1277544032702813E-5</v>
      </c>
    </row>
    <row r="242" spans="1:16" ht="36" customHeight="1" x14ac:dyDescent="0.4">
      <c r="A242" s="313" t="s">
        <v>1741</v>
      </c>
      <c r="B242" s="313" t="s">
        <v>418</v>
      </c>
      <c r="C242" s="313" t="s">
        <v>5902</v>
      </c>
      <c r="D242" s="313" t="s">
        <v>419</v>
      </c>
      <c r="E242" s="314" t="s">
        <v>4</v>
      </c>
      <c r="F242" s="315">
        <v>1</v>
      </c>
      <c r="G242" s="316">
        <v>87.43</v>
      </c>
      <c r="H242" s="316">
        <v>44.67</v>
      </c>
      <c r="I242" s="316">
        <v>0</v>
      </c>
      <c r="J242" s="316">
        <v>42.76</v>
      </c>
      <c r="K242" s="316">
        <v>87.43</v>
      </c>
      <c r="L242" s="316">
        <v>44.67</v>
      </c>
      <c r="M242" s="316">
        <v>0</v>
      </c>
      <c r="N242" s="316">
        <v>42.76</v>
      </c>
      <c r="O242" s="316">
        <v>87.43</v>
      </c>
      <c r="P242" s="317">
        <v>1.5036173666481604E-4</v>
      </c>
    </row>
    <row r="243" spans="1:16" ht="36" customHeight="1" x14ac:dyDescent="0.4">
      <c r="A243" s="313" t="s">
        <v>1743</v>
      </c>
      <c r="B243" s="313" t="s">
        <v>525</v>
      </c>
      <c r="C243" s="313" t="s">
        <v>5902</v>
      </c>
      <c r="D243" s="313" t="s">
        <v>529</v>
      </c>
      <c r="E243" s="314" t="s">
        <v>7</v>
      </c>
      <c r="F243" s="315">
        <v>1</v>
      </c>
      <c r="G243" s="316">
        <v>89.43</v>
      </c>
      <c r="H243" s="316">
        <v>27.92</v>
      </c>
      <c r="I243" s="316">
        <v>0</v>
      </c>
      <c r="J243" s="316">
        <v>61.51</v>
      </c>
      <c r="K243" s="316">
        <v>89.43</v>
      </c>
      <c r="L243" s="316">
        <v>27.92</v>
      </c>
      <c r="M243" s="316">
        <v>0</v>
      </c>
      <c r="N243" s="316">
        <v>61.51</v>
      </c>
      <c r="O243" s="316">
        <v>89.43</v>
      </c>
      <c r="P243" s="317">
        <v>1.5380132803310647E-4</v>
      </c>
    </row>
    <row r="244" spans="1:16" ht="36" customHeight="1" x14ac:dyDescent="0.4">
      <c r="A244" s="313" t="s">
        <v>1745</v>
      </c>
      <c r="B244" s="313" t="s">
        <v>526</v>
      </c>
      <c r="C244" s="313" t="s">
        <v>5902</v>
      </c>
      <c r="D244" s="313" t="s">
        <v>530</v>
      </c>
      <c r="E244" s="314" t="s">
        <v>7</v>
      </c>
      <c r="F244" s="315">
        <v>1</v>
      </c>
      <c r="G244" s="316">
        <v>144.36000000000001</v>
      </c>
      <c r="H244" s="316">
        <v>41.87</v>
      </c>
      <c r="I244" s="316">
        <v>0</v>
      </c>
      <c r="J244" s="316">
        <v>102.49</v>
      </c>
      <c r="K244" s="316">
        <v>144.36000000000001</v>
      </c>
      <c r="L244" s="316">
        <v>41.87</v>
      </c>
      <c r="M244" s="316">
        <v>0</v>
      </c>
      <c r="N244" s="316">
        <v>102.49</v>
      </c>
      <c r="O244" s="316">
        <v>144.36000000000001</v>
      </c>
      <c r="P244" s="317">
        <v>2.4826970496320307E-4</v>
      </c>
    </row>
    <row r="245" spans="1:16" ht="36" customHeight="1" x14ac:dyDescent="0.4">
      <c r="A245" s="313" t="s">
        <v>1747</v>
      </c>
      <c r="B245" s="313">
        <v>11548</v>
      </c>
      <c r="C245" s="313" t="s">
        <v>420</v>
      </c>
      <c r="D245" s="313" t="s">
        <v>421</v>
      </c>
      <c r="E245" s="314" t="s">
        <v>422</v>
      </c>
      <c r="F245" s="315">
        <v>1</v>
      </c>
      <c r="G245" s="316">
        <v>38.71</v>
      </c>
      <c r="H245" s="316">
        <v>7.21</v>
      </c>
      <c r="I245" s="316">
        <v>0</v>
      </c>
      <c r="J245" s="316">
        <v>31.5</v>
      </c>
      <c r="K245" s="316">
        <v>38.71</v>
      </c>
      <c r="L245" s="316">
        <v>7.21</v>
      </c>
      <c r="M245" s="316">
        <v>0</v>
      </c>
      <c r="N245" s="316">
        <v>31.5</v>
      </c>
      <c r="O245" s="316">
        <v>38.71</v>
      </c>
      <c r="P245" s="317">
        <v>6.6573290933261234E-5</v>
      </c>
    </row>
    <row r="246" spans="1:16" ht="36" customHeight="1" x14ac:dyDescent="0.4">
      <c r="A246" s="313" t="s">
        <v>1749</v>
      </c>
      <c r="B246" s="313">
        <v>11549</v>
      </c>
      <c r="C246" s="313" t="s">
        <v>420</v>
      </c>
      <c r="D246" s="313" t="s">
        <v>423</v>
      </c>
      <c r="E246" s="314" t="s">
        <v>422</v>
      </c>
      <c r="F246" s="315">
        <v>1</v>
      </c>
      <c r="G246" s="316">
        <v>26.76</v>
      </c>
      <c r="H246" s="316">
        <v>7.21</v>
      </c>
      <c r="I246" s="316">
        <v>0</v>
      </c>
      <c r="J246" s="316">
        <v>19.55</v>
      </c>
      <c r="K246" s="316">
        <v>26.76</v>
      </c>
      <c r="L246" s="316">
        <v>7.21</v>
      </c>
      <c r="M246" s="316">
        <v>0</v>
      </c>
      <c r="N246" s="316">
        <v>19.55</v>
      </c>
      <c r="O246" s="316">
        <v>26.76</v>
      </c>
      <c r="P246" s="317">
        <v>4.6021732507725922E-5</v>
      </c>
    </row>
    <row r="247" spans="1:16" ht="60" customHeight="1" x14ac:dyDescent="0.4">
      <c r="A247" s="313" t="s">
        <v>1751</v>
      </c>
      <c r="B247" s="313" t="s">
        <v>430</v>
      </c>
      <c r="C247" s="313" t="s">
        <v>431</v>
      </c>
      <c r="D247" s="313" t="s">
        <v>432</v>
      </c>
      <c r="E247" s="314" t="s">
        <v>4</v>
      </c>
      <c r="F247" s="315">
        <v>1</v>
      </c>
      <c r="G247" s="316">
        <v>13.4</v>
      </c>
      <c r="H247" s="316">
        <v>6.46</v>
      </c>
      <c r="I247" s="316">
        <v>0</v>
      </c>
      <c r="J247" s="316">
        <v>6.94</v>
      </c>
      <c r="K247" s="316">
        <v>13.4</v>
      </c>
      <c r="L247" s="316">
        <v>6.46</v>
      </c>
      <c r="M247" s="316">
        <v>0</v>
      </c>
      <c r="N247" s="316">
        <v>6.94</v>
      </c>
      <c r="O247" s="316">
        <v>13.4</v>
      </c>
      <c r="P247" s="317">
        <v>2.3045262167545865E-5</v>
      </c>
    </row>
    <row r="248" spans="1:16" ht="60" customHeight="1" x14ac:dyDescent="0.4">
      <c r="A248" s="313" t="s">
        <v>1753</v>
      </c>
      <c r="B248" s="313">
        <v>95745</v>
      </c>
      <c r="C248" s="313" t="s">
        <v>395</v>
      </c>
      <c r="D248" s="313" t="s">
        <v>21</v>
      </c>
      <c r="E248" s="314" t="s">
        <v>7</v>
      </c>
      <c r="F248" s="315">
        <v>1</v>
      </c>
      <c r="G248" s="316">
        <v>32.14</v>
      </c>
      <c r="H248" s="316">
        <v>14.14</v>
      </c>
      <c r="I248" s="316">
        <v>1.05</v>
      </c>
      <c r="J248" s="316">
        <v>16.95</v>
      </c>
      <c r="K248" s="316">
        <v>32.14</v>
      </c>
      <c r="L248" s="316">
        <v>14.14</v>
      </c>
      <c r="M248" s="316">
        <v>1.05</v>
      </c>
      <c r="N248" s="316">
        <v>16.95</v>
      </c>
      <c r="O248" s="316">
        <v>32.14</v>
      </c>
      <c r="P248" s="317">
        <v>5.5274233288427177E-5</v>
      </c>
    </row>
    <row r="249" spans="1:16" ht="24" customHeight="1" x14ac:dyDescent="0.4">
      <c r="A249" s="313" t="s">
        <v>1755</v>
      </c>
      <c r="B249" s="313">
        <v>95746</v>
      </c>
      <c r="C249" s="313" t="s">
        <v>395</v>
      </c>
      <c r="D249" s="313" t="s">
        <v>22</v>
      </c>
      <c r="E249" s="314" t="s">
        <v>7</v>
      </c>
      <c r="F249" s="315">
        <v>1</v>
      </c>
      <c r="G249" s="316">
        <v>48.62</v>
      </c>
      <c r="H249" s="316">
        <v>15.92</v>
      </c>
      <c r="I249" s="316">
        <v>1.22</v>
      </c>
      <c r="J249" s="316">
        <v>31.48</v>
      </c>
      <c r="K249" s="316">
        <v>48.62</v>
      </c>
      <c r="L249" s="316">
        <v>15.92</v>
      </c>
      <c r="M249" s="316">
        <v>1.22</v>
      </c>
      <c r="N249" s="316">
        <v>31.48</v>
      </c>
      <c r="O249" s="316">
        <v>48.62</v>
      </c>
      <c r="P249" s="317">
        <v>8.3616466163140296E-5</v>
      </c>
    </row>
    <row r="250" spans="1:16" ht="24" customHeight="1" x14ac:dyDescent="0.4">
      <c r="A250" s="313" t="s">
        <v>1756</v>
      </c>
      <c r="B250" s="313">
        <v>97549</v>
      </c>
      <c r="C250" s="313" t="s">
        <v>395</v>
      </c>
      <c r="D250" s="313" t="s">
        <v>5952</v>
      </c>
      <c r="E250" s="314" t="s">
        <v>4</v>
      </c>
      <c r="F250" s="315">
        <v>1</v>
      </c>
      <c r="G250" s="316">
        <v>62.5</v>
      </c>
      <c r="H250" s="316">
        <v>25.81</v>
      </c>
      <c r="I250" s="316">
        <v>2.13</v>
      </c>
      <c r="J250" s="316">
        <v>34.56</v>
      </c>
      <c r="K250" s="316">
        <v>62.5</v>
      </c>
      <c r="L250" s="316">
        <v>25.81</v>
      </c>
      <c r="M250" s="316">
        <v>2.13</v>
      </c>
      <c r="N250" s="316">
        <v>34.56</v>
      </c>
      <c r="O250" s="316">
        <v>62.5</v>
      </c>
      <c r="P250" s="317">
        <v>1.0748723025907587E-4</v>
      </c>
    </row>
    <row r="251" spans="1:16" ht="24" customHeight="1" x14ac:dyDescent="0.4">
      <c r="A251" s="313" t="s">
        <v>1758</v>
      </c>
      <c r="B251" s="313">
        <v>97551</v>
      </c>
      <c r="C251" s="313" t="s">
        <v>395</v>
      </c>
      <c r="D251" s="313" t="s">
        <v>5953</v>
      </c>
      <c r="E251" s="314" t="s">
        <v>4</v>
      </c>
      <c r="F251" s="315">
        <v>1</v>
      </c>
      <c r="G251" s="316">
        <v>106.85</v>
      </c>
      <c r="H251" s="316">
        <v>50.19</v>
      </c>
      <c r="I251" s="316">
        <v>4.1100000000000003</v>
      </c>
      <c r="J251" s="316">
        <v>52.55</v>
      </c>
      <c r="K251" s="316">
        <v>106.85</v>
      </c>
      <c r="L251" s="316">
        <v>50.19</v>
      </c>
      <c r="M251" s="316">
        <v>4.1100000000000003</v>
      </c>
      <c r="N251" s="316">
        <v>52.55</v>
      </c>
      <c r="O251" s="316">
        <v>106.85</v>
      </c>
      <c r="P251" s="317">
        <v>1.8376016885091609E-4</v>
      </c>
    </row>
    <row r="252" spans="1:16" ht="24" customHeight="1" x14ac:dyDescent="0.4">
      <c r="A252" s="313" t="s">
        <v>1759</v>
      </c>
      <c r="B252" s="313">
        <v>95727</v>
      </c>
      <c r="C252" s="313" t="s">
        <v>395</v>
      </c>
      <c r="D252" s="313" t="s">
        <v>5954</v>
      </c>
      <c r="E252" s="314" t="s">
        <v>7</v>
      </c>
      <c r="F252" s="315">
        <v>1</v>
      </c>
      <c r="G252" s="316">
        <v>21.7</v>
      </c>
      <c r="H252" s="316">
        <v>11.97</v>
      </c>
      <c r="I252" s="316">
        <v>0.85</v>
      </c>
      <c r="J252" s="316">
        <v>8.8800000000000008</v>
      </c>
      <c r="K252" s="316">
        <v>21.7</v>
      </c>
      <c r="L252" s="316">
        <v>11.97</v>
      </c>
      <c r="M252" s="316">
        <v>0.85</v>
      </c>
      <c r="N252" s="316">
        <v>8.8800000000000008</v>
      </c>
      <c r="O252" s="316">
        <v>21.7</v>
      </c>
      <c r="P252" s="317">
        <v>3.731956634595114E-5</v>
      </c>
    </row>
    <row r="253" spans="1:16" ht="36" customHeight="1" x14ac:dyDescent="0.4">
      <c r="A253" s="313" t="s">
        <v>1762</v>
      </c>
      <c r="B253" s="313">
        <v>95728</v>
      </c>
      <c r="C253" s="313" t="s">
        <v>395</v>
      </c>
      <c r="D253" s="313" t="s">
        <v>5955</v>
      </c>
      <c r="E253" s="314" t="s">
        <v>7</v>
      </c>
      <c r="F253" s="315">
        <v>1</v>
      </c>
      <c r="G253" s="316">
        <v>24.02</v>
      </c>
      <c r="H253" s="316">
        <v>12.57</v>
      </c>
      <c r="I253" s="316">
        <v>0.9</v>
      </c>
      <c r="J253" s="316">
        <v>10.55</v>
      </c>
      <c r="K253" s="316">
        <v>24.02</v>
      </c>
      <c r="L253" s="316">
        <v>12.57</v>
      </c>
      <c r="M253" s="316">
        <v>0.9</v>
      </c>
      <c r="N253" s="316">
        <v>10.55</v>
      </c>
      <c r="O253" s="316">
        <v>24.02</v>
      </c>
      <c r="P253" s="317">
        <v>4.1309492333168036E-5</v>
      </c>
    </row>
    <row r="254" spans="1:16" ht="36" customHeight="1" x14ac:dyDescent="0.4">
      <c r="A254" s="313" t="s">
        <v>1764</v>
      </c>
      <c r="B254" s="313">
        <v>624</v>
      </c>
      <c r="C254" s="313" t="s">
        <v>575</v>
      </c>
      <c r="D254" s="313" t="s">
        <v>2068</v>
      </c>
      <c r="E254" s="314" t="s">
        <v>4</v>
      </c>
      <c r="F254" s="315">
        <v>1</v>
      </c>
      <c r="G254" s="316">
        <v>518.66</v>
      </c>
      <c r="H254" s="316">
        <v>63.88</v>
      </c>
      <c r="I254" s="316">
        <v>5.58</v>
      </c>
      <c r="J254" s="316">
        <v>449.2</v>
      </c>
      <c r="K254" s="316">
        <v>518.66</v>
      </c>
      <c r="L254" s="316">
        <v>63.88</v>
      </c>
      <c r="M254" s="316">
        <v>5.58</v>
      </c>
      <c r="N254" s="316">
        <v>449.2</v>
      </c>
      <c r="O254" s="316">
        <v>518.66</v>
      </c>
      <c r="P254" s="317">
        <v>8.9198922953875664E-4</v>
      </c>
    </row>
    <row r="255" spans="1:16" ht="36" customHeight="1" x14ac:dyDescent="0.4">
      <c r="A255" s="313" t="s">
        <v>1767</v>
      </c>
      <c r="B255" s="313">
        <v>625</v>
      </c>
      <c r="C255" s="313" t="s">
        <v>575</v>
      </c>
      <c r="D255" s="313" t="s">
        <v>2070</v>
      </c>
      <c r="E255" s="314" t="s">
        <v>4</v>
      </c>
      <c r="F255" s="315">
        <v>1</v>
      </c>
      <c r="G255" s="316">
        <v>538.51</v>
      </c>
      <c r="H255" s="316">
        <v>63.88</v>
      </c>
      <c r="I255" s="316">
        <v>5.58</v>
      </c>
      <c r="J255" s="316">
        <v>469.05</v>
      </c>
      <c r="K255" s="316">
        <v>538.51</v>
      </c>
      <c r="L255" s="316">
        <v>63.88</v>
      </c>
      <c r="M255" s="316">
        <v>5.58</v>
      </c>
      <c r="N255" s="316">
        <v>469.05</v>
      </c>
      <c r="O255" s="316">
        <v>538.51</v>
      </c>
      <c r="P255" s="317">
        <v>9.2612717386903918E-4</v>
      </c>
    </row>
    <row r="256" spans="1:16" ht="36" customHeight="1" x14ac:dyDescent="0.4">
      <c r="A256" s="313" t="s">
        <v>1772</v>
      </c>
      <c r="B256" s="313" t="s">
        <v>434</v>
      </c>
      <c r="C256" s="313" t="s">
        <v>5902</v>
      </c>
      <c r="D256" s="313" t="s">
        <v>435</v>
      </c>
      <c r="E256" s="314" t="s">
        <v>7</v>
      </c>
      <c r="F256" s="315">
        <v>1</v>
      </c>
      <c r="G256" s="316">
        <v>4.8600000000000003</v>
      </c>
      <c r="H256" s="316">
        <v>2.23</v>
      </c>
      <c r="I256" s="316">
        <v>0</v>
      </c>
      <c r="J256" s="316">
        <v>2.63</v>
      </c>
      <c r="K256" s="316">
        <v>4.8600000000000003</v>
      </c>
      <c r="L256" s="316">
        <v>2.23</v>
      </c>
      <c r="M256" s="316">
        <v>0</v>
      </c>
      <c r="N256" s="316">
        <v>2.63</v>
      </c>
      <c r="O256" s="316">
        <v>4.8600000000000003</v>
      </c>
      <c r="P256" s="317">
        <v>8.3582070249457402E-6</v>
      </c>
    </row>
    <row r="257" spans="1:16" ht="36" customHeight="1" x14ac:dyDescent="0.4">
      <c r="A257" s="313" t="s">
        <v>1773</v>
      </c>
      <c r="B257" s="313" t="s">
        <v>1800</v>
      </c>
      <c r="C257" s="313" t="s">
        <v>5902</v>
      </c>
      <c r="D257" s="313" t="s">
        <v>1818</v>
      </c>
      <c r="E257" s="314" t="s">
        <v>7</v>
      </c>
      <c r="F257" s="315">
        <v>1</v>
      </c>
      <c r="G257" s="316">
        <v>10.23</v>
      </c>
      <c r="H257" s="316">
        <v>3.91</v>
      </c>
      <c r="I257" s="316">
        <v>0</v>
      </c>
      <c r="J257" s="316">
        <v>6.32</v>
      </c>
      <c r="K257" s="316">
        <v>10.23</v>
      </c>
      <c r="L257" s="316">
        <v>3.91</v>
      </c>
      <c r="M257" s="316">
        <v>0</v>
      </c>
      <c r="N257" s="316">
        <v>6.32</v>
      </c>
      <c r="O257" s="316">
        <v>10.23</v>
      </c>
      <c r="P257" s="317">
        <v>1.7593509848805538E-5</v>
      </c>
    </row>
    <row r="258" spans="1:16" ht="36" customHeight="1" x14ac:dyDescent="0.4">
      <c r="A258" s="313" t="s">
        <v>1774</v>
      </c>
      <c r="B258" s="313">
        <v>611</v>
      </c>
      <c r="C258" s="313" t="s">
        <v>575</v>
      </c>
      <c r="D258" s="313" t="s">
        <v>1840</v>
      </c>
      <c r="E258" s="314" t="s">
        <v>4</v>
      </c>
      <c r="F258" s="315">
        <v>1</v>
      </c>
      <c r="G258" s="316">
        <v>9040.7000000000007</v>
      </c>
      <c r="H258" s="316">
        <v>0</v>
      </c>
      <c r="I258" s="316">
        <v>0</v>
      </c>
      <c r="J258" s="316">
        <v>9040.7000000000007</v>
      </c>
      <c r="K258" s="316">
        <v>9040.7000000000007</v>
      </c>
      <c r="L258" s="316">
        <v>0</v>
      </c>
      <c r="M258" s="316">
        <v>0</v>
      </c>
      <c r="N258" s="316">
        <v>9040.7000000000007</v>
      </c>
      <c r="O258" s="316">
        <v>9040.7000000000007</v>
      </c>
      <c r="P258" s="317">
        <v>1.5548156841651636E-2</v>
      </c>
    </row>
    <row r="259" spans="1:16" ht="24" customHeight="1" x14ac:dyDescent="0.4">
      <c r="A259" s="313" t="s">
        <v>1775</v>
      </c>
      <c r="B259" s="313" t="s">
        <v>523</v>
      </c>
      <c r="C259" s="313" t="s">
        <v>5902</v>
      </c>
      <c r="D259" s="313" t="s">
        <v>524</v>
      </c>
      <c r="E259" s="314" t="s">
        <v>4</v>
      </c>
      <c r="F259" s="315">
        <v>1</v>
      </c>
      <c r="G259" s="316">
        <v>11.5</v>
      </c>
      <c r="H259" s="316">
        <v>1.82</v>
      </c>
      <c r="I259" s="316">
        <v>0</v>
      </c>
      <c r="J259" s="316">
        <v>9.68</v>
      </c>
      <c r="K259" s="316">
        <v>11.5</v>
      </c>
      <c r="L259" s="316">
        <v>1.82</v>
      </c>
      <c r="M259" s="316">
        <v>0</v>
      </c>
      <c r="N259" s="316">
        <v>9.68</v>
      </c>
      <c r="O259" s="316">
        <v>11.5</v>
      </c>
      <c r="P259" s="317">
        <v>1.977765036766996E-5</v>
      </c>
    </row>
    <row r="260" spans="1:16" ht="24" customHeight="1" x14ac:dyDescent="0.4">
      <c r="A260" s="313" t="s">
        <v>1776</v>
      </c>
      <c r="B260" s="313">
        <v>91944</v>
      </c>
      <c r="C260" s="313" t="s">
        <v>395</v>
      </c>
      <c r="D260" s="313" t="s">
        <v>5945</v>
      </c>
      <c r="E260" s="314" t="s">
        <v>4</v>
      </c>
      <c r="F260" s="315">
        <v>1</v>
      </c>
      <c r="G260" s="316">
        <v>20.2</v>
      </c>
      <c r="H260" s="316">
        <v>9.64</v>
      </c>
      <c r="I260" s="316">
        <v>0.86</v>
      </c>
      <c r="J260" s="316">
        <v>9.6999999999999993</v>
      </c>
      <c r="K260" s="316">
        <v>20.2</v>
      </c>
      <c r="L260" s="316">
        <v>9.64</v>
      </c>
      <c r="M260" s="316">
        <v>0.86</v>
      </c>
      <c r="N260" s="316">
        <v>9.6999999999999993</v>
      </c>
      <c r="O260" s="316">
        <v>20.2</v>
      </c>
      <c r="P260" s="317">
        <v>3.4739872819733319E-5</v>
      </c>
    </row>
    <row r="261" spans="1:16" ht="24" customHeight="1" x14ac:dyDescent="0.4">
      <c r="A261" s="313" t="s">
        <v>1777</v>
      </c>
      <c r="B261" s="313">
        <v>91837</v>
      </c>
      <c r="C261" s="313" t="s">
        <v>395</v>
      </c>
      <c r="D261" s="313" t="s">
        <v>5956</v>
      </c>
      <c r="E261" s="314" t="s">
        <v>7</v>
      </c>
      <c r="F261" s="315">
        <v>1</v>
      </c>
      <c r="G261" s="316">
        <v>28.66</v>
      </c>
      <c r="H261" s="316">
        <v>13.45</v>
      </c>
      <c r="I261" s="316">
        <v>1</v>
      </c>
      <c r="J261" s="316">
        <v>14.21</v>
      </c>
      <c r="K261" s="316">
        <v>28.66</v>
      </c>
      <c r="L261" s="316">
        <v>13.45</v>
      </c>
      <c r="M261" s="316">
        <v>1</v>
      </c>
      <c r="N261" s="316">
        <v>14.21</v>
      </c>
      <c r="O261" s="316">
        <v>28.66</v>
      </c>
      <c r="P261" s="317">
        <v>4.9289344307601834E-5</v>
      </c>
    </row>
    <row r="262" spans="1:16" ht="24" customHeight="1" x14ac:dyDescent="0.4">
      <c r="A262" s="313" t="s">
        <v>1778</v>
      </c>
      <c r="B262" s="313">
        <v>95758</v>
      </c>
      <c r="C262" s="313" t="s">
        <v>395</v>
      </c>
      <c r="D262" s="313" t="s">
        <v>25</v>
      </c>
      <c r="E262" s="314" t="s">
        <v>4</v>
      </c>
      <c r="F262" s="315">
        <v>1</v>
      </c>
      <c r="G262" s="316">
        <v>17.47</v>
      </c>
      <c r="H262" s="316">
        <v>11.32</v>
      </c>
      <c r="I262" s="316">
        <v>1</v>
      </c>
      <c r="J262" s="316">
        <v>5.15</v>
      </c>
      <c r="K262" s="316">
        <v>17.47</v>
      </c>
      <c r="L262" s="316">
        <v>11.32</v>
      </c>
      <c r="M262" s="316">
        <v>1</v>
      </c>
      <c r="N262" s="316">
        <v>5.15</v>
      </c>
      <c r="O262" s="316">
        <v>17.47</v>
      </c>
      <c r="P262" s="317">
        <v>3.0044830602016886E-5</v>
      </c>
    </row>
    <row r="263" spans="1:16" ht="24" customHeight="1" x14ac:dyDescent="0.4">
      <c r="A263" s="313" t="s">
        <v>1779</v>
      </c>
      <c r="B263" s="313">
        <v>97551</v>
      </c>
      <c r="C263" s="313" t="s">
        <v>395</v>
      </c>
      <c r="D263" s="313" t="s">
        <v>5953</v>
      </c>
      <c r="E263" s="314" t="s">
        <v>4</v>
      </c>
      <c r="F263" s="315">
        <v>1</v>
      </c>
      <c r="G263" s="316">
        <v>106.85</v>
      </c>
      <c r="H263" s="316">
        <v>50.19</v>
      </c>
      <c r="I263" s="316">
        <v>4.1100000000000003</v>
      </c>
      <c r="J263" s="316">
        <v>52.55</v>
      </c>
      <c r="K263" s="316">
        <v>106.85</v>
      </c>
      <c r="L263" s="316">
        <v>50.19</v>
      </c>
      <c r="M263" s="316">
        <v>4.1100000000000003</v>
      </c>
      <c r="N263" s="316">
        <v>52.55</v>
      </c>
      <c r="O263" s="316">
        <v>106.85</v>
      </c>
      <c r="P263" s="317">
        <v>1.8376016885091609E-4</v>
      </c>
    </row>
    <row r="264" spans="1:16" ht="36" customHeight="1" x14ac:dyDescent="0.4">
      <c r="A264" s="313" t="s">
        <v>1780</v>
      </c>
      <c r="B264" s="313">
        <v>95746</v>
      </c>
      <c r="C264" s="313" t="s">
        <v>395</v>
      </c>
      <c r="D264" s="313" t="s">
        <v>22</v>
      </c>
      <c r="E264" s="314" t="s">
        <v>7</v>
      </c>
      <c r="F264" s="315">
        <v>1</v>
      </c>
      <c r="G264" s="316">
        <v>48.62</v>
      </c>
      <c r="H264" s="316">
        <v>15.92</v>
      </c>
      <c r="I264" s="316">
        <v>1.22</v>
      </c>
      <c r="J264" s="316">
        <v>31.48</v>
      </c>
      <c r="K264" s="316">
        <v>48.62</v>
      </c>
      <c r="L264" s="316">
        <v>15.92</v>
      </c>
      <c r="M264" s="316">
        <v>1.22</v>
      </c>
      <c r="N264" s="316">
        <v>31.48</v>
      </c>
      <c r="O264" s="316">
        <v>48.62</v>
      </c>
      <c r="P264" s="317">
        <v>8.3616466163140296E-5</v>
      </c>
    </row>
    <row r="265" spans="1:16" ht="36" customHeight="1" x14ac:dyDescent="0.4">
      <c r="A265" s="313" t="s">
        <v>1781</v>
      </c>
      <c r="B265" s="313">
        <v>11303</v>
      </c>
      <c r="C265" s="313" t="s">
        <v>420</v>
      </c>
      <c r="D265" s="313" t="s">
        <v>592</v>
      </c>
      <c r="E265" s="314" t="s">
        <v>422</v>
      </c>
      <c r="F265" s="315">
        <v>1</v>
      </c>
      <c r="G265" s="316">
        <v>7</v>
      </c>
      <c r="H265" s="316">
        <v>1.1499999999999999</v>
      </c>
      <c r="I265" s="316">
        <v>0</v>
      </c>
      <c r="J265" s="316">
        <v>5.85</v>
      </c>
      <c r="K265" s="316">
        <v>7</v>
      </c>
      <c r="L265" s="316">
        <v>1.1499999999999999</v>
      </c>
      <c r="M265" s="316">
        <v>0</v>
      </c>
      <c r="N265" s="316">
        <v>5.85</v>
      </c>
      <c r="O265" s="316">
        <v>7</v>
      </c>
      <c r="P265" s="317">
        <v>1.2038569789016497E-5</v>
      </c>
    </row>
    <row r="266" spans="1:16" ht="36" customHeight="1" x14ac:dyDescent="0.4">
      <c r="A266" s="313" t="s">
        <v>1782</v>
      </c>
      <c r="B266" s="313">
        <v>724</v>
      </c>
      <c r="C266" s="313" t="s">
        <v>420</v>
      </c>
      <c r="D266" s="313" t="s">
        <v>593</v>
      </c>
      <c r="E266" s="314" t="s">
        <v>422</v>
      </c>
      <c r="F266" s="315">
        <v>1</v>
      </c>
      <c r="G266" s="316">
        <v>6.86</v>
      </c>
      <c r="H266" s="316">
        <v>4.32</v>
      </c>
      <c r="I266" s="316">
        <v>0</v>
      </c>
      <c r="J266" s="316">
        <v>2.54</v>
      </c>
      <c r="K266" s="316">
        <v>6.86</v>
      </c>
      <c r="L266" s="316">
        <v>4.32</v>
      </c>
      <c r="M266" s="316">
        <v>0</v>
      </c>
      <c r="N266" s="316">
        <v>2.54</v>
      </c>
      <c r="O266" s="316">
        <v>6.86</v>
      </c>
      <c r="P266" s="317">
        <v>1.1797798393236168E-5</v>
      </c>
    </row>
    <row r="267" spans="1:16" ht="36" customHeight="1" x14ac:dyDescent="0.4">
      <c r="A267" s="313" t="s">
        <v>1783</v>
      </c>
      <c r="B267" s="313">
        <v>8351</v>
      </c>
      <c r="C267" s="313" t="s">
        <v>420</v>
      </c>
      <c r="D267" s="313" t="s">
        <v>448</v>
      </c>
      <c r="E267" s="314" t="s">
        <v>422</v>
      </c>
      <c r="F267" s="315">
        <v>1</v>
      </c>
      <c r="G267" s="316">
        <v>4.59</v>
      </c>
      <c r="H267" s="316">
        <v>3.61</v>
      </c>
      <c r="I267" s="316">
        <v>0</v>
      </c>
      <c r="J267" s="316">
        <v>0.98</v>
      </c>
      <c r="K267" s="316">
        <v>4.59</v>
      </c>
      <c r="L267" s="316">
        <v>3.61</v>
      </c>
      <c r="M267" s="316">
        <v>0</v>
      </c>
      <c r="N267" s="316">
        <v>0.98</v>
      </c>
      <c r="O267" s="316">
        <v>4.59</v>
      </c>
      <c r="P267" s="317">
        <v>7.8938621902265324E-6</v>
      </c>
    </row>
    <row r="268" spans="1:16" ht="24" customHeight="1" x14ac:dyDescent="0.4">
      <c r="A268" s="313" t="s">
        <v>1784</v>
      </c>
      <c r="B268" s="313">
        <v>12495</v>
      </c>
      <c r="C268" s="313" t="s">
        <v>420</v>
      </c>
      <c r="D268" s="313" t="s">
        <v>449</v>
      </c>
      <c r="E268" s="314" t="s">
        <v>422</v>
      </c>
      <c r="F268" s="315">
        <v>1</v>
      </c>
      <c r="G268" s="316">
        <v>5.38</v>
      </c>
      <c r="H268" s="316">
        <v>3.61</v>
      </c>
      <c r="I268" s="316">
        <v>0</v>
      </c>
      <c r="J268" s="316">
        <v>1.77</v>
      </c>
      <c r="K268" s="316">
        <v>5.38</v>
      </c>
      <c r="L268" s="316">
        <v>3.61</v>
      </c>
      <c r="M268" s="316">
        <v>0</v>
      </c>
      <c r="N268" s="316">
        <v>1.77</v>
      </c>
      <c r="O268" s="316">
        <v>5.38</v>
      </c>
      <c r="P268" s="317">
        <v>9.2525007807012516E-6</v>
      </c>
    </row>
    <row r="269" spans="1:16" ht="24" customHeight="1" x14ac:dyDescent="0.4">
      <c r="A269" s="313" t="s">
        <v>1785</v>
      </c>
      <c r="B269" s="313">
        <v>12538</v>
      </c>
      <c r="C269" s="313" t="s">
        <v>420</v>
      </c>
      <c r="D269" s="313" t="s">
        <v>594</v>
      </c>
      <c r="E269" s="314" t="s">
        <v>422</v>
      </c>
      <c r="F269" s="315">
        <v>1</v>
      </c>
      <c r="G269" s="316">
        <v>0.49</v>
      </c>
      <c r="H269" s="316">
        <v>0.36</v>
      </c>
      <c r="I269" s="316">
        <v>0</v>
      </c>
      <c r="J269" s="316">
        <v>0.13</v>
      </c>
      <c r="K269" s="316">
        <v>0.49</v>
      </c>
      <c r="L269" s="316">
        <v>0.36</v>
      </c>
      <c r="M269" s="316">
        <v>0</v>
      </c>
      <c r="N269" s="316">
        <v>0.13</v>
      </c>
      <c r="O269" s="316">
        <v>0.49</v>
      </c>
      <c r="P269" s="317">
        <v>8.4269988523115476E-7</v>
      </c>
    </row>
    <row r="270" spans="1:16" ht="24" customHeight="1" x14ac:dyDescent="0.4">
      <c r="A270" s="313" t="s">
        <v>1792</v>
      </c>
      <c r="B270" s="313" t="s">
        <v>523</v>
      </c>
      <c r="C270" s="313" t="s">
        <v>5902</v>
      </c>
      <c r="D270" s="313" t="s">
        <v>524</v>
      </c>
      <c r="E270" s="314" t="s">
        <v>4</v>
      </c>
      <c r="F270" s="315">
        <v>1</v>
      </c>
      <c r="G270" s="316">
        <v>11.5</v>
      </c>
      <c r="H270" s="316">
        <v>1.82</v>
      </c>
      <c r="I270" s="316">
        <v>0</v>
      </c>
      <c r="J270" s="316">
        <v>9.68</v>
      </c>
      <c r="K270" s="316">
        <v>11.5</v>
      </c>
      <c r="L270" s="316">
        <v>1.82</v>
      </c>
      <c r="M270" s="316">
        <v>0</v>
      </c>
      <c r="N270" s="316">
        <v>9.68</v>
      </c>
      <c r="O270" s="316">
        <v>11.5</v>
      </c>
      <c r="P270" s="317">
        <v>1.977765036766996E-5</v>
      </c>
    </row>
    <row r="271" spans="1:16" ht="24" customHeight="1" x14ac:dyDescent="0.4">
      <c r="A271" s="313" t="s">
        <v>1786</v>
      </c>
      <c r="B271" s="313">
        <v>91944</v>
      </c>
      <c r="C271" s="313" t="s">
        <v>395</v>
      </c>
      <c r="D271" s="313" t="s">
        <v>5945</v>
      </c>
      <c r="E271" s="314" t="s">
        <v>4</v>
      </c>
      <c r="F271" s="315">
        <v>1</v>
      </c>
      <c r="G271" s="316">
        <v>20.2</v>
      </c>
      <c r="H271" s="316">
        <v>9.64</v>
      </c>
      <c r="I271" s="316">
        <v>0.86</v>
      </c>
      <c r="J271" s="316">
        <v>9.6999999999999993</v>
      </c>
      <c r="K271" s="316">
        <v>20.2</v>
      </c>
      <c r="L271" s="316">
        <v>9.64</v>
      </c>
      <c r="M271" s="316">
        <v>0.86</v>
      </c>
      <c r="N271" s="316">
        <v>9.6999999999999993</v>
      </c>
      <c r="O271" s="316">
        <v>20.2</v>
      </c>
      <c r="P271" s="317">
        <v>3.4739872819733319E-5</v>
      </c>
    </row>
    <row r="272" spans="1:16" ht="24" customHeight="1" x14ac:dyDescent="0.4">
      <c r="A272" s="313" t="s">
        <v>1788</v>
      </c>
      <c r="B272" s="313">
        <v>97551</v>
      </c>
      <c r="C272" s="313" t="s">
        <v>395</v>
      </c>
      <c r="D272" s="313" t="s">
        <v>5953</v>
      </c>
      <c r="E272" s="314" t="s">
        <v>4</v>
      </c>
      <c r="F272" s="315">
        <v>1</v>
      </c>
      <c r="G272" s="316">
        <v>106.85</v>
      </c>
      <c r="H272" s="316">
        <v>50.19</v>
      </c>
      <c r="I272" s="316">
        <v>4.1100000000000003</v>
      </c>
      <c r="J272" s="316">
        <v>52.55</v>
      </c>
      <c r="K272" s="316">
        <v>106.85</v>
      </c>
      <c r="L272" s="316">
        <v>50.19</v>
      </c>
      <c r="M272" s="316">
        <v>4.1100000000000003</v>
      </c>
      <c r="N272" s="316">
        <v>52.55</v>
      </c>
      <c r="O272" s="316">
        <v>106.85</v>
      </c>
      <c r="P272" s="317">
        <v>1.8376016885091609E-4</v>
      </c>
    </row>
    <row r="273" spans="1:16" ht="24" customHeight="1" x14ac:dyDescent="0.4">
      <c r="A273" s="313" t="s">
        <v>1790</v>
      </c>
      <c r="B273" s="313">
        <v>95750</v>
      </c>
      <c r="C273" s="313" t="s">
        <v>395</v>
      </c>
      <c r="D273" s="313" t="s">
        <v>24</v>
      </c>
      <c r="E273" s="314" t="s">
        <v>7</v>
      </c>
      <c r="F273" s="315">
        <v>1</v>
      </c>
      <c r="G273" s="316">
        <v>55.6</v>
      </c>
      <c r="H273" s="316">
        <v>21.47</v>
      </c>
      <c r="I273" s="316">
        <v>1.75</v>
      </c>
      <c r="J273" s="316">
        <v>32.380000000000003</v>
      </c>
      <c r="K273" s="316">
        <v>55.6</v>
      </c>
      <c r="L273" s="316">
        <v>21.47</v>
      </c>
      <c r="M273" s="316">
        <v>1.75</v>
      </c>
      <c r="N273" s="316">
        <v>32.380000000000003</v>
      </c>
      <c r="O273" s="316">
        <v>55.6</v>
      </c>
      <c r="P273" s="317">
        <v>9.562064003847389E-5</v>
      </c>
    </row>
    <row r="274" spans="1:16" ht="24" customHeight="1" x14ac:dyDescent="0.4">
      <c r="A274" s="313" t="s">
        <v>1793</v>
      </c>
      <c r="B274" s="313">
        <v>11303</v>
      </c>
      <c r="C274" s="313" t="s">
        <v>420</v>
      </c>
      <c r="D274" s="313" t="s">
        <v>592</v>
      </c>
      <c r="E274" s="314" t="s">
        <v>422</v>
      </c>
      <c r="F274" s="315">
        <v>1</v>
      </c>
      <c r="G274" s="316">
        <v>7</v>
      </c>
      <c r="H274" s="316">
        <v>1.1499999999999999</v>
      </c>
      <c r="I274" s="316">
        <v>0</v>
      </c>
      <c r="J274" s="316">
        <v>5.85</v>
      </c>
      <c r="K274" s="316">
        <v>7</v>
      </c>
      <c r="L274" s="316">
        <v>1.1499999999999999</v>
      </c>
      <c r="M274" s="316">
        <v>0</v>
      </c>
      <c r="N274" s="316">
        <v>5.85</v>
      </c>
      <c r="O274" s="316">
        <v>7</v>
      </c>
      <c r="P274" s="317">
        <v>1.2038569789016497E-5</v>
      </c>
    </row>
    <row r="275" spans="1:16" ht="24" customHeight="1" x14ac:dyDescent="0.4">
      <c r="A275" s="313" t="s">
        <v>1794</v>
      </c>
      <c r="B275" s="313">
        <v>724</v>
      </c>
      <c r="C275" s="313" t="s">
        <v>420</v>
      </c>
      <c r="D275" s="313" t="s">
        <v>593</v>
      </c>
      <c r="E275" s="314" t="s">
        <v>422</v>
      </c>
      <c r="F275" s="315">
        <v>1</v>
      </c>
      <c r="G275" s="316">
        <v>6.86</v>
      </c>
      <c r="H275" s="316">
        <v>4.32</v>
      </c>
      <c r="I275" s="316">
        <v>0</v>
      </c>
      <c r="J275" s="316">
        <v>2.54</v>
      </c>
      <c r="K275" s="316">
        <v>6.86</v>
      </c>
      <c r="L275" s="316">
        <v>4.32</v>
      </c>
      <c r="M275" s="316">
        <v>0</v>
      </c>
      <c r="N275" s="316">
        <v>2.54</v>
      </c>
      <c r="O275" s="316">
        <v>6.86</v>
      </c>
      <c r="P275" s="317">
        <v>1.1797798393236168E-5</v>
      </c>
    </row>
    <row r="276" spans="1:16" ht="24" customHeight="1" x14ac:dyDescent="0.4">
      <c r="A276" s="313" t="s">
        <v>1796</v>
      </c>
      <c r="B276" s="313">
        <v>8351</v>
      </c>
      <c r="C276" s="313" t="s">
        <v>420</v>
      </c>
      <c r="D276" s="313" t="s">
        <v>448</v>
      </c>
      <c r="E276" s="314" t="s">
        <v>422</v>
      </c>
      <c r="F276" s="315">
        <v>1</v>
      </c>
      <c r="G276" s="316">
        <v>4.59</v>
      </c>
      <c r="H276" s="316">
        <v>3.61</v>
      </c>
      <c r="I276" s="316">
        <v>0</v>
      </c>
      <c r="J276" s="316">
        <v>0.98</v>
      </c>
      <c r="K276" s="316">
        <v>4.59</v>
      </c>
      <c r="L276" s="316">
        <v>3.61</v>
      </c>
      <c r="M276" s="316">
        <v>0</v>
      </c>
      <c r="N276" s="316">
        <v>0.98</v>
      </c>
      <c r="O276" s="316">
        <v>4.59</v>
      </c>
      <c r="P276" s="317">
        <v>7.8938621902265324E-6</v>
      </c>
    </row>
    <row r="277" spans="1:16" ht="24" customHeight="1" x14ac:dyDescent="0.4">
      <c r="A277" s="313" t="s">
        <v>955</v>
      </c>
      <c r="B277" s="313">
        <v>12495</v>
      </c>
      <c r="C277" s="313" t="s">
        <v>420</v>
      </c>
      <c r="D277" s="313" t="s">
        <v>449</v>
      </c>
      <c r="E277" s="314" t="s">
        <v>422</v>
      </c>
      <c r="F277" s="315">
        <v>1</v>
      </c>
      <c r="G277" s="316">
        <v>5.38</v>
      </c>
      <c r="H277" s="316">
        <v>3.61</v>
      </c>
      <c r="I277" s="316">
        <v>0</v>
      </c>
      <c r="J277" s="316">
        <v>1.77</v>
      </c>
      <c r="K277" s="316">
        <v>5.38</v>
      </c>
      <c r="L277" s="316">
        <v>3.61</v>
      </c>
      <c r="M277" s="316">
        <v>0</v>
      </c>
      <c r="N277" s="316">
        <v>1.77</v>
      </c>
      <c r="O277" s="316">
        <v>5.38</v>
      </c>
      <c r="P277" s="317">
        <v>9.2525007807012516E-6</v>
      </c>
    </row>
    <row r="278" spans="1:16" ht="48" customHeight="1" x14ac:dyDescent="0.4">
      <c r="A278" s="313" t="s">
        <v>1798</v>
      </c>
      <c r="B278" s="313">
        <v>12538</v>
      </c>
      <c r="C278" s="313" t="s">
        <v>420</v>
      </c>
      <c r="D278" s="313" t="s">
        <v>594</v>
      </c>
      <c r="E278" s="314" t="s">
        <v>422</v>
      </c>
      <c r="F278" s="315">
        <v>1</v>
      </c>
      <c r="G278" s="316">
        <v>0.49</v>
      </c>
      <c r="H278" s="316">
        <v>0.36</v>
      </c>
      <c r="I278" s="316">
        <v>0</v>
      </c>
      <c r="J278" s="316">
        <v>0.13</v>
      </c>
      <c r="K278" s="316">
        <v>0.49</v>
      </c>
      <c r="L278" s="316">
        <v>0.36</v>
      </c>
      <c r="M278" s="316">
        <v>0</v>
      </c>
      <c r="N278" s="316">
        <v>0.13</v>
      </c>
      <c r="O278" s="316">
        <v>0.49</v>
      </c>
      <c r="P278" s="317">
        <v>8.4269988523115476E-7</v>
      </c>
    </row>
    <row r="279" spans="1:16" ht="24" customHeight="1" x14ac:dyDescent="0.4">
      <c r="A279" s="313" t="s">
        <v>1808</v>
      </c>
      <c r="B279" s="313">
        <v>305</v>
      </c>
      <c r="C279" s="313" t="s">
        <v>575</v>
      </c>
      <c r="D279" s="313" t="s">
        <v>597</v>
      </c>
      <c r="E279" s="314" t="s">
        <v>422</v>
      </c>
      <c r="F279" s="315">
        <v>1</v>
      </c>
      <c r="G279" s="316">
        <v>5215.5</v>
      </c>
      <c r="H279" s="316">
        <v>851.8</v>
      </c>
      <c r="I279" s="316">
        <v>0</v>
      </c>
      <c r="J279" s="316">
        <v>4363.7</v>
      </c>
      <c r="K279" s="316">
        <v>5215.5</v>
      </c>
      <c r="L279" s="316">
        <v>851.8</v>
      </c>
      <c r="M279" s="316">
        <v>0</v>
      </c>
      <c r="N279" s="316">
        <v>4363.7</v>
      </c>
      <c r="O279" s="316">
        <v>5215.5</v>
      </c>
      <c r="P279" s="317">
        <v>8.9695943906593634E-3</v>
      </c>
    </row>
    <row r="280" spans="1:16" ht="24" customHeight="1" x14ac:dyDescent="0.4">
      <c r="A280" s="313" t="s">
        <v>956</v>
      </c>
      <c r="B280" s="313" t="s">
        <v>526</v>
      </c>
      <c r="C280" s="313" t="s">
        <v>5902</v>
      </c>
      <c r="D280" s="313" t="s">
        <v>5957</v>
      </c>
      <c r="E280" s="314" t="s">
        <v>7</v>
      </c>
      <c r="F280" s="315">
        <v>1</v>
      </c>
      <c r="G280" s="316">
        <v>144.36000000000001</v>
      </c>
      <c r="H280" s="316">
        <v>41.87</v>
      </c>
      <c r="I280" s="316">
        <v>0</v>
      </c>
      <c r="J280" s="316">
        <v>102.49</v>
      </c>
      <c r="K280" s="316">
        <v>144.36000000000001</v>
      </c>
      <c r="L280" s="316">
        <v>41.87</v>
      </c>
      <c r="M280" s="316">
        <v>0</v>
      </c>
      <c r="N280" s="316">
        <v>102.49</v>
      </c>
      <c r="O280" s="316">
        <v>144.36000000000001</v>
      </c>
      <c r="P280" s="317">
        <v>2.4826970496320307E-4</v>
      </c>
    </row>
    <row r="281" spans="1:16" ht="36" customHeight="1" x14ac:dyDescent="0.4">
      <c r="A281" s="313" t="s">
        <v>957</v>
      </c>
      <c r="B281" s="313" t="s">
        <v>525</v>
      </c>
      <c r="C281" s="313" t="s">
        <v>5902</v>
      </c>
      <c r="D281" s="313" t="s">
        <v>529</v>
      </c>
      <c r="E281" s="314" t="s">
        <v>7</v>
      </c>
      <c r="F281" s="315">
        <v>1</v>
      </c>
      <c r="G281" s="316">
        <v>89.43</v>
      </c>
      <c r="H281" s="316">
        <v>27.92</v>
      </c>
      <c r="I281" s="316">
        <v>0</v>
      </c>
      <c r="J281" s="316">
        <v>61.51</v>
      </c>
      <c r="K281" s="316">
        <v>89.43</v>
      </c>
      <c r="L281" s="316">
        <v>27.92</v>
      </c>
      <c r="M281" s="316">
        <v>0</v>
      </c>
      <c r="N281" s="316">
        <v>61.51</v>
      </c>
      <c r="O281" s="316">
        <v>89.43</v>
      </c>
      <c r="P281" s="317">
        <v>1.5380132803310647E-4</v>
      </c>
    </row>
    <row r="282" spans="1:16" ht="24" customHeight="1" x14ac:dyDescent="0.4">
      <c r="A282" s="313" t="s">
        <v>1809</v>
      </c>
      <c r="B282" s="313">
        <v>11548</v>
      </c>
      <c r="C282" s="313" t="s">
        <v>420</v>
      </c>
      <c r="D282" s="313" t="s">
        <v>421</v>
      </c>
      <c r="E282" s="314" t="s">
        <v>422</v>
      </c>
      <c r="F282" s="315">
        <v>1</v>
      </c>
      <c r="G282" s="316">
        <v>38.71</v>
      </c>
      <c r="H282" s="316">
        <v>7.21</v>
      </c>
      <c r="I282" s="316">
        <v>0</v>
      </c>
      <c r="J282" s="316">
        <v>31.5</v>
      </c>
      <c r="K282" s="316">
        <v>38.71</v>
      </c>
      <c r="L282" s="316">
        <v>7.21</v>
      </c>
      <c r="M282" s="316">
        <v>0</v>
      </c>
      <c r="N282" s="316">
        <v>31.5</v>
      </c>
      <c r="O282" s="316">
        <v>38.71</v>
      </c>
      <c r="P282" s="317">
        <v>6.6573290933261234E-5</v>
      </c>
    </row>
    <row r="283" spans="1:16" ht="24" customHeight="1" x14ac:dyDescent="0.4">
      <c r="A283" s="313" t="s">
        <v>1810</v>
      </c>
      <c r="B283" s="313">
        <v>11549</v>
      </c>
      <c r="C283" s="313" t="s">
        <v>420</v>
      </c>
      <c r="D283" s="313" t="s">
        <v>423</v>
      </c>
      <c r="E283" s="314" t="s">
        <v>422</v>
      </c>
      <c r="F283" s="315">
        <v>1</v>
      </c>
      <c r="G283" s="316">
        <v>26.76</v>
      </c>
      <c r="H283" s="316">
        <v>7.21</v>
      </c>
      <c r="I283" s="316">
        <v>0</v>
      </c>
      <c r="J283" s="316">
        <v>19.55</v>
      </c>
      <c r="K283" s="316">
        <v>26.76</v>
      </c>
      <c r="L283" s="316">
        <v>7.21</v>
      </c>
      <c r="M283" s="316">
        <v>0</v>
      </c>
      <c r="N283" s="316">
        <v>19.55</v>
      </c>
      <c r="O283" s="316">
        <v>26.76</v>
      </c>
      <c r="P283" s="317">
        <v>4.6021732507725922E-5</v>
      </c>
    </row>
    <row r="284" spans="1:16" ht="24" customHeight="1" x14ac:dyDescent="0.4">
      <c r="A284" s="313" t="s">
        <v>1811</v>
      </c>
      <c r="B284" s="313">
        <v>11549</v>
      </c>
      <c r="C284" s="313" t="s">
        <v>420</v>
      </c>
      <c r="D284" s="313" t="s">
        <v>423</v>
      </c>
      <c r="E284" s="314" t="s">
        <v>422</v>
      </c>
      <c r="F284" s="315">
        <v>1</v>
      </c>
      <c r="G284" s="316">
        <v>26.76</v>
      </c>
      <c r="H284" s="316">
        <v>7.21</v>
      </c>
      <c r="I284" s="316">
        <v>0</v>
      </c>
      <c r="J284" s="316">
        <v>19.55</v>
      </c>
      <c r="K284" s="316">
        <v>26.76</v>
      </c>
      <c r="L284" s="316">
        <v>7.21</v>
      </c>
      <c r="M284" s="316">
        <v>0</v>
      </c>
      <c r="N284" s="316">
        <v>19.55</v>
      </c>
      <c r="O284" s="316">
        <v>26.76</v>
      </c>
      <c r="P284" s="317">
        <v>4.6021732507725922E-5</v>
      </c>
    </row>
    <row r="285" spans="1:16" ht="24" customHeight="1" x14ac:dyDescent="0.4">
      <c r="A285" s="313" t="s">
        <v>1812</v>
      </c>
      <c r="B285" s="313" t="s">
        <v>591</v>
      </c>
      <c r="C285" s="313" t="s">
        <v>439</v>
      </c>
      <c r="D285" s="313" t="s">
        <v>596</v>
      </c>
      <c r="E285" s="314" t="s">
        <v>437</v>
      </c>
      <c r="F285" s="315">
        <v>1</v>
      </c>
      <c r="G285" s="316">
        <v>65.86</v>
      </c>
      <c r="H285" s="316">
        <v>23.6</v>
      </c>
      <c r="I285" s="316">
        <v>0</v>
      </c>
      <c r="J285" s="316">
        <v>42.26</v>
      </c>
      <c r="K285" s="316">
        <v>65.86</v>
      </c>
      <c r="L285" s="316">
        <v>23.6</v>
      </c>
      <c r="M285" s="316">
        <v>0</v>
      </c>
      <c r="N285" s="316">
        <v>42.26</v>
      </c>
      <c r="O285" s="316">
        <v>65.86</v>
      </c>
      <c r="P285" s="317">
        <v>1.1326574375780379E-4</v>
      </c>
    </row>
    <row r="286" spans="1:16" ht="24" customHeight="1" x14ac:dyDescent="0.4">
      <c r="A286" s="313" t="s">
        <v>959</v>
      </c>
      <c r="B286" s="313" t="s">
        <v>1801</v>
      </c>
      <c r="C286" s="313" t="s">
        <v>5902</v>
      </c>
      <c r="D286" s="313" t="s">
        <v>1820</v>
      </c>
      <c r="E286" s="314" t="s">
        <v>7</v>
      </c>
      <c r="F286" s="315">
        <v>1</v>
      </c>
      <c r="G286" s="316">
        <v>99.48</v>
      </c>
      <c r="H286" s="316">
        <v>55.83</v>
      </c>
      <c r="I286" s="316">
        <v>0</v>
      </c>
      <c r="J286" s="316">
        <v>43.65</v>
      </c>
      <c r="K286" s="316">
        <v>99.48</v>
      </c>
      <c r="L286" s="316">
        <v>55.83</v>
      </c>
      <c r="M286" s="316">
        <v>0</v>
      </c>
      <c r="N286" s="316">
        <v>43.65</v>
      </c>
      <c r="O286" s="316">
        <v>99.48</v>
      </c>
      <c r="P286" s="317">
        <v>1.7108527465876588E-4</v>
      </c>
    </row>
    <row r="287" spans="1:16" ht="24" customHeight="1" x14ac:dyDescent="0.4">
      <c r="A287" s="313" t="s">
        <v>960</v>
      </c>
      <c r="B287" s="313" t="s">
        <v>1802</v>
      </c>
      <c r="C287" s="313" t="s">
        <v>5902</v>
      </c>
      <c r="D287" s="313" t="s">
        <v>1821</v>
      </c>
      <c r="E287" s="314" t="s">
        <v>7</v>
      </c>
      <c r="F287" s="315">
        <v>1</v>
      </c>
      <c r="G287" s="316">
        <v>187.51</v>
      </c>
      <c r="H287" s="316">
        <v>100.5</v>
      </c>
      <c r="I287" s="316">
        <v>0</v>
      </c>
      <c r="J287" s="316">
        <v>87.01</v>
      </c>
      <c r="K287" s="316">
        <v>187.51</v>
      </c>
      <c r="L287" s="316">
        <v>100.5</v>
      </c>
      <c r="M287" s="316">
        <v>0</v>
      </c>
      <c r="N287" s="316">
        <v>87.01</v>
      </c>
      <c r="O287" s="316">
        <v>187.51</v>
      </c>
      <c r="P287" s="317">
        <v>3.2247888873406904E-4</v>
      </c>
    </row>
    <row r="288" spans="1:16" ht="24" customHeight="1" x14ac:dyDescent="0.4">
      <c r="A288" s="313" t="s">
        <v>961</v>
      </c>
      <c r="B288" s="313">
        <v>91837</v>
      </c>
      <c r="C288" s="313" t="s">
        <v>395</v>
      </c>
      <c r="D288" s="313" t="s">
        <v>5956</v>
      </c>
      <c r="E288" s="314" t="s">
        <v>7</v>
      </c>
      <c r="F288" s="315">
        <v>1</v>
      </c>
      <c r="G288" s="316">
        <v>28.66</v>
      </c>
      <c r="H288" s="316">
        <v>13.45</v>
      </c>
      <c r="I288" s="316">
        <v>1</v>
      </c>
      <c r="J288" s="316">
        <v>14.21</v>
      </c>
      <c r="K288" s="316">
        <v>28.66</v>
      </c>
      <c r="L288" s="316">
        <v>13.45</v>
      </c>
      <c r="M288" s="316">
        <v>1</v>
      </c>
      <c r="N288" s="316">
        <v>14.21</v>
      </c>
      <c r="O288" s="316">
        <v>28.66</v>
      </c>
      <c r="P288" s="317">
        <v>4.9289344307601834E-5</v>
      </c>
    </row>
    <row r="289" spans="1:16" ht="24" customHeight="1" x14ac:dyDescent="0.4">
      <c r="A289" s="313" t="s">
        <v>962</v>
      </c>
      <c r="B289" s="313" t="s">
        <v>418</v>
      </c>
      <c r="C289" s="313" t="s">
        <v>5902</v>
      </c>
      <c r="D289" s="313" t="s">
        <v>419</v>
      </c>
      <c r="E289" s="314" t="s">
        <v>4</v>
      </c>
      <c r="F289" s="315">
        <v>1</v>
      </c>
      <c r="G289" s="316">
        <v>87.43</v>
      </c>
      <c r="H289" s="316">
        <v>44.67</v>
      </c>
      <c r="I289" s="316">
        <v>0</v>
      </c>
      <c r="J289" s="316">
        <v>42.76</v>
      </c>
      <c r="K289" s="316">
        <v>87.43</v>
      </c>
      <c r="L289" s="316">
        <v>44.67</v>
      </c>
      <c r="M289" s="316">
        <v>0</v>
      </c>
      <c r="N289" s="316">
        <v>42.76</v>
      </c>
      <c r="O289" s="316">
        <v>87.43</v>
      </c>
      <c r="P289" s="317">
        <v>1.5036173666481604E-4</v>
      </c>
    </row>
    <row r="290" spans="1:16" ht="24" customHeight="1" x14ac:dyDescent="0.4">
      <c r="A290" s="313" t="s">
        <v>963</v>
      </c>
      <c r="B290" s="313" t="s">
        <v>1805</v>
      </c>
      <c r="C290" s="313" t="s">
        <v>439</v>
      </c>
      <c r="D290" s="313" t="s">
        <v>1822</v>
      </c>
      <c r="E290" s="314" t="s">
        <v>422</v>
      </c>
      <c r="F290" s="315">
        <v>1</v>
      </c>
      <c r="G290" s="316">
        <v>154.38999999999999</v>
      </c>
      <c r="H290" s="316">
        <v>60.3</v>
      </c>
      <c r="I290" s="316">
        <v>0.01</v>
      </c>
      <c r="J290" s="316">
        <v>94.08</v>
      </c>
      <c r="K290" s="316">
        <v>154.38999999999999</v>
      </c>
      <c r="L290" s="316">
        <v>60.3</v>
      </c>
      <c r="M290" s="316">
        <v>0.01</v>
      </c>
      <c r="N290" s="316">
        <v>94.08</v>
      </c>
      <c r="O290" s="316">
        <v>154.38999999999999</v>
      </c>
      <c r="P290" s="317">
        <v>2.6551925567517957E-4</v>
      </c>
    </row>
    <row r="291" spans="1:16" ht="36" customHeight="1" x14ac:dyDescent="0.4">
      <c r="A291" s="313" t="s">
        <v>964</v>
      </c>
      <c r="B291" s="313" t="s">
        <v>1806</v>
      </c>
      <c r="C291" s="313" t="s">
        <v>439</v>
      </c>
      <c r="D291" s="313" t="s">
        <v>1823</v>
      </c>
      <c r="E291" s="314" t="s">
        <v>422</v>
      </c>
      <c r="F291" s="315">
        <v>1</v>
      </c>
      <c r="G291" s="316">
        <v>236.9</v>
      </c>
      <c r="H291" s="316">
        <v>78.64</v>
      </c>
      <c r="I291" s="316">
        <v>0.01</v>
      </c>
      <c r="J291" s="316">
        <v>158.25</v>
      </c>
      <c r="K291" s="316">
        <v>236.9</v>
      </c>
      <c r="L291" s="316">
        <v>78.64</v>
      </c>
      <c r="M291" s="316">
        <v>0.01</v>
      </c>
      <c r="N291" s="316">
        <v>158.25</v>
      </c>
      <c r="O291" s="316">
        <v>236.9</v>
      </c>
      <c r="P291" s="317">
        <v>4.074195975740012E-4</v>
      </c>
    </row>
    <row r="292" spans="1:16" ht="36" customHeight="1" x14ac:dyDescent="0.4">
      <c r="A292" s="313" t="s">
        <v>965</v>
      </c>
      <c r="B292" s="313">
        <v>9425</v>
      </c>
      <c r="C292" s="313" t="s">
        <v>420</v>
      </c>
      <c r="D292" s="313" t="s">
        <v>1824</v>
      </c>
      <c r="E292" s="314" t="s">
        <v>422</v>
      </c>
      <c r="F292" s="315">
        <v>1</v>
      </c>
      <c r="G292" s="316">
        <v>128.91999999999999</v>
      </c>
      <c r="H292" s="316">
        <v>43.25</v>
      </c>
      <c r="I292" s="316">
        <v>0</v>
      </c>
      <c r="J292" s="316">
        <v>85.67</v>
      </c>
      <c r="K292" s="316">
        <v>128.91999999999999</v>
      </c>
      <c r="L292" s="316">
        <v>43.25</v>
      </c>
      <c r="M292" s="316">
        <v>0</v>
      </c>
      <c r="N292" s="316">
        <v>85.67</v>
      </c>
      <c r="O292" s="316">
        <v>128.91999999999999</v>
      </c>
      <c r="P292" s="317">
        <v>2.2171605960000099E-4</v>
      </c>
    </row>
    <row r="293" spans="1:16" ht="36" customHeight="1" x14ac:dyDescent="0.4">
      <c r="A293" s="313" t="s">
        <v>966</v>
      </c>
      <c r="B293" s="313">
        <v>4869</v>
      </c>
      <c r="C293" s="313" t="s">
        <v>420</v>
      </c>
      <c r="D293" s="313" t="s">
        <v>483</v>
      </c>
      <c r="E293" s="314" t="s">
        <v>437</v>
      </c>
      <c r="F293" s="315">
        <v>1</v>
      </c>
      <c r="G293" s="316">
        <v>34.74</v>
      </c>
      <c r="H293" s="316">
        <v>19</v>
      </c>
      <c r="I293" s="316">
        <v>0</v>
      </c>
      <c r="J293" s="316">
        <v>15.74</v>
      </c>
      <c r="K293" s="316">
        <v>34.74</v>
      </c>
      <c r="L293" s="316">
        <v>19</v>
      </c>
      <c r="M293" s="316">
        <v>0</v>
      </c>
      <c r="N293" s="316">
        <v>15.74</v>
      </c>
      <c r="O293" s="316">
        <v>34.74</v>
      </c>
      <c r="P293" s="317">
        <v>5.9745702067204731E-5</v>
      </c>
    </row>
    <row r="294" spans="1:16" ht="36" customHeight="1" x14ac:dyDescent="0.4">
      <c r="A294" s="313" t="s">
        <v>1813</v>
      </c>
      <c r="B294" s="313">
        <v>1536</v>
      </c>
      <c r="C294" s="313" t="s">
        <v>420</v>
      </c>
      <c r="D294" s="313" t="s">
        <v>533</v>
      </c>
      <c r="E294" s="314" t="s">
        <v>422</v>
      </c>
      <c r="F294" s="315">
        <v>1</v>
      </c>
      <c r="G294" s="316">
        <v>19.05</v>
      </c>
      <c r="H294" s="316">
        <v>4.32</v>
      </c>
      <c r="I294" s="316">
        <v>0</v>
      </c>
      <c r="J294" s="316">
        <v>14.73</v>
      </c>
      <c r="K294" s="316">
        <v>19.05</v>
      </c>
      <c r="L294" s="316">
        <v>4.32</v>
      </c>
      <c r="M294" s="316">
        <v>0</v>
      </c>
      <c r="N294" s="316">
        <v>14.73</v>
      </c>
      <c r="O294" s="316">
        <v>19.05</v>
      </c>
      <c r="P294" s="317">
        <v>3.2762107782966325E-5</v>
      </c>
    </row>
    <row r="295" spans="1:16" ht="36" customHeight="1" x14ac:dyDescent="0.4">
      <c r="A295" s="313" t="s">
        <v>1814</v>
      </c>
      <c r="B295" s="313" t="s">
        <v>438</v>
      </c>
      <c r="C295" s="313" t="s">
        <v>439</v>
      </c>
      <c r="D295" s="313" t="s">
        <v>440</v>
      </c>
      <c r="E295" s="314" t="s">
        <v>437</v>
      </c>
      <c r="F295" s="315">
        <v>1</v>
      </c>
      <c r="G295" s="316">
        <v>124.22</v>
      </c>
      <c r="H295" s="316">
        <v>45.86</v>
      </c>
      <c r="I295" s="316">
        <v>0</v>
      </c>
      <c r="J295" s="316">
        <v>78.36</v>
      </c>
      <c r="K295" s="316">
        <v>124.22</v>
      </c>
      <c r="L295" s="316">
        <v>45.86</v>
      </c>
      <c r="M295" s="316">
        <v>0</v>
      </c>
      <c r="N295" s="316">
        <v>78.36</v>
      </c>
      <c r="O295" s="316">
        <v>124.22</v>
      </c>
      <c r="P295" s="317">
        <v>2.1363301988451848E-4</v>
      </c>
    </row>
    <row r="296" spans="1:16" ht="24" customHeight="1" x14ac:dyDescent="0.4">
      <c r="A296" s="313" t="s">
        <v>1815</v>
      </c>
      <c r="B296" s="313">
        <v>4869</v>
      </c>
      <c r="C296" s="313" t="s">
        <v>420</v>
      </c>
      <c r="D296" s="313" t="s">
        <v>483</v>
      </c>
      <c r="E296" s="314" t="s">
        <v>437</v>
      </c>
      <c r="F296" s="315">
        <v>1</v>
      </c>
      <c r="G296" s="316">
        <v>34.74</v>
      </c>
      <c r="H296" s="316">
        <v>19</v>
      </c>
      <c r="I296" s="316">
        <v>0</v>
      </c>
      <c r="J296" s="316">
        <v>15.74</v>
      </c>
      <c r="K296" s="316">
        <v>34.74</v>
      </c>
      <c r="L296" s="316">
        <v>19</v>
      </c>
      <c r="M296" s="316">
        <v>0</v>
      </c>
      <c r="N296" s="316">
        <v>15.74</v>
      </c>
      <c r="O296" s="316">
        <v>34.74</v>
      </c>
      <c r="P296" s="317">
        <v>5.9745702067204731E-5</v>
      </c>
    </row>
    <row r="297" spans="1:16" ht="24" customHeight="1" x14ac:dyDescent="0.4">
      <c r="A297" s="313" t="s">
        <v>967</v>
      </c>
      <c r="B297" s="313">
        <v>1536</v>
      </c>
      <c r="C297" s="313" t="s">
        <v>420</v>
      </c>
      <c r="D297" s="313" t="s">
        <v>533</v>
      </c>
      <c r="E297" s="314" t="s">
        <v>422</v>
      </c>
      <c r="F297" s="315">
        <v>1</v>
      </c>
      <c r="G297" s="316">
        <v>19.05</v>
      </c>
      <c r="H297" s="316">
        <v>4.32</v>
      </c>
      <c r="I297" s="316">
        <v>0</v>
      </c>
      <c r="J297" s="316">
        <v>14.73</v>
      </c>
      <c r="K297" s="316">
        <v>19.05</v>
      </c>
      <c r="L297" s="316">
        <v>4.32</v>
      </c>
      <c r="M297" s="316">
        <v>0</v>
      </c>
      <c r="N297" s="316">
        <v>14.73</v>
      </c>
      <c r="O297" s="316">
        <v>19.05</v>
      </c>
      <c r="P297" s="317">
        <v>3.2762107782966325E-5</v>
      </c>
    </row>
    <row r="298" spans="1:16" ht="24" customHeight="1" x14ac:dyDescent="0.4">
      <c r="A298" s="313" t="s">
        <v>970</v>
      </c>
      <c r="B298" s="313">
        <v>95749</v>
      </c>
      <c r="C298" s="313" t="s">
        <v>395</v>
      </c>
      <c r="D298" s="313" t="s">
        <v>23</v>
      </c>
      <c r="E298" s="314" t="s">
        <v>7</v>
      </c>
      <c r="F298" s="315">
        <v>1</v>
      </c>
      <c r="G298" s="316">
        <v>39.36</v>
      </c>
      <c r="H298" s="316">
        <v>19.87</v>
      </c>
      <c r="I298" s="316">
        <v>1.62</v>
      </c>
      <c r="J298" s="316">
        <v>17.87</v>
      </c>
      <c r="K298" s="316">
        <v>39.36</v>
      </c>
      <c r="L298" s="316">
        <v>19.87</v>
      </c>
      <c r="M298" s="316">
        <v>1.62</v>
      </c>
      <c r="N298" s="316">
        <v>17.87</v>
      </c>
      <c r="O298" s="316">
        <v>39.36</v>
      </c>
      <c r="P298" s="317">
        <v>6.7691158127955621E-5</v>
      </c>
    </row>
    <row r="299" spans="1:16" ht="24" customHeight="1" x14ac:dyDescent="0.4">
      <c r="A299" s="313" t="s">
        <v>968</v>
      </c>
      <c r="B299" s="313">
        <v>97549</v>
      </c>
      <c r="C299" s="313" t="s">
        <v>395</v>
      </c>
      <c r="D299" s="313" t="s">
        <v>5952</v>
      </c>
      <c r="E299" s="314" t="s">
        <v>4</v>
      </c>
      <c r="F299" s="315">
        <v>1</v>
      </c>
      <c r="G299" s="316">
        <v>62.5</v>
      </c>
      <c r="H299" s="316">
        <v>25.81</v>
      </c>
      <c r="I299" s="316">
        <v>2.13</v>
      </c>
      <c r="J299" s="316">
        <v>34.56</v>
      </c>
      <c r="K299" s="316">
        <v>62.5</v>
      </c>
      <c r="L299" s="316">
        <v>25.81</v>
      </c>
      <c r="M299" s="316">
        <v>2.13</v>
      </c>
      <c r="N299" s="316">
        <v>34.56</v>
      </c>
      <c r="O299" s="316">
        <v>62.5</v>
      </c>
      <c r="P299" s="317">
        <v>1.0748723025907587E-4</v>
      </c>
    </row>
    <row r="300" spans="1:16" ht="36" customHeight="1" x14ac:dyDescent="0.4">
      <c r="A300" s="313" t="s">
        <v>969</v>
      </c>
      <c r="B300" s="313">
        <v>91835</v>
      </c>
      <c r="C300" s="313" t="s">
        <v>395</v>
      </c>
      <c r="D300" s="313" t="s">
        <v>5958</v>
      </c>
      <c r="E300" s="314" t="s">
        <v>7</v>
      </c>
      <c r="F300" s="315">
        <v>1</v>
      </c>
      <c r="G300" s="316">
        <v>23.91</v>
      </c>
      <c r="H300" s="316">
        <v>12.67</v>
      </c>
      <c r="I300" s="316">
        <v>0.92</v>
      </c>
      <c r="J300" s="316">
        <v>10.32</v>
      </c>
      <c r="K300" s="316">
        <v>23.91</v>
      </c>
      <c r="L300" s="316">
        <v>12.67</v>
      </c>
      <c r="M300" s="316">
        <v>0.92</v>
      </c>
      <c r="N300" s="316">
        <v>10.32</v>
      </c>
      <c r="O300" s="316">
        <v>23.91</v>
      </c>
      <c r="P300" s="317">
        <v>4.1120314807912065E-5</v>
      </c>
    </row>
    <row r="301" spans="1:16" ht="36" customHeight="1" x14ac:dyDescent="0.4">
      <c r="A301" s="313" t="s">
        <v>974</v>
      </c>
      <c r="B301" s="313">
        <v>91941</v>
      </c>
      <c r="C301" s="313" t="s">
        <v>395</v>
      </c>
      <c r="D301" s="313" t="s">
        <v>5944</v>
      </c>
      <c r="E301" s="314" t="s">
        <v>4</v>
      </c>
      <c r="F301" s="315">
        <v>1</v>
      </c>
      <c r="G301" s="316">
        <v>16.41</v>
      </c>
      <c r="H301" s="316">
        <v>9.3000000000000007</v>
      </c>
      <c r="I301" s="316">
        <v>0.82</v>
      </c>
      <c r="J301" s="316">
        <v>6.29</v>
      </c>
      <c r="K301" s="316">
        <v>16.41</v>
      </c>
      <c r="L301" s="316">
        <v>9.3000000000000007</v>
      </c>
      <c r="M301" s="316">
        <v>0.82</v>
      </c>
      <c r="N301" s="316">
        <v>6.29</v>
      </c>
      <c r="O301" s="316">
        <v>16.41</v>
      </c>
      <c r="P301" s="317">
        <v>2.8221847176822959E-5</v>
      </c>
    </row>
    <row r="302" spans="1:16" ht="36" customHeight="1" x14ac:dyDescent="0.4">
      <c r="A302" s="313" t="s">
        <v>972</v>
      </c>
      <c r="B302" s="313">
        <v>91944</v>
      </c>
      <c r="C302" s="313" t="s">
        <v>395</v>
      </c>
      <c r="D302" s="313" t="s">
        <v>5945</v>
      </c>
      <c r="E302" s="314" t="s">
        <v>4</v>
      </c>
      <c r="F302" s="315">
        <v>1</v>
      </c>
      <c r="G302" s="316">
        <v>20.2</v>
      </c>
      <c r="H302" s="316">
        <v>9.64</v>
      </c>
      <c r="I302" s="316">
        <v>0.86</v>
      </c>
      <c r="J302" s="316">
        <v>9.6999999999999993</v>
      </c>
      <c r="K302" s="316">
        <v>20.2</v>
      </c>
      <c r="L302" s="316">
        <v>9.64</v>
      </c>
      <c r="M302" s="316">
        <v>0.86</v>
      </c>
      <c r="N302" s="316">
        <v>9.6999999999999993</v>
      </c>
      <c r="O302" s="316">
        <v>20.2</v>
      </c>
      <c r="P302" s="317">
        <v>3.4739872819733319E-5</v>
      </c>
    </row>
    <row r="303" spans="1:16" ht="36" customHeight="1" x14ac:dyDescent="0.4">
      <c r="A303" s="313" t="s">
        <v>975</v>
      </c>
      <c r="B303" s="313" t="s">
        <v>521</v>
      </c>
      <c r="C303" s="313" t="s">
        <v>5902</v>
      </c>
      <c r="D303" s="313" t="s">
        <v>522</v>
      </c>
      <c r="E303" s="314" t="s">
        <v>4</v>
      </c>
      <c r="F303" s="315">
        <v>1</v>
      </c>
      <c r="G303" s="316">
        <v>6</v>
      </c>
      <c r="H303" s="316">
        <v>1.82</v>
      </c>
      <c r="I303" s="316">
        <v>0</v>
      </c>
      <c r="J303" s="316">
        <v>4.18</v>
      </c>
      <c r="K303" s="316">
        <v>6</v>
      </c>
      <c r="L303" s="316">
        <v>1.82</v>
      </c>
      <c r="M303" s="316">
        <v>0</v>
      </c>
      <c r="N303" s="316">
        <v>4.18</v>
      </c>
      <c r="O303" s="316">
        <v>6</v>
      </c>
      <c r="P303" s="317">
        <v>1.0318774104871284E-5</v>
      </c>
    </row>
    <row r="304" spans="1:16" ht="24" customHeight="1" x14ac:dyDescent="0.4">
      <c r="A304" s="313" t="s">
        <v>971</v>
      </c>
      <c r="B304" s="313" t="s">
        <v>523</v>
      </c>
      <c r="C304" s="313" t="s">
        <v>5902</v>
      </c>
      <c r="D304" s="313" t="s">
        <v>524</v>
      </c>
      <c r="E304" s="314" t="s">
        <v>4</v>
      </c>
      <c r="F304" s="315">
        <v>1</v>
      </c>
      <c r="G304" s="316">
        <v>11.5</v>
      </c>
      <c r="H304" s="316">
        <v>1.82</v>
      </c>
      <c r="I304" s="316">
        <v>0</v>
      </c>
      <c r="J304" s="316">
        <v>9.68</v>
      </c>
      <c r="K304" s="316">
        <v>11.5</v>
      </c>
      <c r="L304" s="316">
        <v>1.82</v>
      </c>
      <c r="M304" s="316">
        <v>0</v>
      </c>
      <c r="N304" s="316">
        <v>9.68</v>
      </c>
      <c r="O304" s="316">
        <v>11.5</v>
      </c>
      <c r="P304" s="317">
        <v>1.977765036766996E-5</v>
      </c>
    </row>
    <row r="305" spans="1:16" ht="24" customHeight="1" x14ac:dyDescent="0.4">
      <c r="A305" s="313" t="s">
        <v>973</v>
      </c>
      <c r="B305" s="313" t="s">
        <v>1841</v>
      </c>
      <c r="C305" s="313" t="s">
        <v>5902</v>
      </c>
      <c r="D305" s="313" t="s">
        <v>5959</v>
      </c>
      <c r="E305" s="314" t="s">
        <v>7</v>
      </c>
      <c r="F305" s="315">
        <v>1</v>
      </c>
      <c r="G305" s="316">
        <v>57.34</v>
      </c>
      <c r="H305" s="316">
        <v>39.08</v>
      </c>
      <c r="I305" s="316">
        <v>0</v>
      </c>
      <c r="J305" s="316">
        <v>18.260000000000002</v>
      </c>
      <c r="K305" s="316">
        <v>57.34</v>
      </c>
      <c r="L305" s="316">
        <v>39.08</v>
      </c>
      <c r="M305" s="316">
        <v>0</v>
      </c>
      <c r="N305" s="316">
        <v>18.260000000000002</v>
      </c>
      <c r="O305" s="316">
        <v>57.34</v>
      </c>
      <c r="P305" s="317">
        <v>9.8613084528886562E-5</v>
      </c>
    </row>
    <row r="306" spans="1:16" ht="24" customHeight="1" x14ac:dyDescent="0.4">
      <c r="A306" s="313" t="s">
        <v>979</v>
      </c>
      <c r="B306" s="313" t="s">
        <v>1801</v>
      </c>
      <c r="C306" s="313" t="s">
        <v>5902</v>
      </c>
      <c r="D306" s="313" t="s">
        <v>1820</v>
      </c>
      <c r="E306" s="314" t="s">
        <v>7</v>
      </c>
      <c r="F306" s="315">
        <v>1</v>
      </c>
      <c r="G306" s="316">
        <v>99.48</v>
      </c>
      <c r="H306" s="316">
        <v>55.83</v>
      </c>
      <c r="I306" s="316">
        <v>0</v>
      </c>
      <c r="J306" s="316">
        <v>43.65</v>
      </c>
      <c r="K306" s="316">
        <v>99.48</v>
      </c>
      <c r="L306" s="316">
        <v>55.83</v>
      </c>
      <c r="M306" s="316">
        <v>0</v>
      </c>
      <c r="N306" s="316">
        <v>43.65</v>
      </c>
      <c r="O306" s="316">
        <v>99.48</v>
      </c>
      <c r="P306" s="317">
        <v>1.7108527465876588E-4</v>
      </c>
    </row>
    <row r="307" spans="1:16" ht="24" customHeight="1" x14ac:dyDescent="0.4">
      <c r="A307" s="313" t="s">
        <v>980</v>
      </c>
      <c r="B307" s="313">
        <v>95796</v>
      </c>
      <c r="C307" s="313" t="s">
        <v>395</v>
      </c>
      <c r="D307" s="313" t="s">
        <v>5947</v>
      </c>
      <c r="E307" s="314" t="s">
        <v>4</v>
      </c>
      <c r="F307" s="315">
        <v>1</v>
      </c>
      <c r="G307" s="316">
        <v>51.7</v>
      </c>
      <c r="H307" s="316">
        <v>21.49</v>
      </c>
      <c r="I307" s="316">
        <v>1.82</v>
      </c>
      <c r="J307" s="316">
        <v>28.39</v>
      </c>
      <c r="K307" s="316">
        <v>51.7</v>
      </c>
      <c r="L307" s="316">
        <v>21.49</v>
      </c>
      <c r="M307" s="316">
        <v>1.82</v>
      </c>
      <c r="N307" s="316">
        <v>28.39</v>
      </c>
      <c r="O307" s="316">
        <v>51.7</v>
      </c>
      <c r="P307" s="317">
        <v>8.8913436870307556E-5</v>
      </c>
    </row>
    <row r="308" spans="1:16" ht="36" customHeight="1" x14ac:dyDescent="0.4">
      <c r="A308" s="313" t="s">
        <v>983</v>
      </c>
      <c r="B308" s="313">
        <v>597</v>
      </c>
      <c r="C308" s="313" t="s">
        <v>575</v>
      </c>
      <c r="D308" s="313" t="s">
        <v>1816</v>
      </c>
      <c r="E308" s="314" t="s">
        <v>4</v>
      </c>
      <c r="F308" s="315">
        <v>1</v>
      </c>
      <c r="G308" s="316">
        <v>62.48</v>
      </c>
      <c r="H308" s="316">
        <v>20.98</v>
      </c>
      <c r="I308" s="316">
        <v>1.86</v>
      </c>
      <c r="J308" s="316">
        <v>39.64</v>
      </c>
      <c r="K308" s="316">
        <v>62.48</v>
      </c>
      <c r="L308" s="316">
        <v>20.98</v>
      </c>
      <c r="M308" s="316">
        <v>1.86</v>
      </c>
      <c r="N308" s="316">
        <v>39.64</v>
      </c>
      <c r="O308" s="316">
        <v>62.48</v>
      </c>
      <c r="P308" s="317">
        <v>1.0745283434539296E-4</v>
      </c>
    </row>
    <row r="309" spans="1:16" ht="24" customHeight="1" x14ac:dyDescent="0.4">
      <c r="A309" s="313" t="s">
        <v>1846</v>
      </c>
      <c r="B309" s="313">
        <v>95781</v>
      </c>
      <c r="C309" s="313" t="s">
        <v>395</v>
      </c>
      <c r="D309" s="313" t="s">
        <v>5960</v>
      </c>
      <c r="E309" s="314" t="s">
        <v>4</v>
      </c>
      <c r="F309" s="315">
        <v>1</v>
      </c>
      <c r="G309" s="316">
        <v>38.31</v>
      </c>
      <c r="H309" s="316">
        <v>14.82</v>
      </c>
      <c r="I309" s="316">
        <v>1.26</v>
      </c>
      <c r="J309" s="316">
        <v>22.23</v>
      </c>
      <c r="K309" s="316">
        <v>38.31</v>
      </c>
      <c r="L309" s="316">
        <v>14.82</v>
      </c>
      <c r="M309" s="316">
        <v>1.26</v>
      </c>
      <c r="N309" s="316">
        <v>22.23</v>
      </c>
      <c r="O309" s="316">
        <v>38.31</v>
      </c>
      <c r="P309" s="317">
        <v>6.5885372659603151E-5</v>
      </c>
    </row>
    <row r="310" spans="1:16" ht="36" customHeight="1" x14ac:dyDescent="0.4">
      <c r="A310" s="313" t="s">
        <v>989</v>
      </c>
      <c r="B310" s="313">
        <v>95781</v>
      </c>
      <c r="C310" s="313" t="s">
        <v>395</v>
      </c>
      <c r="D310" s="313" t="s">
        <v>5960</v>
      </c>
      <c r="E310" s="314" t="s">
        <v>4</v>
      </c>
      <c r="F310" s="315">
        <v>1</v>
      </c>
      <c r="G310" s="316">
        <v>38.31</v>
      </c>
      <c r="H310" s="316">
        <v>14.82</v>
      </c>
      <c r="I310" s="316">
        <v>1.26</v>
      </c>
      <c r="J310" s="316">
        <v>22.23</v>
      </c>
      <c r="K310" s="316">
        <v>38.31</v>
      </c>
      <c r="L310" s="316">
        <v>14.82</v>
      </c>
      <c r="M310" s="316">
        <v>1.26</v>
      </c>
      <c r="N310" s="316">
        <v>22.23</v>
      </c>
      <c r="O310" s="316">
        <v>38.31</v>
      </c>
      <c r="P310" s="317">
        <v>6.5885372659603151E-5</v>
      </c>
    </row>
    <row r="311" spans="1:16" ht="48" customHeight="1" x14ac:dyDescent="0.4">
      <c r="A311" s="313" t="s">
        <v>990</v>
      </c>
      <c r="B311" s="313">
        <v>599</v>
      </c>
      <c r="C311" s="313" t="s">
        <v>575</v>
      </c>
      <c r="D311" s="313" t="s">
        <v>1825</v>
      </c>
      <c r="E311" s="314" t="s">
        <v>4</v>
      </c>
      <c r="F311" s="315">
        <v>1</v>
      </c>
      <c r="G311" s="316">
        <v>110.31</v>
      </c>
      <c r="H311" s="316">
        <v>15.52</v>
      </c>
      <c r="I311" s="316">
        <v>1.21</v>
      </c>
      <c r="J311" s="316">
        <v>93.58</v>
      </c>
      <c r="K311" s="316">
        <v>110.31</v>
      </c>
      <c r="L311" s="316">
        <v>15.52</v>
      </c>
      <c r="M311" s="316">
        <v>1.21</v>
      </c>
      <c r="N311" s="316">
        <v>93.58</v>
      </c>
      <c r="O311" s="316">
        <v>110.31</v>
      </c>
      <c r="P311" s="317">
        <v>1.8971066191805856E-4</v>
      </c>
    </row>
    <row r="312" spans="1:16" ht="36" customHeight="1" x14ac:dyDescent="0.4">
      <c r="A312" s="313" t="s">
        <v>1847</v>
      </c>
      <c r="B312" s="313">
        <v>11815</v>
      </c>
      <c r="C312" s="313" t="s">
        <v>420</v>
      </c>
      <c r="D312" s="313" t="s">
        <v>443</v>
      </c>
      <c r="E312" s="314" t="s">
        <v>422</v>
      </c>
      <c r="F312" s="315">
        <v>1</v>
      </c>
      <c r="G312" s="316">
        <v>71.209999999999994</v>
      </c>
      <c r="H312" s="316">
        <v>13.34</v>
      </c>
      <c r="I312" s="316">
        <v>0</v>
      </c>
      <c r="J312" s="316">
        <v>57.87</v>
      </c>
      <c r="K312" s="316">
        <v>71.209999999999994</v>
      </c>
      <c r="L312" s="316">
        <v>13.34</v>
      </c>
      <c r="M312" s="316">
        <v>0</v>
      </c>
      <c r="N312" s="316">
        <v>57.87</v>
      </c>
      <c r="O312" s="316">
        <v>71.209999999999994</v>
      </c>
      <c r="P312" s="317">
        <v>1.2246665066798068E-4</v>
      </c>
    </row>
    <row r="313" spans="1:16" ht="36" customHeight="1" x14ac:dyDescent="0.4">
      <c r="A313" s="313" t="s">
        <v>1848</v>
      </c>
      <c r="B313" s="313">
        <v>9139</v>
      </c>
      <c r="C313" s="313" t="s">
        <v>420</v>
      </c>
      <c r="D313" s="313" t="s">
        <v>444</v>
      </c>
      <c r="E313" s="314" t="s">
        <v>422</v>
      </c>
      <c r="F313" s="315">
        <v>1</v>
      </c>
      <c r="G313" s="316">
        <v>47.74</v>
      </c>
      <c r="H313" s="316">
        <v>14.42</v>
      </c>
      <c r="I313" s="316">
        <v>0</v>
      </c>
      <c r="J313" s="316">
        <v>33.32</v>
      </c>
      <c r="K313" s="316">
        <v>47.74</v>
      </c>
      <c r="L313" s="316">
        <v>14.42</v>
      </c>
      <c r="M313" s="316">
        <v>0</v>
      </c>
      <c r="N313" s="316">
        <v>33.32</v>
      </c>
      <c r="O313" s="316">
        <v>47.74</v>
      </c>
      <c r="P313" s="317">
        <v>8.2103045961092513E-5</v>
      </c>
    </row>
    <row r="314" spans="1:16" ht="24" customHeight="1" x14ac:dyDescent="0.4">
      <c r="A314" s="313" t="s">
        <v>1849</v>
      </c>
      <c r="B314" s="313">
        <v>8699</v>
      </c>
      <c r="C314" s="313" t="s">
        <v>420</v>
      </c>
      <c r="D314" s="313" t="s">
        <v>1856</v>
      </c>
      <c r="E314" s="314" t="s">
        <v>422</v>
      </c>
      <c r="F314" s="315">
        <v>1</v>
      </c>
      <c r="G314" s="316">
        <v>45.7</v>
      </c>
      <c r="H314" s="316">
        <v>16.22</v>
      </c>
      <c r="I314" s="316">
        <v>0</v>
      </c>
      <c r="J314" s="316">
        <v>29.48</v>
      </c>
      <c r="K314" s="316">
        <v>45.7</v>
      </c>
      <c r="L314" s="316">
        <v>16.22</v>
      </c>
      <c r="M314" s="316">
        <v>0</v>
      </c>
      <c r="N314" s="316">
        <v>29.48</v>
      </c>
      <c r="O314" s="316">
        <v>45.7</v>
      </c>
      <c r="P314" s="317">
        <v>7.8594662765436269E-5</v>
      </c>
    </row>
    <row r="315" spans="1:16" ht="24" customHeight="1" x14ac:dyDescent="0.4">
      <c r="A315" s="313" t="s">
        <v>1850</v>
      </c>
      <c r="B315" s="313">
        <v>91944</v>
      </c>
      <c r="C315" s="313" t="s">
        <v>395</v>
      </c>
      <c r="D315" s="313" t="s">
        <v>5945</v>
      </c>
      <c r="E315" s="314" t="s">
        <v>4</v>
      </c>
      <c r="F315" s="315">
        <v>1</v>
      </c>
      <c r="G315" s="316">
        <v>20.2</v>
      </c>
      <c r="H315" s="316">
        <v>9.64</v>
      </c>
      <c r="I315" s="316">
        <v>0.86</v>
      </c>
      <c r="J315" s="316">
        <v>9.6999999999999993</v>
      </c>
      <c r="K315" s="316">
        <v>20.2</v>
      </c>
      <c r="L315" s="316">
        <v>9.64</v>
      </c>
      <c r="M315" s="316">
        <v>0.86</v>
      </c>
      <c r="N315" s="316">
        <v>9.6999999999999993</v>
      </c>
      <c r="O315" s="316">
        <v>20.2</v>
      </c>
      <c r="P315" s="317">
        <v>3.4739872819733319E-5</v>
      </c>
    </row>
    <row r="316" spans="1:16" ht="24" customHeight="1" x14ac:dyDescent="0.4">
      <c r="A316" s="313" t="s">
        <v>1851</v>
      </c>
      <c r="B316" s="313" t="s">
        <v>523</v>
      </c>
      <c r="C316" s="313" t="s">
        <v>5902</v>
      </c>
      <c r="D316" s="313" t="s">
        <v>524</v>
      </c>
      <c r="E316" s="314" t="s">
        <v>4</v>
      </c>
      <c r="F316" s="315">
        <v>1</v>
      </c>
      <c r="G316" s="316">
        <v>11.5</v>
      </c>
      <c r="H316" s="316">
        <v>1.82</v>
      </c>
      <c r="I316" s="316">
        <v>0</v>
      </c>
      <c r="J316" s="316">
        <v>9.68</v>
      </c>
      <c r="K316" s="316">
        <v>11.5</v>
      </c>
      <c r="L316" s="316">
        <v>1.82</v>
      </c>
      <c r="M316" s="316">
        <v>0</v>
      </c>
      <c r="N316" s="316">
        <v>9.68</v>
      </c>
      <c r="O316" s="316">
        <v>11.5</v>
      </c>
      <c r="P316" s="317">
        <v>1.977765036766996E-5</v>
      </c>
    </row>
    <row r="317" spans="1:16" ht="24" customHeight="1" x14ac:dyDescent="0.4">
      <c r="A317" s="313" t="s">
        <v>1852</v>
      </c>
      <c r="B317" s="313">
        <v>95746</v>
      </c>
      <c r="C317" s="313" t="s">
        <v>395</v>
      </c>
      <c r="D317" s="313" t="s">
        <v>22</v>
      </c>
      <c r="E317" s="314" t="s">
        <v>7</v>
      </c>
      <c r="F317" s="315">
        <v>1</v>
      </c>
      <c r="G317" s="316">
        <v>48.62</v>
      </c>
      <c r="H317" s="316">
        <v>15.92</v>
      </c>
      <c r="I317" s="316">
        <v>1.22</v>
      </c>
      <c r="J317" s="316">
        <v>31.48</v>
      </c>
      <c r="K317" s="316">
        <v>48.62</v>
      </c>
      <c r="L317" s="316">
        <v>15.92</v>
      </c>
      <c r="M317" s="316">
        <v>1.22</v>
      </c>
      <c r="N317" s="316">
        <v>31.48</v>
      </c>
      <c r="O317" s="316">
        <v>48.62</v>
      </c>
      <c r="P317" s="317">
        <v>8.3616466163140296E-5</v>
      </c>
    </row>
    <row r="318" spans="1:16" ht="24" customHeight="1" x14ac:dyDescent="0.4">
      <c r="A318" s="313" t="s">
        <v>1853</v>
      </c>
      <c r="B318" s="313">
        <v>94743</v>
      </c>
      <c r="C318" s="313" t="s">
        <v>395</v>
      </c>
      <c r="D318" s="313" t="s">
        <v>5961</v>
      </c>
      <c r="E318" s="314" t="s">
        <v>4</v>
      </c>
      <c r="F318" s="315">
        <v>1</v>
      </c>
      <c r="G318" s="316">
        <v>25.13</v>
      </c>
      <c r="H318" s="316">
        <v>3.51</v>
      </c>
      <c r="I318" s="316">
        <v>0.24</v>
      </c>
      <c r="J318" s="316">
        <v>21.38</v>
      </c>
      <c r="K318" s="316">
        <v>25.13</v>
      </c>
      <c r="L318" s="316">
        <v>3.51</v>
      </c>
      <c r="M318" s="316">
        <v>0.24</v>
      </c>
      <c r="N318" s="316">
        <v>21.38</v>
      </c>
      <c r="O318" s="316">
        <v>25.13</v>
      </c>
      <c r="P318" s="317">
        <v>4.3218465542569228E-5</v>
      </c>
    </row>
    <row r="319" spans="1:16" ht="36" customHeight="1" x14ac:dyDescent="0.4">
      <c r="A319" s="313" t="s">
        <v>1854</v>
      </c>
      <c r="B319" s="313">
        <v>91837</v>
      </c>
      <c r="C319" s="313" t="s">
        <v>395</v>
      </c>
      <c r="D319" s="313" t="s">
        <v>5956</v>
      </c>
      <c r="E319" s="314" t="s">
        <v>7</v>
      </c>
      <c r="F319" s="315">
        <v>1</v>
      </c>
      <c r="G319" s="316">
        <v>28.66</v>
      </c>
      <c r="H319" s="316">
        <v>13.45</v>
      </c>
      <c r="I319" s="316">
        <v>1</v>
      </c>
      <c r="J319" s="316">
        <v>14.21</v>
      </c>
      <c r="K319" s="316">
        <v>28.66</v>
      </c>
      <c r="L319" s="316">
        <v>13.45</v>
      </c>
      <c r="M319" s="316">
        <v>1</v>
      </c>
      <c r="N319" s="316">
        <v>14.21</v>
      </c>
      <c r="O319" s="316">
        <v>28.66</v>
      </c>
      <c r="P319" s="317">
        <v>4.9289344307601834E-5</v>
      </c>
    </row>
    <row r="320" spans="1:16" ht="36" customHeight="1" x14ac:dyDescent="0.4">
      <c r="A320" s="313" t="s">
        <v>1855</v>
      </c>
      <c r="B320" s="313">
        <v>91941</v>
      </c>
      <c r="C320" s="313" t="s">
        <v>395</v>
      </c>
      <c r="D320" s="313" t="s">
        <v>5944</v>
      </c>
      <c r="E320" s="314" t="s">
        <v>4</v>
      </c>
      <c r="F320" s="315">
        <v>1</v>
      </c>
      <c r="G320" s="316">
        <v>16.41</v>
      </c>
      <c r="H320" s="316">
        <v>9.3000000000000007</v>
      </c>
      <c r="I320" s="316">
        <v>0.82</v>
      </c>
      <c r="J320" s="316">
        <v>6.29</v>
      </c>
      <c r="K320" s="316">
        <v>16.41</v>
      </c>
      <c r="L320" s="316">
        <v>9.3000000000000007</v>
      </c>
      <c r="M320" s="316">
        <v>0.82</v>
      </c>
      <c r="N320" s="316">
        <v>6.29</v>
      </c>
      <c r="O320" s="316">
        <v>16.41</v>
      </c>
      <c r="P320" s="317">
        <v>2.8221847176822959E-5</v>
      </c>
    </row>
    <row r="321" spans="1:16" ht="24" customHeight="1" x14ac:dyDescent="0.4">
      <c r="A321" s="313" t="s">
        <v>1857</v>
      </c>
      <c r="B321" s="313" t="s">
        <v>418</v>
      </c>
      <c r="C321" s="313" t="s">
        <v>5902</v>
      </c>
      <c r="D321" s="313" t="s">
        <v>419</v>
      </c>
      <c r="E321" s="314" t="s">
        <v>4</v>
      </c>
      <c r="F321" s="315">
        <v>1</v>
      </c>
      <c r="G321" s="316">
        <v>87.43</v>
      </c>
      <c r="H321" s="316">
        <v>44.67</v>
      </c>
      <c r="I321" s="316">
        <v>0</v>
      </c>
      <c r="J321" s="316">
        <v>42.76</v>
      </c>
      <c r="K321" s="316">
        <v>87.43</v>
      </c>
      <c r="L321" s="316">
        <v>44.67</v>
      </c>
      <c r="M321" s="316">
        <v>0</v>
      </c>
      <c r="N321" s="316">
        <v>42.76</v>
      </c>
      <c r="O321" s="316">
        <v>87.43</v>
      </c>
      <c r="P321" s="317">
        <v>1.5036173666481604E-4</v>
      </c>
    </row>
    <row r="322" spans="1:16" ht="36" customHeight="1" x14ac:dyDescent="0.4">
      <c r="A322" s="313" t="s">
        <v>1859</v>
      </c>
      <c r="B322" s="313">
        <v>11415</v>
      </c>
      <c r="C322" s="313" t="s">
        <v>420</v>
      </c>
      <c r="D322" s="313" t="s">
        <v>1826</v>
      </c>
      <c r="E322" s="314" t="s">
        <v>422</v>
      </c>
      <c r="F322" s="315">
        <v>1</v>
      </c>
      <c r="G322" s="316">
        <v>25.64</v>
      </c>
      <c r="H322" s="316">
        <v>10.82</v>
      </c>
      <c r="I322" s="316">
        <v>0</v>
      </c>
      <c r="J322" s="316">
        <v>14.82</v>
      </c>
      <c r="K322" s="316">
        <v>25.64</v>
      </c>
      <c r="L322" s="316">
        <v>10.82</v>
      </c>
      <c r="M322" s="316">
        <v>0</v>
      </c>
      <c r="N322" s="316">
        <v>14.82</v>
      </c>
      <c r="O322" s="316">
        <v>25.64</v>
      </c>
      <c r="P322" s="317">
        <v>4.4095561341483283E-5</v>
      </c>
    </row>
    <row r="323" spans="1:16" ht="36" customHeight="1" x14ac:dyDescent="0.4">
      <c r="A323" s="313" t="s">
        <v>1860</v>
      </c>
      <c r="B323" s="313" t="s">
        <v>521</v>
      </c>
      <c r="C323" s="313" t="s">
        <v>5902</v>
      </c>
      <c r="D323" s="313" t="s">
        <v>522</v>
      </c>
      <c r="E323" s="314" t="s">
        <v>4</v>
      </c>
      <c r="F323" s="315">
        <v>1</v>
      </c>
      <c r="G323" s="316">
        <v>6</v>
      </c>
      <c r="H323" s="316">
        <v>1.82</v>
      </c>
      <c r="I323" s="316">
        <v>0</v>
      </c>
      <c r="J323" s="316">
        <v>4.18</v>
      </c>
      <c r="K323" s="316">
        <v>6</v>
      </c>
      <c r="L323" s="316">
        <v>1.82</v>
      </c>
      <c r="M323" s="316">
        <v>0</v>
      </c>
      <c r="N323" s="316">
        <v>4.18</v>
      </c>
      <c r="O323" s="316">
        <v>6</v>
      </c>
      <c r="P323" s="317">
        <v>1.0318774104871284E-5</v>
      </c>
    </row>
    <row r="324" spans="1:16" ht="36" customHeight="1" x14ac:dyDescent="0.4">
      <c r="A324" s="313" t="s">
        <v>1861</v>
      </c>
      <c r="B324" s="313" t="s">
        <v>523</v>
      </c>
      <c r="C324" s="313" t="s">
        <v>5902</v>
      </c>
      <c r="D324" s="313" t="s">
        <v>524</v>
      </c>
      <c r="E324" s="314" t="s">
        <v>4</v>
      </c>
      <c r="F324" s="315">
        <v>1</v>
      </c>
      <c r="G324" s="316">
        <v>11.5</v>
      </c>
      <c r="H324" s="316">
        <v>1.82</v>
      </c>
      <c r="I324" s="316">
        <v>0</v>
      </c>
      <c r="J324" s="316">
        <v>9.68</v>
      </c>
      <c r="K324" s="316">
        <v>11.5</v>
      </c>
      <c r="L324" s="316">
        <v>1.82</v>
      </c>
      <c r="M324" s="316">
        <v>0</v>
      </c>
      <c r="N324" s="316">
        <v>9.68</v>
      </c>
      <c r="O324" s="316">
        <v>11.5</v>
      </c>
      <c r="P324" s="317">
        <v>1.977765036766996E-5</v>
      </c>
    </row>
    <row r="325" spans="1:16" ht="24" customHeight="1" x14ac:dyDescent="0.4">
      <c r="A325" s="313" t="s">
        <v>1862</v>
      </c>
      <c r="B325" s="313" t="s">
        <v>523</v>
      </c>
      <c r="C325" s="313" t="s">
        <v>5902</v>
      </c>
      <c r="D325" s="313" t="s">
        <v>524</v>
      </c>
      <c r="E325" s="314" t="s">
        <v>4</v>
      </c>
      <c r="F325" s="315">
        <v>1</v>
      </c>
      <c r="G325" s="316">
        <v>11.5</v>
      </c>
      <c r="H325" s="316">
        <v>1.82</v>
      </c>
      <c r="I325" s="316">
        <v>0</v>
      </c>
      <c r="J325" s="316">
        <v>9.68</v>
      </c>
      <c r="K325" s="316">
        <v>11.5</v>
      </c>
      <c r="L325" s="316">
        <v>1.82</v>
      </c>
      <c r="M325" s="316">
        <v>0</v>
      </c>
      <c r="N325" s="316">
        <v>9.68</v>
      </c>
      <c r="O325" s="316">
        <v>11.5</v>
      </c>
      <c r="P325" s="317">
        <v>1.977765036766996E-5</v>
      </c>
    </row>
    <row r="326" spans="1:16" ht="36" customHeight="1" x14ac:dyDescent="0.4">
      <c r="A326" s="313" t="s">
        <v>1864</v>
      </c>
      <c r="B326" s="313">
        <v>91944</v>
      </c>
      <c r="C326" s="313" t="s">
        <v>395</v>
      </c>
      <c r="D326" s="313" t="s">
        <v>5945</v>
      </c>
      <c r="E326" s="314" t="s">
        <v>4</v>
      </c>
      <c r="F326" s="315">
        <v>1</v>
      </c>
      <c r="G326" s="316">
        <v>20.2</v>
      </c>
      <c r="H326" s="316">
        <v>9.64</v>
      </c>
      <c r="I326" s="316">
        <v>0.86</v>
      </c>
      <c r="J326" s="316">
        <v>9.6999999999999993</v>
      </c>
      <c r="K326" s="316">
        <v>20.2</v>
      </c>
      <c r="L326" s="316">
        <v>9.64</v>
      </c>
      <c r="M326" s="316">
        <v>0.86</v>
      </c>
      <c r="N326" s="316">
        <v>9.6999999999999993</v>
      </c>
      <c r="O326" s="316">
        <v>20.2</v>
      </c>
      <c r="P326" s="317">
        <v>3.4739872819733319E-5</v>
      </c>
    </row>
    <row r="327" spans="1:16" ht="36" customHeight="1" x14ac:dyDescent="0.4">
      <c r="A327" s="313" t="s">
        <v>1865</v>
      </c>
      <c r="B327" s="313">
        <v>91835</v>
      </c>
      <c r="C327" s="313" t="s">
        <v>395</v>
      </c>
      <c r="D327" s="313" t="s">
        <v>5958</v>
      </c>
      <c r="E327" s="314" t="s">
        <v>7</v>
      </c>
      <c r="F327" s="315">
        <v>1</v>
      </c>
      <c r="G327" s="316">
        <v>23.91</v>
      </c>
      <c r="H327" s="316">
        <v>12.67</v>
      </c>
      <c r="I327" s="316">
        <v>0.92</v>
      </c>
      <c r="J327" s="316">
        <v>10.32</v>
      </c>
      <c r="K327" s="316">
        <v>23.91</v>
      </c>
      <c r="L327" s="316">
        <v>12.67</v>
      </c>
      <c r="M327" s="316">
        <v>0.92</v>
      </c>
      <c r="N327" s="316">
        <v>10.32</v>
      </c>
      <c r="O327" s="316">
        <v>23.91</v>
      </c>
      <c r="P327" s="317">
        <v>4.1120314807912065E-5</v>
      </c>
    </row>
    <row r="328" spans="1:16" ht="36" customHeight="1" x14ac:dyDescent="0.4">
      <c r="A328" s="313" t="s">
        <v>1866</v>
      </c>
      <c r="B328" s="313">
        <v>612</v>
      </c>
      <c r="C328" s="313" t="s">
        <v>575</v>
      </c>
      <c r="D328" s="313" t="s">
        <v>2023</v>
      </c>
      <c r="E328" s="314" t="s">
        <v>4</v>
      </c>
      <c r="F328" s="315">
        <v>1</v>
      </c>
      <c r="G328" s="316">
        <v>35.56</v>
      </c>
      <c r="H328" s="316">
        <v>16.75</v>
      </c>
      <c r="I328" s="316">
        <v>0</v>
      </c>
      <c r="J328" s="316">
        <v>18.809999999999999</v>
      </c>
      <c r="K328" s="316">
        <v>35.56</v>
      </c>
      <c r="L328" s="316">
        <v>16.75</v>
      </c>
      <c r="M328" s="316">
        <v>0</v>
      </c>
      <c r="N328" s="316">
        <v>18.809999999999999</v>
      </c>
      <c r="O328" s="316">
        <v>35.56</v>
      </c>
      <c r="P328" s="317">
        <v>6.1155934528203811E-5</v>
      </c>
    </row>
    <row r="329" spans="1:16" ht="24" customHeight="1" x14ac:dyDescent="0.4">
      <c r="A329" s="313" t="s">
        <v>1867</v>
      </c>
      <c r="B329" s="313">
        <v>97549</v>
      </c>
      <c r="C329" s="313" t="s">
        <v>395</v>
      </c>
      <c r="D329" s="313" t="s">
        <v>5952</v>
      </c>
      <c r="E329" s="314" t="s">
        <v>4</v>
      </c>
      <c r="F329" s="315">
        <v>1</v>
      </c>
      <c r="G329" s="316">
        <v>62.5</v>
      </c>
      <c r="H329" s="316">
        <v>25.81</v>
      </c>
      <c r="I329" s="316">
        <v>2.13</v>
      </c>
      <c r="J329" s="316">
        <v>34.56</v>
      </c>
      <c r="K329" s="316">
        <v>62.5</v>
      </c>
      <c r="L329" s="316">
        <v>25.81</v>
      </c>
      <c r="M329" s="316">
        <v>2.13</v>
      </c>
      <c r="N329" s="316">
        <v>34.56</v>
      </c>
      <c r="O329" s="316">
        <v>62.5</v>
      </c>
      <c r="P329" s="317">
        <v>1.0748723025907587E-4</v>
      </c>
    </row>
    <row r="330" spans="1:16" ht="24" customHeight="1" x14ac:dyDescent="0.4">
      <c r="A330" s="313" t="s">
        <v>1868</v>
      </c>
      <c r="B330" s="313">
        <v>95745</v>
      </c>
      <c r="C330" s="313" t="s">
        <v>395</v>
      </c>
      <c r="D330" s="313" t="s">
        <v>21</v>
      </c>
      <c r="E330" s="314" t="s">
        <v>7</v>
      </c>
      <c r="F330" s="315">
        <v>1</v>
      </c>
      <c r="G330" s="316">
        <v>32.14</v>
      </c>
      <c r="H330" s="316">
        <v>14.14</v>
      </c>
      <c r="I330" s="316">
        <v>1.05</v>
      </c>
      <c r="J330" s="316">
        <v>16.95</v>
      </c>
      <c r="K330" s="316">
        <v>32.14</v>
      </c>
      <c r="L330" s="316">
        <v>14.14</v>
      </c>
      <c r="M330" s="316">
        <v>1.05</v>
      </c>
      <c r="N330" s="316">
        <v>16.95</v>
      </c>
      <c r="O330" s="316">
        <v>32.14</v>
      </c>
      <c r="P330" s="317">
        <v>5.5274233288427177E-5</v>
      </c>
    </row>
    <row r="331" spans="1:16" ht="24" customHeight="1" x14ac:dyDescent="0.4">
      <c r="A331" s="313" t="s">
        <v>1870</v>
      </c>
      <c r="B331" s="313">
        <v>11304</v>
      </c>
      <c r="C331" s="313" t="s">
        <v>420</v>
      </c>
      <c r="D331" s="313" t="s">
        <v>532</v>
      </c>
      <c r="E331" s="314" t="s">
        <v>422</v>
      </c>
      <c r="F331" s="315">
        <v>1</v>
      </c>
      <c r="G331" s="316">
        <v>4.53</v>
      </c>
      <c r="H331" s="316">
        <v>1.1499999999999999</v>
      </c>
      <c r="I331" s="316">
        <v>0</v>
      </c>
      <c r="J331" s="316">
        <v>3.38</v>
      </c>
      <c r="K331" s="316">
        <v>4.53</v>
      </c>
      <c r="L331" s="316">
        <v>1.1499999999999999</v>
      </c>
      <c r="M331" s="316">
        <v>0</v>
      </c>
      <c r="N331" s="316">
        <v>3.38</v>
      </c>
      <c r="O331" s="316">
        <v>4.53</v>
      </c>
      <c r="P331" s="317">
        <v>7.7906744491778182E-6</v>
      </c>
    </row>
    <row r="332" spans="1:16" ht="24" customHeight="1" x14ac:dyDescent="0.4">
      <c r="A332" s="313" t="s">
        <v>1871</v>
      </c>
      <c r="B332" s="313">
        <v>8351</v>
      </c>
      <c r="C332" s="313" t="s">
        <v>420</v>
      </c>
      <c r="D332" s="313" t="s">
        <v>448</v>
      </c>
      <c r="E332" s="314" t="s">
        <v>422</v>
      </c>
      <c r="F332" s="315">
        <v>1</v>
      </c>
      <c r="G332" s="316">
        <v>4.59</v>
      </c>
      <c r="H332" s="316">
        <v>3.61</v>
      </c>
      <c r="I332" s="316">
        <v>0</v>
      </c>
      <c r="J332" s="316">
        <v>0.98</v>
      </c>
      <c r="K332" s="316">
        <v>4.59</v>
      </c>
      <c r="L332" s="316">
        <v>3.61</v>
      </c>
      <c r="M332" s="316">
        <v>0</v>
      </c>
      <c r="N332" s="316">
        <v>0.98</v>
      </c>
      <c r="O332" s="316">
        <v>4.59</v>
      </c>
      <c r="P332" s="317">
        <v>7.8938621902265324E-6</v>
      </c>
    </row>
    <row r="333" spans="1:16" ht="24" customHeight="1" x14ac:dyDescent="0.4">
      <c r="A333" s="313" t="s">
        <v>1872</v>
      </c>
      <c r="B333" s="313">
        <v>91835</v>
      </c>
      <c r="C333" s="313" t="s">
        <v>395</v>
      </c>
      <c r="D333" s="313" t="s">
        <v>5958</v>
      </c>
      <c r="E333" s="314" t="s">
        <v>7</v>
      </c>
      <c r="F333" s="315">
        <v>1</v>
      </c>
      <c r="G333" s="316">
        <v>23.91</v>
      </c>
      <c r="H333" s="316">
        <v>12.67</v>
      </c>
      <c r="I333" s="316">
        <v>0.92</v>
      </c>
      <c r="J333" s="316">
        <v>10.32</v>
      </c>
      <c r="K333" s="316">
        <v>23.91</v>
      </c>
      <c r="L333" s="316">
        <v>12.67</v>
      </c>
      <c r="M333" s="316">
        <v>0.92</v>
      </c>
      <c r="N333" s="316">
        <v>10.32</v>
      </c>
      <c r="O333" s="316">
        <v>23.91</v>
      </c>
      <c r="P333" s="317">
        <v>4.1120314807912065E-5</v>
      </c>
    </row>
    <row r="334" spans="1:16" ht="24" customHeight="1" x14ac:dyDescent="0.4">
      <c r="A334" s="313" t="s">
        <v>1023</v>
      </c>
      <c r="B334" s="313">
        <v>97667</v>
      </c>
      <c r="C334" s="313" t="s">
        <v>395</v>
      </c>
      <c r="D334" s="313" t="s">
        <v>397</v>
      </c>
      <c r="E334" s="314" t="s">
        <v>7</v>
      </c>
      <c r="F334" s="315">
        <v>1</v>
      </c>
      <c r="G334" s="316">
        <v>10.220000000000001</v>
      </c>
      <c r="H334" s="316">
        <v>3.74</v>
      </c>
      <c r="I334" s="316">
        <v>0.34</v>
      </c>
      <c r="J334" s="316">
        <v>6.14</v>
      </c>
      <c r="K334" s="316">
        <v>10.220000000000001</v>
      </c>
      <c r="L334" s="316">
        <v>3.74</v>
      </c>
      <c r="M334" s="316">
        <v>0.34</v>
      </c>
      <c r="N334" s="316">
        <v>6.14</v>
      </c>
      <c r="O334" s="316">
        <v>10.220000000000001</v>
      </c>
      <c r="P334" s="317">
        <v>1.7576311891964088E-5</v>
      </c>
    </row>
    <row r="335" spans="1:16" ht="36" customHeight="1" x14ac:dyDescent="0.4">
      <c r="A335" s="313" t="s">
        <v>1024</v>
      </c>
      <c r="B335" s="313">
        <v>91944</v>
      </c>
      <c r="C335" s="313" t="s">
        <v>395</v>
      </c>
      <c r="D335" s="313" t="s">
        <v>5945</v>
      </c>
      <c r="E335" s="314" t="s">
        <v>4</v>
      </c>
      <c r="F335" s="315">
        <v>1</v>
      </c>
      <c r="G335" s="316">
        <v>20.2</v>
      </c>
      <c r="H335" s="316">
        <v>9.64</v>
      </c>
      <c r="I335" s="316">
        <v>0.86</v>
      </c>
      <c r="J335" s="316">
        <v>9.6999999999999993</v>
      </c>
      <c r="K335" s="316">
        <v>20.2</v>
      </c>
      <c r="L335" s="316">
        <v>9.64</v>
      </c>
      <c r="M335" s="316">
        <v>0.86</v>
      </c>
      <c r="N335" s="316">
        <v>9.6999999999999993</v>
      </c>
      <c r="O335" s="316">
        <v>20.2</v>
      </c>
      <c r="P335" s="317">
        <v>3.4739872819733319E-5</v>
      </c>
    </row>
    <row r="336" spans="1:16" ht="36" customHeight="1" x14ac:dyDescent="0.4">
      <c r="A336" s="313" t="s">
        <v>1026</v>
      </c>
      <c r="B336" s="313" t="s">
        <v>418</v>
      </c>
      <c r="C336" s="313" t="s">
        <v>5902</v>
      </c>
      <c r="D336" s="313" t="s">
        <v>419</v>
      </c>
      <c r="E336" s="314" t="s">
        <v>4</v>
      </c>
      <c r="F336" s="315">
        <v>1</v>
      </c>
      <c r="G336" s="316">
        <v>87.43</v>
      </c>
      <c r="H336" s="316">
        <v>44.67</v>
      </c>
      <c r="I336" s="316">
        <v>0</v>
      </c>
      <c r="J336" s="316">
        <v>42.76</v>
      </c>
      <c r="K336" s="316">
        <v>87.43</v>
      </c>
      <c r="L336" s="316">
        <v>44.67</v>
      </c>
      <c r="M336" s="316">
        <v>0</v>
      </c>
      <c r="N336" s="316">
        <v>42.76</v>
      </c>
      <c r="O336" s="316">
        <v>87.43</v>
      </c>
      <c r="P336" s="317">
        <v>1.5036173666481604E-4</v>
      </c>
    </row>
    <row r="337" spans="1:16" ht="36" customHeight="1" x14ac:dyDescent="0.4">
      <c r="A337" s="313" t="s">
        <v>1874</v>
      </c>
      <c r="B337" s="313" t="s">
        <v>523</v>
      </c>
      <c r="C337" s="313" t="s">
        <v>5902</v>
      </c>
      <c r="D337" s="313" t="s">
        <v>524</v>
      </c>
      <c r="E337" s="314" t="s">
        <v>4</v>
      </c>
      <c r="F337" s="315">
        <v>1</v>
      </c>
      <c r="G337" s="316">
        <v>11.5</v>
      </c>
      <c r="H337" s="316">
        <v>1.82</v>
      </c>
      <c r="I337" s="316">
        <v>0</v>
      </c>
      <c r="J337" s="316">
        <v>9.68</v>
      </c>
      <c r="K337" s="316">
        <v>11.5</v>
      </c>
      <c r="L337" s="316">
        <v>1.82</v>
      </c>
      <c r="M337" s="316">
        <v>0</v>
      </c>
      <c r="N337" s="316">
        <v>9.68</v>
      </c>
      <c r="O337" s="316">
        <v>11.5</v>
      </c>
      <c r="P337" s="317">
        <v>1.977765036766996E-5</v>
      </c>
    </row>
    <row r="338" spans="1:16" ht="36" customHeight="1" x14ac:dyDescent="0.4">
      <c r="A338" s="313" t="s">
        <v>1875</v>
      </c>
      <c r="B338" s="313" t="s">
        <v>450</v>
      </c>
      <c r="C338" s="313" t="s">
        <v>5902</v>
      </c>
      <c r="D338" s="313" t="s">
        <v>451</v>
      </c>
      <c r="E338" s="314" t="s">
        <v>4</v>
      </c>
      <c r="F338" s="315">
        <v>1</v>
      </c>
      <c r="G338" s="316">
        <v>19.350000000000001</v>
      </c>
      <c r="H338" s="316">
        <v>11.16</v>
      </c>
      <c r="I338" s="316">
        <v>0</v>
      </c>
      <c r="J338" s="316">
        <v>8.19</v>
      </c>
      <c r="K338" s="316">
        <v>19.350000000000001</v>
      </c>
      <c r="L338" s="316">
        <v>11.16</v>
      </c>
      <c r="M338" s="316">
        <v>0</v>
      </c>
      <c r="N338" s="316">
        <v>8.19</v>
      </c>
      <c r="O338" s="316">
        <v>19.350000000000001</v>
      </c>
      <c r="P338" s="317">
        <v>3.327804648820989E-5</v>
      </c>
    </row>
    <row r="339" spans="1:16" ht="48" customHeight="1" x14ac:dyDescent="0.4">
      <c r="A339" s="313" t="s">
        <v>1877</v>
      </c>
      <c r="B339" s="313" t="s">
        <v>452</v>
      </c>
      <c r="C339" s="313" t="s">
        <v>5902</v>
      </c>
      <c r="D339" s="313" t="s">
        <v>453</v>
      </c>
      <c r="E339" s="314" t="s">
        <v>4</v>
      </c>
      <c r="F339" s="315">
        <v>1</v>
      </c>
      <c r="G339" s="316">
        <v>244.09</v>
      </c>
      <c r="H339" s="316">
        <v>55.83</v>
      </c>
      <c r="I339" s="316">
        <v>0</v>
      </c>
      <c r="J339" s="316">
        <v>188.26</v>
      </c>
      <c r="K339" s="316">
        <v>244.09</v>
      </c>
      <c r="L339" s="316">
        <v>55.83</v>
      </c>
      <c r="M339" s="316">
        <v>0</v>
      </c>
      <c r="N339" s="316">
        <v>188.26</v>
      </c>
      <c r="O339" s="316">
        <v>244.09</v>
      </c>
      <c r="P339" s="317">
        <v>4.1978492854300527E-4</v>
      </c>
    </row>
    <row r="340" spans="1:16" ht="36" customHeight="1" x14ac:dyDescent="0.4">
      <c r="A340" s="313" t="s">
        <v>1879</v>
      </c>
      <c r="B340" s="313">
        <v>12890</v>
      </c>
      <c r="C340" s="313" t="s">
        <v>420</v>
      </c>
      <c r="D340" s="313" t="s">
        <v>531</v>
      </c>
      <c r="E340" s="314" t="s">
        <v>422</v>
      </c>
      <c r="F340" s="315">
        <v>1</v>
      </c>
      <c r="G340" s="316">
        <v>240.59</v>
      </c>
      <c r="H340" s="316">
        <v>10.82</v>
      </c>
      <c r="I340" s="316">
        <v>0</v>
      </c>
      <c r="J340" s="316">
        <v>229.77</v>
      </c>
      <c r="K340" s="316">
        <v>240.59</v>
      </c>
      <c r="L340" s="316">
        <v>10.82</v>
      </c>
      <c r="M340" s="316">
        <v>0</v>
      </c>
      <c r="N340" s="316">
        <v>229.77</v>
      </c>
      <c r="O340" s="316">
        <v>240.59</v>
      </c>
      <c r="P340" s="317">
        <v>4.1376564364849699E-4</v>
      </c>
    </row>
    <row r="341" spans="1:16" ht="24" customHeight="1" x14ac:dyDescent="0.4">
      <c r="A341" s="313" t="s">
        <v>1886</v>
      </c>
      <c r="B341" s="313" t="s">
        <v>454</v>
      </c>
      <c r="C341" s="313" t="s">
        <v>455</v>
      </c>
      <c r="D341" s="313" t="s">
        <v>456</v>
      </c>
      <c r="E341" s="314" t="s">
        <v>4</v>
      </c>
      <c r="F341" s="315">
        <v>1</v>
      </c>
      <c r="G341" s="316">
        <v>1.46</v>
      </c>
      <c r="H341" s="316">
        <v>1.45</v>
      </c>
      <c r="I341" s="316">
        <v>0</v>
      </c>
      <c r="J341" s="316">
        <v>0.01</v>
      </c>
      <c r="K341" s="316">
        <v>1.46</v>
      </c>
      <c r="L341" s="316">
        <v>1.45</v>
      </c>
      <c r="M341" s="316">
        <v>0</v>
      </c>
      <c r="N341" s="316">
        <v>0.01</v>
      </c>
      <c r="O341" s="316">
        <v>1.46</v>
      </c>
      <c r="P341" s="317">
        <v>2.5109016988520122E-6</v>
      </c>
    </row>
    <row r="342" spans="1:16" ht="48" customHeight="1" x14ac:dyDescent="0.4">
      <c r="A342" s="313" t="s">
        <v>1887</v>
      </c>
      <c r="B342" s="313">
        <v>11749</v>
      </c>
      <c r="C342" s="313" t="s">
        <v>420</v>
      </c>
      <c r="D342" s="313" t="s">
        <v>457</v>
      </c>
      <c r="E342" s="314" t="s">
        <v>437</v>
      </c>
      <c r="F342" s="315">
        <v>1</v>
      </c>
      <c r="G342" s="316">
        <v>11.09</v>
      </c>
      <c r="H342" s="316">
        <v>3.61</v>
      </c>
      <c r="I342" s="316">
        <v>0</v>
      </c>
      <c r="J342" s="316">
        <v>7.48</v>
      </c>
      <c r="K342" s="316">
        <v>11.09</v>
      </c>
      <c r="L342" s="316">
        <v>3.61</v>
      </c>
      <c r="M342" s="316">
        <v>0</v>
      </c>
      <c r="N342" s="316">
        <v>7.48</v>
      </c>
      <c r="O342" s="316">
        <v>11.09</v>
      </c>
      <c r="P342" s="317">
        <v>1.9072534137170423E-5</v>
      </c>
    </row>
    <row r="343" spans="1:16" ht="36" customHeight="1" x14ac:dyDescent="0.4">
      <c r="A343" s="313" t="s">
        <v>1889</v>
      </c>
      <c r="B343" s="313">
        <v>95795</v>
      </c>
      <c r="C343" s="313" t="s">
        <v>395</v>
      </c>
      <c r="D343" s="313" t="s">
        <v>5946</v>
      </c>
      <c r="E343" s="314" t="s">
        <v>4</v>
      </c>
      <c r="F343" s="315">
        <v>1</v>
      </c>
      <c r="G343" s="316">
        <v>42.41</v>
      </c>
      <c r="H343" s="316">
        <v>20.85</v>
      </c>
      <c r="I343" s="316">
        <v>1.77</v>
      </c>
      <c r="J343" s="316">
        <v>19.79</v>
      </c>
      <c r="K343" s="316">
        <v>42.41</v>
      </c>
      <c r="L343" s="316">
        <v>20.85</v>
      </c>
      <c r="M343" s="316">
        <v>1.77</v>
      </c>
      <c r="N343" s="316">
        <v>19.79</v>
      </c>
      <c r="O343" s="316">
        <v>42.41</v>
      </c>
      <c r="P343" s="317">
        <v>7.293653496459852E-5</v>
      </c>
    </row>
    <row r="344" spans="1:16" ht="24" customHeight="1" x14ac:dyDescent="0.4">
      <c r="A344" s="313" t="s">
        <v>1894</v>
      </c>
      <c r="B344" s="313">
        <v>95745</v>
      </c>
      <c r="C344" s="313" t="s">
        <v>395</v>
      </c>
      <c r="D344" s="313" t="s">
        <v>21</v>
      </c>
      <c r="E344" s="314" t="s">
        <v>7</v>
      </c>
      <c r="F344" s="315">
        <v>1</v>
      </c>
      <c r="G344" s="316">
        <v>32.14</v>
      </c>
      <c r="H344" s="316">
        <v>14.14</v>
      </c>
      <c r="I344" s="316">
        <v>1.05</v>
      </c>
      <c r="J344" s="316">
        <v>16.95</v>
      </c>
      <c r="K344" s="316">
        <v>32.14</v>
      </c>
      <c r="L344" s="316">
        <v>14.14</v>
      </c>
      <c r="M344" s="316">
        <v>1.05</v>
      </c>
      <c r="N344" s="316">
        <v>16.95</v>
      </c>
      <c r="O344" s="316">
        <v>32.14</v>
      </c>
      <c r="P344" s="317">
        <v>5.5274233288427177E-5</v>
      </c>
    </row>
    <row r="345" spans="1:16" ht="24" customHeight="1" x14ac:dyDescent="0.4">
      <c r="A345" s="313" t="s">
        <v>1895</v>
      </c>
      <c r="B345" s="313">
        <v>97549</v>
      </c>
      <c r="C345" s="313" t="s">
        <v>395</v>
      </c>
      <c r="D345" s="313" t="s">
        <v>5952</v>
      </c>
      <c r="E345" s="314" t="s">
        <v>4</v>
      </c>
      <c r="F345" s="315">
        <v>1</v>
      </c>
      <c r="G345" s="316">
        <v>62.5</v>
      </c>
      <c r="H345" s="316">
        <v>25.81</v>
      </c>
      <c r="I345" s="316">
        <v>2.13</v>
      </c>
      <c r="J345" s="316">
        <v>34.56</v>
      </c>
      <c r="K345" s="316">
        <v>62.5</v>
      </c>
      <c r="L345" s="316">
        <v>25.81</v>
      </c>
      <c r="M345" s="316">
        <v>2.13</v>
      </c>
      <c r="N345" s="316">
        <v>34.56</v>
      </c>
      <c r="O345" s="316">
        <v>62.5</v>
      </c>
      <c r="P345" s="317">
        <v>1.0748723025907587E-4</v>
      </c>
    </row>
    <row r="346" spans="1:16" ht="24" customHeight="1" x14ac:dyDescent="0.4">
      <c r="A346" s="313" t="s">
        <v>1896</v>
      </c>
      <c r="B346" s="313" t="s">
        <v>460</v>
      </c>
      <c r="C346" s="313" t="s">
        <v>439</v>
      </c>
      <c r="D346" s="313" t="s">
        <v>461</v>
      </c>
      <c r="E346" s="314" t="s">
        <v>422</v>
      </c>
      <c r="F346" s="315">
        <v>1</v>
      </c>
      <c r="G346" s="316">
        <v>17.649999999999999</v>
      </c>
      <c r="H346" s="316">
        <v>9.0399999999999991</v>
      </c>
      <c r="I346" s="316">
        <v>0</v>
      </c>
      <c r="J346" s="316">
        <v>8.61</v>
      </c>
      <c r="K346" s="316">
        <v>17.649999999999999</v>
      </c>
      <c r="L346" s="316">
        <v>9.0399999999999991</v>
      </c>
      <c r="M346" s="316">
        <v>0</v>
      </c>
      <c r="N346" s="316">
        <v>8.61</v>
      </c>
      <c r="O346" s="316">
        <v>17.649999999999999</v>
      </c>
      <c r="P346" s="317">
        <v>3.0354393825163027E-5</v>
      </c>
    </row>
    <row r="347" spans="1:16" ht="36" customHeight="1" x14ac:dyDescent="0.4">
      <c r="A347" s="313" t="s">
        <v>1897</v>
      </c>
      <c r="B347" s="313">
        <v>95745</v>
      </c>
      <c r="C347" s="313" t="s">
        <v>395</v>
      </c>
      <c r="D347" s="313" t="s">
        <v>21</v>
      </c>
      <c r="E347" s="314" t="s">
        <v>7</v>
      </c>
      <c r="F347" s="315">
        <v>1</v>
      </c>
      <c r="G347" s="316">
        <v>32.14</v>
      </c>
      <c r="H347" s="316">
        <v>14.14</v>
      </c>
      <c r="I347" s="316">
        <v>1.05</v>
      </c>
      <c r="J347" s="316">
        <v>16.95</v>
      </c>
      <c r="K347" s="316">
        <v>32.14</v>
      </c>
      <c r="L347" s="316">
        <v>14.14</v>
      </c>
      <c r="M347" s="316">
        <v>1.05</v>
      </c>
      <c r="N347" s="316">
        <v>16.95</v>
      </c>
      <c r="O347" s="316">
        <v>32.14</v>
      </c>
      <c r="P347" s="317">
        <v>5.5274233288427177E-5</v>
      </c>
    </row>
    <row r="348" spans="1:16" ht="36" customHeight="1" x14ac:dyDescent="0.4">
      <c r="A348" s="313" t="s">
        <v>1898</v>
      </c>
      <c r="B348" s="313" t="s">
        <v>454</v>
      </c>
      <c r="C348" s="313" t="s">
        <v>455</v>
      </c>
      <c r="D348" s="313" t="s">
        <v>456</v>
      </c>
      <c r="E348" s="314" t="s">
        <v>4</v>
      </c>
      <c r="F348" s="315">
        <v>1</v>
      </c>
      <c r="G348" s="316">
        <v>1.46</v>
      </c>
      <c r="H348" s="316">
        <v>1.45</v>
      </c>
      <c r="I348" s="316">
        <v>0</v>
      </c>
      <c r="J348" s="316">
        <v>0.01</v>
      </c>
      <c r="K348" s="316">
        <v>1.46</v>
      </c>
      <c r="L348" s="316">
        <v>1.45</v>
      </c>
      <c r="M348" s="316">
        <v>0</v>
      </c>
      <c r="N348" s="316">
        <v>0.01</v>
      </c>
      <c r="O348" s="316">
        <v>1.46</v>
      </c>
      <c r="P348" s="317">
        <v>2.5109016988520122E-6</v>
      </c>
    </row>
    <row r="349" spans="1:16" ht="24" customHeight="1" x14ac:dyDescent="0.4">
      <c r="A349" s="313" t="s">
        <v>1899</v>
      </c>
      <c r="B349" s="313" t="s">
        <v>460</v>
      </c>
      <c r="C349" s="313" t="s">
        <v>439</v>
      </c>
      <c r="D349" s="313" t="s">
        <v>461</v>
      </c>
      <c r="E349" s="314" t="s">
        <v>422</v>
      </c>
      <c r="F349" s="315">
        <v>1</v>
      </c>
      <c r="G349" s="316">
        <v>17.649999999999999</v>
      </c>
      <c r="H349" s="316">
        <v>9.0399999999999991</v>
      </c>
      <c r="I349" s="316">
        <v>0</v>
      </c>
      <c r="J349" s="316">
        <v>8.61</v>
      </c>
      <c r="K349" s="316">
        <v>17.649999999999999</v>
      </c>
      <c r="L349" s="316">
        <v>9.0399999999999991</v>
      </c>
      <c r="M349" s="316">
        <v>0</v>
      </c>
      <c r="N349" s="316">
        <v>8.61</v>
      </c>
      <c r="O349" s="316">
        <v>17.649999999999999</v>
      </c>
      <c r="P349" s="317">
        <v>3.0354393825163027E-5</v>
      </c>
    </row>
    <row r="350" spans="1:16" ht="24" customHeight="1" x14ac:dyDescent="0.4">
      <c r="A350" s="313" t="s">
        <v>1900</v>
      </c>
      <c r="B350" s="313">
        <v>95745</v>
      </c>
      <c r="C350" s="313" t="s">
        <v>395</v>
      </c>
      <c r="D350" s="313" t="s">
        <v>21</v>
      </c>
      <c r="E350" s="314" t="s">
        <v>7</v>
      </c>
      <c r="F350" s="315">
        <v>1</v>
      </c>
      <c r="G350" s="316">
        <v>32.14</v>
      </c>
      <c r="H350" s="316">
        <v>14.14</v>
      </c>
      <c r="I350" s="316">
        <v>1.05</v>
      </c>
      <c r="J350" s="316">
        <v>16.95</v>
      </c>
      <c r="K350" s="316">
        <v>32.14</v>
      </c>
      <c r="L350" s="316">
        <v>14.14</v>
      </c>
      <c r="M350" s="316">
        <v>1.05</v>
      </c>
      <c r="N350" s="316">
        <v>16.95</v>
      </c>
      <c r="O350" s="316">
        <v>32.14</v>
      </c>
      <c r="P350" s="317">
        <v>5.5274233288427177E-5</v>
      </c>
    </row>
    <row r="351" spans="1:16" ht="36" customHeight="1" x14ac:dyDescent="0.4">
      <c r="A351" s="313" t="s">
        <v>1901</v>
      </c>
      <c r="B351" s="313" t="s">
        <v>454</v>
      </c>
      <c r="C351" s="313" t="s">
        <v>455</v>
      </c>
      <c r="D351" s="313" t="s">
        <v>456</v>
      </c>
      <c r="E351" s="314" t="s">
        <v>4</v>
      </c>
      <c r="F351" s="315">
        <v>1</v>
      </c>
      <c r="G351" s="316">
        <v>1.46</v>
      </c>
      <c r="H351" s="316">
        <v>1.45</v>
      </c>
      <c r="I351" s="316">
        <v>0</v>
      </c>
      <c r="J351" s="316">
        <v>0.01</v>
      </c>
      <c r="K351" s="316">
        <v>1.46</v>
      </c>
      <c r="L351" s="316">
        <v>1.45</v>
      </c>
      <c r="M351" s="316">
        <v>0</v>
      </c>
      <c r="N351" s="316">
        <v>0.01</v>
      </c>
      <c r="O351" s="316">
        <v>1.46</v>
      </c>
      <c r="P351" s="317">
        <v>2.5109016988520122E-6</v>
      </c>
    </row>
    <row r="352" spans="1:16" ht="36" customHeight="1" x14ac:dyDescent="0.4">
      <c r="A352" s="313" t="s">
        <v>1902</v>
      </c>
      <c r="B352" s="313" t="s">
        <v>1842</v>
      </c>
      <c r="C352" s="313" t="s">
        <v>5902</v>
      </c>
      <c r="D352" s="313" t="s">
        <v>1858</v>
      </c>
      <c r="E352" s="314" t="s">
        <v>4</v>
      </c>
      <c r="F352" s="315">
        <v>1</v>
      </c>
      <c r="G352" s="316">
        <v>474.03</v>
      </c>
      <c r="H352" s="316">
        <v>16.75</v>
      </c>
      <c r="I352" s="316">
        <v>0</v>
      </c>
      <c r="J352" s="316">
        <v>457.28</v>
      </c>
      <c r="K352" s="316">
        <v>474.03</v>
      </c>
      <c r="L352" s="316">
        <v>16.75</v>
      </c>
      <c r="M352" s="316">
        <v>0</v>
      </c>
      <c r="N352" s="316">
        <v>457.28</v>
      </c>
      <c r="O352" s="316">
        <v>474.03</v>
      </c>
      <c r="P352" s="317">
        <v>8.1523474815535578E-4</v>
      </c>
    </row>
    <row r="353" spans="1:16" ht="36" customHeight="1" x14ac:dyDescent="0.4">
      <c r="A353" s="313" t="s">
        <v>1904</v>
      </c>
      <c r="B353" s="313">
        <v>9139</v>
      </c>
      <c r="C353" s="313" t="s">
        <v>420</v>
      </c>
      <c r="D353" s="313" t="s">
        <v>444</v>
      </c>
      <c r="E353" s="314" t="s">
        <v>422</v>
      </c>
      <c r="F353" s="315">
        <v>1</v>
      </c>
      <c r="G353" s="316">
        <v>47.74</v>
      </c>
      <c r="H353" s="316">
        <v>14.42</v>
      </c>
      <c r="I353" s="316">
        <v>0</v>
      </c>
      <c r="J353" s="316">
        <v>33.32</v>
      </c>
      <c r="K353" s="316">
        <v>47.74</v>
      </c>
      <c r="L353" s="316">
        <v>14.42</v>
      </c>
      <c r="M353" s="316">
        <v>0</v>
      </c>
      <c r="N353" s="316">
        <v>33.32</v>
      </c>
      <c r="O353" s="316">
        <v>47.74</v>
      </c>
      <c r="P353" s="317">
        <v>8.2103045961092513E-5</v>
      </c>
    </row>
    <row r="354" spans="1:16" ht="36" customHeight="1" x14ac:dyDescent="0.4">
      <c r="A354" s="313" t="s">
        <v>1906</v>
      </c>
      <c r="B354" s="313">
        <v>97549</v>
      </c>
      <c r="C354" s="313" t="s">
        <v>395</v>
      </c>
      <c r="D354" s="313" t="s">
        <v>5952</v>
      </c>
      <c r="E354" s="314" t="s">
        <v>4</v>
      </c>
      <c r="F354" s="315">
        <v>1</v>
      </c>
      <c r="G354" s="316">
        <v>62.5</v>
      </c>
      <c r="H354" s="316">
        <v>25.81</v>
      </c>
      <c r="I354" s="316">
        <v>2.13</v>
      </c>
      <c r="J354" s="316">
        <v>34.56</v>
      </c>
      <c r="K354" s="316">
        <v>62.5</v>
      </c>
      <c r="L354" s="316">
        <v>25.81</v>
      </c>
      <c r="M354" s="316">
        <v>2.13</v>
      </c>
      <c r="N354" s="316">
        <v>34.56</v>
      </c>
      <c r="O354" s="316">
        <v>62.5</v>
      </c>
      <c r="P354" s="317">
        <v>1.0748723025907587E-4</v>
      </c>
    </row>
    <row r="355" spans="1:16" ht="24" customHeight="1" x14ac:dyDescent="0.4">
      <c r="A355" s="313" t="s">
        <v>1908</v>
      </c>
      <c r="B355" s="313">
        <v>95795</v>
      </c>
      <c r="C355" s="313" t="s">
        <v>395</v>
      </c>
      <c r="D355" s="313" t="s">
        <v>5946</v>
      </c>
      <c r="E355" s="314" t="s">
        <v>4</v>
      </c>
      <c r="F355" s="315">
        <v>1</v>
      </c>
      <c r="G355" s="316">
        <v>42.41</v>
      </c>
      <c r="H355" s="316">
        <v>20.85</v>
      </c>
      <c r="I355" s="316">
        <v>1.77</v>
      </c>
      <c r="J355" s="316">
        <v>19.79</v>
      </c>
      <c r="K355" s="316">
        <v>42.41</v>
      </c>
      <c r="L355" s="316">
        <v>20.85</v>
      </c>
      <c r="M355" s="316">
        <v>1.77</v>
      </c>
      <c r="N355" s="316">
        <v>19.79</v>
      </c>
      <c r="O355" s="316">
        <v>42.41</v>
      </c>
      <c r="P355" s="317">
        <v>7.293653496459852E-5</v>
      </c>
    </row>
    <row r="356" spans="1:16" ht="24" customHeight="1" x14ac:dyDescent="0.4">
      <c r="A356" s="313" t="s">
        <v>1909</v>
      </c>
      <c r="B356" s="313">
        <v>713</v>
      </c>
      <c r="C356" s="313" t="s">
        <v>575</v>
      </c>
      <c r="D356" s="313" t="s">
        <v>2908</v>
      </c>
      <c r="E356" s="314" t="s">
        <v>4</v>
      </c>
      <c r="F356" s="315">
        <v>1</v>
      </c>
      <c r="G356" s="316">
        <v>479.53</v>
      </c>
      <c r="H356" s="316">
        <v>257.08</v>
      </c>
      <c r="I356" s="316">
        <v>0</v>
      </c>
      <c r="J356" s="316">
        <v>222.45</v>
      </c>
      <c r="K356" s="316">
        <v>479.53</v>
      </c>
      <c r="L356" s="316">
        <v>257.08</v>
      </c>
      <c r="M356" s="316">
        <v>0</v>
      </c>
      <c r="N356" s="316">
        <v>222.45</v>
      </c>
      <c r="O356" s="316">
        <v>479.53</v>
      </c>
      <c r="P356" s="317">
        <v>8.2469362441815438E-4</v>
      </c>
    </row>
    <row r="357" spans="1:16" ht="36" customHeight="1" x14ac:dyDescent="0.4">
      <c r="A357" s="313" t="s">
        <v>1910</v>
      </c>
      <c r="B357" s="313" t="s">
        <v>1807</v>
      </c>
      <c r="C357" s="313" t="s">
        <v>5902</v>
      </c>
      <c r="D357" s="313" t="s">
        <v>1827</v>
      </c>
      <c r="E357" s="314" t="s">
        <v>4</v>
      </c>
      <c r="F357" s="315">
        <v>1</v>
      </c>
      <c r="G357" s="316">
        <v>97.65</v>
      </c>
      <c r="H357" s="316">
        <v>16.75</v>
      </c>
      <c r="I357" s="316">
        <v>0</v>
      </c>
      <c r="J357" s="316">
        <v>80.900000000000006</v>
      </c>
      <c r="K357" s="316">
        <v>97.65</v>
      </c>
      <c r="L357" s="316">
        <v>16.75</v>
      </c>
      <c r="M357" s="316">
        <v>0</v>
      </c>
      <c r="N357" s="316">
        <v>80.900000000000006</v>
      </c>
      <c r="O357" s="316">
        <v>97.65</v>
      </c>
      <c r="P357" s="317">
        <v>1.6793804855678014E-4</v>
      </c>
    </row>
    <row r="358" spans="1:16" ht="24" customHeight="1" x14ac:dyDescent="0.4">
      <c r="A358" s="313" t="s">
        <v>1911</v>
      </c>
      <c r="B358" s="313">
        <v>95745</v>
      </c>
      <c r="C358" s="313" t="s">
        <v>395</v>
      </c>
      <c r="D358" s="313" t="s">
        <v>21</v>
      </c>
      <c r="E358" s="314" t="s">
        <v>7</v>
      </c>
      <c r="F358" s="315">
        <v>1</v>
      </c>
      <c r="G358" s="316">
        <v>32.14</v>
      </c>
      <c r="H358" s="316">
        <v>14.14</v>
      </c>
      <c r="I358" s="316">
        <v>1.05</v>
      </c>
      <c r="J358" s="316">
        <v>16.95</v>
      </c>
      <c r="K358" s="316">
        <v>32.14</v>
      </c>
      <c r="L358" s="316">
        <v>14.14</v>
      </c>
      <c r="M358" s="316">
        <v>1.05</v>
      </c>
      <c r="N358" s="316">
        <v>16.95</v>
      </c>
      <c r="O358" s="316">
        <v>32.14</v>
      </c>
      <c r="P358" s="317">
        <v>5.5274233288427177E-5</v>
      </c>
    </row>
    <row r="359" spans="1:16" ht="36" customHeight="1" x14ac:dyDescent="0.4">
      <c r="A359" s="313" t="s">
        <v>1912</v>
      </c>
      <c r="B359" s="313">
        <v>11304</v>
      </c>
      <c r="C359" s="313" t="s">
        <v>420</v>
      </c>
      <c r="D359" s="313" t="s">
        <v>532</v>
      </c>
      <c r="E359" s="314" t="s">
        <v>422</v>
      </c>
      <c r="F359" s="315">
        <v>1</v>
      </c>
      <c r="G359" s="316">
        <v>4.53</v>
      </c>
      <c r="H359" s="316">
        <v>1.1499999999999999</v>
      </c>
      <c r="I359" s="316">
        <v>0</v>
      </c>
      <c r="J359" s="316">
        <v>3.38</v>
      </c>
      <c r="K359" s="316">
        <v>4.53</v>
      </c>
      <c r="L359" s="316">
        <v>1.1499999999999999</v>
      </c>
      <c r="M359" s="316">
        <v>0</v>
      </c>
      <c r="N359" s="316">
        <v>3.38</v>
      </c>
      <c r="O359" s="316">
        <v>4.53</v>
      </c>
      <c r="P359" s="317">
        <v>7.7906744491778182E-6</v>
      </c>
    </row>
    <row r="360" spans="1:16" ht="24" customHeight="1" x14ac:dyDescent="0.4">
      <c r="A360" s="313" t="s">
        <v>1913</v>
      </c>
      <c r="B360" s="313">
        <v>97549</v>
      </c>
      <c r="C360" s="313" t="s">
        <v>395</v>
      </c>
      <c r="D360" s="313" t="s">
        <v>5952</v>
      </c>
      <c r="E360" s="314" t="s">
        <v>4</v>
      </c>
      <c r="F360" s="315">
        <v>1</v>
      </c>
      <c r="G360" s="316">
        <v>62.5</v>
      </c>
      <c r="H360" s="316">
        <v>25.81</v>
      </c>
      <c r="I360" s="316">
        <v>2.13</v>
      </c>
      <c r="J360" s="316">
        <v>34.56</v>
      </c>
      <c r="K360" s="316">
        <v>62.5</v>
      </c>
      <c r="L360" s="316">
        <v>25.81</v>
      </c>
      <c r="M360" s="316">
        <v>2.13</v>
      </c>
      <c r="N360" s="316">
        <v>34.56</v>
      </c>
      <c r="O360" s="316">
        <v>62.5</v>
      </c>
      <c r="P360" s="317">
        <v>1.0748723025907587E-4</v>
      </c>
    </row>
    <row r="361" spans="1:16" ht="36" customHeight="1" x14ac:dyDescent="0.4">
      <c r="A361" s="313" t="s">
        <v>1914</v>
      </c>
      <c r="B361" s="313">
        <v>95796</v>
      </c>
      <c r="C361" s="313" t="s">
        <v>395</v>
      </c>
      <c r="D361" s="313" t="s">
        <v>5947</v>
      </c>
      <c r="E361" s="314" t="s">
        <v>4</v>
      </c>
      <c r="F361" s="315">
        <v>1</v>
      </c>
      <c r="G361" s="316">
        <v>51.7</v>
      </c>
      <c r="H361" s="316">
        <v>21.49</v>
      </c>
      <c r="I361" s="316">
        <v>1.82</v>
      </c>
      <c r="J361" s="316">
        <v>28.39</v>
      </c>
      <c r="K361" s="316">
        <v>51.7</v>
      </c>
      <c r="L361" s="316">
        <v>21.49</v>
      </c>
      <c r="M361" s="316">
        <v>1.82</v>
      </c>
      <c r="N361" s="316">
        <v>28.39</v>
      </c>
      <c r="O361" s="316">
        <v>51.7</v>
      </c>
      <c r="P361" s="317">
        <v>8.8913436870307556E-5</v>
      </c>
    </row>
    <row r="362" spans="1:16" ht="24" customHeight="1" x14ac:dyDescent="0.4">
      <c r="A362" s="313" t="s">
        <v>1916</v>
      </c>
      <c r="B362" s="313">
        <v>8466</v>
      </c>
      <c r="C362" s="313" t="s">
        <v>420</v>
      </c>
      <c r="D362" s="313" t="s">
        <v>1828</v>
      </c>
      <c r="E362" s="314" t="s">
        <v>437</v>
      </c>
      <c r="F362" s="315">
        <v>1</v>
      </c>
      <c r="G362" s="316">
        <v>9.5399999999999991</v>
      </c>
      <c r="H362" s="316">
        <v>4.32</v>
      </c>
      <c r="I362" s="316">
        <v>0</v>
      </c>
      <c r="J362" s="316">
        <v>5.22</v>
      </c>
      <c r="K362" s="316">
        <v>9.5399999999999991</v>
      </c>
      <c r="L362" s="316">
        <v>4.32</v>
      </c>
      <c r="M362" s="316">
        <v>0</v>
      </c>
      <c r="N362" s="316">
        <v>5.22</v>
      </c>
      <c r="O362" s="316">
        <v>9.5399999999999991</v>
      </c>
      <c r="P362" s="317">
        <v>1.640685082674534E-5</v>
      </c>
    </row>
    <row r="363" spans="1:16" ht="24" customHeight="1" x14ac:dyDescent="0.4">
      <c r="A363" s="313" t="s">
        <v>1917</v>
      </c>
      <c r="B363" s="313">
        <v>4202</v>
      </c>
      <c r="C363" s="313" t="s">
        <v>420</v>
      </c>
      <c r="D363" s="313" t="s">
        <v>1829</v>
      </c>
      <c r="E363" s="314" t="s">
        <v>422</v>
      </c>
      <c r="F363" s="315">
        <v>1</v>
      </c>
      <c r="G363" s="316">
        <v>2.4</v>
      </c>
      <c r="H363" s="316">
        <v>0</v>
      </c>
      <c r="I363" s="316">
        <v>0</v>
      </c>
      <c r="J363" s="316">
        <v>2.4</v>
      </c>
      <c r="K363" s="316">
        <v>2.4</v>
      </c>
      <c r="L363" s="316">
        <v>0</v>
      </c>
      <c r="M363" s="316">
        <v>0</v>
      </c>
      <c r="N363" s="316">
        <v>2.4</v>
      </c>
      <c r="O363" s="316">
        <v>2.4</v>
      </c>
      <c r="P363" s="317">
        <v>4.127509641948513E-6</v>
      </c>
    </row>
    <row r="364" spans="1:16" ht="24" customHeight="1" x14ac:dyDescent="0.4">
      <c r="A364" s="313" t="s">
        <v>1923</v>
      </c>
      <c r="B364" s="313">
        <v>95745</v>
      </c>
      <c r="C364" s="313" t="s">
        <v>395</v>
      </c>
      <c r="D364" s="313" t="s">
        <v>21</v>
      </c>
      <c r="E364" s="314" t="s">
        <v>7</v>
      </c>
      <c r="F364" s="315">
        <v>1</v>
      </c>
      <c r="G364" s="316">
        <v>32.14</v>
      </c>
      <c r="H364" s="316">
        <v>14.14</v>
      </c>
      <c r="I364" s="316">
        <v>1.05</v>
      </c>
      <c r="J364" s="316">
        <v>16.95</v>
      </c>
      <c r="K364" s="316">
        <v>32.14</v>
      </c>
      <c r="L364" s="316">
        <v>14.14</v>
      </c>
      <c r="M364" s="316">
        <v>1.05</v>
      </c>
      <c r="N364" s="316">
        <v>16.95</v>
      </c>
      <c r="O364" s="316">
        <v>32.14</v>
      </c>
      <c r="P364" s="317">
        <v>5.5274233288427177E-5</v>
      </c>
    </row>
    <row r="365" spans="1:16" ht="24" customHeight="1" x14ac:dyDescent="0.4">
      <c r="A365" s="313" t="s">
        <v>1924</v>
      </c>
      <c r="B365" s="313" t="s">
        <v>454</v>
      </c>
      <c r="C365" s="313" t="s">
        <v>455</v>
      </c>
      <c r="D365" s="313" t="s">
        <v>456</v>
      </c>
      <c r="E365" s="314" t="s">
        <v>4</v>
      </c>
      <c r="F365" s="315">
        <v>1</v>
      </c>
      <c r="G365" s="316">
        <v>1.46</v>
      </c>
      <c r="H365" s="316">
        <v>1.45</v>
      </c>
      <c r="I365" s="316">
        <v>0</v>
      </c>
      <c r="J365" s="316">
        <v>0.01</v>
      </c>
      <c r="K365" s="316">
        <v>1.46</v>
      </c>
      <c r="L365" s="316">
        <v>1.45</v>
      </c>
      <c r="M365" s="316">
        <v>0</v>
      </c>
      <c r="N365" s="316">
        <v>0.01</v>
      </c>
      <c r="O365" s="316">
        <v>1.46</v>
      </c>
      <c r="P365" s="317">
        <v>2.5109016988520122E-6</v>
      </c>
    </row>
    <row r="366" spans="1:16" ht="24" customHeight="1" x14ac:dyDescent="0.4">
      <c r="A366" s="313" t="s">
        <v>1925</v>
      </c>
      <c r="B366" s="313">
        <v>97549</v>
      </c>
      <c r="C366" s="313" t="s">
        <v>395</v>
      </c>
      <c r="D366" s="313" t="s">
        <v>5952</v>
      </c>
      <c r="E366" s="314" t="s">
        <v>4</v>
      </c>
      <c r="F366" s="315">
        <v>1</v>
      </c>
      <c r="G366" s="316">
        <v>62.5</v>
      </c>
      <c r="H366" s="316">
        <v>25.81</v>
      </c>
      <c r="I366" s="316">
        <v>2.13</v>
      </c>
      <c r="J366" s="316">
        <v>34.56</v>
      </c>
      <c r="K366" s="316">
        <v>62.5</v>
      </c>
      <c r="L366" s="316">
        <v>25.81</v>
      </c>
      <c r="M366" s="316">
        <v>2.13</v>
      </c>
      <c r="N366" s="316">
        <v>34.56</v>
      </c>
      <c r="O366" s="316">
        <v>62.5</v>
      </c>
      <c r="P366" s="317">
        <v>1.0748723025907587E-4</v>
      </c>
    </row>
    <row r="367" spans="1:16" ht="24" customHeight="1" x14ac:dyDescent="0.4">
      <c r="A367" s="313" t="s">
        <v>1927</v>
      </c>
      <c r="B367" s="313">
        <v>10724</v>
      </c>
      <c r="C367" s="313" t="s">
        <v>420</v>
      </c>
      <c r="D367" s="313" t="s">
        <v>2893</v>
      </c>
      <c r="E367" s="314" t="s">
        <v>422</v>
      </c>
      <c r="F367" s="315">
        <v>1</v>
      </c>
      <c r="G367" s="316">
        <v>80.989999999999995</v>
      </c>
      <c r="H367" s="316">
        <v>20.45</v>
      </c>
      <c r="I367" s="316">
        <v>0</v>
      </c>
      <c r="J367" s="316">
        <v>60.54</v>
      </c>
      <c r="K367" s="316">
        <v>80.989999999999995</v>
      </c>
      <c r="L367" s="316">
        <v>20.45</v>
      </c>
      <c r="M367" s="316">
        <v>0</v>
      </c>
      <c r="N367" s="316">
        <v>60.54</v>
      </c>
      <c r="O367" s="316">
        <v>80.989999999999995</v>
      </c>
      <c r="P367" s="317">
        <v>1.3928625245892087E-4</v>
      </c>
    </row>
    <row r="368" spans="1:16" ht="24" customHeight="1" x14ac:dyDescent="0.4">
      <c r="A368" s="313" t="s">
        <v>1928</v>
      </c>
      <c r="B368" s="313">
        <v>91927</v>
      </c>
      <c r="C368" s="313" t="s">
        <v>395</v>
      </c>
      <c r="D368" s="313" t="s">
        <v>5962</v>
      </c>
      <c r="E368" s="314" t="s">
        <v>7</v>
      </c>
      <c r="F368" s="315">
        <v>1</v>
      </c>
      <c r="G368" s="316">
        <v>6</v>
      </c>
      <c r="H368" s="316">
        <v>1.61</v>
      </c>
      <c r="I368" s="316">
        <v>0.14000000000000001</v>
      </c>
      <c r="J368" s="316">
        <v>4.25</v>
      </c>
      <c r="K368" s="316">
        <v>6</v>
      </c>
      <c r="L368" s="316">
        <v>1.61</v>
      </c>
      <c r="M368" s="316">
        <v>0.14000000000000001</v>
      </c>
      <c r="N368" s="316">
        <v>4.25</v>
      </c>
      <c r="O368" s="316">
        <v>6</v>
      </c>
      <c r="P368" s="317">
        <v>1.0318774104871284E-5</v>
      </c>
    </row>
    <row r="369" spans="1:16" ht="24" customHeight="1" x14ac:dyDescent="0.4">
      <c r="A369" s="313" t="s">
        <v>1929</v>
      </c>
      <c r="B369" s="313" t="s">
        <v>489</v>
      </c>
      <c r="C369" s="313" t="s">
        <v>490</v>
      </c>
      <c r="D369" s="313" t="s">
        <v>491</v>
      </c>
      <c r="E369" s="314" t="s">
        <v>4</v>
      </c>
      <c r="F369" s="315">
        <v>1</v>
      </c>
      <c r="G369" s="316">
        <v>69.62</v>
      </c>
      <c r="H369" s="316">
        <v>49.15</v>
      </c>
      <c r="I369" s="316">
        <v>0</v>
      </c>
      <c r="J369" s="316">
        <v>20.47</v>
      </c>
      <c r="K369" s="316">
        <v>69.62</v>
      </c>
      <c r="L369" s="316">
        <v>49.15</v>
      </c>
      <c r="M369" s="316">
        <v>0</v>
      </c>
      <c r="N369" s="316">
        <v>20.47</v>
      </c>
      <c r="O369" s="316">
        <v>69.62</v>
      </c>
      <c r="P369" s="317">
        <v>1.1973217553018979E-4</v>
      </c>
    </row>
    <row r="370" spans="1:16" ht="24" customHeight="1" x14ac:dyDescent="0.4">
      <c r="A370" s="313" t="s">
        <v>1931</v>
      </c>
      <c r="B370" s="313">
        <v>96989</v>
      </c>
      <c r="C370" s="313" t="s">
        <v>395</v>
      </c>
      <c r="D370" s="313" t="s">
        <v>5963</v>
      </c>
      <c r="E370" s="314" t="s">
        <v>4</v>
      </c>
      <c r="F370" s="315">
        <v>1</v>
      </c>
      <c r="G370" s="316">
        <v>132.77000000000001</v>
      </c>
      <c r="H370" s="316">
        <v>7.49</v>
      </c>
      <c r="I370" s="316">
        <v>0.66</v>
      </c>
      <c r="J370" s="316">
        <v>124.62</v>
      </c>
      <c r="K370" s="316">
        <v>132.77000000000001</v>
      </c>
      <c r="L370" s="316">
        <v>7.49</v>
      </c>
      <c r="M370" s="316">
        <v>0.66</v>
      </c>
      <c r="N370" s="316">
        <v>124.62</v>
      </c>
      <c r="O370" s="316">
        <v>132.77000000000001</v>
      </c>
      <c r="P370" s="317">
        <v>2.2833727298396004E-4</v>
      </c>
    </row>
    <row r="371" spans="1:16" ht="24" customHeight="1" x14ac:dyDescent="0.4">
      <c r="A371" s="313" t="s">
        <v>1932</v>
      </c>
      <c r="B371" s="313" t="s">
        <v>465</v>
      </c>
      <c r="C371" s="313" t="s">
        <v>5902</v>
      </c>
      <c r="D371" s="313" t="s">
        <v>466</v>
      </c>
      <c r="E371" s="314" t="s">
        <v>4</v>
      </c>
      <c r="F371" s="315">
        <v>1</v>
      </c>
      <c r="G371" s="316">
        <v>67.52</v>
      </c>
      <c r="H371" s="316">
        <v>13.96</v>
      </c>
      <c r="I371" s="316">
        <v>0</v>
      </c>
      <c r="J371" s="316">
        <v>53.56</v>
      </c>
      <c r="K371" s="316">
        <v>67.52</v>
      </c>
      <c r="L371" s="316">
        <v>13.96</v>
      </c>
      <c r="M371" s="316">
        <v>0</v>
      </c>
      <c r="N371" s="316">
        <v>53.56</v>
      </c>
      <c r="O371" s="316">
        <v>67.52</v>
      </c>
      <c r="P371" s="317">
        <v>1.1612060459348485E-4</v>
      </c>
    </row>
    <row r="372" spans="1:16" ht="24" customHeight="1" x14ac:dyDescent="0.4">
      <c r="A372" s="313" t="s">
        <v>1933</v>
      </c>
      <c r="B372" s="313" t="s">
        <v>467</v>
      </c>
      <c r="C372" s="313" t="s">
        <v>5902</v>
      </c>
      <c r="D372" s="313" t="s">
        <v>468</v>
      </c>
      <c r="E372" s="314" t="s">
        <v>4</v>
      </c>
      <c r="F372" s="315">
        <v>1</v>
      </c>
      <c r="G372" s="316">
        <v>162.56</v>
      </c>
      <c r="H372" s="316">
        <v>16.75</v>
      </c>
      <c r="I372" s="316">
        <v>0</v>
      </c>
      <c r="J372" s="316">
        <v>145.81</v>
      </c>
      <c r="K372" s="316">
        <v>162.56</v>
      </c>
      <c r="L372" s="316">
        <v>16.75</v>
      </c>
      <c r="M372" s="316">
        <v>0</v>
      </c>
      <c r="N372" s="316">
        <v>145.81</v>
      </c>
      <c r="O372" s="316">
        <v>162.56</v>
      </c>
      <c r="P372" s="317">
        <v>2.7956998641464595E-4</v>
      </c>
    </row>
    <row r="373" spans="1:16" ht="24" customHeight="1" x14ac:dyDescent="0.4">
      <c r="A373" s="313" t="s">
        <v>1934</v>
      </c>
      <c r="B373" s="313" t="s">
        <v>469</v>
      </c>
      <c r="C373" s="313" t="s">
        <v>5902</v>
      </c>
      <c r="D373" s="313" t="s">
        <v>470</v>
      </c>
      <c r="E373" s="314" t="s">
        <v>4</v>
      </c>
      <c r="F373" s="315">
        <v>1</v>
      </c>
      <c r="G373" s="316">
        <v>33.520000000000003</v>
      </c>
      <c r="H373" s="316">
        <v>13.96</v>
      </c>
      <c r="I373" s="316">
        <v>0</v>
      </c>
      <c r="J373" s="316">
        <v>19.559999999999999</v>
      </c>
      <c r="K373" s="316">
        <v>33.520000000000003</v>
      </c>
      <c r="L373" s="316">
        <v>13.96</v>
      </c>
      <c r="M373" s="316">
        <v>0</v>
      </c>
      <c r="N373" s="316">
        <v>19.559999999999999</v>
      </c>
      <c r="O373" s="316">
        <v>33.520000000000003</v>
      </c>
      <c r="P373" s="317">
        <v>5.7647551332547567E-5</v>
      </c>
    </row>
    <row r="374" spans="1:16" ht="24" customHeight="1" x14ac:dyDescent="0.4">
      <c r="A374" s="313" t="s">
        <v>1936</v>
      </c>
      <c r="B374" s="313" t="s">
        <v>471</v>
      </c>
      <c r="C374" s="313" t="s">
        <v>5902</v>
      </c>
      <c r="D374" s="313" t="s">
        <v>472</v>
      </c>
      <c r="E374" s="314" t="s">
        <v>7</v>
      </c>
      <c r="F374" s="315">
        <v>1</v>
      </c>
      <c r="G374" s="316">
        <v>37.270000000000003</v>
      </c>
      <c r="H374" s="316">
        <v>27.92</v>
      </c>
      <c r="I374" s="316">
        <v>0</v>
      </c>
      <c r="J374" s="316">
        <v>9.35</v>
      </c>
      <c r="K374" s="316">
        <v>37.270000000000003</v>
      </c>
      <c r="L374" s="316">
        <v>27.92</v>
      </c>
      <c r="M374" s="316">
        <v>0</v>
      </c>
      <c r="N374" s="316">
        <v>9.35</v>
      </c>
      <c r="O374" s="316">
        <v>37.270000000000003</v>
      </c>
      <c r="P374" s="317">
        <v>6.4096785148092122E-5</v>
      </c>
    </row>
    <row r="375" spans="1:16" ht="24" customHeight="1" x14ac:dyDescent="0.4">
      <c r="A375" s="313" t="s">
        <v>1938</v>
      </c>
      <c r="B375" s="313" t="s">
        <v>473</v>
      </c>
      <c r="C375" s="313" t="s">
        <v>5902</v>
      </c>
      <c r="D375" s="313" t="s">
        <v>474</v>
      </c>
      <c r="E375" s="314" t="s">
        <v>4</v>
      </c>
      <c r="F375" s="315">
        <v>1</v>
      </c>
      <c r="G375" s="316">
        <v>21.3</v>
      </c>
      <c r="H375" s="316">
        <v>5.58</v>
      </c>
      <c r="I375" s="316">
        <v>0</v>
      </c>
      <c r="J375" s="316">
        <v>15.72</v>
      </c>
      <c r="K375" s="316">
        <v>21.3</v>
      </c>
      <c r="L375" s="316">
        <v>5.58</v>
      </c>
      <c r="M375" s="316">
        <v>0</v>
      </c>
      <c r="N375" s="316">
        <v>15.72</v>
      </c>
      <c r="O375" s="316">
        <v>21.3</v>
      </c>
      <c r="P375" s="317">
        <v>3.6631648072293057E-5</v>
      </c>
    </row>
    <row r="376" spans="1:16" ht="24" customHeight="1" x14ac:dyDescent="0.4">
      <c r="A376" s="313" t="s">
        <v>1939</v>
      </c>
      <c r="B376" s="313" t="s">
        <v>475</v>
      </c>
      <c r="C376" s="313" t="s">
        <v>5902</v>
      </c>
      <c r="D376" s="313" t="s">
        <v>476</v>
      </c>
      <c r="E376" s="314" t="s">
        <v>4</v>
      </c>
      <c r="F376" s="315">
        <v>1</v>
      </c>
      <c r="G376" s="316">
        <v>17.95</v>
      </c>
      <c r="H376" s="316">
        <v>8.3800000000000008</v>
      </c>
      <c r="I376" s="316">
        <v>0</v>
      </c>
      <c r="J376" s="316">
        <v>9.57</v>
      </c>
      <c r="K376" s="316">
        <v>17.95</v>
      </c>
      <c r="L376" s="316">
        <v>8.3800000000000008</v>
      </c>
      <c r="M376" s="316">
        <v>0</v>
      </c>
      <c r="N376" s="316">
        <v>9.57</v>
      </c>
      <c r="O376" s="316">
        <v>17.95</v>
      </c>
      <c r="P376" s="317">
        <v>3.0870332530406593E-5</v>
      </c>
    </row>
    <row r="377" spans="1:16" ht="24" customHeight="1" x14ac:dyDescent="0.4">
      <c r="A377" s="313" t="s">
        <v>1941</v>
      </c>
      <c r="B377" s="313">
        <v>600</v>
      </c>
      <c r="C377" s="313" t="s">
        <v>575</v>
      </c>
      <c r="D377" s="313" t="s">
        <v>1830</v>
      </c>
      <c r="E377" s="314" t="s">
        <v>7</v>
      </c>
      <c r="F377" s="315">
        <v>1</v>
      </c>
      <c r="G377" s="316">
        <v>31.52</v>
      </c>
      <c r="H377" s="316">
        <v>4.97</v>
      </c>
      <c r="I377" s="316">
        <v>0</v>
      </c>
      <c r="J377" s="316">
        <v>26.55</v>
      </c>
      <c r="K377" s="316">
        <v>31.52</v>
      </c>
      <c r="L377" s="316">
        <v>4.97</v>
      </c>
      <c r="M377" s="316">
        <v>0</v>
      </c>
      <c r="N377" s="316">
        <v>26.55</v>
      </c>
      <c r="O377" s="316">
        <v>31.52</v>
      </c>
      <c r="P377" s="317">
        <v>5.4207959964257145E-5</v>
      </c>
    </row>
    <row r="378" spans="1:16" ht="24" customHeight="1" x14ac:dyDescent="0.4">
      <c r="A378" s="313" t="s">
        <v>1943</v>
      </c>
      <c r="B378" s="313">
        <v>96985</v>
      </c>
      <c r="C378" s="313" t="s">
        <v>395</v>
      </c>
      <c r="D378" s="313" t="s">
        <v>5964</v>
      </c>
      <c r="E378" s="314" t="s">
        <v>4</v>
      </c>
      <c r="F378" s="315">
        <v>1</v>
      </c>
      <c r="G378" s="316">
        <v>78</v>
      </c>
      <c r="H378" s="316">
        <v>13.83</v>
      </c>
      <c r="I378" s="316">
        <v>1.22</v>
      </c>
      <c r="J378" s="316">
        <v>62.95</v>
      </c>
      <c r="K378" s="316">
        <v>78</v>
      </c>
      <c r="L378" s="316">
        <v>13.83</v>
      </c>
      <c r="M378" s="316">
        <v>1.22</v>
      </c>
      <c r="N378" s="316">
        <v>62.95</v>
      </c>
      <c r="O378" s="316">
        <v>78</v>
      </c>
      <c r="P378" s="317">
        <v>1.3414406336332668E-4</v>
      </c>
    </row>
    <row r="379" spans="1:16" ht="24" customHeight="1" x14ac:dyDescent="0.4">
      <c r="A379" s="313" t="s">
        <v>1946</v>
      </c>
      <c r="B379" s="313" t="s">
        <v>477</v>
      </c>
      <c r="C379" s="313" t="s">
        <v>5902</v>
      </c>
      <c r="D379" s="313" t="s">
        <v>478</v>
      </c>
      <c r="E379" s="314" t="s">
        <v>4</v>
      </c>
      <c r="F379" s="315">
        <v>1</v>
      </c>
      <c r="G379" s="316">
        <v>9.41</v>
      </c>
      <c r="H379" s="316">
        <v>5.58</v>
      </c>
      <c r="I379" s="316">
        <v>0</v>
      </c>
      <c r="J379" s="316">
        <v>3.83</v>
      </c>
      <c r="K379" s="316">
        <v>9.41</v>
      </c>
      <c r="L379" s="316">
        <v>5.58</v>
      </c>
      <c r="M379" s="316">
        <v>0</v>
      </c>
      <c r="N379" s="316">
        <v>3.83</v>
      </c>
      <c r="O379" s="316">
        <v>9.41</v>
      </c>
      <c r="P379" s="317">
        <v>1.6183277387806464E-5</v>
      </c>
    </row>
    <row r="380" spans="1:16" ht="24" customHeight="1" x14ac:dyDescent="0.4">
      <c r="A380" s="313" t="s">
        <v>1947</v>
      </c>
      <c r="B380" s="313" t="s">
        <v>481</v>
      </c>
      <c r="C380" s="313" t="s">
        <v>431</v>
      </c>
      <c r="D380" s="313" t="s">
        <v>482</v>
      </c>
      <c r="E380" s="314" t="s">
        <v>7</v>
      </c>
      <c r="F380" s="315">
        <v>1</v>
      </c>
      <c r="G380" s="316">
        <v>60.15</v>
      </c>
      <c r="H380" s="316">
        <v>12.43</v>
      </c>
      <c r="I380" s="316">
        <v>0</v>
      </c>
      <c r="J380" s="316">
        <v>47.72</v>
      </c>
      <c r="K380" s="316">
        <v>60.15</v>
      </c>
      <c r="L380" s="316">
        <v>12.43</v>
      </c>
      <c r="M380" s="316">
        <v>0</v>
      </c>
      <c r="N380" s="316">
        <v>47.72</v>
      </c>
      <c r="O380" s="316">
        <v>60.15</v>
      </c>
      <c r="P380" s="317">
        <v>1.0344571040133461E-4</v>
      </c>
    </row>
    <row r="381" spans="1:16" ht="24" customHeight="1" x14ac:dyDescent="0.4">
      <c r="A381" s="313" t="s">
        <v>1949</v>
      </c>
      <c r="B381" s="313">
        <v>707</v>
      </c>
      <c r="C381" s="313" t="s">
        <v>420</v>
      </c>
      <c r="D381" s="313" t="s">
        <v>520</v>
      </c>
      <c r="E381" s="314" t="s">
        <v>422</v>
      </c>
      <c r="F381" s="315">
        <v>1</v>
      </c>
      <c r="G381" s="316">
        <v>226.29</v>
      </c>
      <c r="H381" s="316">
        <v>21.62</v>
      </c>
      <c r="I381" s="316">
        <v>0</v>
      </c>
      <c r="J381" s="316">
        <v>204.67</v>
      </c>
      <c r="K381" s="316">
        <v>226.29</v>
      </c>
      <c r="L381" s="316">
        <v>21.62</v>
      </c>
      <c r="M381" s="316">
        <v>0</v>
      </c>
      <c r="N381" s="316">
        <v>204.67</v>
      </c>
      <c r="O381" s="316">
        <v>226.29</v>
      </c>
      <c r="P381" s="317">
        <v>3.8917256536522048E-4</v>
      </c>
    </row>
    <row r="382" spans="1:16" ht="24" customHeight="1" x14ac:dyDescent="0.4">
      <c r="A382" s="313" t="s">
        <v>1951</v>
      </c>
      <c r="B382" s="313" t="s">
        <v>479</v>
      </c>
      <c r="C382" s="313" t="s">
        <v>5902</v>
      </c>
      <c r="D382" s="313" t="s">
        <v>480</v>
      </c>
      <c r="E382" s="314" t="s">
        <v>4</v>
      </c>
      <c r="F382" s="315">
        <v>1</v>
      </c>
      <c r="G382" s="316">
        <v>18.739999999999998</v>
      </c>
      <c r="H382" s="316">
        <v>5.58</v>
      </c>
      <c r="I382" s="316">
        <v>0</v>
      </c>
      <c r="J382" s="316">
        <v>13.16</v>
      </c>
      <c r="K382" s="316">
        <v>18.739999999999998</v>
      </c>
      <c r="L382" s="316">
        <v>5.58</v>
      </c>
      <c r="M382" s="316">
        <v>0</v>
      </c>
      <c r="N382" s="316">
        <v>13.16</v>
      </c>
      <c r="O382" s="316">
        <v>18.739999999999998</v>
      </c>
      <c r="P382" s="317">
        <v>3.2228971120881312E-5</v>
      </c>
    </row>
    <row r="383" spans="1:16" ht="36" customHeight="1" x14ac:dyDescent="0.4">
      <c r="A383" s="313" t="s">
        <v>1956</v>
      </c>
      <c r="B383" s="313">
        <v>101897</v>
      </c>
      <c r="C383" s="313" t="s">
        <v>395</v>
      </c>
      <c r="D383" s="313" t="s">
        <v>5965</v>
      </c>
      <c r="E383" s="314" t="s">
        <v>4</v>
      </c>
      <c r="F383" s="315">
        <v>1</v>
      </c>
      <c r="G383" s="316">
        <v>917.82</v>
      </c>
      <c r="H383" s="316">
        <v>68.05</v>
      </c>
      <c r="I383" s="316">
        <v>6.02</v>
      </c>
      <c r="J383" s="316">
        <v>843.75</v>
      </c>
      <c r="K383" s="316">
        <v>917.82</v>
      </c>
      <c r="L383" s="316">
        <v>68.05</v>
      </c>
      <c r="M383" s="316">
        <v>6.02</v>
      </c>
      <c r="N383" s="316">
        <v>843.75</v>
      </c>
      <c r="O383" s="316">
        <v>917.82</v>
      </c>
      <c r="P383" s="317">
        <v>1.5784628748221601E-3</v>
      </c>
    </row>
    <row r="384" spans="1:16" ht="36" customHeight="1" x14ac:dyDescent="0.4">
      <c r="A384" s="313" t="s">
        <v>1958</v>
      </c>
      <c r="B384" s="313">
        <v>668</v>
      </c>
      <c r="C384" s="313" t="s">
        <v>575</v>
      </c>
      <c r="D384" s="313" t="s">
        <v>2636</v>
      </c>
      <c r="E384" s="314" t="s">
        <v>4</v>
      </c>
      <c r="F384" s="315">
        <v>1</v>
      </c>
      <c r="G384" s="316">
        <v>331.99</v>
      </c>
      <c r="H384" s="316">
        <v>34.51</v>
      </c>
      <c r="I384" s="316">
        <v>3.06</v>
      </c>
      <c r="J384" s="316">
        <v>294.42</v>
      </c>
      <c r="K384" s="316">
        <v>331.99</v>
      </c>
      <c r="L384" s="316">
        <v>34.51</v>
      </c>
      <c r="M384" s="316">
        <v>3.06</v>
      </c>
      <c r="N384" s="316">
        <v>294.42</v>
      </c>
      <c r="O384" s="316">
        <v>331.99</v>
      </c>
      <c r="P384" s="317">
        <v>5.7095496917936961E-4</v>
      </c>
    </row>
    <row r="385" spans="1:16" ht="36" customHeight="1" x14ac:dyDescent="0.4">
      <c r="A385" s="313" t="s">
        <v>1960</v>
      </c>
      <c r="B385" s="313">
        <v>93672</v>
      </c>
      <c r="C385" s="313" t="s">
        <v>395</v>
      </c>
      <c r="D385" s="313" t="s">
        <v>5966</v>
      </c>
      <c r="E385" s="314" t="s">
        <v>4</v>
      </c>
      <c r="F385" s="315">
        <v>1</v>
      </c>
      <c r="G385" s="316">
        <v>88.52</v>
      </c>
      <c r="H385" s="316">
        <v>21.23</v>
      </c>
      <c r="I385" s="316">
        <v>1.88</v>
      </c>
      <c r="J385" s="316">
        <v>65.41</v>
      </c>
      <c r="K385" s="316">
        <v>88.52</v>
      </c>
      <c r="L385" s="316">
        <v>21.23</v>
      </c>
      <c r="M385" s="316">
        <v>1.88</v>
      </c>
      <c r="N385" s="316">
        <v>65.41</v>
      </c>
      <c r="O385" s="316">
        <v>88.52</v>
      </c>
      <c r="P385" s="317">
        <v>1.5223631396053434E-4</v>
      </c>
    </row>
    <row r="386" spans="1:16" ht="36" customHeight="1" x14ac:dyDescent="0.4">
      <c r="A386" s="313" t="s">
        <v>1961</v>
      </c>
      <c r="B386" s="313">
        <v>680</v>
      </c>
      <c r="C386" s="313" t="s">
        <v>575</v>
      </c>
      <c r="D386" s="313" t="s">
        <v>2638</v>
      </c>
      <c r="E386" s="314" t="s">
        <v>4</v>
      </c>
      <c r="F386" s="315">
        <v>1</v>
      </c>
      <c r="G386" s="316">
        <v>6578.11</v>
      </c>
      <c r="H386" s="316">
        <v>35.119999999999997</v>
      </c>
      <c r="I386" s="316">
        <v>0</v>
      </c>
      <c r="J386" s="316">
        <v>6542.99</v>
      </c>
      <c r="K386" s="316">
        <v>6578.11</v>
      </c>
      <c r="L386" s="316">
        <v>35.119999999999997</v>
      </c>
      <c r="M386" s="316">
        <v>0</v>
      </c>
      <c r="N386" s="316">
        <v>6542.99</v>
      </c>
      <c r="O386" s="316">
        <v>6578.11</v>
      </c>
      <c r="P386" s="317">
        <v>1.1313005187832473E-2</v>
      </c>
    </row>
    <row r="387" spans="1:16" ht="36" customHeight="1" x14ac:dyDescent="0.4">
      <c r="A387" s="313" t="s">
        <v>1962</v>
      </c>
      <c r="B387" s="313" t="s">
        <v>2662</v>
      </c>
      <c r="C387" s="313" t="s">
        <v>5902</v>
      </c>
      <c r="D387" s="313" t="s">
        <v>2693</v>
      </c>
      <c r="E387" s="314" t="s">
        <v>4</v>
      </c>
      <c r="F387" s="315">
        <v>1</v>
      </c>
      <c r="G387" s="316">
        <v>15.61</v>
      </c>
      <c r="H387" s="316">
        <v>11.16</v>
      </c>
      <c r="I387" s="316">
        <v>0</v>
      </c>
      <c r="J387" s="316">
        <v>4.45</v>
      </c>
      <c r="K387" s="316">
        <v>15.61</v>
      </c>
      <c r="L387" s="316">
        <v>11.16</v>
      </c>
      <c r="M387" s="316">
        <v>0</v>
      </c>
      <c r="N387" s="316">
        <v>4.45</v>
      </c>
      <c r="O387" s="316">
        <v>15.61</v>
      </c>
      <c r="P387" s="317">
        <v>2.684601062950679E-5</v>
      </c>
    </row>
    <row r="388" spans="1:16" ht="24" customHeight="1" x14ac:dyDescent="0.4">
      <c r="A388" s="313" t="s">
        <v>1963</v>
      </c>
      <c r="B388" s="313">
        <v>686</v>
      </c>
      <c r="C388" s="313" t="s">
        <v>575</v>
      </c>
      <c r="D388" s="313" t="s">
        <v>2639</v>
      </c>
      <c r="E388" s="314" t="s">
        <v>4</v>
      </c>
      <c r="F388" s="315">
        <v>1</v>
      </c>
      <c r="G388" s="316">
        <v>6695.51</v>
      </c>
      <c r="H388" s="316">
        <v>1878.53</v>
      </c>
      <c r="I388" s="316">
        <v>176.17</v>
      </c>
      <c r="J388" s="316">
        <v>4640.8100000000004</v>
      </c>
      <c r="K388" s="316">
        <v>6695.51</v>
      </c>
      <c r="L388" s="316">
        <v>1878.53</v>
      </c>
      <c r="M388" s="316">
        <v>176.17</v>
      </c>
      <c r="N388" s="316">
        <v>4640.8100000000004</v>
      </c>
      <c r="O388" s="316">
        <v>6695.51</v>
      </c>
      <c r="P388" s="317">
        <v>1.151490920115112E-2</v>
      </c>
    </row>
    <row r="389" spans="1:16" ht="24" customHeight="1" x14ac:dyDescent="0.4">
      <c r="A389" s="313" t="s">
        <v>1965</v>
      </c>
      <c r="B389" s="313">
        <v>72619</v>
      </c>
      <c r="C389" s="313" t="s">
        <v>484</v>
      </c>
      <c r="D389" s="313" t="s">
        <v>5967</v>
      </c>
      <c r="E389" s="314" t="s">
        <v>486</v>
      </c>
      <c r="F389" s="315">
        <v>1</v>
      </c>
      <c r="G389" s="316">
        <v>138.21</v>
      </c>
      <c r="H389" s="316">
        <v>17.3</v>
      </c>
      <c r="I389" s="316">
        <v>0</v>
      </c>
      <c r="J389" s="316">
        <v>120.91</v>
      </c>
      <c r="K389" s="316">
        <v>138.21</v>
      </c>
      <c r="L389" s="316">
        <v>17.3</v>
      </c>
      <c r="M389" s="316">
        <v>0</v>
      </c>
      <c r="N389" s="316">
        <v>120.91</v>
      </c>
      <c r="O389" s="316">
        <v>138.21</v>
      </c>
      <c r="P389" s="317">
        <v>2.3769296150571003E-4</v>
      </c>
    </row>
    <row r="390" spans="1:16" ht="24" customHeight="1" x14ac:dyDescent="0.4">
      <c r="A390" s="313" t="s">
        <v>1967</v>
      </c>
      <c r="B390" s="313">
        <v>101897</v>
      </c>
      <c r="C390" s="313" t="s">
        <v>395</v>
      </c>
      <c r="D390" s="313" t="s">
        <v>5965</v>
      </c>
      <c r="E390" s="314" t="s">
        <v>4</v>
      </c>
      <c r="F390" s="315">
        <v>1</v>
      </c>
      <c r="G390" s="316">
        <v>917.82</v>
      </c>
      <c r="H390" s="316">
        <v>68.05</v>
      </c>
      <c r="I390" s="316">
        <v>6.02</v>
      </c>
      <c r="J390" s="316">
        <v>843.75</v>
      </c>
      <c r="K390" s="316">
        <v>917.82</v>
      </c>
      <c r="L390" s="316">
        <v>68.05</v>
      </c>
      <c r="M390" s="316">
        <v>6.02</v>
      </c>
      <c r="N390" s="316">
        <v>843.75</v>
      </c>
      <c r="O390" s="316">
        <v>917.82</v>
      </c>
      <c r="P390" s="317">
        <v>1.5784628748221601E-3</v>
      </c>
    </row>
    <row r="391" spans="1:16" ht="36" customHeight="1" x14ac:dyDescent="0.4">
      <c r="A391" s="313" t="s">
        <v>1968</v>
      </c>
      <c r="B391" s="313">
        <v>101894</v>
      </c>
      <c r="C391" s="313" t="s">
        <v>395</v>
      </c>
      <c r="D391" s="313" t="s">
        <v>5968</v>
      </c>
      <c r="E391" s="314" t="s">
        <v>4</v>
      </c>
      <c r="F391" s="315">
        <v>1</v>
      </c>
      <c r="G391" s="316">
        <v>158.59</v>
      </c>
      <c r="H391" s="316">
        <v>40.479999999999997</v>
      </c>
      <c r="I391" s="316">
        <v>3.58</v>
      </c>
      <c r="J391" s="316">
        <v>114.53</v>
      </c>
      <c r="K391" s="316">
        <v>158.59</v>
      </c>
      <c r="L391" s="316">
        <v>40.479999999999997</v>
      </c>
      <c r="M391" s="316">
        <v>3.58</v>
      </c>
      <c r="N391" s="316">
        <v>114.53</v>
      </c>
      <c r="O391" s="316">
        <v>158.59</v>
      </c>
      <c r="P391" s="317">
        <v>2.7274239754858945E-4</v>
      </c>
    </row>
    <row r="392" spans="1:16" ht="24" customHeight="1" x14ac:dyDescent="0.4">
      <c r="A392" s="313" t="s">
        <v>1970</v>
      </c>
      <c r="B392" s="313">
        <v>101895</v>
      </c>
      <c r="C392" s="313" t="s">
        <v>395</v>
      </c>
      <c r="D392" s="313" t="s">
        <v>5969</v>
      </c>
      <c r="E392" s="314" t="s">
        <v>4</v>
      </c>
      <c r="F392" s="315">
        <v>1</v>
      </c>
      <c r="G392" s="316">
        <v>405.7</v>
      </c>
      <c r="H392" s="316">
        <v>68.05</v>
      </c>
      <c r="I392" s="316">
        <v>6.02</v>
      </c>
      <c r="J392" s="316">
        <v>331.63</v>
      </c>
      <c r="K392" s="316">
        <v>405.7</v>
      </c>
      <c r="L392" s="316">
        <v>68.05</v>
      </c>
      <c r="M392" s="316">
        <v>6.02</v>
      </c>
      <c r="N392" s="316">
        <v>331.63</v>
      </c>
      <c r="O392" s="316">
        <v>405.7</v>
      </c>
      <c r="P392" s="317">
        <v>6.9772110905771327E-4</v>
      </c>
    </row>
    <row r="393" spans="1:16" ht="24" customHeight="1" x14ac:dyDescent="0.4">
      <c r="A393" s="313" t="s">
        <v>1971</v>
      </c>
      <c r="B393" s="313">
        <v>101894</v>
      </c>
      <c r="C393" s="313" t="s">
        <v>395</v>
      </c>
      <c r="D393" s="313" t="s">
        <v>5968</v>
      </c>
      <c r="E393" s="314" t="s">
        <v>4</v>
      </c>
      <c r="F393" s="315">
        <v>1</v>
      </c>
      <c r="G393" s="316">
        <v>158.59</v>
      </c>
      <c r="H393" s="316">
        <v>40.479999999999997</v>
      </c>
      <c r="I393" s="316">
        <v>3.58</v>
      </c>
      <c r="J393" s="316">
        <v>114.53</v>
      </c>
      <c r="K393" s="316">
        <v>158.59</v>
      </c>
      <c r="L393" s="316">
        <v>40.479999999999997</v>
      </c>
      <c r="M393" s="316">
        <v>3.58</v>
      </c>
      <c r="N393" s="316">
        <v>114.53</v>
      </c>
      <c r="O393" s="316">
        <v>158.59</v>
      </c>
      <c r="P393" s="317">
        <v>2.7274239754858945E-4</v>
      </c>
    </row>
    <row r="394" spans="1:16" ht="24" customHeight="1" x14ac:dyDescent="0.4">
      <c r="A394" s="313" t="s">
        <v>1972</v>
      </c>
      <c r="B394" s="313">
        <v>101894</v>
      </c>
      <c r="C394" s="313" t="s">
        <v>395</v>
      </c>
      <c r="D394" s="313" t="s">
        <v>5968</v>
      </c>
      <c r="E394" s="314" t="s">
        <v>4</v>
      </c>
      <c r="F394" s="315">
        <v>1</v>
      </c>
      <c r="G394" s="316">
        <v>158.59</v>
      </c>
      <c r="H394" s="316">
        <v>40.479999999999997</v>
      </c>
      <c r="I394" s="316">
        <v>3.58</v>
      </c>
      <c r="J394" s="316">
        <v>114.53</v>
      </c>
      <c r="K394" s="316">
        <v>158.59</v>
      </c>
      <c r="L394" s="316">
        <v>40.479999999999997</v>
      </c>
      <c r="M394" s="316">
        <v>3.58</v>
      </c>
      <c r="N394" s="316">
        <v>114.53</v>
      </c>
      <c r="O394" s="316">
        <v>158.59</v>
      </c>
      <c r="P394" s="317">
        <v>2.7274239754858945E-4</v>
      </c>
    </row>
    <row r="395" spans="1:16" ht="24" customHeight="1" x14ac:dyDescent="0.4">
      <c r="A395" s="313" t="s">
        <v>1976</v>
      </c>
      <c r="B395" s="313">
        <v>93671</v>
      </c>
      <c r="C395" s="313" t="s">
        <v>395</v>
      </c>
      <c r="D395" s="313" t="s">
        <v>5970</v>
      </c>
      <c r="E395" s="314" t="s">
        <v>4</v>
      </c>
      <c r="F395" s="315">
        <v>1</v>
      </c>
      <c r="G395" s="316">
        <v>78.89</v>
      </c>
      <c r="H395" s="316">
        <v>14.5</v>
      </c>
      <c r="I395" s="316">
        <v>1.28</v>
      </c>
      <c r="J395" s="316">
        <v>63.11</v>
      </c>
      <c r="K395" s="316">
        <v>78.89</v>
      </c>
      <c r="L395" s="316">
        <v>14.5</v>
      </c>
      <c r="M395" s="316">
        <v>1.28</v>
      </c>
      <c r="N395" s="316">
        <v>63.11</v>
      </c>
      <c r="O395" s="316">
        <v>78.89</v>
      </c>
      <c r="P395" s="317">
        <v>1.3567468152221593E-4</v>
      </c>
    </row>
    <row r="396" spans="1:16" ht="24" customHeight="1" x14ac:dyDescent="0.4">
      <c r="A396" s="313" t="s">
        <v>1978</v>
      </c>
      <c r="B396" s="313">
        <v>93672</v>
      </c>
      <c r="C396" s="313" t="s">
        <v>395</v>
      </c>
      <c r="D396" s="313" t="s">
        <v>5966</v>
      </c>
      <c r="E396" s="314" t="s">
        <v>4</v>
      </c>
      <c r="F396" s="315">
        <v>1</v>
      </c>
      <c r="G396" s="316">
        <v>88.52</v>
      </c>
      <c r="H396" s="316">
        <v>21.23</v>
      </c>
      <c r="I396" s="316">
        <v>1.88</v>
      </c>
      <c r="J396" s="316">
        <v>65.41</v>
      </c>
      <c r="K396" s="316">
        <v>88.52</v>
      </c>
      <c r="L396" s="316">
        <v>21.23</v>
      </c>
      <c r="M396" s="316">
        <v>1.88</v>
      </c>
      <c r="N396" s="316">
        <v>65.41</v>
      </c>
      <c r="O396" s="316">
        <v>88.52</v>
      </c>
      <c r="P396" s="317">
        <v>1.5223631396053434E-4</v>
      </c>
    </row>
    <row r="397" spans="1:16" ht="36" customHeight="1" x14ac:dyDescent="0.4">
      <c r="A397" s="313" t="s">
        <v>1979</v>
      </c>
      <c r="B397" s="313">
        <v>93673</v>
      </c>
      <c r="C397" s="313" t="s">
        <v>395</v>
      </c>
      <c r="D397" s="313" t="s">
        <v>5971</v>
      </c>
      <c r="E397" s="314" t="s">
        <v>4</v>
      </c>
      <c r="F397" s="315">
        <v>1</v>
      </c>
      <c r="G397" s="316">
        <v>100.79</v>
      </c>
      <c r="H397" s="316">
        <v>29.49</v>
      </c>
      <c r="I397" s="316">
        <v>2.6</v>
      </c>
      <c r="J397" s="316">
        <v>68.7</v>
      </c>
      <c r="K397" s="316">
        <v>100.79</v>
      </c>
      <c r="L397" s="316">
        <v>29.49</v>
      </c>
      <c r="M397" s="316">
        <v>2.6</v>
      </c>
      <c r="N397" s="316">
        <v>68.7</v>
      </c>
      <c r="O397" s="316">
        <v>100.79</v>
      </c>
      <c r="P397" s="317">
        <v>1.7333820700499611E-4</v>
      </c>
    </row>
    <row r="398" spans="1:16" ht="24" customHeight="1" x14ac:dyDescent="0.4">
      <c r="A398" s="313" t="s">
        <v>1981</v>
      </c>
      <c r="B398" s="313">
        <v>12233</v>
      </c>
      <c r="C398" s="313" t="s">
        <v>420</v>
      </c>
      <c r="D398" s="313" t="s">
        <v>2681</v>
      </c>
      <c r="E398" s="314" t="s">
        <v>422</v>
      </c>
      <c r="F398" s="315">
        <v>1</v>
      </c>
      <c r="G398" s="316">
        <v>2391.21</v>
      </c>
      <c r="H398" s="316">
        <v>441.28</v>
      </c>
      <c r="I398" s="316">
        <v>0.3</v>
      </c>
      <c r="J398" s="316">
        <v>1949.63</v>
      </c>
      <c r="K398" s="316">
        <v>2391.21</v>
      </c>
      <c r="L398" s="316">
        <v>441.28</v>
      </c>
      <c r="M398" s="316">
        <v>0.3</v>
      </c>
      <c r="N398" s="316">
        <v>1949.63</v>
      </c>
      <c r="O398" s="316">
        <v>2391.21</v>
      </c>
      <c r="P398" s="317">
        <v>4.1123926378848772E-3</v>
      </c>
    </row>
    <row r="399" spans="1:16" ht="36" customHeight="1" x14ac:dyDescent="0.4">
      <c r="A399" s="313" t="s">
        <v>1983</v>
      </c>
      <c r="B399" s="313">
        <v>93672</v>
      </c>
      <c r="C399" s="313" t="s">
        <v>395</v>
      </c>
      <c r="D399" s="313" t="s">
        <v>5966</v>
      </c>
      <c r="E399" s="314" t="s">
        <v>4</v>
      </c>
      <c r="F399" s="315">
        <v>1</v>
      </c>
      <c r="G399" s="316">
        <v>88.52</v>
      </c>
      <c r="H399" s="316">
        <v>21.23</v>
      </c>
      <c r="I399" s="316">
        <v>1.88</v>
      </c>
      <c r="J399" s="316">
        <v>65.41</v>
      </c>
      <c r="K399" s="316">
        <v>88.52</v>
      </c>
      <c r="L399" s="316">
        <v>21.23</v>
      </c>
      <c r="M399" s="316">
        <v>1.88</v>
      </c>
      <c r="N399" s="316">
        <v>65.41</v>
      </c>
      <c r="O399" s="316">
        <v>88.52</v>
      </c>
      <c r="P399" s="317">
        <v>1.5223631396053434E-4</v>
      </c>
    </row>
    <row r="400" spans="1:16" ht="24" customHeight="1" x14ac:dyDescent="0.4">
      <c r="A400" s="313" t="s">
        <v>1985</v>
      </c>
      <c r="B400" s="313">
        <v>681</v>
      </c>
      <c r="C400" s="313" t="s">
        <v>575</v>
      </c>
      <c r="D400" s="313" t="s">
        <v>2640</v>
      </c>
      <c r="E400" s="314" t="s">
        <v>4</v>
      </c>
      <c r="F400" s="315">
        <v>1</v>
      </c>
      <c r="G400" s="316">
        <v>1439.11</v>
      </c>
      <c r="H400" s="316">
        <v>35.119999999999997</v>
      </c>
      <c r="I400" s="316">
        <v>0</v>
      </c>
      <c r="J400" s="316">
        <v>1403.99</v>
      </c>
      <c r="K400" s="316">
        <v>1439.11</v>
      </c>
      <c r="L400" s="316">
        <v>35.119999999999997</v>
      </c>
      <c r="M400" s="316">
        <v>0</v>
      </c>
      <c r="N400" s="316">
        <v>1403.99</v>
      </c>
      <c r="O400" s="316">
        <v>1439.11</v>
      </c>
      <c r="P400" s="317">
        <v>2.4749751670102189E-3</v>
      </c>
    </row>
    <row r="401" spans="1:16" ht="24" customHeight="1" x14ac:dyDescent="0.4">
      <c r="A401" s="313" t="s">
        <v>1987</v>
      </c>
      <c r="B401" s="313">
        <v>93654</v>
      </c>
      <c r="C401" s="313" t="s">
        <v>395</v>
      </c>
      <c r="D401" s="313" t="s">
        <v>5972</v>
      </c>
      <c r="E401" s="314" t="s">
        <v>4</v>
      </c>
      <c r="F401" s="315">
        <v>1</v>
      </c>
      <c r="G401" s="316">
        <v>11.45</v>
      </c>
      <c r="H401" s="316">
        <v>1.98</v>
      </c>
      <c r="I401" s="316">
        <v>0.18</v>
      </c>
      <c r="J401" s="316">
        <v>9.2899999999999991</v>
      </c>
      <c r="K401" s="316">
        <v>11.45</v>
      </c>
      <c r="L401" s="316">
        <v>1.98</v>
      </c>
      <c r="M401" s="316">
        <v>0.18</v>
      </c>
      <c r="N401" s="316">
        <v>9.2899999999999991</v>
      </c>
      <c r="O401" s="316">
        <v>11.45</v>
      </c>
      <c r="P401" s="317">
        <v>1.9691660583462698E-5</v>
      </c>
    </row>
    <row r="402" spans="1:16" ht="24" customHeight="1" x14ac:dyDescent="0.4">
      <c r="A402" s="313" t="s">
        <v>1988</v>
      </c>
      <c r="B402" s="313">
        <v>93661</v>
      </c>
      <c r="C402" s="313" t="s">
        <v>395</v>
      </c>
      <c r="D402" s="313" t="s">
        <v>5973</v>
      </c>
      <c r="E402" s="314" t="s">
        <v>4</v>
      </c>
      <c r="F402" s="315">
        <v>1</v>
      </c>
      <c r="G402" s="316">
        <v>51.73</v>
      </c>
      <c r="H402" s="316">
        <v>3.94</v>
      </c>
      <c r="I402" s="316">
        <v>0.34</v>
      </c>
      <c r="J402" s="316">
        <v>47.45</v>
      </c>
      <c r="K402" s="316">
        <v>51.73</v>
      </c>
      <c r="L402" s="316">
        <v>3.94</v>
      </c>
      <c r="M402" s="316">
        <v>0.34</v>
      </c>
      <c r="N402" s="316">
        <v>47.45</v>
      </c>
      <c r="O402" s="316">
        <v>51.73</v>
      </c>
      <c r="P402" s="317">
        <v>8.8965030740831917E-5</v>
      </c>
    </row>
    <row r="403" spans="1:16" ht="24" customHeight="1" x14ac:dyDescent="0.4">
      <c r="A403" s="313" t="s">
        <v>1989</v>
      </c>
      <c r="B403" s="313">
        <v>93662</v>
      </c>
      <c r="C403" s="313" t="s">
        <v>395</v>
      </c>
      <c r="D403" s="313" t="s">
        <v>5974</v>
      </c>
      <c r="E403" s="314" t="s">
        <v>4</v>
      </c>
      <c r="F403" s="315">
        <v>1</v>
      </c>
      <c r="G403" s="316">
        <v>54.09</v>
      </c>
      <c r="H403" s="316">
        <v>5.22</v>
      </c>
      <c r="I403" s="316">
        <v>0.46</v>
      </c>
      <c r="J403" s="316">
        <v>48.41</v>
      </c>
      <c r="K403" s="316">
        <v>54.09</v>
      </c>
      <c r="L403" s="316">
        <v>5.22</v>
      </c>
      <c r="M403" s="316">
        <v>0.46</v>
      </c>
      <c r="N403" s="316">
        <v>48.41</v>
      </c>
      <c r="O403" s="316">
        <v>54.09</v>
      </c>
      <c r="P403" s="317">
        <v>9.3023748555414614E-5</v>
      </c>
    </row>
    <row r="404" spans="1:16" ht="24" customHeight="1" x14ac:dyDescent="0.4">
      <c r="A404" s="313" t="s">
        <v>1990</v>
      </c>
      <c r="B404" s="313">
        <v>8077</v>
      </c>
      <c r="C404" s="313" t="s">
        <v>420</v>
      </c>
      <c r="D404" s="313" t="s">
        <v>2691</v>
      </c>
      <c r="E404" s="314" t="s">
        <v>422</v>
      </c>
      <c r="F404" s="315">
        <v>1</v>
      </c>
      <c r="G404" s="316">
        <v>231.6</v>
      </c>
      <c r="H404" s="316">
        <v>31.5</v>
      </c>
      <c r="I404" s="316">
        <v>0</v>
      </c>
      <c r="J404" s="316">
        <v>200.1</v>
      </c>
      <c r="K404" s="316">
        <v>231.6</v>
      </c>
      <c r="L404" s="316">
        <v>31.5</v>
      </c>
      <c r="M404" s="316">
        <v>0</v>
      </c>
      <c r="N404" s="316">
        <v>200.1</v>
      </c>
      <c r="O404" s="316">
        <v>231.6</v>
      </c>
      <c r="P404" s="317">
        <v>3.9830468044803157E-4</v>
      </c>
    </row>
    <row r="405" spans="1:16" ht="24" customHeight="1" x14ac:dyDescent="0.4">
      <c r="A405" s="313" t="s">
        <v>1991</v>
      </c>
      <c r="B405" s="313" t="s">
        <v>2664</v>
      </c>
      <c r="C405" s="313" t="s">
        <v>5902</v>
      </c>
      <c r="D405" s="313" t="s">
        <v>2703</v>
      </c>
      <c r="E405" s="314" t="s">
        <v>4</v>
      </c>
      <c r="F405" s="315">
        <v>1</v>
      </c>
      <c r="G405" s="316">
        <v>293.45999999999998</v>
      </c>
      <c r="H405" s="316">
        <v>13.96</v>
      </c>
      <c r="I405" s="316">
        <v>0</v>
      </c>
      <c r="J405" s="316">
        <v>279.5</v>
      </c>
      <c r="K405" s="316">
        <v>293.45999999999998</v>
      </c>
      <c r="L405" s="316">
        <v>13.96</v>
      </c>
      <c r="M405" s="316">
        <v>0</v>
      </c>
      <c r="N405" s="316">
        <v>279.5</v>
      </c>
      <c r="O405" s="316">
        <v>293.45999999999998</v>
      </c>
      <c r="P405" s="317">
        <v>5.0469124146925446E-4</v>
      </c>
    </row>
    <row r="406" spans="1:16" ht="24" customHeight="1" x14ac:dyDescent="0.4">
      <c r="A406" s="313" t="s">
        <v>1992</v>
      </c>
      <c r="B406" s="313">
        <v>12233</v>
      </c>
      <c r="C406" s="313" t="s">
        <v>420</v>
      </c>
      <c r="D406" s="313" t="s">
        <v>2681</v>
      </c>
      <c r="E406" s="314" t="s">
        <v>422</v>
      </c>
      <c r="F406" s="315">
        <v>1</v>
      </c>
      <c r="G406" s="316">
        <v>2391.21</v>
      </c>
      <c r="H406" s="316">
        <v>441.28</v>
      </c>
      <c r="I406" s="316">
        <v>0.3</v>
      </c>
      <c r="J406" s="316">
        <v>1949.63</v>
      </c>
      <c r="K406" s="316">
        <v>2391.21</v>
      </c>
      <c r="L406" s="316">
        <v>441.28</v>
      </c>
      <c r="M406" s="316">
        <v>0.3</v>
      </c>
      <c r="N406" s="316">
        <v>1949.63</v>
      </c>
      <c r="O406" s="316">
        <v>2391.21</v>
      </c>
      <c r="P406" s="317">
        <v>4.1123926378848772E-3</v>
      </c>
    </row>
    <row r="407" spans="1:16" ht="24" customHeight="1" x14ac:dyDescent="0.4">
      <c r="A407" s="313" t="s">
        <v>1993</v>
      </c>
      <c r="B407" s="313">
        <v>93672</v>
      </c>
      <c r="C407" s="313" t="s">
        <v>395</v>
      </c>
      <c r="D407" s="313" t="s">
        <v>5966</v>
      </c>
      <c r="E407" s="314" t="s">
        <v>4</v>
      </c>
      <c r="F407" s="315">
        <v>1</v>
      </c>
      <c r="G407" s="316">
        <v>88.52</v>
      </c>
      <c r="H407" s="316">
        <v>21.23</v>
      </c>
      <c r="I407" s="316">
        <v>1.88</v>
      </c>
      <c r="J407" s="316">
        <v>65.41</v>
      </c>
      <c r="K407" s="316">
        <v>88.52</v>
      </c>
      <c r="L407" s="316">
        <v>21.23</v>
      </c>
      <c r="M407" s="316">
        <v>1.88</v>
      </c>
      <c r="N407" s="316">
        <v>65.41</v>
      </c>
      <c r="O407" s="316">
        <v>88.52</v>
      </c>
      <c r="P407" s="317">
        <v>1.5223631396053434E-4</v>
      </c>
    </row>
    <row r="408" spans="1:16" ht="24" customHeight="1" x14ac:dyDescent="0.4">
      <c r="A408" s="313" t="s">
        <v>1994</v>
      </c>
      <c r="B408" s="313">
        <v>681</v>
      </c>
      <c r="C408" s="313" t="s">
        <v>575</v>
      </c>
      <c r="D408" s="313" t="s">
        <v>2640</v>
      </c>
      <c r="E408" s="314" t="s">
        <v>4</v>
      </c>
      <c r="F408" s="315">
        <v>1</v>
      </c>
      <c r="G408" s="316">
        <v>1439.11</v>
      </c>
      <c r="H408" s="316">
        <v>35.119999999999997</v>
      </c>
      <c r="I408" s="316">
        <v>0</v>
      </c>
      <c r="J408" s="316">
        <v>1403.99</v>
      </c>
      <c r="K408" s="316">
        <v>1439.11</v>
      </c>
      <c r="L408" s="316">
        <v>35.119999999999997</v>
      </c>
      <c r="M408" s="316">
        <v>0</v>
      </c>
      <c r="N408" s="316">
        <v>1403.99</v>
      </c>
      <c r="O408" s="316">
        <v>1439.11</v>
      </c>
      <c r="P408" s="317">
        <v>2.4749751670102189E-3</v>
      </c>
    </row>
    <row r="409" spans="1:16" ht="24" customHeight="1" x14ac:dyDescent="0.4">
      <c r="A409" s="313" t="s">
        <v>1998</v>
      </c>
      <c r="B409" s="313">
        <v>93654</v>
      </c>
      <c r="C409" s="313" t="s">
        <v>395</v>
      </c>
      <c r="D409" s="313" t="s">
        <v>5972</v>
      </c>
      <c r="E409" s="314" t="s">
        <v>4</v>
      </c>
      <c r="F409" s="315">
        <v>1</v>
      </c>
      <c r="G409" s="316">
        <v>11.45</v>
      </c>
      <c r="H409" s="316">
        <v>1.98</v>
      </c>
      <c r="I409" s="316">
        <v>0.18</v>
      </c>
      <c r="J409" s="316">
        <v>9.2899999999999991</v>
      </c>
      <c r="K409" s="316">
        <v>11.45</v>
      </c>
      <c r="L409" s="316">
        <v>1.98</v>
      </c>
      <c r="M409" s="316">
        <v>0.18</v>
      </c>
      <c r="N409" s="316">
        <v>9.2899999999999991</v>
      </c>
      <c r="O409" s="316">
        <v>11.45</v>
      </c>
      <c r="P409" s="317">
        <v>1.9691660583462698E-5</v>
      </c>
    </row>
    <row r="410" spans="1:16" ht="24" customHeight="1" x14ac:dyDescent="0.4">
      <c r="A410" s="313" t="s">
        <v>2000</v>
      </c>
      <c r="B410" s="313">
        <v>93661</v>
      </c>
      <c r="C410" s="313" t="s">
        <v>395</v>
      </c>
      <c r="D410" s="313" t="s">
        <v>5973</v>
      </c>
      <c r="E410" s="314" t="s">
        <v>4</v>
      </c>
      <c r="F410" s="315">
        <v>1</v>
      </c>
      <c r="G410" s="316">
        <v>51.73</v>
      </c>
      <c r="H410" s="316">
        <v>3.94</v>
      </c>
      <c r="I410" s="316">
        <v>0.34</v>
      </c>
      <c r="J410" s="316">
        <v>47.45</v>
      </c>
      <c r="K410" s="316">
        <v>51.73</v>
      </c>
      <c r="L410" s="316">
        <v>3.94</v>
      </c>
      <c r="M410" s="316">
        <v>0.34</v>
      </c>
      <c r="N410" s="316">
        <v>47.45</v>
      </c>
      <c r="O410" s="316">
        <v>51.73</v>
      </c>
      <c r="P410" s="317">
        <v>8.8965030740831917E-5</v>
      </c>
    </row>
    <row r="411" spans="1:16" ht="36" customHeight="1" x14ac:dyDescent="0.4">
      <c r="A411" s="313" t="s">
        <v>2004</v>
      </c>
      <c r="B411" s="313">
        <v>93662</v>
      </c>
      <c r="C411" s="313" t="s">
        <v>395</v>
      </c>
      <c r="D411" s="313" t="s">
        <v>5974</v>
      </c>
      <c r="E411" s="314" t="s">
        <v>4</v>
      </c>
      <c r="F411" s="315">
        <v>1</v>
      </c>
      <c r="G411" s="316">
        <v>54.09</v>
      </c>
      <c r="H411" s="316">
        <v>5.22</v>
      </c>
      <c r="I411" s="316">
        <v>0.46</v>
      </c>
      <c r="J411" s="316">
        <v>48.41</v>
      </c>
      <c r="K411" s="316">
        <v>54.09</v>
      </c>
      <c r="L411" s="316">
        <v>5.22</v>
      </c>
      <c r="M411" s="316">
        <v>0.46</v>
      </c>
      <c r="N411" s="316">
        <v>48.41</v>
      </c>
      <c r="O411" s="316">
        <v>54.09</v>
      </c>
      <c r="P411" s="317">
        <v>9.3023748555414614E-5</v>
      </c>
    </row>
    <row r="412" spans="1:16" ht="36" customHeight="1" x14ac:dyDescent="0.4">
      <c r="A412" s="313" t="s">
        <v>2005</v>
      </c>
      <c r="B412" s="313">
        <v>93668</v>
      </c>
      <c r="C412" s="313" t="s">
        <v>395</v>
      </c>
      <c r="D412" s="313" t="s">
        <v>5975</v>
      </c>
      <c r="E412" s="314" t="s">
        <v>4</v>
      </c>
      <c r="F412" s="315">
        <v>1</v>
      </c>
      <c r="G412" s="316">
        <v>65.42</v>
      </c>
      <c r="H412" s="316">
        <v>5.92</v>
      </c>
      <c r="I412" s="316">
        <v>0.52</v>
      </c>
      <c r="J412" s="316">
        <v>58.98</v>
      </c>
      <c r="K412" s="316">
        <v>65.42</v>
      </c>
      <c r="L412" s="316">
        <v>5.92</v>
      </c>
      <c r="M412" s="316">
        <v>0.52</v>
      </c>
      <c r="N412" s="316">
        <v>58.98</v>
      </c>
      <c r="O412" s="316">
        <v>65.42</v>
      </c>
      <c r="P412" s="317">
        <v>1.1250903365677989E-4</v>
      </c>
    </row>
    <row r="413" spans="1:16" ht="24" customHeight="1" x14ac:dyDescent="0.4">
      <c r="A413" s="313" t="s">
        <v>2007</v>
      </c>
      <c r="B413" s="313">
        <v>93669</v>
      </c>
      <c r="C413" s="313" t="s">
        <v>395</v>
      </c>
      <c r="D413" s="313" t="s">
        <v>5976</v>
      </c>
      <c r="E413" s="314" t="s">
        <v>4</v>
      </c>
      <c r="F413" s="315">
        <v>1</v>
      </c>
      <c r="G413" s="316">
        <v>68.959999999999994</v>
      </c>
      <c r="H413" s="316">
        <v>7.83</v>
      </c>
      <c r="I413" s="316">
        <v>0.7</v>
      </c>
      <c r="J413" s="316">
        <v>60.43</v>
      </c>
      <c r="K413" s="316">
        <v>68.959999999999994</v>
      </c>
      <c r="L413" s="316">
        <v>7.83</v>
      </c>
      <c r="M413" s="316">
        <v>0.7</v>
      </c>
      <c r="N413" s="316">
        <v>60.43</v>
      </c>
      <c r="O413" s="316">
        <v>68.959999999999994</v>
      </c>
      <c r="P413" s="317">
        <v>1.1859711037865395E-4</v>
      </c>
    </row>
    <row r="414" spans="1:16" ht="24" customHeight="1" x14ac:dyDescent="0.4">
      <c r="A414" s="313" t="s">
        <v>2009</v>
      </c>
      <c r="B414" s="313">
        <v>93670</v>
      </c>
      <c r="C414" s="313" t="s">
        <v>395</v>
      </c>
      <c r="D414" s="313" t="s">
        <v>5977</v>
      </c>
      <c r="E414" s="314" t="s">
        <v>4</v>
      </c>
      <c r="F414" s="315">
        <v>1</v>
      </c>
      <c r="G414" s="316">
        <v>72.88</v>
      </c>
      <c r="H414" s="316">
        <v>10.68</v>
      </c>
      <c r="I414" s="316">
        <v>0.94</v>
      </c>
      <c r="J414" s="316">
        <v>61.26</v>
      </c>
      <c r="K414" s="316">
        <v>72.88</v>
      </c>
      <c r="L414" s="316">
        <v>10.68</v>
      </c>
      <c r="M414" s="316">
        <v>0.94</v>
      </c>
      <c r="N414" s="316">
        <v>61.26</v>
      </c>
      <c r="O414" s="316">
        <v>72.88</v>
      </c>
      <c r="P414" s="317">
        <v>1.2533870946050319E-4</v>
      </c>
    </row>
    <row r="415" spans="1:16" ht="24" customHeight="1" x14ac:dyDescent="0.4">
      <c r="A415" s="313" t="s">
        <v>2011</v>
      </c>
      <c r="B415" s="313">
        <v>93671</v>
      </c>
      <c r="C415" s="313" t="s">
        <v>395</v>
      </c>
      <c r="D415" s="313" t="s">
        <v>5970</v>
      </c>
      <c r="E415" s="314" t="s">
        <v>4</v>
      </c>
      <c r="F415" s="315">
        <v>1</v>
      </c>
      <c r="G415" s="316">
        <v>78.89</v>
      </c>
      <c r="H415" s="316">
        <v>14.5</v>
      </c>
      <c r="I415" s="316">
        <v>1.28</v>
      </c>
      <c r="J415" s="316">
        <v>63.11</v>
      </c>
      <c r="K415" s="316">
        <v>78.89</v>
      </c>
      <c r="L415" s="316">
        <v>14.5</v>
      </c>
      <c r="M415" s="316">
        <v>1.28</v>
      </c>
      <c r="N415" s="316">
        <v>63.11</v>
      </c>
      <c r="O415" s="316">
        <v>78.89</v>
      </c>
      <c r="P415" s="317">
        <v>1.3567468152221593E-4</v>
      </c>
    </row>
    <row r="416" spans="1:16" ht="24" customHeight="1" x14ac:dyDescent="0.4">
      <c r="A416" s="313" t="s">
        <v>2012</v>
      </c>
      <c r="B416" s="313" t="s">
        <v>2664</v>
      </c>
      <c r="C416" s="313" t="s">
        <v>5902</v>
      </c>
      <c r="D416" s="313" t="s">
        <v>2703</v>
      </c>
      <c r="E416" s="314" t="s">
        <v>4</v>
      </c>
      <c r="F416" s="315">
        <v>1</v>
      </c>
      <c r="G416" s="316">
        <v>293.45999999999998</v>
      </c>
      <c r="H416" s="316">
        <v>13.96</v>
      </c>
      <c r="I416" s="316">
        <v>0</v>
      </c>
      <c r="J416" s="316">
        <v>279.5</v>
      </c>
      <c r="K416" s="316">
        <v>293.45999999999998</v>
      </c>
      <c r="L416" s="316">
        <v>13.96</v>
      </c>
      <c r="M416" s="316">
        <v>0</v>
      </c>
      <c r="N416" s="316">
        <v>279.5</v>
      </c>
      <c r="O416" s="316">
        <v>293.45999999999998</v>
      </c>
      <c r="P416" s="317">
        <v>5.0469124146925446E-4</v>
      </c>
    </row>
    <row r="417" spans="1:16" ht="24" customHeight="1" x14ac:dyDescent="0.4">
      <c r="A417" s="313" t="s">
        <v>2013</v>
      </c>
      <c r="B417" s="313" t="s">
        <v>2665</v>
      </c>
      <c r="C417" s="313" t="s">
        <v>5902</v>
      </c>
      <c r="D417" s="313" t="s">
        <v>2705</v>
      </c>
      <c r="E417" s="314" t="s">
        <v>4</v>
      </c>
      <c r="F417" s="315">
        <v>1</v>
      </c>
      <c r="G417" s="316">
        <v>297.14999999999998</v>
      </c>
      <c r="H417" s="316">
        <v>13.96</v>
      </c>
      <c r="I417" s="316">
        <v>0</v>
      </c>
      <c r="J417" s="316">
        <v>283.19</v>
      </c>
      <c r="K417" s="316">
        <v>297.14999999999998</v>
      </c>
      <c r="L417" s="316">
        <v>13.96</v>
      </c>
      <c r="M417" s="316">
        <v>0</v>
      </c>
      <c r="N417" s="316">
        <v>283.19</v>
      </c>
      <c r="O417" s="316">
        <v>297.14999999999998</v>
      </c>
      <c r="P417" s="317">
        <v>5.110372875437503E-4</v>
      </c>
    </row>
    <row r="418" spans="1:16" ht="24" customHeight="1" x14ac:dyDescent="0.4">
      <c r="A418" s="313" t="s">
        <v>2015</v>
      </c>
      <c r="B418" s="313">
        <v>12232</v>
      </c>
      <c r="C418" s="313" t="s">
        <v>420</v>
      </c>
      <c r="D418" s="313" t="s">
        <v>2679</v>
      </c>
      <c r="E418" s="314" t="s">
        <v>422</v>
      </c>
      <c r="F418" s="315">
        <v>1</v>
      </c>
      <c r="G418" s="316">
        <v>1830.17</v>
      </c>
      <c r="H418" s="316">
        <v>353.62</v>
      </c>
      <c r="I418" s="316">
        <v>0.24</v>
      </c>
      <c r="J418" s="316">
        <v>1476.31</v>
      </c>
      <c r="K418" s="316">
        <v>1830.17</v>
      </c>
      <c r="L418" s="316">
        <v>353.62</v>
      </c>
      <c r="M418" s="316">
        <v>0.24</v>
      </c>
      <c r="N418" s="316">
        <v>1476.31</v>
      </c>
      <c r="O418" s="316">
        <v>1830.17</v>
      </c>
      <c r="P418" s="317">
        <v>3.1475184672520463E-3</v>
      </c>
    </row>
    <row r="419" spans="1:16" ht="24" customHeight="1" x14ac:dyDescent="0.4">
      <c r="A419" s="313" t="s">
        <v>2016</v>
      </c>
      <c r="B419" s="313">
        <v>468</v>
      </c>
      <c r="C419" s="313" t="s">
        <v>420</v>
      </c>
      <c r="D419" s="313" t="s">
        <v>5978</v>
      </c>
      <c r="E419" s="314" t="s">
        <v>422</v>
      </c>
      <c r="F419" s="315">
        <v>1</v>
      </c>
      <c r="G419" s="316">
        <v>324.39999999999998</v>
      </c>
      <c r="H419" s="316">
        <v>111.73</v>
      </c>
      <c r="I419" s="316">
        <v>0</v>
      </c>
      <c r="J419" s="316">
        <v>212.67</v>
      </c>
      <c r="K419" s="316">
        <v>324.39999999999998</v>
      </c>
      <c r="L419" s="316">
        <v>111.73</v>
      </c>
      <c r="M419" s="316">
        <v>0</v>
      </c>
      <c r="N419" s="316">
        <v>212.67</v>
      </c>
      <c r="O419" s="316">
        <v>324.39999999999998</v>
      </c>
      <c r="P419" s="317">
        <v>5.5790171993670744E-4</v>
      </c>
    </row>
    <row r="420" spans="1:16" ht="36" customHeight="1" x14ac:dyDescent="0.4">
      <c r="A420" s="313" t="s">
        <v>2027</v>
      </c>
      <c r="B420" s="313">
        <v>93672</v>
      </c>
      <c r="C420" s="313" t="s">
        <v>395</v>
      </c>
      <c r="D420" s="313" t="s">
        <v>5966</v>
      </c>
      <c r="E420" s="314" t="s">
        <v>4</v>
      </c>
      <c r="F420" s="315">
        <v>1</v>
      </c>
      <c r="G420" s="316">
        <v>88.52</v>
      </c>
      <c r="H420" s="316">
        <v>21.23</v>
      </c>
      <c r="I420" s="316">
        <v>1.88</v>
      </c>
      <c r="J420" s="316">
        <v>65.41</v>
      </c>
      <c r="K420" s="316">
        <v>88.52</v>
      </c>
      <c r="L420" s="316">
        <v>21.23</v>
      </c>
      <c r="M420" s="316">
        <v>1.88</v>
      </c>
      <c r="N420" s="316">
        <v>65.41</v>
      </c>
      <c r="O420" s="316">
        <v>88.52</v>
      </c>
      <c r="P420" s="317">
        <v>1.5223631396053434E-4</v>
      </c>
    </row>
    <row r="421" spans="1:16" ht="24" customHeight="1" x14ac:dyDescent="0.4">
      <c r="A421" s="313" t="s">
        <v>2028</v>
      </c>
      <c r="B421" s="313">
        <v>681</v>
      </c>
      <c r="C421" s="313" t="s">
        <v>575</v>
      </c>
      <c r="D421" s="313" t="s">
        <v>2640</v>
      </c>
      <c r="E421" s="314" t="s">
        <v>4</v>
      </c>
      <c r="F421" s="315">
        <v>1</v>
      </c>
      <c r="G421" s="316">
        <v>1439.11</v>
      </c>
      <c r="H421" s="316">
        <v>35.119999999999997</v>
      </c>
      <c r="I421" s="316">
        <v>0</v>
      </c>
      <c r="J421" s="316">
        <v>1403.99</v>
      </c>
      <c r="K421" s="316">
        <v>1439.11</v>
      </c>
      <c r="L421" s="316">
        <v>35.119999999999997</v>
      </c>
      <c r="M421" s="316">
        <v>0</v>
      </c>
      <c r="N421" s="316">
        <v>1403.99</v>
      </c>
      <c r="O421" s="316">
        <v>1439.11</v>
      </c>
      <c r="P421" s="317">
        <v>2.4749751670102189E-3</v>
      </c>
    </row>
    <row r="422" spans="1:16" ht="24" customHeight="1" x14ac:dyDescent="0.4">
      <c r="A422" s="313" t="s">
        <v>2029</v>
      </c>
      <c r="B422" s="313">
        <v>93654</v>
      </c>
      <c r="C422" s="313" t="s">
        <v>395</v>
      </c>
      <c r="D422" s="313" t="s">
        <v>5972</v>
      </c>
      <c r="E422" s="314" t="s">
        <v>4</v>
      </c>
      <c r="F422" s="315">
        <v>1</v>
      </c>
      <c r="G422" s="316">
        <v>11.45</v>
      </c>
      <c r="H422" s="316">
        <v>1.98</v>
      </c>
      <c r="I422" s="316">
        <v>0.18</v>
      </c>
      <c r="J422" s="316">
        <v>9.2899999999999991</v>
      </c>
      <c r="K422" s="316">
        <v>11.45</v>
      </c>
      <c r="L422" s="316">
        <v>1.98</v>
      </c>
      <c r="M422" s="316">
        <v>0.18</v>
      </c>
      <c r="N422" s="316">
        <v>9.2899999999999991</v>
      </c>
      <c r="O422" s="316">
        <v>11.45</v>
      </c>
      <c r="P422" s="317">
        <v>1.9691660583462698E-5</v>
      </c>
    </row>
    <row r="423" spans="1:16" ht="24" customHeight="1" x14ac:dyDescent="0.4">
      <c r="A423" s="313" t="s">
        <v>2030</v>
      </c>
      <c r="B423" s="313">
        <v>93661</v>
      </c>
      <c r="C423" s="313" t="s">
        <v>395</v>
      </c>
      <c r="D423" s="313" t="s">
        <v>5973</v>
      </c>
      <c r="E423" s="314" t="s">
        <v>4</v>
      </c>
      <c r="F423" s="315">
        <v>1</v>
      </c>
      <c r="G423" s="316">
        <v>51.73</v>
      </c>
      <c r="H423" s="316">
        <v>3.94</v>
      </c>
      <c r="I423" s="316">
        <v>0.34</v>
      </c>
      <c r="J423" s="316">
        <v>47.45</v>
      </c>
      <c r="K423" s="316">
        <v>51.73</v>
      </c>
      <c r="L423" s="316">
        <v>3.94</v>
      </c>
      <c r="M423" s="316">
        <v>0.34</v>
      </c>
      <c r="N423" s="316">
        <v>47.45</v>
      </c>
      <c r="O423" s="316">
        <v>51.73</v>
      </c>
      <c r="P423" s="317">
        <v>8.8965030740831917E-5</v>
      </c>
    </row>
    <row r="424" spans="1:16" ht="24" customHeight="1" x14ac:dyDescent="0.4">
      <c r="A424" s="313" t="s">
        <v>2031</v>
      </c>
      <c r="B424" s="313">
        <v>93662</v>
      </c>
      <c r="C424" s="313" t="s">
        <v>395</v>
      </c>
      <c r="D424" s="313" t="s">
        <v>5974</v>
      </c>
      <c r="E424" s="314" t="s">
        <v>4</v>
      </c>
      <c r="F424" s="315">
        <v>1</v>
      </c>
      <c r="G424" s="316">
        <v>54.09</v>
      </c>
      <c r="H424" s="316">
        <v>5.22</v>
      </c>
      <c r="I424" s="316">
        <v>0.46</v>
      </c>
      <c r="J424" s="316">
        <v>48.41</v>
      </c>
      <c r="K424" s="316">
        <v>54.09</v>
      </c>
      <c r="L424" s="316">
        <v>5.22</v>
      </c>
      <c r="M424" s="316">
        <v>0.46</v>
      </c>
      <c r="N424" s="316">
        <v>48.41</v>
      </c>
      <c r="O424" s="316">
        <v>54.09</v>
      </c>
      <c r="P424" s="317">
        <v>9.3023748555414614E-5</v>
      </c>
    </row>
    <row r="425" spans="1:16" ht="24" customHeight="1" x14ac:dyDescent="0.4">
      <c r="A425" s="313" t="s">
        <v>2032</v>
      </c>
      <c r="B425" s="313">
        <v>93669</v>
      </c>
      <c r="C425" s="313" t="s">
        <v>395</v>
      </c>
      <c r="D425" s="313" t="s">
        <v>5976</v>
      </c>
      <c r="E425" s="314" t="s">
        <v>4</v>
      </c>
      <c r="F425" s="315">
        <v>1</v>
      </c>
      <c r="G425" s="316">
        <v>68.959999999999994</v>
      </c>
      <c r="H425" s="316">
        <v>7.83</v>
      </c>
      <c r="I425" s="316">
        <v>0.7</v>
      </c>
      <c r="J425" s="316">
        <v>60.43</v>
      </c>
      <c r="K425" s="316">
        <v>68.959999999999994</v>
      </c>
      <c r="L425" s="316">
        <v>7.83</v>
      </c>
      <c r="M425" s="316">
        <v>0.7</v>
      </c>
      <c r="N425" s="316">
        <v>60.43</v>
      </c>
      <c r="O425" s="316">
        <v>68.959999999999994</v>
      </c>
      <c r="P425" s="317">
        <v>1.1859711037865395E-4</v>
      </c>
    </row>
    <row r="426" spans="1:16" ht="24" customHeight="1" x14ac:dyDescent="0.4">
      <c r="A426" s="313" t="s">
        <v>2033</v>
      </c>
      <c r="B426" s="313" t="s">
        <v>2664</v>
      </c>
      <c r="C426" s="313" t="s">
        <v>5902</v>
      </c>
      <c r="D426" s="313" t="s">
        <v>2703</v>
      </c>
      <c r="E426" s="314" t="s">
        <v>4</v>
      </c>
      <c r="F426" s="315">
        <v>1</v>
      </c>
      <c r="G426" s="316">
        <v>293.45999999999998</v>
      </c>
      <c r="H426" s="316">
        <v>13.96</v>
      </c>
      <c r="I426" s="316">
        <v>0</v>
      </c>
      <c r="J426" s="316">
        <v>279.5</v>
      </c>
      <c r="K426" s="316">
        <v>293.45999999999998</v>
      </c>
      <c r="L426" s="316">
        <v>13.96</v>
      </c>
      <c r="M426" s="316">
        <v>0</v>
      </c>
      <c r="N426" s="316">
        <v>279.5</v>
      </c>
      <c r="O426" s="316">
        <v>293.45999999999998</v>
      </c>
      <c r="P426" s="317">
        <v>5.0469124146925446E-4</v>
      </c>
    </row>
    <row r="427" spans="1:16" ht="24" customHeight="1" x14ac:dyDescent="0.4">
      <c r="A427" s="313" t="s">
        <v>2034</v>
      </c>
      <c r="B427" s="313">
        <v>12232</v>
      </c>
      <c r="C427" s="313" t="s">
        <v>420</v>
      </c>
      <c r="D427" s="313" t="s">
        <v>2679</v>
      </c>
      <c r="E427" s="314" t="s">
        <v>422</v>
      </c>
      <c r="F427" s="315">
        <v>1</v>
      </c>
      <c r="G427" s="316">
        <v>1830.17</v>
      </c>
      <c r="H427" s="316">
        <v>353.62</v>
      </c>
      <c r="I427" s="316">
        <v>0.24</v>
      </c>
      <c r="J427" s="316">
        <v>1476.31</v>
      </c>
      <c r="K427" s="316">
        <v>1830.17</v>
      </c>
      <c r="L427" s="316">
        <v>353.62</v>
      </c>
      <c r="M427" s="316">
        <v>0.24</v>
      </c>
      <c r="N427" s="316">
        <v>1476.31</v>
      </c>
      <c r="O427" s="316">
        <v>1830.17</v>
      </c>
      <c r="P427" s="317">
        <v>3.1475184672520463E-3</v>
      </c>
    </row>
    <row r="428" spans="1:16" ht="24" customHeight="1" x14ac:dyDescent="0.4">
      <c r="A428" s="313" t="s">
        <v>2035</v>
      </c>
      <c r="B428" s="313">
        <v>93672</v>
      </c>
      <c r="C428" s="313" t="s">
        <v>395</v>
      </c>
      <c r="D428" s="313" t="s">
        <v>5966</v>
      </c>
      <c r="E428" s="314" t="s">
        <v>4</v>
      </c>
      <c r="F428" s="315">
        <v>1</v>
      </c>
      <c r="G428" s="316">
        <v>88.52</v>
      </c>
      <c r="H428" s="316">
        <v>21.23</v>
      </c>
      <c r="I428" s="316">
        <v>1.88</v>
      </c>
      <c r="J428" s="316">
        <v>65.41</v>
      </c>
      <c r="K428" s="316">
        <v>88.52</v>
      </c>
      <c r="L428" s="316">
        <v>21.23</v>
      </c>
      <c r="M428" s="316">
        <v>1.88</v>
      </c>
      <c r="N428" s="316">
        <v>65.41</v>
      </c>
      <c r="O428" s="316">
        <v>88.52</v>
      </c>
      <c r="P428" s="317">
        <v>1.5223631396053434E-4</v>
      </c>
    </row>
    <row r="429" spans="1:16" ht="24" customHeight="1" x14ac:dyDescent="0.4">
      <c r="A429" s="313" t="s">
        <v>2036</v>
      </c>
      <c r="B429" s="313">
        <v>681</v>
      </c>
      <c r="C429" s="313" t="s">
        <v>575</v>
      </c>
      <c r="D429" s="313" t="s">
        <v>2640</v>
      </c>
      <c r="E429" s="314" t="s">
        <v>4</v>
      </c>
      <c r="F429" s="315">
        <v>1</v>
      </c>
      <c r="G429" s="316">
        <v>1439.11</v>
      </c>
      <c r="H429" s="316">
        <v>35.119999999999997</v>
      </c>
      <c r="I429" s="316">
        <v>0</v>
      </c>
      <c r="J429" s="316">
        <v>1403.99</v>
      </c>
      <c r="K429" s="316">
        <v>1439.11</v>
      </c>
      <c r="L429" s="316">
        <v>35.119999999999997</v>
      </c>
      <c r="M429" s="316">
        <v>0</v>
      </c>
      <c r="N429" s="316">
        <v>1403.99</v>
      </c>
      <c r="O429" s="316">
        <v>1439.11</v>
      </c>
      <c r="P429" s="317">
        <v>2.4749751670102189E-3</v>
      </c>
    </row>
    <row r="430" spans="1:16" ht="24" customHeight="1" x14ac:dyDescent="0.4">
      <c r="A430" s="313" t="s">
        <v>2037</v>
      </c>
      <c r="B430" s="313">
        <v>93654</v>
      </c>
      <c r="C430" s="313" t="s">
        <v>395</v>
      </c>
      <c r="D430" s="313" t="s">
        <v>5972</v>
      </c>
      <c r="E430" s="314" t="s">
        <v>4</v>
      </c>
      <c r="F430" s="315">
        <v>1</v>
      </c>
      <c r="G430" s="316">
        <v>11.45</v>
      </c>
      <c r="H430" s="316">
        <v>1.98</v>
      </c>
      <c r="I430" s="316">
        <v>0.18</v>
      </c>
      <c r="J430" s="316">
        <v>9.2899999999999991</v>
      </c>
      <c r="K430" s="316">
        <v>11.45</v>
      </c>
      <c r="L430" s="316">
        <v>1.98</v>
      </c>
      <c r="M430" s="316">
        <v>0.18</v>
      </c>
      <c r="N430" s="316">
        <v>9.2899999999999991</v>
      </c>
      <c r="O430" s="316">
        <v>11.45</v>
      </c>
      <c r="P430" s="317">
        <v>1.9691660583462698E-5</v>
      </c>
    </row>
    <row r="431" spans="1:16" ht="24" customHeight="1" x14ac:dyDescent="0.4">
      <c r="A431" s="313" t="s">
        <v>2038</v>
      </c>
      <c r="B431" s="313">
        <v>93661</v>
      </c>
      <c r="C431" s="313" t="s">
        <v>395</v>
      </c>
      <c r="D431" s="313" t="s">
        <v>5973</v>
      </c>
      <c r="E431" s="314" t="s">
        <v>4</v>
      </c>
      <c r="F431" s="315">
        <v>1</v>
      </c>
      <c r="G431" s="316">
        <v>51.73</v>
      </c>
      <c r="H431" s="316">
        <v>3.94</v>
      </c>
      <c r="I431" s="316">
        <v>0.34</v>
      </c>
      <c r="J431" s="316">
        <v>47.45</v>
      </c>
      <c r="K431" s="316">
        <v>51.73</v>
      </c>
      <c r="L431" s="316">
        <v>3.94</v>
      </c>
      <c r="M431" s="316">
        <v>0.34</v>
      </c>
      <c r="N431" s="316">
        <v>47.45</v>
      </c>
      <c r="O431" s="316">
        <v>51.73</v>
      </c>
      <c r="P431" s="317">
        <v>8.8965030740831917E-5</v>
      </c>
    </row>
    <row r="432" spans="1:16" ht="24" customHeight="1" x14ac:dyDescent="0.4">
      <c r="A432" s="313" t="s">
        <v>2039</v>
      </c>
      <c r="B432" s="313">
        <v>93655</v>
      </c>
      <c r="C432" s="313" t="s">
        <v>395</v>
      </c>
      <c r="D432" s="313" t="s">
        <v>5979</v>
      </c>
      <c r="E432" s="314" t="s">
        <v>4</v>
      </c>
      <c r="F432" s="315">
        <v>1</v>
      </c>
      <c r="G432" s="316">
        <v>12.63</v>
      </c>
      <c r="H432" s="316">
        <v>2.61</v>
      </c>
      <c r="I432" s="316">
        <v>0.24</v>
      </c>
      <c r="J432" s="316">
        <v>9.7799999999999994</v>
      </c>
      <c r="K432" s="316">
        <v>12.63</v>
      </c>
      <c r="L432" s="316">
        <v>2.61</v>
      </c>
      <c r="M432" s="316">
        <v>0.24</v>
      </c>
      <c r="N432" s="316">
        <v>9.7799999999999994</v>
      </c>
      <c r="O432" s="316">
        <v>12.63</v>
      </c>
      <c r="P432" s="317">
        <v>2.172101949075405E-5</v>
      </c>
    </row>
    <row r="433" spans="1:16" ht="24" customHeight="1" x14ac:dyDescent="0.4">
      <c r="A433" s="313" t="s">
        <v>2040</v>
      </c>
      <c r="B433" s="313">
        <v>93662</v>
      </c>
      <c r="C433" s="313" t="s">
        <v>395</v>
      </c>
      <c r="D433" s="313" t="s">
        <v>5974</v>
      </c>
      <c r="E433" s="314" t="s">
        <v>4</v>
      </c>
      <c r="F433" s="315">
        <v>1</v>
      </c>
      <c r="G433" s="316">
        <v>54.09</v>
      </c>
      <c r="H433" s="316">
        <v>5.22</v>
      </c>
      <c r="I433" s="316">
        <v>0.46</v>
      </c>
      <c r="J433" s="316">
        <v>48.41</v>
      </c>
      <c r="K433" s="316">
        <v>54.09</v>
      </c>
      <c r="L433" s="316">
        <v>5.22</v>
      </c>
      <c r="M433" s="316">
        <v>0.46</v>
      </c>
      <c r="N433" s="316">
        <v>48.41</v>
      </c>
      <c r="O433" s="316">
        <v>54.09</v>
      </c>
      <c r="P433" s="317">
        <v>9.3023748555414614E-5</v>
      </c>
    </row>
    <row r="434" spans="1:16" ht="36" customHeight="1" x14ac:dyDescent="0.4">
      <c r="A434" s="313" t="s">
        <v>2041</v>
      </c>
      <c r="B434" s="313">
        <v>93669</v>
      </c>
      <c r="C434" s="313" t="s">
        <v>395</v>
      </c>
      <c r="D434" s="313" t="s">
        <v>5976</v>
      </c>
      <c r="E434" s="314" t="s">
        <v>4</v>
      </c>
      <c r="F434" s="315">
        <v>1</v>
      </c>
      <c r="G434" s="316">
        <v>68.959999999999994</v>
      </c>
      <c r="H434" s="316">
        <v>7.83</v>
      </c>
      <c r="I434" s="316">
        <v>0.7</v>
      </c>
      <c r="J434" s="316">
        <v>60.43</v>
      </c>
      <c r="K434" s="316">
        <v>68.959999999999994</v>
      </c>
      <c r="L434" s="316">
        <v>7.83</v>
      </c>
      <c r="M434" s="316">
        <v>0.7</v>
      </c>
      <c r="N434" s="316">
        <v>60.43</v>
      </c>
      <c r="O434" s="316">
        <v>68.959999999999994</v>
      </c>
      <c r="P434" s="317">
        <v>1.1859711037865395E-4</v>
      </c>
    </row>
    <row r="435" spans="1:16" ht="24" customHeight="1" x14ac:dyDescent="0.4">
      <c r="A435" s="313" t="s">
        <v>2042</v>
      </c>
      <c r="B435" s="313" t="s">
        <v>2664</v>
      </c>
      <c r="C435" s="313" t="s">
        <v>5902</v>
      </c>
      <c r="D435" s="313" t="s">
        <v>2703</v>
      </c>
      <c r="E435" s="314" t="s">
        <v>4</v>
      </c>
      <c r="F435" s="315">
        <v>1</v>
      </c>
      <c r="G435" s="316">
        <v>293.45999999999998</v>
      </c>
      <c r="H435" s="316">
        <v>13.96</v>
      </c>
      <c r="I435" s="316">
        <v>0</v>
      </c>
      <c r="J435" s="316">
        <v>279.5</v>
      </c>
      <c r="K435" s="316">
        <v>293.45999999999998</v>
      </c>
      <c r="L435" s="316">
        <v>13.96</v>
      </c>
      <c r="M435" s="316">
        <v>0</v>
      </c>
      <c r="N435" s="316">
        <v>279.5</v>
      </c>
      <c r="O435" s="316">
        <v>293.45999999999998</v>
      </c>
      <c r="P435" s="317">
        <v>5.0469124146925446E-4</v>
      </c>
    </row>
    <row r="436" spans="1:16" ht="24" customHeight="1" x14ac:dyDescent="0.4">
      <c r="A436" s="313" t="s">
        <v>2043</v>
      </c>
      <c r="B436" s="313">
        <v>710</v>
      </c>
      <c r="C436" s="313" t="s">
        <v>575</v>
      </c>
      <c r="D436" s="313" t="s">
        <v>2642</v>
      </c>
      <c r="E436" s="314" t="s">
        <v>422</v>
      </c>
      <c r="F436" s="315">
        <v>1</v>
      </c>
      <c r="G436" s="316">
        <v>2901.6</v>
      </c>
      <c r="H436" s="316">
        <v>651.66999999999996</v>
      </c>
      <c r="I436" s="316">
        <v>0.3</v>
      </c>
      <c r="J436" s="316">
        <v>2249.63</v>
      </c>
      <c r="K436" s="316">
        <v>2901.6</v>
      </c>
      <c r="L436" s="316">
        <v>651.66999999999996</v>
      </c>
      <c r="M436" s="316">
        <v>0.3</v>
      </c>
      <c r="N436" s="316">
        <v>2249.63</v>
      </c>
      <c r="O436" s="316">
        <v>2901.6</v>
      </c>
      <c r="P436" s="317">
        <v>4.9901591571157528E-3</v>
      </c>
    </row>
    <row r="437" spans="1:16" ht="48" customHeight="1" x14ac:dyDescent="0.4">
      <c r="A437" s="313" t="s">
        <v>2044</v>
      </c>
      <c r="B437" s="313">
        <v>93672</v>
      </c>
      <c r="C437" s="313" t="s">
        <v>395</v>
      </c>
      <c r="D437" s="313" t="s">
        <v>5966</v>
      </c>
      <c r="E437" s="314" t="s">
        <v>4</v>
      </c>
      <c r="F437" s="315">
        <v>1</v>
      </c>
      <c r="G437" s="316">
        <v>88.52</v>
      </c>
      <c r="H437" s="316">
        <v>21.23</v>
      </c>
      <c r="I437" s="316">
        <v>1.88</v>
      </c>
      <c r="J437" s="316">
        <v>65.41</v>
      </c>
      <c r="K437" s="316">
        <v>88.52</v>
      </c>
      <c r="L437" s="316">
        <v>21.23</v>
      </c>
      <c r="M437" s="316">
        <v>1.88</v>
      </c>
      <c r="N437" s="316">
        <v>65.41</v>
      </c>
      <c r="O437" s="316">
        <v>88.52</v>
      </c>
      <c r="P437" s="317">
        <v>1.5223631396053434E-4</v>
      </c>
    </row>
    <row r="438" spans="1:16" ht="36" customHeight="1" x14ac:dyDescent="0.4">
      <c r="A438" s="313" t="s">
        <v>2045</v>
      </c>
      <c r="B438" s="313">
        <v>681</v>
      </c>
      <c r="C438" s="313" t="s">
        <v>575</v>
      </c>
      <c r="D438" s="313" t="s">
        <v>2640</v>
      </c>
      <c r="E438" s="314" t="s">
        <v>4</v>
      </c>
      <c r="F438" s="315">
        <v>1</v>
      </c>
      <c r="G438" s="316">
        <v>1439.11</v>
      </c>
      <c r="H438" s="316">
        <v>35.119999999999997</v>
      </c>
      <c r="I438" s="316">
        <v>0</v>
      </c>
      <c r="J438" s="316">
        <v>1403.99</v>
      </c>
      <c r="K438" s="316">
        <v>1439.11</v>
      </c>
      <c r="L438" s="316">
        <v>35.119999999999997</v>
      </c>
      <c r="M438" s="316">
        <v>0</v>
      </c>
      <c r="N438" s="316">
        <v>1403.99</v>
      </c>
      <c r="O438" s="316">
        <v>1439.11</v>
      </c>
      <c r="P438" s="317">
        <v>2.4749751670102189E-3</v>
      </c>
    </row>
    <row r="439" spans="1:16" ht="24" customHeight="1" x14ac:dyDescent="0.4">
      <c r="A439" s="313" t="s">
        <v>2046</v>
      </c>
      <c r="B439" s="313">
        <v>93654</v>
      </c>
      <c r="C439" s="313" t="s">
        <v>395</v>
      </c>
      <c r="D439" s="313" t="s">
        <v>5972</v>
      </c>
      <c r="E439" s="314" t="s">
        <v>4</v>
      </c>
      <c r="F439" s="315">
        <v>1</v>
      </c>
      <c r="G439" s="316">
        <v>11.45</v>
      </c>
      <c r="H439" s="316">
        <v>1.98</v>
      </c>
      <c r="I439" s="316">
        <v>0.18</v>
      </c>
      <c r="J439" s="316">
        <v>9.2899999999999991</v>
      </c>
      <c r="K439" s="316">
        <v>11.45</v>
      </c>
      <c r="L439" s="316">
        <v>1.98</v>
      </c>
      <c r="M439" s="316">
        <v>0.18</v>
      </c>
      <c r="N439" s="316">
        <v>9.2899999999999991</v>
      </c>
      <c r="O439" s="316">
        <v>11.45</v>
      </c>
      <c r="P439" s="317">
        <v>1.9691660583462698E-5</v>
      </c>
    </row>
    <row r="440" spans="1:16" ht="24" customHeight="1" x14ac:dyDescent="0.4">
      <c r="A440" s="313" t="s">
        <v>2047</v>
      </c>
      <c r="B440" s="313">
        <v>93661</v>
      </c>
      <c r="C440" s="313" t="s">
        <v>395</v>
      </c>
      <c r="D440" s="313" t="s">
        <v>5973</v>
      </c>
      <c r="E440" s="314" t="s">
        <v>4</v>
      </c>
      <c r="F440" s="315">
        <v>1</v>
      </c>
      <c r="G440" s="316">
        <v>51.73</v>
      </c>
      <c r="H440" s="316">
        <v>3.94</v>
      </c>
      <c r="I440" s="316">
        <v>0.34</v>
      </c>
      <c r="J440" s="316">
        <v>47.45</v>
      </c>
      <c r="K440" s="316">
        <v>51.73</v>
      </c>
      <c r="L440" s="316">
        <v>3.94</v>
      </c>
      <c r="M440" s="316">
        <v>0.34</v>
      </c>
      <c r="N440" s="316">
        <v>47.45</v>
      </c>
      <c r="O440" s="316">
        <v>51.73</v>
      </c>
      <c r="P440" s="317">
        <v>8.8965030740831917E-5</v>
      </c>
    </row>
    <row r="441" spans="1:16" ht="24" customHeight="1" x14ac:dyDescent="0.4">
      <c r="A441" s="313" t="s">
        <v>2048</v>
      </c>
      <c r="B441" s="313">
        <v>8077</v>
      </c>
      <c r="C441" s="313" t="s">
        <v>420</v>
      </c>
      <c r="D441" s="313" t="s">
        <v>2691</v>
      </c>
      <c r="E441" s="314" t="s">
        <v>422</v>
      </c>
      <c r="F441" s="315">
        <v>1</v>
      </c>
      <c r="G441" s="316">
        <v>231.6</v>
      </c>
      <c r="H441" s="316">
        <v>31.5</v>
      </c>
      <c r="I441" s="316">
        <v>0</v>
      </c>
      <c r="J441" s="316">
        <v>200.1</v>
      </c>
      <c r="K441" s="316">
        <v>231.6</v>
      </c>
      <c r="L441" s="316">
        <v>31.5</v>
      </c>
      <c r="M441" s="316">
        <v>0</v>
      </c>
      <c r="N441" s="316">
        <v>200.1</v>
      </c>
      <c r="O441" s="316">
        <v>231.6</v>
      </c>
      <c r="P441" s="317">
        <v>3.9830468044803157E-4</v>
      </c>
    </row>
    <row r="442" spans="1:16" ht="24" customHeight="1" x14ac:dyDescent="0.4">
      <c r="A442" s="313" t="s">
        <v>2049</v>
      </c>
      <c r="B442" s="313" t="s">
        <v>2664</v>
      </c>
      <c r="C442" s="313" t="s">
        <v>5902</v>
      </c>
      <c r="D442" s="313" t="s">
        <v>2703</v>
      </c>
      <c r="E442" s="314" t="s">
        <v>4</v>
      </c>
      <c r="F442" s="315">
        <v>1</v>
      </c>
      <c r="G442" s="316">
        <v>293.45999999999998</v>
      </c>
      <c r="H442" s="316">
        <v>13.96</v>
      </c>
      <c r="I442" s="316">
        <v>0</v>
      </c>
      <c r="J442" s="316">
        <v>279.5</v>
      </c>
      <c r="K442" s="316">
        <v>293.45999999999998</v>
      </c>
      <c r="L442" s="316">
        <v>13.96</v>
      </c>
      <c r="M442" s="316">
        <v>0</v>
      </c>
      <c r="N442" s="316">
        <v>279.5</v>
      </c>
      <c r="O442" s="316">
        <v>293.45999999999998</v>
      </c>
      <c r="P442" s="317">
        <v>5.0469124146925446E-4</v>
      </c>
    </row>
    <row r="443" spans="1:16" ht="24" customHeight="1" x14ac:dyDescent="0.4">
      <c r="A443" s="313" t="s">
        <v>2050</v>
      </c>
      <c r="B443" s="313" t="s">
        <v>2665</v>
      </c>
      <c r="C443" s="313" t="s">
        <v>5902</v>
      </c>
      <c r="D443" s="313" t="s">
        <v>2705</v>
      </c>
      <c r="E443" s="314" t="s">
        <v>4</v>
      </c>
      <c r="F443" s="315">
        <v>1</v>
      </c>
      <c r="G443" s="316">
        <v>297.14999999999998</v>
      </c>
      <c r="H443" s="316">
        <v>13.96</v>
      </c>
      <c r="I443" s="316">
        <v>0</v>
      </c>
      <c r="J443" s="316">
        <v>283.19</v>
      </c>
      <c r="K443" s="316">
        <v>297.14999999999998</v>
      </c>
      <c r="L443" s="316">
        <v>13.96</v>
      </c>
      <c r="M443" s="316">
        <v>0</v>
      </c>
      <c r="N443" s="316">
        <v>283.19</v>
      </c>
      <c r="O443" s="316">
        <v>297.14999999999998</v>
      </c>
      <c r="P443" s="317">
        <v>5.110372875437503E-4</v>
      </c>
    </row>
    <row r="444" spans="1:16" ht="24" customHeight="1" x14ac:dyDescent="0.4">
      <c r="A444" s="313" t="s">
        <v>2051</v>
      </c>
      <c r="B444" s="313">
        <v>101881</v>
      </c>
      <c r="C444" s="313" t="s">
        <v>395</v>
      </c>
      <c r="D444" s="313" t="s">
        <v>5980</v>
      </c>
      <c r="E444" s="314" t="s">
        <v>4</v>
      </c>
      <c r="F444" s="315">
        <v>1</v>
      </c>
      <c r="G444" s="316">
        <v>938.07</v>
      </c>
      <c r="H444" s="316">
        <v>119.25</v>
      </c>
      <c r="I444" s="316">
        <v>10.62</v>
      </c>
      <c r="J444" s="316">
        <v>808.2</v>
      </c>
      <c r="K444" s="316">
        <v>938.07</v>
      </c>
      <c r="L444" s="316">
        <v>119.25</v>
      </c>
      <c r="M444" s="316">
        <v>10.62</v>
      </c>
      <c r="N444" s="316">
        <v>808.2</v>
      </c>
      <c r="O444" s="316">
        <v>938.07</v>
      </c>
      <c r="P444" s="317">
        <v>1.6132887374261009E-3</v>
      </c>
    </row>
    <row r="445" spans="1:16" ht="24" customHeight="1" x14ac:dyDescent="0.4">
      <c r="A445" s="313" t="s">
        <v>2056</v>
      </c>
      <c r="B445" s="313">
        <v>468</v>
      </c>
      <c r="C445" s="313" t="s">
        <v>420</v>
      </c>
      <c r="D445" s="313" t="s">
        <v>2688</v>
      </c>
      <c r="E445" s="314" t="s">
        <v>422</v>
      </c>
      <c r="F445" s="315">
        <v>1</v>
      </c>
      <c r="G445" s="316">
        <v>324.39999999999998</v>
      </c>
      <c r="H445" s="316">
        <v>111.73</v>
      </c>
      <c r="I445" s="316">
        <v>0</v>
      </c>
      <c r="J445" s="316">
        <v>212.67</v>
      </c>
      <c r="K445" s="316">
        <v>324.39999999999998</v>
      </c>
      <c r="L445" s="316">
        <v>111.73</v>
      </c>
      <c r="M445" s="316">
        <v>0</v>
      </c>
      <c r="N445" s="316">
        <v>212.67</v>
      </c>
      <c r="O445" s="316">
        <v>324.39999999999998</v>
      </c>
      <c r="P445" s="317">
        <v>5.5790171993670744E-4</v>
      </c>
    </row>
    <row r="446" spans="1:16" ht="24" customHeight="1" x14ac:dyDescent="0.4">
      <c r="A446" s="313" t="s">
        <v>2058</v>
      </c>
      <c r="B446" s="313">
        <v>93672</v>
      </c>
      <c r="C446" s="313" t="s">
        <v>395</v>
      </c>
      <c r="D446" s="313" t="s">
        <v>5966</v>
      </c>
      <c r="E446" s="314" t="s">
        <v>4</v>
      </c>
      <c r="F446" s="315">
        <v>1</v>
      </c>
      <c r="G446" s="316">
        <v>88.52</v>
      </c>
      <c r="H446" s="316">
        <v>21.23</v>
      </c>
      <c r="I446" s="316">
        <v>1.88</v>
      </c>
      <c r="J446" s="316">
        <v>65.41</v>
      </c>
      <c r="K446" s="316">
        <v>88.52</v>
      </c>
      <c r="L446" s="316">
        <v>21.23</v>
      </c>
      <c r="M446" s="316">
        <v>1.88</v>
      </c>
      <c r="N446" s="316">
        <v>65.41</v>
      </c>
      <c r="O446" s="316">
        <v>88.52</v>
      </c>
      <c r="P446" s="317">
        <v>1.5223631396053434E-4</v>
      </c>
    </row>
    <row r="447" spans="1:16" ht="24" customHeight="1" x14ac:dyDescent="0.4">
      <c r="A447" s="313" t="s">
        <v>2064</v>
      </c>
      <c r="B447" s="313">
        <v>681</v>
      </c>
      <c r="C447" s="313" t="s">
        <v>575</v>
      </c>
      <c r="D447" s="313" t="s">
        <v>2640</v>
      </c>
      <c r="E447" s="314" t="s">
        <v>4</v>
      </c>
      <c r="F447" s="315">
        <v>1</v>
      </c>
      <c r="G447" s="316">
        <v>1439.11</v>
      </c>
      <c r="H447" s="316">
        <v>35.119999999999997</v>
      </c>
      <c r="I447" s="316">
        <v>0</v>
      </c>
      <c r="J447" s="316">
        <v>1403.99</v>
      </c>
      <c r="K447" s="316">
        <v>1439.11</v>
      </c>
      <c r="L447" s="316">
        <v>35.119999999999997</v>
      </c>
      <c r="M447" s="316">
        <v>0</v>
      </c>
      <c r="N447" s="316">
        <v>1403.99</v>
      </c>
      <c r="O447" s="316">
        <v>1439.11</v>
      </c>
      <c r="P447" s="317">
        <v>2.4749751670102189E-3</v>
      </c>
    </row>
    <row r="448" spans="1:16" ht="36" customHeight="1" x14ac:dyDescent="0.4">
      <c r="A448" s="313" t="s">
        <v>2067</v>
      </c>
      <c r="B448" s="313">
        <v>93654</v>
      </c>
      <c r="C448" s="313" t="s">
        <v>395</v>
      </c>
      <c r="D448" s="313" t="s">
        <v>5972</v>
      </c>
      <c r="E448" s="314" t="s">
        <v>4</v>
      </c>
      <c r="F448" s="315">
        <v>1</v>
      </c>
      <c r="G448" s="316">
        <v>11.45</v>
      </c>
      <c r="H448" s="316">
        <v>1.98</v>
      </c>
      <c r="I448" s="316">
        <v>0.18</v>
      </c>
      <c r="J448" s="316">
        <v>9.2899999999999991</v>
      </c>
      <c r="K448" s="316">
        <v>11.45</v>
      </c>
      <c r="L448" s="316">
        <v>1.98</v>
      </c>
      <c r="M448" s="316">
        <v>0.18</v>
      </c>
      <c r="N448" s="316">
        <v>9.2899999999999991</v>
      </c>
      <c r="O448" s="316">
        <v>11.45</v>
      </c>
      <c r="P448" s="317">
        <v>1.9691660583462698E-5</v>
      </c>
    </row>
    <row r="449" spans="1:16" ht="36" customHeight="1" x14ac:dyDescent="0.4">
      <c r="A449" s="313" t="s">
        <v>2069</v>
      </c>
      <c r="B449" s="313">
        <v>93661</v>
      </c>
      <c r="C449" s="313" t="s">
        <v>395</v>
      </c>
      <c r="D449" s="313" t="s">
        <v>5973</v>
      </c>
      <c r="E449" s="314" t="s">
        <v>4</v>
      </c>
      <c r="F449" s="315">
        <v>1</v>
      </c>
      <c r="G449" s="316">
        <v>51.73</v>
      </c>
      <c r="H449" s="316">
        <v>3.94</v>
      </c>
      <c r="I449" s="316">
        <v>0.34</v>
      </c>
      <c r="J449" s="316">
        <v>47.45</v>
      </c>
      <c r="K449" s="316">
        <v>51.73</v>
      </c>
      <c r="L449" s="316">
        <v>3.94</v>
      </c>
      <c r="M449" s="316">
        <v>0.34</v>
      </c>
      <c r="N449" s="316">
        <v>47.45</v>
      </c>
      <c r="O449" s="316">
        <v>51.73</v>
      </c>
      <c r="P449" s="317">
        <v>8.8965030740831917E-5</v>
      </c>
    </row>
    <row r="450" spans="1:16" ht="24" customHeight="1" x14ac:dyDescent="0.4">
      <c r="A450" s="313" t="s">
        <v>2071</v>
      </c>
      <c r="B450" s="313">
        <v>93662</v>
      </c>
      <c r="C450" s="313" t="s">
        <v>395</v>
      </c>
      <c r="D450" s="313" t="s">
        <v>5974</v>
      </c>
      <c r="E450" s="314" t="s">
        <v>4</v>
      </c>
      <c r="F450" s="315">
        <v>1</v>
      </c>
      <c r="G450" s="316">
        <v>54.09</v>
      </c>
      <c r="H450" s="316">
        <v>5.22</v>
      </c>
      <c r="I450" s="316">
        <v>0.46</v>
      </c>
      <c r="J450" s="316">
        <v>48.41</v>
      </c>
      <c r="K450" s="316">
        <v>54.09</v>
      </c>
      <c r="L450" s="316">
        <v>5.22</v>
      </c>
      <c r="M450" s="316">
        <v>0.46</v>
      </c>
      <c r="N450" s="316">
        <v>48.41</v>
      </c>
      <c r="O450" s="316">
        <v>54.09</v>
      </c>
      <c r="P450" s="317">
        <v>9.3023748555414614E-5</v>
      </c>
    </row>
    <row r="451" spans="1:16" ht="24" customHeight="1" x14ac:dyDescent="0.4">
      <c r="A451" s="313" t="s">
        <v>2072</v>
      </c>
      <c r="B451" s="313">
        <v>93664</v>
      </c>
      <c r="C451" s="313" t="s">
        <v>395</v>
      </c>
      <c r="D451" s="313" t="s">
        <v>5981</v>
      </c>
      <c r="E451" s="314" t="s">
        <v>4</v>
      </c>
      <c r="F451" s="315">
        <v>1</v>
      </c>
      <c r="G451" s="316">
        <v>60.71</v>
      </c>
      <c r="H451" s="316">
        <v>9.67</v>
      </c>
      <c r="I451" s="316">
        <v>0.86</v>
      </c>
      <c r="J451" s="316">
        <v>50.18</v>
      </c>
      <c r="K451" s="316">
        <v>60.71</v>
      </c>
      <c r="L451" s="316">
        <v>9.67</v>
      </c>
      <c r="M451" s="316">
        <v>0.86</v>
      </c>
      <c r="N451" s="316">
        <v>50.18</v>
      </c>
      <c r="O451" s="316">
        <v>60.71</v>
      </c>
      <c r="P451" s="317">
        <v>1.0440879598445594E-4</v>
      </c>
    </row>
    <row r="452" spans="1:16" ht="24" customHeight="1" x14ac:dyDescent="0.4">
      <c r="A452" s="313" t="s">
        <v>2073</v>
      </c>
      <c r="B452" s="313">
        <v>93665</v>
      </c>
      <c r="C452" s="313" t="s">
        <v>395</v>
      </c>
      <c r="D452" s="313" t="s">
        <v>5982</v>
      </c>
      <c r="E452" s="314" t="s">
        <v>4</v>
      </c>
      <c r="F452" s="315">
        <v>1</v>
      </c>
      <c r="G452" s="316">
        <v>66.44</v>
      </c>
      <c r="H452" s="316">
        <v>14.16</v>
      </c>
      <c r="I452" s="316">
        <v>1.26</v>
      </c>
      <c r="J452" s="316">
        <v>51.02</v>
      </c>
      <c r="K452" s="316">
        <v>66.44</v>
      </c>
      <c r="L452" s="316">
        <v>14.16</v>
      </c>
      <c r="M452" s="316">
        <v>1.26</v>
      </c>
      <c r="N452" s="316">
        <v>51.02</v>
      </c>
      <c r="O452" s="316">
        <v>66.44</v>
      </c>
      <c r="P452" s="317">
        <v>1.1426322525460802E-4</v>
      </c>
    </row>
    <row r="453" spans="1:16" ht="24" customHeight="1" x14ac:dyDescent="0.4">
      <c r="A453" s="313" t="s">
        <v>1225</v>
      </c>
      <c r="B453" s="313">
        <v>93668</v>
      </c>
      <c r="C453" s="313" t="s">
        <v>395</v>
      </c>
      <c r="D453" s="313" t="s">
        <v>5975</v>
      </c>
      <c r="E453" s="314" t="s">
        <v>4</v>
      </c>
      <c r="F453" s="315">
        <v>1</v>
      </c>
      <c r="G453" s="316">
        <v>65.42</v>
      </c>
      <c r="H453" s="316">
        <v>5.92</v>
      </c>
      <c r="I453" s="316">
        <v>0.52</v>
      </c>
      <c r="J453" s="316">
        <v>58.98</v>
      </c>
      <c r="K453" s="316">
        <v>65.42</v>
      </c>
      <c r="L453" s="316">
        <v>5.92</v>
      </c>
      <c r="M453" s="316">
        <v>0.52</v>
      </c>
      <c r="N453" s="316">
        <v>58.98</v>
      </c>
      <c r="O453" s="316">
        <v>65.42</v>
      </c>
      <c r="P453" s="317">
        <v>1.1250903365677989E-4</v>
      </c>
    </row>
    <row r="454" spans="1:16" ht="24" customHeight="1" x14ac:dyDescent="0.4">
      <c r="A454" s="313" t="s">
        <v>2074</v>
      </c>
      <c r="B454" s="313" t="s">
        <v>2664</v>
      </c>
      <c r="C454" s="313" t="s">
        <v>5902</v>
      </c>
      <c r="D454" s="313" t="s">
        <v>2703</v>
      </c>
      <c r="E454" s="314" t="s">
        <v>4</v>
      </c>
      <c r="F454" s="315">
        <v>1</v>
      </c>
      <c r="G454" s="316">
        <v>293.45999999999998</v>
      </c>
      <c r="H454" s="316">
        <v>13.96</v>
      </c>
      <c r="I454" s="316">
        <v>0</v>
      </c>
      <c r="J454" s="316">
        <v>279.5</v>
      </c>
      <c r="K454" s="316">
        <v>293.45999999999998</v>
      </c>
      <c r="L454" s="316">
        <v>13.96</v>
      </c>
      <c r="M454" s="316">
        <v>0</v>
      </c>
      <c r="N454" s="316">
        <v>279.5</v>
      </c>
      <c r="O454" s="316">
        <v>293.45999999999998</v>
      </c>
      <c r="P454" s="317">
        <v>5.0469124146925446E-4</v>
      </c>
    </row>
    <row r="455" spans="1:16" ht="24" customHeight="1" x14ac:dyDescent="0.4">
      <c r="A455" s="313" t="s">
        <v>2075</v>
      </c>
      <c r="B455" s="313">
        <v>12233</v>
      </c>
      <c r="C455" s="313" t="s">
        <v>420</v>
      </c>
      <c r="D455" s="313" t="s">
        <v>2681</v>
      </c>
      <c r="E455" s="314" t="s">
        <v>422</v>
      </c>
      <c r="F455" s="315">
        <v>1</v>
      </c>
      <c r="G455" s="316">
        <v>2391.21</v>
      </c>
      <c r="H455" s="316">
        <v>441.28</v>
      </c>
      <c r="I455" s="316">
        <v>0.3</v>
      </c>
      <c r="J455" s="316">
        <v>1949.63</v>
      </c>
      <c r="K455" s="316">
        <v>2391.21</v>
      </c>
      <c r="L455" s="316">
        <v>441.28</v>
      </c>
      <c r="M455" s="316">
        <v>0.3</v>
      </c>
      <c r="N455" s="316">
        <v>1949.63</v>
      </c>
      <c r="O455" s="316">
        <v>2391.21</v>
      </c>
      <c r="P455" s="317">
        <v>4.1123926378848772E-3</v>
      </c>
    </row>
    <row r="456" spans="1:16" ht="48" customHeight="1" x14ac:dyDescent="0.4">
      <c r="A456" s="313" t="s">
        <v>2076</v>
      </c>
      <c r="B456" s="313">
        <v>101894</v>
      </c>
      <c r="C456" s="313" t="s">
        <v>395</v>
      </c>
      <c r="D456" s="313" t="s">
        <v>5968</v>
      </c>
      <c r="E456" s="314" t="s">
        <v>4</v>
      </c>
      <c r="F456" s="315">
        <v>1</v>
      </c>
      <c r="G456" s="316">
        <v>158.59</v>
      </c>
      <c r="H456" s="316">
        <v>40.479999999999997</v>
      </c>
      <c r="I456" s="316">
        <v>3.58</v>
      </c>
      <c r="J456" s="316">
        <v>114.53</v>
      </c>
      <c r="K456" s="316">
        <v>158.59</v>
      </c>
      <c r="L456" s="316">
        <v>40.479999999999997</v>
      </c>
      <c r="M456" s="316">
        <v>3.58</v>
      </c>
      <c r="N456" s="316">
        <v>114.53</v>
      </c>
      <c r="O456" s="316">
        <v>158.59</v>
      </c>
      <c r="P456" s="317">
        <v>2.7274239754858945E-4</v>
      </c>
    </row>
    <row r="457" spans="1:16" ht="24" customHeight="1" x14ac:dyDescent="0.4">
      <c r="A457" s="313" t="s">
        <v>2077</v>
      </c>
      <c r="B457" s="313">
        <v>93672</v>
      </c>
      <c r="C457" s="313" t="s">
        <v>395</v>
      </c>
      <c r="D457" s="313" t="s">
        <v>5966</v>
      </c>
      <c r="E457" s="314" t="s">
        <v>4</v>
      </c>
      <c r="F457" s="315">
        <v>1</v>
      </c>
      <c r="G457" s="316">
        <v>88.52</v>
      </c>
      <c r="H457" s="316">
        <v>21.23</v>
      </c>
      <c r="I457" s="316">
        <v>1.88</v>
      </c>
      <c r="J457" s="316">
        <v>65.41</v>
      </c>
      <c r="K457" s="316">
        <v>88.52</v>
      </c>
      <c r="L457" s="316">
        <v>21.23</v>
      </c>
      <c r="M457" s="316">
        <v>1.88</v>
      </c>
      <c r="N457" s="316">
        <v>65.41</v>
      </c>
      <c r="O457" s="316">
        <v>88.52</v>
      </c>
      <c r="P457" s="317">
        <v>1.5223631396053434E-4</v>
      </c>
    </row>
    <row r="458" spans="1:16" ht="24" customHeight="1" x14ac:dyDescent="0.4">
      <c r="A458" s="313" t="s">
        <v>2078</v>
      </c>
      <c r="B458" s="313">
        <v>681</v>
      </c>
      <c r="C458" s="313" t="s">
        <v>575</v>
      </c>
      <c r="D458" s="313" t="s">
        <v>2640</v>
      </c>
      <c r="E458" s="314" t="s">
        <v>4</v>
      </c>
      <c r="F458" s="315">
        <v>1</v>
      </c>
      <c r="G458" s="316">
        <v>1439.11</v>
      </c>
      <c r="H458" s="316">
        <v>35.119999999999997</v>
      </c>
      <c r="I458" s="316">
        <v>0</v>
      </c>
      <c r="J458" s="316">
        <v>1403.99</v>
      </c>
      <c r="K458" s="316">
        <v>1439.11</v>
      </c>
      <c r="L458" s="316">
        <v>35.119999999999997</v>
      </c>
      <c r="M458" s="316">
        <v>0</v>
      </c>
      <c r="N458" s="316">
        <v>1403.99</v>
      </c>
      <c r="O458" s="316">
        <v>1439.11</v>
      </c>
      <c r="P458" s="317">
        <v>2.4749751670102189E-3</v>
      </c>
    </row>
    <row r="459" spans="1:16" ht="24" customHeight="1" x14ac:dyDescent="0.4">
      <c r="A459" s="313" t="s">
        <v>2079</v>
      </c>
      <c r="B459" s="313">
        <v>93661</v>
      </c>
      <c r="C459" s="313" t="s">
        <v>395</v>
      </c>
      <c r="D459" s="313" t="s">
        <v>5973</v>
      </c>
      <c r="E459" s="314" t="s">
        <v>4</v>
      </c>
      <c r="F459" s="315">
        <v>1</v>
      </c>
      <c r="G459" s="316">
        <v>51.73</v>
      </c>
      <c r="H459" s="316">
        <v>3.94</v>
      </c>
      <c r="I459" s="316">
        <v>0.34</v>
      </c>
      <c r="J459" s="316">
        <v>47.45</v>
      </c>
      <c r="K459" s="316">
        <v>51.73</v>
      </c>
      <c r="L459" s="316">
        <v>3.94</v>
      </c>
      <c r="M459" s="316">
        <v>0.34</v>
      </c>
      <c r="N459" s="316">
        <v>47.45</v>
      </c>
      <c r="O459" s="316">
        <v>51.73</v>
      </c>
      <c r="P459" s="317">
        <v>8.8965030740831917E-5</v>
      </c>
    </row>
    <row r="460" spans="1:16" ht="24" customHeight="1" x14ac:dyDescent="0.4">
      <c r="A460" s="313" t="s">
        <v>2082</v>
      </c>
      <c r="B460" s="313">
        <v>93662</v>
      </c>
      <c r="C460" s="313" t="s">
        <v>395</v>
      </c>
      <c r="D460" s="313" t="s">
        <v>5974</v>
      </c>
      <c r="E460" s="314" t="s">
        <v>4</v>
      </c>
      <c r="F460" s="315">
        <v>1</v>
      </c>
      <c r="G460" s="316">
        <v>54.09</v>
      </c>
      <c r="H460" s="316">
        <v>5.22</v>
      </c>
      <c r="I460" s="316">
        <v>0.46</v>
      </c>
      <c r="J460" s="316">
        <v>48.41</v>
      </c>
      <c r="K460" s="316">
        <v>54.09</v>
      </c>
      <c r="L460" s="316">
        <v>5.22</v>
      </c>
      <c r="M460" s="316">
        <v>0.46</v>
      </c>
      <c r="N460" s="316">
        <v>48.41</v>
      </c>
      <c r="O460" s="316">
        <v>54.09</v>
      </c>
      <c r="P460" s="317">
        <v>9.3023748555414614E-5</v>
      </c>
    </row>
    <row r="461" spans="1:16" ht="24" customHeight="1" x14ac:dyDescent="0.4">
      <c r="A461" s="313" t="s">
        <v>2084</v>
      </c>
      <c r="B461" s="313">
        <v>93664</v>
      </c>
      <c r="C461" s="313" t="s">
        <v>395</v>
      </c>
      <c r="D461" s="313" t="s">
        <v>5981</v>
      </c>
      <c r="E461" s="314" t="s">
        <v>4</v>
      </c>
      <c r="F461" s="315">
        <v>1</v>
      </c>
      <c r="G461" s="316">
        <v>60.71</v>
      </c>
      <c r="H461" s="316">
        <v>9.67</v>
      </c>
      <c r="I461" s="316">
        <v>0.86</v>
      </c>
      <c r="J461" s="316">
        <v>50.18</v>
      </c>
      <c r="K461" s="316">
        <v>60.71</v>
      </c>
      <c r="L461" s="316">
        <v>9.67</v>
      </c>
      <c r="M461" s="316">
        <v>0.86</v>
      </c>
      <c r="N461" s="316">
        <v>50.18</v>
      </c>
      <c r="O461" s="316">
        <v>60.71</v>
      </c>
      <c r="P461" s="317">
        <v>1.0440879598445594E-4</v>
      </c>
    </row>
    <row r="462" spans="1:16" ht="24" customHeight="1" x14ac:dyDescent="0.4">
      <c r="A462" s="313" t="s">
        <v>2086</v>
      </c>
      <c r="B462" s="313">
        <v>93665</v>
      </c>
      <c r="C462" s="313" t="s">
        <v>395</v>
      </c>
      <c r="D462" s="313" t="s">
        <v>5982</v>
      </c>
      <c r="E462" s="314" t="s">
        <v>4</v>
      </c>
      <c r="F462" s="315">
        <v>1</v>
      </c>
      <c r="G462" s="316">
        <v>66.44</v>
      </c>
      <c r="H462" s="316">
        <v>14.16</v>
      </c>
      <c r="I462" s="316">
        <v>1.26</v>
      </c>
      <c r="J462" s="316">
        <v>51.02</v>
      </c>
      <c r="K462" s="316">
        <v>66.44</v>
      </c>
      <c r="L462" s="316">
        <v>14.16</v>
      </c>
      <c r="M462" s="316">
        <v>1.26</v>
      </c>
      <c r="N462" s="316">
        <v>51.02</v>
      </c>
      <c r="O462" s="316">
        <v>66.44</v>
      </c>
      <c r="P462" s="317">
        <v>1.1426322525460802E-4</v>
      </c>
    </row>
    <row r="463" spans="1:16" ht="24" customHeight="1" x14ac:dyDescent="0.4">
      <c r="A463" s="313" t="s">
        <v>2087</v>
      </c>
      <c r="B463" s="313">
        <v>101880</v>
      </c>
      <c r="C463" s="313" t="s">
        <v>395</v>
      </c>
      <c r="D463" s="313" t="s">
        <v>5983</v>
      </c>
      <c r="E463" s="314" t="s">
        <v>4</v>
      </c>
      <c r="F463" s="315">
        <v>1</v>
      </c>
      <c r="G463" s="316">
        <v>693.16</v>
      </c>
      <c r="H463" s="316">
        <v>118.32</v>
      </c>
      <c r="I463" s="316">
        <v>10.53</v>
      </c>
      <c r="J463" s="316">
        <v>564.30999999999995</v>
      </c>
      <c r="K463" s="316">
        <v>693.16</v>
      </c>
      <c r="L463" s="316">
        <v>118.32</v>
      </c>
      <c r="M463" s="316">
        <v>10.53</v>
      </c>
      <c r="N463" s="316">
        <v>564.30999999999995</v>
      </c>
      <c r="O463" s="316">
        <v>693.16</v>
      </c>
      <c r="P463" s="317">
        <v>1.1920935764220964E-3</v>
      </c>
    </row>
    <row r="464" spans="1:16" ht="24" customHeight="1" x14ac:dyDescent="0.4">
      <c r="A464" s="313" t="s">
        <v>2088</v>
      </c>
      <c r="B464" s="313" t="s">
        <v>2664</v>
      </c>
      <c r="C464" s="313" t="s">
        <v>5902</v>
      </c>
      <c r="D464" s="313" t="s">
        <v>2703</v>
      </c>
      <c r="E464" s="314" t="s">
        <v>4</v>
      </c>
      <c r="F464" s="315">
        <v>1</v>
      </c>
      <c r="G464" s="316">
        <v>293.45999999999998</v>
      </c>
      <c r="H464" s="316">
        <v>13.96</v>
      </c>
      <c r="I464" s="316">
        <v>0</v>
      </c>
      <c r="J464" s="316">
        <v>279.5</v>
      </c>
      <c r="K464" s="316">
        <v>293.45999999999998</v>
      </c>
      <c r="L464" s="316">
        <v>13.96</v>
      </c>
      <c r="M464" s="316">
        <v>0</v>
      </c>
      <c r="N464" s="316">
        <v>279.5</v>
      </c>
      <c r="O464" s="316">
        <v>293.45999999999998</v>
      </c>
      <c r="P464" s="317">
        <v>5.0469124146925446E-4</v>
      </c>
    </row>
    <row r="465" spans="1:16" ht="24" customHeight="1" x14ac:dyDescent="0.4">
      <c r="A465" s="313" t="s">
        <v>2089</v>
      </c>
      <c r="B465" s="313">
        <v>93669</v>
      </c>
      <c r="C465" s="313" t="s">
        <v>395</v>
      </c>
      <c r="D465" s="313" t="s">
        <v>5976</v>
      </c>
      <c r="E465" s="314" t="s">
        <v>4</v>
      </c>
      <c r="F465" s="315">
        <v>1</v>
      </c>
      <c r="G465" s="316">
        <v>68.959999999999994</v>
      </c>
      <c r="H465" s="316">
        <v>7.83</v>
      </c>
      <c r="I465" s="316">
        <v>0.7</v>
      </c>
      <c r="J465" s="316">
        <v>60.43</v>
      </c>
      <c r="K465" s="316">
        <v>68.959999999999994</v>
      </c>
      <c r="L465" s="316">
        <v>7.83</v>
      </c>
      <c r="M465" s="316">
        <v>0.7</v>
      </c>
      <c r="N465" s="316">
        <v>60.43</v>
      </c>
      <c r="O465" s="316">
        <v>68.959999999999994</v>
      </c>
      <c r="P465" s="317">
        <v>1.1859711037865395E-4</v>
      </c>
    </row>
    <row r="466" spans="1:16" ht="24" customHeight="1" x14ac:dyDescent="0.4">
      <c r="A466" s="313" t="s">
        <v>2091</v>
      </c>
      <c r="B466" s="313">
        <v>675</v>
      </c>
      <c r="C466" s="313" t="s">
        <v>575</v>
      </c>
      <c r="D466" s="313" t="s">
        <v>2645</v>
      </c>
      <c r="E466" s="314" t="s">
        <v>4</v>
      </c>
      <c r="F466" s="315">
        <v>1</v>
      </c>
      <c r="G466" s="316">
        <v>296.66000000000003</v>
      </c>
      <c r="H466" s="316">
        <v>111.66</v>
      </c>
      <c r="I466" s="316">
        <v>0</v>
      </c>
      <c r="J466" s="316">
        <v>185</v>
      </c>
      <c r="K466" s="316">
        <v>296.66000000000003</v>
      </c>
      <c r="L466" s="316">
        <v>111.66</v>
      </c>
      <c r="M466" s="316">
        <v>0</v>
      </c>
      <c r="N466" s="316">
        <v>185</v>
      </c>
      <c r="O466" s="316">
        <v>296.66000000000003</v>
      </c>
      <c r="P466" s="317">
        <v>5.1019458765851912E-4</v>
      </c>
    </row>
    <row r="467" spans="1:16" ht="24" customHeight="1" x14ac:dyDescent="0.4">
      <c r="A467" s="313" t="s">
        <v>2093</v>
      </c>
      <c r="B467" s="313">
        <v>93653</v>
      </c>
      <c r="C467" s="313" t="s">
        <v>395</v>
      </c>
      <c r="D467" s="313" t="s">
        <v>5984</v>
      </c>
      <c r="E467" s="314" t="s">
        <v>4</v>
      </c>
      <c r="F467" s="315">
        <v>1</v>
      </c>
      <c r="G467" s="316">
        <v>11.45</v>
      </c>
      <c r="H467" s="316">
        <v>1.98</v>
      </c>
      <c r="I467" s="316">
        <v>0.18</v>
      </c>
      <c r="J467" s="316">
        <v>9.2899999999999991</v>
      </c>
      <c r="K467" s="316">
        <v>11.45</v>
      </c>
      <c r="L467" s="316">
        <v>1.98</v>
      </c>
      <c r="M467" s="316">
        <v>0.18</v>
      </c>
      <c r="N467" s="316">
        <v>9.2899999999999991</v>
      </c>
      <c r="O467" s="316">
        <v>11.45</v>
      </c>
      <c r="P467" s="317">
        <v>1.9691660583462698E-5</v>
      </c>
    </row>
    <row r="468" spans="1:16" ht="48" customHeight="1" x14ac:dyDescent="0.4">
      <c r="A468" s="313" t="s">
        <v>2094</v>
      </c>
      <c r="B468" s="313">
        <v>690</v>
      </c>
      <c r="C468" s="313" t="s">
        <v>575</v>
      </c>
      <c r="D468" s="313" t="s">
        <v>2646</v>
      </c>
      <c r="E468" s="314" t="s">
        <v>4</v>
      </c>
      <c r="F468" s="315">
        <v>1</v>
      </c>
      <c r="G468" s="316">
        <v>359.03</v>
      </c>
      <c r="H468" s="316">
        <v>115.36</v>
      </c>
      <c r="I468" s="316">
        <v>10.4</v>
      </c>
      <c r="J468" s="316">
        <v>233.27</v>
      </c>
      <c r="K468" s="316">
        <v>359.03</v>
      </c>
      <c r="L468" s="316">
        <v>115.36</v>
      </c>
      <c r="M468" s="316">
        <v>10.4</v>
      </c>
      <c r="N468" s="316">
        <v>233.27</v>
      </c>
      <c r="O468" s="316">
        <v>359.03</v>
      </c>
      <c r="P468" s="317">
        <v>6.1745824447865616E-4</v>
      </c>
    </row>
    <row r="469" spans="1:16" ht="36" customHeight="1" x14ac:dyDescent="0.4">
      <c r="A469" s="313" t="s">
        <v>2095</v>
      </c>
      <c r="B469" s="313">
        <v>672</v>
      </c>
      <c r="C469" s="313" t="s">
        <v>575</v>
      </c>
      <c r="D469" s="313" t="s">
        <v>2647</v>
      </c>
      <c r="E469" s="314" t="s">
        <v>4</v>
      </c>
      <c r="F469" s="315">
        <v>1</v>
      </c>
      <c r="G469" s="316">
        <v>357.48</v>
      </c>
      <c r="H469" s="316">
        <v>161.91</v>
      </c>
      <c r="I469" s="316">
        <v>0</v>
      </c>
      <c r="J469" s="316">
        <v>195.57</v>
      </c>
      <c r="K469" s="316">
        <v>357.48</v>
      </c>
      <c r="L469" s="316">
        <v>161.91</v>
      </c>
      <c r="M469" s="316">
        <v>0</v>
      </c>
      <c r="N469" s="316">
        <v>195.57</v>
      </c>
      <c r="O469" s="316">
        <v>357.48</v>
      </c>
      <c r="P469" s="317">
        <v>6.147925611682311E-4</v>
      </c>
    </row>
    <row r="470" spans="1:16" ht="24" customHeight="1" x14ac:dyDescent="0.4">
      <c r="A470" s="313" t="s">
        <v>2096</v>
      </c>
      <c r="B470" s="313">
        <v>674</v>
      </c>
      <c r="C470" s="313" t="s">
        <v>575</v>
      </c>
      <c r="D470" s="313" t="s">
        <v>2648</v>
      </c>
      <c r="E470" s="314" t="s">
        <v>4</v>
      </c>
      <c r="F470" s="315">
        <v>1</v>
      </c>
      <c r="G470" s="316">
        <v>310.27</v>
      </c>
      <c r="H470" s="316">
        <v>161.91</v>
      </c>
      <c r="I470" s="316">
        <v>0</v>
      </c>
      <c r="J470" s="316">
        <v>148.36000000000001</v>
      </c>
      <c r="K470" s="316">
        <v>310.27</v>
      </c>
      <c r="L470" s="316">
        <v>161.91</v>
      </c>
      <c r="M470" s="316">
        <v>0</v>
      </c>
      <c r="N470" s="316">
        <v>148.36000000000001</v>
      </c>
      <c r="O470" s="316">
        <v>310.27</v>
      </c>
      <c r="P470" s="317">
        <v>5.3360100691973548E-4</v>
      </c>
    </row>
    <row r="471" spans="1:16" ht="24" customHeight="1" x14ac:dyDescent="0.4">
      <c r="A471" s="313" t="s">
        <v>2097</v>
      </c>
      <c r="B471" s="313">
        <v>670</v>
      </c>
      <c r="C471" s="313" t="s">
        <v>420</v>
      </c>
      <c r="D471" s="313" t="s">
        <v>5985</v>
      </c>
      <c r="E471" s="314" t="s">
        <v>422</v>
      </c>
      <c r="F471" s="315">
        <v>1</v>
      </c>
      <c r="G471" s="316">
        <v>120.45</v>
      </c>
      <c r="H471" s="316">
        <v>0</v>
      </c>
      <c r="I471" s="316">
        <v>0</v>
      </c>
      <c r="J471" s="316">
        <v>120.45</v>
      </c>
      <c r="K471" s="316">
        <v>120.45</v>
      </c>
      <c r="L471" s="316">
        <v>0</v>
      </c>
      <c r="M471" s="316">
        <v>0</v>
      </c>
      <c r="N471" s="316">
        <v>120.45</v>
      </c>
      <c r="O471" s="316">
        <v>120.45</v>
      </c>
      <c r="P471" s="317">
        <v>2.0714939015529103E-4</v>
      </c>
    </row>
    <row r="472" spans="1:16" ht="24" customHeight="1" x14ac:dyDescent="0.4">
      <c r="A472" s="313" t="s">
        <v>2100</v>
      </c>
      <c r="B472" s="313">
        <v>682</v>
      </c>
      <c r="C472" s="313" t="s">
        <v>575</v>
      </c>
      <c r="D472" s="313" t="s">
        <v>2650</v>
      </c>
      <c r="E472" s="314" t="s">
        <v>4</v>
      </c>
      <c r="F472" s="315">
        <v>1</v>
      </c>
      <c r="G472" s="316">
        <v>26.36</v>
      </c>
      <c r="H472" s="316">
        <v>6.96</v>
      </c>
      <c r="I472" s="316">
        <v>0.62</v>
      </c>
      <c r="J472" s="316">
        <v>18.78</v>
      </c>
      <c r="K472" s="316">
        <v>26.36</v>
      </c>
      <c r="L472" s="316">
        <v>6.96</v>
      </c>
      <c r="M472" s="316">
        <v>0.62</v>
      </c>
      <c r="N472" s="316">
        <v>18.78</v>
      </c>
      <c r="O472" s="316">
        <v>26.36</v>
      </c>
      <c r="P472" s="317">
        <v>4.5333814234067839E-5</v>
      </c>
    </row>
    <row r="473" spans="1:16" ht="24" customHeight="1" x14ac:dyDescent="0.4">
      <c r="A473" s="313" t="s">
        <v>2101</v>
      </c>
      <c r="B473" s="313">
        <v>685</v>
      </c>
      <c r="C473" s="313" t="s">
        <v>575</v>
      </c>
      <c r="D473" s="313" t="s">
        <v>2651</v>
      </c>
      <c r="E473" s="314" t="s">
        <v>4</v>
      </c>
      <c r="F473" s="315">
        <v>3</v>
      </c>
      <c r="G473" s="316">
        <v>68.55</v>
      </c>
      <c r="H473" s="316">
        <v>2.4900000000000002</v>
      </c>
      <c r="I473" s="316">
        <v>0.25</v>
      </c>
      <c r="J473" s="316">
        <v>65.81</v>
      </c>
      <c r="K473" s="316">
        <v>68.55</v>
      </c>
      <c r="L473" s="316">
        <v>7.47</v>
      </c>
      <c r="M473" s="316">
        <v>0.75</v>
      </c>
      <c r="N473" s="316">
        <v>197.43</v>
      </c>
      <c r="O473" s="316">
        <v>205.65</v>
      </c>
      <c r="P473" s="317">
        <v>3.5367598244446326E-4</v>
      </c>
    </row>
    <row r="474" spans="1:16" ht="24" customHeight="1" x14ac:dyDescent="0.4">
      <c r="A474" s="313" t="s">
        <v>2098</v>
      </c>
      <c r="B474" s="313" t="s">
        <v>1842</v>
      </c>
      <c r="C474" s="313" t="s">
        <v>5902</v>
      </c>
      <c r="D474" s="313" t="s">
        <v>1858</v>
      </c>
      <c r="E474" s="314" t="s">
        <v>4</v>
      </c>
      <c r="F474" s="315">
        <v>1</v>
      </c>
      <c r="G474" s="316">
        <v>474.03</v>
      </c>
      <c r="H474" s="316">
        <v>16.75</v>
      </c>
      <c r="I474" s="316">
        <v>0</v>
      </c>
      <c r="J474" s="316">
        <v>457.28</v>
      </c>
      <c r="K474" s="316">
        <v>474.03</v>
      </c>
      <c r="L474" s="316">
        <v>16.75</v>
      </c>
      <c r="M474" s="316">
        <v>0</v>
      </c>
      <c r="N474" s="316">
        <v>457.28</v>
      </c>
      <c r="O474" s="316">
        <v>474.03</v>
      </c>
      <c r="P474" s="317">
        <v>8.1523474815535578E-4</v>
      </c>
    </row>
    <row r="475" spans="1:16" ht="24" customHeight="1" x14ac:dyDescent="0.4">
      <c r="A475" s="313" t="s">
        <v>2102</v>
      </c>
      <c r="B475" s="313">
        <v>101879</v>
      </c>
      <c r="C475" s="313" t="s">
        <v>395</v>
      </c>
      <c r="D475" s="313" t="s">
        <v>5986</v>
      </c>
      <c r="E475" s="314" t="s">
        <v>4</v>
      </c>
      <c r="F475" s="315">
        <v>1</v>
      </c>
      <c r="G475" s="316">
        <v>593.30999999999995</v>
      </c>
      <c r="H475" s="316">
        <v>95.91</v>
      </c>
      <c r="I475" s="316">
        <v>8.5399999999999991</v>
      </c>
      <c r="J475" s="316">
        <v>488.86</v>
      </c>
      <c r="K475" s="316">
        <v>593.30999999999995</v>
      </c>
      <c r="L475" s="316">
        <v>95.91</v>
      </c>
      <c r="M475" s="316">
        <v>8.5399999999999991</v>
      </c>
      <c r="N475" s="316">
        <v>488.86</v>
      </c>
      <c r="O475" s="316">
        <v>593.30999999999995</v>
      </c>
      <c r="P475" s="317">
        <v>1.0203719773601968E-3</v>
      </c>
    </row>
    <row r="476" spans="1:16" ht="24" customHeight="1" x14ac:dyDescent="0.4">
      <c r="A476" s="313" t="s">
        <v>2611</v>
      </c>
      <c r="B476" s="313">
        <v>467</v>
      </c>
      <c r="C476" s="313" t="s">
        <v>420</v>
      </c>
      <c r="D476" s="313" t="s">
        <v>5987</v>
      </c>
      <c r="E476" s="314" t="s">
        <v>422</v>
      </c>
      <c r="F476" s="315">
        <v>1</v>
      </c>
      <c r="G476" s="316">
        <v>205.05</v>
      </c>
      <c r="H476" s="316">
        <v>104.52</v>
      </c>
      <c r="I476" s="316">
        <v>0</v>
      </c>
      <c r="J476" s="316">
        <v>100.53</v>
      </c>
      <c r="K476" s="316">
        <v>205.05</v>
      </c>
      <c r="L476" s="316">
        <v>104.52</v>
      </c>
      <c r="M476" s="316">
        <v>0</v>
      </c>
      <c r="N476" s="316">
        <v>100.53</v>
      </c>
      <c r="O476" s="316">
        <v>205.05</v>
      </c>
      <c r="P476" s="317">
        <v>3.5264410503397608E-4</v>
      </c>
    </row>
    <row r="477" spans="1:16" ht="24" customHeight="1" x14ac:dyDescent="0.4">
      <c r="A477" s="313" t="s">
        <v>2612</v>
      </c>
      <c r="B477" s="313">
        <v>93672</v>
      </c>
      <c r="C477" s="313" t="s">
        <v>395</v>
      </c>
      <c r="D477" s="313" t="s">
        <v>5966</v>
      </c>
      <c r="E477" s="314" t="s">
        <v>4</v>
      </c>
      <c r="F477" s="315">
        <v>1</v>
      </c>
      <c r="G477" s="316">
        <v>88.52</v>
      </c>
      <c r="H477" s="316">
        <v>21.23</v>
      </c>
      <c r="I477" s="316">
        <v>1.88</v>
      </c>
      <c r="J477" s="316">
        <v>65.41</v>
      </c>
      <c r="K477" s="316">
        <v>88.52</v>
      </c>
      <c r="L477" s="316">
        <v>21.23</v>
      </c>
      <c r="M477" s="316">
        <v>1.88</v>
      </c>
      <c r="N477" s="316">
        <v>65.41</v>
      </c>
      <c r="O477" s="316">
        <v>88.52</v>
      </c>
      <c r="P477" s="317">
        <v>1.5223631396053434E-4</v>
      </c>
    </row>
    <row r="478" spans="1:16" ht="24" customHeight="1" x14ac:dyDescent="0.4">
      <c r="A478" s="313" t="s">
        <v>2613</v>
      </c>
      <c r="B478" s="313">
        <v>681</v>
      </c>
      <c r="C478" s="313" t="s">
        <v>575</v>
      </c>
      <c r="D478" s="313" t="s">
        <v>2640</v>
      </c>
      <c r="E478" s="314" t="s">
        <v>4</v>
      </c>
      <c r="F478" s="315">
        <v>1</v>
      </c>
      <c r="G478" s="316">
        <v>1439.11</v>
      </c>
      <c r="H478" s="316">
        <v>35.119999999999997</v>
      </c>
      <c r="I478" s="316">
        <v>0</v>
      </c>
      <c r="J478" s="316">
        <v>1403.99</v>
      </c>
      <c r="K478" s="316">
        <v>1439.11</v>
      </c>
      <c r="L478" s="316">
        <v>35.119999999999997</v>
      </c>
      <c r="M478" s="316">
        <v>0</v>
      </c>
      <c r="N478" s="316">
        <v>1403.99</v>
      </c>
      <c r="O478" s="316">
        <v>1439.11</v>
      </c>
      <c r="P478" s="317">
        <v>2.4749751670102189E-3</v>
      </c>
    </row>
    <row r="479" spans="1:16" ht="24" customHeight="1" x14ac:dyDescent="0.4">
      <c r="A479" s="313" t="s">
        <v>2614</v>
      </c>
      <c r="B479" s="313" t="s">
        <v>2663</v>
      </c>
      <c r="C479" s="313" t="s">
        <v>5902</v>
      </c>
      <c r="D479" s="313" t="s">
        <v>2695</v>
      </c>
      <c r="E479" s="314" t="s">
        <v>4</v>
      </c>
      <c r="F479" s="315">
        <v>1</v>
      </c>
      <c r="G479" s="316">
        <v>16.89</v>
      </c>
      <c r="H479" s="316">
        <v>11.16</v>
      </c>
      <c r="I479" s="316">
        <v>0</v>
      </c>
      <c r="J479" s="316">
        <v>5.73</v>
      </c>
      <c r="K479" s="316">
        <v>16.89</v>
      </c>
      <c r="L479" s="316">
        <v>11.16</v>
      </c>
      <c r="M479" s="316">
        <v>0</v>
      </c>
      <c r="N479" s="316">
        <v>5.73</v>
      </c>
      <c r="O479" s="316">
        <v>16.89</v>
      </c>
      <c r="P479" s="317">
        <v>2.9047349105212662E-5</v>
      </c>
    </row>
    <row r="480" spans="1:16" ht="24" customHeight="1" x14ac:dyDescent="0.4">
      <c r="A480" s="313" t="s">
        <v>2710</v>
      </c>
      <c r="B480" s="313">
        <v>93653</v>
      </c>
      <c r="C480" s="313" t="s">
        <v>395</v>
      </c>
      <c r="D480" s="313" t="s">
        <v>5984</v>
      </c>
      <c r="E480" s="314" t="s">
        <v>4</v>
      </c>
      <c r="F480" s="315">
        <v>1</v>
      </c>
      <c r="G480" s="316">
        <v>11.45</v>
      </c>
      <c r="H480" s="316">
        <v>1.98</v>
      </c>
      <c r="I480" s="316">
        <v>0.18</v>
      </c>
      <c r="J480" s="316">
        <v>9.2899999999999991</v>
      </c>
      <c r="K480" s="316">
        <v>11.45</v>
      </c>
      <c r="L480" s="316">
        <v>1.98</v>
      </c>
      <c r="M480" s="316">
        <v>0.18</v>
      </c>
      <c r="N480" s="316">
        <v>9.2899999999999991</v>
      </c>
      <c r="O480" s="316">
        <v>11.45</v>
      </c>
      <c r="P480" s="317">
        <v>1.9691660583462698E-5</v>
      </c>
    </row>
    <row r="481" spans="1:16" ht="24" customHeight="1" x14ac:dyDescent="0.4">
      <c r="A481" s="313" t="s">
        <v>2615</v>
      </c>
      <c r="B481" s="313">
        <v>676</v>
      </c>
      <c r="C481" s="313" t="s">
        <v>575</v>
      </c>
      <c r="D481" s="313" t="s">
        <v>2653</v>
      </c>
      <c r="E481" s="314" t="s">
        <v>4</v>
      </c>
      <c r="F481" s="315">
        <v>1</v>
      </c>
      <c r="G481" s="316">
        <v>115.79</v>
      </c>
      <c r="H481" s="316">
        <v>111.66</v>
      </c>
      <c r="I481" s="316">
        <v>0</v>
      </c>
      <c r="J481" s="316">
        <v>4.13</v>
      </c>
      <c r="K481" s="316">
        <v>115.79</v>
      </c>
      <c r="L481" s="316">
        <v>111.66</v>
      </c>
      <c r="M481" s="316">
        <v>0</v>
      </c>
      <c r="N481" s="316">
        <v>4.13</v>
      </c>
      <c r="O481" s="316">
        <v>115.79</v>
      </c>
      <c r="P481" s="317">
        <v>1.9913514226717433E-4</v>
      </c>
    </row>
    <row r="482" spans="1:16" ht="24" customHeight="1" x14ac:dyDescent="0.4">
      <c r="A482" s="313" t="s">
        <v>2619</v>
      </c>
      <c r="B482" s="313">
        <v>691</v>
      </c>
      <c r="C482" s="313" t="s">
        <v>575</v>
      </c>
      <c r="D482" s="313" t="s">
        <v>2654</v>
      </c>
      <c r="E482" s="314" t="s">
        <v>4</v>
      </c>
      <c r="F482" s="315">
        <v>1</v>
      </c>
      <c r="G482" s="316">
        <v>359.03</v>
      </c>
      <c r="H482" s="316">
        <v>115.36</v>
      </c>
      <c r="I482" s="316">
        <v>10.4</v>
      </c>
      <c r="J482" s="316">
        <v>233.27</v>
      </c>
      <c r="K482" s="316">
        <v>359.03</v>
      </c>
      <c r="L482" s="316">
        <v>115.36</v>
      </c>
      <c r="M482" s="316">
        <v>10.4</v>
      </c>
      <c r="N482" s="316">
        <v>233.27</v>
      </c>
      <c r="O482" s="316">
        <v>359.03</v>
      </c>
      <c r="P482" s="317">
        <v>6.1745824447865616E-4</v>
      </c>
    </row>
    <row r="483" spans="1:16" ht="48" customHeight="1" x14ac:dyDescent="0.4">
      <c r="A483" s="313" t="s">
        <v>2621</v>
      </c>
      <c r="B483" s="313">
        <v>674</v>
      </c>
      <c r="C483" s="313" t="s">
        <v>575</v>
      </c>
      <c r="D483" s="313" t="s">
        <v>2648</v>
      </c>
      <c r="E483" s="314" t="s">
        <v>4</v>
      </c>
      <c r="F483" s="315">
        <v>1</v>
      </c>
      <c r="G483" s="316">
        <v>310.27</v>
      </c>
      <c r="H483" s="316">
        <v>161.91</v>
      </c>
      <c r="I483" s="316">
        <v>0</v>
      </c>
      <c r="J483" s="316">
        <v>148.36000000000001</v>
      </c>
      <c r="K483" s="316">
        <v>310.27</v>
      </c>
      <c r="L483" s="316">
        <v>161.91</v>
      </c>
      <c r="M483" s="316">
        <v>0</v>
      </c>
      <c r="N483" s="316">
        <v>148.36000000000001</v>
      </c>
      <c r="O483" s="316">
        <v>310.27</v>
      </c>
      <c r="P483" s="317">
        <v>5.3360100691973548E-4</v>
      </c>
    </row>
    <row r="484" spans="1:16" ht="24" customHeight="1" x14ac:dyDescent="0.4">
      <c r="A484" s="313" t="s">
        <v>2623</v>
      </c>
      <c r="B484" s="313">
        <v>3803</v>
      </c>
      <c r="C484" s="313" t="s">
        <v>420</v>
      </c>
      <c r="D484" s="313" t="s">
        <v>2673</v>
      </c>
      <c r="E484" s="314" t="s">
        <v>422</v>
      </c>
      <c r="F484" s="315">
        <v>1</v>
      </c>
      <c r="G484" s="316">
        <v>77.27</v>
      </c>
      <c r="H484" s="316">
        <v>19.239999999999998</v>
      </c>
      <c r="I484" s="316">
        <v>0</v>
      </c>
      <c r="J484" s="316">
        <v>58.03</v>
      </c>
      <c r="K484" s="316">
        <v>77.27</v>
      </c>
      <c r="L484" s="316">
        <v>19.239999999999998</v>
      </c>
      <c r="M484" s="316">
        <v>0</v>
      </c>
      <c r="N484" s="316">
        <v>58.03</v>
      </c>
      <c r="O484" s="316">
        <v>77.27</v>
      </c>
      <c r="P484" s="317">
        <v>1.3288861251390069E-4</v>
      </c>
    </row>
    <row r="485" spans="1:16" ht="24" customHeight="1" x14ac:dyDescent="0.4">
      <c r="A485" s="313" t="s">
        <v>2625</v>
      </c>
      <c r="B485" s="313" t="s">
        <v>2701</v>
      </c>
      <c r="C485" s="313" t="s">
        <v>5902</v>
      </c>
      <c r="D485" s="313" t="s">
        <v>2669</v>
      </c>
      <c r="E485" s="314" t="s">
        <v>4</v>
      </c>
      <c r="F485" s="315">
        <v>1</v>
      </c>
      <c r="G485" s="316">
        <v>96.44</v>
      </c>
      <c r="H485" s="316">
        <v>44.67</v>
      </c>
      <c r="I485" s="316">
        <v>0</v>
      </c>
      <c r="J485" s="316">
        <v>51.77</v>
      </c>
      <c r="K485" s="316">
        <v>96.44</v>
      </c>
      <c r="L485" s="316">
        <v>44.67</v>
      </c>
      <c r="M485" s="316">
        <v>0</v>
      </c>
      <c r="N485" s="316">
        <v>51.77</v>
      </c>
      <c r="O485" s="316">
        <v>96.44</v>
      </c>
      <c r="P485" s="317">
        <v>1.6585709577896443E-4</v>
      </c>
    </row>
    <row r="486" spans="1:16" ht="24" customHeight="1" x14ac:dyDescent="0.4">
      <c r="A486" s="313" t="s">
        <v>2628</v>
      </c>
      <c r="B486" s="313">
        <v>685</v>
      </c>
      <c r="C486" s="313" t="s">
        <v>575</v>
      </c>
      <c r="D486" s="313" t="s">
        <v>2651</v>
      </c>
      <c r="E486" s="314" t="s">
        <v>4</v>
      </c>
      <c r="F486" s="315">
        <v>1</v>
      </c>
      <c r="G486" s="316">
        <v>68.55</v>
      </c>
      <c r="H486" s="316">
        <v>2.4900000000000002</v>
      </c>
      <c r="I486" s="316">
        <v>0.25</v>
      </c>
      <c r="J486" s="316">
        <v>65.81</v>
      </c>
      <c r="K486" s="316">
        <v>68.55</v>
      </c>
      <c r="L486" s="316">
        <v>2.4900000000000002</v>
      </c>
      <c r="M486" s="316">
        <v>0.25</v>
      </c>
      <c r="N486" s="316">
        <v>65.81</v>
      </c>
      <c r="O486" s="316">
        <v>68.55</v>
      </c>
      <c r="P486" s="317">
        <v>1.1789199414815441E-4</v>
      </c>
    </row>
    <row r="487" spans="1:16" ht="24" customHeight="1" x14ac:dyDescent="0.4">
      <c r="A487" s="313" t="s">
        <v>2629</v>
      </c>
      <c r="B487" s="313">
        <v>3805</v>
      </c>
      <c r="C487" s="313" t="s">
        <v>420</v>
      </c>
      <c r="D487" s="313" t="s">
        <v>2671</v>
      </c>
      <c r="E487" s="314" t="s">
        <v>422</v>
      </c>
      <c r="F487" s="315">
        <v>1</v>
      </c>
      <c r="G487" s="316">
        <v>127.09</v>
      </c>
      <c r="H487" s="316">
        <v>19.239999999999998</v>
      </c>
      <c r="I487" s="316">
        <v>0</v>
      </c>
      <c r="J487" s="316">
        <v>107.85</v>
      </c>
      <c r="K487" s="316">
        <v>127.09</v>
      </c>
      <c r="L487" s="316">
        <v>19.239999999999998</v>
      </c>
      <c r="M487" s="316">
        <v>0</v>
      </c>
      <c r="N487" s="316">
        <v>107.85</v>
      </c>
      <c r="O487" s="316">
        <v>127.09</v>
      </c>
      <c r="P487" s="317">
        <v>2.1856883349801525E-4</v>
      </c>
    </row>
    <row r="488" spans="1:16" ht="24" customHeight="1" x14ac:dyDescent="0.4">
      <c r="A488" s="313" t="s">
        <v>2631</v>
      </c>
      <c r="B488" s="313" t="s">
        <v>1842</v>
      </c>
      <c r="C488" s="313" t="s">
        <v>5902</v>
      </c>
      <c r="D488" s="313" t="s">
        <v>1858</v>
      </c>
      <c r="E488" s="314" t="s">
        <v>4</v>
      </c>
      <c r="F488" s="315">
        <v>1</v>
      </c>
      <c r="G488" s="316">
        <v>474.03</v>
      </c>
      <c r="H488" s="316">
        <v>16.75</v>
      </c>
      <c r="I488" s="316">
        <v>0</v>
      </c>
      <c r="J488" s="316">
        <v>457.28</v>
      </c>
      <c r="K488" s="316">
        <v>474.03</v>
      </c>
      <c r="L488" s="316">
        <v>16.75</v>
      </c>
      <c r="M488" s="316">
        <v>0</v>
      </c>
      <c r="N488" s="316">
        <v>457.28</v>
      </c>
      <c r="O488" s="316">
        <v>474.03</v>
      </c>
      <c r="P488" s="317">
        <v>8.1523474815535578E-4</v>
      </c>
    </row>
    <row r="489" spans="1:16" ht="24" customHeight="1" x14ac:dyDescent="0.4">
      <c r="A489" s="313" t="s">
        <v>2633</v>
      </c>
      <c r="B489" s="313">
        <v>688</v>
      </c>
      <c r="C489" s="313" t="s">
        <v>575</v>
      </c>
      <c r="D489" s="313" t="s">
        <v>2656</v>
      </c>
      <c r="E489" s="314" t="s">
        <v>4</v>
      </c>
      <c r="F489" s="315">
        <v>1</v>
      </c>
      <c r="G489" s="316">
        <v>286.16000000000003</v>
      </c>
      <c r="H489" s="316">
        <v>115.36</v>
      </c>
      <c r="I489" s="316">
        <v>10.4</v>
      </c>
      <c r="J489" s="316">
        <v>160.4</v>
      </c>
      <c r="K489" s="316">
        <v>286.16000000000003</v>
      </c>
      <c r="L489" s="316">
        <v>115.36</v>
      </c>
      <c r="M489" s="316">
        <v>10.4</v>
      </c>
      <c r="N489" s="316">
        <v>160.4</v>
      </c>
      <c r="O489" s="316">
        <v>286.16000000000003</v>
      </c>
      <c r="P489" s="317">
        <v>4.921367329749944E-4</v>
      </c>
    </row>
    <row r="490" spans="1:16" ht="24" customHeight="1" x14ac:dyDescent="0.4">
      <c r="A490" s="313" t="s">
        <v>2666</v>
      </c>
      <c r="B490" s="313">
        <v>101879</v>
      </c>
      <c r="C490" s="313" t="s">
        <v>395</v>
      </c>
      <c r="D490" s="313" t="s">
        <v>5986</v>
      </c>
      <c r="E490" s="314" t="s">
        <v>4</v>
      </c>
      <c r="F490" s="315">
        <v>1</v>
      </c>
      <c r="G490" s="316">
        <v>593.30999999999995</v>
      </c>
      <c r="H490" s="316">
        <v>95.91</v>
      </c>
      <c r="I490" s="316">
        <v>8.5399999999999991</v>
      </c>
      <c r="J490" s="316">
        <v>488.86</v>
      </c>
      <c r="K490" s="316">
        <v>593.30999999999995</v>
      </c>
      <c r="L490" s="316">
        <v>95.91</v>
      </c>
      <c r="M490" s="316">
        <v>8.5399999999999991</v>
      </c>
      <c r="N490" s="316">
        <v>488.86</v>
      </c>
      <c r="O490" s="316">
        <v>593.30999999999995</v>
      </c>
      <c r="P490" s="317">
        <v>1.0203719773601968E-3</v>
      </c>
    </row>
    <row r="491" spans="1:16" ht="24" customHeight="1" x14ac:dyDescent="0.4">
      <c r="A491" s="313" t="s">
        <v>2667</v>
      </c>
      <c r="B491" s="313">
        <v>93671</v>
      </c>
      <c r="C491" s="313" t="s">
        <v>395</v>
      </c>
      <c r="D491" s="313" t="s">
        <v>5970</v>
      </c>
      <c r="E491" s="314" t="s">
        <v>4</v>
      </c>
      <c r="F491" s="315">
        <v>1</v>
      </c>
      <c r="G491" s="316">
        <v>78.89</v>
      </c>
      <c r="H491" s="316">
        <v>14.5</v>
      </c>
      <c r="I491" s="316">
        <v>1.28</v>
      </c>
      <c r="J491" s="316">
        <v>63.11</v>
      </c>
      <c r="K491" s="316">
        <v>78.89</v>
      </c>
      <c r="L491" s="316">
        <v>14.5</v>
      </c>
      <c r="M491" s="316">
        <v>1.28</v>
      </c>
      <c r="N491" s="316">
        <v>63.11</v>
      </c>
      <c r="O491" s="316">
        <v>78.89</v>
      </c>
      <c r="P491" s="317">
        <v>1.3567468152221593E-4</v>
      </c>
    </row>
    <row r="492" spans="1:16" ht="24" customHeight="1" x14ac:dyDescent="0.4">
      <c r="A492" s="313" t="s">
        <v>2668</v>
      </c>
      <c r="B492" s="313">
        <v>93669</v>
      </c>
      <c r="C492" s="313" t="s">
        <v>395</v>
      </c>
      <c r="D492" s="313" t="s">
        <v>5976</v>
      </c>
      <c r="E492" s="314" t="s">
        <v>4</v>
      </c>
      <c r="F492" s="315">
        <v>1</v>
      </c>
      <c r="G492" s="316">
        <v>68.959999999999994</v>
      </c>
      <c r="H492" s="316">
        <v>7.83</v>
      </c>
      <c r="I492" s="316">
        <v>0.7</v>
      </c>
      <c r="J492" s="316">
        <v>60.43</v>
      </c>
      <c r="K492" s="316">
        <v>68.959999999999994</v>
      </c>
      <c r="L492" s="316">
        <v>7.83</v>
      </c>
      <c r="M492" s="316">
        <v>0.7</v>
      </c>
      <c r="N492" s="316">
        <v>60.43</v>
      </c>
      <c r="O492" s="316">
        <v>68.959999999999994</v>
      </c>
      <c r="P492" s="317">
        <v>1.1859711037865395E-4</v>
      </c>
    </row>
    <row r="493" spans="1:16" ht="24" customHeight="1" x14ac:dyDescent="0.4">
      <c r="A493" s="313" t="s">
        <v>2670</v>
      </c>
      <c r="B493" s="313">
        <v>93672</v>
      </c>
      <c r="C493" s="313" t="s">
        <v>395</v>
      </c>
      <c r="D493" s="313" t="s">
        <v>5966</v>
      </c>
      <c r="E493" s="314" t="s">
        <v>4</v>
      </c>
      <c r="F493" s="315">
        <v>1</v>
      </c>
      <c r="G493" s="316">
        <v>88.52</v>
      </c>
      <c r="H493" s="316">
        <v>21.23</v>
      </c>
      <c r="I493" s="316">
        <v>1.88</v>
      </c>
      <c r="J493" s="316">
        <v>65.41</v>
      </c>
      <c r="K493" s="316">
        <v>88.52</v>
      </c>
      <c r="L493" s="316">
        <v>21.23</v>
      </c>
      <c r="M493" s="316">
        <v>1.88</v>
      </c>
      <c r="N493" s="316">
        <v>65.41</v>
      </c>
      <c r="O493" s="316">
        <v>88.52</v>
      </c>
      <c r="P493" s="317">
        <v>1.5223631396053434E-4</v>
      </c>
    </row>
    <row r="494" spans="1:16" ht="24" customHeight="1" x14ac:dyDescent="0.4">
      <c r="A494" s="313" t="s">
        <v>2672</v>
      </c>
      <c r="B494" s="313">
        <v>681</v>
      </c>
      <c r="C494" s="313" t="s">
        <v>575</v>
      </c>
      <c r="D494" s="313" t="s">
        <v>2640</v>
      </c>
      <c r="E494" s="314" t="s">
        <v>4</v>
      </c>
      <c r="F494" s="315">
        <v>1</v>
      </c>
      <c r="G494" s="316">
        <v>1439.11</v>
      </c>
      <c r="H494" s="316">
        <v>35.119999999999997</v>
      </c>
      <c r="I494" s="316">
        <v>0</v>
      </c>
      <c r="J494" s="316">
        <v>1403.99</v>
      </c>
      <c r="K494" s="316">
        <v>1439.11</v>
      </c>
      <c r="L494" s="316">
        <v>35.119999999999997</v>
      </c>
      <c r="M494" s="316">
        <v>0</v>
      </c>
      <c r="N494" s="316">
        <v>1403.99</v>
      </c>
      <c r="O494" s="316">
        <v>1439.11</v>
      </c>
      <c r="P494" s="317">
        <v>2.4749751670102189E-3</v>
      </c>
    </row>
    <row r="495" spans="1:16" ht="24" customHeight="1" x14ac:dyDescent="0.4">
      <c r="A495" s="313" t="s">
        <v>2674</v>
      </c>
      <c r="B495" s="313" t="s">
        <v>2664</v>
      </c>
      <c r="C495" s="313" t="s">
        <v>5902</v>
      </c>
      <c r="D495" s="313" t="s">
        <v>2703</v>
      </c>
      <c r="E495" s="314" t="s">
        <v>4</v>
      </c>
      <c r="F495" s="315">
        <v>1</v>
      </c>
      <c r="G495" s="316">
        <v>293.45999999999998</v>
      </c>
      <c r="H495" s="316">
        <v>13.96</v>
      </c>
      <c r="I495" s="316">
        <v>0</v>
      </c>
      <c r="J495" s="316">
        <v>279.5</v>
      </c>
      <c r="K495" s="316">
        <v>293.45999999999998</v>
      </c>
      <c r="L495" s="316">
        <v>13.96</v>
      </c>
      <c r="M495" s="316">
        <v>0</v>
      </c>
      <c r="N495" s="316">
        <v>279.5</v>
      </c>
      <c r="O495" s="316">
        <v>293.45999999999998</v>
      </c>
      <c r="P495" s="317">
        <v>5.0469124146925446E-4</v>
      </c>
    </row>
    <row r="496" spans="1:16" ht="24" customHeight="1" x14ac:dyDescent="0.4">
      <c r="A496" s="313" t="s">
        <v>2675</v>
      </c>
      <c r="B496" s="313">
        <v>93654</v>
      </c>
      <c r="C496" s="313" t="s">
        <v>395</v>
      </c>
      <c r="D496" s="313" t="s">
        <v>5972</v>
      </c>
      <c r="E496" s="314" t="s">
        <v>4</v>
      </c>
      <c r="F496" s="315">
        <v>1</v>
      </c>
      <c r="G496" s="316">
        <v>11.45</v>
      </c>
      <c r="H496" s="316">
        <v>1.98</v>
      </c>
      <c r="I496" s="316">
        <v>0.18</v>
      </c>
      <c r="J496" s="316">
        <v>9.2899999999999991</v>
      </c>
      <c r="K496" s="316">
        <v>11.45</v>
      </c>
      <c r="L496" s="316">
        <v>1.98</v>
      </c>
      <c r="M496" s="316">
        <v>0.18</v>
      </c>
      <c r="N496" s="316">
        <v>9.2899999999999991</v>
      </c>
      <c r="O496" s="316">
        <v>11.45</v>
      </c>
      <c r="P496" s="317">
        <v>1.9691660583462698E-5</v>
      </c>
    </row>
    <row r="497" spans="1:16" ht="24" customHeight="1" x14ac:dyDescent="0.4">
      <c r="A497" s="313" t="s">
        <v>2677</v>
      </c>
      <c r="B497" s="313">
        <v>93661</v>
      </c>
      <c r="C497" s="313" t="s">
        <v>395</v>
      </c>
      <c r="D497" s="313" t="s">
        <v>5973</v>
      </c>
      <c r="E497" s="314" t="s">
        <v>4</v>
      </c>
      <c r="F497" s="315">
        <v>1</v>
      </c>
      <c r="G497" s="316">
        <v>51.73</v>
      </c>
      <c r="H497" s="316">
        <v>3.94</v>
      </c>
      <c r="I497" s="316">
        <v>0.34</v>
      </c>
      <c r="J497" s="316">
        <v>47.45</v>
      </c>
      <c r="K497" s="316">
        <v>51.73</v>
      </c>
      <c r="L497" s="316">
        <v>3.94</v>
      </c>
      <c r="M497" s="316">
        <v>0.34</v>
      </c>
      <c r="N497" s="316">
        <v>47.45</v>
      </c>
      <c r="O497" s="316">
        <v>51.73</v>
      </c>
      <c r="P497" s="317">
        <v>8.8965030740831917E-5</v>
      </c>
    </row>
    <row r="498" spans="1:16" ht="24" customHeight="1" x14ac:dyDescent="0.4">
      <c r="A498" s="313" t="s">
        <v>2678</v>
      </c>
      <c r="B498" s="313">
        <v>675</v>
      </c>
      <c r="C498" s="313" t="s">
        <v>575</v>
      </c>
      <c r="D498" s="313" t="s">
        <v>2645</v>
      </c>
      <c r="E498" s="314" t="s">
        <v>4</v>
      </c>
      <c r="F498" s="315">
        <v>1</v>
      </c>
      <c r="G498" s="316">
        <v>296.66000000000003</v>
      </c>
      <c r="H498" s="316">
        <v>111.66</v>
      </c>
      <c r="I498" s="316">
        <v>0</v>
      </c>
      <c r="J498" s="316">
        <v>185</v>
      </c>
      <c r="K498" s="316">
        <v>296.66000000000003</v>
      </c>
      <c r="L498" s="316">
        <v>111.66</v>
      </c>
      <c r="M498" s="316">
        <v>0</v>
      </c>
      <c r="N498" s="316">
        <v>185</v>
      </c>
      <c r="O498" s="316">
        <v>296.66000000000003</v>
      </c>
      <c r="P498" s="317">
        <v>5.1019458765851912E-4</v>
      </c>
    </row>
    <row r="499" spans="1:16" ht="24" customHeight="1" x14ac:dyDescent="0.4">
      <c r="A499" s="313" t="s">
        <v>2680</v>
      </c>
      <c r="B499" s="313">
        <v>690</v>
      </c>
      <c r="C499" s="313" t="s">
        <v>575</v>
      </c>
      <c r="D499" s="313" t="s">
        <v>2646</v>
      </c>
      <c r="E499" s="314" t="s">
        <v>4</v>
      </c>
      <c r="F499" s="315">
        <v>1</v>
      </c>
      <c r="G499" s="316">
        <v>359.03</v>
      </c>
      <c r="H499" s="316">
        <v>115.36</v>
      </c>
      <c r="I499" s="316">
        <v>10.4</v>
      </c>
      <c r="J499" s="316">
        <v>233.27</v>
      </c>
      <c r="K499" s="316">
        <v>359.03</v>
      </c>
      <c r="L499" s="316">
        <v>115.36</v>
      </c>
      <c r="M499" s="316">
        <v>10.4</v>
      </c>
      <c r="N499" s="316">
        <v>233.27</v>
      </c>
      <c r="O499" s="316">
        <v>359.03</v>
      </c>
      <c r="P499" s="317">
        <v>6.1745824447865616E-4</v>
      </c>
    </row>
    <row r="500" spans="1:16" ht="48" customHeight="1" x14ac:dyDescent="0.4">
      <c r="A500" s="313" t="s">
        <v>2682</v>
      </c>
      <c r="B500" s="313">
        <v>93653</v>
      </c>
      <c r="C500" s="313" t="s">
        <v>395</v>
      </c>
      <c r="D500" s="313" t="s">
        <v>5984</v>
      </c>
      <c r="E500" s="314" t="s">
        <v>4</v>
      </c>
      <c r="F500" s="315">
        <v>1</v>
      </c>
      <c r="G500" s="316">
        <v>11.45</v>
      </c>
      <c r="H500" s="316">
        <v>1.98</v>
      </c>
      <c r="I500" s="316">
        <v>0.18</v>
      </c>
      <c r="J500" s="316">
        <v>9.2899999999999991</v>
      </c>
      <c r="K500" s="316">
        <v>11.45</v>
      </c>
      <c r="L500" s="316">
        <v>1.98</v>
      </c>
      <c r="M500" s="316">
        <v>0.18</v>
      </c>
      <c r="N500" s="316">
        <v>9.2899999999999991</v>
      </c>
      <c r="O500" s="316">
        <v>11.45</v>
      </c>
      <c r="P500" s="317">
        <v>1.9691660583462698E-5</v>
      </c>
    </row>
    <row r="501" spans="1:16" ht="24" customHeight="1" x14ac:dyDescent="0.4">
      <c r="A501" s="313" t="s">
        <v>2684</v>
      </c>
      <c r="B501" s="313">
        <v>687</v>
      </c>
      <c r="C501" s="313" t="s">
        <v>575</v>
      </c>
      <c r="D501" s="313" t="s">
        <v>2657</v>
      </c>
      <c r="E501" s="314" t="s">
        <v>4</v>
      </c>
      <c r="F501" s="315">
        <v>1</v>
      </c>
      <c r="G501" s="316">
        <v>349.03</v>
      </c>
      <c r="H501" s="316">
        <v>115.36</v>
      </c>
      <c r="I501" s="316">
        <v>10.4</v>
      </c>
      <c r="J501" s="316">
        <v>223.27</v>
      </c>
      <c r="K501" s="316">
        <v>349.03</v>
      </c>
      <c r="L501" s="316">
        <v>115.36</v>
      </c>
      <c r="M501" s="316">
        <v>10.4</v>
      </c>
      <c r="N501" s="316">
        <v>223.27</v>
      </c>
      <c r="O501" s="316">
        <v>349.03</v>
      </c>
      <c r="P501" s="317">
        <v>6.0026028763720402E-4</v>
      </c>
    </row>
    <row r="502" spans="1:16" ht="36" customHeight="1" x14ac:dyDescent="0.4">
      <c r="A502" s="313" t="s">
        <v>2686</v>
      </c>
      <c r="B502" s="313">
        <v>671</v>
      </c>
      <c r="C502" s="313" t="s">
        <v>575</v>
      </c>
      <c r="D502" s="313" t="s">
        <v>2658</v>
      </c>
      <c r="E502" s="314" t="s">
        <v>4</v>
      </c>
      <c r="F502" s="315">
        <v>1</v>
      </c>
      <c r="G502" s="316">
        <v>627.37</v>
      </c>
      <c r="H502" s="316">
        <v>22.33</v>
      </c>
      <c r="I502" s="316">
        <v>0</v>
      </c>
      <c r="J502" s="316">
        <v>605.04</v>
      </c>
      <c r="K502" s="316">
        <v>627.37</v>
      </c>
      <c r="L502" s="316">
        <v>22.33</v>
      </c>
      <c r="M502" s="316">
        <v>0</v>
      </c>
      <c r="N502" s="316">
        <v>605.04</v>
      </c>
      <c r="O502" s="316">
        <v>627.37</v>
      </c>
      <c r="P502" s="317">
        <v>1.0789482183621829E-3</v>
      </c>
    </row>
    <row r="503" spans="1:16" ht="36" customHeight="1" x14ac:dyDescent="0.4">
      <c r="A503" s="313" t="s">
        <v>2687</v>
      </c>
      <c r="B503" s="313">
        <v>685</v>
      </c>
      <c r="C503" s="313" t="s">
        <v>575</v>
      </c>
      <c r="D503" s="313" t="s">
        <v>2651</v>
      </c>
      <c r="E503" s="314" t="s">
        <v>4</v>
      </c>
      <c r="F503" s="315">
        <v>1</v>
      </c>
      <c r="G503" s="316">
        <v>68.55</v>
      </c>
      <c r="H503" s="316">
        <v>2.4900000000000002</v>
      </c>
      <c r="I503" s="316">
        <v>0.25</v>
      </c>
      <c r="J503" s="316">
        <v>65.81</v>
      </c>
      <c r="K503" s="316">
        <v>68.55</v>
      </c>
      <c r="L503" s="316">
        <v>2.4900000000000002</v>
      </c>
      <c r="M503" s="316">
        <v>0.25</v>
      </c>
      <c r="N503" s="316">
        <v>65.81</v>
      </c>
      <c r="O503" s="316">
        <v>68.55</v>
      </c>
      <c r="P503" s="317">
        <v>1.1789199414815441E-4</v>
      </c>
    </row>
    <row r="504" spans="1:16" ht="24" customHeight="1" x14ac:dyDescent="0.4">
      <c r="A504" s="313" t="s">
        <v>2689</v>
      </c>
      <c r="B504" s="313">
        <v>689</v>
      </c>
      <c r="C504" s="313" t="s">
        <v>575</v>
      </c>
      <c r="D504" s="313" t="s">
        <v>2659</v>
      </c>
      <c r="E504" s="314" t="s">
        <v>4</v>
      </c>
      <c r="F504" s="315">
        <v>1</v>
      </c>
      <c r="G504" s="316">
        <v>478.39</v>
      </c>
      <c r="H504" s="316">
        <v>115.36</v>
      </c>
      <c r="I504" s="316">
        <v>10.4</v>
      </c>
      <c r="J504" s="316">
        <v>352.63</v>
      </c>
      <c r="K504" s="316">
        <v>478.39</v>
      </c>
      <c r="L504" s="316">
        <v>115.36</v>
      </c>
      <c r="M504" s="316">
        <v>10.4</v>
      </c>
      <c r="N504" s="316">
        <v>352.63</v>
      </c>
      <c r="O504" s="316">
        <v>478.39</v>
      </c>
      <c r="P504" s="317">
        <v>8.2273305733822886E-4</v>
      </c>
    </row>
    <row r="505" spans="1:16" ht="36" customHeight="1" x14ac:dyDescent="0.4">
      <c r="A505" s="313" t="s">
        <v>2690</v>
      </c>
      <c r="B505" s="313">
        <v>12015</v>
      </c>
      <c r="C505" s="313" t="s">
        <v>420</v>
      </c>
      <c r="D505" s="313" t="s">
        <v>2676</v>
      </c>
      <c r="E505" s="314" t="s">
        <v>422</v>
      </c>
      <c r="F505" s="315">
        <v>1</v>
      </c>
      <c r="G505" s="316">
        <v>160.63999999999999</v>
      </c>
      <c r="H505" s="316">
        <v>18.03</v>
      </c>
      <c r="I505" s="316">
        <v>0</v>
      </c>
      <c r="J505" s="316">
        <v>142.61000000000001</v>
      </c>
      <c r="K505" s="316">
        <v>160.63999999999999</v>
      </c>
      <c r="L505" s="316">
        <v>18.03</v>
      </c>
      <c r="M505" s="316">
        <v>0</v>
      </c>
      <c r="N505" s="316">
        <v>142.61000000000001</v>
      </c>
      <c r="O505" s="316">
        <v>160.63999999999999</v>
      </c>
      <c r="P505" s="317">
        <v>2.7626797870108715E-4</v>
      </c>
    </row>
    <row r="506" spans="1:16" ht="36" customHeight="1" x14ac:dyDescent="0.4">
      <c r="A506" s="313" t="s">
        <v>2692</v>
      </c>
      <c r="B506" s="313">
        <v>12015</v>
      </c>
      <c r="C506" s="313" t="s">
        <v>420</v>
      </c>
      <c r="D506" s="313" t="s">
        <v>2676</v>
      </c>
      <c r="E506" s="314" t="s">
        <v>422</v>
      </c>
      <c r="F506" s="315">
        <v>1</v>
      </c>
      <c r="G506" s="316">
        <v>160.63999999999999</v>
      </c>
      <c r="H506" s="316">
        <v>18.03</v>
      </c>
      <c r="I506" s="316">
        <v>0</v>
      </c>
      <c r="J506" s="316">
        <v>142.61000000000001</v>
      </c>
      <c r="K506" s="316">
        <v>160.63999999999999</v>
      </c>
      <c r="L506" s="316">
        <v>18.03</v>
      </c>
      <c r="M506" s="316">
        <v>0</v>
      </c>
      <c r="N506" s="316">
        <v>142.61000000000001</v>
      </c>
      <c r="O506" s="316">
        <v>160.63999999999999</v>
      </c>
      <c r="P506" s="317">
        <v>2.7626797870108715E-4</v>
      </c>
    </row>
    <row r="507" spans="1:16" ht="24" customHeight="1" x14ac:dyDescent="0.4">
      <c r="A507" s="313" t="s">
        <v>2694</v>
      </c>
      <c r="B507" s="313">
        <v>101879</v>
      </c>
      <c r="C507" s="313" t="s">
        <v>395</v>
      </c>
      <c r="D507" s="313" t="s">
        <v>5986</v>
      </c>
      <c r="E507" s="314" t="s">
        <v>4</v>
      </c>
      <c r="F507" s="315">
        <v>1</v>
      </c>
      <c r="G507" s="316">
        <v>593.30999999999995</v>
      </c>
      <c r="H507" s="316">
        <v>95.91</v>
      </c>
      <c r="I507" s="316">
        <v>8.5399999999999991</v>
      </c>
      <c r="J507" s="316">
        <v>488.86</v>
      </c>
      <c r="K507" s="316">
        <v>593.30999999999995</v>
      </c>
      <c r="L507" s="316">
        <v>95.91</v>
      </c>
      <c r="M507" s="316">
        <v>8.5399999999999991</v>
      </c>
      <c r="N507" s="316">
        <v>488.86</v>
      </c>
      <c r="O507" s="316">
        <v>593.30999999999995</v>
      </c>
      <c r="P507" s="317">
        <v>1.0203719773601968E-3</v>
      </c>
    </row>
    <row r="508" spans="1:16" ht="24" customHeight="1" x14ac:dyDescent="0.4">
      <c r="A508" s="313" t="s">
        <v>2696</v>
      </c>
      <c r="B508" s="313">
        <v>72328</v>
      </c>
      <c r="C508" s="313" t="s">
        <v>484</v>
      </c>
      <c r="D508" s="313" t="s">
        <v>1831</v>
      </c>
      <c r="E508" s="314" t="s">
        <v>486</v>
      </c>
      <c r="F508" s="315">
        <v>1</v>
      </c>
      <c r="G508" s="316">
        <v>10.01</v>
      </c>
      <c r="H508" s="316">
        <v>6.23</v>
      </c>
      <c r="I508" s="316">
        <v>0</v>
      </c>
      <c r="J508" s="316">
        <v>3.78</v>
      </c>
      <c r="K508" s="316">
        <v>10.01</v>
      </c>
      <c r="L508" s="316">
        <v>6.23</v>
      </c>
      <c r="M508" s="316">
        <v>0</v>
      </c>
      <c r="N508" s="316">
        <v>3.78</v>
      </c>
      <c r="O508" s="316">
        <v>10.01</v>
      </c>
      <c r="P508" s="317">
        <v>1.7215154798293592E-5</v>
      </c>
    </row>
    <row r="509" spans="1:16" ht="24" customHeight="1" x14ac:dyDescent="0.4">
      <c r="A509" s="313" t="s">
        <v>2697</v>
      </c>
      <c r="B509" s="313">
        <v>97668</v>
      </c>
      <c r="C509" s="313" t="s">
        <v>395</v>
      </c>
      <c r="D509" s="313" t="s">
        <v>398</v>
      </c>
      <c r="E509" s="314" t="s">
        <v>7</v>
      </c>
      <c r="F509" s="315">
        <v>1</v>
      </c>
      <c r="G509" s="316">
        <v>14.53</v>
      </c>
      <c r="H509" s="316">
        <v>5.27</v>
      </c>
      <c r="I509" s="316">
        <v>0.46</v>
      </c>
      <c r="J509" s="316">
        <v>8.8000000000000007</v>
      </c>
      <c r="K509" s="316">
        <v>14.53</v>
      </c>
      <c r="L509" s="316">
        <v>5.27</v>
      </c>
      <c r="M509" s="316">
        <v>0.46</v>
      </c>
      <c r="N509" s="316">
        <v>8.8000000000000007</v>
      </c>
      <c r="O509" s="316">
        <v>14.53</v>
      </c>
      <c r="P509" s="317">
        <v>2.4988631290629958E-5</v>
      </c>
    </row>
    <row r="510" spans="1:16" ht="24" customHeight="1" x14ac:dyDescent="0.4">
      <c r="A510" s="313" t="s">
        <v>2698</v>
      </c>
      <c r="B510" s="313">
        <v>97670</v>
      </c>
      <c r="C510" s="313" t="s">
        <v>395</v>
      </c>
      <c r="D510" s="313" t="s">
        <v>399</v>
      </c>
      <c r="E510" s="314" t="s">
        <v>7</v>
      </c>
      <c r="F510" s="315">
        <v>1</v>
      </c>
      <c r="G510" s="316">
        <v>27.41</v>
      </c>
      <c r="H510" s="316">
        <v>9.58</v>
      </c>
      <c r="I510" s="316">
        <v>0.84</v>
      </c>
      <c r="J510" s="316">
        <v>16.989999999999998</v>
      </c>
      <c r="K510" s="316">
        <v>27.41</v>
      </c>
      <c r="L510" s="316">
        <v>9.58</v>
      </c>
      <c r="M510" s="316">
        <v>0.84</v>
      </c>
      <c r="N510" s="316">
        <v>16.989999999999998</v>
      </c>
      <c r="O510" s="316">
        <v>27.41</v>
      </c>
      <c r="P510" s="317">
        <v>4.7139599702420316E-5</v>
      </c>
    </row>
    <row r="511" spans="1:16" ht="24" customHeight="1" x14ac:dyDescent="0.4">
      <c r="A511" s="313" t="s">
        <v>2700</v>
      </c>
      <c r="B511" s="313">
        <v>1536</v>
      </c>
      <c r="C511" s="313" t="s">
        <v>420</v>
      </c>
      <c r="D511" s="313" t="s">
        <v>533</v>
      </c>
      <c r="E511" s="314" t="s">
        <v>422</v>
      </c>
      <c r="F511" s="315">
        <v>1</v>
      </c>
      <c r="G511" s="316">
        <v>19.05</v>
      </c>
      <c r="H511" s="316">
        <v>4.32</v>
      </c>
      <c r="I511" s="316">
        <v>0</v>
      </c>
      <c r="J511" s="316">
        <v>14.73</v>
      </c>
      <c r="K511" s="316">
        <v>19.05</v>
      </c>
      <c r="L511" s="316">
        <v>4.32</v>
      </c>
      <c r="M511" s="316">
        <v>0</v>
      </c>
      <c r="N511" s="316">
        <v>14.73</v>
      </c>
      <c r="O511" s="316">
        <v>19.05</v>
      </c>
      <c r="P511" s="317">
        <v>3.2762107782966325E-5</v>
      </c>
    </row>
    <row r="512" spans="1:16" ht="24" customHeight="1" x14ac:dyDescent="0.4">
      <c r="A512" s="313" t="s">
        <v>2702</v>
      </c>
      <c r="B512" s="313">
        <v>91941</v>
      </c>
      <c r="C512" s="313" t="s">
        <v>395</v>
      </c>
      <c r="D512" s="313" t="s">
        <v>5944</v>
      </c>
      <c r="E512" s="314" t="s">
        <v>4</v>
      </c>
      <c r="F512" s="315">
        <v>1</v>
      </c>
      <c r="G512" s="316">
        <v>16.41</v>
      </c>
      <c r="H512" s="316">
        <v>9.3000000000000007</v>
      </c>
      <c r="I512" s="316">
        <v>0.82</v>
      </c>
      <c r="J512" s="316">
        <v>6.29</v>
      </c>
      <c r="K512" s="316">
        <v>16.41</v>
      </c>
      <c r="L512" s="316">
        <v>9.3000000000000007</v>
      </c>
      <c r="M512" s="316">
        <v>0.82</v>
      </c>
      <c r="N512" s="316">
        <v>6.29</v>
      </c>
      <c r="O512" s="316">
        <v>16.41</v>
      </c>
      <c r="P512" s="317">
        <v>2.8221847176822959E-5</v>
      </c>
    </row>
    <row r="513" spans="1:16" ht="24" customHeight="1" x14ac:dyDescent="0.4">
      <c r="A513" s="313" t="s">
        <v>2704</v>
      </c>
      <c r="B513" s="313">
        <v>91944</v>
      </c>
      <c r="C513" s="313" t="s">
        <v>395</v>
      </c>
      <c r="D513" s="313" t="s">
        <v>5945</v>
      </c>
      <c r="E513" s="314" t="s">
        <v>4</v>
      </c>
      <c r="F513" s="315">
        <v>1</v>
      </c>
      <c r="G513" s="316">
        <v>20.2</v>
      </c>
      <c r="H513" s="316">
        <v>9.64</v>
      </c>
      <c r="I513" s="316">
        <v>0.86</v>
      </c>
      <c r="J513" s="316">
        <v>9.6999999999999993</v>
      </c>
      <c r="K513" s="316">
        <v>20.2</v>
      </c>
      <c r="L513" s="316">
        <v>9.64</v>
      </c>
      <c r="M513" s="316">
        <v>0.86</v>
      </c>
      <c r="N513" s="316">
        <v>9.6999999999999993</v>
      </c>
      <c r="O513" s="316">
        <v>20.2</v>
      </c>
      <c r="P513" s="317">
        <v>3.4739872819733319E-5</v>
      </c>
    </row>
    <row r="514" spans="1:16" ht="24" customHeight="1" x14ac:dyDescent="0.4">
      <c r="A514" s="313" t="s">
        <v>2706</v>
      </c>
      <c r="B514" s="313">
        <v>70285</v>
      </c>
      <c r="C514" s="313" t="s">
        <v>484</v>
      </c>
      <c r="D514" s="313" t="s">
        <v>485</v>
      </c>
      <c r="E514" s="314" t="s">
        <v>486</v>
      </c>
      <c r="F514" s="315">
        <v>1</v>
      </c>
      <c r="G514" s="316">
        <v>16.62</v>
      </c>
      <c r="H514" s="316">
        <v>10.38</v>
      </c>
      <c r="I514" s="316">
        <v>0</v>
      </c>
      <c r="J514" s="316">
        <v>6.24</v>
      </c>
      <c r="K514" s="316">
        <v>16.62</v>
      </c>
      <c r="L514" s="316">
        <v>10.38</v>
      </c>
      <c r="M514" s="316">
        <v>0</v>
      </c>
      <c r="N514" s="316">
        <v>6.24</v>
      </c>
      <c r="O514" s="316">
        <v>16.62</v>
      </c>
      <c r="P514" s="317">
        <v>2.8583004270493455E-5</v>
      </c>
    </row>
    <row r="515" spans="1:16" ht="36" customHeight="1" x14ac:dyDescent="0.4">
      <c r="A515" s="313" t="s">
        <v>2707</v>
      </c>
      <c r="B515" s="313">
        <v>70286</v>
      </c>
      <c r="C515" s="313" t="s">
        <v>484</v>
      </c>
      <c r="D515" s="313" t="s">
        <v>487</v>
      </c>
      <c r="E515" s="314" t="s">
        <v>486</v>
      </c>
      <c r="F515" s="315">
        <v>1</v>
      </c>
      <c r="G515" s="316">
        <v>18.89</v>
      </c>
      <c r="H515" s="316">
        <v>10.38</v>
      </c>
      <c r="I515" s="316">
        <v>0</v>
      </c>
      <c r="J515" s="316">
        <v>8.51</v>
      </c>
      <c r="K515" s="316">
        <v>18.89</v>
      </c>
      <c r="L515" s="316">
        <v>10.38</v>
      </c>
      <c r="M515" s="316">
        <v>0</v>
      </c>
      <c r="N515" s="316">
        <v>8.51</v>
      </c>
      <c r="O515" s="316">
        <v>18.89</v>
      </c>
      <c r="P515" s="317">
        <v>3.2486940473503091E-5</v>
      </c>
    </row>
    <row r="516" spans="1:16" ht="36" customHeight="1" x14ac:dyDescent="0.4">
      <c r="A516" s="313" t="s">
        <v>2708</v>
      </c>
      <c r="B516" s="313">
        <v>70287</v>
      </c>
      <c r="C516" s="313" t="s">
        <v>484</v>
      </c>
      <c r="D516" s="313" t="s">
        <v>488</v>
      </c>
      <c r="E516" s="314" t="s">
        <v>486</v>
      </c>
      <c r="F516" s="315">
        <v>1</v>
      </c>
      <c r="G516" s="316">
        <v>21.28</v>
      </c>
      <c r="H516" s="316">
        <v>10.38</v>
      </c>
      <c r="I516" s="316">
        <v>0</v>
      </c>
      <c r="J516" s="316">
        <v>10.9</v>
      </c>
      <c r="K516" s="316">
        <v>21.28</v>
      </c>
      <c r="L516" s="316">
        <v>10.38</v>
      </c>
      <c r="M516" s="316">
        <v>0</v>
      </c>
      <c r="N516" s="316">
        <v>10.9</v>
      </c>
      <c r="O516" s="316">
        <v>21.28</v>
      </c>
      <c r="P516" s="317">
        <v>3.659725215861015E-5</v>
      </c>
    </row>
    <row r="517" spans="1:16" ht="36" customHeight="1" x14ac:dyDescent="0.4">
      <c r="A517" s="313" t="s">
        <v>2712</v>
      </c>
      <c r="B517" s="313" t="s">
        <v>521</v>
      </c>
      <c r="C517" s="313" t="s">
        <v>5902</v>
      </c>
      <c r="D517" s="313" t="s">
        <v>522</v>
      </c>
      <c r="E517" s="314" t="s">
        <v>4</v>
      </c>
      <c r="F517" s="315">
        <v>1</v>
      </c>
      <c r="G517" s="316">
        <v>6</v>
      </c>
      <c r="H517" s="316">
        <v>1.82</v>
      </c>
      <c r="I517" s="316">
        <v>0</v>
      </c>
      <c r="J517" s="316">
        <v>4.18</v>
      </c>
      <c r="K517" s="316">
        <v>6</v>
      </c>
      <c r="L517" s="316">
        <v>1.82</v>
      </c>
      <c r="M517" s="316">
        <v>0</v>
      </c>
      <c r="N517" s="316">
        <v>4.18</v>
      </c>
      <c r="O517" s="316">
        <v>6</v>
      </c>
      <c r="P517" s="317">
        <v>1.0318774104871284E-5</v>
      </c>
    </row>
    <row r="518" spans="1:16" ht="36" customHeight="1" x14ac:dyDescent="0.4">
      <c r="A518" s="313" t="s">
        <v>2713</v>
      </c>
      <c r="B518" s="313" t="s">
        <v>523</v>
      </c>
      <c r="C518" s="313" t="s">
        <v>5902</v>
      </c>
      <c r="D518" s="313" t="s">
        <v>524</v>
      </c>
      <c r="E518" s="314" t="s">
        <v>4</v>
      </c>
      <c r="F518" s="315">
        <v>1</v>
      </c>
      <c r="G518" s="316">
        <v>11.5</v>
      </c>
      <c r="H518" s="316">
        <v>1.82</v>
      </c>
      <c r="I518" s="316">
        <v>0</v>
      </c>
      <c r="J518" s="316">
        <v>9.68</v>
      </c>
      <c r="K518" s="316">
        <v>11.5</v>
      </c>
      <c r="L518" s="316">
        <v>1.82</v>
      </c>
      <c r="M518" s="316">
        <v>0</v>
      </c>
      <c r="N518" s="316">
        <v>9.68</v>
      </c>
      <c r="O518" s="316">
        <v>11.5</v>
      </c>
      <c r="P518" s="317">
        <v>1.977765036766996E-5</v>
      </c>
    </row>
    <row r="519" spans="1:16" ht="36" customHeight="1" x14ac:dyDescent="0.4">
      <c r="A519" s="313" t="s">
        <v>2714</v>
      </c>
      <c r="B519" s="313" t="s">
        <v>489</v>
      </c>
      <c r="C519" s="313" t="s">
        <v>490</v>
      </c>
      <c r="D519" s="313" t="s">
        <v>491</v>
      </c>
      <c r="E519" s="314" t="s">
        <v>4</v>
      </c>
      <c r="F519" s="315">
        <v>1</v>
      </c>
      <c r="G519" s="316">
        <v>69.62</v>
      </c>
      <c r="H519" s="316">
        <v>49.15</v>
      </c>
      <c r="I519" s="316">
        <v>0</v>
      </c>
      <c r="J519" s="316">
        <v>20.47</v>
      </c>
      <c r="K519" s="316">
        <v>69.62</v>
      </c>
      <c r="L519" s="316">
        <v>49.15</v>
      </c>
      <c r="M519" s="316">
        <v>0</v>
      </c>
      <c r="N519" s="316">
        <v>20.47</v>
      </c>
      <c r="O519" s="316">
        <v>69.62</v>
      </c>
      <c r="P519" s="317">
        <v>1.1973217553018979E-4</v>
      </c>
    </row>
    <row r="520" spans="1:16" ht="36" customHeight="1" x14ac:dyDescent="0.4">
      <c r="A520" s="313" t="s">
        <v>2715</v>
      </c>
      <c r="B520" s="313" t="s">
        <v>1803</v>
      </c>
      <c r="C520" s="313" t="s">
        <v>490</v>
      </c>
      <c r="D520" s="313" t="s">
        <v>1836</v>
      </c>
      <c r="E520" s="314" t="s">
        <v>4</v>
      </c>
      <c r="F520" s="315">
        <v>1</v>
      </c>
      <c r="G520" s="316">
        <v>104.93</v>
      </c>
      <c r="H520" s="316">
        <v>65.540000000000006</v>
      </c>
      <c r="I520" s="316">
        <v>0</v>
      </c>
      <c r="J520" s="316">
        <v>39.39</v>
      </c>
      <c r="K520" s="316">
        <v>104.93</v>
      </c>
      <c r="L520" s="316">
        <v>65.540000000000006</v>
      </c>
      <c r="M520" s="316">
        <v>0</v>
      </c>
      <c r="N520" s="316">
        <v>39.39</v>
      </c>
      <c r="O520" s="316">
        <v>104.93</v>
      </c>
      <c r="P520" s="317">
        <v>1.8045816113735729E-4</v>
      </c>
    </row>
    <row r="521" spans="1:16" ht="36" customHeight="1" x14ac:dyDescent="0.4">
      <c r="A521" s="313" t="s">
        <v>2716</v>
      </c>
      <c r="B521" s="313" t="s">
        <v>492</v>
      </c>
      <c r="C521" s="313" t="s">
        <v>490</v>
      </c>
      <c r="D521" s="313" t="s">
        <v>493</v>
      </c>
      <c r="E521" s="314" t="s">
        <v>4</v>
      </c>
      <c r="F521" s="315">
        <v>1</v>
      </c>
      <c r="G521" s="316">
        <v>146.86000000000001</v>
      </c>
      <c r="H521" s="316">
        <v>81.91</v>
      </c>
      <c r="I521" s="316">
        <v>0</v>
      </c>
      <c r="J521" s="316">
        <v>64.95</v>
      </c>
      <c r="K521" s="316">
        <v>146.86000000000001</v>
      </c>
      <c r="L521" s="316">
        <v>81.91</v>
      </c>
      <c r="M521" s="316">
        <v>0</v>
      </c>
      <c r="N521" s="316">
        <v>64.95</v>
      </c>
      <c r="O521" s="316">
        <v>146.86000000000001</v>
      </c>
      <c r="P521" s="317">
        <v>2.5256919417356613E-4</v>
      </c>
    </row>
    <row r="522" spans="1:16" ht="36" customHeight="1" x14ac:dyDescent="0.4">
      <c r="A522" s="313" t="s">
        <v>2717</v>
      </c>
      <c r="B522" s="313">
        <v>818</v>
      </c>
      <c r="C522" s="313" t="s">
        <v>420</v>
      </c>
      <c r="D522" s="313" t="s">
        <v>1837</v>
      </c>
      <c r="E522" s="314" t="s">
        <v>422</v>
      </c>
      <c r="F522" s="315">
        <v>1</v>
      </c>
      <c r="G522" s="316">
        <v>385.92</v>
      </c>
      <c r="H522" s="316">
        <v>108.12</v>
      </c>
      <c r="I522" s="316">
        <v>0</v>
      </c>
      <c r="J522" s="316">
        <v>277.8</v>
      </c>
      <c r="K522" s="316">
        <v>385.92</v>
      </c>
      <c r="L522" s="316">
        <v>108.12</v>
      </c>
      <c r="M522" s="316">
        <v>0</v>
      </c>
      <c r="N522" s="316">
        <v>277.8</v>
      </c>
      <c r="O522" s="316">
        <v>385.92</v>
      </c>
      <c r="P522" s="317">
        <v>6.6370355042532096E-4</v>
      </c>
    </row>
    <row r="523" spans="1:16" ht="36" customHeight="1" x14ac:dyDescent="0.4">
      <c r="A523" s="313" t="s">
        <v>2718</v>
      </c>
      <c r="B523" s="313">
        <v>91926</v>
      </c>
      <c r="C523" s="313" t="s">
        <v>395</v>
      </c>
      <c r="D523" s="313" t="s">
        <v>5988</v>
      </c>
      <c r="E523" s="314" t="s">
        <v>7</v>
      </c>
      <c r="F523" s="315">
        <v>1</v>
      </c>
      <c r="G523" s="316">
        <v>5.42</v>
      </c>
      <c r="H523" s="316">
        <v>1.61</v>
      </c>
      <c r="I523" s="316">
        <v>0.14000000000000001</v>
      </c>
      <c r="J523" s="316">
        <v>3.67</v>
      </c>
      <c r="K523" s="316">
        <v>5.42</v>
      </c>
      <c r="L523" s="316">
        <v>1.61</v>
      </c>
      <c r="M523" s="316">
        <v>0.14000000000000001</v>
      </c>
      <c r="N523" s="316">
        <v>3.67</v>
      </c>
      <c r="O523" s="316">
        <v>5.42</v>
      </c>
      <c r="P523" s="317">
        <v>9.3212926080670599E-6</v>
      </c>
    </row>
    <row r="524" spans="1:16" ht="36" customHeight="1" x14ac:dyDescent="0.4">
      <c r="A524" s="313" t="s">
        <v>2719</v>
      </c>
      <c r="B524" s="313">
        <v>91928</v>
      </c>
      <c r="C524" s="313" t="s">
        <v>395</v>
      </c>
      <c r="D524" s="313" t="s">
        <v>5989</v>
      </c>
      <c r="E524" s="314" t="s">
        <v>7</v>
      </c>
      <c r="F524" s="315">
        <v>1</v>
      </c>
      <c r="G524" s="316">
        <v>8.25</v>
      </c>
      <c r="H524" s="316">
        <v>2.17</v>
      </c>
      <c r="I524" s="316">
        <v>0.2</v>
      </c>
      <c r="J524" s="316">
        <v>5.88</v>
      </c>
      <c r="K524" s="316">
        <v>8.25</v>
      </c>
      <c r="L524" s="316">
        <v>2.17</v>
      </c>
      <c r="M524" s="316">
        <v>0.2</v>
      </c>
      <c r="N524" s="316">
        <v>5.88</v>
      </c>
      <c r="O524" s="316">
        <v>8.25</v>
      </c>
      <c r="P524" s="317">
        <v>1.4188314394198015E-5</v>
      </c>
    </row>
    <row r="525" spans="1:16" ht="36" customHeight="1" x14ac:dyDescent="0.4">
      <c r="A525" s="313" t="s">
        <v>2720</v>
      </c>
      <c r="B525" s="313" t="s">
        <v>494</v>
      </c>
      <c r="C525" s="313" t="s">
        <v>5902</v>
      </c>
      <c r="D525" s="313" t="s">
        <v>495</v>
      </c>
      <c r="E525" s="314" t="s">
        <v>7</v>
      </c>
      <c r="F525" s="315">
        <v>1</v>
      </c>
      <c r="G525" s="316">
        <v>11.43</v>
      </c>
      <c r="H525" s="316">
        <v>3.91</v>
      </c>
      <c r="I525" s="316">
        <v>0</v>
      </c>
      <c r="J525" s="316">
        <v>7.52</v>
      </c>
      <c r="K525" s="316">
        <v>11.43</v>
      </c>
      <c r="L525" s="316">
        <v>3.91</v>
      </c>
      <c r="M525" s="316">
        <v>0</v>
      </c>
      <c r="N525" s="316">
        <v>7.52</v>
      </c>
      <c r="O525" s="316">
        <v>11.43</v>
      </c>
      <c r="P525" s="317">
        <v>1.9657264669779794E-5</v>
      </c>
    </row>
    <row r="526" spans="1:16" ht="24" customHeight="1" x14ac:dyDescent="0.4">
      <c r="A526" s="313" t="s">
        <v>2721</v>
      </c>
      <c r="B526" s="313" t="s">
        <v>496</v>
      </c>
      <c r="C526" s="313" t="s">
        <v>5902</v>
      </c>
      <c r="D526" s="313" t="s">
        <v>497</v>
      </c>
      <c r="E526" s="314" t="s">
        <v>7</v>
      </c>
      <c r="F526" s="315">
        <v>1</v>
      </c>
      <c r="G526" s="316">
        <v>16.420000000000002</v>
      </c>
      <c r="H526" s="316">
        <v>4.47</v>
      </c>
      <c r="I526" s="316">
        <v>0</v>
      </c>
      <c r="J526" s="316">
        <v>11.95</v>
      </c>
      <c r="K526" s="316">
        <v>16.420000000000002</v>
      </c>
      <c r="L526" s="316">
        <v>4.47</v>
      </c>
      <c r="M526" s="316">
        <v>0</v>
      </c>
      <c r="N526" s="316">
        <v>11.95</v>
      </c>
      <c r="O526" s="316">
        <v>16.420000000000002</v>
      </c>
      <c r="P526" s="317">
        <v>2.8239045133664413E-5</v>
      </c>
    </row>
    <row r="527" spans="1:16" ht="24" customHeight="1" x14ac:dyDescent="0.4">
      <c r="A527" s="313" t="s">
        <v>2722</v>
      </c>
      <c r="B527" s="313" t="s">
        <v>498</v>
      </c>
      <c r="C527" s="313" t="s">
        <v>5902</v>
      </c>
      <c r="D527" s="313" t="s">
        <v>499</v>
      </c>
      <c r="E527" s="314" t="s">
        <v>7</v>
      </c>
      <c r="F527" s="315">
        <v>1</v>
      </c>
      <c r="G527" s="316">
        <v>23.31</v>
      </c>
      <c r="H527" s="316">
        <v>5.0199999999999996</v>
      </c>
      <c r="I527" s="316">
        <v>0</v>
      </c>
      <c r="J527" s="316">
        <v>18.29</v>
      </c>
      <c r="K527" s="316">
        <v>23.31</v>
      </c>
      <c r="L527" s="316">
        <v>5.0199999999999996</v>
      </c>
      <c r="M527" s="316">
        <v>0</v>
      </c>
      <c r="N527" s="316">
        <v>18.29</v>
      </c>
      <c r="O527" s="316">
        <v>23.31</v>
      </c>
      <c r="P527" s="317">
        <v>4.0088437397424933E-5</v>
      </c>
    </row>
    <row r="528" spans="1:16" ht="24" customHeight="1" x14ac:dyDescent="0.4">
      <c r="A528" s="313" t="s">
        <v>2723</v>
      </c>
      <c r="B528" s="313" t="s">
        <v>500</v>
      </c>
      <c r="C528" s="313" t="s">
        <v>5902</v>
      </c>
      <c r="D528" s="313" t="s">
        <v>501</v>
      </c>
      <c r="E528" s="314" t="s">
        <v>7</v>
      </c>
      <c r="F528" s="315">
        <v>1</v>
      </c>
      <c r="G528" s="316">
        <v>33.869999999999997</v>
      </c>
      <c r="H528" s="316">
        <v>5.58</v>
      </c>
      <c r="I528" s="316">
        <v>0</v>
      </c>
      <c r="J528" s="316">
        <v>28.29</v>
      </c>
      <c r="K528" s="316">
        <v>33.869999999999997</v>
      </c>
      <c r="L528" s="316">
        <v>5.58</v>
      </c>
      <c r="M528" s="316">
        <v>0</v>
      </c>
      <c r="N528" s="316">
        <v>28.29</v>
      </c>
      <c r="O528" s="316">
        <v>33.869999999999997</v>
      </c>
      <c r="P528" s="317">
        <v>5.8249479821998395E-5</v>
      </c>
    </row>
    <row r="529" spans="1:16" ht="24" customHeight="1" x14ac:dyDescent="0.4">
      <c r="A529" s="313" t="s">
        <v>2724</v>
      </c>
      <c r="B529" s="313" t="s">
        <v>502</v>
      </c>
      <c r="C529" s="313" t="s">
        <v>5902</v>
      </c>
      <c r="D529" s="313" t="s">
        <v>503</v>
      </c>
      <c r="E529" s="314" t="s">
        <v>7</v>
      </c>
      <c r="F529" s="315">
        <v>1</v>
      </c>
      <c r="G529" s="316">
        <v>46.95</v>
      </c>
      <c r="H529" s="316">
        <v>8.3800000000000008</v>
      </c>
      <c r="I529" s="316">
        <v>0</v>
      </c>
      <c r="J529" s="316">
        <v>38.57</v>
      </c>
      <c r="K529" s="316">
        <v>46.95</v>
      </c>
      <c r="L529" s="316">
        <v>8.3800000000000008</v>
      </c>
      <c r="M529" s="316">
        <v>0</v>
      </c>
      <c r="N529" s="316">
        <v>38.57</v>
      </c>
      <c r="O529" s="316">
        <v>46.95</v>
      </c>
      <c r="P529" s="317">
        <v>8.0744407370617787E-5</v>
      </c>
    </row>
    <row r="530" spans="1:16" ht="24" customHeight="1" x14ac:dyDescent="0.4">
      <c r="A530" s="313" t="s">
        <v>2725</v>
      </c>
      <c r="B530" s="313" t="s">
        <v>504</v>
      </c>
      <c r="C530" s="313" t="s">
        <v>5902</v>
      </c>
      <c r="D530" s="313" t="s">
        <v>505</v>
      </c>
      <c r="E530" s="314" t="s">
        <v>7</v>
      </c>
      <c r="F530" s="315">
        <v>1</v>
      </c>
      <c r="G530" s="316">
        <v>66.180000000000007</v>
      </c>
      <c r="H530" s="316">
        <v>11.16</v>
      </c>
      <c r="I530" s="316">
        <v>0</v>
      </c>
      <c r="J530" s="316">
        <v>55.02</v>
      </c>
      <c r="K530" s="316">
        <v>66.180000000000007</v>
      </c>
      <c r="L530" s="316">
        <v>11.16</v>
      </c>
      <c r="M530" s="316">
        <v>0</v>
      </c>
      <c r="N530" s="316">
        <v>55.02</v>
      </c>
      <c r="O530" s="316">
        <v>66.180000000000007</v>
      </c>
      <c r="P530" s="317">
        <v>1.1381607837673026E-4</v>
      </c>
    </row>
    <row r="531" spans="1:16" ht="24" customHeight="1" x14ac:dyDescent="0.4">
      <c r="A531" s="313" t="s">
        <v>2726</v>
      </c>
      <c r="B531" s="313" t="s">
        <v>1804</v>
      </c>
      <c r="C531" s="313" t="s">
        <v>5902</v>
      </c>
      <c r="D531" s="313" t="s">
        <v>1838</v>
      </c>
      <c r="E531" s="314" t="s">
        <v>7</v>
      </c>
      <c r="F531" s="315">
        <v>1</v>
      </c>
      <c r="G531" s="316">
        <v>119.11</v>
      </c>
      <c r="H531" s="316">
        <v>16.75</v>
      </c>
      <c r="I531" s="316">
        <v>0</v>
      </c>
      <c r="J531" s="316">
        <v>102.36</v>
      </c>
      <c r="K531" s="316">
        <v>119.11</v>
      </c>
      <c r="L531" s="316">
        <v>16.75</v>
      </c>
      <c r="M531" s="316">
        <v>0</v>
      </c>
      <c r="N531" s="316">
        <v>102.36</v>
      </c>
      <c r="O531" s="316">
        <v>119.11</v>
      </c>
      <c r="P531" s="317">
        <v>2.0484486393853644E-4</v>
      </c>
    </row>
    <row r="532" spans="1:16" ht="24" customHeight="1" x14ac:dyDescent="0.4">
      <c r="A532" s="313" t="s">
        <v>2727</v>
      </c>
      <c r="B532" s="313" t="s">
        <v>506</v>
      </c>
      <c r="C532" s="313" t="s">
        <v>5902</v>
      </c>
      <c r="D532" s="313" t="s">
        <v>507</v>
      </c>
      <c r="E532" s="314" t="s">
        <v>7</v>
      </c>
      <c r="F532" s="315">
        <v>1</v>
      </c>
      <c r="G532" s="316">
        <v>221</v>
      </c>
      <c r="H532" s="316">
        <v>25.12</v>
      </c>
      <c r="I532" s="316">
        <v>0</v>
      </c>
      <c r="J532" s="316">
        <v>195.88</v>
      </c>
      <c r="K532" s="316">
        <v>221</v>
      </c>
      <c r="L532" s="316">
        <v>25.12</v>
      </c>
      <c r="M532" s="316">
        <v>0</v>
      </c>
      <c r="N532" s="316">
        <v>195.88</v>
      </c>
      <c r="O532" s="316">
        <v>221</v>
      </c>
      <c r="P532" s="317">
        <v>3.8007484619609225E-4</v>
      </c>
    </row>
    <row r="533" spans="1:16" ht="36" customHeight="1" x14ac:dyDescent="0.4">
      <c r="A533" s="313" t="s">
        <v>2728</v>
      </c>
      <c r="B533" s="313" t="s">
        <v>508</v>
      </c>
      <c r="C533" s="313" t="s">
        <v>5902</v>
      </c>
      <c r="D533" s="313" t="s">
        <v>509</v>
      </c>
      <c r="E533" s="314" t="s">
        <v>4</v>
      </c>
      <c r="F533" s="315">
        <v>1</v>
      </c>
      <c r="G533" s="316">
        <v>16</v>
      </c>
      <c r="H533" s="316">
        <v>8.3800000000000008</v>
      </c>
      <c r="I533" s="316">
        <v>0</v>
      </c>
      <c r="J533" s="316">
        <v>7.62</v>
      </c>
      <c r="K533" s="316">
        <v>16</v>
      </c>
      <c r="L533" s="316">
        <v>8.3800000000000008</v>
      </c>
      <c r="M533" s="316">
        <v>0</v>
      </c>
      <c r="N533" s="316">
        <v>7.62</v>
      </c>
      <c r="O533" s="316">
        <v>16</v>
      </c>
      <c r="P533" s="317">
        <v>2.7516730946323422E-5</v>
      </c>
    </row>
    <row r="534" spans="1:16" ht="36" customHeight="1" x14ac:dyDescent="0.4">
      <c r="A534" s="313" t="s">
        <v>2729</v>
      </c>
      <c r="B534" s="313" t="s">
        <v>510</v>
      </c>
      <c r="C534" s="313" t="s">
        <v>5902</v>
      </c>
      <c r="D534" s="313" t="s">
        <v>511</v>
      </c>
      <c r="E534" s="314" t="s">
        <v>4</v>
      </c>
      <c r="F534" s="315">
        <v>1</v>
      </c>
      <c r="G534" s="316">
        <v>16.88</v>
      </c>
      <c r="H534" s="316">
        <v>8.3800000000000008</v>
      </c>
      <c r="I534" s="316">
        <v>0</v>
      </c>
      <c r="J534" s="316">
        <v>8.5</v>
      </c>
      <c r="K534" s="316">
        <v>16.88</v>
      </c>
      <c r="L534" s="316">
        <v>8.3800000000000008</v>
      </c>
      <c r="M534" s="316">
        <v>0</v>
      </c>
      <c r="N534" s="316">
        <v>8.5</v>
      </c>
      <c r="O534" s="316">
        <v>16.88</v>
      </c>
      <c r="P534" s="317">
        <v>2.9030151148371212E-5</v>
      </c>
    </row>
    <row r="535" spans="1:16" ht="36" customHeight="1" x14ac:dyDescent="0.4">
      <c r="A535" s="313" t="s">
        <v>2730</v>
      </c>
      <c r="B535" s="313" t="s">
        <v>512</v>
      </c>
      <c r="C535" s="313" t="s">
        <v>5902</v>
      </c>
      <c r="D535" s="313" t="s">
        <v>513</v>
      </c>
      <c r="E535" s="314" t="s">
        <v>4</v>
      </c>
      <c r="F535" s="315">
        <v>1</v>
      </c>
      <c r="G535" s="316">
        <v>17.57</v>
      </c>
      <c r="H535" s="316">
        <v>8.3800000000000008</v>
      </c>
      <c r="I535" s="316">
        <v>0</v>
      </c>
      <c r="J535" s="316">
        <v>9.19</v>
      </c>
      <c r="K535" s="316">
        <v>17.57</v>
      </c>
      <c r="L535" s="316">
        <v>8.3800000000000008</v>
      </c>
      <c r="M535" s="316">
        <v>0</v>
      </c>
      <c r="N535" s="316">
        <v>9.19</v>
      </c>
      <c r="O535" s="316">
        <v>17.57</v>
      </c>
      <c r="P535" s="317">
        <v>3.0216810170431407E-5</v>
      </c>
    </row>
    <row r="536" spans="1:16" ht="36" customHeight="1" x14ac:dyDescent="0.4">
      <c r="A536" s="313" t="s">
        <v>2731</v>
      </c>
      <c r="B536" s="313" t="s">
        <v>475</v>
      </c>
      <c r="C536" s="313" t="s">
        <v>5902</v>
      </c>
      <c r="D536" s="313" t="s">
        <v>476</v>
      </c>
      <c r="E536" s="314" t="s">
        <v>4</v>
      </c>
      <c r="F536" s="315">
        <v>1</v>
      </c>
      <c r="G536" s="316">
        <v>17.95</v>
      </c>
      <c r="H536" s="316">
        <v>8.3800000000000008</v>
      </c>
      <c r="I536" s="316">
        <v>0</v>
      </c>
      <c r="J536" s="316">
        <v>9.57</v>
      </c>
      <c r="K536" s="316">
        <v>17.95</v>
      </c>
      <c r="L536" s="316">
        <v>8.3800000000000008</v>
      </c>
      <c r="M536" s="316">
        <v>0</v>
      </c>
      <c r="N536" s="316">
        <v>9.57</v>
      </c>
      <c r="O536" s="316">
        <v>17.95</v>
      </c>
      <c r="P536" s="317">
        <v>3.0870332530406593E-5</v>
      </c>
    </row>
    <row r="537" spans="1:16" ht="36" customHeight="1" x14ac:dyDescent="0.4">
      <c r="A537" s="313" t="s">
        <v>2732</v>
      </c>
      <c r="B537" s="313" t="s">
        <v>514</v>
      </c>
      <c r="C537" s="313" t="s">
        <v>5902</v>
      </c>
      <c r="D537" s="313" t="s">
        <v>515</v>
      </c>
      <c r="E537" s="314" t="s">
        <v>4</v>
      </c>
      <c r="F537" s="315">
        <v>1</v>
      </c>
      <c r="G537" s="316">
        <v>24.84</v>
      </c>
      <c r="H537" s="316">
        <v>8.3800000000000008</v>
      </c>
      <c r="I537" s="316">
        <v>0</v>
      </c>
      <c r="J537" s="316">
        <v>16.46</v>
      </c>
      <c r="K537" s="316">
        <v>24.84</v>
      </c>
      <c r="L537" s="316">
        <v>8.3800000000000008</v>
      </c>
      <c r="M537" s="316">
        <v>0</v>
      </c>
      <c r="N537" s="316">
        <v>16.46</v>
      </c>
      <c r="O537" s="316">
        <v>24.84</v>
      </c>
      <c r="P537" s="317">
        <v>4.2719724794167116E-5</v>
      </c>
    </row>
    <row r="538" spans="1:16" ht="36" customHeight="1" x14ac:dyDescent="0.4">
      <c r="A538" s="313" t="s">
        <v>2733</v>
      </c>
      <c r="B538" s="313" t="s">
        <v>516</v>
      </c>
      <c r="C538" s="313" t="s">
        <v>5902</v>
      </c>
      <c r="D538" s="313" t="s">
        <v>517</v>
      </c>
      <c r="E538" s="314" t="s">
        <v>4</v>
      </c>
      <c r="F538" s="315">
        <v>1</v>
      </c>
      <c r="G538" s="316">
        <v>44.26</v>
      </c>
      <c r="H538" s="316">
        <v>11.16</v>
      </c>
      <c r="I538" s="316">
        <v>0</v>
      </c>
      <c r="J538" s="316">
        <v>33.1</v>
      </c>
      <c r="K538" s="316">
        <v>44.26</v>
      </c>
      <c r="L538" s="316">
        <v>11.16</v>
      </c>
      <c r="M538" s="316">
        <v>0</v>
      </c>
      <c r="N538" s="316">
        <v>33.1</v>
      </c>
      <c r="O538" s="316">
        <v>44.26</v>
      </c>
      <c r="P538" s="317">
        <v>7.611815698026717E-5</v>
      </c>
    </row>
    <row r="539" spans="1:16" ht="36" customHeight="1" x14ac:dyDescent="0.4">
      <c r="A539" s="313" t="s">
        <v>2735</v>
      </c>
      <c r="B539" s="313" t="s">
        <v>518</v>
      </c>
      <c r="C539" s="313" t="s">
        <v>5902</v>
      </c>
      <c r="D539" s="313" t="s">
        <v>519</v>
      </c>
      <c r="E539" s="314" t="s">
        <v>4</v>
      </c>
      <c r="F539" s="315">
        <v>1</v>
      </c>
      <c r="G539" s="316">
        <v>58.15</v>
      </c>
      <c r="H539" s="316">
        <v>11.16</v>
      </c>
      <c r="I539" s="316">
        <v>0</v>
      </c>
      <c r="J539" s="316">
        <v>46.99</v>
      </c>
      <c r="K539" s="316">
        <v>58.15</v>
      </c>
      <c r="L539" s="316">
        <v>11.16</v>
      </c>
      <c r="M539" s="316">
        <v>0</v>
      </c>
      <c r="N539" s="316">
        <v>46.99</v>
      </c>
      <c r="O539" s="316">
        <v>58.15</v>
      </c>
      <c r="P539" s="317">
        <v>1.000061190330442E-4</v>
      </c>
    </row>
    <row r="540" spans="1:16" ht="36" customHeight="1" x14ac:dyDescent="0.4">
      <c r="A540" s="313" t="s">
        <v>2736</v>
      </c>
      <c r="B540" s="313">
        <v>89576</v>
      </c>
      <c r="C540" s="313" t="s">
        <v>395</v>
      </c>
      <c r="D540" s="313" t="s">
        <v>5990</v>
      </c>
      <c r="E540" s="314" t="s">
        <v>7</v>
      </c>
      <c r="F540" s="315">
        <v>1</v>
      </c>
      <c r="G540" s="316">
        <v>29.27</v>
      </c>
      <c r="H540" s="316">
        <v>2.61</v>
      </c>
      <c r="I540" s="316">
        <v>0.18</v>
      </c>
      <c r="J540" s="316">
        <v>26.48</v>
      </c>
      <c r="K540" s="316">
        <v>29.27</v>
      </c>
      <c r="L540" s="316">
        <v>2.61</v>
      </c>
      <c r="M540" s="316">
        <v>0.18</v>
      </c>
      <c r="N540" s="316">
        <v>26.48</v>
      </c>
      <c r="O540" s="316">
        <v>29.27</v>
      </c>
      <c r="P540" s="317">
        <v>5.0338419674930412E-5</v>
      </c>
    </row>
    <row r="541" spans="1:16" ht="36" customHeight="1" x14ac:dyDescent="0.4">
      <c r="A541" s="313" t="s">
        <v>2737</v>
      </c>
      <c r="B541" s="313">
        <v>89512</v>
      </c>
      <c r="C541" s="313" t="s">
        <v>395</v>
      </c>
      <c r="D541" s="313" t="s">
        <v>5991</v>
      </c>
      <c r="E541" s="314" t="s">
        <v>7</v>
      </c>
      <c r="F541" s="315">
        <v>1</v>
      </c>
      <c r="G541" s="316">
        <v>60.7</v>
      </c>
      <c r="H541" s="316">
        <v>21.86</v>
      </c>
      <c r="I541" s="316">
        <v>1.5</v>
      </c>
      <c r="J541" s="316">
        <v>37.340000000000003</v>
      </c>
      <c r="K541" s="316">
        <v>60.7</v>
      </c>
      <c r="L541" s="316">
        <v>21.86</v>
      </c>
      <c r="M541" s="316">
        <v>1.5</v>
      </c>
      <c r="N541" s="316">
        <v>37.340000000000003</v>
      </c>
      <c r="O541" s="316">
        <v>60.7</v>
      </c>
      <c r="P541" s="317">
        <v>1.0439159802761449E-4</v>
      </c>
    </row>
    <row r="542" spans="1:16" ht="48" customHeight="1" x14ac:dyDescent="0.4">
      <c r="A542" s="313" t="s">
        <v>2738</v>
      </c>
      <c r="B542" s="313">
        <v>89580</v>
      </c>
      <c r="C542" s="313" t="s">
        <v>395</v>
      </c>
      <c r="D542" s="313" t="s">
        <v>5992</v>
      </c>
      <c r="E542" s="314" t="s">
        <v>7</v>
      </c>
      <c r="F542" s="315">
        <v>1</v>
      </c>
      <c r="G542" s="316">
        <v>75.25</v>
      </c>
      <c r="H542" s="316">
        <v>7.11</v>
      </c>
      <c r="I542" s="316">
        <v>0.48</v>
      </c>
      <c r="J542" s="316">
        <v>67.66</v>
      </c>
      <c r="K542" s="316">
        <v>75.25</v>
      </c>
      <c r="L542" s="316">
        <v>7.11</v>
      </c>
      <c r="M542" s="316">
        <v>0.48</v>
      </c>
      <c r="N542" s="316">
        <v>67.66</v>
      </c>
      <c r="O542" s="316">
        <v>75.25</v>
      </c>
      <c r="P542" s="317">
        <v>1.2941462523192735E-4</v>
      </c>
    </row>
    <row r="543" spans="1:16" ht="48" customHeight="1" x14ac:dyDescent="0.4">
      <c r="A543" s="313" t="s">
        <v>2739</v>
      </c>
      <c r="B543" s="313">
        <v>89581</v>
      </c>
      <c r="C543" s="313" t="s">
        <v>395</v>
      </c>
      <c r="D543" s="313" t="s">
        <v>5993</v>
      </c>
      <c r="E543" s="314" t="s">
        <v>4</v>
      </c>
      <c r="F543" s="315">
        <v>1</v>
      </c>
      <c r="G543" s="316">
        <v>38.590000000000003</v>
      </c>
      <c r="H543" s="316">
        <v>9.43</v>
      </c>
      <c r="I543" s="316">
        <v>0.64</v>
      </c>
      <c r="J543" s="316">
        <v>28.52</v>
      </c>
      <c r="K543" s="316">
        <v>38.590000000000003</v>
      </c>
      <c r="L543" s="316">
        <v>9.43</v>
      </c>
      <c r="M543" s="316">
        <v>0.64</v>
      </c>
      <c r="N543" s="316">
        <v>28.52</v>
      </c>
      <c r="O543" s="316">
        <v>38.590000000000003</v>
      </c>
      <c r="P543" s="317">
        <v>6.6366915451163803E-5</v>
      </c>
    </row>
    <row r="544" spans="1:16" ht="48" customHeight="1" x14ac:dyDescent="0.4">
      <c r="A544" s="313" t="s">
        <v>2740</v>
      </c>
      <c r="B544" s="313">
        <v>89584</v>
      </c>
      <c r="C544" s="313" t="s">
        <v>395</v>
      </c>
      <c r="D544" s="313" t="s">
        <v>5994</v>
      </c>
      <c r="E544" s="314" t="s">
        <v>4</v>
      </c>
      <c r="F544" s="315">
        <v>1</v>
      </c>
      <c r="G544" s="316">
        <v>51.59</v>
      </c>
      <c r="H544" s="316">
        <v>14.83</v>
      </c>
      <c r="I544" s="316">
        <v>1.02</v>
      </c>
      <c r="J544" s="316">
        <v>35.74</v>
      </c>
      <c r="K544" s="316">
        <v>51.59</v>
      </c>
      <c r="L544" s="316">
        <v>14.83</v>
      </c>
      <c r="M544" s="316">
        <v>1.02</v>
      </c>
      <c r="N544" s="316">
        <v>35.74</v>
      </c>
      <c r="O544" s="316">
        <v>51.59</v>
      </c>
      <c r="P544" s="317">
        <v>8.8724259345051592E-5</v>
      </c>
    </row>
    <row r="545" spans="1:16" ht="48" customHeight="1" x14ac:dyDescent="0.4">
      <c r="A545" s="313" t="s">
        <v>2741</v>
      </c>
      <c r="B545" s="313">
        <v>89590</v>
      </c>
      <c r="C545" s="313" t="s">
        <v>395</v>
      </c>
      <c r="D545" s="313" t="s">
        <v>5995</v>
      </c>
      <c r="E545" s="314" t="s">
        <v>4</v>
      </c>
      <c r="F545" s="315">
        <v>1</v>
      </c>
      <c r="G545" s="316">
        <v>146.91</v>
      </c>
      <c r="H545" s="316">
        <v>25.59</v>
      </c>
      <c r="I545" s="316">
        <v>1.76</v>
      </c>
      <c r="J545" s="316">
        <v>119.56</v>
      </c>
      <c r="K545" s="316">
        <v>146.91</v>
      </c>
      <c r="L545" s="316">
        <v>25.59</v>
      </c>
      <c r="M545" s="316">
        <v>1.76</v>
      </c>
      <c r="N545" s="316">
        <v>119.56</v>
      </c>
      <c r="O545" s="316">
        <v>146.91</v>
      </c>
      <c r="P545" s="317">
        <v>2.526551839577734E-4</v>
      </c>
    </row>
    <row r="546" spans="1:16" ht="48" customHeight="1" x14ac:dyDescent="0.4">
      <c r="A546" s="313" t="s">
        <v>2742</v>
      </c>
      <c r="B546" s="313">
        <v>89582</v>
      </c>
      <c r="C546" s="313" t="s">
        <v>395</v>
      </c>
      <c r="D546" s="313" t="s">
        <v>5996</v>
      </c>
      <c r="E546" s="314" t="s">
        <v>4</v>
      </c>
      <c r="F546" s="315">
        <v>1</v>
      </c>
      <c r="G546" s="316">
        <v>39.07</v>
      </c>
      <c r="H546" s="316">
        <v>9.43</v>
      </c>
      <c r="I546" s="316">
        <v>0.64</v>
      </c>
      <c r="J546" s="316">
        <v>29</v>
      </c>
      <c r="K546" s="316">
        <v>39.07</v>
      </c>
      <c r="L546" s="316">
        <v>9.43</v>
      </c>
      <c r="M546" s="316">
        <v>0.64</v>
      </c>
      <c r="N546" s="316">
        <v>29</v>
      </c>
      <c r="O546" s="316">
        <v>39.07</v>
      </c>
      <c r="P546" s="317">
        <v>6.7192417379553502E-5</v>
      </c>
    </row>
    <row r="547" spans="1:16" ht="36" customHeight="1" x14ac:dyDescent="0.4">
      <c r="A547" s="313" t="s">
        <v>2743</v>
      </c>
      <c r="B547" s="313">
        <v>89585</v>
      </c>
      <c r="C547" s="313" t="s">
        <v>395</v>
      </c>
      <c r="D547" s="313" t="s">
        <v>5997</v>
      </c>
      <c r="E547" s="314" t="s">
        <v>4</v>
      </c>
      <c r="F547" s="315">
        <v>1</v>
      </c>
      <c r="G547" s="316">
        <v>52.68</v>
      </c>
      <c r="H547" s="316">
        <v>14.83</v>
      </c>
      <c r="I547" s="316">
        <v>1.02</v>
      </c>
      <c r="J547" s="316">
        <v>36.83</v>
      </c>
      <c r="K547" s="316">
        <v>52.68</v>
      </c>
      <c r="L547" s="316">
        <v>14.83</v>
      </c>
      <c r="M547" s="316">
        <v>1.02</v>
      </c>
      <c r="N547" s="316">
        <v>36.83</v>
      </c>
      <c r="O547" s="316">
        <v>52.68</v>
      </c>
      <c r="P547" s="317">
        <v>9.0598836640769863E-5</v>
      </c>
    </row>
    <row r="548" spans="1:16" ht="36" customHeight="1" x14ac:dyDescent="0.4">
      <c r="A548" s="313" t="s">
        <v>2744</v>
      </c>
      <c r="B548" s="313">
        <v>89591</v>
      </c>
      <c r="C548" s="313" t="s">
        <v>395</v>
      </c>
      <c r="D548" s="313" t="s">
        <v>5998</v>
      </c>
      <c r="E548" s="314" t="s">
        <v>4</v>
      </c>
      <c r="F548" s="315">
        <v>1</v>
      </c>
      <c r="G548" s="316">
        <v>143.57</v>
      </c>
      <c r="H548" s="316">
        <v>25.59</v>
      </c>
      <c r="I548" s="316">
        <v>1.76</v>
      </c>
      <c r="J548" s="316">
        <v>116.22</v>
      </c>
      <c r="K548" s="316">
        <v>143.57</v>
      </c>
      <c r="L548" s="316">
        <v>25.59</v>
      </c>
      <c r="M548" s="316">
        <v>1.76</v>
      </c>
      <c r="N548" s="316">
        <v>116.22</v>
      </c>
      <c r="O548" s="316">
        <v>143.57</v>
      </c>
      <c r="P548" s="317">
        <v>2.4691106637272838E-4</v>
      </c>
    </row>
    <row r="549" spans="1:16" ht="36" customHeight="1" x14ac:dyDescent="0.4">
      <c r="A549" s="313" t="s">
        <v>2745</v>
      </c>
      <c r="B549" s="313">
        <v>89685</v>
      </c>
      <c r="C549" s="313" t="s">
        <v>395</v>
      </c>
      <c r="D549" s="313" t="s">
        <v>5999</v>
      </c>
      <c r="E549" s="314" t="s">
        <v>4</v>
      </c>
      <c r="F549" s="315">
        <v>1</v>
      </c>
      <c r="G549" s="316">
        <v>68.209999999999994</v>
      </c>
      <c r="H549" s="316">
        <v>12.58</v>
      </c>
      <c r="I549" s="316">
        <v>0.86</v>
      </c>
      <c r="J549" s="316">
        <v>54.77</v>
      </c>
      <c r="K549" s="316">
        <v>68.209999999999994</v>
      </c>
      <c r="L549" s="316">
        <v>12.58</v>
      </c>
      <c r="M549" s="316">
        <v>0.86</v>
      </c>
      <c r="N549" s="316">
        <v>54.77</v>
      </c>
      <c r="O549" s="316">
        <v>68.209999999999994</v>
      </c>
      <c r="P549" s="317">
        <v>1.1730726361554504E-4</v>
      </c>
    </row>
    <row r="550" spans="1:16" ht="36" customHeight="1" x14ac:dyDescent="0.4">
      <c r="A550" s="313" t="s">
        <v>2746</v>
      </c>
      <c r="B550" s="313">
        <v>89692</v>
      </c>
      <c r="C550" s="313" t="s">
        <v>395</v>
      </c>
      <c r="D550" s="313" t="s">
        <v>6000</v>
      </c>
      <c r="E550" s="314" t="s">
        <v>4</v>
      </c>
      <c r="F550" s="315">
        <v>1</v>
      </c>
      <c r="G550" s="316">
        <v>112.17</v>
      </c>
      <c r="H550" s="316">
        <v>17.37</v>
      </c>
      <c r="I550" s="316">
        <v>1.18</v>
      </c>
      <c r="J550" s="316">
        <v>93.62</v>
      </c>
      <c r="K550" s="316">
        <v>112.17</v>
      </c>
      <c r="L550" s="316">
        <v>17.37</v>
      </c>
      <c r="M550" s="316">
        <v>1.18</v>
      </c>
      <c r="N550" s="316">
        <v>93.62</v>
      </c>
      <c r="O550" s="316">
        <v>112.17</v>
      </c>
      <c r="P550" s="317">
        <v>1.9290948189056863E-4</v>
      </c>
    </row>
    <row r="551" spans="1:16" ht="36" customHeight="1" x14ac:dyDescent="0.4">
      <c r="A551" s="313" t="s">
        <v>2747</v>
      </c>
      <c r="B551" s="313">
        <v>89690</v>
      </c>
      <c r="C551" s="313" t="s">
        <v>395</v>
      </c>
      <c r="D551" s="313" t="s">
        <v>6001</v>
      </c>
      <c r="E551" s="314" t="s">
        <v>4</v>
      </c>
      <c r="F551" s="315">
        <v>1</v>
      </c>
      <c r="G551" s="316">
        <v>100.76</v>
      </c>
      <c r="H551" s="316">
        <v>19.760000000000002</v>
      </c>
      <c r="I551" s="316">
        <v>1.36</v>
      </c>
      <c r="J551" s="316">
        <v>79.64</v>
      </c>
      <c r="K551" s="316">
        <v>100.76</v>
      </c>
      <c r="L551" s="316">
        <v>19.760000000000002</v>
      </c>
      <c r="M551" s="316">
        <v>1.36</v>
      </c>
      <c r="N551" s="316">
        <v>79.64</v>
      </c>
      <c r="O551" s="316">
        <v>100.76</v>
      </c>
      <c r="P551" s="317">
        <v>1.7328661313447175E-4</v>
      </c>
    </row>
    <row r="552" spans="1:16" ht="48" customHeight="1" x14ac:dyDescent="0.4">
      <c r="A552" s="313" t="s">
        <v>2749</v>
      </c>
      <c r="B552" s="313">
        <v>89699</v>
      </c>
      <c r="C552" s="313" t="s">
        <v>395</v>
      </c>
      <c r="D552" s="313" t="s">
        <v>6002</v>
      </c>
      <c r="E552" s="314" t="s">
        <v>4</v>
      </c>
      <c r="F552" s="315">
        <v>1</v>
      </c>
      <c r="G552" s="316">
        <v>217.76</v>
      </c>
      <c r="H552" s="316">
        <v>29.34</v>
      </c>
      <c r="I552" s="316">
        <v>2</v>
      </c>
      <c r="J552" s="316">
        <v>186.42</v>
      </c>
      <c r="K552" s="316">
        <v>217.76</v>
      </c>
      <c r="L552" s="316">
        <v>29.34</v>
      </c>
      <c r="M552" s="316">
        <v>2</v>
      </c>
      <c r="N552" s="316">
        <v>186.42</v>
      </c>
      <c r="O552" s="316">
        <v>217.76</v>
      </c>
      <c r="P552" s="317">
        <v>3.7450270817946177E-4</v>
      </c>
    </row>
    <row r="553" spans="1:16" ht="48" customHeight="1" x14ac:dyDescent="0.4">
      <c r="A553" s="313" t="s">
        <v>2750</v>
      </c>
      <c r="B553" s="313">
        <v>89698</v>
      </c>
      <c r="C553" s="313" t="s">
        <v>395</v>
      </c>
      <c r="D553" s="313" t="s">
        <v>6003</v>
      </c>
      <c r="E553" s="314" t="s">
        <v>4</v>
      </c>
      <c r="F553" s="315">
        <v>1</v>
      </c>
      <c r="G553" s="316">
        <v>286.17</v>
      </c>
      <c r="H553" s="316">
        <v>34.130000000000003</v>
      </c>
      <c r="I553" s="316">
        <v>2.34</v>
      </c>
      <c r="J553" s="316">
        <v>249.7</v>
      </c>
      <c r="K553" s="316">
        <v>286.17</v>
      </c>
      <c r="L553" s="316">
        <v>34.130000000000003</v>
      </c>
      <c r="M553" s="316">
        <v>2.34</v>
      </c>
      <c r="N553" s="316">
        <v>249.7</v>
      </c>
      <c r="O553" s="316">
        <v>286.17</v>
      </c>
      <c r="P553" s="317">
        <v>4.9215393093183591E-4</v>
      </c>
    </row>
    <row r="554" spans="1:16" ht="48" customHeight="1" x14ac:dyDescent="0.4">
      <c r="A554" s="313" t="s">
        <v>2751</v>
      </c>
      <c r="B554" s="313">
        <v>89687</v>
      </c>
      <c r="C554" s="313" t="s">
        <v>395</v>
      </c>
      <c r="D554" s="313" t="s">
        <v>6004</v>
      </c>
      <c r="E554" s="314" t="s">
        <v>4</v>
      </c>
      <c r="F554" s="315">
        <v>1</v>
      </c>
      <c r="G554" s="316">
        <v>59.4</v>
      </c>
      <c r="H554" s="316">
        <v>12.58</v>
      </c>
      <c r="I554" s="316">
        <v>0.86</v>
      </c>
      <c r="J554" s="316">
        <v>45.96</v>
      </c>
      <c r="K554" s="316">
        <v>59.4</v>
      </c>
      <c r="L554" s="316">
        <v>12.58</v>
      </c>
      <c r="M554" s="316">
        <v>0.86</v>
      </c>
      <c r="N554" s="316">
        <v>45.96</v>
      </c>
      <c r="O554" s="316">
        <v>59.4</v>
      </c>
      <c r="P554" s="317">
        <v>1.021558636382257E-4</v>
      </c>
    </row>
    <row r="555" spans="1:16" ht="24" customHeight="1" x14ac:dyDescent="0.4">
      <c r="A555" s="313" t="s">
        <v>2752</v>
      </c>
      <c r="B555" s="313">
        <v>89693</v>
      </c>
      <c r="C555" s="313" t="s">
        <v>395</v>
      </c>
      <c r="D555" s="313" t="s">
        <v>6005</v>
      </c>
      <c r="E555" s="314" t="s">
        <v>4</v>
      </c>
      <c r="F555" s="315">
        <v>1</v>
      </c>
      <c r="G555" s="316">
        <v>89.67</v>
      </c>
      <c r="H555" s="316">
        <v>19.760000000000002</v>
      </c>
      <c r="I555" s="316">
        <v>1.36</v>
      </c>
      <c r="J555" s="316">
        <v>68.55</v>
      </c>
      <c r="K555" s="316">
        <v>89.67</v>
      </c>
      <c r="L555" s="316">
        <v>19.760000000000002</v>
      </c>
      <c r="M555" s="316">
        <v>1.36</v>
      </c>
      <c r="N555" s="316">
        <v>68.55</v>
      </c>
      <c r="O555" s="316">
        <v>89.67</v>
      </c>
      <c r="P555" s="317">
        <v>1.5421407899730133E-4</v>
      </c>
    </row>
    <row r="556" spans="1:16" ht="36" customHeight="1" x14ac:dyDescent="0.4">
      <c r="A556" s="313" t="s">
        <v>2753</v>
      </c>
      <c r="B556" s="313">
        <v>89599</v>
      </c>
      <c r="C556" s="313" t="s">
        <v>395</v>
      </c>
      <c r="D556" s="313" t="s">
        <v>6006</v>
      </c>
      <c r="E556" s="314" t="s">
        <v>4</v>
      </c>
      <c r="F556" s="315">
        <v>1</v>
      </c>
      <c r="G556" s="316">
        <v>28.78</v>
      </c>
      <c r="H556" s="316">
        <v>6.29</v>
      </c>
      <c r="I556" s="316">
        <v>0.44</v>
      </c>
      <c r="J556" s="316">
        <v>22.05</v>
      </c>
      <c r="K556" s="316">
        <v>28.78</v>
      </c>
      <c r="L556" s="316">
        <v>6.29</v>
      </c>
      <c r="M556" s="316">
        <v>0.44</v>
      </c>
      <c r="N556" s="316">
        <v>22.05</v>
      </c>
      <c r="O556" s="316">
        <v>28.78</v>
      </c>
      <c r="P556" s="317">
        <v>4.9495719789699259E-5</v>
      </c>
    </row>
    <row r="557" spans="1:16" ht="24" customHeight="1" x14ac:dyDescent="0.4">
      <c r="A557" s="313" t="s">
        <v>2754</v>
      </c>
      <c r="B557" s="313">
        <v>89669</v>
      </c>
      <c r="C557" s="313" t="s">
        <v>395</v>
      </c>
      <c r="D557" s="313" t="s">
        <v>6007</v>
      </c>
      <c r="E557" s="314" t="s">
        <v>4</v>
      </c>
      <c r="F557" s="315">
        <v>1</v>
      </c>
      <c r="G557" s="316">
        <v>38.909999999999997</v>
      </c>
      <c r="H557" s="316">
        <v>9.8800000000000008</v>
      </c>
      <c r="I557" s="316">
        <v>0.68</v>
      </c>
      <c r="J557" s="316">
        <v>28.35</v>
      </c>
      <c r="K557" s="316">
        <v>38.909999999999997</v>
      </c>
      <c r="L557" s="316">
        <v>9.8800000000000008</v>
      </c>
      <c r="M557" s="316">
        <v>0.68</v>
      </c>
      <c r="N557" s="316">
        <v>28.35</v>
      </c>
      <c r="O557" s="316">
        <v>38.909999999999997</v>
      </c>
      <c r="P557" s="317">
        <v>6.6917250070090269E-5</v>
      </c>
    </row>
    <row r="558" spans="1:16" ht="24" customHeight="1" x14ac:dyDescent="0.4">
      <c r="A558" s="313" t="s">
        <v>2755</v>
      </c>
      <c r="B558" s="313">
        <v>95693</v>
      </c>
      <c r="C558" s="313" t="s">
        <v>395</v>
      </c>
      <c r="D558" s="313" t="s">
        <v>6008</v>
      </c>
      <c r="E558" s="314" t="s">
        <v>4</v>
      </c>
      <c r="F558" s="315">
        <v>1</v>
      </c>
      <c r="G558" s="316">
        <v>59.62</v>
      </c>
      <c r="H558" s="316">
        <v>13.05</v>
      </c>
      <c r="I558" s="316">
        <v>0.9</v>
      </c>
      <c r="J558" s="316">
        <v>45.67</v>
      </c>
      <c r="K558" s="316">
        <v>59.62</v>
      </c>
      <c r="L558" s="316">
        <v>13.05</v>
      </c>
      <c r="M558" s="316">
        <v>0.9</v>
      </c>
      <c r="N558" s="316">
        <v>45.67</v>
      </c>
      <c r="O558" s="316">
        <v>59.62</v>
      </c>
      <c r="P558" s="317">
        <v>1.0253421868873766E-4</v>
      </c>
    </row>
    <row r="559" spans="1:16" ht="24" customHeight="1" x14ac:dyDescent="0.4">
      <c r="A559" s="313" t="s">
        <v>2760</v>
      </c>
      <c r="B559" s="313">
        <v>89673</v>
      </c>
      <c r="C559" s="313" t="s">
        <v>395</v>
      </c>
      <c r="D559" s="313" t="s">
        <v>6009</v>
      </c>
      <c r="E559" s="314" t="s">
        <v>4</v>
      </c>
      <c r="F559" s="315">
        <v>1</v>
      </c>
      <c r="G559" s="316">
        <v>39.93</v>
      </c>
      <c r="H559" s="316">
        <v>8.08</v>
      </c>
      <c r="I559" s="316">
        <v>0.56000000000000005</v>
      </c>
      <c r="J559" s="316">
        <v>31.29</v>
      </c>
      <c r="K559" s="316">
        <v>39.93</v>
      </c>
      <c r="L559" s="316">
        <v>8.08</v>
      </c>
      <c r="M559" s="316">
        <v>0.56000000000000005</v>
      </c>
      <c r="N559" s="316">
        <v>31.29</v>
      </c>
      <c r="O559" s="316">
        <v>39.93</v>
      </c>
      <c r="P559" s="317">
        <v>6.8671441667918391E-5</v>
      </c>
    </row>
    <row r="560" spans="1:16" ht="24" customHeight="1" x14ac:dyDescent="0.4">
      <c r="A560" s="313" t="s">
        <v>2762</v>
      </c>
      <c r="B560" s="313">
        <v>89681</v>
      </c>
      <c r="C560" s="313" t="s">
        <v>395</v>
      </c>
      <c r="D560" s="313" t="s">
        <v>6010</v>
      </c>
      <c r="E560" s="314" t="s">
        <v>4</v>
      </c>
      <c r="F560" s="315">
        <v>1</v>
      </c>
      <c r="G560" s="316">
        <v>97.58</v>
      </c>
      <c r="H560" s="316">
        <v>13.48</v>
      </c>
      <c r="I560" s="316">
        <v>0.92</v>
      </c>
      <c r="J560" s="316">
        <v>83.18</v>
      </c>
      <c r="K560" s="316">
        <v>97.58</v>
      </c>
      <c r="L560" s="316">
        <v>13.48</v>
      </c>
      <c r="M560" s="316">
        <v>0.92</v>
      </c>
      <c r="N560" s="316">
        <v>83.18</v>
      </c>
      <c r="O560" s="316">
        <v>97.58</v>
      </c>
      <c r="P560" s="317">
        <v>1.6781766285888997E-4</v>
      </c>
    </row>
    <row r="561" spans="1:16" ht="36" customHeight="1" x14ac:dyDescent="0.4">
      <c r="A561" s="313" t="s">
        <v>2764</v>
      </c>
      <c r="B561" s="313">
        <v>89681</v>
      </c>
      <c r="C561" s="313" t="s">
        <v>395</v>
      </c>
      <c r="D561" s="313" t="s">
        <v>6010</v>
      </c>
      <c r="E561" s="314" t="s">
        <v>4</v>
      </c>
      <c r="F561" s="315">
        <v>1</v>
      </c>
      <c r="G561" s="316">
        <v>97.58</v>
      </c>
      <c r="H561" s="316">
        <v>13.48</v>
      </c>
      <c r="I561" s="316">
        <v>0.92</v>
      </c>
      <c r="J561" s="316">
        <v>83.18</v>
      </c>
      <c r="K561" s="316">
        <v>97.58</v>
      </c>
      <c r="L561" s="316">
        <v>13.48</v>
      </c>
      <c r="M561" s="316">
        <v>0.92</v>
      </c>
      <c r="N561" s="316">
        <v>83.18</v>
      </c>
      <c r="O561" s="316">
        <v>97.58</v>
      </c>
      <c r="P561" s="317">
        <v>1.6781766285888997E-4</v>
      </c>
    </row>
    <row r="562" spans="1:16" ht="36" customHeight="1" x14ac:dyDescent="0.4">
      <c r="A562" s="313" t="s">
        <v>2766</v>
      </c>
      <c r="B562" s="313">
        <v>4763</v>
      </c>
      <c r="C562" s="313" t="s">
        <v>420</v>
      </c>
      <c r="D562" s="313" t="s">
        <v>1890</v>
      </c>
      <c r="E562" s="314" t="s">
        <v>422</v>
      </c>
      <c r="F562" s="315">
        <v>1</v>
      </c>
      <c r="G562" s="316">
        <v>66.61</v>
      </c>
      <c r="H562" s="316">
        <v>4.32</v>
      </c>
      <c r="I562" s="316">
        <v>0</v>
      </c>
      <c r="J562" s="316">
        <v>62.29</v>
      </c>
      <c r="K562" s="316">
        <v>66.61</v>
      </c>
      <c r="L562" s="316">
        <v>4.32</v>
      </c>
      <c r="M562" s="316">
        <v>0</v>
      </c>
      <c r="N562" s="316">
        <v>62.29</v>
      </c>
      <c r="O562" s="316">
        <v>66.61</v>
      </c>
      <c r="P562" s="317">
        <v>1.145555905209127E-4</v>
      </c>
    </row>
    <row r="563" spans="1:16" ht="24" customHeight="1" x14ac:dyDescent="0.4">
      <c r="A563" s="313" t="s">
        <v>2772</v>
      </c>
      <c r="B563" s="313">
        <v>93590</v>
      </c>
      <c r="C563" s="313" t="s">
        <v>395</v>
      </c>
      <c r="D563" s="313" t="s">
        <v>5912</v>
      </c>
      <c r="E563" s="314" t="s">
        <v>120</v>
      </c>
      <c r="F563" s="315">
        <v>1</v>
      </c>
      <c r="G563" s="316">
        <v>1.23</v>
      </c>
      <c r="H563" s="316">
        <v>0.23</v>
      </c>
      <c r="I563" s="316">
        <v>0.35</v>
      </c>
      <c r="J563" s="316">
        <v>0.65</v>
      </c>
      <c r="K563" s="316">
        <v>1.23</v>
      </c>
      <c r="L563" s="316">
        <v>0.23</v>
      </c>
      <c r="M563" s="316">
        <v>0.35</v>
      </c>
      <c r="N563" s="316">
        <v>0.65</v>
      </c>
      <c r="O563" s="316">
        <v>1.23</v>
      </c>
      <c r="P563" s="317">
        <v>2.1153486914986132E-6</v>
      </c>
    </row>
    <row r="564" spans="1:16" ht="24" customHeight="1" x14ac:dyDescent="0.4">
      <c r="A564" s="313" t="s">
        <v>2774</v>
      </c>
      <c r="B564" s="313">
        <v>636</v>
      </c>
      <c r="C564" s="313" t="s">
        <v>575</v>
      </c>
      <c r="D564" s="313" t="s">
        <v>2083</v>
      </c>
      <c r="E564" s="314" t="s">
        <v>4</v>
      </c>
      <c r="F564" s="315">
        <v>1</v>
      </c>
      <c r="G564" s="316">
        <v>563.92999999999995</v>
      </c>
      <c r="H564" s="316">
        <v>46.44</v>
      </c>
      <c r="I564" s="316">
        <v>3.18</v>
      </c>
      <c r="J564" s="316">
        <v>514.30999999999995</v>
      </c>
      <c r="K564" s="316">
        <v>563.92999999999995</v>
      </c>
      <c r="L564" s="316">
        <v>46.44</v>
      </c>
      <c r="M564" s="316">
        <v>3.18</v>
      </c>
      <c r="N564" s="316">
        <v>514.30999999999995</v>
      </c>
      <c r="O564" s="316">
        <v>563.92999999999995</v>
      </c>
      <c r="P564" s="317">
        <v>9.6984438016001044E-4</v>
      </c>
    </row>
    <row r="565" spans="1:16" ht="24" customHeight="1" x14ac:dyDescent="0.4">
      <c r="A565" s="313" t="s">
        <v>2776</v>
      </c>
      <c r="B565" s="313">
        <v>637</v>
      </c>
      <c r="C565" s="313" t="s">
        <v>575</v>
      </c>
      <c r="D565" s="313" t="s">
        <v>2085</v>
      </c>
      <c r="E565" s="314" t="s">
        <v>4</v>
      </c>
      <c r="F565" s="315">
        <v>1</v>
      </c>
      <c r="G565" s="316">
        <v>661.93</v>
      </c>
      <c r="H565" s="316">
        <v>46.44</v>
      </c>
      <c r="I565" s="316">
        <v>3.18</v>
      </c>
      <c r="J565" s="316">
        <v>612.30999999999995</v>
      </c>
      <c r="K565" s="316">
        <v>661.93</v>
      </c>
      <c r="L565" s="316">
        <v>46.44</v>
      </c>
      <c r="M565" s="316">
        <v>3.18</v>
      </c>
      <c r="N565" s="316">
        <v>612.30999999999995</v>
      </c>
      <c r="O565" s="316">
        <v>661.93</v>
      </c>
      <c r="P565" s="317">
        <v>1.1383843572062415E-3</v>
      </c>
    </row>
    <row r="566" spans="1:16" ht="24" customHeight="1" x14ac:dyDescent="0.4">
      <c r="A566" s="313" t="s">
        <v>2868</v>
      </c>
      <c r="B566" s="313">
        <v>638</v>
      </c>
      <c r="C566" s="313" t="s">
        <v>575</v>
      </c>
      <c r="D566" s="313" t="s">
        <v>2080</v>
      </c>
      <c r="E566" s="314" t="s">
        <v>4</v>
      </c>
      <c r="F566" s="315">
        <v>1</v>
      </c>
      <c r="G566" s="316">
        <v>749.77</v>
      </c>
      <c r="H566" s="316">
        <v>46.44</v>
      </c>
      <c r="I566" s="316">
        <v>3.18</v>
      </c>
      <c r="J566" s="316">
        <v>700.15</v>
      </c>
      <c r="K566" s="316">
        <v>749.77</v>
      </c>
      <c r="L566" s="316">
        <v>46.44</v>
      </c>
      <c r="M566" s="316">
        <v>3.18</v>
      </c>
      <c r="N566" s="316">
        <v>700.15</v>
      </c>
      <c r="O566" s="316">
        <v>749.77</v>
      </c>
      <c r="P566" s="317">
        <v>1.2894512101015571E-3</v>
      </c>
    </row>
    <row r="567" spans="1:16" ht="24" customHeight="1" x14ac:dyDescent="0.4">
      <c r="A567" s="313" t="s">
        <v>2869</v>
      </c>
      <c r="B567" s="313">
        <v>639</v>
      </c>
      <c r="C567" s="313" t="s">
        <v>575</v>
      </c>
      <c r="D567" s="313" t="s">
        <v>1873</v>
      </c>
      <c r="E567" s="314" t="s">
        <v>4</v>
      </c>
      <c r="F567" s="315">
        <v>1</v>
      </c>
      <c r="G567" s="316">
        <v>212.05</v>
      </c>
      <c r="H567" s="316">
        <v>5.97</v>
      </c>
      <c r="I567" s="316">
        <v>0.4</v>
      </c>
      <c r="J567" s="316">
        <v>205.68</v>
      </c>
      <c r="K567" s="316">
        <v>212.05</v>
      </c>
      <c r="L567" s="316">
        <v>5.97</v>
      </c>
      <c r="M567" s="316">
        <v>0.4</v>
      </c>
      <c r="N567" s="316">
        <v>205.68</v>
      </c>
      <c r="O567" s="316">
        <v>212.05</v>
      </c>
      <c r="P567" s="317">
        <v>3.6468267482299259E-4</v>
      </c>
    </row>
    <row r="568" spans="1:16" ht="24" customHeight="1" x14ac:dyDescent="0.4">
      <c r="A568" s="313" t="s">
        <v>2870</v>
      </c>
      <c r="B568" s="313">
        <v>96683</v>
      </c>
      <c r="C568" s="313" t="s">
        <v>395</v>
      </c>
      <c r="D568" s="313" t="s">
        <v>6011</v>
      </c>
      <c r="E568" s="314" t="s">
        <v>7</v>
      </c>
      <c r="F568" s="315">
        <v>1</v>
      </c>
      <c r="G568" s="316">
        <v>347.55</v>
      </c>
      <c r="H568" s="316">
        <v>26.12</v>
      </c>
      <c r="I568" s="316">
        <v>1.78</v>
      </c>
      <c r="J568" s="316">
        <v>319.64999999999998</v>
      </c>
      <c r="K568" s="316">
        <v>347.55</v>
      </c>
      <c r="L568" s="316">
        <v>26.12</v>
      </c>
      <c r="M568" s="316">
        <v>1.78</v>
      </c>
      <c r="N568" s="316">
        <v>319.64999999999998</v>
      </c>
      <c r="O568" s="316">
        <v>347.55</v>
      </c>
      <c r="P568" s="317">
        <v>5.9771499002466907E-4</v>
      </c>
    </row>
    <row r="569" spans="1:16" ht="24" customHeight="1" x14ac:dyDescent="0.4">
      <c r="A569" s="313" t="s">
        <v>2871</v>
      </c>
      <c r="B569" s="313">
        <v>96697</v>
      </c>
      <c r="C569" s="313" t="s">
        <v>395</v>
      </c>
      <c r="D569" s="313" t="s">
        <v>6012</v>
      </c>
      <c r="E569" s="314" t="s">
        <v>4</v>
      </c>
      <c r="F569" s="315">
        <v>1</v>
      </c>
      <c r="G569" s="316">
        <v>387.43</v>
      </c>
      <c r="H569" s="316">
        <v>34.46</v>
      </c>
      <c r="I569" s="316">
        <v>2.36</v>
      </c>
      <c r="J569" s="316">
        <v>350.61</v>
      </c>
      <c r="K569" s="316">
        <v>387.43</v>
      </c>
      <c r="L569" s="316">
        <v>34.46</v>
      </c>
      <c r="M569" s="316">
        <v>2.36</v>
      </c>
      <c r="N569" s="316">
        <v>350.61</v>
      </c>
      <c r="O569" s="316">
        <v>387.43</v>
      </c>
      <c r="P569" s="317">
        <v>6.6630044190838021E-4</v>
      </c>
    </row>
    <row r="570" spans="1:16" ht="24" customHeight="1" x14ac:dyDescent="0.4">
      <c r="A570" s="313" t="s">
        <v>2872</v>
      </c>
      <c r="B570" s="313">
        <v>641</v>
      </c>
      <c r="C570" s="313" t="s">
        <v>575</v>
      </c>
      <c r="D570" s="313" t="s">
        <v>2081</v>
      </c>
      <c r="E570" s="314" t="s">
        <v>422</v>
      </c>
      <c r="F570" s="315">
        <v>1</v>
      </c>
      <c r="G570" s="316">
        <v>659.61</v>
      </c>
      <c r="H570" s="316">
        <v>173.08</v>
      </c>
      <c r="I570" s="316">
        <v>14.88</v>
      </c>
      <c r="J570" s="316">
        <v>471.65</v>
      </c>
      <c r="K570" s="316">
        <v>659.61</v>
      </c>
      <c r="L570" s="316">
        <v>173.08</v>
      </c>
      <c r="M570" s="316">
        <v>14.88</v>
      </c>
      <c r="N570" s="316">
        <v>471.65</v>
      </c>
      <c r="O570" s="316">
        <v>659.61</v>
      </c>
      <c r="P570" s="317">
        <v>1.1343944312190246E-3</v>
      </c>
    </row>
    <row r="571" spans="1:16" ht="24" customHeight="1" x14ac:dyDescent="0.4">
      <c r="A571" s="313" t="s">
        <v>2874</v>
      </c>
      <c r="B571" s="313">
        <v>276</v>
      </c>
      <c r="C571" s="313" t="s">
        <v>575</v>
      </c>
      <c r="D571" s="313" t="s">
        <v>578</v>
      </c>
      <c r="E571" s="314" t="s">
        <v>437</v>
      </c>
      <c r="F571" s="315">
        <v>1</v>
      </c>
      <c r="G571" s="316">
        <v>26.85</v>
      </c>
      <c r="H571" s="316">
        <v>6.5</v>
      </c>
      <c r="I571" s="316">
        <v>0.5</v>
      </c>
      <c r="J571" s="316">
        <v>19.850000000000001</v>
      </c>
      <c r="K571" s="316">
        <v>26.85</v>
      </c>
      <c r="L571" s="316">
        <v>6.5</v>
      </c>
      <c r="M571" s="316">
        <v>0.5</v>
      </c>
      <c r="N571" s="316">
        <v>19.850000000000001</v>
      </c>
      <c r="O571" s="316">
        <v>26.85</v>
      </c>
      <c r="P571" s="317">
        <v>4.6176514119298992E-5</v>
      </c>
    </row>
    <row r="572" spans="1:16" ht="24" customHeight="1" x14ac:dyDescent="0.4">
      <c r="A572" s="313" t="s">
        <v>2875</v>
      </c>
      <c r="B572" s="313">
        <v>275</v>
      </c>
      <c r="C572" s="313" t="s">
        <v>575</v>
      </c>
      <c r="D572" s="313" t="s">
        <v>577</v>
      </c>
      <c r="E572" s="314" t="s">
        <v>4</v>
      </c>
      <c r="F572" s="315">
        <v>1</v>
      </c>
      <c r="G572" s="316">
        <v>1075.9100000000001</v>
      </c>
      <c r="H572" s="316">
        <v>37.96</v>
      </c>
      <c r="I572" s="316">
        <v>1.68</v>
      </c>
      <c r="J572" s="316">
        <v>1036.27</v>
      </c>
      <c r="K572" s="316">
        <v>1075.9100000000001</v>
      </c>
      <c r="L572" s="316">
        <v>37.96</v>
      </c>
      <c r="M572" s="316">
        <v>1.68</v>
      </c>
      <c r="N572" s="316">
        <v>1036.27</v>
      </c>
      <c r="O572" s="316">
        <v>1075.9100000000001</v>
      </c>
      <c r="P572" s="317">
        <v>1.8503453745286772E-3</v>
      </c>
    </row>
    <row r="573" spans="1:16" ht="24" customHeight="1" x14ac:dyDescent="0.4">
      <c r="A573" s="313" t="s">
        <v>2876</v>
      </c>
      <c r="B573" s="313">
        <v>272</v>
      </c>
      <c r="C573" s="313" t="s">
        <v>575</v>
      </c>
      <c r="D573" s="313" t="s">
        <v>576</v>
      </c>
      <c r="E573" s="314" t="s">
        <v>4</v>
      </c>
      <c r="F573" s="315">
        <v>1</v>
      </c>
      <c r="G573" s="316">
        <v>769</v>
      </c>
      <c r="H573" s="316">
        <v>81.7</v>
      </c>
      <c r="I573" s="316">
        <v>7.06</v>
      </c>
      <c r="J573" s="316">
        <v>680.24</v>
      </c>
      <c r="K573" s="316">
        <v>769</v>
      </c>
      <c r="L573" s="316">
        <v>81.7</v>
      </c>
      <c r="M573" s="316">
        <v>7.06</v>
      </c>
      <c r="N573" s="316">
        <v>680.24</v>
      </c>
      <c r="O573" s="316">
        <v>769</v>
      </c>
      <c r="P573" s="317">
        <v>1.3225228811076695E-3</v>
      </c>
    </row>
    <row r="574" spans="1:16" ht="48" customHeight="1" x14ac:dyDescent="0.4">
      <c r="A574" s="313" t="s">
        <v>2877</v>
      </c>
      <c r="B574" s="313" t="s">
        <v>2904</v>
      </c>
      <c r="C574" s="313" t="s">
        <v>2616</v>
      </c>
      <c r="D574" s="313" t="s">
        <v>6013</v>
      </c>
      <c r="E574" s="314" t="s">
        <v>4</v>
      </c>
      <c r="F574" s="315">
        <v>1</v>
      </c>
      <c r="G574" s="316">
        <v>3613.64</v>
      </c>
      <c r="H574" s="316">
        <v>273.16000000000003</v>
      </c>
      <c r="I574" s="316">
        <v>3084.17</v>
      </c>
      <c r="J574" s="316">
        <v>256.31</v>
      </c>
      <c r="K574" s="316">
        <v>3613.64</v>
      </c>
      <c r="L574" s="316">
        <v>273.16000000000003</v>
      </c>
      <c r="M574" s="316">
        <v>3084.17</v>
      </c>
      <c r="N574" s="316">
        <v>256.31</v>
      </c>
      <c r="O574" s="316">
        <v>3613.64</v>
      </c>
      <c r="P574" s="317">
        <v>6.2147224760545107E-3</v>
      </c>
    </row>
    <row r="575" spans="1:16" ht="48" customHeight="1" x14ac:dyDescent="0.4">
      <c r="A575" s="313" t="s">
        <v>2879</v>
      </c>
      <c r="B575" s="313" t="s">
        <v>1881</v>
      </c>
      <c r="C575" s="313" t="s">
        <v>5902</v>
      </c>
      <c r="D575" s="313" t="s">
        <v>2472</v>
      </c>
      <c r="E575" s="314" t="s">
        <v>4</v>
      </c>
      <c r="F575" s="315">
        <v>1</v>
      </c>
      <c r="G575" s="316">
        <v>13.78</v>
      </c>
      <c r="H575" s="316">
        <v>3.35</v>
      </c>
      <c r="I575" s="316">
        <v>0</v>
      </c>
      <c r="J575" s="316">
        <v>10.43</v>
      </c>
      <c r="K575" s="316">
        <v>13.78</v>
      </c>
      <c r="L575" s="316">
        <v>3.35</v>
      </c>
      <c r="M575" s="316">
        <v>0</v>
      </c>
      <c r="N575" s="316">
        <v>10.43</v>
      </c>
      <c r="O575" s="316">
        <v>13.78</v>
      </c>
      <c r="P575" s="317">
        <v>2.3698784527521048E-5</v>
      </c>
    </row>
    <row r="576" spans="1:16" ht="48" customHeight="1" x14ac:dyDescent="0.4">
      <c r="A576" s="313" t="s">
        <v>2881</v>
      </c>
      <c r="B576" s="313" t="s">
        <v>1882</v>
      </c>
      <c r="C576" s="313" t="s">
        <v>5902</v>
      </c>
      <c r="D576" s="313" t="s">
        <v>2474</v>
      </c>
      <c r="E576" s="314" t="s">
        <v>4</v>
      </c>
      <c r="F576" s="315">
        <v>1</v>
      </c>
      <c r="G576" s="316">
        <v>16</v>
      </c>
      <c r="H576" s="316">
        <v>3.35</v>
      </c>
      <c r="I576" s="316">
        <v>0</v>
      </c>
      <c r="J576" s="316">
        <v>12.65</v>
      </c>
      <c r="K576" s="316">
        <v>16</v>
      </c>
      <c r="L576" s="316">
        <v>3.35</v>
      </c>
      <c r="M576" s="316">
        <v>0</v>
      </c>
      <c r="N576" s="316">
        <v>12.65</v>
      </c>
      <c r="O576" s="316">
        <v>16</v>
      </c>
      <c r="P576" s="317">
        <v>2.7516730946323422E-5</v>
      </c>
    </row>
    <row r="577" spans="1:16" ht="48" customHeight="1" x14ac:dyDescent="0.4">
      <c r="A577" s="313" t="s">
        <v>2882</v>
      </c>
      <c r="B577" s="313" t="s">
        <v>1883</v>
      </c>
      <c r="C577" s="313" t="s">
        <v>5902</v>
      </c>
      <c r="D577" s="313" t="s">
        <v>2476</v>
      </c>
      <c r="E577" s="314" t="s">
        <v>4</v>
      </c>
      <c r="F577" s="315">
        <v>1</v>
      </c>
      <c r="G577" s="316">
        <v>34.96</v>
      </c>
      <c r="H577" s="316">
        <v>3.35</v>
      </c>
      <c r="I577" s="316">
        <v>0</v>
      </c>
      <c r="J577" s="316">
        <v>31.61</v>
      </c>
      <c r="K577" s="316">
        <v>34.96</v>
      </c>
      <c r="L577" s="316">
        <v>3.35</v>
      </c>
      <c r="M577" s="316">
        <v>0</v>
      </c>
      <c r="N577" s="316">
        <v>31.61</v>
      </c>
      <c r="O577" s="316">
        <v>34.96</v>
      </c>
      <c r="P577" s="317">
        <v>6.012405711771668E-5</v>
      </c>
    </row>
    <row r="578" spans="1:16" ht="48" customHeight="1" x14ac:dyDescent="0.4">
      <c r="A578" s="313" t="s">
        <v>2883</v>
      </c>
      <c r="B578" s="313" t="s">
        <v>1884</v>
      </c>
      <c r="C578" s="313" t="s">
        <v>5902</v>
      </c>
      <c r="D578" s="313" t="s">
        <v>1876</v>
      </c>
      <c r="E578" s="314" t="s">
        <v>4</v>
      </c>
      <c r="F578" s="315">
        <v>1</v>
      </c>
      <c r="G578" s="316">
        <v>485.24</v>
      </c>
      <c r="H578" s="316">
        <v>75.53</v>
      </c>
      <c r="I578" s="316">
        <v>0</v>
      </c>
      <c r="J578" s="316">
        <v>409.71</v>
      </c>
      <c r="K578" s="316">
        <v>485.24</v>
      </c>
      <c r="L578" s="316">
        <v>75.53</v>
      </c>
      <c r="M578" s="316">
        <v>0</v>
      </c>
      <c r="N578" s="316">
        <v>409.71</v>
      </c>
      <c r="O578" s="316">
        <v>485.24</v>
      </c>
      <c r="P578" s="317">
        <v>8.3451365777462356E-4</v>
      </c>
    </row>
    <row r="579" spans="1:16" ht="48" customHeight="1" x14ac:dyDescent="0.4">
      <c r="A579" s="313" t="s">
        <v>2884</v>
      </c>
      <c r="B579" s="313">
        <v>604</v>
      </c>
      <c r="C579" s="313" t="s">
        <v>575</v>
      </c>
      <c r="D579" s="313" t="s">
        <v>1878</v>
      </c>
      <c r="E579" s="314" t="s">
        <v>4</v>
      </c>
      <c r="F579" s="315">
        <v>1</v>
      </c>
      <c r="G579" s="316">
        <v>804.53</v>
      </c>
      <c r="H579" s="316">
        <v>75.53</v>
      </c>
      <c r="I579" s="316">
        <v>0</v>
      </c>
      <c r="J579" s="316">
        <v>729</v>
      </c>
      <c r="K579" s="316">
        <v>804.53</v>
      </c>
      <c r="L579" s="316">
        <v>75.53</v>
      </c>
      <c r="M579" s="316">
        <v>0</v>
      </c>
      <c r="N579" s="316">
        <v>729</v>
      </c>
      <c r="O579" s="316">
        <v>804.53</v>
      </c>
      <c r="P579" s="317">
        <v>1.383627221765349E-3</v>
      </c>
    </row>
    <row r="580" spans="1:16" ht="36" customHeight="1" x14ac:dyDescent="0.4">
      <c r="A580" s="313" t="s">
        <v>2885</v>
      </c>
      <c r="B580" s="313">
        <v>642</v>
      </c>
      <c r="C580" s="313" t="s">
        <v>575</v>
      </c>
      <c r="D580" s="313" t="s">
        <v>2090</v>
      </c>
      <c r="E580" s="314" t="s">
        <v>4</v>
      </c>
      <c r="F580" s="315">
        <v>1</v>
      </c>
      <c r="G580" s="316">
        <v>1613.35</v>
      </c>
      <c r="H580" s="316">
        <v>391.17</v>
      </c>
      <c r="I580" s="316">
        <v>15.06</v>
      </c>
      <c r="J580" s="316">
        <v>1207.1199999999999</v>
      </c>
      <c r="K580" s="316">
        <v>1613.35</v>
      </c>
      <c r="L580" s="316">
        <v>391.17</v>
      </c>
      <c r="M580" s="316">
        <v>15.06</v>
      </c>
      <c r="N580" s="316">
        <v>1207.1199999999999</v>
      </c>
      <c r="O580" s="316">
        <v>1613.35</v>
      </c>
      <c r="P580" s="317">
        <v>2.7746323670156808E-3</v>
      </c>
    </row>
    <row r="581" spans="1:16" ht="36" customHeight="1" x14ac:dyDescent="0.4">
      <c r="A581" s="313" t="s">
        <v>2886</v>
      </c>
      <c r="B581" s="313">
        <v>94648</v>
      </c>
      <c r="C581" s="313" t="s">
        <v>395</v>
      </c>
      <c r="D581" s="313" t="s">
        <v>6014</v>
      </c>
      <c r="E581" s="314" t="s">
        <v>7</v>
      </c>
      <c r="F581" s="315">
        <v>1</v>
      </c>
      <c r="G581" s="316">
        <v>7.99</v>
      </c>
      <c r="H581" s="316">
        <v>2.52</v>
      </c>
      <c r="I581" s="316">
        <v>0.18</v>
      </c>
      <c r="J581" s="316">
        <v>5.29</v>
      </c>
      <c r="K581" s="316">
        <v>7.99</v>
      </c>
      <c r="L581" s="316">
        <v>2.52</v>
      </c>
      <c r="M581" s="316">
        <v>0.18</v>
      </c>
      <c r="N581" s="316">
        <v>5.29</v>
      </c>
      <c r="O581" s="316">
        <v>7.99</v>
      </c>
      <c r="P581" s="317">
        <v>1.3741167516320259E-5</v>
      </c>
    </row>
    <row r="582" spans="1:16" ht="36" customHeight="1" x14ac:dyDescent="0.4">
      <c r="A582" s="313" t="s">
        <v>2887</v>
      </c>
      <c r="B582" s="313">
        <v>94649</v>
      </c>
      <c r="C582" s="313" t="s">
        <v>395</v>
      </c>
      <c r="D582" s="313" t="s">
        <v>6015</v>
      </c>
      <c r="E582" s="314" t="s">
        <v>7</v>
      </c>
      <c r="F582" s="315">
        <v>1</v>
      </c>
      <c r="G582" s="316">
        <v>14.33</v>
      </c>
      <c r="H582" s="316">
        <v>3.29</v>
      </c>
      <c r="I582" s="316">
        <v>0.22</v>
      </c>
      <c r="J582" s="316">
        <v>10.82</v>
      </c>
      <c r="K582" s="316">
        <v>14.33</v>
      </c>
      <c r="L582" s="316">
        <v>3.29</v>
      </c>
      <c r="M582" s="316">
        <v>0.22</v>
      </c>
      <c r="N582" s="316">
        <v>10.82</v>
      </c>
      <c r="O582" s="316">
        <v>14.33</v>
      </c>
      <c r="P582" s="317">
        <v>2.4644672153800917E-5</v>
      </c>
    </row>
    <row r="583" spans="1:16" ht="36" customHeight="1" x14ac:dyDescent="0.4">
      <c r="A583" s="313" t="s">
        <v>2888</v>
      </c>
      <c r="B583" s="313">
        <v>94650</v>
      </c>
      <c r="C583" s="313" t="s">
        <v>395</v>
      </c>
      <c r="D583" s="313" t="s">
        <v>6016</v>
      </c>
      <c r="E583" s="314" t="s">
        <v>7</v>
      </c>
      <c r="F583" s="315">
        <v>1</v>
      </c>
      <c r="G583" s="316">
        <v>21.45</v>
      </c>
      <c r="H583" s="316">
        <v>4.3899999999999997</v>
      </c>
      <c r="I583" s="316">
        <v>0.3</v>
      </c>
      <c r="J583" s="316">
        <v>16.760000000000002</v>
      </c>
      <c r="K583" s="316">
        <v>21.45</v>
      </c>
      <c r="L583" s="316">
        <v>4.3899999999999997</v>
      </c>
      <c r="M583" s="316">
        <v>0.3</v>
      </c>
      <c r="N583" s="316">
        <v>16.760000000000002</v>
      </c>
      <c r="O583" s="316">
        <v>21.45</v>
      </c>
      <c r="P583" s="317">
        <v>3.6889617424914837E-5</v>
      </c>
    </row>
    <row r="584" spans="1:16" ht="36" customHeight="1" x14ac:dyDescent="0.4">
      <c r="A584" s="313" t="s">
        <v>2889</v>
      </c>
      <c r="B584" s="313">
        <v>94651</v>
      </c>
      <c r="C584" s="313" t="s">
        <v>395</v>
      </c>
      <c r="D584" s="313" t="s">
        <v>6017</v>
      </c>
      <c r="E584" s="314" t="s">
        <v>7</v>
      </c>
      <c r="F584" s="315">
        <v>1</v>
      </c>
      <c r="G584" s="316">
        <v>25.31</v>
      </c>
      <c r="H584" s="316">
        <v>6.13</v>
      </c>
      <c r="I584" s="316">
        <v>0.42</v>
      </c>
      <c r="J584" s="316">
        <v>18.760000000000002</v>
      </c>
      <c r="K584" s="316">
        <v>25.31</v>
      </c>
      <c r="L584" s="316">
        <v>6.13</v>
      </c>
      <c r="M584" s="316">
        <v>0.42</v>
      </c>
      <c r="N584" s="316">
        <v>18.760000000000002</v>
      </c>
      <c r="O584" s="316">
        <v>25.31</v>
      </c>
      <c r="P584" s="317">
        <v>4.3528028765715362E-5</v>
      </c>
    </row>
    <row r="585" spans="1:16" ht="36" customHeight="1" x14ac:dyDescent="0.4">
      <c r="A585" s="313" t="s">
        <v>2890</v>
      </c>
      <c r="B585" s="313">
        <v>94652</v>
      </c>
      <c r="C585" s="313" t="s">
        <v>395</v>
      </c>
      <c r="D585" s="313" t="s">
        <v>6018</v>
      </c>
      <c r="E585" s="314" t="s">
        <v>7</v>
      </c>
      <c r="F585" s="315">
        <v>1</v>
      </c>
      <c r="G585" s="316">
        <v>39.130000000000003</v>
      </c>
      <c r="H585" s="316">
        <v>8.24</v>
      </c>
      <c r="I585" s="316">
        <v>0.56000000000000005</v>
      </c>
      <c r="J585" s="316">
        <v>30.33</v>
      </c>
      <c r="K585" s="316">
        <v>39.130000000000003</v>
      </c>
      <c r="L585" s="316">
        <v>8.24</v>
      </c>
      <c r="M585" s="316">
        <v>0.56000000000000005</v>
      </c>
      <c r="N585" s="316">
        <v>30.33</v>
      </c>
      <c r="O585" s="316">
        <v>39.130000000000003</v>
      </c>
      <c r="P585" s="317">
        <v>6.7295605120602225E-5</v>
      </c>
    </row>
    <row r="586" spans="1:16" ht="36" customHeight="1" x14ac:dyDescent="0.4">
      <c r="A586" s="313" t="s">
        <v>2892</v>
      </c>
      <c r="B586" s="313">
        <v>94654</v>
      </c>
      <c r="C586" s="313" t="s">
        <v>395</v>
      </c>
      <c r="D586" s="313" t="s">
        <v>6019</v>
      </c>
      <c r="E586" s="314" t="s">
        <v>7</v>
      </c>
      <c r="F586" s="315">
        <v>1</v>
      </c>
      <c r="G586" s="316">
        <v>85.07</v>
      </c>
      <c r="H586" s="316">
        <v>15.22</v>
      </c>
      <c r="I586" s="316">
        <v>1.04</v>
      </c>
      <c r="J586" s="316">
        <v>68.81</v>
      </c>
      <c r="K586" s="316">
        <v>85.07</v>
      </c>
      <c r="L586" s="316">
        <v>15.22</v>
      </c>
      <c r="M586" s="316">
        <v>1.04</v>
      </c>
      <c r="N586" s="316">
        <v>68.81</v>
      </c>
      <c r="O586" s="316">
        <v>85.07</v>
      </c>
      <c r="P586" s="317">
        <v>1.4630301885023336E-4</v>
      </c>
    </row>
    <row r="587" spans="1:16" ht="24" customHeight="1" x14ac:dyDescent="0.4">
      <c r="A587" s="313" t="s">
        <v>2895</v>
      </c>
      <c r="B587" s="313">
        <v>89481</v>
      </c>
      <c r="C587" s="313" t="s">
        <v>395</v>
      </c>
      <c r="D587" s="313" t="s">
        <v>6020</v>
      </c>
      <c r="E587" s="314" t="s">
        <v>4</v>
      </c>
      <c r="F587" s="315">
        <v>1</v>
      </c>
      <c r="G587" s="316">
        <v>7.27</v>
      </c>
      <c r="H587" s="316">
        <v>3.84</v>
      </c>
      <c r="I587" s="316">
        <v>0.26</v>
      </c>
      <c r="J587" s="316">
        <v>3.17</v>
      </c>
      <c r="K587" s="316">
        <v>7.27</v>
      </c>
      <c r="L587" s="316">
        <v>3.84</v>
      </c>
      <c r="M587" s="316">
        <v>0.26</v>
      </c>
      <c r="N587" s="316">
        <v>3.17</v>
      </c>
      <c r="O587" s="316">
        <v>7.27</v>
      </c>
      <c r="P587" s="317">
        <v>1.2502914623735704E-5</v>
      </c>
    </row>
    <row r="588" spans="1:16" ht="36" customHeight="1" x14ac:dyDescent="0.4">
      <c r="A588" s="313" t="s">
        <v>2896</v>
      </c>
      <c r="B588" s="313">
        <v>89413</v>
      </c>
      <c r="C588" s="313" t="s">
        <v>395</v>
      </c>
      <c r="D588" s="313" t="s">
        <v>6021</v>
      </c>
      <c r="E588" s="314" t="s">
        <v>4</v>
      </c>
      <c r="F588" s="315">
        <v>1</v>
      </c>
      <c r="G588" s="316">
        <v>16.3</v>
      </c>
      <c r="H588" s="316">
        <v>8.81</v>
      </c>
      <c r="I588" s="316">
        <v>0.6</v>
      </c>
      <c r="J588" s="316">
        <v>6.89</v>
      </c>
      <c r="K588" s="316">
        <v>16.3</v>
      </c>
      <c r="L588" s="316">
        <v>8.81</v>
      </c>
      <c r="M588" s="316">
        <v>0.6</v>
      </c>
      <c r="N588" s="316">
        <v>6.89</v>
      </c>
      <c r="O588" s="316">
        <v>16.3</v>
      </c>
      <c r="P588" s="317">
        <v>2.8032669651566988E-5</v>
      </c>
    </row>
    <row r="589" spans="1:16" ht="36" customHeight="1" x14ac:dyDescent="0.4">
      <c r="A589" s="313" t="s">
        <v>2897</v>
      </c>
      <c r="B589" s="313">
        <v>89497</v>
      </c>
      <c r="C589" s="313" t="s">
        <v>395</v>
      </c>
      <c r="D589" s="313" t="s">
        <v>6022</v>
      </c>
      <c r="E589" s="314" t="s">
        <v>4</v>
      </c>
      <c r="F589" s="315">
        <v>1</v>
      </c>
      <c r="G589" s="316">
        <v>16.12</v>
      </c>
      <c r="H589" s="316">
        <v>5.68</v>
      </c>
      <c r="I589" s="316">
        <v>0.38</v>
      </c>
      <c r="J589" s="316">
        <v>10.06</v>
      </c>
      <c r="K589" s="316">
        <v>16.12</v>
      </c>
      <c r="L589" s="316">
        <v>5.68</v>
      </c>
      <c r="M589" s="316">
        <v>0.38</v>
      </c>
      <c r="N589" s="316">
        <v>10.06</v>
      </c>
      <c r="O589" s="316">
        <v>16.12</v>
      </c>
      <c r="P589" s="317">
        <v>2.7723106428420847E-5</v>
      </c>
    </row>
    <row r="590" spans="1:16" ht="24" customHeight="1" x14ac:dyDescent="0.4">
      <c r="A590" s="313" t="s">
        <v>2898</v>
      </c>
      <c r="B590" s="313">
        <v>89501</v>
      </c>
      <c r="C590" s="313" t="s">
        <v>395</v>
      </c>
      <c r="D590" s="313" t="s">
        <v>6023</v>
      </c>
      <c r="E590" s="314" t="s">
        <v>4</v>
      </c>
      <c r="F590" s="315">
        <v>1</v>
      </c>
      <c r="G590" s="316">
        <v>17.920000000000002</v>
      </c>
      <c r="H590" s="316">
        <v>6.91</v>
      </c>
      <c r="I590" s="316">
        <v>0.48</v>
      </c>
      <c r="J590" s="316">
        <v>10.53</v>
      </c>
      <c r="K590" s="316">
        <v>17.920000000000002</v>
      </c>
      <c r="L590" s="316">
        <v>6.91</v>
      </c>
      <c r="M590" s="316">
        <v>0.48</v>
      </c>
      <c r="N590" s="316">
        <v>10.53</v>
      </c>
      <c r="O590" s="316">
        <v>17.920000000000002</v>
      </c>
      <c r="P590" s="317">
        <v>3.0818738659882231E-5</v>
      </c>
    </row>
    <row r="591" spans="1:16" ht="24" customHeight="1" x14ac:dyDescent="0.4">
      <c r="A591" s="313" t="s">
        <v>2899</v>
      </c>
      <c r="B591" s="313">
        <v>89505</v>
      </c>
      <c r="C591" s="313" t="s">
        <v>395</v>
      </c>
      <c r="D591" s="313" t="s">
        <v>6024</v>
      </c>
      <c r="E591" s="314" t="s">
        <v>4</v>
      </c>
      <c r="F591" s="315">
        <v>1</v>
      </c>
      <c r="G591" s="316">
        <v>45.84</v>
      </c>
      <c r="H591" s="316">
        <v>8.18</v>
      </c>
      <c r="I591" s="316">
        <v>0.56000000000000005</v>
      </c>
      <c r="J591" s="316">
        <v>37.1</v>
      </c>
      <c r="K591" s="316">
        <v>45.84</v>
      </c>
      <c r="L591" s="316">
        <v>8.18</v>
      </c>
      <c r="M591" s="316">
        <v>0.56000000000000005</v>
      </c>
      <c r="N591" s="316">
        <v>37.1</v>
      </c>
      <c r="O591" s="316">
        <v>45.84</v>
      </c>
      <c r="P591" s="317">
        <v>7.8835434161216608E-5</v>
      </c>
    </row>
    <row r="592" spans="1:16" ht="24" customHeight="1" x14ac:dyDescent="0.4">
      <c r="A592" s="313" t="s">
        <v>2901</v>
      </c>
      <c r="B592" s="313">
        <v>89521</v>
      </c>
      <c r="C592" s="313" t="s">
        <v>395</v>
      </c>
      <c r="D592" s="313" t="s">
        <v>6025</v>
      </c>
      <c r="E592" s="314" t="s">
        <v>4</v>
      </c>
      <c r="F592" s="315">
        <v>1</v>
      </c>
      <c r="G592" s="316">
        <v>130.41999999999999</v>
      </c>
      <c r="H592" s="316">
        <v>11.24</v>
      </c>
      <c r="I592" s="316">
        <v>0.78</v>
      </c>
      <c r="J592" s="316">
        <v>118.4</v>
      </c>
      <c r="K592" s="316">
        <v>130.41999999999999</v>
      </c>
      <c r="L592" s="316">
        <v>11.24</v>
      </c>
      <c r="M592" s="316">
        <v>0.78</v>
      </c>
      <c r="N592" s="316">
        <v>118.4</v>
      </c>
      <c r="O592" s="316">
        <v>130.41999999999999</v>
      </c>
      <c r="P592" s="317">
        <v>2.2429575312621878E-4</v>
      </c>
    </row>
    <row r="593" spans="1:16" ht="48" customHeight="1" x14ac:dyDescent="0.4">
      <c r="A593" s="313" t="s">
        <v>2905</v>
      </c>
      <c r="B593" s="313">
        <v>89366</v>
      </c>
      <c r="C593" s="313" t="s">
        <v>395</v>
      </c>
      <c r="D593" s="313" t="s">
        <v>6026</v>
      </c>
      <c r="E593" s="314" t="s">
        <v>4</v>
      </c>
      <c r="F593" s="315">
        <v>1</v>
      </c>
      <c r="G593" s="316">
        <v>20.05</v>
      </c>
      <c r="H593" s="316">
        <v>7.69</v>
      </c>
      <c r="I593" s="316">
        <v>0.52</v>
      </c>
      <c r="J593" s="316">
        <v>11.84</v>
      </c>
      <c r="K593" s="316">
        <v>20.05</v>
      </c>
      <c r="L593" s="316">
        <v>7.69</v>
      </c>
      <c r="M593" s="316">
        <v>0.52</v>
      </c>
      <c r="N593" s="316">
        <v>11.84</v>
      </c>
      <c r="O593" s="316">
        <v>20.05</v>
      </c>
      <c r="P593" s="317">
        <v>3.4481903467111539E-5</v>
      </c>
    </row>
    <row r="594" spans="1:16" ht="36" customHeight="1" x14ac:dyDescent="0.4">
      <c r="A594" s="313" t="s">
        <v>2907</v>
      </c>
      <c r="B594" s="313">
        <v>1143</v>
      </c>
      <c r="C594" s="313" t="s">
        <v>420</v>
      </c>
      <c r="D594" s="313" t="s">
        <v>1926</v>
      </c>
      <c r="E594" s="314" t="s">
        <v>422</v>
      </c>
      <c r="F594" s="315">
        <v>1</v>
      </c>
      <c r="G594" s="316">
        <v>11.2</v>
      </c>
      <c r="H594" s="316">
        <v>6.49</v>
      </c>
      <c r="I594" s="316">
        <v>0</v>
      </c>
      <c r="J594" s="316">
        <v>4.71</v>
      </c>
      <c r="K594" s="316">
        <v>11.2</v>
      </c>
      <c r="L594" s="316">
        <v>6.49</v>
      </c>
      <c r="M594" s="316">
        <v>0</v>
      </c>
      <c r="N594" s="316">
        <v>4.71</v>
      </c>
      <c r="O594" s="316">
        <v>11.2</v>
      </c>
      <c r="P594" s="317">
        <v>1.9261711662426395E-5</v>
      </c>
    </row>
    <row r="595" spans="1:16" ht="36" customHeight="1" x14ac:dyDescent="0.4">
      <c r="A595" s="313" t="s">
        <v>2911</v>
      </c>
      <c r="B595" s="313">
        <v>89440</v>
      </c>
      <c r="C595" s="313" t="s">
        <v>395</v>
      </c>
      <c r="D595" s="313" t="s">
        <v>6027</v>
      </c>
      <c r="E595" s="314" t="s">
        <v>4</v>
      </c>
      <c r="F595" s="315">
        <v>1</v>
      </c>
      <c r="G595" s="316">
        <v>16.63</v>
      </c>
      <c r="H595" s="316">
        <v>9.84</v>
      </c>
      <c r="I595" s="316">
        <v>0.68</v>
      </c>
      <c r="J595" s="316">
        <v>6.11</v>
      </c>
      <c r="K595" s="316">
        <v>16.63</v>
      </c>
      <c r="L595" s="316">
        <v>9.84</v>
      </c>
      <c r="M595" s="316">
        <v>0.68</v>
      </c>
      <c r="N595" s="316">
        <v>6.11</v>
      </c>
      <c r="O595" s="316">
        <v>16.63</v>
      </c>
      <c r="P595" s="317">
        <v>2.8600202227334908E-5</v>
      </c>
    </row>
    <row r="596" spans="1:16" ht="36" customHeight="1" x14ac:dyDescent="0.4">
      <c r="A596" s="313" t="s">
        <v>2913</v>
      </c>
      <c r="B596" s="313">
        <v>89443</v>
      </c>
      <c r="C596" s="313" t="s">
        <v>395</v>
      </c>
      <c r="D596" s="313" t="s">
        <v>6028</v>
      </c>
      <c r="E596" s="314" t="s">
        <v>4</v>
      </c>
      <c r="F596" s="315">
        <v>1</v>
      </c>
      <c r="G596" s="316">
        <v>22.6</v>
      </c>
      <c r="H596" s="316">
        <v>11.74</v>
      </c>
      <c r="I596" s="316">
        <v>0.8</v>
      </c>
      <c r="J596" s="316">
        <v>10.06</v>
      </c>
      <c r="K596" s="316">
        <v>22.6</v>
      </c>
      <c r="L596" s="316">
        <v>11.74</v>
      </c>
      <c r="M596" s="316">
        <v>0.8</v>
      </c>
      <c r="N596" s="316">
        <v>10.06</v>
      </c>
      <c r="O596" s="316">
        <v>22.6</v>
      </c>
      <c r="P596" s="317">
        <v>3.8867382461681838E-5</v>
      </c>
    </row>
    <row r="597" spans="1:16" ht="36" customHeight="1" x14ac:dyDescent="0.4">
      <c r="A597" s="313" t="s">
        <v>2918</v>
      </c>
      <c r="B597" s="313">
        <v>89625</v>
      </c>
      <c r="C597" s="313" t="s">
        <v>395</v>
      </c>
      <c r="D597" s="313" t="s">
        <v>6029</v>
      </c>
      <c r="E597" s="314" t="s">
        <v>4</v>
      </c>
      <c r="F597" s="315">
        <v>1</v>
      </c>
      <c r="G597" s="316">
        <v>27.57</v>
      </c>
      <c r="H597" s="316">
        <v>9.1999999999999993</v>
      </c>
      <c r="I597" s="316">
        <v>0.64</v>
      </c>
      <c r="J597" s="316">
        <v>17.73</v>
      </c>
      <c r="K597" s="316">
        <v>27.57</v>
      </c>
      <c r="L597" s="316">
        <v>9.1999999999999993</v>
      </c>
      <c r="M597" s="316">
        <v>0.64</v>
      </c>
      <c r="N597" s="316">
        <v>17.73</v>
      </c>
      <c r="O597" s="316">
        <v>27.57</v>
      </c>
      <c r="P597" s="317">
        <v>4.7414767011883549E-5</v>
      </c>
    </row>
    <row r="598" spans="1:16" ht="48" customHeight="1" x14ac:dyDescent="0.4">
      <c r="A598" s="313" t="s">
        <v>2921</v>
      </c>
      <c r="B598" s="313">
        <v>89628</v>
      </c>
      <c r="C598" s="313" t="s">
        <v>395</v>
      </c>
      <c r="D598" s="313" t="s">
        <v>6030</v>
      </c>
      <c r="E598" s="314" t="s">
        <v>4</v>
      </c>
      <c r="F598" s="315">
        <v>1</v>
      </c>
      <c r="G598" s="316">
        <v>53.79</v>
      </c>
      <c r="H598" s="316">
        <v>10.87</v>
      </c>
      <c r="I598" s="316">
        <v>0.74</v>
      </c>
      <c r="J598" s="316">
        <v>42.18</v>
      </c>
      <c r="K598" s="316">
        <v>53.79</v>
      </c>
      <c r="L598" s="316">
        <v>10.87</v>
      </c>
      <c r="M598" s="316">
        <v>0.74</v>
      </c>
      <c r="N598" s="316">
        <v>42.18</v>
      </c>
      <c r="O598" s="316">
        <v>53.79</v>
      </c>
      <c r="P598" s="317">
        <v>9.2507809850171055E-5</v>
      </c>
    </row>
    <row r="599" spans="1:16" ht="48" customHeight="1" x14ac:dyDescent="0.4">
      <c r="A599" s="313" t="s">
        <v>2922</v>
      </c>
      <c r="B599" s="313">
        <v>89629</v>
      </c>
      <c r="C599" s="313" t="s">
        <v>395</v>
      </c>
      <c r="D599" s="313" t="s">
        <v>6031</v>
      </c>
      <c r="E599" s="314" t="s">
        <v>4</v>
      </c>
      <c r="F599" s="315">
        <v>1</v>
      </c>
      <c r="G599" s="316">
        <v>88.17</v>
      </c>
      <c r="H599" s="316">
        <v>13.36</v>
      </c>
      <c r="I599" s="316">
        <v>0.92</v>
      </c>
      <c r="J599" s="316">
        <v>73.89</v>
      </c>
      <c r="K599" s="316">
        <v>88.17</v>
      </c>
      <c r="L599" s="316">
        <v>13.36</v>
      </c>
      <c r="M599" s="316">
        <v>0.92</v>
      </c>
      <c r="N599" s="316">
        <v>73.89</v>
      </c>
      <c r="O599" s="316">
        <v>88.17</v>
      </c>
      <c r="P599" s="317">
        <v>1.5163438547108351E-4</v>
      </c>
    </row>
    <row r="600" spans="1:16" ht="48" customHeight="1" x14ac:dyDescent="0.4">
      <c r="A600" s="313" t="s">
        <v>3007</v>
      </c>
      <c r="B600" s="313">
        <v>94693</v>
      </c>
      <c r="C600" s="313" t="s">
        <v>395</v>
      </c>
      <c r="D600" s="313" t="s">
        <v>6032</v>
      </c>
      <c r="E600" s="314" t="s">
        <v>4</v>
      </c>
      <c r="F600" s="315">
        <v>1</v>
      </c>
      <c r="G600" s="316">
        <v>21.11</v>
      </c>
      <c r="H600" s="316">
        <v>6.66</v>
      </c>
      <c r="I600" s="316">
        <v>0.46</v>
      </c>
      <c r="J600" s="316">
        <v>13.99</v>
      </c>
      <c r="K600" s="316">
        <v>21.11</v>
      </c>
      <c r="L600" s="316">
        <v>6.66</v>
      </c>
      <c r="M600" s="316">
        <v>0.46</v>
      </c>
      <c r="N600" s="316">
        <v>13.99</v>
      </c>
      <c r="O600" s="316">
        <v>21.11</v>
      </c>
      <c r="P600" s="317">
        <v>3.6304886892305463E-5</v>
      </c>
    </row>
    <row r="601" spans="1:16" ht="48" customHeight="1" x14ac:dyDescent="0.4">
      <c r="A601" s="313" t="s">
        <v>3010</v>
      </c>
      <c r="B601" s="313">
        <v>89624</v>
      </c>
      <c r="C601" s="313" t="s">
        <v>395</v>
      </c>
      <c r="D601" s="313" t="s">
        <v>6033</v>
      </c>
      <c r="E601" s="314" t="s">
        <v>4</v>
      </c>
      <c r="F601" s="315">
        <v>1</v>
      </c>
      <c r="G601" s="316">
        <v>21.49</v>
      </c>
      <c r="H601" s="316">
        <v>6.94</v>
      </c>
      <c r="I601" s="316">
        <v>0.48</v>
      </c>
      <c r="J601" s="316">
        <v>14.07</v>
      </c>
      <c r="K601" s="316">
        <v>21.49</v>
      </c>
      <c r="L601" s="316">
        <v>6.94</v>
      </c>
      <c r="M601" s="316">
        <v>0.48</v>
      </c>
      <c r="N601" s="316">
        <v>14.07</v>
      </c>
      <c r="O601" s="316">
        <v>21.49</v>
      </c>
      <c r="P601" s="317">
        <v>3.6958409252280645E-5</v>
      </c>
    </row>
    <row r="602" spans="1:16" ht="60" customHeight="1" x14ac:dyDescent="0.4">
      <c r="A602" s="313" t="s">
        <v>2138</v>
      </c>
      <c r="B602" s="313">
        <v>89627</v>
      </c>
      <c r="C602" s="313" t="s">
        <v>395</v>
      </c>
      <c r="D602" s="313" t="s">
        <v>6034</v>
      </c>
      <c r="E602" s="314" t="s">
        <v>4</v>
      </c>
      <c r="F602" s="315">
        <v>1</v>
      </c>
      <c r="G602" s="316">
        <v>23.84</v>
      </c>
      <c r="H602" s="316">
        <v>7.16</v>
      </c>
      <c r="I602" s="316">
        <v>0.5</v>
      </c>
      <c r="J602" s="316">
        <v>16.18</v>
      </c>
      <c r="K602" s="316">
        <v>23.84</v>
      </c>
      <c r="L602" s="316">
        <v>7.16</v>
      </c>
      <c r="M602" s="316">
        <v>0.5</v>
      </c>
      <c r="N602" s="316">
        <v>16.18</v>
      </c>
      <c r="O602" s="316">
        <v>23.84</v>
      </c>
      <c r="P602" s="317">
        <v>4.0999929110021902E-5</v>
      </c>
    </row>
    <row r="603" spans="1:16" ht="48" customHeight="1" x14ac:dyDescent="0.4">
      <c r="A603" s="313" t="s">
        <v>2139</v>
      </c>
      <c r="B603" s="313">
        <v>643</v>
      </c>
      <c r="C603" s="313" t="s">
        <v>575</v>
      </c>
      <c r="D603" s="313" t="s">
        <v>2092</v>
      </c>
      <c r="E603" s="314" t="s">
        <v>4</v>
      </c>
      <c r="F603" s="315">
        <v>1</v>
      </c>
      <c r="G603" s="316">
        <v>32.61</v>
      </c>
      <c r="H603" s="316">
        <v>7.82</v>
      </c>
      <c r="I603" s="316">
        <v>0.54</v>
      </c>
      <c r="J603" s="316">
        <v>24.25</v>
      </c>
      <c r="K603" s="316">
        <v>32.61</v>
      </c>
      <c r="L603" s="316">
        <v>7.82</v>
      </c>
      <c r="M603" s="316">
        <v>0.54</v>
      </c>
      <c r="N603" s="316">
        <v>24.25</v>
      </c>
      <c r="O603" s="316">
        <v>32.61</v>
      </c>
      <c r="P603" s="317">
        <v>5.6082537259975423E-5</v>
      </c>
    </row>
    <row r="604" spans="1:16" ht="60" customHeight="1" x14ac:dyDescent="0.4">
      <c r="A604" s="313" t="s">
        <v>2140</v>
      </c>
      <c r="B604" s="313">
        <v>89626</v>
      </c>
      <c r="C604" s="313" t="s">
        <v>395</v>
      </c>
      <c r="D604" s="313" t="s">
        <v>6035</v>
      </c>
      <c r="E604" s="314" t="s">
        <v>4</v>
      </c>
      <c r="F604" s="315">
        <v>1</v>
      </c>
      <c r="G604" s="316">
        <v>34.520000000000003</v>
      </c>
      <c r="H604" s="316">
        <v>8.4</v>
      </c>
      <c r="I604" s="316">
        <v>0.57999999999999996</v>
      </c>
      <c r="J604" s="316">
        <v>25.54</v>
      </c>
      <c r="K604" s="316">
        <v>34.520000000000003</v>
      </c>
      <c r="L604" s="316">
        <v>8.4</v>
      </c>
      <c r="M604" s="316">
        <v>0.57999999999999996</v>
      </c>
      <c r="N604" s="316">
        <v>25.54</v>
      </c>
      <c r="O604" s="316">
        <v>34.520000000000003</v>
      </c>
      <c r="P604" s="317">
        <v>5.9367347016692782E-5</v>
      </c>
    </row>
    <row r="605" spans="1:16" ht="60" customHeight="1" x14ac:dyDescent="0.4">
      <c r="A605" s="313" t="s">
        <v>2141</v>
      </c>
      <c r="B605" s="313">
        <v>89429</v>
      </c>
      <c r="C605" s="313" t="s">
        <v>395</v>
      </c>
      <c r="D605" s="313" t="s">
        <v>6036</v>
      </c>
      <c r="E605" s="314" t="s">
        <v>4</v>
      </c>
      <c r="F605" s="315">
        <v>1</v>
      </c>
      <c r="G605" s="316">
        <v>8.31</v>
      </c>
      <c r="H605" s="316">
        <v>4.58</v>
      </c>
      <c r="I605" s="316">
        <v>0.32</v>
      </c>
      <c r="J605" s="316">
        <v>3.41</v>
      </c>
      <c r="K605" s="316">
        <v>8.31</v>
      </c>
      <c r="L605" s="316">
        <v>4.58</v>
      </c>
      <c r="M605" s="316">
        <v>0.32</v>
      </c>
      <c r="N605" s="316">
        <v>3.41</v>
      </c>
      <c r="O605" s="316">
        <v>8.31</v>
      </c>
      <c r="P605" s="317">
        <v>1.4291502135246727E-5</v>
      </c>
    </row>
    <row r="606" spans="1:16" ht="48" customHeight="1" x14ac:dyDescent="0.4">
      <c r="A606" s="313" t="s">
        <v>3322</v>
      </c>
      <c r="B606" s="313">
        <v>89391</v>
      </c>
      <c r="C606" s="313" t="s">
        <v>395</v>
      </c>
      <c r="D606" s="313" t="s">
        <v>6037</v>
      </c>
      <c r="E606" s="314" t="s">
        <v>4</v>
      </c>
      <c r="F606" s="315">
        <v>1</v>
      </c>
      <c r="G606" s="316">
        <v>11.65</v>
      </c>
      <c r="H606" s="316">
        <v>6.04</v>
      </c>
      <c r="I606" s="316">
        <v>0.42</v>
      </c>
      <c r="J606" s="316">
        <v>5.19</v>
      </c>
      <c r="K606" s="316">
        <v>11.65</v>
      </c>
      <c r="L606" s="316">
        <v>6.04</v>
      </c>
      <c r="M606" s="316">
        <v>0.42</v>
      </c>
      <c r="N606" s="316">
        <v>5.19</v>
      </c>
      <c r="O606" s="316">
        <v>11.65</v>
      </c>
      <c r="P606" s="317">
        <v>2.0035619720291743E-5</v>
      </c>
    </row>
    <row r="607" spans="1:16" ht="48" customHeight="1" x14ac:dyDescent="0.4">
      <c r="A607" s="313" t="s">
        <v>2163</v>
      </c>
      <c r="B607" s="313">
        <v>89570</v>
      </c>
      <c r="C607" s="313" t="s">
        <v>395</v>
      </c>
      <c r="D607" s="313" t="s">
        <v>6038</v>
      </c>
      <c r="E607" s="314" t="s">
        <v>4</v>
      </c>
      <c r="F607" s="315">
        <v>1</v>
      </c>
      <c r="G607" s="316">
        <v>13.37</v>
      </c>
      <c r="H607" s="316">
        <v>3.58</v>
      </c>
      <c r="I607" s="316">
        <v>0.24</v>
      </c>
      <c r="J607" s="316">
        <v>9.5500000000000007</v>
      </c>
      <c r="K607" s="316">
        <v>13.37</v>
      </c>
      <c r="L607" s="316">
        <v>3.58</v>
      </c>
      <c r="M607" s="316">
        <v>0.24</v>
      </c>
      <c r="N607" s="316">
        <v>9.5500000000000007</v>
      </c>
      <c r="O607" s="316">
        <v>13.37</v>
      </c>
      <c r="P607" s="317">
        <v>2.2993668297021511E-5</v>
      </c>
    </row>
    <row r="608" spans="1:16" ht="36" customHeight="1" x14ac:dyDescent="0.4">
      <c r="A608" s="313" t="s">
        <v>3323</v>
      </c>
      <c r="B608" s="313">
        <v>89596</v>
      </c>
      <c r="C608" s="313" t="s">
        <v>395</v>
      </c>
      <c r="D608" s="313" t="s">
        <v>6039</v>
      </c>
      <c r="E608" s="314" t="s">
        <v>4</v>
      </c>
      <c r="F608" s="315">
        <v>1</v>
      </c>
      <c r="G608" s="316">
        <v>12.63</v>
      </c>
      <c r="H608" s="316">
        <v>3.99</v>
      </c>
      <c r="I608" s="316">
        <v>0.28000000000000003</v>
      </c>
      <c r="J608" s="316">
        <v>8.36</v>
      </c>
      <c r="K608" s="316">
        <v>12.63</v>
      </c>
      <c r="L608" s="316">
        <v>3.99</v>
      </c>
      <c r="M608" s="316">
        <v>0.28000000000000003</v>
      </c>
      <c r="N608" s="316">
        <v>8.36</v>
      </c>
      <c r="O608" s="316">
        <v>12.63</v>
      </c>
      <c r="P608" s="317">
        <v>2.172101949075405E-5</v>
      </c>
    </row>
    <row r="609" spans="1:16" ht="36" customHeight="1" x14ac:dyDescent="0.4">
      <c r="A609" s="313" t="s">
        <v>2177</v>
      </c>
      <c r="B609" s="313">
        <v>94664</v>
      </c>
      <c r="C609" s="313" t="s">
        <v>395</v>
      </c>
      <c r="D609" s="313" t="s">
        <v>6040</v>
      </c>
      <c r="E609" s="314" t="s">
        <v>4</v>
      </c>
      <c r="F609" s="315">
        <v>1</v>
      </c>
      <c r="G609" s="316">
        <v>23.37</v>
      </c>
      <c r="H609" s="316">
        <v>6.82</v>
      </c>
      <c r="I609" s="316">
        <v>0.46</v>
      </c>
      <c r="J609" s="316">
        <v>16.09</v>
      </c>
      <c r="K609" s="316">
        <v>23.37</v>
      </c>
      <c r="L609" s="316">
        <v>6.82</v>
      </c>
      <c r="M609" s="316">
        <v>0.46</v>
      </c>
      <c r="N609" s="316">
        <v>16.09</v>
      </c>
      <c r="O609" s="316">
        <v>23.37</v>
      </c>
      <c r="P609" s="317">
        <v>4.0191625138473649E-5</v>
      </c>
    </row>
    <row r="610" spans="1:16" ht="36" customHeight="1" x14ac:dyDescent="0.4">
      <c r="A610" s="313" t="s">
        <v>3324</v>
      </c>
      <c r="B610" s="313">
        <v>94785</v>
      </c>
      <c r="C610" s="313" t="s">
        <v>395</v>
      </c>
      <c r="D610" s="313" t="s">
        <v>112</v>
      </c>
      <c r="E610" s="314" t="s">
        <v>4</v>
      </c>
      <c r="F610" s="315">
        <v>1</v>
      </c>
      <c r="G610" s="316">
        <v>30.62</v>
      </c>
      <c r="H610" s="316">
        <v>12.54</v>
      </c>
      <c r="I610" s="316">
        <v>0.86</v>
      </c>
      <c r="J610" s="316">
        <v>17.22</v>
      </c>
      <c r="K610" s="316">
        <v>30.62</v>
      </c>
      <c r="L610" s="316">
        <v>12.54</v>
      </c>
      <c r="M610" s="316">
        <v>0.86</v>
      </c>
      <c r="N610" s="316">
        <v>17.22</v>
      </c>
      <c r="O610" s="316">
        <v>30.62</v>
      </c>
      <c r="P610" s="317">
        <v>5.2660143848526448E-5</v>
      </c>
    </row>
    <row r="611" spans="1:16" ht="24" customHeight="1" x14ac:dyDescent="0.4">
      <c r="A611" s="313" t="s">
        <v>2203</v>
      </c>
      <c r="B611" s="313">
        <v>94786</v>
      </c>
      <c r="C611" s="313" t="s">
        <v>395</v>
      </c>
      <c r="D611" s="313" t="s">
        <v>113</v>
      </c>
      <c r="E611" s="314" t="s">
        <v>4</v>
      </c>
      <c r="F611" s="315">
        <v>1</v>
      </c>
      <c r="G611" s="316">
        <v>67.36</v>
      </c>
      <c r="H611" s="316">
        <v>12.54</v>
      </c>
      <c r="I611" s="316">
        <v>0.86</v>
      </c>
      <c r="J611" s="316">
        <v>53.96</v>
      </c>
      <c r="K611" s="316">
        <v>67.36</v>
      </c>
      <c r="L611" s="316">
        <v>12.54</v>
      </c>
      <c r="M611" s="316">
        <v>0.86</v>
      </c>
      <c r="N611" s="316">
        <v>53.96</v>
      </c>
      <c r="O611" s="316">
        <v>67.36</v>
      </c>
      <c r="P611" s="317">
        <v>1.1584543728402161E-4</v>
      </c>
    </row>
    <row r="612" spans="1:16" ht="24" customHeight="1" x14ac:dyDescent="0.4">
      <c r="A612" s="313" t="s">
        <v>2202</v>
      </c>
      <c r="B612" s="313">
        <v>94787</v>
      </c>
      <c r="C612" s="313" t="s">
        <v>395</v>
      </c>
      <c r="D612" s="313" t="s">
        <v>114</v>
      </c>
      <c r="E612" s="314" t="s">
        <v>4</v>
      </c>
      <c r="F612" s="315">
        <v>1</v>
      </c>
      <c r="G612" s="316">
        <v>87.57</v>
      </c>
      <c r="H612" s="316">
        <v>16.73</v>
      </c>
      <c r="I612" s="316">
        <v>1.1399999999999999</v>
      </c>
      <c r="J612" s="316">
        <v>69.7</v>
      </c>
      <c r="K612" s="316">
        <v>87.57</v>
      </c>
      <c r="L612" s="316">
        <v>16.73</v>
      </c>
      <c r="M612" s="316">
        <v>1.1399999999999999</v>
      </c>
      <c r="N612" s="316">
        <v>69.7</v>
      </c>
      <c r="O612" s="316">
        <v>87.57</v>
      </c>
      <c r="P612" s="317">
        <v>1.5060250806059639E-4</v>
      </c>
    </row>
    <row r="613" spans="1:16" ht="24" customHeight="1" x14ac:dyDescent="0.4">
      <c r="A613" s="313" t="s">
        <v>3325</v>
      </c>
      <c r="B613" s="313">
        <v>94788</v>
      </c>
      <c r="C613" s="313" t="s">
        <v>395</v>
      </c>
      <c r="D613" s="313" t="s">
        <v>115</v>
      </c>
      <c r="E613" s="314" t="s">
        <v>4</v>
      </c>
      <c r="F613" s="315">
        <v>1</v>
      </c>
      <c r="G613" s="316">
        <v>126.72</v>
      </c>
      <c r="H613" s="316">
        <v>16.73</v>
      </c>
      <c r="I613" s="316">
        <v>1.1399999999999999</v>
      </c>
      <c r="J613" s="316">
        <v>108.85</v>
      </c>
      <c r="K613" s="316">
        <v>126.72</v>
      </c>
      <c r="L613" s="316">
        <v>16.73</v>
      </c>
      <c r="M613" s="316">
        <v>1.1399999999999999</v>
      </c>
      <c r="N613" s="316">
        <v>108.85</v>
      </c>
      <c r="O613" s="316">
        <v>126.72</v>
      </c>
      <c r="P613" s="317">
        <v>2.1793250909488151E-4</v>
      </c>
    </row>
    <row r="614" spans="1:16" ht="24" customHeight="1" x14ac:dyDescent="0.4">
      <c r="A614" s="313" t="s">
        <v>3326</v>
      </c>
      <c r="B614" s="313">
        <v>94790</v>
      </c>
      <c r="C614" s="313" t="s">
        <v>395</v>
      </c>
      <c r="D614" s="313" t="s">
        <v>116</v>
      </c>
      <c r="E614" s="314" t="s">
        <v>4</v>
      </c>
      <c r="F614" s="315">
        <v>1</v>
      </c>
      <c r="G614" s="316">
        <v>334.02</v>
      </c>
      <c r="H614" s="316">
        <v>16.73</v>
      </c>
      <c r="I614" s="316">
        <v>1.1399999999999999</v>
      </c>
      <c r="J614" s="316">
        <v>316.14999999999998</v>
      </c>
      <c r="K614" s="316">
        <v>334.02</v>
      </c>
      <c r="L614" s="316">
        <v>16.73</v>
      </c>
      <c r="M614" s="316">
        <v>1.1399999999999999</v>
      </c>
      <c r="N614" s="316">
        <v>316.14999999999998</v>
      </c>
      <c r="O614" s="316">
        <v>334.02</v>
      </c>
      <c r="P614" s="317">
        <v>5.7444615441818434E-4</v>
      </c>
    </row>
    <row r="615" spans="1:16" ht="24" customHeight="1" x14ac:dyDescent="0.4">
      <c r="A615" s="313" t="s">
        <v>2195</v>
      </c>
      <c r="B615" s="313">
        <v>89385</v>
      </c>
      <c r="C615" s="313" t="s">
        <v>395</v>
      </c>
      <c r="D615" s="313" t="s">
        <v>6041</v>
      </c>
      <c r="E615" s="314" t="s">
        <v>4</v>
      </c>
      <c r="F615" s="315">
        <v>1</v>
      </c>
      <c r="G615" s="316">
        <v>9.7100000000000009</v>
      </c>
      <c r="H615" s="316">
        <v>5.13</v>
      </c>
      <c r="I615" s="316">
        <v>0.36</v>
      </c>
      <c r="J615" s="316">
        <v>4.22</v>
      </c>
      <c r="K615" s="316">
        <v>9.7100000000000009</v>
      </c>
      <c r="L615" s="316">
        <v>5.13</v>
      </c>
      <c r="M615" s="316">
        <v>0.36</v>
      </c>
      <c r="N615" s="316">
        <v>4.22</v>
      </c>
      <c r="O615" s="316">
        <v>9.7100000000000009</v>
      </c>
      <c r="P615" s="317">
        <v>1.6699216093050027E-5</v>
      </c>
    </row>
    <row r="616" spans="1:16" ht="36" customHeight="1" x14ac:dyDescent="0.4">
      <c r="A616" s="313" t="s">
        <v>2222</v>
      </c>
      <c r="B616" s="313">
        <v>96702</v>
      </c>
      <c r="C616" s="313" t="s">
        <v>395</v>
      </c>
      <c r="D616" s="313" t="s">
        <v>6042</v>
      </c>
      <c r="E616" s="314" t="s">
        <v>4</v>
      </c>
      <c r="F616" s="315">
        <v>1</v>
      </c>
      <c r="G616" s="316">
        <v>15.1</v>
      </c>
      <c r="H616" s="316">
        <v>6.96</v>
      </c>
      <c r="I616" s="316">
        <v>0.48</v>
      </c>
      <c r="J616" s="316">
        <v>7.66</v>
      </c>
      <c r="K616" s="316">
        <v>15.1</v>
      </c>
      <c r="L616" s="316">
        <v>6.96</v>
      </c>
      <c r="M616" s="316">
        <v>0.48</v>
      </c>
      <c r="N616" s="316">
        <v>7.66</v>
      </c>
      <c r="O616" s="316">
        <v>15.1</v>
      </c>
      <c r="P616" s="317">
        <v>2.5968914830592729E-5</v>
      </c>
    </row>
    <row r="617" spans="1:16" ht="36" customHeight="1" x14ac:dyDescent="0.4">
      <c r="A617" s="313" t="s">
        <v>2221</v>
      </c>
      <c r="B617" s="313">
        <v>90735</v>
      </c>
      <c r="C617" s="313" t="s">
        <v>395</v>
      </c>
      <c r="D617" s="313" t="s">
        <v>311</v>
      </c>
      <c r="E617" s="314" t="s">
        <v>7</v>
      </c>
      <c r="F617" s="315">
        <v>1</v>
      </c>
      <c r="G617" s="316">
        <v>7.2</v>
      </c>
      <c r="H617" s="316">
        <v>5.23</v>
      </c>
      <c r="I617" s="316">
        <v>0.35</v>
      </c>
      <c r="J617" s="316">
        <v>1.62</v>
      </c>
      <c r="K617" s="316">
        <v>7.2</v>
      </c>
      <c r="L617" s="316">
        <v>5.23</v>
      </c>
      <c r="M617" s="316">
        <v>0.35</v>
      </c>
      <c r="N617" s="316">
        <v>1.62</v>
      </c>
      <c r="O617" s="316">
        <v>7.2</v>
      </c>
      <c r="P617" s="317">
        <v>1.238252892584554E-5</v>
      </c>
    </row>
    <row r="618" spans="1:16" ht="36" customHeight="1" x14ac:dyDescent="0.4">
      <c r="A618" s="313" t="s">
        <v>2105</v>
      </c>
      <c r="B618" s="313">
        <v>1081</v>
      </c>
      <c r="C618" s="313" t="s">
        <v>420</v>
      </c>
      <c r="D618" s="313" t="s">
        <v>579</v>
      </c>
      <c r="E618" s="314" t="s">
        <v>422</v>
      </c>
      <c r="F618" s="315">
        <v>1</v>
      </c>
      <c r="G618" s="316">
        <v>15.53</v>
      </c>
      <c r="H618" s="316">
        <v>7.93</v>
      </c>
      <c r="I618" s="316">
        <v>0</v>
      </c>
      <c r="J618" s="316">
        <v>7.6</v>
      </c>
      <c r="K618" s="316">
        <v>15.53</v>
      </c>
      <c r="L618" s="316">
        <v>7.93</v>
      </c>
      <c r="M618" s="316">
        <v>0</v>
      </c>
      <c r="N618" s="316">
        <v>7.6</v>
      </c>
      <c r="O618" s="316">
        <v>15.53</v>
      </c>
      <c r="P618" s="317">
        <v>2.6708426974775173E-5</v>
      </c>
    </row>
    <row r="619" spans="1:16" ht="36" customHeight="1" x14ac:dyDescent="0.4">
      <c r="A619" s="313" t="s">
        <v>2106</v>
      </c>
      <c r="B619" s="313">
        <v>1084</v>
      </c>
      <c r="C619" s="313" t="s">
        <v>420</v>
      </c>
      <c r="D619" s="313" t="s">
        <v>1930</v>
      </c>
      <c r="E619" s="314" t="s">
        <v>422</v>
      </c>
      <c r="F619" s="315">
        <v>1</v>
      </c>
      <c r="G619" s="316">
        <v>20.09</v>
      </c>
      <c r="H619" s="316">
        <v>9.01</v>
      </c>
      <c r="I619" s="316">
        <v>0</v>
      </c>
      <c r="J619" s="316">
        <v>11.08</v>
      </c>
      <c r="K619" s="316">
        <v>20.09</v>
      </c>
      <c r="L619" s="316">
        <v>9.01</v>
      </c>
      <c r="M619" s="316">
        <v>0</v>
      </c>
      <c r="N619" s="316">
        <v>11.08</v>
      </c>
      <c r="O619" s="316">
        <v>20.09</v>
      </c>
      <c r="P619" s="317">
        <v>3.4550695294477347E-5</v>
      </c>
    </row>
    <row r="620" spans="1:16" ht="48" customHeight="1" x14ac:dyDescent="0.4">
      <c r="A620" s="313" t="s">
        <v>2107</v>
      </c>
      <c r="B620" s="313">
        <v>1087</v>
      </c>
      <c r="C620" s="313" t="s">
        <v>420</v>
      </c>
      <c r="D620" s="313" t="s">
        <v>6043</v>
      </c>
      <c r="E620" s="314" t="s">
        <v>422</v>
      </c>
      <c r="F620" s="315">
        <v>1</v>
      </c>
      <c r="G620" s="316">
        <v>31.68</v>
      </c>
      <c r="H620" s="316">
        <v>10.1</v>
      </c>
      <c r="I620" s="316">
        <v>0</v>
      </c>
      <c r="J620" s="316">
        <v>21.58</v>
      </c>
      <c r="K620" s="316">
        <v>31.68</v>
      </c>
      <c r="L620" s="316">
        <v>10.1</v>
      </c>
      <c r="M620" s="316">
        <v>0</v>
      </c>
      <c r="N620" s="316">
        <v>21.58</v>
      </c>
      <c r="O620" s="316">
        <v>31.68</v>
      </c>
      <c r="P620" s="317">
        <v>5.4483127273720378E-5</v>
      </c>
    </row>
    <row r="621" spans="1:16" ht="36" customHeight="1" x14ac:dyDescent="0.4">
      <c r="A621" s="313" t="s">
        <v>2108</v>
      </c>
      <c r="B621" s="313">
        <v>89568</v>
      </c>
      <c r="C621" s="313" t="s">
        <v>395</v>
      </c>
      <c r="D621" s="313" t="s">
        <v>6044</v>
      </c>
      <c r="E621" s="314" t="s">
        <v>4</v>
      </c>
      <c r="F621" s="315">
        <v>1</v>
      </c>
      <c r="G621" s="316">
        <v>34.450000000000003</v>
      </c>
      <c r="H621" s="316">
        <v>3.77</v>
      </c>
      <c r="I621" s="316">
        <v>0.26</v>
      </c>
      <c r="J621" s="316">
        <v>30.42</v>
      </c>
      <c r="K621" s="316">
        <v>34.450000000000003</v>
      </c>
      <c r="L621" s="316">
        <v>3.77</v>
      </c>
      <c r="M621" s="316">
        <v>0.26</v>
      </c>
      <c r="N621" s="316">
        <v>30.42</v>
      </c>
      <c r="O621" s="316">
        <v>34.450000000000003</v>
      </c>
      <c r="P621" s="317">
        <v>5.9246961318802619E-5</v>
      </c>
    </row>
    <row r="622" spans="1:16" ht="24" customHeight="1" x14ac:dyDescent="0.4">
      <c r="A622" s="313" t="s">
        <v>2109</v>
      </c>
      <c r="B622" s="313">
        <v>89594</v>
      </c>
      <c r="C622" s="313" t="s">
        <v>395</v>
      </c>
      <c r="D622" s="313" t="s">
        <v>6045</v>
      </c>
      <c r="E622" s="314" t="s">
        <v>4</v>
      </c>
      <c r="F622" s="315">
        <v>1</v>
      </c>
      <c r="G622" s="316">
        <v>38.51</v>
      </c>
      <c r="H622" s="316">
        <v>4.5999999999999996</v>
      </c>
      <c r="I622" s="316">
        <v>0.32</v>
      </c>
      <c r="J622" s="316">
        <v>33.590000000000003</v>
      </c>
      <c r="K622" s="316">
        <v>38.51</v>
      </c>
      <c r="L622" s="316">
        <v>4.5999999999999996</v>
      </c>
      <c r="M622" s="316">
        <v>0.32</v>
      </c>
      <c r="N622" s="316">
        <v>33.590000000000003</v>
      </c>
      <c r="O622" s="316">
        <v>38.51</v>
      </c>
      <c r="P622" s="317">
        <v>6.6229331796432186E-5</v>
      </c>
    </row>
    <row r="623" spans="1:16" ht="24" customHeight="1" x14ac:dyDescent="0.4">
      <c r="A623" s="313" t="s">
        <v>2110</v>
      </c>
      <c r="B623" s="313">
        <v>97336</v>
      </c>
      <c r="C623" s="313" t="s">
        <v>395</v>
      </c>
      <c r="D623" s="313" t="s">
        <v>2596</v>
      </c>
      <c r="E623" s="314" t="s">
        <v>7</v>
      </c>
      <c r="F623" s="315">
        <v>1</v>
      </c>
      <c r="G623" s="316">
        <v>110.6</v>
      </c>
      <c r="H623" s="316">
        <v>3.08</v>
      </c>
      <c r="I623" s="316">
        <v>0.22</v>
      </c>
      <c r="J623" s="316">
        <v>107.3</v>
      </c>
      <c r="K623" s="316">
        <v>110.6</v>
      </c>
      <c r="L623" s="316">
        <v>3.08</v>
      </c>
      <c r="M623" s="316">
        <v>0.22</v>
      </c>
      <c r="N623" s="316">
        <v>107.3</v>
      </c>
      <c r="O623" s="316">
        <v>110.6</v>
      </c>
      <c r="P623" s="317">
        <v>1.9020940266646066E-4</v>
      </c>
    </row>
    <row r="624" spans="1:16" ht="24" customHeight="1" x14ac:dyDescent="0.4">
      <c r="A624" s="313" t="s">
        <v>2112</v>
      </c>
      <c r="B624" s="313">
        <v>97337</v>
      </c>
      <c r="C624" s="313" t="s">
        <v>395</v>
      </c>
      <c r="D624" s="313" t="s">
        <v>2597</v>
      </c>
      <c r="E624" s="314" t="s">
        <v>7</v>
      </c>
      <c r="F624" s="315">
        <v>1</v>
      </c>
      <c r="G624" s="316">
        <v>166.01</v>
      </c>
      <c r="H624" s="316">
        <v>3.89</v>
      </c>
      <c r="I624" s="316">
        <v>0.26</v>
      </c>
      <c r="J624" s="316">
        <v>161.86000000000001</v>
      </c>
      <c r="K624" s="316">
        <v>166.01</v>
      </c>
      <c r="L624" s="316">
        <v>3.89</v>
      </c>
      <c r="M624" s="316">
        <v>0.26</v>
      </c>
      <c r="N624" s="316">
        <v>161.86000000000001</v>
      </c>
      <c r="O624" s="316">
        <v>166.01</v>
      </c>
      <c r="P624" s="317">
        <v>2.8550328152494696E-4</v>
      </c>
    </row>
    <row r="625" spans="1:16" ht="24" customHeight="1" x14ac:dyDescent="0.4">
      <c r="A625" s="313" t="s">
        <v>2223</v>
      </c>
      <c r="B625" s="313">
        <v>92288</v>
      </c>
      <c r="C625" s="313" t="s">
        <v>395</v>
      </c>
      <c r="D625" s="313" t="s">
        <v>2598</v>
      </c>
      <c r="E625" s="314" t="s">
        <v>4</v>
      </c>
      <c r="F625" s="315">
        <v>1</v>
      </c>
      <c r="G625" s="316">
        <v>31.91</v>
      </c>
      <c r="H625" s="316">
        <v>6.23</v>
      </c>
      <c r="I625" s="316">
        <v>0.42</v>
      </c>
      <c r="J625" s="316">
        <v>25.26</v>
      </c>
      <c r="K625" s="316">
        <v>31.91</v>
      </c>
      <c r="L625" s="316">
        <v>6.23</v>
      </c>
      <c r="M625" s="316">
        <v>0.42</v>
      </c>
      <c r="N625" s="316">
        <v>25.26</v>
      </c>
      <c r="O625" s="316">
        <v>31.91</v>
      </c>
      <c r="P625" s="317">
        <v>5.4878680281073774E-5</v>
      </c>
    </row>
    <row r="626" spans="1:16" ht="36" customHeight="1" x14ac:dyDescent="0.4">
      <c r="A626" s="313" t="s">
        <v>2226</v>
      </c>
      <c r="B626" s="313">
        <v>92289</v>
      </c>
      <c r="C626" s="313" t="s">
        <v>395</v>
      </c>
      <c r="D626" s="313" t="s">
        <v>2599</v>
      </c>
      <c r="E626" s="314" t="s">
        <v>4</v>
      </c>
      <c r="F626" s="315">
        <v>1</v>
      </c>
      <c r="G626" s="316">
        <v>55.33</v>
      </c>
      <c r="H626" s="316">
        <v>7.87</v>
      </c>
      <c r="I626" s="316">
        <v>0.54</v>
      </c>
      <c r="J626" s="316">
        <v>46.92</v>
      </c>
      <c r="K626" s="316">
        <v>55.33</v>
      </c>
      <c r="L626" s="316">
        <v>7.87</v>
      </c>
      <c r="M626" s="316">
        <v>0.54</v>
      </c>
      <c r="N626" s="316">
        <v>46.92</v>
      </c>
      <c r="O626" s="316">
        <v>55.33</v>
      </c>
      <c r="P626" s="317">
        <v>9.5156295203754679E-5</v>
      </c>
    </row>
    <row r="627" spans="1:16" ht="36" customHeight="1" x14ac:dyDescent="0.4">
      <c r="A627" s="313" t="s">
        <v>2227</v>
      </c>
      <c r="B627" s="313">
        <v>93123</v>
      </c>
      <c r="C627" s="313" t="s">
        <v>395</v>
      </c>
      <c r="D627" s="313" t="s">
        <v>6046</v>
      </c>
      <c r="E627" s="314" t="s">
        <v>4</v>
      </c>
      <c r="F627" s="315">
        <v>1</v>
      </c>
      <c r="G627" s="316">
        <v>64.58</v>
      </c>
      <c r="H627" s="316">
        <v>7.87</v>
      </c>
      <c r="I627" s="316">
        <v>0.54</v>
      </c>
      <c r="J627" s="316">
        <v>56.17</v>
      </c>
      <c r="K627" s="316">
        <v>64.58</v>
      </c>
      <c r="L627" s="316">
        <v>7.87</v>
      </c>
      <c r="M627" s="316">
        <v>0.54</v>
      </c>
      <c r="N627" s="316">
        <v>56.17</v>
      </c>
      <c r="O627" s="316">
        <v>64.58</v>
      </c>
      <c r="P627" s="317">
        <v>1.1106440528209791E-4</v>
      </c>
    </row>
    <row r="628" spans="1:16" ht="36" customHeight="1" x14ac:dyDescent="0.4">
      <c r="A628" s="313" t="s">
        <v>3327</v>
      </c>
      <c r="B628" s="313">
        <v>93118</v>
      </c>
      <c r="C628" s="313" t="s">
        <v>395</v>
      </c>
      <c r="D628" s="313" t="s">
        <v>6047</v>
      </c>
      <c r="E628" s="314" t="s">
        <v>4</v>
      </c>
      <c r="F628" s="315">
        <v>1</v>
      </c>
      <c r="G628" s="316">
        <v>95.76</v>
      </c>
      <c r="H628" s="316">
        <v>11.63</v>
      </c>
      <c r="I628" s="316">
        <v>0.8</v>
      </c>
      <c r="J628" s="316">
        <v>83.33</v>
      </c>
      <c r="K628" s="316">
        <v>95.76</v>
      </c>
      <c r="L628" s="316">
        <v>11.63</v>
      </c>
      <c r="M628" s="316">
        <v>0.8</v>
      </c>
      <c r="N628" s="316">
        <v>83.33</v>
      </c>
      <c r="O628" s="316">
        <v>95.76</v>
      </c>
      <c r="P628" s="317">
        <v>1.6468763471374568E-4</v>
      </c>
    </row>
    <row r="629" spans="1:16" ht="36" customHeight="1" x14ac:dyDescent="0.4">
      <c r="A629" s="313" t="s">
        <v>2228</v>
      </c>
      <c r="B629" s="313">
        <v>983</v>
      </c>
      <c r="C629" s="313" t="s">
        <v>420</v>
      </c>
      <c r="D629" s="313" t="s">
        <v>6048</v>
      </c>
      <c r="E629" s="314" t="s">
        <v>422</v>
      </c>
      <c r="F629" s="315">
        <v>1</v>
      </c>
      <c r="G629" s="316">
        <v>93.86</v>
      </c>
      <c r="H629" s="316">
        <v>9.73</v>
      </c>
      <c r="I629" s="316">
        <v>0</v>
      </c>
      <c r="J629" s="316">
        <v>84.13</v>
      </c>
      <c r="K629" s="316">
        <v>93.86</v>
      </c>
      <c r="L629" s="316">
        <v>9.73</v>
      </c>
      <c r="M629" s="316">
        <v>0</v>
      </c>
      <c r="N629" s="316">
        <v>84.13</v>
      </c>
      <c r="O629" s="316">
        <v>93.86</v>
      </c>
      <c r="P629" s="317">
        <v>1.6142002291386979E-4</v>
      </c>
    </row>
    <row r="630" spans="1:16" ht="24" customHeight="1" x14ac:dyDescent="0.4">
      <c r="A630" s="313" t="s">
        <v>2229</v>
      </c>
      <c r="B630" s="313">
        <v>984</v>
      </c>
      <c r="C630" s="313" t="s">
        <v>420</v>
      </c>
      <c r="D630" s="313" t="s">
        <v>6049</v>
      </c>
      <c r="E630" s="314" t="s">
        <v>422</v>
      </c>
      <c r="F630" s="315">
        <v>1</v>
      </c>
      <c r="G630" s="316">
        <v>113.31</v>
      </c>
      <c r="H630" s="316">
        <v>10.82</v>
      </c>
      <c r="I630" s="316">
        <v>0</v>
      </c>
      <c r="J630" s="316">
        <v>102.49</v>
      </c>
      <c r="K630" s="316">
        <v>113.31</v>
      </c>
      <c r="L630" s="316">
        <v>10.82</v>
      </c>
      <c r="M630" s="316">
        <v>0</v>
      </c>
      <c r="N630" s="316">
        <v>102.49</v>
      </c>
      <c r="O630" s="316">
        <v>113.31</v>
      </c>
      <c r="P630" s="317">
        <v>1.948700489704942E-4</v>
      </c>
    </row>
    <row r="631" spans="1:16" ht="24" customHeight="1" x14ac:dyDescent="0.4">
      <c r="A631" s="313" t="s">
        <v>2230</v>
      </c>
      <c r="B631" s="313">
        <v>8798</v>
      </c>
      <c r="C631" s="313" t="s">
        <v>420</v>
      </c>
      <c r="D631" s="313" t="s">
        <v>1935</v>
      </c>
      <c r="E631" s="314" t="s">
        <v>422</v>
      </c>
      <c r="F631" s="315">
        <v>1</v>
      </c>
      <c r="G631" s="316">
        <v>66.959999999999994</v>
      </c>
      <c r="H631" s="316">
        <v>10.45</v>
      </c>
      <c r="I631" s="316">
        <v>0</v>
      </c>
      <c r="J631" s="316">
        <v>56.51</v>
      </c>
      <c r="K631" s="316">
        <v>66.959999999999994</v>
      </c>
      <c r="L631" s="316">
        <v>10.45</v>
      </c>
      <c r="M631" s="316">
        <v>0</v>
      </c>
      <c r="N631" s="316">
        <v>56.51</v>
      </c>
      <c r="O631" s="316">
        <v>66.959999999999994</v>
      </c>
      <c r="P631" s="317">
        <v>1.1515751901036352E-4</v>
      </c>
    </row>
    <row r="632" spans="1:16" ht="24" customHeight="1" x14ac:dyDescent="0.4">
      <c r="A632" s="313" t="s">
        <v>2231</v>
      </c>
      <c r="B632" s="313">
        <v>606</v>
      </c>
      <c r="C632" s="313" t="s">
        <v>575</v>
      </c>
      <c r="D632" s="313" t="s">
        <v>1966</v>
      </c>
      <c r="E632" s="314" t="s">
        <v>422</v>
      </c>
      <c r="F632" s="315">
        <v>1</v>
      </c>
      <c r="G632" s="316">
        <v>138.29</v>
      </c>
      <c r="H632" s="316">
        <v>15.13</v>
      </c>
      <c r="I632" s="316">
        <v>0</v>
      </c>
      <c r="J632" s="316">
        <v>123.16</v>
      </c>
      <c r="K632" s="316">
        <v>138.29</v>
      </c>
      <c r="L632" s="316">
        <v>15.13</v>
      </c>
      <c r="M632" s="316">
        <v>0</v>
      </c>
      <c r="N632" s="316">
        <v>123.16</v>
      </c>
      <c r="O632" s="316">
        <v>138.29</v>
      </c>
      <c r="P632" s="317">
        <v>2.3783054516044163E-4</v>
      </c>
    </row>
    <row r="633" spans="1:16" ht="24" customHeight="1" x14ac:dyDescent="0.4">
      <c r="A633" s="313" t="s">
        <v>2232</v>
      </c>
      <c r="B633" s="313">
        <v>95636</v>
      </c>
      <c r="C633" s="313" t="s">
        <v>395</v>
      </c>
      <c r="D633" s="313" t="s">
        <v>6050</v>
      </c>
      <c r="E633" s="314" t="s">
        <v>4</v>
      </c>
      <c r="F633" s="315">
        <v>1</v>
      </c>
      <c r="G633" s="316">
        <v>468.93</v>
      </c>
      <c r="H633" s="316">
        <v>192.84</v>
      </c>
      <c r="I633" s="316">
        <v>13.2</v>
      </c>
      <c r="J633" s="316">
        <v>262.89</v>
      </c>
      <c r="K633" s="316">
        <v>468.93</v>
      </c>
      <c r="L633" s="316">
        <v>192.84</v>
      </c>
      <c r="M633" s="316">
        <v>13.2</v>
      </c>
      <c r="N633" s="316">
        <v>262.89</v>
      </c>
      <c r="O633" s="316">
        <v>468.93</v>
      </c>
      <c r="P633" s="317">
        <v>8.0646379016621511E-4</v>
      </c>
    </row>
    <row r="634" spans="1:16" ht="24" customHeight="1" x14ac:dyDescent="0.4">
      <c r="A634" s="313" t="s">
        <v>2233</v>
      </c>
      <c r="B634" s="313">
        <v>89987</v>
      </c>
      <c r="C634" s="313" t="s">
        <v>395</v>
      </c>
      <c r="D634" s="313" t="s">
        <v>353</v>
      </c>
      <c r="E634" s="314" t="s">
        <v>4</v>
      </c>
      <c r="F634" s="315">
        <v>1</v>
      </c>
      <c r="G634" s="316">
        <v>79.489999999999995</v>
      </c>
      <c r="H634" s="316">
        <v>12.01</v>
      </c>
      <c r="I634" s="316">
        <v>0.82</v>
      </c>
      <c r="J634" s="316">
        <v>66.66</v>
      </c>
      <c r="K634" s="316">
        <v>79.489999999999995</v>
      </c>
      <c r="L634" s="316">
        <v>12.01</v>
      </c>
      <c r="M634" s="316">
        <v>0.82</v>
      </c>
      <c r="N634" s="316">
        <v>66.66</v>
      </c>
      <c r="O634" s="316">
        <v>79.489999999999995</v>
      </c>
      <c r="P634" s="317">
        <v>1.3670655893270305E-4</v>
      </c>
    </row>
    <row r="635" spans="1:16" ht="24" customHeight="1" x14ac:dyDescent="0.4">
      <c r="A635" s="313" t="s">
        <v>2234</v>
      </c>
      <c r="B635" s="313">
        <v>94792</v>
      </c>
      <c r="C635" s="313" t="s">
        <v>395</v>
      </c>
      <c r="D635" s="313" t="s">
        <v>356</v>
      </c>
      <c r="E635" s="314" t="s">
        <v>4</v>
      </c>
      <c r="F635" s="315">
        <v>1</v>
      </c>
      <c r="G635" s="316">
        <v>96.48</v>
      </c>
      <c r="H635" s="316">
        <v>14.1</v>
      </c>
      <c r="I635" s="316">
        <v>0.96</v>
      </c>
      <c r="J635" s="316">
        <v>81.42</v>
      </c>
      <c r="K635" s="316">
        <v>96.48</v>
      </c>
      <c r="L635" s="316">
        <v>14.1</v>
      </c>
      <c r="M635" s="316">
        <v>0.96</v>
      </c>
      <c r="N635" s="316">
        <v>81.42</v>
      </c>
      <c r="O635" s="316">
        <v>96.48</v>
      </c>
      <c r="P635" s="317">
        <v>1.6592588760633024E-4</v>
      </c>
    </row>
    <row r="636" spans="1:16" ht="48" customHeight="1" x14ac:dyDescent="0.4">
      <c r="A636" s="313" t="s">
        <v>2235</v>
      </c>
      <c r="B636" s="313">
        <v>89985</v>
      </c>
      <c r="C636" s="313" t="s">
        <v>395</v>
      </c>
      <c r="D636" s="313" t="s">
        <v>352</v>
      </c>
      <c r="E636" s="314" t="s">
        <v>4</v>
      </c>
      <c r="F636" s="315">
        <v>1</v>
      </c>
      <c r="G636" s="316">
        <v>75.91</v>
      </c>
      <c r="H636" s="316">
        <v>12.01</v>
      </c>
      <c r="I636" s="316">
        <v>0.82</v>
      </c>
      <c r="J636" s="316">
        <v>63.08</v>
      </c>
      <c r="K636" s="316">
        <v>75.91</v>
      </c>
      <c r="L636" s="316">
        <v>12.01</v>
      </c>
      <c r="M636" s="316">
        <v>0.82</v>
      </c>
      <c r="N636" s="316">
        <v>63.08</v>
      </c>
      <c r="O636" s="316">
        <v>75.91</v>
      </c>
      <c r="P636" s="317">
        <v>1.3054969038346319E-4</v>
      </c>
    </row>
    <row r="637" spans="1:16" ht="36" customHeight="1" x14ac:dyDescent="0.4">
      <c r="A637" s="313" t="s">
        <v>2236</v>
      </c>
      <c r="B637" s="313">
        <v>4281</v>
      </c>
      <c r="C637" s="313" t="s">
        <v>420</v>
      </c>
      <c r="D637" s="313" t="s">
        <v>1937</v>
      </c>
      <c r="E637" s="314" t="s">
        <v>422</v>
      </c>
      <c r="F637" s="315">
        <v>1</v>
      </c>
      <c r="G637" s="316">
        <v>110.22</v>
      </c>
      <c r="H637" s="316">
        <v>10.1</v>
      </c>
      <c r="I637" s="316">
        <v>0</v>
      </c>
      <c r="J637" s="316">
        <v>100.12</v>
      </c>
      <c r="K637" s="316">
        <v>110.22</v>
      </c>
      <c r="L637" s="316">
        <v>10.1</v>
      </c>
      <c r="M637" s="316">
        <v>0</v>
      </c>
      <c r="N637" s="316">
        <v>100.12</v>
      </c>
      <c r="O637" s="316">
        <v>110.22</v>
      </c>
      <c r="P637" s="317">
        <v>1.8955588030648547E-4</v>
      </c>
    </row>
    <row r="638" spans="1:16" ht="36" customHeight="1" x14ac:dyDescent="0.4">
      <c r="A638" s="313" t="s">
        <v>2237</v>
      </c>
      <c r="B638" s="313">
        <v>95249</v>
      </c>
      <c r="C638" s="313" t="s">
        <v>395</v>
      </c>
      <c r="D638" s="313" t="s">
        <v>357</v>
      </c>
      <c r="E638" s="314" t="s">
        <v>4</v>
      </c>
      <c r="F638" s="315">
        <v>1</v>
      </c>
      <c r="G638" s="316">
        <v>50.66</v>
      </c>
      <c r="H638" s="316">
        <v>5.99</v>
      </c>
      <c r="I638" s="316">
        <v>0.4</v>
      </c>
      <c r="J638" s="316">
        <v>44.27</v>
      </c>
      <c r="K638" s="316">
        <v>50.66</v>
      </c>
      <c r="L638" s="316">
        <v>5.99</v>
      </c>
      <c r="M638" s="316">
        <v>0.4</v>
      </c>
      <c r="N638" s="316">
        <v>44.27</v>
      </c>
      <c r="O638" s="316">
        <v>50.66</v>
      </c>
      <c r="P638" s="317">
        <v>8.712484935879654E-5</v>
      </c>
    </row>
    <row r="639" spans="1:16" ht="24" customHeight="1" x14ac:dyDescent="0.4">
      <c r="A639" s="313" t="s">
        <v>2238</v>
      </c>
      <c r="B639" s="313">
        <v>95250</v>
      </c>
      <c r="C639" s="313" t="s">
        <v>395</v>
      </c>
      <c r="D639" s="313" t="s">
        <v>358</v>
      </c>
      <c r="E639" s="314" t="s">
        <v>4</v>
      </c>
      <c r="F639" s="315">
        <v>1</v>
      </c>
      <c r="G639" s="316">
        <v>68.36</v>
      </c>
      <c r="H639" s="316">
        <v>8.06</v>
      </c>
      <c r="I639" s="316">
        <v>0.56000000000000005</v>
      </c>
      <c r="J639" s="316">
        <v>59.74</v>
      </c>
      <c r="K639" s="316">
        <v>68.36</v>
      </c>
      <c r="L639" s="316">
        <v>8.06</v>
      </c>
      <c r="M639" s="316">
        <v>0.56000000000000005</v>
      </c>
      <c r="N639" s="316">
        <v>59.74</v>
      </c>
      <c r="O639" s="316">
        <v>68.36</v>
      </c>
      <c r="P639" s="317">
        <v>1.1756523296816683E-4</v>
      </c>
    </row>
    <row r="640" spans="1:16" ht="24" customHeight="1" x14ac:dyDescent="0.4">
      <c r="A640" s="313" t="s">
        <v>2239</v>
      </c>
      <c r="B640" s="313">
        <v>95251</v>
      </c>
      <c r="C640" s="313" t="s">
        <v>395</v>
      </c>
      <c r="D640" s="313" t="s">
        <v>359</v>
      </c>
      <c r="E640" s="314" t="s">
        <v>4</v>
      </c>
      <c r="F640" s="315">
        <v>1</v>
      </c>
      <c r="G640" s="316">
        <v>100.42</v>
      </c>
      <c r="H640" s="316">
        <v>10.98</v>
      </c>
      <c r="I640" s="316">
        <v>0.76</v>
      </c>
      <c r="J640" s="316">
        <v>88.68</v>
      </c>
      <c r="K640" s="316">
        <v>100.42</v>
      </c>
      <c r="L640" s="316">
        <v>10.98</v>
      </c>
      <c r="M640" s="316">
        <v>0.76</v>
      </c>
      <c r="N640" s="316">
        <v>88.68</v>
      </c>
      <c r="O640" s="316">
        <v>100.42</v>
      </c>
      <c r="P640" s="317">
        <v>1.7270188260186238E-4</v>
      </c>
    </row>
    <row r="641" spans="1:16" ht="24" customHeight="1" x14ac:dyDescent="0.4">
      <c r="A641" s="313" t="s">
        <v>2240</v>
      </c>
      <c r="B641" s="313">
        <v>95252</v>
      </c>
      <c r="C641" s="313" t="s">
        <v>395</v>
      </c>
      <c r="D641" s="313" t="s">
        <v>360</v>
      </c>
      <c r="E641" s="314" t="s">
        <v>4</v>
      </c>
      <c r="F641" s="315">
        <v>1</v>
      </c>
      <c r="G641" s="316">
        <v>122.44</v>
      </c>
      <c r="H641" s="316">
        <v>14.3</v>
      </c>
      <c r="I641" s="316">
        <v>0.98</v>
      </c>
      <c r="J641" s="316">
        <v>107.16</v>
      </c>
      <c r="K641" s="316">
        <v>122.44</v>
      </c>
      <c r="L641" s="316">
        <v>14.3</v>
      </c>
      <c r="M641" s="316">
        <v>0.98</v>
      </c>
      <c r="N641" s="316">
        <v>107.16</v>
      </c>
      <c r="O641" s="316">
        <v>122.44</v>
      </c>
      <c r="P641" s="317">
        <v>2.1057178356674E-4</v>
      </c>
    </row>
    <row r="642" spans="1:16" ht="24" customHeight="1" x14ac:dyDescent="0.4">
      <c r="A642" s="313" t="s">
        <v>2241</v>
      </c>
      <c r="B642" s="313">
        <v>95253</v>
      </c>
      <c r="C642" s="313" t="s">
        <v>395</v>
      </c>
      <c r="D642" s="313" t="s">
        <v>361</v>
      </c>
      <c r="E642" s="314" t="s">
        <v>4</v>
      </c>
      <c r="F642" s="315">
        <v>1</v>
      </c>
      <c r="G642" s="316">
        <v>183.84</v>
      </c>
      <c r="H642" s="316">
        <v>18.45</v>
      </c>
      <c r="I642" s="316">
        <v>1.26</v>
      </c>
      <c r="J642" s="316">
        <v>164.13</v>
      </c>
      <c r="K642" s="316">
        <v>183.84</v>
      </c>
      <c r="L642" s="316">
        <v>18.45</v>
      </c>
      <c r="M642" s="316">
        <v>1.26</v>
      </c>
      <c r="N642" s="316">
        <v>164.13</v>
      </c>
      <c r="O642" s="316">
        <v>183.84</v>
      </c>
      <c r="P642" s="317">
        <v>3.161672385732561E-4</v>
      </c>
    </row>
    <row r="643" spans="1:16" ht="24" customHeight="1" x14ac:dyDescent="0.4">
      <c r="A643" s="313" t="s">
        <v>2242</v>
      </c>
      <c r="B643" s="313">
        <v>607</v>
      </c>
      <c r="C643" s="313" t="s">
        <v>575</v>
      </c>
      <c r="D643" s="313" t="s">
        <v>1964</v>
      </c>
      <c r="E643" s="314" t="s">
        <v>4</v>
      </c>
      <c r="F643" s="315">
        <v>1</v>
      </c>
      <c r="G643" s="316">
        <v>856.55</v>
      </c>
      <c r="H643" s="316">
        <v>44.42</v>
      </c>
      <c r="I643" s="316">
        <v>3.04</v>
      </c>
      <c r="J643" s="316">
        <v>809.09</v>
      </c>
      <c r="K643" s="316">
        <v>856.55</v>
      </c>
      <c r="L643" s="316">
        <v>44.42</v>
      </c>
      <c r="M643" s="316">
        <v>3.04</v>
      </c>
      <c r="N643" s="316">
        <v>809.09</v>
      </c>
      <c r="O643" s="316">
        <v>856.55</v>
      </c>
      <c r="P643" s="317">
        <v>1.473090993254583E-3</v>
      </c>
    </row>
    <row r="644" spans="1:16" ht="24" customHeight="1" x14ac:dyDescent="0.4">
      <c r="A644" s="313" t="s">
        <v>2243</v>
      </c>
      <c r="B644" s="313">
        <v>99622</v>
      </c>
      <c r="C644" s="313" t="s">
        <v>395</v>
      </c>
      <c r="D644" s="313" t="s">
        <v>6051</v>
      </c>
      <c r="E644" s="314" t="s">
        <v>4</v>
      </c>
      <c r="F644" s="315">
        <v>1</v>
      </c>
      <c r="G644" s="316">
        <v>414.76</v>
      </c>
      <c r="H644" s="316">
        <v>14.3</v>
      </c>
      <c r="I644" s="316">
        <v>0.98</v>
      </c>
      <c r="J644" s="316">
        <v>399.48</v>
      </c>
      <c r="K644" s="316">
        <v>414.76</v>
      </c>
      <c r="L644" s="316">
        <v>14.3</v>
      </c>
      <c r="M644" s="316">
        <v>0.98</v>
      </c>
      <c r="N644" s="316">
        <v>399.48</v>
      </c>
      <c r="O644" s="316">
        <v>414.76</v>
      </c>
      <c r="P644" s="317">
        <v>7.1330245795606887E-4</v>
      </c>
    </row>
    <row r="645" spans="1:16" ht="24" customHeight="1" x14ac:dyDescent="0.4">
      <c r="A645" s="313" t="s">
        <v>3328</v>
      </c>
      <c r="B645" s="313">
        <v>103012</v>
      </c>
      <c r="C645" s="313" t="s">
        <v>395</v>
      </c>
      <c r="D645" s="313" t="s">
        <v>365</v>
      </c>
      <c r="E645" s="314" t="s">
        <v>4</v>
      </c>
      <c r="F645" s="315">
        <v>1</v>
      </c>
      <c r="G645" s="316">
        <v>198.38</v>
      </c>
      <c r="H645" s="316">
        <v>5.49</v>
      </c>
      <c r="I645" s="316">
        <v>0.38</v>
      </c>
      <c r="J645" s="316">
        <v>192.51</v>
      </c>
      <c r="K645" s="316">
        <v>198.38</v>
      </c>
      <c r="L645" s="316">
        <v>5.49</v>
      </c>
      <c r="M645" s="316">
        <v>0.38</v>
      </c>
      <c r="N645" s="316">
        <v>192.51</v>
      </c>
      <c r="O645" s="316">
        <v>198.38</v>
      </c>
      <c r="P645" s="317">
        <v>3.4117306782072756E-4</v>
      </c>
    </row>
    <row r="646" spans="1:16" ht="36" customHeight="1" x14ac:dyDescent="0.4">
      <c r="A646" s="313" t="s">
        <v>2244</v>
      </c>
      <c r="B646" s="313" t="s">
        <v>1922</v>
      </c>
      <c r="C646" s="313" t="s">
        <v>439</v>
      </c>
      <c r="D646" s="313" t="s">
        <v>2059</v>
      </c>
      <c r="E646" s="314" t="s">
        <v>422</v>
      </c>
      <c r="F646" s="315">
        <v>1</v>
      </c>
      <c r="G646" s="316">
        <v>55.79</v>
      </c>
      <c r="H646" s="316">
        <v>11.85</v>
      </c>
      <c r="I646" s="316">
        <v>0</v>
      </c>
      <c r="J646" s="316">
        <v>43.94</v>
      </c>
      <c r="K646" s="316">
        <v>55.79</v>
      </c>
      <c r="L646" s="316">
        <v>11.85</v>
      </c>
      <c r="M646" s="316">
        <v>0</v>
      </c>
      <c r="N646" s="316">
        <v>43.94</v>
      </c>
      <c r="O646" s="316">
        <v>55.79</v>
      </c>
      <c r="P646" s="317">
        <v>9.5947401218461484E-5</v>
      </c>
    </row>
    <row r="647" spans="1:16" ht="36" customHeight="1" x14ac:dyDescent="0.4">
      <c r="A647" s="313" t="s">
        <v>2245</v>
      </c>
      <c r="B647" s="313" t="s">
        <v>1922</v>
      </c>
      <c r="C647" s="313" t="s">
        <v>439</v>
      </c>
      <c r="D647" s="313" t="s">
        <v>2060</v>
      </c>
      <c r="E647" s="314" t="s">
        <v>422</v>
      </c>
      <c r="F647" s="315">
        <v>1</v>
      </c>
      <c r="G647" s="316">
        <v>55.79</v>
      </c>
      <c r="H647" s="316">
        <v>11.85</v>
      </c>
      <c r="I647" s="316">
        <v>0</v>
      </c>
      <c r="J647" s="316">
        <v>43.94</v>
      </c>
      <c r="K647" s="316">
        <v>55.79</v>
      </c>
      <c r="L647" s="316">
        <v>11.85</v>
      </c>
      <c r="M647" s="316">
        <v>0</v>
      </c>
      <c r="N647" s="316">
        <v>43.94</v>
      </c>
      <c r="O647" s="316">
        <v>55.79</v>
      </c>
      <c r="P647" s="317">
        <v>9.5947401218461484E-5</v>
      </c>
    </row>
    <row r="648" spans="1:16" ht="48" customHeight="1" x14ac:dyDescent="0.4">
      <c r="A648" s="313" t="s">
        <v>2246</v>
      </c>
      <c r="B648" s="313" t="s">
        <v>1922</v>
      </c>
      <c r="C648" s="313" t="s">
        <v>439</v>
      </c>
      <c r="D648" s="313" t="s">
        <v>2061</v>
      </c>
      <c r="E648" s="314" t="s">
        <v>422</v>
      </c>
      <c r="F648" s="315">
        <v>1</v>
      </c>
      <c r="G648" s="316">
        <v>55.79</v>
      </c>
      <c r="H648" s="316">
        <v>11.85</v>
      </c>
      <c r="I648" s="316">
        <v>0</v>
      </c>
      <c r="J648" s="316">
        <v>43.94</v>
      </c>
      <c r="K648" s="316">
        <v>55.79</v>
      </c>
      <c r="L648" s="316">
        <v>11.85</v>
      </c>
      <c r="M648" s="316">
        <v>0</v>
      </c>
      <c r="N648" s="316">
        <v>43.94</v>
      </c>
      <c r="O648" s="316">
        <v>55.79</v>
      </c>
      <c r="P648" s="317">
        <v>9.5947401218461484E-5</v>
      </c>
    </row>
    <row r="649" spans="1:16" ht="24" customHeight="1" x14ac:dyDescent="0.4">
      <c r="A649" s="313" t="s">
        <v>2247</v>
      </c>
      <c r="B649" s="313" t="s">
        <v>1922</v>
      </c>
      <c r="C649" s="313" t="s">
        <v>439</v>
      </c>
      <c r="D649" s="313" t="s">
        <v>2062</v>
      </c>
      <c r="E649" s="314" t="s">
        <v>422</v>
      </c>
      <c r="F649" s="315">
        <v>1</v>
      </c>
      <c r="G649" s="316">
        <v>55.79</v>
      </c>
      <c r="H649" s="316">
        <v>11.85</v>
      </c>
      <c r="I649" s="316">
        <v>0</v>
      </c>
      <c r="J649" s="316">
        <v>43.94</v>
      </c>
      <c r="K649" s="316">
        <v>55.79</v>
      </c>
      <c r="L649" s="316">
        <v>11.85</v>
      </c>
      <c r="M649" s="316">
        <v>0</v>
      </c>
      <c r="N649" s="316">
        <v>43.94</v>
      </c>
      <c r="O649" s="316">
        <v>55.79</v>
      </c>
      <c r="P649" s="317">
        <v>9.5947401218461484E-5</v>
      </c>
    </row>
    <row r="650" spans="1:16" ht="24" customHeight="1" x14ac:dyDescent="0.4">
      <c r="A650" s="313" t="s">
        <v>2248</v>
      </c>
      <c r="B650" s="313" t="s">
        <v>1922</v>
      </c>
      <c r="C650" s="313" t="s">
        <v>439</v>
      </c>
      <c r="D650" s="313" t="s">
        <v>2063</v>
      </c>
      <c r="E650" s="314" t="s">
        <v>422</v>
      </c>
      <c r="F650" s="315">
        <v>1</v>
      </c>
      <c r="G650" s="316">
        <v>55.79</v>
      </c>
      <c r="H650" s="316">
        <v>11.85</v>
      </c>
      <c r="I650" s="316">
        <v>0</v>
      </c>
      <c r="J650" s="316">
        <v>43.94</v>
      </c>
      <c r="K650" s="316">
        <v>55.79</v>
      </c>
      <c r="L650" s="316">
        <v>11.85</v>
      </c>
      <c r="M650" s="316">
        <v>0</v>
      </c>
      <c r="N650" s="316">
        <v>43.94</v>
      </c>
      <c r="O650" s="316">
        <v>55.79</v>
      </c>
      <c r="P650" s="317">
        <v>9.5947401218461484E-5</v>
      </c>
    </row>
    <row r="651" spans="1:16" ht="36" customHeight="1" x14ac:dyDescent="0.4">
      <c r="A651" s="313" t="s">
        <v>2249</v>
      </c>
      <c r="B651" s="313">
        <v>3682</v>
      </c>
      <c r="C651" s="313" t="s">
        <v>420</v>
      </c>
      <c r="D651" s="313" t="s">
        <v>1940</v>
      </c>
      <c r="E651" s="314" t="s">
        <v>422</v>
      </c>
      <c r="F651" s="315">
        <v>1</v>
      </c>
      <c r="G651" s="316">
        <v>82.48</v>
      </c>
      <c r="H651" s="316">
        <v>18.03</v>
      </c>
      <c r="I651" s="316">
        <v>0</v>
      </c>
      <c r="J651" s="316">
        <v>64.45</v>
      </c>
      <c r="K651" s="316">
        <v>82.48</v>
      </c>
      <c r="L651" s="316">
        <v>18.03</v>
      </c>
      <c r="M651" s="316">
        <v>0</v>
      </c>
      <c r="N651" s="316">
        <v>64.45</v>
      </c>
      <c r="O651" s="316">
        <v>82.48</v>
      </c>
      <c r="P651" s="317">
        <v>1.4184874802829724E-4</v>
      </c>
    </row>
    <row r="652" spans="1:16" ht="36" customHeight="1" x14ac:dyDescent="0.4">
      <c r="A652" s="313" t="s">
        <v>2250</v>
      </c>
      <c r="B652" s="313">
        <v>610</v>
      </c>
      <c r="C652" s="313" t="s">
        <v>575</v>
      </c>
      <c r="D652" s="313" t="s">
        <v>1942</v>
      </c>
      <c r="E652" s="314" t="s">
        <v>422</v>
      </c>
      <c r="F652" s="315">
        <v>1</v>
      </c>
      <c r="G652" s="316">
        <v>72.849999999999994</v>
      </c>
      <c r="H652" s="316">
        <v>26.09</v>
      </c>
      <c r="I652" s="316">
        <v>0</v>
      </c>
      <c r="J652" s="316">
        <v>46.76</v>
      </c>
      <c r="K652" s="316">
        <v>72.849999999999994</v>
      </c>
      <c r="L652" s="316">
        <v>26.09</v>
      </c>
      <c r="M652" s="316">
        <v>0</v>
      </c>
      <c r="N652" s="316">
        <v>46.76</v>
      </c>
      <c r="O652" s="316">
        <v>72.849999999999994</v>
      </c>
      <c r="P652" s="317">
        <v>1.2528711558997883E-4</v>
      </c>
    </row>
    <row r="653" spans="1:16" ht="36" customHeight="1" x14ac:dyDescent="0.4">
      <c r="A653" s="313" t="s">
        <v>2251</v>
      </c>
      <c r="B653" s="313">
        <v>92692</v>
      </c>
      <c r="C653" s="313" t="s">
        <v>395</v>
      </c>
      <c r="D653" s="313" t="s">
        <v>6052</v>
      </c>
      <c r="E653" s="314" t="s">
        <v>4</v>
      </c>
      <c r="F653" s="315">
        <v>1</v>
      </c>
      <c r="G653" s="316">
        <v>18.309999999999999</v>
      </c>
      <c r="H653" s="316">
        <v>8.85</v>
      </c>
      <c r="I653" s="316">
        <v>0.6</v>
      </c>
      <c r="J653" s="316">
        <v>8.86</v>
      </c>
      <c r="K653" s="316">
        <v>18.309999999999999</v>
      </c>
      <c r="L653" s="316">
        <v>8.85</v>
      </c>
      <c r="M653" s="316">
        <v>0.6</v>
      </c>
      <c r="N653" s="316">
        <v>8.86</v>
      </c>
      <c r="O653" s="316">
        <v>18.309999999999999</v>
      </c>
      <c r="P653" s="317">
        <v>3.1489458976698867E-5</v>
      </c>
    </row>
    <row r="654" spans="1:16" ht="36" customHeight="1" x14ac:dyDescent="0.4">
      <c r="A654" s="313" t="s">
        <v>3329</v>
      </c>
      <c r="B654" s="313">
        <v>703</v>
      </c>
      <c r="C654" s="313" t="s">
        <v>575</v>
      </c>
      <c r="D654" s="313" t="s">
        <v>2878</v>
      </c>
      <c r="E654" s="314" t="s">
        <v>4</v>
      </c>
      <c r="F654" s="315">
        <v>1</v>
      </c>
      <c r="G654" s="316">
        <v>1380.93</v>
      </c>
      <c r="H654" s="316">
        <v>154.83000000000001</v>
      </c>
      <c r="I654" s="316">
        <v>11.32</v>
      </c>
      <c r="J654" s="316">
        <v>1214.78</v>
      </c>
      <c r="K654" s="316">
        <v>1380.93</v>
      </c>
      <c r="L654" s="316">
        <v>154.83000000000001</v>
      </c>
      <c r="M654" s="316">
        <v>11.32</v>
      </c>
      <c r="N654" s="316">
        <v>1214.78</v>
      </c>
      <c r="O654" s="316">
        <v>1380.93</v>
      </c>
      <c r="P654" s="317">
        <v>2.3749174541066501E-3</v>
      </c>
    </row>
    <row r="655" spans="1:16" ht="36" customHeight="1" x14ac:dyDescent="0.4">
      <c r="A655" s="313" t="s">
        <v>3330</v>
      </c>
      <c r="B655" s="313">
        <v>699</v>
      </c>
      <c r="C655" s="313" t="s">
        <v>575</v>
      </c>
      <c r="D655" s="313" t="s">
        <v>2873</v>
      </c>
      <c r="E655" s="314" t="s">
        <v>4</v>
      </c>
      <c r="F655" s="315">
        <v>1</v>
      </c>
      <c r="G655" s="316">
        <v>7962.99</v>
      </c>
      <c r="H655" s="316">
        <v>264.81</v>
      </c>
      <c r="I655" s="316">
        <v>19.96</v>
      </c>
      <c r="J655" s="316">
        <v>7678.22</v>
      </c>
      <c r="K655" s="316">
        <v>7962.99</v>
      </c>
      <c r="L655" s="316">
        <v>264.81</v>
      </c>
      <c r="M655" s="316">
        <v>19.96</v>
      </c>
      <c r="N655" s="316">
        <v>7678.22</v>
      </c>
      <c r="O655" s="316">
        <v>7962.99</v>
      </c>
      <c r="P655" s="317">
        <v>1.3694715834891498E-2</v>
      </c>
    </row>
    <row r="656" spans="1:16" ht="36" customHeight="1" x14ac:dyDescent="0.4">
      <c r="A656" s="313" t="s">
        <v>3331</v>
      </c>
      <c r="B656" s="313">
        <v>701</v>
      </c>
      <c r="C656" s="313" t="s">
        <v>575</v>
      </c>
      <c r="D656" s="313" t="s">
        <v>2915</v>
      </c>
      <c r="E656" s="314" t="s">
        <v>380</v>
      </c>
      <c r="F656" s="315">
        <v>1</v>
      </c>
      <c r="G656" s="316">
        <v>3376.53</v>
      </c>
      <c r="H656" s="316">
        <v>81.13</v>
      </c>
      <c r="I656" s="316">
        <v>6.36</v>
      </c>
      <c r="J656" s="316">
        <v>3289.04</v>
      </c>
      <c r="K656" s="316">
        <v>3376.53</v>
      </c>
      <c r="L656" s="316">
        <v>81.13</v>
      </c>
      <c r="M656" s="316">
        <v>6.36</v>
      </c>
      <c r="N656" s="316">
        <v>3289.04</v>
      </c>
      <c r="O656" s="316">
        <v>3376.53</v>
      </c>
      <c r="P656" s="317">
        <v>5.8069417213868395E-3</v>
      </c>
    </row>
    <row r="657" spans="1:16" ht="24" customHeight="1" x14ac:dyDescent="0.4">
      <c r="A657" s="313" t="s">
        <v>3332</v>
      </c>
      <c r="B657" s="313">
        <v>702</v>
      </c>
      <c r="C657" s="313" t="s">
        <v>575</v>
      </c>
      <c r="D657" s="313" t="s">
        <v>2916</v>
      </c>
      <c r="E657" s="314" t="s">
        <v>380</v>
      </c>
      <c r="F657" s="315">
        <v>1</v>
      </c>
      <c r="G657" s="316">
        <v>3632.63</v>
      </c>
      <c r="H657" s="316">
        <v>103.13</v>
      </c>
      <c r="I657" s="316">
        <v>8.1</v>
      </c>
      <c r="J657" s="316">
        <v>3521.4</v>
      </c>
      <c r="K657" s="316">
        <v>3632.63</v>
      </c>
      <c r="L657" s="316">
        <v>103.13</v>
      </c>
      <c r="M657" s="316">
        <v>8.1</v>
      </c>
      <c r="N657" s="316">
        <v>3521.4</v>
      </c>
      <c r="O657" s="316">
        <v>3632.63</v>
      </c>
      <c r="P657" s="317">
        <v>6.247381396096428E-3</v>
      </c>
    </row>
    <row r="658" spans="1:16" ht="48" customHeight="1" x14ac:dyDescent="0.4">
      <c r="A658" s="313" t="s">
        <v>3333</v>
      </c>
      <c r="B658" s="313">
        <v>102613</v>
      </c>
      <c r="C658" s="313" t="s">
        <v>395</v>
      </c>
      <c r="D658" s="313" t="s">
        <v>337</v>
      </c>
      <c r="E658" s="314" t="s">
        <v>4</v>
      </c>
      <c r="F658" s="315">
        <v>1</v>
      </c>
      <c r="G658" s="316">
        <v>629.53</v>
      </c>
      <c r="H658" s="316">
        <v>8.35</v>
      </c>
      <c r="I658" s="316">
        <v>0.57999999999999996</v>
      </c>
      <c r="J658" s="316">
        <v>620.6</v>
      </c>
      <c r="K658" s="316">
        <v>629.53</v>
      </c>
      <c r="L658" s="316">
        <v>8.35</v>
      </c>
      <c r="M658" s="316">
        <v>0.57999999999999996</v>
      </c>
      <c r="N658" s="316">
        <v>620.6</v>
      </c>
      <c r="O658" s="316">
        <v>629.53</v>
      </c>
      <c r="P658" s="317">
        <v>1.0826629770399364E-3</v>
      </c>
    </row>
    <row r="659" spans="1:16" ht="48" customHeight="1" x14ac:dyDescent="0.4">
      <c r="A659" s="313" t="s">
        <v>3334</v>
      </c>
      <c r="B659" s="313">
        <v>102617</v>
      </c>
      <c r="C659" s="313" t="s">
        <v>395</v>
      </c>
      <c r="D659" s="313" t="s">
        <v>338</v>
      </c>
      <c r="E659" s="314" t="s">
        <v>4</v>
      </c>
      <c r="F659" s="315">
        <v>1</v>
      </c>
      <c r="G659" s="316">
        <v>3396.62</v>
      </c>
      <c r="H659" s="316">
        <v>175.03</v>
      </c>
      <c r="I659" s="316">
        <v>441.51</v>
      </c>
      <c r="J659" s="316">
        <v>2780.08</v>
      </c>
      <c r="K659" s="316">
        <v>3396.62</v>
      </c>
      <c r="L659" s="316">
        <v>175.03</v>
      </c>
      <c r="M659" s="316">
        <v>441.51</v>
      </c>
      <c r="N659" s="316">
        <v>2780.08</v>
      </c>
      <c r="O659" s="316">
        <v>3396.62</v>
      </c>
      <c r="P659" s="317">
        <v>5.8414924166813164E-3</v>
      </c>
    </row>
    <row r="660" spans="1:16" ht="48" customHeight="1" x14ac:dyDescent="0.4">
      <c r="A660" s="313" t="s">
        <v>3335</v>
      </c>
      <c r="B660" s="313">
        <v>89711</v>
      </c>
      <c r="C660" s="313" t="s">
        <v>395</v>
      </c>
      <c r="D660" s="313" t="s">
        <v>6053</v>
      </c>
      <c r="E660" s="314" t="s">
        <v>7</v>
      </c>
      <c r="F660" s="315">
        <v>1</v>
      </c>
      <c r="G660" s="316">
        <v>28.96</v>
      </c>
      <c r="H660" s="316">
        <v>15.91</v>
      </c>
      <c r="I660" s="316">
        <v>1.08</v>
      </c>
      <c r="J660" s="316">
        <v>11.97</v>
      </c>
      <c r="K660" s="316">
        <v>28.96</v>
      </c>
      <c r="L660" s="316">
        <v>15.91</v>
      </c>
      <c r="M660" s="316">
        <v>1.08</v>
      </c>
      <c r="N660" s="316">
        <v>11.97</v>
      </c>
      <c r="O660" s="316">
        <v>28.96</v>
      </c>
      <c r="P660" s="317">
        <v>4.9805283012845393E-5</v>
      </c>
    </row>
    <row r="661" spans="1:16" ht="48" customHeight="1" x14ac:dyDescent="0.4">
      <c r="A661" s="313" t="s">
        <v>2253</v>
      </c>
      <c r="B661" s="313">
        <v>89712</v>
      </c>
      <c r="C661" s="313" t="s">
        <v>395</v>
      </c>
      <c r="D661" s="313" t="s">
        <v>6054</v>
      </c>
      <c r="E661" s="314" t="s">
        <v>7</v>
      </c>
      <c r="F661" s="315">
        <v>1</v>
      </c>
      <c r="G661" s="316">
        <v>35.590000000000003</v>
      </c>
      <c r="H661" s="316">
        <v>17.28</v>
      </c>
      <c r="I661" s="316">
        <v>1.18</v>
      </c>
      <c r="J661" s="316">
        <v>17.13</v>
      </c>
      <c r="K661" s="316">
        <v>35.590000000000003</v>
      </c>
      <c r="L661" s="316">
        <v>17.28</v>
      </c>
      <c r="M661" s="316">
        <v>1.18</v>
      </c>
      <c r="N661" s="316">
        <v>17.13</v>
      </c>
      <c r="O661" s="316">
        <v>35.590000000000003</v>
      </c>
      <c r="P661" s="317">
        <v>6.1207528398728159E-5</v>
      </c>
    </row>
    <row r="662" spans="1:16" ht="48" customHeight="1" x14ac:dyDescent="0.4">
      <c r="A662" s="313" t="s">
        <v>3336</v>
      </c>
      <c r="B662" s="313">
        <v>89713</v>
      </c>
      <c r="C662" s="313" t="s">
        <v>395</v>
      </c>
      <c r="D662" s="313" t="s">
        <v>6055</v>
      </c>
      <c r="E662" s="314" t="s">
        <v>7</v>
      </c>
      <c r="F662" s="315">
        <v>1</v>
      </c>
      <c r="G662" s="316">
        <v>44.03</v>
      </c>
      <c r="H662" s="316">
        <v>20.71</v>
      </c>
      <c r="I662" s="316">
        <v>1.42</v>
      </c>
      <c r="J662" s="316">
        <v>21.9</v>
      </c>
      <c r="K662" s="316">
        <v>44.03</v>
      </c>
      <c r="L662" s="316">
        <v>20.71</v>
      </c>
      <c r="M662" s="316">
        <v>1.42</v>
      </c>
      <c r="N662" s="316">
        <v>21.9</v>
      </c>
      <c r="O662" s="316">
        <v>44.03</v>
      </c>
      <c r="P662" s="317">
        <v>7.5722603972913774E-5</v>
      </c>
    </row>
    <row r="663" spans="1:16" ht="48" customHeight="1" x14ac:dyDescent="0.4">
      <c r="A663" s="313" t="s">
        <v>3337</v>
      </c>
      <c r="B663" s="313">
        <v>89714</v>
      </c>
      <c r="C663" s="313" t="s">
        <v>395</v>
      </c>
      <c r="D663" s="313" t="s">
        <v>6056</v>
      </c>
      <c r="E663" s="314" t="s">
        <v>7</v>
      </c>
      <c r="F663" s="315">
        <v>1</v>
      </c>
      <c r="G663" s="316">
        <v>49.59</v>
      </c>
      <c r="H663" s="316">
        <v>24.14</v>
      </c>
      <c r="I663" s="316">
        <v>1.66</v>
      </c>
      <c r="J663" s="316">
        <v>23.79</v>
      </c>
      <c r="K663" s="316">
        <v>49.59</v>
      </c>
      <c r="L663" s="316">
        <v>24.14</v>
      </c>
      <c r="M663" s="316">
        <v>1.66</v>
      </c>
      <c r="N663" s="316">
        <v>23.79</v>
      </c>
      <c r="O663" s="316">
        <v>49.59</v>
      </c>
      <c r="P663" s="317">
        <v>8.5284667976761162E-5</v>
      </c>
    </row>
    <row r="664" spans="1:16" ht="48" customHeight="1" x14ac:dyDescent="0.4">
      <c r="A664" s="313" t="s">
        <v>3338</v>
      </c>
      <c r="B664" s="313">
        <v>1145</v>
      </c>
      <c r="C664" s="313" t="s">
        <v>420</v>
      </c>
      <c r="D664" s="313" t="s">
        <v>1977</v>
      </c>
      <c r="E664" s="314" t="s">
        <v>422</v>
      </c>
      <c r="F664" s="315">
        <v>1</v>
      </c>
      <c r="G664" s="316">
        <v>0</v>
      </c>
      <c r="H664" s="316">
        <v>0</v>
      </c>
      <c r="I664" s="316">
        <v>0</v>
      </c>
      <c r="J664" s="316">
        <v>0</v>
      </c>
      <c r="K664" s="316">
        <v>0</v>
      </c>
      <c r="L664" s="316">
        <v>0</v>
      </c>
      <c r="M664" s="316">
        <v>0</v>
      </c>
      <c r="N664" s="316">
        <v>0</v>
      </c>
      <c r="O664" s="316">
        <v>0</v>
      </c>
      <c r="P664" s="317">
        <v>0</v>
      </c>
    </row>
    <row r="665" spans="1:16" ht="36" customHeight="1" x14ac:dyDescent="0.4">
      <c r="A665" s="313" t="s">
        <v>3339</v>
      </c>
      <c r="B665" s="313">
        <v>89724</v>
      </c>
      <c r="C665" s="313" t="s">
        <v>395</v>
      </c>
      <c r="D665" s="313" t="s">
        <v>6057</v>
      </c>
      <c r="E665" s="314" t="s">
        <v>4</v>
      </c>
      <c r="F665" s="315">
        <v>1</v>
      </c>
      <c r="G665" s="316">
        <v>13.76</v>
      </c>
      <c r="H665" s="316">
        <v>6.89</v>
      </c>
      <c r="I665" s="316">
        <v>0.48</v>
      </c>
      <c r="J665" s="316">
        <v>6.39</v>
      </c>
      <c r="K665" s="316">
        <v>13.76</v>
      </c>
      <c r="L665" s="316">
        <v>6.89</v>
      </c>
      <c r="M665" s="316">
        <v>0.48</v>
      </c>
      <c r="N665" s="316">
        <v>6.39</v>
      </c>
      <c r="O665" s="316">
        <v>13.76</v>
      </c>
      <c r="P665" s="317">
        <v>2.3664388613838143E-5</v>
      </c>
    </row>
    <row r="666" spans="1:16" ht="48" customHeight="1" x14ac:dyDescent="0.4">
      <c r="A666" s="313" t="s">
        <v>3340</v>
      </c>
      <c r="B666" s="313">
        <v>89731</v>
      </c>
      <c r="C666" s="313" t="s">
        <v>395</v>
      </c>
      <c r="D666" s="313" t="s">
        <v>6058</v>
      </c>
      <c r="E666" s="314" t="s">
        <v>4</v>
      </c>
      <c r="F666" s="315">
        <v>1</v>
      </c>
      <c r="G666" s="316">
        <v>18.440000000000001</v>
      </c>
      <c r="H666" s="316">
        <v>7.49</v>
      </c>
      <c r="I666" s="316">
        <v>0.52</v>
      </c>
      <c r="J666" s="316">
        <v>10.43</v>
      </c>
      <c r="K666" s="316">
        <v>18.440000000000001</v>
      </c>
      <c r="L666" s="316">
        <v>7.49</v>
      </c>
      <c r="M666" s="316">
        <v>0.52</v>
      </c>
      <c r="N666" s="316">
        <v>10.43</v>
      </c>
      <c r="O666" s="316">
        <v>18.440000000000001</v>
      </c>
      <c r="P666" s="317">
        <v>3.1713032415637746E-5</v>
      </c>
    </row>
    <row r="667" spans="1:16" ht="48" customHeight="1" x14ac:dyDescent="0.4">
      <c r="A667" s="313" t="s">
        <v>3341</v>
      </c>
      <c r="B667" s="313">
        <v>89744</v>
      </c>
      <c r="C667" s="313" t="s">
        <v>395</v>
      </c>
      <c r="D667" s="313" t="s">
        <v>6059</v>
      </c>
      <c r="E667" s="314" t="s">
        <v>4</v>
      </c>
      <c r="F667" s="315">
        <v>1</v>
      </c>
      <c r="G667" s="316">
        <v>32.799999999999997</v>
      </c>
      <c r="H667" s="316">
        <v>10.46</v>
      </c>
      <c r="I667" s="316">
        <v>0.72</v>
      </c>
      <c r="J667" s="316">
        <v>21.62</v>
      </c>
      <c r="K667" s="316">
        <v>32.799999999999997</v>
      </c>
      <c r="L667" s="316">
        <v>10.46</v>
      </c>
      <c r="M667" s="316">
        <v>0.72</v>
      </c>
      <c r="N667" s="316">
        <v>21.62</v>
      </c>
      <c r="O667" s="316">
        <v>32.799999999999997</v>
      </c>
      <c r="P667" s="317">
        <v>5.6409298439963018E-5</v>
      </c>
    </row>
    <row r="668" spans="1:16" ht="48" customHeight="1" x14ac:dyDescent="0.4">
      <c r="A668" s="313" t="s">
        <v>3342</v>
      </c>
      <c r="B668" s="313">
        <v>89726</v>
      </c>
      <c r="C668" s="313" t="s">
        <v>395</v>
      </c>
      <c r="D668" s="313" t="s">
        <v>6060</v>
      </c>
      <c r="E668" s="314" t="s">
        <v>4</v>
      </c>
      <c r="F668" s="315">
        <v>1</v>
      </c>
      <c r="G668" s="316">
        <v>14</v>
      </c>
      <c r="H668" s="316">
        <v>6.89</v>
      </c>
      <c r="I668" s="316">
        <v>0.48</v>
      </c>
      <c r="J668" s="316">
        <v>6.63</v>
      </c>
      <c r="K668" s="316">
        <v>14</v>
      </c>
      <c r="L668" s="316">
        <v>6.89</v>
      </c>
      <c r="M668" s="316">
        <v>0.48</v>
      </c>
      <c r="N668" s="316">
        <v>6.63</v>
      </c>
      <c r="O668" s="316">
        <v>14</v>
      </c>
      <c r="P668" s="317">
        <v>2.4077139578032993E-5</v>
      </c>
    </row>
    <row r="669" spans="1:16" ht="24" customHeight="1" x14ac:dyDescent="0.4">
      <c r="A669" s="313" t="s">
        <v>3343</v>
      </c>
      <c r="B669" s="313">
        <v>89732</v>
      </c>
      <c r="C669" s="313" t="s">
        <v>395</v>
      </c>
      <c r="D669" s="313" t="s">
        <v>6061</v>
      </c>
      <c r="E669" s="314" t="s">
        <v>4</v>
      </c>
      <c r="F669" s="315">
        <v>1</v>
      </c>
      <c r="G669" s="316">
        <v>19.22</v>
      </c>
      <c r="H669" s="316">
        <v>7.49</v>
      </c>
      <c r="I669" s="316">
        <v>0.52</v>
      </c>
      <c r="J669" s="316">
        <v>11.21</v>
      </c>
      <c r="K669" s="316">
        <v>19.22</v>
      </c>
      <c r="L669" s="316">
        <v>7.49</v>
      </c>
      <c r="M669" s="316">
        <v>0.52</v>
      </c>
      <c r="N669" s="316">
        <v>11.21</v>
      </c>
      <c r="O669" s="316">
        <v>19.22</v>
      </c>
      <c r="P669" s="317">
        <v>3.3054473049271012E-5</v>
      </c>
    </row>
    <row r="670" spans="1:16" ht="24" customHeight="1" x14ac:dyDescent="0.4">
      <c r="A670" s="313" t="s">
        <v>2162</v>
      </c>
      <c r="B670" s="313">
        <v>89739</v>
      </c>
      <c r="C670" s="313" t="s">
        <v>395</v>
      </c>
      <c r="D670" s="313" t="s">
        <v>6062</v>
      </c>
      <c r="E670" s="314" t="s">
        <v>4</v>
      </c>
      <c r="F670" s="315">
        <v>1</v>
      </c>
      <c r="G670" s="316">
        <v>28.04</v>
      </c>
      <c r="H670" s="316">
        <v>8.9700000000000006</v>
      </c>
      <c r="I670" s="316">
        <v>0.62</v>
      </c>
      <c r="J670" s="316">
        <v>18.45</v>
      </c>
      <c r="K670" s="316">
        <v>28.04</v>
      </c>
      <c r="L670" s="316">
        <v>8.9700000000000006</v>
      </c>
      <c r="M670" s="316">
        <v>0.62</v>
      </c>
      <c r="N670" s="316">
        <v>18.45</v>
      </c>
      <c r="O670" s="316">
        <v>28.04</v>
      </c>
      <c r="P670" s="317">
        <v>4.8223070983431795E-5</v>
      </c>
    </row>
    <row r="671" spans="1:16" ht="24" customHeight="1" x14ac:dyDescent="0.4">
      <c r="A671" s="313" t="s">
        <v>2951</v>
      </c>
      <c r="B671" s="313">
        <v>89810</v>
      </c>
      <c r="C671" s="313" t="s">
        <v>395</v>
      </c>
      <c r="D671" s="313" t="s">
        <v>6063</v>
      </c>
      <c r="E671" s="314" t="s">
        <v>4</v>
      </c>
      <c r="F671" s="315">
        <v>1</v>
      </c>
      <c r="G671" s="316">
        <v>35.51</v>
      </c>
      <c r="H671" s="316">
        <v>11.79</v>
      </c>
      <c r="I671" s="316">
        <v>0.8</v>
      </c>
      <c r="J671" s="316">
        <v>22.92</v>
      </c>
      <c r="K671" s="316">
        <v>35.51</v>
      </c>
      <c r="L671" s="316">
        <v>11.79</v>
      </c>
      <c r="M671" s="316">
        <v>0.8</v>
      </c>
      <c r="N671" s="316">
        <v>22.92</v>
      </c>
      <c r="O671" s="316">
        <v>35.51</v>
      </c>
      <c r="P671" s="317">
        <v>6.1069944743996542E-5</v>
      </c>
    </row>
    <row r="672" spans="1:16" ht="48" customHeight="1" x14ac:dyDescent="0.4">
      <c r="A672" s="313" t="s">
        <v>2952</v>
      </c>
      <c r="B672" s="313">
        <v>89561</v>
      </c>
      <c r="C672" s="313" t="s">
        <v>395</v>
      </c>
      <c r="D672" s="313" t="s">
        <v>6064</v>
      </c>
      <c r="E672" s="314" t="s">
        <v>4</v>
      </c>
      <c r="F672" s="315">
        <v>1</v>
      </c>
      <c r="G672" s="316">
        <v>17.079999999999998</v>
      </c>
      <c r="H672" s="316">
        <v>3.44</v>
      </c>
      <c r="I672" s="316">
        <v>0.24</v>
      </c>
      <c r="J672" s="316">
        <v>13.4</v>
      </c>
      <c r="K672" s="316">
        <v>17.079999999999998</v>
      </c>
      <c r="L672" s="316">
        <v>3.44</v>
      </c>
      <c r="M672" s="316">
        <v>0.24</v>
      </c>
      <c r="N672" s="316">
        <v>13.4</v>
      </c>
      <c r="O672" s="316">
        <v>17.079999999999998</v>
      </c>
      <c r="P672" s="317">
        <v>2.9374110285200253E-5</v>
      </c>
    </row>
    <row r="673" spans="1:16" ht="48" customHeight="1" x14ac:dyDescent="0.4">
      <c r="A673" s="313" t="s">
        <v>2972</v>
      </c>
      <c r="B673" s="313">
        <v>89785</v>
      </c>
      <c r="C673" s="313" t="s">
        <v>395</v>
      </c>
      <c r="D673" s="313" t="s">
        <v>6065</v>
      </c>
      <c r="E673" s="314" t="s">
        <v>4</v>
      </c>
      <c r="F673" s="315">
        <v>1</v>
      </c>
      <c r="G673" s="316">
        <v>31.59</v>
      </c>
      <c r="H673" s="316">
        <v>9.98</v>
      </c>
      <c r="I673" s="316">
        <v>0.68</v>
      </c>
      <c r="J673" s="316">
        <v>20.93</v>
      </c>
      <c r="K673" s="316">
        <v>31.59</v>
      </c>
      <c r="L673" s="316">
        <v>9.98</v>
      </c>
      <c r="M673" s="316">
        <v>0.68</v>
      </c>
      <c r="N673" s="316">
        <v>20.93</v>
      </c>
      <c r="O673" s="316">
        <v>31.59</v>
      </c>
      <c r="P673" s="317">
        <v>5.4328345662147308E-5</v>
      </c>
    </row>
    <row r="674" spans="1:16" ht="48" customHeight="1" x14ac:dyDescent="0.4">
      <c r="A674" s="313" t="s">
        <v>2973</v>
      </c>
      <c r="B674" s="313">
        <v>89685</v>
      </c>
      <c r="C674" s="313" t="s">
        <v>395</v>
      </c>
      <c r="D674" s="313" t="s">
        <v>5999</v>
      </c>
      <c r="E674" s="314" t="s">
        <v>4</v>
      </c>
      <c r="F674" s="315">
        <v>1</v>
      </c>
      <c r="G674" s="316">
        <v>68.209999999999994</v>
      </c>
      <c r="H674" s="316">
        <v>12.58</v>
      </c>
      <c r="I674" s="316">
        <v>0.86</v>
      </c>
      <c r="J674" s="316">
        <v>54.77</v>
      </c>
      <c r="K674" s="316">
        <v>68.209999999999994</v>
      </c>
      <c r="L674" s="316">
        <v>12.58</v>
      </c>
      <c r="M674" s="316">
        <v>0.86</v>
      </c>
      <c r="N674" s="316">
        <v>54.77</v>
      </c>
      <c r="O674" s="316">
        <v>68.209999999999994</v>
      </c>
      <c r="P674" s="317">
        <v>1.1730726361554504E-4</v>
      </c>
    </row>
    <row r="675" spans="1:16" ht="48" customHeight="1" x14ac:dyDescent="0.4">
      <c r="A675" s="313" t="s">
        <v>2170</v>
      </c>
      <c r="B675" s="313">
        <v>89690</v>
      </c>
      <c r="C675" s="313" t="s">
        <v>395</v>
      </c>
      <c r="D675" s="313" t="s">
        <v>6001</v>
      </c>
      <c r="E675" s="314" t="s">
        <v>4</v>
      </c>
      <c r="F675" s="315">
        <v>1</v>
      </c>
      <c r="G675" s="316">
        <v>100.76</v>
      </c>
      <c r="H675" s="316">
        <v>19.760000000000002</v>
      </c>
      <c r="I675" s="316">
        <v>1.36</v>
      </c>
      <c r="J675" s="316">
        <v>79.64</v>
      </c>
      <c r="K675" s="316">
        <v>100.76</v>
      </c>
      <c r="L675" s="316">
        <v>19.760000000000002</v>
      </c>
      <c r="M675" s="316">
        <v>1.36</v>
      </c>
      <c r="N675" s="316">
        <v>79.64</v>
      </c>
      <c r="O675" s="316">
        <v>100.76</v>
      </c>
      <c r="P675" s="317">
        <v>1.7328661313447175E-4</v>
      </c>
    </row>
    <row r="676" spans="1:16" ht="48" customHeight="1" x14ac:dyDescent="0.4">
      <c r="A676" s="313" t="s">
        <v>2953</v>
      </c>
      <c r="B676" s="313">
        <v>1560</v>
      </c>
      <c r="C676" s="313" t="s">
        <v>420</v>
      </c>
      <c r="D676" s="313" t="s">
        <v>6066</v>
      </c>
      <c r="E676" s="314" t="s">
        <v>422</v>
      </c>
      <c r="F676" s="315">
        <v>1</v>
      </c>
      <c r="G676" s="316">
        <v>35.44</v>
      </c>
      <c r="H676" s="316">
        <v>13.34</v>
      </c>
      <c r="I676" s="316">
        <v>0</v>
      </c>
      <c r="J676" s="316">
        <v>22.1</v>
      </c>
      <c r="K676" s="316">
        <v>35.44</v>
      </c>
      <c r="L676" s="316">
        <v>13.34</v>
      </c>
      <c r="M676" s="316">
        <v>0</v>
      </c>
      <c r="N676" s="316">
        <v>22.1</v>
      </c>
      <c r="O676" s="316">
        <v>35.44</v>
      </c>
      <c r="P676" s="317">
        <v>6.094955904610638E-5</v>
      </c>
    </row>
    <row r="677" spans="1:16" ht="48" customHeight="1" x14ac:dyDescent="0.4">
      <c r="A677" s="313" t="s">
        <v>2954</v>
      </c>
      <c r="B677" s="313">
        <v>1562</v>
      </c>
      <c r="C677" s="313" t="s">
        <v>420</v>
      </c>
      <c r="D677" s="313" t="s">
        <v>1980</v>
      </c>
      <c r="E677" s="314" t="s">
        <v>422</v>
      </c>
      <c r="F677" s="315">
        <v>1</v>
      </c>
      <c r="G677" s="316">
        <v>48.53</v>
      </c>
      <c r="H677" s="316">
        <v>16.579999999999998</v>
      </c>
      <c r="I677" s="316">
        <v>0</v>
      </c>
      <c r="J677" s="316">
        <v>31.95</v>
      </c>
      <c r="K677" s="316">
        <v>48.53</v>
      </c>
      <c r="L677" s="316">
        <v>16.579999999999998</v>
      </c>
      <c r="M677" s="316">
        <v>0</v>
      </c>
      <c r="N677" s="316">
        <v>31.95</v>
      </c>
      <c r="O677" s="316">
        <v>48.53</v>
      </c>
      <c r="P677" s="317">
        <v>8.3461684551567225E-5</v>
      </c>
    </row>
    <row r="678" spans="1:16" ht="36" customHeight="1" x14ac:dyDescent="0.4">
      <c r="A678" s="313" t="s">
        <v>3344</v>
      </c>
      <c r="B678" s="313">
        <v>1563</v>
      </c>
      <c r="C678" s="313" t="s">
        <v>420</v>
      </c>
      <c r="D678" s="313" t="s">
        <v>1982</v>
      </c>
      <c r="E678" s="314" t="s">
        <v>422</v>
      </c>
      <c r="F678" s="315">
        <v>1</v>
      </c>
      <c r="G678" s="316">
        <v>55.44</v>
      </c>
      <c r="H678" s="316">
        <v>16.579999999999998</v>
      </c>
      <c r="I678" s="316">
        <v>0</v>
      </c>
      <c r="J678" s="316">
        <v>38.86</v>
      </c>
      <c r="K678" s="316">
        <v>55.44</v>
      </c>
      <c r="L678" s="316">
        <v>16.579999999999998</v>
      </c>
      <c r="M678" s="316">
        <v>0</v>
      </c>
      <c r="N678" s="316">
        <v>38.86</v>
      </c>
      <c r="O678" s="316">
        <v>55.44</v>
      </c>
      <c r="P678" s="317">
        <v>9.5345472729010657E-5</v>
      </c>
    </row>
    <row r="679" spans="1:16" ht="24" customHeight="1" x14ac:dyDescent="0.4">
      <c r="A679" s="313" t="s">
        <v>2955</v>
      </c>
      <c r="B679" s="313">
        <v>89782</v>
      </c>
      <c r="C679" s="313" t="s">
        <v>395</v>
      </c>
      <c r="D679" s="313" t="s">
        <v>6067</v>
      </c>
      <c r="E679" s="314" t="s">
        <v>4</v>
      </c>
      <c r="F679" s="315">
        <v>1</v>
      </c>
      <c r="G679" s="316">
        <v>19.62</v>
      </c>
      <c r="H679" s="316">
        <v>9.1999999999999993</v>
      </c>
      <c r="I679" s="316">
        <v>0.62</v>
      </c>
      <c r="J679" s="316">
        <v>9.8000000000000007</v>
      </c>
      <c r="K679" s="316">
        <v>19.62</v>
      </c>
      <c r="L679" s="316">
        <v>9.1999999999999993</v>
      </c>
      <c r="M679" s="316">
        <v>0.62</v>
      </c>
      <c r="N679" s="316">
        <v>9.8000000000000007</v>
      </c>
      <c r="O679" s="316">
        <v>19.62</v>
      </c>
      <c r="P679" s="317">
        <v>3.3742391322929095E-5</v>
      </c>
    </row>
    <row r="680" spans="1:16" ht="24" customHeight="1" x14ac:dyDescent="0.4">
      <c r="A680" s="313" t="s">
        <v>2956</v>
      </c>
      <c r="B680" s="313">
        <v>89784</v>
      </c>
      <c r="C680" s="313" t="s">
        <v>395</v>
      </c>
      <c r="D680" s="313" t="s">
        <v>6068</v>
      </c>
      <c r="E680" s="314" t="s">
        <v>4</v>
      </c>
      <c r="F680" s="315">
        <v>1</v>
      </c>
      <c r="G680" s="316">
        <v>29.09</v>
      </c>
      <c r="H680" s="316">
        <v>9.98</v>
      </c>
      <c r="I680" s="316">
        <v>0.68</v>
      </c>
      <c r="J680" s="316">
        <v>18.43</v>
      </c>
      <c r="K680" s="316">
        <v>29.09</v>
      </c>
      <c r="L680" s="316">
        <v>9.98</v>
      </c>
      <c r="M680" s="316">
        <v>0.68</v>
      </c>
      <c r="N680" s="316">
        <v>18.43</v>
      </c>
      <c r="O680" s="316">
        <v>29.09</v>
      </c>
      <c r="P680" s="317">
        <v>5.0028856451784271E-5</v>
      </c>
    </row>
    <row r="681" spans="1:16" ht="24" customHeight="1" x14ac:dyDescent="0.4">
      <c r="A681" s="313" t="s">
        <v>2957</v>
      </c>
      <c r="B681" s="313">
        <v>94698</v>
      </c>
      <c r="C681" s="313" t="s">
        <v>395</v>
      </c>
      <c r="D681" s="313" t="s">
        <v>6069</v>
      </c>
      <c r="E681" s="314" t="s">
        <v>4</v>
      </c>
      <c r="F681" s="315">
        <v>1</v>
      </c>
      <c r="G681" s="316">
        <v>75.650000000000006</v>
      </c>
      <c r="H681" s="316">
        <v>16.78</v>
      </c>
      <c r="I681" s="316">
        <v>1.1399999999999999</v>
      </c>
      <c r="J681" s="316">
        <v>57.73</v>
      </c>
      <c r="K681" s="316">
        <v>75.650000000000006</v>
      </c>
      <c r="L681" s="316">
        <v>16.78</v>
      </c>
      <c r="M681" s="316">
        <v>1.1399999999999999</v>
      </c>
      <c r="N681" s="316">
        <v>57.73</v>
      </c>
      <c r="O681" s="316">
        <v>75.650000000000006</v>
      </c>
      <c r="P681" s="317">
        <v>1.3010254350558542E-4</v>
      </c>
    </row>
    <row r="682" spans="1:16" ht="24" customHeight="1" x14ac:dyDescent="0.4">
      <c r="A682" s="313" t="s">
        <v>2958</v>
      </c>
      <c r="B682" s="313">
        <v>94702</v>
      </c>
      <c r="C682" s="313" t="s">
        <v>395</v>
      </c>
      <c r="D682" s="313" t="s">
        <v>6070</v>
      </c>
      <c r="E682" s="314" t="s">
        <v>4</v>
      </c>
      <c r="F682" s="315">
        <v>1</v>
      </c>
      <c r="G682" s="316">
        <v>205.44</v>
      </c>
      <c r="H682" s="316">
        <v>31.7</v>
      </c>
      <c r="I682" s="316">
        <v>2.1800000000000002</v>
      </c>
      <c r="J682" s="316">
        <v>171.56</v>
      </c>
      <c r="K682" s="316">
        <v>205.44</v>
      </c>
      <c r="L682" s="316">
        <v>31.7</v>
      </c>
      <c r="M682" s="316">
        <v>2.1800000000000002</v>
      </c>
      <c r="N682" s="316">
        <v>171.56</v>
      </c>
      <c r="O682" s="316">
        <v>205.44</v>
      </c>
      <c r="P682" s="317">
        <v>3.5331482535079273E-4</v>
      </c>
    </row>
    <row r="683" spans="1:16" ht="36" customHeight="1" x14ac:dyDescent="0.4">
      <c r="A683" s="313" t="s">
        <v>2959</v>
      </c>
      <c r="B683" s="313">
        <v>89753</v>
      </c>
      <c r="C683" s="313" t="s">
        <v>395</v>
      </c>
      <c r="D683" s="313" t="s">
        <v>6071</v>
      </c>
      <c r="E683" s="314" t="s">
        <v>4</v>
      </c>
      <c r="F683" s="315">
        <v>1</v>
      </c>
      <c r="G683" s="316">
        <v>11.94</v>
      </c>
      <c r="H683" s="316">
        <v>4.99</v>
      </c>
      <c r="I683" s="316">
        <v>0.34</v>
      </c>
      <c r="J683" s="316">
        <v>6.61</v>
      </c>
      <c r="K683" s="316">
        <v>11.94</v>
      </c>
      <c r="L683" s="316">
        <v>4.99</v>
      </c>
      <c r="M683" s="316">
        <v>0.34</v>
      </c>
      <c r="N683" s="316">
        <v>6.61</v>
      </c>
      <c r="O683" s="316">
        <v>11.94</v>
      </c>
      <c r="P683" s="317">
        <v>2.0534360468693855E-5</v>
      </c>
    </row>
    <row r="684" spans="1:16" ht="36" customHeight="1" x14ac:dyDescent="0.4">
      <c r="A684" s="313" t="s">
        <v>2960</v>
      </c>
      <c r="B684" s="313">
        <v>89774</v>
      </c>
      <c r="C684" s="313" t="s">
        <v>395</v>
      </c>
      <c r="D684" s="313" t="s">
        <v>6072</v>
      </c>
      <c r="E684" s="314" t="s">
        <v>4</v>
      </c>
      <c r="F684" s="315">
        <v>1</v>
      </c>
      <c r="G684" s="316">
        <v>19.03</v>
      </c>
      <c r="H684" s="316">
        <v>5.99</v>
      </c>
      <c r="I684" s="316">
        <v>0.4</v>
      </c>
      <c r="J684" s="316">
        <v>12.64</v>
      </c>
      <c r="K684" s="316">
        <v>19.03</v>
      </c>
      <c r="L684" s="316">
        <v>5.99</v>
      </c>
      <c r="M684" s="316">
        <v>0.4</v>
      </c>
      <c r="N684" s="316">
        <v>12.64</v>
      </c>
      <c r="O684" s="316">
        <v>19.03</v>
      </c>
      <c r="P684" s="317">
        <v>3.2727711869283424E-5</v>
      </c>
    </row>
    <row r="685" spans="1:16" ht="24" customHeight="1" x14ac:dyDescent="0.4">
      <c r="A685" s="313" t="s">
        <v>2961</v>
      </c>
      <c r="B685" s="313">
        <v>89856</v>
      </c>
      <c r="C685" s="313" t="s">
        <v>395</v>
      </c>
      <c r="D685" s="313" t="s">
        <v>6073</v>
      </c>
      <c r="E685" s="314" t="s">
        <v>4</v>
      </c>
      <c r="F685" s="315">
        <v>1</v>
      </c>
      <c r="G685" s="316">
        <v>26.17</v>
      </c>
      <c r="H685" s="316">
        <v>10.039999999999999</v>
      </c>
      <c r="I685" s="316">
        <v>0.68</v>
      </c>
      <c r="J685" s="316">
        <v>15.45</v>
      </c>
      <c r="K685" s="316">
        <v>26.17</v>
      </c>
      <c r="L685" s="316">
        <v>10.039999999999999</v>
      </c>
      <c r="M685" s="316">
        <v>0.68</v>
      </c>
      <c r="N685" s="316">
        <v>15.45</v>
      </c>
      <c r="O685" s="316">
        <v>26.17</v>
      </c>
      <c r="P685" s="317">
        <v>4.5007053054080251E-5</v>
      </c>
    </row>
    <row r="686" spans="1:16" ht="24" customHeight="1" x14ac:dyDescent="0.4">
      <c r="A686" s="313" t="s">
        <v>2962</v>
      </c>
      <c r="B686" s="313">
        <v>1608</v>
      </c>
      <c r="C686" s="313" t="s">
        <v>420</v>
      </c>
      <c r="D686" s="313" t="s">
        <v>1984</v>
      </c>
      <c r="E686" s="314" t="s">
        <v>422</v>
      </c>
      <c r="F686" s="315">
        <v>1</v>
      </c>
      <c r="G686" s="316">
        <v>16.420000000000002</v>
      </c>
      <c r="H686" s="316">
        <v>4.32</v>
      </c>
      <c r="I686" s="316">
        <v>0</v>
      </c>
      <c r="J686" s="316">
        <v>12.1</v>
      </c>
      <c r="K686" s="316">
        <v>16.420000000000002</v>
      </c>
      <c r="L686" s="316">
        <v>4.32</v>
      </c>
      <c r="M686" s="316">
        <v>0</v>
      </c>
      <c r="N686" s="316">
        <v>12.1</v>
      </c>
      <c r="O686" s="316">
        <v>16.420000000000002</v>
      </c>
      <c r="P686" s="317">
        <v>2.8239045133664413E-5</v>
      </c>
    </row>
    <row r="687" spans="1:16" ht="24" customHeight="1" x14ac:dyDescent="0.4">
      <c r="A687" s="313" t="s">
        <v>2974</v>
      </c>
      <c r="B687" s="313">
        <v>1582</v>
      </c>
      <c r="C687" s="313" t="s">
        <v>420</v>
      </c>
      <c r="D687" s="313" t="s">
        <v>1986</v>
      </c>
      <c r="E687" s="314" t="s">
        <v>422</v>
      </c>
      <c r="F687" s="315">
        <v>1</v>
      </c>
      <c r="G687" s="316">
        <v>20.440000000000001</v>
      </c>
      <c r="H687" s="316">
        <v>6.49</v>
      </c>
      <c r="I687" s="316">
        <v>0</v>
      </c>
      <c r="J687" s="316">
        <v>13.95</v>
      </c>
      <c r="K687" s="316">
        <v>20.440000000000001</v>
      </c>
      <c r="L687" s="316">
        <v>6.49</v>
      </c>
      <c r="M687" s="316">
        <v>0</v>
      </c>
      <c r="N687" s="316">
        <v>13.95</v>
      </c>
      <c r="O687" s="316">
        <v>20.440000000000001</v>
      </c>
      <c r="P687" s="317">
        <v>3.5152623783928175E-5</v>
      </c>
    </row>
    <row r="688" spans="1:16" ht="24" customHeight="1" x14ac:dyDescent="0.4">
      <c r="A688" s="313" t="s">
        <v>2963</v>
      </c>
      <c r="B688" s="313">
        <v>1583</v>
      </c>
      <c r="C688" s="313" t="s">
        <v>420</v>
      </c>
      <c r="D688" s="313" t="s">
        <v>6074</v>
      </c>
      <c r="E688" s="314" t="s">
        <v>422</v>
      </c>
      <c r="F688" s="315">
        <v>1</v>
      </c>
      <c r="G688" s="316">
        <v>24.72</v>
      </c>
      <c r="H688" s="316">
        <v>8.2899999999999991</v>
      </c>
      <c r="I688" s="316">
        <v>0</v>
      </c>
      <c r="J688" s="316">
        <v>16.43</v>
      </c>
      <c r="K688" s="316">
        <v>24.72</v>
      </c>
      <c r="L688" s="316">
        <v>8.2899999999999991</v>
      </c>
      <c r="M688" s="316">
        <v>0</v>
      </c>
      <c r="N688" s="316">
        <v>16.43</v>
      </c>
      <c r="O688" s="316">
        <v>24.72</v>
      </c>
      <c r="P688" s="317">
        <v>4.2513349312069685E-5</v>
      </c>
    </row>
    <row r="689" spans="1:16" ht="24" customHeight="1" x14ac:dyDescent="0.4">
      <c r="A689" s="313" t="s">
        <v>2964</v>
      </c>
      <c r="B689" s="313">
        <v>1584</v>
      </c>
      <c r="C689" s="313" t="s">
        <v>420</v>
      </c>
      <c r="D689" s="313" t="s">
        <v>6075</v>
      </c>
      <c r="E689" s="314" t="s">
        <v>422</v>
      </c>
      <c r="F689" s="315">
        <v>1</v>
      </c>
      <c r="G689" s="316">
        <v>27.41</v>
      </c>
      <c r="H689" s="316">
        <v>8.2899999999999991</v>
      </c>
      <c r="I689" s="316">
        <v>0</v>
      </c>
      <c r="J689" s="316">
        <v>19.12</v>
      </c>
      <c r="K689" s="316">
        <v>27.41</v>
      </c>
      <c r="L689" s="316">
        <v>8.2899999999999991</v>
      </c>
      <c r="M689" s="316">
        <v>0</v>
      </c>
      <c r="N689" s="316">
        <v>19.12</v>
      </c>
      <c r="O689" s="316">
        <v>27.41</v>
      </c>
      <c r="P689" s="317">
        <v>4.7139599702420316E-5</v>
      </c>
    </row>
    <row r="690" spans="1:16" ht="24" customHeight="1" x14ac:dyDescent="0.4">
      <c r="A690" s="313" t="s">
        <v>2965</v>
      </c>
      <c r="B690" s="313">
        <v>89402</v>
      </c>
      <c r="C690" s="313" t="s">
        <v>395</v>
      </c>
      <c r="D690" s="313" t="s">
        <v>6076</v>
      </c>
      <c r="E690" s="314" t="s">
        <v>7</v>
      </c>
      <c r="F690" s="315">
        <v>1</v>
      </c>
      <c r="G690" s="316">
        <v>16.34</v>
      </c>
      <c r="H690" s="316">
        <v>8.61</v>
      </c>
      <c r="I690" s="316">
        <v>0.57999999999999996</v>
      </c>
      <c r="J690" s="316">
        <v>7.15</v>
      </c>
      <c r="K690" s="316">
        <v>16.34</v>
      </c>
      <c r="L690" s="316">
        <v>8.61</v>
      </c>
      <c r="M690" s="316">
        <v>0.57999999999999996</v>
      </c>
      <c r="N690" s="316">
        <v>7.15</v>
      </c>
      <c r="O690" s="316">
        <v>16.34</v>
      </c>
      <c r="P690" s="317">
        <v>2.8101461478932796E-5</v>
      </c>
    </row>
    <row r="691" spans="1:16" ht="24" customHeight="1" x14ac:dyDescent="0.4">
      <c r="A691" s="313" t="s">
        <v>2966</v>
      </c>
      <c r="B691" s="313">
        <v>96664</v>
      </c>
      <c r="C691" s="313" t="s">
        <v>395</v>
      </c>
      <c r="D691" s="313" t="s">
        <v>6077</v>
      </c>
      <c r="E691" s="314" t="s">
        <v>4</v>
      </c>
      <c r="F691" s="315">
        <v>1</v>
      </c>
      <c r="G691" s="316">
        <v>20.95</v>
      </c>
      <c r="H691" s="316">
        <v>4.74</v>
      </c>
      <c r="I691" s="316">
        <v>0.32</v>
      </c>
      <c r="J691" s="316">
        <v>15.89</v>
      </c>
      <c r="K691" s="316">
        <v>20.95</v>
      </c>
      <c r="L691" s="316">
        <v>4.74</v>
      </c>
      <c r="M691" s="316">
        <v>0.32</v>
      </c>
      <c r="N691" s="316">
        <v>15.89</v>
      </c>
      <c r="O691" s="316">
        <v>20.95</v>
      </c>
      <c r="P691" s="317">
        <v>3.6029719582842229E-5</v>
      </c>
    </row>
    <row r="692" spans="1:16" ht="24" customHeight="1" x14ac:dyDescent="0.4">
      <c r="A692" s="313" t="s">
        <v>2967</v>
      </c>
      <c r="B692" s="313">
        <v>293</v>
      </c>
      <c r="C692" s="313" t="s">
        <v>575</v>
      </c>
      <c r="D692" s="313" t="s">
        <v>581</v>
      </c>
      <c r="E692" s="314" t="s">
        <v>582</v>
      </c>
      <c r="F692" s="315">
        <v>1</v>
      </c>
      <c r="G692" s="316">
        <v>39.83</v>
      </c>
      <c r="H692" s="316">
        <v>28.48</v>
      </c>
      <c r="I692" s="316">
        <v>2.2999999999999998</v>
      </c>
      <c r="J692" s="316">
        <v>9.0500000000000007</v>
      </c>
      <c r="K692" s="316">
        <v>39.83</v>
      </c>
      <c r="L692" s="316">
        <v>28.48</v>
      </c>
      <c r="M692" s="316">
        <v>2.2999999999999998</v>
      </c>
      <c r="N692" s="316">
        <v>9.0500000000000007</v>
      </c>
      <c r="O692" s="316">
        <v>39.83</v>
      </c>
      <c r="P692" s="317">
        <v>6.8499462099503867E-5</v>
      </c>
    </row>
    <row r="693" spans="1:16" ht="24" customHeight="1" x14ac:dyDescent="0.4">
      <c r="A693" s="313" t="s">
        <v>2968</v>
      </c>
      <c r="B693" s="313" t="s">
        <v>1892</v>
      </c>
      <c r="C693" s="313" t="s">
        <v>5902</v>
      </c>
      <c r="D693" s="313" t="s">
        <v>1903</v>
      </c>
      <c r="E693" s="314" t="s">
        <v>4</v>
      </c>
      <c r="F693" s="315">
        <v>1</v>
      </c>
      <c r="G693" s="316">
        <v>137</v>
      </c>
      <c r="H693" s="316">
        <v>16.75</v>
      </c>
      <c r="I693" s="316">
        <v>0</v>
      </c>
      <c r="J693" s="316">
        <v>120.25</v>
      </c>
      <c r="K693" s="316">
        <v>137</v>
      </c>
      <c r="L693" s="316">
        <v>16.75</v>
      </c>
      <c r="M693" s="316">
        <v>0</v>
      </c>
      <c r="N693" s="316">
        <v>120.25</v>
      </c>
      <c r="O693" s="316">
        <v>137</v>
      </c>
      <c r="P693" s="317">
        <v>2.3561200872789431E-4</v>
      </c>
    </row>
    <row r="694" spans="1:16" ht="36" customHeight="1" x14ac:dyDescent="0.4">
      <c r="A694" s="313" t="s">
        <v>2969</v>
      </c>
      <c r="B694" s="313" t="s">
        <v>1893</v>
      </c>
      <c r="C694" s="313" t="s">
        <v>5902</v>
      </c>
      <c r="D694" s="313" t="s">
        <v>1905</v>
      </c>
      <c r="E694" s="314" t="s">
        <v>4</v>
      </c>
      <c r="F694" s="315">
        <v>1</v>
      </c>
      <c r="G694" s="316">
        <v>255.67</v>
      </c>
      <c r="H694" s="316">
        <v>22.33</v>
      </c>
      <c r="I694" s="316">
        <v>0</v>
      </c>
      <c r="J694" s="316">
        <v>233.34</v>
      </c>
      <c r="K694" s="316">
        <v>255.67</v>
      </c>
      <c r="L694" s="316">
        <v>22.33</v>
      </c>
      <c r="M694" s="316">
        <v>0</v>
      </c>
      <c r="N694" s="316">
        <v>233.34</v>
      </c>
      <c r="O694" s="316">
        <v>255.67</v>
      </c>
      <c r="P694" s="317">
        <v>4.3970016256540684E-4</v>
      </c>
    </row>
    <row r="695" spans="1:16" ht="24" customHeight="1" x14ac:dyDescent="0.4">
      <c r="A695" s="313" t="s">
        <v>2970</v>
      </c>
      <c r="B695" s="313">
        <v>86881</v>
      </c>
      <c r="C695" s="313" t="s">
        <v>395</v>
      </c>
      <c r="D695" s="313" t="s">
        <v>6078</v>
      </c>
      <c r="E695" s="314" t="s">
        <v>4</v>
      </c>
      <c r="F695" s="315">
        <v>1</v>
      </c>
      <c r="G695" s="316">
        <v>233.79</v>
      </c>
      <c r="H695" s="316">
        <v>11.94</v>
      </c>
      <c r="I695" s="316">
        <v>0.84</v>
      </c>
      <c r="J695" s="316">
        <v>221.01</v>
      </c>
      <c r="K695" s="316">
        <v>233.79</v>
      </c>
      <c r="L695" s="316">
        <v>11.94</v>
      </c>
      <c r="M695" s="316">
        <v>0.84</v>
      </c>
      <c r="N695" s="316">
        <v>221.01</v>
      </c>
      <c r="O695" s="316">
        <v>233.79</v>
      </c>
      <c r="P695" s="317">
        <v>4.0207103299630956E-4</v>
      </c>
    </row>
    <row r="696" spans="1:16" ht="36" customHeight="1" x14ac:dyDescent="0.4">
      <c r="A696" s="313" t="s">
        <v>2971</v>
      </c>
      <c r="B696" s="313">
        <v>2094</v>
      </c>
      <c r="C696" s="313" t="s">
        <v>420</v>
      </c>
      <c r="D696" s="313" t="s">
        <v>568</v>
      </c>
      <c r="E696" s="314" t="s">
        <v>422</v>
      </c>
      <c r="F696" s="315">
        <v>1</v>
      </c>
      <c r="G696" s="316">
        <v>378.37</v>
      </c>
      <c r="H696" s="316">
        <v>23.42</v>
      </c>
      <c r="I696" s="316">
        <v>0</v>
      </c>
      <c r="J696" s="316">
        <v>354.95</v>
      </c>
      <c r="K696" s="316">
        <v>378.37</v>
      </c>
      <c r="L696" s="316">
        <v>23.42</v>
      </c>
      <c r="M696" s="316">
        <v>0</v>
      </c>
      <c r="N696" s="316">
        <v>354.95</v>
      </c>
      <c r="O696" s="316">
        <v>378.37</v>
      </c>
      <c r="P696" s="317">
        <v>6.5071909301002461E-4</v>
      </c>
    </row>
    <row r="697" spans="1:16" ht="24" customHeight="1" x14ac:dyDescent="0.4">
      <c r="A697" s="313" t="s">
        <v>2975</v>
      </c>
      <c r="B697" s="313">
        <v>142106</v>
      </c>
      <c r="C697" s="313" t="s">
        <v>436</v>
      </c>
      <c r="D697" s="313" t="s">
        <v>569</v>
      </c>
      <c r="E697" s="314" t="s">
        <v>570</v>
      </c>
      <c r="F697" s="315">
        <v>1</v>
      </c>
      <c r="G697" s="316">
        <v>30.63</v>
      </c>
      <c r="H697" s="316">
        <v>12</v>
      </c>
      <c r="I697" s="316">
        <v>0</v>
      </c>
      <c r="J697" s="316">
        <v>18.63</v>
      </c>
      <c r="K697" s="316">
        <v>30.63</v>
      </c>
      <c r="L697" s="316">
        <v>12</v>
      </c>
      <c r="M697" s="316">
        <v>0</v>
      </c>
      <c r="N697" s="316">
        <v>18.63</v>
      </c>
      <c r="O697" s="316">
        <v>30.63</v>
      </c>
      <c r="P697" s="317">
        <v>5.2677341805367902E-5</v>
      </c>
    </row>
    <row r="698" spans="1:16" ht="48" customHeight="1" x14ac:dyDescent="0.4">
      <c r="A698" s="313" t="s">
        <v>2980</v>
      </c>
      <c r="B698" s="313">
        <v>1595</v>
      </c>
      <c r="C698" s="313" t="s">
        <v>420</v>
      </c>
      <c r="D698" s="313" t="s">
        <v>567</v>
      </c>
      <c r="E698" s="314" t="s">
        <v>422</v>
      </c>
      <c r="F698" s="315">
        <v>1</v>
      </c>
      <c r="G698" s="316">
        <v>23.7</v>
      </c>
      <c r="H698" s="316">
        <v>8.2899999999999991</v>
      </c>
      <c r="I698" s="316">
        <v>0</v>
      </c>
      <c r="J698" s="316">
        <v>15.41</v>
      </c>
      <c r="K698" s="316">
        <v>23.7</v>
      </c>
      <c r="L698" s="316">
        <v>8.2899999999999991</v>
      </c>
      <c r="M698" s="316">
        <v>0</v>
      </c>
      <c r="N698" s="316">
        <v>15.41</v>
      </c>
      <c r="O698" s="316">
        <v>23.7</v>
      </c>
      <c r="P698" s="317">
        <v>4.0759157714241569E-5</v>
      </c>
    </row>
    <row r="699" spans="1:16" ht="36" customHeight="1" x14ac:dyDescent="0.4">
      <c r="A699" s="313" t="s">
        <v>2981</v>
      </c>
      <c r="B699" s="313">
        <v>1594</v>
      </c>
      <c r="C699" s="313" t="s">
        <v>420</v>
      </c>
      <c r="D699" s="313" t="s">
        <v>1907</v>
      </c>
      <c r="E699" s="314" t="s">
        <v>422</v>
      </c>
      <c r="F699" s="315">
        <v>1</v>
      </c>
      <c r="G699" s="316">
        <v>14.31</v>
      </c>
      <c r="H699" s="316">
        <v>2.52</v>
      </c>
      <c r="I699" s="316">
        <v>0</v>
      </c>
      <c r="J699" s="316">
        <v>11.79</v>
      </c>
      <c r="K699" s="316">
        <v>14.31</v>
      </c>
      <c r="L699" s="316">
        <v>2.52</v>
      </c>
      <c r="M699" s="316">
        <v>0</v>
      </c>
      <c r="N699" s="316">
        <v>11.79</v>
      </c>
      <c r="O699" s="316">
        <v>14.31</v>
      </c>
      <c r="P699" s="317">
        <v>2.4610276240118009E-5</v>
      </c>
    </row>
    <row r="700" spans="1:16" ht="36" customHeight="1" x14ac:dyDescent="0.4">
      <c r="A700" s="313" t="s">
        <v>2982</v>
      </c>
      <c r="B700" s="313" t="s">
        <v>1975</v>
      </c>
      <c r="C700" s="313" t="s">
        <v>431</v>
      </c>
      <c r="D700" s="313" t="s">
        <v>6079</v>
      </c>
      <c r="E700" s="314" t="s">
        <v>4</v>
      </c>
      <c r="F700" s="315">
        <v>1</v>
      </c>
      <c r="G700" s="316">
        <v>50.63</v>
      </c>
      <c r="H700" s="316">
        <v>24.86</v>
      </c>
      <c r="I700" s="316">
        <v>0</v>
      </c>
      <c r="J700" s="316">
        <v>25.77</v>
      </c>
      <c r="K700" s="316">
        <v>50.63</v>
      </c>
      <c r="L700" s="316">
        <v>24.86</v>
      </c>
      <c r="M700" s="316">
        <v>0</v>
      </c>
      <c r="N700" s="316">
        <v>25.77</v>
      </c>
      <c r="O700" s="316">
        <v>50.63</v>
      </c>
      <c r="P700" s="317">
        <v>8.7073255488272179E-5</v>
      </c>
    </row>
    <row r="701" spans="1:16" ht="24" customHeight="1" x14ac:dyDescent="0.4">
      <c r="A701" s="313" t="s">
        <v>2983</v>
      </c>
      <c r="B701" s="313">
        <v>89708</v>
      </c>
      <c r="C701" s="313" t="s">
        <v>395</v>
      </c>
      <c r="D701" s="313" t="s">
        <v>6080</v>
      </c>
      <c r="E701" s="314" t="s">
        <v>4</v>
      </c>
      <c r="F701" s="315">
        <v>1</v>
      </c>
      <c r="G701" s="316">
        <v>143</v>
      </c>
      <c r="H701" s="316">
        <v>25.95</v>
      </c>
      <c r="I701" s="316">
        <v>1.78</v>
      </c>
      <c r="J701" s="316">
        <v>115.27</v>
      </c>
      <c r="K701" s="316">
        <v>143</v>
      </c>
      <c r="L701" s="316">
        <v>25.95</v>
      </c>
      <c r="M701" s="316">
        <v>1.78</v>
      </c>
      <c r="N701" s="316">
        <v>115.27</v>
      </c>
      <c r="O701" s="316">
        <v>143</v>
      </c>
      <c r="P701" s="317">
        <v>2.4593078283276557E-4</v>
      </c>
    </row>
    <row r="702" spans="1:16" ht="24" customHeight="1" x14ac:dyDescent="0.4">
      <c r="A702" s="313" t="s">
        <v>3345</v>
      </c>
      <c r="B702" s="313" t="s">
        <v>1884</v>
      </c>
      <c r="C702" s="313" t="s">
        <v>5902</v>
      </c>
      <c r="D702" s="313" t="s">
        <v>1876</v>
      </c>
      <c r="E702" s="314" t="s">
        <v>4</v>
      </c>
      <c r="F702" s="315">
        <v>1</v>
      </c>
      <c r="G702" s="316">
        <v>485.24</v>
      </c>
      <c r="H702" s="316">
        <v>75.53</v>
      </c>
      <c r="I702" s="316">
        <v>0</v>
      </c>
      <c r="J702" s="316">
        <v>409.71</v>
      </c>
      <c r="K702" s="316">
        <v>485.24</v>
      </c>
      <c r="L702" s="316">
        <v>75.53</v>
      </c>
      <c r="M702" s="316">
        <v>0</v>
      </c>
      <c r="N702" s="316">
        <v>409.71</v>
      </c>
      <c r="O702" s="316">
        <v>485.24</v>
      </c>
      <c r="P702" s="317">
        <v>8.3451365777462356E-4</v>
      </c>
    </row>
    <row r="703" spans="1:16" ht="24" customHeight="1" x14ac:dyDescent="0.4">
      <c r="A703" s="313" t="s">
        <v>2984</v>
      </c>
      <c r="B703" s="313">
        <v>96523</v>
      </c>
      <c r="C703" s="313" t="s">
        <v>395</v>
      </c>
      <c r="D703" s="313" t="s">
        <v>5908</v>
      </c>
      <c r="E703" s="314" t="s">
        <v>713</v>
      </c>
      <c r="F703" s="315">
        <v>1</v>
      </c>
      <c r="G703" s="316">
        <v>143.22999999999999</v>
      </c>
      <c r="H703" s="316">
        <v>101.45</v>
      </c>
      <c r="I703" s="316">
        <v>9.6199999999999992</v>
      </c>
      <c r="J703" s="316">
        <v>32.159999999999997</v>
      </c>
      <c r="K703" s="316">
        <v>143.22999999999999</v>
      </c>
      <c r="L703" s="316">
        <v>101.45</v>
      </c>
      <c r="M703" s="316">
        <v>9.6199999999999992</v>
      </c>
      <c r="N703" s="316">
        <v>32.159999999999997</v>
      </c>
      <c r="O703" s="316">
        <v>143.22999999999999</v>
      </c>
      <c r="P703" s="317">
        <v>2.4632633584011901E-4</v>
      </c>
    </row>
    <row r="704" spans="1:16" ht="24" customHeight="1" x14ac:dyDescent="0.4">
      <c r="A704" s="313" t="s">
        <v>2985</v>
      </c>
      <c r="B704" s="313">
        <v>93382</v>
      </c>
      <c r="C704" s="313" t="s">
        <v>395</v>
      </c>
      <c r="D704" s="313" t="s">
        <v>5909</v>
      </c>
      <c r="E704" s="314" t="s">
        <v>713</v>
      </c>
      <c r="F704" s="315">
        <v>1</v>
      </c>
      <c r="G704" s="316">
        <v>38.03</v>
      </c>
      <c r="H704" s="316">
        <v>24.64</v>
      </c>
      <c r="I704" s="316">
        <v>2.98</v>
      </c>
      <c r="J704" s="316">
        <v>10.41</v>
      </c>
      <c r="K704" s="316">
        <v>38.03</v>
      </c>
      <c r="L704" s="316">
        <v>24.64</v>
      </c>
      <c r="M704" s="316">
        <v>2.98</v>
      </c>
      <c r="N704" s="316">
        <v>10.41</v>
      </c>
      <c r="O704" s="316">
        <v>38.03</v>
      </c>
      <c r="P704" s="317">
        <v>6.5403829868042486E-5</v>
      </c>
    </row>
    <row r="705" spans="1:16" ht="36" customHeight="1" x14ac:dyDescent="0.4">
      <c r="A705" s="313" t="s">
        <v>2986</v>
      </c>
      <c r="B705" s="313">
        <v>100981</v>
      </c>
      <c r="C705" s="313" t="s">
        <v>395</v>
      </c>
      <c r="D705" s="313" t="s">
        <v>5910</v>
      </c>
      <c r="E705" s="314" t="s">
        <v>713</v>
      </c>
      <c r="F705" s="315">
        <v>1</v>
      </c>
      <c r="G705" s="316">
        <v>11.52</v>
      </c>
      <c r="H705" s="316">
        <v>3.06</v>
      </c>
      <c r="I705" s="316">
        <v>4.32</v>
      </c>
      <c r="J705" s="316">
        <v>4.1399999999999997</v>
      </c>
      <c r="K705" s="316">
        <v>11.52</v>
      </c>
      <c r="L705" s="316">
        <v>3.06</v>
      </c>
      <c r="M705" s="316">
        <v>4.32</v>
      </c>
      <c r="N705" s="316">
        <v>4.1399999999999997</v>
      </c>
      <c r="O705" s="316">
        <v>11.52</v>
      </c>
      <c r="P705" s="317">
        <v>1.9812046281352864E-5</v>
      </c>
    </row>
    <row r="706" spans="1:16" ht="24" customHeight="1" x14ac:dyDescent="0.4">
      <c r="A706" s="313" t="s">
        <v>2987</v>
      </c>
      <c r="B706" s="313">
        <v>95875</v>
      </c>
      <c r="C706" s="313" t="s">
        <v>395</v>
      </c>
      <c r="D706" s="313" t="s">
        <v>5911</v>
      </c>
      <c r="E706" s="314" t="s">
        <v>120</v>
      </c>
      <c r="F706" s="315">
        <v>1</v>
      </c>
      <c r="G706" s="316">
        <v>3.2</v>
      </c>
      <c r="H706" s="316">
        <v>0.6</v>
      </c>
      <c r="I706" s="316">
        <v>0.92</v>
      </c>
      <c r="J706" s="316">
        <v>1.68</v>
      </c>
      <c r="K706" s="316">
        <v>3.2</v>
      </c>
      <c r="L706" s="316">
        <v>0.6</v>
      </c>
      <c r="M706" s="316">
        <v>0.92</v>
      </c>
      <c r="N706" s="316">
        <v>1.68</v>
      </c>
      <c r="O706" s="316">
        <v>3.2</v>
      </c>
      <c r="P706" s="317">
        <v>5.5033461892646843E-6</v>
      </c>
    </row>
    <row r="707" spans="1:16" ht="36" customHeight="1" x14ac:dyDescent="0.4">
      <c r="A707" s="313" t="s">
        <v>2988</v>
      </c>
      <c r="B707" s="313">
        <v>93590</v>
      </c>
      <c r="C707" s="313" t="s">
        <v>395</v>
      </c>
      <c r="D707" s="313" t="s">
        <v>5912</v>
      </c>
      <c r="E707" s="314" t="s">
        <v>120</v>
      </c>
      <c r="F707" s="315">
        <v>1</v>
      </c>
      <c r="G707" s="316">
        <v>1.23</v>
      </c>
      <c r="H707" s="316">
        <v>0.23</v>
      </c>
      <c r="I707" s="316">
        <v>0.35</v>
      </c>
      <c r="J707" s="316">
        <v>0.65</v>
      </c>
      <c r="K707" s="316">
        <v>1.23</v>
      </c>
      <c r="L707" s="316">
        <v>0.23</v>
      </c>
      <c r="M707" s="316">
        <v>0.35</v>
      </c>
      <c r="N707" s="316">
        <v>0.65</v>
      </c>
      <c r="O707" s="316">
        <v>1.23</v>
      </c>
      <c r="P707" s="317">
        <v>2.1153486914986132E-6</v>
      </c>
    </row>
    <row r="708" spans="1:16" ht="36" customHeight="1" x14ac:dyDescent="0.4">
      <c r="A708" s="313" t="s">
        <v>2989</v>
      </c>
      <c r="B708" s="313">
        <v>96616</v>
      </c>
      <c r="C708" s="313" t="s">
        <v>395</v>
      </c>
      <c r="D708" s="313" t="s">
        <v>5914</v>
      </c>
      <c r="E708" s="314" t="s">
        <v>713</v>
      </c>
      <c r="F708" s="315">
        <v>1</v>
      </c>
      <c r="G708" s="316">
        <v>975.14</v>
      </c>
      <c r="H708" s="316">
        <v>383.38</v>
      </c>
      <c r="I708" s="316">
        <v>35.51</v>
      </c>
      <c r="J708" s="316">
        <v>556.25</v>
      </c>
      <c r="K708" s="316">
        <v>975.14</v>
      </c>
      <c r="L708" s="316">
        <v>383.38</v>
      </c>
      <c r="M708" s="316">
        <v>35.51</v>
      </c>
      <c r="N708" s="316">
        <v>556.25</v>
      </c>
      <c r="O708" s="316">
        <v>975.14</v>
      </c>
      <c r="P708" s="317">
        <v>1.6770415634373638E-3</v>
      </c>
    </row>
    <row r="709" spans="1:16" ht="60" customHeight="1" x14ac:dyDescent="0.4">
      <c r="A709" s="313" t="s">
        <v>2990</v>
      </c>
      <c r="B709" s="313" t="s">
        <v>2771</v>
      </c>
      <c r="C709" s="313" t="s">
        <v>5902</v>
      </c>
      <c r="D709" s="313" t="s">
        <v>2773</v>
      </c>
      <c r="E709" s="314" t="s">
        <v>675</v>
      </c>
      <c r="F709" s="315">
        <v>1</v>
      </c>
      <c r="G709" s="316">
        <v>109.59</v>
      </c>
      <c r="H709" s="316">
        <v>65.45</v>
      </c>
      <c r="I709" s="316">
        <v>0</v>
      </c>
      <c r="J709" s="316">
        <v>44.14</v>
      </c>
      <c r="K709" s="316">
        <v>109.59</v>
      </c>
      <c r="L709" s="316">
        <v>65.45</v>
      </c>
      <c r="M709" s="316">
        <v>0</v>
      </c>
      <c r="N709" s="316">
        <v>44.14</v>
      </c>
      <c r="O709" s="316">
        <v>109.59</v>
      </c>
      <c r="P709" s="317">
        <v>1.8847240902547399E-4</v>
      </c>
    </row>
    <row r="710" spans="1:16" ht="60" customHeight="1" x14ac:dyDescent="0.4">
      <c r="A710" s="313" t="s">
        <v>2991</v>
      </c>
      <c r="B710" s="313">
        <v>96545</v>
      </c>
      <c r="C710" s="313" t="s">
        <v>395</v>
      </c>
      <c r="D710" s="313" t="s">
        <v>5913</v>
      </c>
      <c r="E710" s="314" t="s">
        <v>3</v>
      </c>
      <c r="F710" s="315">
        <v>1</v>
      </c>
      <c r="G710" s="316">
        <v>19.260000000000002</v>
      </c>
      <c r="H710" s="316">
        <v>6.5</v>
      </c>
      <c r="I710" s="316">
        <v>0.48</v>
      </c>
      <c r="J710" s="316">
        <v>12.28</v>
      </c>
      <c r="K710" s="316">
        <v>19.260000000000002</v>
      </c>
      <c r="L710" s="316">
        <v>6.5</v>
      </c>
      <c r="M710" s="316">
        <v>0.48</v>
      </c>
      <c r="N710" s="316">
        <v>12.28</v>
      </c>
      <c r="O710" s="316">
        <v>19.260000000000002</v>
      </c>
      <c r="P710" s="317">
        <v>3.312326487663682E-5</v>
      </c>
    </row>
    <row r="711" spans="1:16" ht="24" customHeight="1" x14ac:dyDescent="0.4">
      <c r="A711" s="313" t="s">
        <v>2992</v>
      </c>
      <c r="B711" s="313" t="s">
        <v>754</v>
      </c>
      <c r="C711" s="313" t="s">
        <v>5902</v>
      </c>
      <c r="D711" s="313" t="s">
        <v>759</v>
      </c>
      <c r="E711" s="314" t="s">
        <v>713</v>
      </c>
      <c r="F711" s="315">
        <v>1</v>
      </c>
      <c r="G711" s="316">
        <v>598.41999999999996</v>
      </c>
      <c r="H711" s="316">
        <v>0</v>
      </c>
      <c r="I711" s="316">
        <v>0</v>
      </c>
      <c r="J711" s="316">
        <v>598.41999999999996</v>
      </c>
      <c r="K711" s="316">
        <v>598.41999999999996</v>
      </c>
      <c r="L711" s="316">
        <v>0</v>
      </c>
      <c r="M711" s="316">
        <v>0</v>
      </c>
      <c r="N711" s="316">
        <v>598.41999999999996</v>
      </c>
      <c r="O711" s="316">
        <v>598.41999999999996</v>
      </c>
      <c r="P711" s="317">
        <v>1.0291601333061789E-3</v>
      </c>
    </row>
    <row r="712" spans="1:16" ht="24" customHeight="1" x14ac:dyDescent="0.4">
      <c r="A712" s="313" t="s">
        <v>933</v>
      </c>
      <c r="B712" s="313">
        <v>90285</v>
      </c>
      <c r="C712" s="313" t="s">
        <v>395</v>
      </c>
      <c r="D712" s="313" t="s">
        <v>348</v>
      </c>
      <c r="E712" s="314" t="s">
        <v>713</v>
      </c>
      <c r="F712" s="315">
        <v>1</v>
      </c>
      <c r="G712" s="316">
        <v>768.58</v>
      </c>
      <c r="H712" s="316">
        <v>93.16</v>
      </c>
      <c r="I712" s="316">
        <v>8.48</v>
      </c>
      <c r="J712" s="316">
        <v>666.94</v>
      </c>
      <c r="K712" s="316">
        <v>768.58</v>
      </c>
      <c r="L712" s="316">
        <v>93.16</v>
      </c>
      <c r="M712" s="316">
        <v>8.48</v>
      </c>
      <c r="N712" s="316">
        <v>666.94</v>
      </c>
      <c r="O712" s="316">
        <v>768.58</v>
      </c>
      <c r="P712" s="317">
        <v>1.3218005669203285E-3</v>
      </c>
    </row>
    <row r="713" spans="1:16" ht="24" customHeight="1" x14ac:dyDescent="0.4">
      <c r="A713" s="313" t="s">
        <v>2161</v>
      </c>
      <c r="B713" s="313" t="s">
        <v>1996</v>
      </c>
      <c r="C713" s="313" t="s">
        <v>5902</v>
      </c>
      <c r="D713" s="313" t="s">
        <v>2001</v>
      </c>
      <c r="E713" s="314" t="s">
        <v>713</v>
      </c>
      <c r="F713" s="315">
        <v>1</v>
      </c>
      <c r="G713" s="316">
        <v>191.54</v>
      </c>
      <c r="H713" s="316">
        <v>191.54</v>
      </c>
      <c r="I713" s="316">
        <v>0</v>
      </c>
      <c r="J713" s="316">
        <v>0</v>
      </c>
      <c r="K713" s="316">
        <v>191.54</v>
      </c>
      <c r="L713" s="316">
        <v>191.54</v>
      </c>
      <c r="M713" s="316">
        <v>0</v>
      </c>
      <c r="N713" s="316">
        <v>0</v>
      </c>
      <c r="O713" s="316">
        <v>191.54</v>
      </c>
      <c r="P713" s="317">
        <v>3.2940966534117426E-4</v>
      </c>
    </row>
    <row r="714" spans="1:16" ht="24" customHeight="1" x14ac:dyDescent="0.4">
      <c r="A714" s="313" t="s">
        <v>2993</v>
      </c>
      <c r="B714" s="313">
        <v>92336</v>
      </c>
      <c r="C714" s="313" t="s">
        <v>395</v>
      </c>
      <c r="D714" s="313" t="s">
        <v>6081</v>
      </c>
      <c r="E714" s="314" t="s">
        <v>7</v>
      </c>
      <c r="F714" s="315">
        <v>1</v>
      </c>
      <c r="G714" s="316">
        <v>116.95</v>
      </c>
      <c r="H714" s="316">
        <v>16.059999999999999</v>
      </c>
      <c r="I714" s="316">
        <v>1.1000000000000001</v>
      </c>
      <c r="J714" s="316">
        <v>99.79</v>
      </c>
      <c r="K714" s="316">
        <v>116.95</v>
      </c>
      <c r="L714" s="316">
        <v>16.059999999999999</v>
      </c>
      <c r="M714" s="316">
        <v>1.1000000000000001</v>
      </c>
      <c r="N714" s="316">
        <v>99.79</v>
      </c>
      <c r="O714" s="316">
        <v>116.95</v>
      </c>
      <c r="P714" s="317">
        <v>2.0113010526078278E-4</v>
      </c>
    </row>
    <row r="715" spans="1:16" ht="24" customHeight="1" x14ac:dyDescent="0.4">
      <c r="A715" s="313" t="s">
        <v>2994</v>
      </c>
      <c r="B715" s="313">
        <v>92337</v>
      </c>
      <c r="C715" s="313" t="s">
        <v>395</v>
      </c>
      <c r="D715" s="313" t="s">
        <v>6082</v>
      </c>
      <c r="E715" s="314" t="s">
        <v>7</v>
      </c>
      <c r="F715" s="315">
        <v>1</v>
      </c>
      <c r="G715" s="316">
        <v>150.57</v>
      </c>
      <c r="H715" s="316">
        <v>16.59</v>
      </c>
      <c r="I715" s="316">
        <v>1.1399999999999999</v>
      </c>
      <c r="J715" s="316">
        <v>132.84</v>
      </c>
      <c r="K715" s="316">
        <v>150.57</v>
      </c>
      <c r="L715" s="316">
        <v>16.59</v>
      </c>
      <c r="M715" s="316">
        <v>1.1399999999999999</v>
      </c>
      <c r="N715" s="316">
        <v>132.84</v>
      </c>
      <c r="O715" s="316">
        <v>150.57</v>
      </c>
      <c r="P715" s="317">
        <v>2.5894963616174488E-4</v>
      </c>
    </row>
    <row r="716" spans="1:16" ht="24" customHeight="1" x14ac:dyDescent="0.4">
      <c r="A716" s="313" t="s">
        <v>2995</v>
      </c>
      <c r="B716" s="313">
        <v>94473</v>
      </c>
      <c r="C716" s="313" t="s">
        <v>395</v>
      </c>
      <c r="D716" s="313" t="s">
        <v>6083</v>
      </c>
      <c r="E716" s="314" t="s">
        <v>4</v>
      </c>
      <c r="F716" s="315">
        <v>1</v>
      </c>
      <c r="G716" s="316">
        <v>138.47999999999999</v>
      </c>
      <c r="H716" s="316">
        <v>29.82</v>
      </c>
      <c r="I716" s="316">
        <v>2.04</v>
      </c>
      <c r="J716" s="316">
        <v>106.62</v>
      </c>
      <c r="K716" s="316">
        <v>138.47999999999999</v>
      </c>
      <c r="L716" s="316">
        <v>29.82</v>
      </c>
      <c r="M716" s="316">
        <v>2.04</v>
      </c>
      <c r="N716" s="316">
        <v>106.62</v>
      </c>
      <c r="O716" s="316">
        <v>138.47999999999999</v>
      </c>
      <c r="P716" s="317">
        <v>2.3815730634042922E-4</v>
      </c>
    </row>
    <row r="717" spans="1:16" ht="24" customHeight="1" x14ac:dyDescent="0.4">
      <c r="A717" s="313" t="s">
        <v>2996</v>
      </c>
      <c r="B717" s="313">
        <v>94475</v>
      </c>
      <c r="C717" s="313" t="s">
        <v>395</v>
      </c>
      <c r="D717" s="313" t="s">
        <v>6084</v>
      </c>
      <c r="E717" s="314" t="s">
        <v>4</v>
      </c>
      <c r="F717" s="315">
        <v>1</v>
      </c>
      <c r="G717" s="316">
        <v>185.78</v>
      </c>
      <c r="H717" s="316">
        <v>35.18</v>
      </c>
      <c r="I717" s="316">
        <v>2.4</v>
      </c>
      <c r="J717" s="316">
        <v>148.19999999999999</v>
      </c>
      <c r="K717" s="316">
        <v>185.78</v>
      </c>
      <c r="L717" s="316">
        <v>35.18</v>
      </c>
      <c r="M717" s="316">
        <v>2.4</v>
      </c>
      <c r="N717" s="316">
        <v>148.19999999999999</v>
      </c>
      <c r="O717" s="316">
        <v>185.78</v>
      </c>
      <c r="P717" s="317">
        <v>3.1950364220049787E-4</v>
      </c>
    </row>
    <row r="718" spans="1:16" ht="24" customHeight="1" x14ac:dyDescent="0.4">
      <c r="A718" s="313" t="s">
        <v>3000</v>
      </c>
      <c r="B718" s="313">
        <v>1016</v>
      </c>
      <c r="C718" s="313" t="s">
        <v>420</v>
      </c>
      <c r="D718" s="313" t="s">
        <v>1948</v>
      </c>
      <c r="E718" s="314" t="s">
        <v>422</v>
      </c>
      <c r="F718" s="315">
        <v>1</v>
      </c>
      <c r="G718" s="316">
        <v>223.02</v>
      </c>
      <c r="H718" s="316">
        <v>15.49</v>
      </c>
      <c r="I718" s="316">
        <v>0</v>
      </c>
      <c r="J718" s="316">
        <v>207.53</v>
      </c>
      <c r="K718" s="316">
        <v>223.02</v>
      </c>
      <c r="L718" s="316">
        <v>15.49</v>
      </c>
      <c r="M718" s="316">
        <v>0</v>
      </c>
      <c r="N718" s="316">
        <v>207.53</v>
      </c>
      <c r="O718" s="316">
        <v>223.02</v>
      </c>
      <c r="P718" s="317">
        <v>3.8354883347806558E-4</v>
      </c>
    </row>
    <row r="719" spans="1:16" ht="60" customHeight="1" x14ac:dyDescent="0.4">
      <c r="A719" s="313" t="s">
        <v>3346</v>
      </c>
      <c r="B719" s="313">
        <v>986</v>
      </c>
      <c r="C719" s="313" t="s">
        <v>420</v>
      </c>
      <c r="D719" s="313" t="s">
        <v>6085</v>
      </c>
      <c r="E719" s="314" t="s">
        <v>422</v>
      </c>
      <c r="F719" s="315">
        <v>1</v>
      </c>
      <c r="G719" s="316">
        <v>287.52</v>
      </c>
      <c r="H719" s="316">
        <v>14.42</v>
      </c>
      <c r="I719" s="316">
        <v>0</v>
      </c>
      <c r="J719" s="316">
        <v>273.10000000000002</v>
      </c>
      <c r="K719" s="316">
        <v>287.52</v>
      </c>
      <c r="L719" s="316">
        <v>14.42</v>
      </c>
      <c r="M719" s="316">
        <v>0</v>
      </c>
      <c r="N719" s="316">
        <v>273.10000000000002</v>
      </c>
      <c r="O719" s="316">
        <v>287.52</v>
      </c>
      <c r="P719" s="317">
        <v>4.944756551054319E-4</v>
      </c>
    </row>
    <row r="720" spans="1:16" ht="60" customHeight="1" x14ac:dyDescent="0.4">
      <c r="A720" s="313" t="s">
        <v>3347</v>
      </c>
      <c r="B720" s="313">
        <v>987</v>
      </c>
      <c r="C720" s="313" t="s">
        <v>420</v>
      </c>
      <c r="D720" s="313" t="s">
        <v>589</v>
      </c>
      <c r="E720" s="314" t="s">
        <v>422</v>
      </c>
      <c r="F720" s="315">
        <v>1</v>
      </c>
      <c r="G720" s="316">
        <v>455.41</v>
      </c>
      <c r="H720" s="316">
        <v>15.49</v>
      </c>
      <c r="I720" s="316">
        <v>0</v>
      </c>
      <c r="J720" s="316">
        <v>439.92</v>
      </c>
      <c r="K720" s="316">
        <v>455.41</v>
      </c>
      <c r="L720" s="316">
        <v>15.49</v>
      </c>
      <c r="M720" s="316">
        <v>0</v>
      </c>
      <c r="N720" s="316">
        <v>439.92</v>
      </c>
      <c r="O720" s="316">
        <v>455.41</v>
      </c>
      <c r="P720" s="317">
        <v>7.8321215251657189E-4</v>
      </c>
    </row>
    <row r="721" spans="1:16" ht="24" customHeight="1" x14ac:dyDescent="0.4">
      <c r="A721" s="313" t="s">
        <v>3348</v>
      </c>
      <c r="B721" s="313">
        <v>99624</v>
      </c>
      <c r="C721" s="313" t="s">
        <v>395</v>
      </c>
      <c r="D721" s="313" t="s">
        <v>363</v>
      </c>
      <c r="E721" s="314" t="s">
        <v>4</v>
      </c>
      <c r="F721" s="315">
        <v>1</v>
      </c>
      <c r="G721" s="316">
        <v>825.45</v>
      </c>
      <c r="H721" s="316">
        <v>24.69</v>
      </c>
      <c r="I721" s="316">
        <v>1.7</v>
      </c>
      <c r="J721" s="316">
        <v>799.06</v>
      </c>
      <c r="K721" s="316">
        <v>825.45</v>
      </c>
      <c r="L721" s="316">
        <v>24.69</v>
      </c>
      <c r="M721" s="316">
        <v>1.7</v>
      </c>
      <c r="N721" s="316">
        <v>799.06</v>
      </c>
      <c r="O721" s="316">
        <v>825.45</v>
      </c>
      <c r="P721" s="317">
        <v>1.4196053474776669E-3</v>
      </c>
    </row>
    <row r="722" spans="1:16" ht="48" customHeight="1" x14ac:dyDescent="0.4">
      <c r="A722" s="313" t="s">
        <v>3349</v>
      </c>
      <c r="B722" s="313">
        <v>99625</v>
      </c>
      <c r="C722" s="313" t="s">
        <v>395</v>
      </c>
      <c r="D722" s="313" t="s">
        <v>364</v>
      </c>
      <c r="E722" s="314" t="s">
        <v>4</v>
      </c>
      <c r="F722" s="315">
        <v>1</v>
      </c>
      <c r="G722" s="316">
        <v>1135.71</v>
      </c>
      <c r="H722" s="316">
        <v>30.93</v>
      </c>
      <c r="I722" s="316">
        <v>2.12</v>
      </c>
      <c r="J722" s="316">
        <v>1102.6600000000001</v>
      </c>
      <c r="K722" s="316">
        <v>1135.71</v>
      </c>
      <c r="L722" s="316">
        <v>30.93</v>
      </c>
      <c r="M722" s="316">
        <v>2.12</v>
      </c>
      <c r="N722" s="316">
        <v>1102.6600000000001</v>
      </c>
      <c r="O722" s="316">
        <v>1135.71</v>
      </c>
      <c r="P722" s="317">
        <v>1.9531891564405607E-3</v>
      </c>
    </row>
    <row r="723" spans="1:16" ht="24" customHeight="1" x14ac:dyDescent="0.4">
      <c r="A723" s="313" t="s">
        <v>3350</v>
      </c>
      <c r="B723" s="313">
        <v>103016</v>
      </c>
      <c r="C723" s="313" t="s">
        <v>395</v>
      </c>
      <c r="D723" s="313" t="s">
        <v>366</v>
      </c>
      <c r="E723" s="314" t="s">
        <v>4</v>
      </c>
      <c r="F723" s="315">
        <v>1</v>
      </c>
      <c r="G723" s="316">
        <v>776.82</v>
      </c>
      <c r="H723" s="316">
        <v>15.47</v>
      </c>
      <c r="I723" s="316">
        <v>1.06</v>
      </c>
      <c r="J723" s="316">
        <v>760.29</v>
      </c>
      <c r="K723" s="316">
        <v>776.82</v>
      </c>
      <c r="L723" s="316">
        <v>15.47</v>
      </c>
      <c r="M723" s="316">
        <v>1.06</v>
      </c>
      <c r="N723" s="316">
        <v>760.29</v>
      </c>
      <c r="O723" s="316">
        <v>776.82</v>
      </c>
      <c r="P723" s="317">
        <v>1.3359716833576851E-3</v>
      </c>
    </row>
    <row r="724" spans="1:16" ht="24" customHeight="1" x14ac:dyDescent="0.4">
      <c r="A724" s="313" t="s">
        <v>3351</v>
      </c>
      <c r="B724" s="313">
        <v>94499</v>
      </c>
      <c r="C724" s="313" t="s">
        <v>395</v>
      </c>
      <c r="D724" s="313" t="s">
        <v>354</v>
      </c>
      <c r="E724" s="314" t="s">
        <v>4</v>
      </c>
      <c r="F724" s="315">
        <v>1</v>
      </c>
      <c r="G724" s="316">
        <v>236.62</v>
      </c>
      <c r="H724" s="316">
        <v>24.69</v>
      </c>
      <c r="I724" s="316">
        <v>1.7</v>
      </c>
      <c r="J724" s="316">
        <v>210.23</v>
      </c>
      <c r="K724" s="316">
        <v>236.62</v>
      </c>
      <c r="L724" s="316">
        <v>24.69</v>
      </c>
      <c r="M724" s="316">
        <v>1.7</v>
      </c>
      <c r="N724" s="316">
        <v>210.23</v>
      </c>
      <c r="O724" s="316">
        <v>236.62</v>
      </c>
      <c r="P724" s="317">
        <v>4.0693805478244049E-4</v>
      </c>
    </row>
    <row r="725" spans="1:16" ht="24" customHeight="1" x14ac:dyDescent="0.4">
      <c r="A725" s="313" t="s">
        <v>3352</v>
      </c>
      <c r="B725" s="313">
        <v>94500</v>
      </c>
      <c r="C725" s="313" t="s">
        <v>395</v>
      </c>
      <c r="D725" s="313" t="s">
        <v>355</v>
      </c>
      <c r="E725" s="314" t="s">
        <v>4</v>
      </c>
      <c r="F725" s="315">
        <v>1</v>
      </c>
      <c r="G725" s="316">
        <v>287.86</v>
      </c>
      <c r="H725" s="316">
        <v>30.93</v>
      </c>
      <c r="I725" s="316">
        <v>2.12</v>
      </c>
      <c r="J725" s="316">
        <v>254.81</v>
      </c>
      <c r="K725" s="316">
        <v>287.86</v>
      </c>
      <c r="L725" s="316">
        <v>30.93</v>
      </c>
      <c r="M725" s="316">
        <v>2.12</v>
      </c>
      <c r="N725" s="316">
        <v>254.81</v>
      </c>
      <c r="O725" s="316">
        <v>287.86</v>
      </c>
      <c r="P725" s="317">
        <v>4.9506038563804132E-4</v>
      </c>
    </row>
    <row r="726" spans="1:16" ht="36" customHeight="1" x14ac:dyDescent="0.4">
      <c r="A726" s="313" t="s">
        <v>3353</v>
      </c>
      <c r="B726" s="313">
        <v>299</v>
      </c>
      <c r="C726" s="313" t="s">
        <v>575</v>
      </c>
      <c r="D726" s="313" t="s">
        <v>2052</v>
      </c>
      <c r="E726" s="314" t="s">
        <v>4</v>
      </c>
      <c r="F726" s="315">
        <v>1</v>
      </c>
      <c r="G726" s="316">
        <v>2709.48</v>
      </c>
      <c r="H726" s="316">
        <v>164.94</v>
      </c>
      <c r="I726" s="316">
        <v>11.3</v>
      </c>
      <c r="J726" s="316">
        <v>2533.2399999999998</v>
      </c>
      <c r="K726" s="316">
        <v>2709.48</v>
      </c>
      <c r="L726" s="316">
        <v>164.94</v>
      </c>
      <c r="M726" s="316">
        <v>11.3</v>
      </c>
      <c r="N726" s="316">
        <v>2533.2399999999998</v>
      </c>
      <c r="O726" s="316">
        <v>2709.48</v>
      </c>
      <c r="P726" s="317">
        <v>4.6597520102777739E-3</v>
      </c>
    </row>
    <row r="727" spans="1:16" ht="24" customHeight="1" x14ac:dyDescent="0.4">
      <c r="A727" s="313" t="s">
        <v>3354</v>
      </c>
      <c r="B727" s="313">
        <v>300</v>
      </c>
      <c r="C727" s="313" t="s">
        <v>575</v>
      </c>
      <c r="D727" s="313" t="s">
        <v>2053</v>
      </c>
      <c r="E727" s="314" t="s">
        <v>4</v>
      </c>
      <c r="F727" s="315">
        <v>1</v>
      </c>
      <c r="G727" s="316">
        <v>2714.87</v>
      </c>
      <c r="H727" s="316">
        <v>164.94</v>
      </c>
      <c r="I727" s="316">
        <v>11.3</v>
      </c>
      <c r="J727" s="316">
        <v>2538.63</v>
      </c>
      <c r="K727" s="316">
        <v>2714.87</v>
      </c>
      <c r="L727" s="316">
        <v>164.94</v>
      </c>
      <c r="M727" s="316">
        <v>11.3</v>
      </c>
      <c r="N727" s="316">
        <v>2538.63</v>
      </c>
      <c r="O727" s="316">
        <v>2714.87</v>
      </c>
      <c r="P727" s="317">
        <v>4.6690217090153167E-3</v>
      </c>
    </row>
    <row r="728" spans="1:16" ht="24" customHeight="1" x14ac:dyDescent="0.4">
      <c r="A728" s="313" t="s">
        <v>3355</v>
      </c>
      <c r="B728" s="313" t="s">
        <v>556</v>
      </c>
      <c r="C728" s="313" t="s">
        <v>5902</v>
      </c>
      <c r="D728" s="313" t="s">
        <v>588</v>
      </c>
      <c r="E728" s="314" t="s">
        <v>4</v>
      </c>
      <c r="F728" s="315">
        <v>1</v>
      </c>
      <c r="G728" s="316">
        <v>123.65</v>
      </c>
      <c r="H728" s="316">
        <v>5.58</v>
      </c>
      <c r="I728" s="316">
        <v>0</v>
      </c>
      <c r="J728" s="316">
        <v>118.07</v>
      </c>
      <c r="K728" s="316">
        <v>123.65</v>
      </c>
      <c r="L728" s="316">
        <v>5.58</v>
      </c>
      <c r="M728" s="316">
        <v>0</v>
      </c>
      <c r="N728" s="316">
        <v>118.07</v>
      </c>
      <c r="O728" s="316">
        <v>123.65</v>
      </c>
      <c r="P728" s="317">
        <v>2.1265273634455569E-4</v>
      </c>
    </row>
    <row r="729" spans="1:16" ht="36" customHeight="1" x14ac:dyDescent="0.4">
      <c r="A729" s="313" t="s">
        <v>985</v>
      </c>
      <c r="B729" s="313">
        <v>103019</v>
      </c>
      <c r="C729" s="313" t="s">
        <v>395</v>
      </c>
      <c r="D729" s="313" t="s">
        <v>367</v>
      </c>
      <c r="E729" s="314" t="s">
        <v>4</v>
      </c>
      <c r="F729" s="315">
        <v>1</v>
      </c>
      <c r="G729" s="316">
        <v>252.02</v>
      </c>
      <c r="H729" s="316">
        <v>24.69</v>
      </c>
      <c r="I729" s="316">
        <v>1.7</v>
      </c>
      <c r="J729" s="316">
        <v>225.63</v>
      </c>
      <c r="K729" s="316">
        <v>252.02</v>
      </c>
      <c r="L729" s="316">
        <v>24.69</v>
      </c>
      <c r="M729" s="316">
        <v>1.7</v>
      </c>
      <c r="N729" s="316">
        <v>225.63</v>
      </c>
      <c r="O729" s="316">
        <v>252.02</v>
      </c>
      <c r="P729" s="317">
        <v>4.3342290831827681E-4</v>
      </c>
    </row>
    <row r="730" spans="1:16" ht="36" customHeight="1" x14ac:dyDescent="0.4">
      <c r="A730" s="313" t="s">
        <v>3356</v>
      </c>
      <c r="B730" s="313" t="s">
        <v>1954</v>
      </c>
      <c r="C730" s="313" t="s">
        <v>5902</v>
      </c>
      <c r="D730" s="313" t="s">
        <v>1957</v>
      </c>
      <c r="E730" s="314" t="s">
        <v>4</v>
      </c>
      <c r="F730" s="315">
        <v>1</v>
      </c>
      <c r="G730" s="316">
        <v>650.83000000000004</v>
      </c>
      <c r="H730" s="316">
        <v>23.18</v>
      </c>
      <c r="I730" s="316">
        <v>0</v>
      </c>
      <c r="J730" s="316">
        <v>627.65</v>
      </c>
      <c r="K730" s="316">
        <v>650.83000000000004</v>
      </c>
      <c r="L730" s="316">
        <v>23.18</v>
      </c>
      <c r="M730" s="316">
        <v>0</v>
      </c>
      <c r="N730" s="316">
        <v>627.65</v>
      </c>
      <c r="O730" s="316">
        <v>650.83000000000004</v>
      </c>
      <c r="P730" s="317">
        <v>1.1192946251122296E-3</v>
      </c>
    </row>
    <row r="731" spans="1:16" ht="36" customHeight="1" x14ac:dyDescent="0.4">
      <c r="A731" s="313" t="s">
        <v>3357</v>
      </c>
      <c r="B731" s="313" t="s">
        <v>2024</v>
      </c>
      <c r="C731" s="313" t="s">
        <v>5902</v>
      </c>
      <c r="D731" s="313" t="s">
        <v>2026</v>
      </c>
      <c r="E731" s="314" t="s">
        <v>4</v>
      </c>
      <c r="F731" s="315">
        <v>1</v>
      </c>
      <c r="G731" s="316">
        <v>204.49</v>
      </c>
      <c r="H731" s="316">
        <v>23.18</v>
      </c>
      <c r="I731" s="316">
        <v>0</v>
      </c>
      <c r="J731" s="316">
        <v>181.31</v>
      </c>
      <c r="K731" s="316">
        <v>204.49</v>
      </c>
      <c r="L731" s="316">
        <v>23.18</v>
      </c>
      <c r="M731" s="316">
        <v>0</v>
      </c>
      <c r="N731" s="316">
        <v>181.31</v>
      </c>
      <c r="O731" s="316">
        <v>204.49</v>
      </c>
      <c r="P731" s="317">
        <v>3.5168101945085478E-4</v>
      </c>
    </row>
    <row r="732" spans="1:16" ht="36" customHeight="1" x14ac:dyDescent="0.4">
      <c r="A732" s="313" t="s">
        <v>3358</v>
      </c>
      <c r="B732" s="313" t="s">
        <v>1955</v>
      </c>
      <c r="C732" s="313" t="s">
        <v>439</v>
      </c>
      <c r="D732" s="313" t="s">
        <v>1959</v>
      </c>
      <c r="E732" s="314" t="s">
        <v>574</v>
      </c>
      <c r="F732" s="315">
        <v>1</v>
      </c>
      <c r="G732" s="316">
        <v>217.12</v>
      </c>
      <c r="H732" s="316">
        <v>43.57</v>
      </c>
      <c r="I732" s="316">
        <v>0</v>
      </c>
      <c r="J732" s="316">
        <v>173.55</v>
      </c>
      <c r="K732" s="316">
        <v>217.12</v>
      </c>
      <c r="L732" s="316">
        <v>43.57</v>
      </c>
      <c r="M732" s="316">
        <v>0</v>
      </c>
      <c r="N732" s="316">
        <v>173.55</v>
      </c>
      <c r="O732" s="316">
        <v>217.12</v>
      </c>
      <c r="P732" s="317">
        <v>3.7340203894160884E-4</v>
      </c>
    </row>
    <row r="733" spans="1:16" ht="36" customHeight="1" x14ac:dyDescent="0.4">
      <c r="A733" s="313" t="s">
        <v>3359</v>
      </c>
      <c r="B733" s="313">
        <v>704</v>
      </c>
      <c r="C733" s="313" t="s">
        <v>575</v>
      </c>
      <c r="D733" s="313" t="s">
        <v>2880</v>
      </c>
      <c r="E733" s="314" t="s">
        <v>4</v>
      </c>
      <c r="F733" s="315">
        <v>1</v>
      </c>
      <c r="G733" s="316">
        <v>3129.71</v>
      </c>
      <c r="H733" s="316">
        <v>199.52</v>
      </c>
      <c r="I733" s="316">
        <v>14.5</v>
      </c>
      <c r="J733" s="316">
        <v>2915.69</v>
      </c>
      <c r="K733" s="316">
        <v>3129.71</v>
      </c>
      <c r="L733" s="316">
        <v>199.52</v>
      </c>
      <c r="M733" s="316">
        <v>14.5</v>
      </c>
      <c r="N733" s="316">
        <v>2915.69</v>
      </c>
      <c r="O733" s="316">
        <v>3129.71</v>
      </c>
      <c r="P733" s="317">
        <v>5.3824617506261175E-3</v>
      </c>
    </row>
    <row r="734" spans="1:16" ht="36" customHeight="1" x14ac:dyDescent="0.4">
      <c r="A734" s="313" t="s">
        <v>3360</v>
      </c>
      <c r="B734" s="313">
        <v>701</v>
      </c>
      <c r="C734" s="313" t="s">
        <v>575</v>
      </c>
      <c r="D734" s="313" t="s">
        <v>2915</v>
      </c>
      <c r="E734" s="314" t="s">
        <v>380</v>
      </c>
      <c r="F734" s="315">
        <v>1</v>
      </c>
      <c r="G734" s="316">
        <v>3376.53</v>
      </c>
      <c r="H734" s="316">
        <v>81.13</v>
      </c>
      <c r="I734" s="316">
        <v>6.36</v>
      </c>
      <c r="J734" s="316">
        <v>3289.04</v>
      </c>
      <c r="K734" s="316">
        <v>3376.53</v>
      </c>
      <c r="L734" s="316">
        <v>81.13</v>
      </c>
      <c r="M734" s="316">
        <v>6.36</v>
      </c>
      <c r="N734" s="316">
        <v>3289.04</v>
      </c>
      <c r="O734" s="316">
        <v>3376.53</v>
      </c>
      <c r="P734" s="317">
        <v>5.8069417213868395E-3</v>
      </c>
    </row>
    <row r="735" spans="1:16" ht="48" customHeight="1" x14ac:dyDescent="0.4">
      <c r="A735" s="313" t="s">
        <v>3361</v>
      </c>
      <c r="B735" s="313">
        <v>705</v>
      </c>
      <c r="C735" s="313" t="s">
        <v>575</v>
      </c>
      <c r="D735" s="313" t="s">
        <v>2867</v>
      </c>
      <c r="E735" s="314" t="s">
        <v>4</v>
      </c>
      <c r="F735" s="315">
        <v>1</v>
      </c>
      <c r="G735" s="316">
        <v>138.97999999999999</v>
      </c>
      <c r="H735" s="316">
        <v>54.31</v>
      </c>
      <c r="I735" s="316">
        <v>3.72</v>
      </c>
      <c r="J735" s="316">
        <v>80.95</v>
      </c>
      <c r="K735" s="316">
        <v>138.97999999999999</v>
      </c>
      <c r="L735" s="316">
        <v>54.31</v>
      </c>
      <c r="M735" s="316">
        <v>3.72</v>
      </c>
      <c r="N735" s="316">
        <v>80.95</v>
      </c>
      <c r="O735" s="316">
        <v>138.97999999999999</v>
      </c>
      <c r="P735" s="317">
        <v>2.3901720418250183E-4</v>
      </c>
    </row>
    <row r="736" spans="1:16" ht="36" customHeight="1" x14ac:dyDescent="0.4">
      <c r="A736" s="313" t="s">
        <v>3362</v>
      </c>
      <c r="B736" s="313">
        <v>97337</v>
      </c>
      <c r="C736" s="313" t="s">
        <v>395</v>
      </c>
      <c r="D736" s="313" t="s">
        <v>2597</v>
      </c>
      <c r="E736" s="314" t="s">
        <v>7</v>
      </c>
      <c r="F736" s="315">
        <v>1</v>
      </c>
      <c r="G736" s="316">
        <v>166.01</v>
      </c>
      <c r="H736" s="316">
        <v>3.89</v>
      </c>
      <c r="I736" s="316">
        <v>0.26</v>
      </c>
      <c r="J736" s="316">
        <v>161.86000000000001</v>
      </c>
      <c r="K736" s="316">
        <v>166.01</v>
      </c>
      <c r="L736" s="316">
        <v>3.89</v>
      </c>
      <c r="M736" s="316">
        <v>0.26</v>
      </c>
      <c r="N736" s="316">
        <v>161.86000000000001</v>
      </c>
      <c r="O736" s="316">
        <v>166.01</v>
      </c>
      <c r="P736" s="317">
        <v>2.8550328152494696E-4</v>
      </c>
    </row>
    <row r="737" spans="1:16" ht="36" customHeight="1" x14ac:dyDescent="0.4">
      <c r="A737" s="313" t="s">
        <v>3363</v>
      </c>
      <c r="B737" s="313">
        <v>92314</v>
      </c>
      <c r="C737" s="313" t="s">
        <v>395</v>
      </c>
      <c r="D737" s="313" t="s">
        <v>2603</v>
      </c>
      <c r="E737" s="314" t="s">
        <v>4</v>
      </c>
      <c r="F737" s="315">
        <v>1</v>
      </c>
      <c r="G737" s="316">
        <v>11.4</v>
      </c>
      <c r="H737" s="316">
        <v>5.41</v>
      </c>
      <c r="I737" s="316">
        <v>0.38</v>
      </c>
      <c r="J737" s="316">
        <v>5.61</v>
      </c>
      <c r="K737" s="316">
        <v>11.4</v>
      </c>
      <c r="L737" s="316">
        <v>5.41</v>
      </c>
      <c r="M737" s="316">
        <v>0.38</v>
      </c>
      <c r="N737" s="316">
        <v>5.61</v>
      </c>
      <c r="O737" s="316">
        <v>11.4</v>
      </c>
      <c r="P737" s="317">
        <v>1.960567079925544E-5</v>
      </c>
    </row>
    <row r="738" spans="1:16" ht="36" customHeight="1" x14ac:dyDescent="0.4">
      <c r="A738" s="313" t="s">
        <v>3364</v>
      </c>
      <c r="B738" s="313">
        <v>92315</v>
      </c>
      <c r="C738" s="313" t="s">
        <v>395</v>
      </c>
      <c r="D738" s="313" t="s">
        <v>2604</v>
      </c>
      <c r="E738" s="314" t="s">
        <v>4</v>
      </c>
      <c r="F738" s="315">
        <v>1</v>
      </c>
      <c r="G738" s="316">
        <v>16</v>
      </c>
      <c r="H738" s="316">
        <v>6.24</v>
      </c>
      <c r="I738" s="316">
        <v>0.42</v>
      </c>
      <c r="J738" s="316">
        <v>9.34</v>
      </c>
      <c r="K738" s="316">
        <v>16</v>
      </c>
      <c r="L738" s="316">
        <v>6.24</v>
      </c>
      <c r="M738" s="316">
        <v>0.42</v>
      </c>
      <c r="N738" s="316">
        <v>9.34</v>
      </c>
      <c r="O738" s="316">
        <v>16</v>
      </c>
      <c r="P738" s="317">
        <v>2.7516730946323422E-5</v>
      </c>
    </row>
    <row r="739" spans="1:16" ht="36" customHeight="1" x14ac:dyDescent="0.4">
      <c r="A739" s="313" t="s">
        <v>3365</v>
      </c>
      <c r="B739" s="313">
        <v>92316</v>
      </c>
      <c r="C739" s="313" t="s">
        <v>395</v>
      </c>
      <c r="D739" s="313" t="s">
        <v>2605</v>
      </c>
      <c r="E739" s="314" t="s">
        <v>4</v>
      </c>
      <c r="F739" s="315">
        <v>1</v>
      </c>
      <c r="G739" s="316">
        <v>23.41</v>
      </c>
      <c r="H739" s="316">
        <v>6.96</v>
      </c>
      <c r="I739" s="316">
        <v>0.48</v>
      </c>
      <c r="J739" s="316">
        <v>15.97</v>
      </c>
      <c r="K739" s="316">
        <v>23.41</v>
      </c>
      <c r="L739" s="316">
        <v>6.96</v>
      </c>
      <c r="M739" s="316">
        <v>0.48</v>
      </c>
      <c r="N739" s="316">
        <v>15.97</v>
      </c>
      <c r="O739" s="316">
        <v>23.41</v>
      </c>
      <c r="P739" s="317">
        <v>4.0260416965839457E-5</v>
      </c>
    </row>
    <row r="740" spans="1:16" ht="24" customHeight="1" x14ac:dyDescent="0.4">
      <c r="A740" s="313" t="s">
        <v>3366</v>
      </c>
      <c r="B740" s="313">
        <v>92295</v>
      </c>
      <c r="C740" s="313" t="s">
        <v>395</v>
      </c>
      <c r="D740" s="313" t="s">
        <v>2600</v>
      </c>
      <c r="E740" s="314" t="s">
        <v>4</v>
      </c>
      <c r="F740" s="315">
        <v>1</v>
      </c>
      <c r="G740" s="316">
        <v>35.94</v>
      </c>
      <c r="H740" s="316">
        <v>5.24</v>
      </c>
      <c r="I740" s="316">
        <v>0.36</v>
      </c>
      <c r="J740" s="316">
        <v>30.34</v>
      </c>
      <c r="K740" s="316">
        <v>35.94</v>
      </c>
      <c r="L740" s="316">
        <v>5.24</v>
      </c>
      <c r="M740" s="316">
        <v>0.36</v>
      </c>
      <c r="N740" s="316">
        <v>30.34</v>
      </c>
      <c r="O740" s="316">
        <v>35.94</v>
      </c>
      <c r="P740" s="317">
        <v>6.1809456888178987E-5</v>
      </c>
    </row>
    <row r="741" spans="1:16" ht="24" customHeight="1" x14ac:dyDescent="0.4">
      <c r="A741" s="313" t="s">
        <v>3367</v>
      </c>
      <c r="B741" s="313">
        <v>92311</v>
      </c>
      <c r="C741" s="313" t="s">
        <v>395</v>
      </c>
      <c r="D741" s="313" t="s">
        <v>6086</v>
      </c>
      <c r="E741" s="314" t="s">
        <v>4</v>
      </c>
      <c r="F741" s="315">
        <v>1</v>
      </c>
      <c r="G741" s="316">
        <v>16.760000000000002</v>
      </c>
      <c r="H741" s="316">
        <v>7.44</v>
      </c>
      <c r="I741" s="316">
        <v>0.5</v>
      </c>
      <c r="J741" s="316">
        <v>8.82</v>
      </c>
      <c r="K741" s="316">
        <v>16.760000000000002</v>
      </c>
      <c r="L741" s="316">
        <v>7.44</v>
      </c>
      <c r="M741" s="316">
        <v>0.5</v>
      </c>
      <c r="N741" s="316">
        <v>8.82</v>
      </c>
      <c r="O741" s="316">
        <v>16.760000000000002</v>
      </c>
      <c r="P741" s="317">
        <v>2.8823775666273784E-5</v>
      </c>
    </row>
    <row r="742" spans="1:16" ht="24" customHeight="1" x14ac:dyDescent="0.4">
      <c r="A742" s="313" t="s">
        <v>3368</v>
      </c>
      <c r="B742" s="313">
        <v>92312</v>
      </c>
      <c r="C742" s="313" t="s">
        <v>395</v>
      </c>
      <c r="D742" s="313" t="s">
        <v>2602</v>
      </c>
      <c r="E742" s="314" t="s">
        <v>4</v>
      </c>
      <c r="F742" s="315">
        <v>1</v>
      </c>
      <c r="G742" s="316">
        <v>26.76</v>
      </c>
      <c r="H742" s="316">
        <v>9.36</v>
      </c>
      <c r="I742" s="316">
        <v>0.64</v>
      </c>
      <c r="J742" s="316">
        <v>16.760000000000002</v>
      </c>
      <c r="K742" s="316">
        <v>26.76</v>
      </c>
      <c r="L742" s="316">
        <v>9.36</v>
      </c>
      <c r="M742" s="316">
        <v>0.64</v>
      </c>
      <c r="N742" s="316">
        <v>16.760000000000002</v>
      </c>
      <c r="O742" s="316">
        <v>26.76</v>
      </c>
      <c r="P742" s="317">
        <v>4.6021732507725922E-5</v>
      </c>
    </row>
    <row r="743" spans="1:16" ht="24" customHeight="1" x14ac:dyDescent="0.4">
      <c r="A743" s="313" t="s">
        <v>3369</v>
      </c>
      <c r="B743" s="313">
        <v>92289</v>
      </c>
      <c r="C743" s="313" t="s">
        <v>395</v>
      </c>
      <c r="D743" s="313" t="s">
        <v>2599</v>
      </c>
      <c r="E743" s="314" t="s">
        <v>4</v>
      </c>
      <c r="F743" s="315">
        <v>1</v>
      </c>
      <c r="G743" s="316">
        <v>55.33</v>
      </c>
      <c r="H743" s="316">
        <v>7.87</v>
      </c>
      <c r="I743" s="316">
        <v>0.54</v>
      </c>
      <c r="J743" s="316">
        <v>46.92</v>
      </c>
      <c r="K743" s="316">
        <v>55.33</v>
      </c>
      <c r="L743" s="316">
        <v>7.87</v>
      </c>
      <c r="M743" s="316">
        <v>0.54</v>
      </c>
      <c r="N743" s="316">
        <v>46.92</v>
      </c>
      <c r="O743" s="316">
        <v>55.33</v>
      </c>
      <c r="P743" s="317">
        <v>9.5156295203754679E-5</v>
      </c>
    </row>
    <row r="744" spans="1:16" ht="36" customHeight="1" x14ac:dyDescent="0.4">
      <c r="A744" s="313" t="s">
        <v>3370</v>
      </c>
      <c r="B744" s="313">
        <v>92317</v>
      </c>
      <c r="C744" s="313" t="s">
        <v>395</v>
      </c>
      <c r="D744" s="313" t="s">
        <v>2606</v>
      </c>
      <c r="E744" s="314" t="s">
        <v>4</v>
      </c>
      <c r="F744" s="315">
        <v>1</v>
      </c>
      <c r="G744" s="316">
        <v>23.67</v>
      </c>
      <c r="H744" s="316">
        <v>10.82</v>
      </c>
      <c r="I744" s="316">
        <v>0.74</v>
      </c>
      <c r="J744" s="316">
        <v>12.11</v>
      </c>
      <c r="K744" s="316">
        <v>23.67</v>
      </c>
      <c r="L744" s="316">
        <v>10.82</v>
      </c>
      <c r="M744" s="316">
        <v>0.74</v>
      </c>
      <c r="N744" s="316">
        <v>12.11</v>
      </c>
      <c r="O744" s="316">
        <v>23.67</v>
      </c>
      <c r="P744" s="317">
        <v>4.0707563843717215E-5</v>
      </c>
    </row>
    <row r="745" spans="1:16" ht="24" customHeight="1" x14ac:dyDescent="0.4">
      <c r="A745" s="313" t="s">
        <v>3371</v>
      </c>
      <c r="B745" s="313">
        <v>92318</v>
      </c>
      <c r="C745" s="313" t="s">
        <v>395</v>
      </c>
      <c r="D745" s="313" t="s">
        <v>2607</v>
      </c>
      <c r="E745" s="314" t="s">
        <v>4</v>
      </c>
      <c r="F745" s="315">
        <v>1</v>
      </c>
      <c r="G745" s="316">
        <v>35.36</v>
      </c>
      <c r="H745" s="316">
        <v>12.49</v>
      </c>
      <c r="I745" s="316">
        <v>0.86</v>
      </c>
      <c r="J745" s="316">
        <v>22.01</v>
      </c>
      <c r="K745" s="316">
        <v>35.36</v>
      </c>
      <c r="L745" s="316">
        <v>12.49</v>
      </c>
      <c r="M745" s="316">
        <v>0.86</v>
      </c>
      <c r="N745" s="316">
        <v>22.01</v>
      </c>
      <c r="O745" s="316">
        <v>35.36</v>
      </c>
      <c r="P745" s="317">
        <v>6.0811975391374763E-5</v>
      </c>
    </row>
    <row r="746" spans="1:16" ht="36" customHeight="1" x14ac:dyDescent="0.4">
      <c r="A746" s="313" t="s">
        <v>3372</v>
      </c>
      <c r="B746" s="313">
        <v>92301</v>
      </c>
      <c r="C746" s="313" t="s">
        <v>395</v>
      </c>
      <c r="D746" s="313" t="s">
        <v>2601</v>
      </c>
      <c r="E746" s="314" t="s">
        <v>4</v>
      </c>
      <c r="F746" s="315">
        <v>1</v>
      </c>
      <c r="G746" s="316">
        <v>78.31</v>
      </c>
      <c r="H746" s="316">
        <v>10.48</v>
      </c>
      <c r="I746" s="316">
        <v>0.72</v>
      </c>
      <c r="J746" s="316">
        <v>67.11</v>
      </c>
      <c r="K746" s="316">
        <v>78.31</v>
      </c>
      <c r="L746" s="316">
        <v>10.48</v>
      </c>
      <c r="M746" s="316">
        <v>0.72</v>
      </c>
      <c r="N746" s="316">
        <v>67.11</v>
      </c>
      <c r="O746" s="316">
        <v>78.31</v>
      </c>
      <c r="P746" s="317">
        <v>1.3467720002541169E-4</v>
      </c>
    </row>
    <row r="747" spans="1:16" ht="24" customHeight="1" x14ac:dyDescent="0.4">
      <c r="A747" s="313" t="s">
        <v>3373</v>
      </c>
      <c r="B747" s="313">
        <v>296</v>
      </c>
      <c r="C747" s="313" t="s">
        <v>575</v>
      </c>
      <c r="D747" s="313" t="s">
        <v>584</v>
      </c>
      <c r="E747" s="314" t="s">
        <v>4</v>
      </c>
      <c r="F747" s="315">
        <v>1</v>
      </c>
      <c r="G747" s="316">
        <v>98.45</v>
      </c>
      <c r="H747" s="316">
        <v>29.43</v>
      </c>
      <c r="I747" s="316">
        <v>2.02</v>
      </c>
      <c r="J747" s="316">
        <v>67</v>
      </c>
      <c r="K747" s="316">
        <v>98.45</v>
      </c>
      <c r="L747" s="316">
        <v>29.43</v>
      </c>
      <c r="M747" s="316">
        <v>2.02</v>
      </c>
      <c r="N747" s="316">
        <v>67</v>
      </c>
      <c r="O747" s="316">
        <v>98.45</v>
      </c>
      <c r="P747" s="317">
        <v>1.6931388510409631E-4</v>
      </c>
    </row>
    <row r="748" spans="1:16" ht="36" customHeight="1" x14ac:dyDescent="0.4">
      <c r="A748" s="313" t="s">
        <v>3374</v>
      </c>
      <c r="B748" s="313">
        <v>297</v>
      </c>
      <c r="C748" s="313" t="s">
        <v>575</v>
      </c>
      <c r="D748" s="313" t="s">
        <v>583</v>
      </c>
      <c r="E748" s="314" t="s">
        <v>4</v>
      </c>
      <c r="F748" s="315">
        <v>1</v>
      </c>
      <c r="G748" s="316">
        <v>88.78</v>
      </c>
      <c r="H748" s="316">
        <v>29.43</v>
      </c>
      <c r="I748" s="316">
        <v>2.02</v>
      </c>
      <c r="J748" s="316">
        <v>57.33</v>
      </c>
      <c r="K748" s="316">
        <v>88.78</v>
      </c>
      <c r="L748" s="316">
        <v>29.43</v>
      </c>
      <c r="M748" s="316">
        <v>2.02</v>
      </c>
      <c r="N748" s="316">
        <v>57.33</v>
      </c>
      <c r="O748" s="316">
        <v>88.78</v>
      </c>
      <c r="P748" s="317">
        <v>1.5268346083841208E-4</v>
      </c>
    </row>
    <row r="749" spans="1:16" ht="24" customHeight="1" x14ac:dyDescent="0.4">
      <c r="A749" s="313" t="s">
        <v>3375</v>
      </c>
      <c r="B749" s="313">
        <v>620</v>
      </c>
      <c r="C749" s="313" t="s">
        <v>575</v>
      </c>
      <c r="D749" s="313" t="s">
        <v>2054</v>
      </c>
      <c r="E749" s="314" t="s">
        <v>4</v>
      </c>
      <c r="F749" s="315">
        <v>1</v>
      </c>
      <c r="G749" s="316">
        <v>110.62</v>
      </c>
      <c r="H749" s="316">
        <v>29.43</v>
      </c>
      <c r="I749" s="316">
        <v>2.02</v>
      </c>
      <c r="J749" s="316">
        <v>79.17</v>
      </c>
      <c r="K749" s="316">
        <v>110.62</v>
      </c>
      <c r="L749" s="316">
        <v>29.43</v>
      </c>
      <c r="M749" s="316">
        <v>2.02</v>
      </c>
      <c r="N749" s="316">
        <v>79.17</v>
      </c>
      <c r="O749" s="316">
        <v>110.62</v>
      </c>
      <c r="P749" s="317">
        <v>1.9024379858014357E-4</v>
      </c>
    </row>
    <row r="750" spans="1:16" ht="36" customHeight="1" x14ac:dyDescent="0.4">
      <c r="A750" s="313" t="s">
        <v>3376</v>
      </c>
      <c r="B750" s="313">
        <v>617</v>
      </c>
      <c r="C750" s="313" t="s">
        <v>575</v>
      </c>
      <c r="D750" s="313" t="s">
        <v>2025</v>
      </c>
      <c r="E750" s="314" t="s">
        <v>4</v>
      </c>
      <c r="F750" s="315">
        <v>1</v>
      </c>
      <c r="G750" s="316">
        <v>131.15</v>
      </c>
      <c r="H750" s="316">
        <v>29.43</v>
      </c>
      <c r="I750" s="316">
        <v>2.02</v>
      </c>
      <c r="J750" s="316">
        <v>99.7</v>
      </c>
      <c r="K750" s="316">
        <v>131.15</v>
      </c>
      <c r="L750" s="316">
        <v>29.43</v>
      </c>
      <c r="M750" s="316">
        <v>2.02</v>
      </c>
      <c r="N750" s="316">
        <v>99.7</v>
      </c>
      <c r="O750" s="316">
        <v>131.15</v>
      </c>
      <c r="P750" s="317">
        <v>2.255512039756448E-4</v>
      </c>
    </row>
    <row r="751" spans="1:16" ht="24" customHeight="1" x14ac:dyDescent="0.4">
      <c r="A751" s="313" t="s">
        <v>3377</v>
      </c>
      <c r="B751" s="313">
        <v>93108</v>
      </c>
      <c r="C751" s="313" t="s">
        <v>395</v>
      </c>
      <c r="D751" s="313" t="s">
        <v>6087</v>
      </c>
      <c r="E751" s="314" t="s">
        <v>4</v>
      </c>
      <c r="F751" s="315">
        <v>1</v>
      </c>
      <c r="G751" s="316">
        <v>17.22</v>
      </c>
      <c r="H751" s="316">
        <v>7.03</v>
      </c>
      <c r="I751" s="316">
        <v>0.48</v>
      </c>
      <c r="J751" s="316">
        <v>9.7100000000000009</v>
      </c>
      <c r="K751" s="316">
        <v>17.22</v>
      </c>
      <c r="L751" s="316">
        <v>7.03</v>
      </c>
      <c r="M751" s="316">
        <v>0.48</v>
      </c>
      <c r="N751" s="316">
        <v>9.7100000000000009</v>
      </c>
      <c r="O751" s="316">
        <v>17.22</v>
      </c>
      <c r="P751" s="317">
        <v>2.9614881680980583E-5</v>
      </c>
    </row>
    <row r="752" spans="1:16" ht="24" customHeight="1" x14ac:dyDescent="0.4">
      <c r="A752" s="313" t="s">
        <v>3378</v>
      </c>
      <c r="B752" s="313">
        <v>11009</v>
      </c>
      <c r="C752" s="313" t="s">
        <v>420</v>
      </c>
      <c r="D752" s="313" t="s">
        <v>2055</v>
      </c>
      <c r="E752" s="314" t="s">
        <v>422</v>
      </c>
      <c r="F752" s="315">
        <v>1</v>
      </c>
      <c r="G752" s="316">
        <v>19.03</v>
      </c>
      <c r="H752" s="316">
        <v>8.65</v>
      </c>
      <c r="I752" s="316">
        <v>0</v>
      </c>
      <c r="J752" s="316">
        <v>10.38</v>
      </c>
      <c r="K752" s="316">
        <v>19.03</v>
      </c>
      <c r="L752" s="316">
        <v>8.65</v>
      </c>
      <c r="M752" s="316">
        <v>0</v>
      </c>
      <c r="N752" s="316">
        <v>10.38</v>
      </c>
      <c r="O752" s="316">
        <v>19.03</v>
      </c>
      <c r="P752" s="317">
        <v>3.2727711869283424E-5</v>
      </c>
    </row>
    <row r="753" spans="1:16" ht="36" customHeight="1" x14ac:dyDescent="0.4">
      <c r="A753" s="313" t="s">
        <v>3379</v>
      </c>
      <c r="B753" s="313">
        <v>93091</v>
      </c>
      <c r="C753" s="313" t="s">
        <v>395</v>
      </c>
      <c r="D753" s="313" t="s">
        <v>6088</v>
      </c>
      <c r="E753" s="314" t="s">
        <v>4</v>
      </c>
      <c r="F753" s="315">
        <v>1</v>
      </c>
      <c r="G753" s="316">
        <v>20.36</v>
      </c>
      <c r="H753" s="316">
        <v>6.6</v>
      </c>
      <c r="I753" s="316">
        <v>0.46</v>
      </c>
      <c r="J753" s="316">
        <v>13.3</v>
      </c>
      <c r="K753" s="316">
        <v>20.36</v>
      </c>
      <c r="L753" s="316">
        <v>6.6</v>
      </c>
      <c r="M753" s="316">
        <v>0.46</v>
      </c>
      <c r="N753" s="316">
        <v>13.3</v>
      </c>
      <c r="O753" s="316">
        <v>20.36</v>
      </c>
      <c r="P753" s="317">
        <v>3.5015040129196552E-5</v>
      </c>
    </row>
    <row r="754" spans="1:16" ht="24" customHeight="1" x14ac:dyDescent="0.4">
      <c r="A754" s="313" t="s">
        <v>3380</v>
      </c>
      <c r="B754" s="313">
        <v>11011</v>
      </c>
      <c r="C754" s="313" t="s">
        <v>420</v>
      </c>
      <c r="D754" s="313" t="s">
        <v>2057</v>
      </c>
      <c r="E754" s="314" t="s">
        <v>422</v>
      </c>
      <c r="F754" s="315">
        <v>1</v>
      </c>
      <c r="G754" s="316">
        <v>30.76</v>
      </c>
      <c r="H754" s="316">
        <v>8.65</v>
      </c>
      <c r="I754" s="316">
        <v>0</v>
      </c>
      <c r="J754" s="316">
        <v>22.11</v>
      </c>
      <c r="K754" s="316">
        <v>30.76</v>
      </c>
      <c r="L754" s="316">
        <v>8.65</v>
      </c>
      <c r="M754" s="316">
        <v>0</v>
      </c>
      <c r="N754" s="316">
        <v>22.11</v>
      </c>
      <c r="O754" s="316">
        <v>30.76</v>
      </c>
      <c r="P754" s="317">
        <v>5.290091524430678E-5</v>
      </c>
    </row>
    <row r="755" spans="1:16" ht="36" customHeight="1" x14ac:dyDescent="0.4">
      <c r="A755" s="313" t="s">
        <v>3381</v>
      </c>
      <c r="B755" s="313">
        <v>93062</v>
      </c>
      <c r="C755" s="313" t="s">
        <v>395</v>
      </c>
      <c r="D755" s="313" t="s">
        <v>6089</v>
      </c>
      <c r="E755" s="314" t="s">
        <v>4</v>
      </c>
      <c r="F755" s="315">
        <v>1</v>
      </c>
      <c r="G755" s="316">
        <v>30.53</v>
      </c>
      <c r="H755" s="316">
        <v>4.7</v>
      </c>
      <c r="I755" s="316">
        <v>0.32</v>
      </c>
      <c r="J755" s="316">
        <v>25.51</v>
      </c>
      <c r="K755" s="316">
        <v>30.53</v>
      </c>
      <c r="L755" s="316">
        <v>4.7</v>
      </c>
      <c r="M755" s="316">
        <v>0.32</v>
      </c>
      <c r="N755" s="316">
        <v>25.51</v>
      </c>
      <c r="O755" s="316">
        <v>30.53</v>
      </c>
      <c r="P755" s="317">
        <v>5.2505362236953377E-5</v>
      </c>
    </row>
    <row r="756" spans="1:16" ht="24" customHeight="1" x14ac:dyDescent="0.4">
      <c r="A756" s="313" t="s">
        <v>3382</v>
      </c>
      <c r="B756" s="313">
        <v>621</v>
      </c>
      <c r="C756" s="313" t="s">
        <v>575</v>
      </c>
      <c r="D756" s="313" t="s">
        <v>1918</v>
      </c>
      <c r="E756" s="314" t="s">
        <v>4</v>
      </c>
      <c r="F756" s="315">
        <v>1</v>
      </c>
      <c r="G756" s="316">
        <v>138.35</v>
      </c>
      <c r="H756" s="316">
        <v>29.43</v>
      </c>
      <c r="I756" s="316">
        <v>2.02</v>
      </c>
      <c r="J756" s="316">
        <v>106.9</v>
      </c>
      <c r="K756" s="316">
        <v>138.35</v>
      </c>
      <c r="L756" s="316">
        <v>29.43</v>
      </c>
      <c r="M756" s="316">
        <v>2.02</v>
      </c>
      <c r="N756" s="316">
        <v>106.9</v>
      </c>
      <c r="O756" s="316">
        <v>138.35</v>
      </c>
      <c r="P756" s="317">
        <v>2.3793373290149035E-4</v>
      </c>
    </row>
    <row r="757" spans="1:16" ht="24" customHeight="1" x14ac:dyDescent="0.4">
      <c r="A757" s="313" t="s">
        <v>3383</v>
      </c>
      <c r="B757" s="313">
        <v>704</v>
      </c>
      <c r="C757" s="313" t="s">
        <v>575</v>
      </c>
      <c r="D757" s="313" t="s">
        <v>2880</v>
      </c>
      <c r="E757" s="314" t="s">
        <v>4</v>
      </c>
      <c r="F757" s="315">
        <v>1</v>
      </c>
      <c r="G757" s="316">
        <v>3129.71</v>
      </c>
      <c r="H757" s="316">
        <v>199.52</v>
      </c>
      <c r="I757" s="316">
        <v>14.5</v>
      </c>
      <c r="J757" s="316">
        <v>2915.69</v>
      </c>
      <c r="K757" s="316">
        <v>3129.71</v>
      </c>
      <c r="L757" s="316">
        <v>199.52</v>
      </c>
      <c r="M757" s="316">
        <v>14.5</v>
      </c>
      <c r="N757" s="316">
        <v>2915.69</v>
      </c>
      <c r="O757" s="316">
        <v>3129.71</v>
      </c>
      <c r="P757" s="317">
        <v>5.3824617506261175E-3</v>
      </c>
    </row>
    <row r="758" spans="1:16" ht="24" customHeight="1" x14ac:dyDescent="0.4">
      <c r="A758" s="313" t="s">
        <v>3384</v>
      </c>
      <c r="B758" s="313">
        <v>287</v>
      </c>
      <c r="C758" s="313" t="s">
        <v>575</v>
      </c>
      <c r="D758" s="313" t="s">
        <v>580</v>
      </c>
      <c r="E758" s="314" t="s">
        <v>4</v>
      </c>
      <c r="F758" s="315">
        <v>1</v>
      </c>
      <c r="G758" s="316">
        <v>239.17</v>
      </c>
      <c r="H758" s="316">
        <v>21.45</v>
      </c>
      <c r="I758" s="316">
        <v>1.46</v>
      </c>
      <c r="J758" s="316">
        <v>216.26</v>
      </c>
      <c r="K758" s="316">
        <v>239.17</v>
      </c>
      <c r="L758" s="316">
        <v>21.45</v>
      </c>
      <c r="M758" s="316">
        <v>1.46</v>
      </c>
      <c r="N758" s="316">
        <v>216.26</v>
      </c>
      <c r="O758" s="316">
        <v>239.17</v>
      </c>
      <c r="P758" s="317">
        <v>4.1132353377701082E-4</v>
      </c>
    </row>
    <row r="759" spans="1:16" ht="24" customHeight="1" x14ac:dyDescent="0.4">
      <c r="A759" s="313" t="s">
        <v>3385</v>
      </c>
      <c r="B759" s="313">
        <v>707</v>
      </c>
      <c r="C759" s="313" t="s">
        <v>420</v>
      </c>
      <c r="D759" s="313" t="s">
        <v>520</v>
      </c>
      <c r="E759" s="314" t="s">
        <v>422</v>
      </c>
      <c r="F759" s="315">
        <v>1</v>
      </c>
      <c r="G759" s="316">
        <v>226.29</v>
      </c>
      <c r="H759" s="316">
        <v>21.62</v>
      </c>
      <c r="I759" s="316">
        <v>0</v>
      </c>
      <c r="J759" s="316">
        <v>204.67</v>
      </c>
      <c r="K759" s="316">
        <v>226.29</v>
      </c>
      <c r="L759" s="316">
        <v>21.62</v>
      </c>
      <c r="M759" s="316">
        <v>0</v>
      </c>
      <c r="N759" s="316">
        <v>204.67</v>
      </c>
      <c r="O759" s="316">
        <v>226.29</v>
      </c>
      <c r="P759" s="317">
        <v>3.8917256536522048E-4</v>
      </c>
    </row>
    <row r="760" spans="1:16" ht="24" customHeight="1" x14ac:dyDescent="0.4">
      <c r="A760" s="313" t="s">
        <v>3386</v>
      </c>
      <c r="B760" s="313">
        <v>712</v>
      </c>
      <c r="C760" s="313" t="s">
        <v>575</v>
      </c>
      <c r="D760" s="313" t="s">
        <v>2866</v>
      </c>
      <c r="E760" s="314" t="s">
        <v>4</v>
      </c>
      <c r="F760" s="315">
        <v>1</v>
      </c>
      <c r="G760" s="316">
        <v>21944.39</v>
      </c>
      <c r="H760" s="316">
        <v>264.81</v>
      </c>
      <c r="I760" s="316">
        <v>19.96</v>
      </c>
      <c r="J760" s="316">
        <v>21659.62</v>
      </c>
      <c r="K760" s="316">
        <v>21944.39</v>
      </c>
      <c r="L760" s="316">
        <v>264.81</v>
      </c>
      <c r="M760" s="316">
        <v>19.96</v>
      </c>
      <c r="N760" s="316">
        <v>21659.62</v>
      </c>
      <c r="O760" s="316">
        <v>21944.39</v>
      </c>
      <c r="P760" s="317">
        <v>3.7739867213199392E-2</v>
      </c>
    </row>
    <row r="761" spans="1:16" ht="24" customHeight="1" x14ac:dyDescent="0.4">
      <c r="A761" s="313" t="s">
        <v>3387</v>
      </c>
      <c r="B761" s="313" t="s">
        <v>1639</v>
      </c>
      <c r="C761" s="313" t="s">
        <v>5902</v>
      </c>
      <c r="D761" s="313" t="s">
        <v>1640</v>
      </c>
      <c r="E761" s="314" t="s">
        <v>675</v>
      </c>
      <c r="F761" s="315">
        <v>1</v>
      </c>
      <c r="G761" s="316">
        <v>15.9</v>
      </c>
      <c r="H761" s="316">
        <v>15.9</v>
      </c>
      <c r="I761" s="316">
        <v>0</v>
      </c>
      <c r="J761" s="316">
        <v>0</v>
      </c>
      <c r="K761" s="316">
        <v>15.9</v>
      </c>
      <c r="L761" s="316">
        <v>15.9</v>
      </c>
      <c r="M761" s="316">
        <v>0</v>
      </c>
      <c r="N761" s="316">
        <v>0</v>
      </c>
      <c r="O761" s="316">
        <v>15.9</v>
      </c>
      <c r="P761" s="317">
        <v>2.7344751377908902E-5</v>
      </c>
    </row>
    <row r="762" spans="1:16" ht="24" customHeight="1" x14ac:dyDescent="0.4">
      <c r="A762" s="313" t="s">
        <v>3388</v>
      </c>
      <c r="B762" s="313">
        <v>90696</v>
      </c>
      <c r="C762" s="313" t="s">
        <v>395</v>
      </c>
      <c r="D762" s="313" t="s">
        <v>310</v>
      </c>
      <c r="E762" s="314" t="s">
        <v>7</v>
      </c>
      <c r="F762" s="315">
        <v>3</v>
      </c>
      <c r="G762" s="316">
        <v>157.41</v>
      </c>
      <c r="H762" s="316">
        <v>5.23</v>
      </c>
      <c r="I762" s="316">
        <v>0.35</v>
      </c>
      <c r="J762" s="316">
        <v>151.83000000000001</v>
      </c>
      <c r="K762" s="316">
        <v>157.41</v>
      </c>
      <c r="L762" s="316">
        <v>15.69</v>
      </c>
      <c r="M762" s="316">
        <v>1.05</v>
      </c>
      <c r="N762" s="316">
        <v>455.49</v>
      </c>
      <c r="O762" s="316">
        <v>472.23</v>
      </c>
      <c r="P762" s="317">
        <v>8.1213911592389432E-4</v>
      </c>
    </row>
    <row r="763" spans="1:16" ht="24" customHeight="1" x14ac:dyDescent="0.4">
      <c r="A763" s="313" t="s">
        <v>3389</v>
      </c>
      <c r="B763" s="313">
        <v>20014</v>
      </c>
      <c r="C763" s="313" t="s">
        <v>408</v>
      </c>
      <c r="D763" s="313" t="s">
        <v>1679</v>
      </c>
      <c r="E763" s="314" t="s">
        <v>713</v>
      </c>
      <c r="F763" s="315">
        <v>1</v>
      </c>
      <c r="G763" s="316">
        <v>102.63</v>
      </c>
      <c r="H763" s="316">
        <v>102.63</v>
      </c>
      <c r="I763" s="316">
        <v>0</v>
      </c>
      <c r="J763" s="316">
        <v>0</v>
      </c>
      <c r="K763" s="316">
        <v>102.63</v>
      </c>
      <c r="L763" s="316">
        <v>102.63</v>
      </c>
      <c r="M763" s="316">
        <v>0</v>
      </c>
      <c r="N763" s="316">
        <v>0</v>
      </c>
      <c r="O763" s="316">
        <v>102.63</v>
      </c>
      <c r="P763" s="317">
        <v>1.7650263106382331E-4</v>
      </c>
    </row>
    <row r="764" spans="1:16" ht="24" customHeight="1" x14ac:dyDescent="0.4">
      <c r="A764" s="313" t="s">
        <v>3390</v>
      </c>
      <c r="B764" s="313">
        <v>12689</v>
      </c>
      <c r="C764" s="313" t="s">
        <v>408</v>
      </c>
      <c r="D764" s="313" t="s">
        <v>2622</v>
      </c>
      <c r="E764" s="314" t="s">
        <v>4</v>
      </c>
      <c r="F764" s="315">
        <v>1</v>
      </c>
      <c r="G764" s="316">
        <v>6583.72</v>
      </c>
      <c r="H764" s="316">
        <v>6583.72</v>
      </c>
      <c r="I764" s="316">
        <v>0</v>
      </c>
      <c r="J764" s="316">
        <v>0</v>
      </c>
      <c r="K764" s="316">
        <v>6583.72</v>
      </c>
      <c r="L764" s="316">
        <v>6583.72</v>
      </c>
      <c r="M764" s="316">
        <v>0</v>
      </c>
      <c r="N764" s="316">
        <v>0</v>
      </c>
      <c r="O764" s="316">
        <v>6583.72</v>
      </c>
      <c r="P764" s="317">
        <v>1.1322653241620528E-2</v>
      </c>
    </row>
    <row r="765" spans="1:16" ht="24" customHeight="1" x14ac:dyDescent="0.4">
      <c r="A765" s="313" t="s">
        <v>3391</v>
      </c>
      <c r="B765" s="313">
        <v>12031</v>
      </c>
      <c r="C765" s="313" t="s">
        <v>408</v>
      </c>
      <c r="D765" s="313" t="s">
        <v>2624</v>
      </c>
      <c r="E765" s="314" t="s">
        <v>4</v>
      </c>
      <c r="F765" s="315">
        <v>1</v>
      </c>
      <c r="G765" s="316">
        <v>9881.1</v>
      </c>
      <c r="H765" s="316">
        <v>2369.23</v>
      </c>
      <c r="I765" s="316">
        <v>0</v>
      </c>
      <c r="J765" s="316">
        <v>7511.87</v>
      </c>
      <c r="K765" s="316">
        <v>9881.1</v>
      </c>
      <c r="L765" s="316">
        <v>2369.23</v>
      </c>
      <c r="M765" s="316">
        <v>0</v>
      </c>
      <c r="N765" s="316">
        <v>7511.87</v>
      </c>
      <c r="O765" s="316">
        <v>9881.1</v>
      </c>
      <c r="P765" s="317">
        <v>1.6993473134607272E-2</v>
      </c>
    </row>
    <row r="766" spans="1:16" ht="24" customHeight="1" x14ac:dyDescent="0.4">
      <c r="A766" s="313" t="s">
        <v>3392</v>
      </c>
      <c r="B766" s="313">
        <v>12661</v>
      </c>
      <c r="C766" s="313" t="s">
        <v>408</v>
      </c>
      <c r="D766" s="313" t="s">
        <v>2630</v>
      </c>
      <c r="E766" s="314" t="s">
        <v>675</v>
      </c>
      <c r="F766" s="315">
        <v>1</v>
      </c>
      <c r="G766" s="316">
        <v>1465.2</v>
      </c>
      <c r="H766" s="316">
        <v>1081.52</v>
      </c>
      <c r="I766" s="316">
        <v>0</v>
      </c>
      <c r="J766" s="316">
        <v>383.68</v>
      </c>
      <c r="K766" s="316">
        <v>1465.2</v>
      </c>
      <c r="L766" s="316">
        <v>1081.52</v>
      </c>
      <c r="M766" s="316">
        <v>0</v>
      </c>
      <c r="N766" s="316">
        <v>383.68</v>
      </c>
      <c r="O766" s="316">
        <v>1465.2</v>
      </c>
      <c r="P766" s="317">
        <v>2.5198446364095672E-3</v>
      </c>
    </row>
    <row r="767" spans="1:16" ht="24" customHeight="1" x14ac:dyDescent="0.4">
      <c r="A767" s="313" t="s">
        <v>3393</v>
      </c>
      <c r="B767" s="313">
        <v>58110</v>
      </c>
      <c r="C767" s="313" t="s">
        <v>408</v>
      </c>
      <c r="D767" s="313" t="s">
        <v>463</v>
      </c>
      <c r="E767" s="314" t="s">
        <v>4</v>
      </c>
      <c r="F767" s="315">
        <v>1</v>
      </c>
      <c r="G767" s="316">
        <v>2227.2199999999998</v>
      </c>
      <c r="H767" s="316">
        <v>191.84</v>
      </c>
      <c r="I767" s="316">
        <v>15.39</v>
      </c>
      <c r="J767" s="316">
        <v>2019.99</v>
      </c>
      <c r="K767" s="316">
        <v>2227.2199999999998</v>
      </c>
      <c r="L767" s="316">
        <v>191.84</v>
      </c>
      <c r="M767" s="316">
        <v>15.39</v>
      </c>
      <c r="N767" s="316">
        <v>2019.99</v>
      </c>
      <c r="O767" s="316">
        <v>2227.2199999999998</v>
      </c>
      <c r="P767" s="317">
        <v>3.8303633436419034E-3</v>
      </c>
    </row>
    <row r="768" spans="1:16" ht="24" customHeight="1" x14ac:dyDescent="0.4">
      <c r="A768" s="313" t="s">
        <v>3394</v>
      </c>
      <c r="B768" s="313">
        <v>64410</v>
      </c>
      <c r="C768" s="313" t="s">
        <v>408</v>
      </c>
      <c r="D768" s="313" t="s">
        <v>2709</v>
      </c>
      <c r="E768" s="314" t="s">
        <v>4</v>
      </c>
      <c r="F768" s="315">
        <v>1</v>
      </c>
      <c r="G768" s="316">
        <v>365.66</v>
      </c>
      <c r="H768" s="316">
        <v>39.86</v>
      </c>
      <c r="I768" s="316">
        <v>0</v>
      </c>
      <c r="J768" s="316">
        <v>325.8</v>
      </c>
      <c r="K768" s="316">
        <v>365.66</v>
      </c>
      <c r="L768" s="316">
        <v>39.86</v>
      </c>
      <c r="M768" s="316">
        <v>0</v>
      </c>
      <c r="N768" s="316">
        <v>325.8</v>
      </c>
      <c r="O768" s="316">
        <v>365.66</v>
      </c>
      <c r="P768" s="317">
        <v>6.2886048986453887E-4</v>
      </c>
    </row>
    <row r="769" spans="1:16" ht="24" customHeight="1" x14ac:dyDescent="0.4">
      <c r="A769" s="313" t="s">
        <v>3395</v>
      </c>
      <c r="B769" s="313">
        <v>52485</v>
      </c>
      <c r="C769" s="313" t="s">
        <v>408</v>
      </c>
      <c r="D769" s="313" t="s">
        <v>573</v>
      </c>
      <c r="E769" s="314" t="s">
        <v>4</v>
      </c>
      <c r="F769" s="315">
        <v>1</v>
      </c>
      <c r="G769" s="316">
        <v>771.81</v>
      </c>
      <c r="H769" s="316">
        <v>21.83</v>
      </c>
      <c r="I769" s="316">
        <v>1.5</v>
      </c>
      <c r="J769" s="316">
        <v>748.48</v>
      </c>
      <c r="K769" s="316">
        <v>771.81</v>
      </c>
      <c r="L769" s="316">
        <v>21.83</v>
      </c>
      <c r="M769" s="316">
        <v>1.5</v>
      </c>
      <c r="N769" s="316">
        <v>748.48</v>
      </c>
      <c r="O769" s="316">
        <v>771.81</v>
      </c>
      <c r="P769" s="317">
        <v>1.3273555069801175E-3</v>
      </c>
    </row>
    <row r="770" spans="1:16" ht="24" customHeight="1" x14ac:dyDescent="0.4">
      <c r="A770" s="313" t="s">
        <v>3396</v>
      </c>
      <c r="B770" s="313">
        <v>55128</v>
      </c>
      <c r="C770" s="313" t="s">
        <v>408</v>
      </c>
      <c r="D770" s="313" t="s">
        <v>1969</v>
      </c>
      <c r="E770" s="314" t="s">
        <v>4</v>
      </c>
      <c r="F770" s="315">
        <v>1</v>
      </c>
      <c r="G770" s="316">
        <v>182.55</v>
      </c>
      <c r="H770" s="316">
        <v>28.24</v>
      </c>
      <c r="I770" s="316">
        <v>1.94</v>
      </c>
      <c r="J770" s="316">
        <v>152.37</v>
      </c>
      <c r="K770" s="316">
        <v>182.55</v>
      </c>
      <c r="L770" s="316">
        <v>28.24</v>
      </c>
      <c r="M770" s="316">
        <v>1.94</v>
      </c>
      <c r="N770" s="316">
        <v>152.37</v>
      </c>
      <c r="O770" s="316">
        <v>182.55</v>
      </c>
      <c r="P770" s="317">
        <v>3.1394870214070878E-4</v>
      </c>
    </row>
    <row r="771" spans="1:16" ht="24" customHeight="1" x14ac:dyDescent="0.4">
      <c r="A771" s="313" t="s">
        <v>3397</v>
      </c>
      <c r="B771" s="313">
        <v>62575</v>
      </c>
      <c r="C771" s="313" t="s">
        <v>408</v>
      </c>
      <c r="D771" s="313" t="s">
        <v>428</v>
      </c>
      <c r="E771" s="314" t="s">
        <v>4</v>
      </c>
      <c r="F771" s="315">
        <v>1</v>
      </c>
      <c r="G771" s="316">
        <v>22.08</v>
      </c>
      <c r="H771" s="316">
        <v>11.47</v>
      </c>
      <c r="I771" s="316">
        <v>1.02</v>
      </c>
      <c r="J771" s="316">
        <v>9.59</v>
      </c>
      <c r="K771" s="316">
        <v>22.08</v>
      </c>
      <c r="L771" s="316">
        <v>11.47</v>
      </c>
      <c r="M771" s="316">
        <v>1.02</v>
      </c>
      <c r="N771" s="316">
        <v>9.59</v>
      </c>
      <c r="O771" s="316">
        <v>22.08</v>
      </c>
      <c r="P771" s="317">
        <v>3.7973088705926323E-5</v>
      </c>
    </row>
    <row r="772" spans="1:16" ht="24" customHeight="1" x14ac:dyDescent="0.4">
      <c r="A772" s="313" t="s">
        <v>3398</v>
      </c>
      <c r="B772" s="313">
        <v>68020</v>
      </c>
      <c r="C772" s="313" t="s">
        <v>408</v>
      </c>
      <c r="D772" s="313" t="s">
        <v>595</v>
      </c>
      <c r="E772" s="314" t="s">
        <v>4</v>
      </c>
      <c r="F772" s="315">
        <v>1</v>
      </c>
      <c r="G772" s="316">
        <v>3.79</v>
      </c>
      <c r="H772" s="316">
        <v>0.78</v>
      </c>
      <c r="I772" s="316">
        <v>0</v>
      </c>
      <c r="J772" s="316">
        <v>3.01</v>
      </c>
      <c r="K772" s="316">
        <v>3.79</v>
      </c>
      <c r="L772" s="316">
        <v>0.78</v>
      </c>
      <c r="M772" s="316">
        <v>0</v>
      </c>
      <c r="N772" s="316">
        <v>3.01</v>
      </c>
      <c r="O772" s="316">
        <v>3.79</v>
      </c>
      <c r="P772" s="317">
        <v>6.5180256429103611E-6</v>
      </c>
    </row>
    <row r="773" spans="1:16" ht="24" customHeight="1" x14ac:dyDescent="0.4">
      <c r="A773" s="313" t="s">
        <v>3399</v>
      </c>
      <c r="B773" s="313">
        <v>63613</v>
      </c>
      <c r="C773" s="313" t="s">
        <v>408</v>
      </c>
      <c r="D773" s="313" t="s">
        <v>1819</v>
      </c>
      <c r="E773" s="314" t="s">
        <v>4</v>
      </c>
      <c r="F773" s="315">
        <v>1</v>
      </c>
      <c r="G773" s="316">
        <v>13.77</v>
      </c>
      <c r="H773" s="316">
        <v>7.5</v>
      </c>
      <c r="I773" s="316">
        <v>0</v>
      </c>
      <c r="J773" s="316">
        <v>6.27</v>
      </c>
      <c r="K773" s="316">
        <v>13.77</v>
      </c>
      <c r="L773" s="316">
        <v>7.5</v>
      </c>
      <c r="M773" s="316">
        <v>0</v>
      </c>
      <c r="N773" s="316">
        <v>6.27</v>
      </c>
      <c r="O773" s="316">
        <v>13.77</v>
      </c>
      <c r="P773" s="317">
        <v>2.3681586570679597E-5</v>
      </c>
    </row>
    <row r="774" spans="1:16" ht="24" customHeight="1" x14ac:dyDescent="0.4">
      <c r="A774" s="313" t="s">
        <v>3400</v>
      </c>
      <c r="B774" s="313">
        <v>52043</v>
      </c>
      <c r="C774" s="313" t="s">
        <v>408</v>
      </c>
      <c r="D774" s="313" t="s">
        <v>6090</v>
      </c>
      <c r="E774" s="314" t="s">
        <v>4</v>
      </c>
      <c r="F774" s="315">
        <v>1</v>
      </c>
      <c r="G774" s="316">
        <v>786.73</v>
      </c>
      <c r="H774" s="316">
        <v>35.409999999999997</v>
      </c>
      <c r="I774" s="316">
        <v>0</v>
      </c>
      <c r="J774" s="316">
        <v>751.32</v>
      </c>
      <c r="K774" s="316">
        <v>786.73</v>
      </c>
      <c r="L774" s="316">
        <v>35.409999999999997</v>
      </c>
      <c r="M774" s="316">
        <v>0</v>
      </c>
      <c r="N774" s="316">
        <v>751.32</v>
      </c>
      <c r="O774" s="316">
        <v>786.73</v>
      </c>
      <c r="P774" s="317">
        <v>1.3530148585875641E-3</v>
      </c>
    </row>
    <row r="775" spans="1:16" ht="24" customHeight="1" x14ac:dyDescent="0.4">
      <c r="A775" s="313" t="s">
        <v>3402</v>
      </c>
      <c r="B775" s="313">
        <v>61869</v>
      </c>
      <c r="C775" s="313" t="s">
        <v>408</v>
      </c>
      <c r="D775" s="313" t="s">
        <v>6091</v>
      </c>
      <c r="E775" s="314" t="s">
        <v>4</v>
      </c>
      <c r="F775" s="315">
        <v>1</v>
      </c>
      <c r="G775" s="316">
        <v>103.81</v>
      </c>
      <c r="H775" s="316">
        <v>41.42</v>
      </c>
      <c r="I775" s="316">
        <v>0</v>
      </c>
      <c r="J775" s="316">
        <v>62.39</v>
      </c>
      <c r="K775" s="316">
        <v>103.81</v>
      </c>
      <c r="L775" s="316">
        <v>41.42</v>
      </c>
      <c r="M775" s="316">
        <v>0</v>
      </c>
      <c r="N775" s="316">
        <v>62.39</v>
      </c>
      <c r="O775" s="316">
        <v>103.81</v>
      </c>
      <c r="P775" s="317">
        <v>1.7853198997111466E-4</v>
      </c>
    </row>
    <row r="776" spans="1:16" ht="24" customHeight="1" x14ac:dyDescent="0.4">
      <c r="A776" s="313" t="s">
        <v>3403</v>
      </c>
      <c r="B776" s="313">
        <v>55713</v>
      </c>
      <c r="C776" s="313" t="s">
        <v>408</v>
      </c>
      <c r="D776" s="313" t="s">
        <v>6092</v>
      </c>
      <c r="E776" s="314" t="s">
        <v>4</v>
      </c>
      <c r="F776" s="315">
        <v>1</v>
      </c>
      <c r="G776" s="316">
        <v>220.85</v>
      </c>
      <c r="H776" s="316">
        <v>28.57</v>
      </c>
      <c r="I776" s="316">
        <v>0</v>
      </c>
      <c r="J776" s="316">
        <v>192.28</v>
      </c>
      <c r="K776" s="316">
        <v>220.85</v>
      </c>
      <c r="L776" s="316">
        <v>28.57</v>
      </c>
      <c r="M776" s="316">
        <v>0</v>
      </c>
      <c r="N776" s="316">
        <v>192.28</v>
      </c>
      <c r="O776" s="316">
        <v>220.85</v>
      </c>
      <c r="P776" s="317">
        <v>3.798168768434705E-4</v>
      </c>
    </row>
    <row r="777" spans="1:16" ht="24" customHeight="1" x14ac:dyDescent="0.4">
      <c r="A777" s="313" t="s">
        <v>3404</v>
      </c>
      <c r="B777" s="313">
        <v>12710</v>
      </c>
      <c r="C777" s="313" t="s">
        <v>408</v>
      </c>
      <c r="D777" s="313" t="s">
        <v>377</v>
      </c>
      <c r="E777" s="314" t="s">
        <v>10</v>
      </c>
      <c r="F777" s="315">
        <v>1</v>
      </c>
      <c r="G777" s="316">
        <v>1308.24</v>
      </c>
      <c r="H777" s="316">
        <v>0</v>
      </c>
      <c r="I777" s="316">
        <v>0</v>
      </c>
      <c r="J777" s="316">
        <v>1308.24</v>
      </c>
      <c r="K777" s="316">
        <v>1308.24</v>
      </c>
      <c r="L777" s="316">
        <v>0</v>
      </c>
      <c r="M777" s="316">
        <v>0</v>
      </c>
      <c r="N777" s="316">
        <v>1308.24</v>
      </c>
      <c r="O777" s="316">
        <v>1308.24</v>
      </c>
      <c r="P777" s="317">
        <v>2.2499055058261348E-3</v>
      </c>
    </row>
    <row r="778" spans="1:16" ht="24" customHeight="1" x14ac:dyDescent="0.4">
      <c r="A778" s="313" t="s">
        <v>3405</v>
      </c>
      <c r="B778" s="313">
        <v>63445</v>
      </c>
      <c r="C778" s="313" t="s">
        <v>408</v>
      </c>
      <c r="D778" s="313" t="s">
        <v>447</v>
      </c>
      <c r="E778" s="314" t="s">
        <v>380</v>
      </c>
      <c r="F778" s="315">
        <v>1</v>
      </c>
      <c r="G778" s="316">
        <v>4.55</v>
      </c>
      <c r="H778" s="316">
        <v>3.24</v>
      </c>
      <c r="I778" s="316">
        <v>0.25</v>
      </c>
      <c r="J778" s="316">
        <v>1.06</v>
      </c>
      <c r="K778" s="316">
        <v>4.55</v>
      </c>
      <c r="L778" s="316">
        <v>3.24</v>
      </c>
      <c r="M778" s="316">
        <v>0.25</v>
      </c>
      <c r="N778" s="316">
        <v>1.06</v>
      </c>
      <c r="O778" s="316">
        <v>4.55</v>
      </c>
      <c r="P778" s="317">
        <v>7.8250703628607241E-6</v>
      </c>
    </row>
    <row r="779" spans="1:16" ht="24" customHeight="1" x14ac:dyDescent="0.4">
      <c r="A779" s="313" t="s">
        <v>3406</v>
      </c>
      <c r="B779" s="313">
        <v>63754</v>
      </c>
      <c r="C779" s="313" t="s">
        <v>408</v>
      </c>
      <c r="D779" s="313" t="s">
        <v>425</v>
      </c>
      <c r="E779" s="314" t="s">
        <v>4</v>
      </c>
      <c r="F779" s="315">
        <v>1</v>
      </c>
      <c r="G779" s="316">
        <v>13.77</v>
      </c>
      <c r="H779" s="316">
        <v>7.5</v>
      </c>
      <c r="I779" s="316">
        <v>0</v>
      </c>
      <c r="J779" s="316">
        <v>6.27</v>
      </c>
      <c r="K779" s="316">
        <v>13.77</v>
      </c>
      <c r="L779" s="316">
        <v>7.5</v>
      </c>
      <c r="M779" s="316">
        <v>0</v>
      </c>
      <c r="N779" s="316">
        <v>6.27</v>
      </c>
      <c r="O779" s="316">
        <v>13.77</v>
      </c>
      <c r="P779" s="317">
        <v>2.3681586570679597E-5</v>
      </c>
    </row>
    <row r="780" spans="1:16" ht="24" customHeight="1" x14ac:dyDescent="0.4">
      <c r="A780" s="313" t="s">
        <v>3407</v>
      </c>
      <c r="B780" s="313">
        <v>63007</v>
      </c>
      <c r="C780" s="313" t="s">
        <v>408</v>
      </c>
      <c r="D780" s="313" t="s">
        <v>429</v>
      </c>
      <c r="E780" s="314" t="s">
        <v>4</v>
      </c>
      <c r="F780" s="315">
        <v>1</v>
      </c>
      <c r="G780" s="316">
        <v>39.979999999999997</v>
      </c>
      <c r="H780" s="316">
        <v>14.81</v>
      </c>
      <c r="I780" s="316">
        <v>1.3</v>
      </c>
      <c r="J780" s="316">
        <v>23.87</v>
      </c>
      <c r="K780" s="316">
        <v>39.979999999999997</v>
      </c>
      <c r="L780" s="316">
        <v>14.81</v>
      </c>
      <c r="M780" s="316">
        <v>1.3</v>
      </c>
      <c r="N780" s="316">
        <v>23.87</v>
      </c>
      <c r="O780" s="316">
        <v>39.979999999999997</v>
      </c>
      <c r="P780" s="317">
        <v>6.8757431452125647E-5</v>
      </c>
    </row>
    <row r="781" spans="1:16" ht="24" customHeight="1" x14ac:dyDescent="0.4">
      <c r="A781" s="313" t="s">
        <v>3408</v>
      </c>
      <c r="B781" s="313">
        <v>63067</v>
      </c>
      <c r="C781" s="313" t="s">
        <v>408</v>
      </c>
      <c r="D781" s="313" t="s">
        <v>3401</v>
      </c>
      <c r="E781" s="314" t="s">
        <v>4</v>
      </c>
      <c r="F781" s="315">
        <v>1</v>
      </c>
      <c r="G781" s="316">
        <v>18.97</v>
      </c>
      <c r="H781" s="316">
        <v>11.51</v>
      </c>
      <c r="I781" s="316">
        <v>0</v>
      </c>
      <c r="J781" s="316">
        <v>7.46</v>
      </c>
      <c r="K781" s="316">
        <v>18.97</v>
      </c>
      <c r="L781" s="316">
        <v>11.51</v>
      </c>
      <c r="M781" s="316">
        <v>0</v>
      </c>
      <c r="N781" s="316">
        <v>7.46</v>
      </c>
      <c r="O781" s="316">
        <v>18.97</v>
      </c>
      <c r="P781" s="317">
        <v>3.2624524128234708E-5</v>
      </c>
    </row>
    <row r="782" spans="1:16" ht="24" customHeight="1" x14ac:dyDescent="0.4">
      <c r="A782" s="313" t="s">
        <v>3409</v>
      </c>
      <c r="B782" s="313">
        <v>58003</v>
      </c>
      <c r="C782" s="313" t="s">
        <v>408</v>
      </c>
      <c r="D782" s="313" t="s">
        <v>458</v>
      </c>
      <c r="E782" s="314" t="s">
        <v>4</v>
      </c>
      <c r="F782" s="315">
        <v>1</v>
      </c>
      <c r="G782" s="316">
        <v>79.47</v>
      </c>
      <c r="H782" s="316">
        <v>33.35</v>
      </c>
      <c r="I782" s="316">
        <v>0</v>
      </c>
      <c r="J782" s="316">
        <v>46.12</v>
      </c>
      <c r="K782" s="316">
        <v>79.47</v>
      </c>
      <c r="L782" s="316">
        <v>33.35</v>
      </c>
      <c r="M782" s="316">
        <v>0</v>
      </c>
      <c r="N782" s="316">
        <v>46.12</v>
      </c>
      <c r="O782" s="316">
        <v>79.47</v>
      </c>
      <c r="P782" s="317">
        <v>1.3667216301902014E-4</v>
      </c>
    </row>
    <row r="783" spans="1:16" ht="24" customHeight="1" x14ac:dyDescent="0.4">
      <c r="A783" s="313" t="s">
        <v>3410</v>
      </c>
      <c r="B783" s="313">
        <v>61972</v>
      </c>
      <c r="C783" s="313" t="s">
        <v>408</v>
      </c>
      <c r="D783" s="313" t="s">
        <v>459</v>
      </c>
      <c r="E783" s="314" t="s">
        <v>4</v>
      </c>
      <c r="F783" s="315">
        <v>1</v>
      </c>
      <c r="G783" s="316">
        <v>198.05</v>
      </c>
      <c r="H783" s="316">
        <v>86.13</v>
      </c>
      <c r="I783" s="316">
        <v>7.62</v>
      </c>
      <c r="J783" s="316">
        <v>104.3</v>
      </c>
      <c r="K783" s="316">
        <v>198.05</v>
      </c>
      <c r="L783" s="316">
        <v>86.13</v>
      </c>
      <c r="M783" s="316">
        <v>7.62</v>
      </c>
      <c r="N783" s="316">
        <v>104.3</v>
      </c>
      <c r="O783" s="316">
        <v>198.05</v>
      </c>
      <c r="P783" s="317">
        <v>3.4060553524495964E-4</v>
      </c>
    </row>
    <row r="784" spans="1:16" ht="24" customHeight="1" x14ac:dyDescent="0.4">
      <c r="A784" s="313" t="s">
        <v>3411</v>
      </c>
      <c r="B784" s="313">
        <v>70938</v>
      </c>
      <c r="C784" s="313" t="s">
        <v>408</v>
      </c>
      <c r="D784" s="313" t="s">
        <v>462</v>
      </c>
      <c r="E784" s="314" t="s">
        <v>4</v>
      </c>
      <c r="F784" s="315">
        <v>1</v>
      </c>
      <c r="G784" s="316">
        <v>35045.85</v>
      </c>
      <c r="H784" s="316">
        <v>1948.45</v>
      </c>
      <c r="I784" s="316">
        <v>172.2</v>
      </c>
      <c r="J784" s="316">
        <v>32925.199999999997</v>
      </c>
      <c r="K784" s="316">
        <v>35045.85</v>
      </c>
      <c r="L784" s="316">
        <v>1948.45</v>
      </c>
      <c r="M784" s="316">
        <v>172.2</v>
      </c>
      <c r="N784" s="316">
        <v>32925.199999999997</v>
      </c>
      <c r="O784" s="316">
        <v>35045.85</v>
      </c>
      <c r="P784" s="317">
        <v>6.0271701577200548E-2</v>
      </c>
    </row>
    <row r="785" spans="1:16" x14ac:dyDescent="0.4">
      <c r="A785" s="313" t="s">
        <v>3412</v>
      </c>
      <c r="B785" s="313">
        <v>53292</v>
      </c>
      <c r="C785" s="313" t="s">
        <v>408</v>
      </c>
      <c r="D785" s="313" t="s">
        <v>571</v>
      </c>
      <c r="E785" s="314" t="s">
        <v>4</v>
      </c>
      <c r="F785" s="315">
        <v>1</v>
      </c>
      <c r="G785" s="316">
        <v>240.53</v>
      </c>
      <c r="H785" s="316">
        <v>33.46</v>
      </c>
      <c r="I785" s="316">
        <v>0</v>
      </c>
      <c r="J785" s="316">
        <v>207.07</v>
      </c>
      <c r="K785" s="316">
        <v>240.53</v>
      </c>
      <c r="L785" s="316">
        <v>33.46</v>
      </c>
      <c r="M785" s="316">
        <v>0</v>
      </c>
      <c r="N785" s="316">
        <v>207.07</v>
      </c>
      <c r="O785" s="316">
        <v>240.53</v>
      </c>
      <c r="P785" s="317">
        <v>4.1366245590744832E-4</v>
      </c>
    </row>
    <row r="786" spans="1:16" x14ac:dyDescent="0.4">
      <c r="A786" s="313" t="s">
        <v>3413</v>
      </c>
      <c r="B786" s="313">
        <v>60316</v>
      </c>
      <c r="C786" s="313" t="s">
        <v>408</v>
      </c>
      <c r="D786" s="313" t="s">
        <v>527</v>
      </c>
      <c r="E786" s="314" t="s">
        <v>4</v>
      </c>
      <c r="F786" s="315">
        <v>1</v>
      </c>
      <c r="G786" s="316">
        <v>290.75</v>
      </c>
      <c r="H786" s="316">
        <v>53.3</v>
      </c>
      <c r="I786" s="316">
        <v>0</v>
      </c>
      <c r="J786" s="316">
        <v>237.45</v>
      </c>
      <c r="K786" s="316">
        <v>290.75</v>
      </c>
      <c r="L786" s="316">
        <v>53.3</v>
      </c>
      <c r="M786" s="316">
        <v>0</v>
      </c>
      <c r="N786" s="316">
        <v>237.45</v>
      </c>
      <c r="O786" s="316">
        <v>290.75</v>
      </c>
      <c r="P786" s="317">
        <v>5.0003059516522098E-4</v>
      </c>
    </row>
    <row r="787" spans="1:16" ht="15" customHeight="1" x14ac:dyDescent="0.4">
      <c r="A787" s="313" t="s">
        <v>3414</v>
      </c>
      <c r="B787" s="313">
        <v>58020</v>
      </c>
      <c r="C787" s="313" t="s">
        <v>408</v>
      </c>
      <c r="D787" s="313" t="s">
        <v>6093</v>
      </c>
      <c r="E787" s="314" t="s">
        <v>4</v>
      </c>
      <c r="F787" s="315">
        <v>1</v>
      </c>
      <c r="G787" s="316">
        <v>412.18</v>
      </c>
      <c r="H787" s="316">
        <v>33.35</v>
      </c>
      <c r="I787" s="316">
        <v>0</v>
      </c>
      <c r="J787" s="316">
        <v>378.83</v>
      </c>
      <c r="K787" s="316">
        <v>412.18</v>
      </c>
      <c r="L787" s="316">
        <v>33.35</v>
      </c>
      <c r="M787" s="316">
        <v>0</v>
      </c>
      <c r="N787" s="316">
        <v>378.83</v>
      </c>
      <c r="O787" s="316">
        <v>412.18</v>
      </c>
      <c r="P787" s="317">
        <v>7.0886538509097423E-4</v>
      </c>
    </row>
    <row r="788" spans="1:16" ht="15" customHeight="1" x14ac:dyDescent="0.4">
      <c r="A788" s="313" t="s">
        <v>3415</v>
      </c>
      <c r="B788" s="313">
        <v>53189</v>
      </c>
      <c r="C788" s="313" t="s">
        <v>408</v>
      </c>
      <c r="D788" s="313" t="s">
        <v>572</v>
      </c>
      <c r="E788" s="314" t="s">
        <v>4</v>
      </c>
      <c r="F788" s="315">
        <v>1</v>
      </c>
      <c r="G788" s="316">
        <v>260.02</v>
      </c>
      <c r="H788" s="316">
        <v>46.35</v>
      </c>
      <c r="I788" s="316">
        <v>0</v>
      </c>
      <c r="J788" s="316">
        <v>213.67</v>
      </c>
      <c r="K788" s="316">
        <v>260.02</v>
      </c>
      <c r="L788" s="316">
        <v>46.35</v>
      </c>
      <c r="M788" s="316">
        <v>0</v>
      </c>
      <c r="N788" s="316">
        <v>213.67</v>
      </c>
      <c r="O788" s="316">
        <v>260.02</v>
      </c>
      <c r="P788" s="317">
        <v>4.4718127379143852E-4</v>
      </c>
    </row>
    <row r="789" spans="1:16" x14ac:dyDescent="0.4">
      <c r="A789" s="313" t="s">
        <v>3416</v>
      </c>
      <c r="B789" s="313">
        <v>40757</v>
      </c>
      <c r="C789" s="313" t="s">
        <v>408</v>
      </c>
      <c r="D789" s="313" t="s">
        <v>788</v>
      </c>
      <c r="E789" s="314" t="s">
        <v>4</v>
      </c>
      <c r="F789" s="315">
        <v>1</v>
      </c>
      <c r="G789" s="316">
        <v>95.9</v>
      </c>
      <c r="H789" s="316">
        <v>72.03</v>
      </c>
      <c r="I789" s="316">
        <v>1.91</v>
      </c>
      <c r="J789" s="316">
        <v>21.96</v>
      </c>
      <c r="K789" s="316">
        <v>95.9</v>
      </c>
      <c r="L789" s="316">
        <v>72.03</v>
      </c>
      <c r="M789" s="316">
        <v>1.91</v>
      </c>
      <c r="N789" s="316">
        <v>21.96</v>
      </c>
      <c r="O789" s="316">
        <v>95.9</v>
      </c>
      <c r="P789" s="317">
        <v>1.64928406109526E-4</v>
      </c>
    </row>
    <row r="790" spans="1:16" ht="60" customHeight="1" x14ac:dyDescent="0.4">
      <c r="A790" s="313" t="s">
        <v>3417</v>
      </c>
      <c r="B790" s="313">
        <v>55718</v>
      </c>
      <c r="C790" s="313" t="s">
        <v>408</v>
      </c>
      <c r="D790" s="313" t="s">
        <v>6094</v>
      </c>
      <c r="E790" s="314" t="s">
        <v>4</v>
      </c>
      <c r="F790" s="315">
        <v>1</v>
      </c>
      <c r="G790" s="316">
        <v>172.5</v>
      </c>
      <c r="H790" s="316">
        <v>25.42</v>
      </c>
      <c r="I790" s="316">
        <v>0</v>
      </c>
      <c r="J790" s="316">
        <v>147.08000000000001</v>
      </c>
      <c r="K790" s="316">
        <v>172.5</v>
      </c>
      <c r="L790" s="316">
        <v>25.42</v>
      </c>
      <c r="M790" s="316">
        <v>0</v>
      </c>
      <c r="N790" s="316">
        <v>147.08000000000001</v>
      </c>
      <c r="O790" s="316">
        <v>172.5</v>
      </c>
      <c r="P790" s="317">
        <v>2.9666475551504943E-4</v>
      </c>
    </row>
    <row r="791" spans="1:16" ht="69.900000000000006" customHeight="1" x14ac:dyDescent="0.4">
      <c r="A791" s="313" t="s">
        <v>3418</v>
      </c>
      <c r="B791" s="313">
        <v>52295</v>
      </c>
      <c r="C791" s="313" t="s">
        <v>408</v>
      </c>
      <c r="D791" s="313" t="s">
        <v>1952</v>
      </c>
      <c r="E791" s="314" t="s">
        <v>4</v>
      </c>
      <c r="F791" s="315">
        <v>1</v>
      </c>
      <c r="G791" s="316">
        <v>116.44</v>
      </c>
      <c r="H791" s="316">
        <v>18.079999999999998</v>
      </c>
      <c r="I791" s="316">
        <v>0</v>
      </c>
      <c r="J791" s="316">
        <v>98.36</v>
      </c>
      <c r="K791" s="316">
        <v>116.44</v>
      </c>
      <c r="L791" s="316">
        <v>18.079999999999998</v>
      </c>
      <c r="M791" s="316">
        <v>0</v>
      </c>
      <c r="N791" s="316">
        <v>98.36</v>
      </c>
      <c r="O791" s="316">
        <v>116.44</v>
      </c>
      <c r="P791" s="317">
        <v>2.0025300946186872E-4</v>
      </c>
    </row>
    <row r="792" spans="1:16" x14ac:dyDescent="0.4">
      <c r="A792" s="313" t="s">
        <v>3419</v>
      </c>
      <c r="B792" s="313">
        <v>79483</v>
      </c>
      <c r="C792" s="313" t="s">
        <v>395</v>
      </c>
      <c r="D792" s="313" t="s">
        <v>2006</v>
      </c>
      <c r="E792" s="314" t="s">
        <v>675</v>
      </c>
      <c r="F792" s="315">
        <v>1</v>
      </c>
      <c r="G792" s="316">
        <v>49.23</v>
      </c>
      <c r="H792" s="316">
        <v>33.92</v>
      </c>
      <c r="I792" s="316">
        <v>3.53</v>
      </c>
      <c r="J792" s="316">
        <v>11.78</v>
      </c>
      <c r="K792" s="316">
        <v>49.23</v>
      </c>
      <c r="L792" s="316">
        <v>33.92</v>
      </c>
      <c r="M792" s="316">
        <v>3.53</v>
      </c>
      <c r="N792" s="316">
        <v>11.78</v>
      </c>
      <c r="O792" s="316">
        <v>49.23</v>
      </c>
      <c r="P792" s="317">
        <v>8.4665541530468881E-5</v>
      </c>
    </row>
    <row r="793" spans="1:16" x14ac:dyDescent="0.4">
      <c r="A793" s="313" t="s">
        <v>3420</v>
      </c>
      <c r="B793" s="313">
        <v>31018</v>
      </c>
      <c r="C793" s="313" t="s">
        <v>408</v>
      </c>
      <c r="D793" s="313" t="s">
        <v>793</v>
      </c>
      <c r="E793" s="314" t="s">
        <v>7</v>
      </c>
      <c r="F793" s="315">
        <v>1</v>
      </c>
      <c r="G793" s="316">
        <v>846.84</v>
      </c>
      <c r="H793" s="316">
        <v>35.54</v>
      </c>
      <c r="I793" s="316">
        <v>0</v>
      </c>
      <c r="J793" s="316">
        <v>811.3</v>
      </c>
      <c r="K793" s="316">
        <v>846.84</v>
      </c>
      <c r="L793" s="316">
        <v>35.54</v>
      </c>
      <c r="M793" s="316">
        <v>0</v>
      </c>
      <c r="N793" s="316">
        <v>811.3</v>
      </c>
      <c r="O793" s="316">
        <v>846.84</v>
      </c>
      <c r="P793" s="317">
        <v>1.4563917771615328E-3</v>
      </c>
    </row>
    <row r="794" spans="1:16" x14ac:dyDescent="0.4">
      <c r="A794" s="313" t="s">
        <v>3421</v>
      </c>
      <c r="B794" s="313">
        <v>31085</v>
      </c>
      <c r="C794" s="313" t="s">
        <v>408</v>
      </c>
      <c r="D794" s="313" t="s">
        <v>6095</v>
      </c>
      <c r="E794" s="314" t="s">
        <v>4</v>
      </c>
      <c r="F794" s="315">
        <v>1</v>
      </c>
      <c r="G794" s="316">
        <v>102.51</v>
      </c>
      <c r="H794" s="316">
        <v>46.3</v>
      </c>
      <c r="I794" s="316">
        <v>0</v>
      </c>
      <c r="J794" s="316">
        <v>56.21</v>
      </c>
      <c r="K794" s="316">
        <v>102.51</v>
      </c>
      <c r="L794" s="316">
        <v>46.3</v>
      </c>
      <c r="M794" s="316">
        <v>0</v>
      </c>
      <c r="N794" s="316">
        <v>56.21</v>
      </c>
      <c r="O794" s="316">
        <v>102.51</v>
      </c>
      <c r="P794" s="317">
        <v>1.7629625558172589E-4</v>
      </c>
    </row>
    <row r="795" spans="1:16" x14ac:dyDescent="0.4">
      <c r="A795" s="313" t="s">
        <v>3422</v>
      </c>
      <c r="B795" s="313">
        <v>31085</v>
      </c>
      <c r="C795" s="313" t="s">
        <v>408</v>
      </c>
      <c r="D795" s="313" t="s">
        <v>770</v>
      </c>
      <c r="E795" s="314" t="s">
        <v>4</v>
      </c>
      <c r="F795" s="315">
        <v>1</v>
      </c>
      <c r="G795" s="316">
        <v>102.51</v>
      </c>
      <c r="H795" s="316">
        <v>46.3</v>
      </c>
      <c r="I795" s="316">
        <v>0</v>
      </c>
      <c r="J795" s="316">
        <v>56.21</v>
      </c>
      <c r="K795" s="316">
        <v>102.51</v>
      </c>
      <c r="L795" s="316">
        <v>46.3</v>
      </c>
      <c r="M795" s="316">
        <v>0</v>
      </c>
      <c r="N795" s="316">
        <v>56.21</v>
      </c>
      <c r="O795" s="316">
        <v>102.51</v>
      </c>
      <c r="P795" s="317">
        <v>1.7629625558172589E-4</v>
      </c>
    </row>
    <row r="796" spans="1:16" x14ac:dyDescent="0.4">
      <c r="A796" s="313" t="s">
        <v>3423</v>
      </c>
      <c r="B796" s="313">
        <v>20711</v>
      </c>
      <c r="C796" s="313" t="s">
        <v>408</v>
      </c>
      <c r="D796" s="313" t="s">
        <v>772</v>
      </c>
      <c r="E796" s="314" t="s">
        <v>7</v>
      </c>
      <c r="F796" s="315">
        <v>1</v>
      </c>
      <c r="G796" s="316">
        <v>17.34</v>
      </c>
      <c r="H796" s="316">
        <v>2.72</v>
      </c>
      <c r="I796" s="316">
        <v>0</v>
      </c>
      <c r="J796" s="316">
        <v>14.62</v>
      </c>
      <c r="K796" s="316">
        <v>17.34</v>
      </c>
      <c r="L796" s="316">
        <v>2.72</v>
      </c>
      <c r="M796" s="316">
        <v>0</v>
      </c>
      <c r="N796" s="316">
        <v>14.62</v>
      </c>
      <c r="O796" s="316">
        <v>17.34</v>
      </c>
      <c r="P796" s="317">
        <v>2.9821257163078007E-5</v>
      </c>
    </row>
    <row r="797" spans="1:16" x14ac:dyDescent="0.4">
      <c r="A797" s="313" t="s">
        <v>3424</v>
      </c>
      <c r="B797" s="313">
        <v>31318</v>
      </c>
      <c r="C797" s="313" t="s">
        <v>408</v>
      </c>
      <c r="D797" s="313" t="s">
        <v>786</v>
      </c>
      <c r="E797" s="314" t="s">
        <v>7</v>
      </c>
      <c r="F797" s="315">
        <v>1</v>
      </c>
      <c r="G797" s="316">
        <v>5.84</v>
      </c>
      <c r="H797" s="316">
        <v>3.78</v>
      </c>
      <c r="I797" s="316">
        <v>0.22</v>
      </c>
      <c r="J797" s="316">
        <v>1.84</v>
      </c>
      <c r="K797" s="316">
        <v>5.84</v>
      </c>
      <c r="L797" s="316">
        <v>3.78</v>
      </c>
      <c r="M797" s="316">
        <v>0.22</v>
      </c>
      <c r="N797" s="316">
        <v>1.84</v>
      </c>
      <c r="O797" s="316">
        <v>5.84</v>
      </c>
      <c r="P797" s="317">
        <v>1.0043606795408049E-5</v>
      </c>
    </row>
    <row r="798" spans="1:16" x14ac:dyDescent="0.4">
      <c r="A798" s="313" t="s">
        <v>3425</v>
      </c>
      <c r="B798" s="313">
        <v>21226</v>
      </c>
      <c r="C798" s="313" t="s">
        <v>408</v>
      </c>
      <c r="D798" s="313" t="s">
        <v>2008</v>
      </c>
      <c r="E798" s="314" t="s">
        <v>675</v>
      </c>
      <c r="F798" s="315">
        <v>1</v>
      </c>
      <c r="G798" s="316">
        <v>20.27</v>
      </c>
      <c r="H798" s="316">
        <v>4.33</v>
      </c>
      <c r="I798" s="316">
        <v>0</v>
      </c>
      <c r="J798" s="316">
        <v>15.94</v>
      </c>
      <c r="K798" s="316">
        <v>20.27</v>
      </c>
      <c r="L798" s="316">
        <v>4.33</v>
      </c>
      <c r="M798" s="316">
        <v>0</v>
      </c>
      <c r="N798" s="316">
        <v>15.94</v>
      </c>
      <c r="O798" s="316">
        <v>20.27</v>
      </c>
      <c r="P798" s="317">
        <v>3.4860258517623488E-5</v>
      </c>
    </row>
    <row r="799" spans="1:16" x14ac:dyDescent="0.4">
      <c r="A799" s="313" t="s">
        <v>3426</v>
      </c>
      <c r="B799" s="313">
        <v>40491</v>
      </c>
      <c r="C799" s="313" t="s">
        <v>408</v>
      </c>
      <c r="D799" s="313" t="s">
        <v>828</v>
      </c>
      <c r="E799" s="314" t="s">
        <v>3</v>
      </c>
      <c r="F799" s="315">
        <v>1</v>
      </c>
      <c r="G799" s="316">
        <v>31.21</v>
      </c>
      <c r="H799" s="316">
        <v>24.09</v>
      </c>
      <c r="I799" s="316">
        <v>1.27</v>
      </c>
      <c r="J799" s="316">
        <v>5.85</v>
      </c>
      <c r="K799" s="316">
        <v>31.21</v>
      </c>
      <c r="L799" s="316">
        <v>24.09</v>
      </c>
      <c r="M799" s="316">
        <v>1.27</v>
      </c>
      <c r="N799" s="316">
        <v>5.85</v>
      </c>
      <c r="O799" s="316">
        <v>31.21</v>
      </c>
      <c r="P799" s="317">
        <v>5.3674823302172125E-5</v>
      </c>
    </row>
    <row r="800" spans="1:16" x14ac:dyDescent="0.4">
      <c r="A800" s="313" t="s">
        <v>3427</v>
      </c>
      <c r="B800" s="313" t="s">
        <v>1651</v>
      </c>
      <c r="C800" s="313" t="s">
        <v>395</v>
      </c>
      <c r="D800" s="313" t="s">
        <v>1654</v>
      </c>
      <c r="E800" s="314" t="s">
        <v>713</v>
      </c>
      <c r="F800" s="315">
        <v>1</v>
      </c>
      <c r="G800" s="316">
        <v>921.49</v>
      </c>
      <c r="H800" s="316">
        <v>385.35</v>
      </c>
      <c r="I800" s="316">
        <v>35.81</v>
      </c>
      <c r="J800" s="316">
        <v>500.33</v>
      </c>
      <c r="K800" s="316">
        <v>921.49</v>
      </c>
      <c r="L800" s="316">
        <v>385.35</v>
      </c>
      <c r="M800" s="316">
        <v>35.81</v>
      </c>
      <c r="N800" s="316">
        <v>500.33</v>
      </c>
      <c r="O800" s="316">
        <v>921.49</v>
      </c>
      <c r="P800" s="317">
        <v>1.5847745249829731E-3</v>
      </c>
    </row>
    <row r="801" spans="1:16" x14ac:dyDescent="0.4">
      <c r="A801" s="313" t="s">
        <v>3428</v>
      </c>
      <c r="B801" s="313">
        <v>21039</v>
      </c>
      <c r="C801" s="313" t="s">
        <v>408</v>
      </c>
      <c r="D801" s="313" t="s">
        <v>2010</v>
      </c>
      <c r="E801" s="314" t="s">
        <v>675</v>
      </c>
      <c r="F801" s="315">
        <v>1</v>
      </c>
      <c r="G801" s="316">
        <v>21.96</v>
      </c>
      <c r="H801" s="316">
        <v>4.09</v>
      </c>
      <c r="I801" s="316">
        <v>0</v>
      </c>
      <c r="J801" s="316">
        <v>17.87</v>
      </c>
      <c r="K801" s="316">
        <v>21.96</v>
      </c>
      <c r="L801" s="316">
        <v>4.09</v>
      </c>
      <c r="M801" s="316">
        <v>0</v>
      </c>
      <c r="N801" s="316">
        <v>17.87</v>
      </c>
      <c r="O801" s="316">
        <v>21.96</v>
      </c>
      <c r="P801" s="317">
        <v>3.7766713223828898E-5</v>
      </c>
    </row>
    <row r="802" spans="1:16" x14ac:dyDescent="0.4">
      <c r="A802" s="313" t="s">
        <v>3429</v>
      </c>
      <c r="B802" s="313">
        <v>40161</v>
      </c>
      <c r="C802" s="313" t="s">
        <v>408</v>
      </c>
      <c r="D802" s="313" t="s">
        <v>738</v>
      </c>
      <c r="E802" s="314" t="s">
        <v>675</v>
      </c>
      <c r="F802" s="315">
        <v>1</v>
      </c>
      <c r="G802" s="316">
        <v>49.71</v>
      </c>
      <c r="H802" s="316">
        <v>4.34</v>
      </c>
      <c r="I802" s="316">
        <v>0.38</v>
      </c>
      <c r="J802" s="316">
        <v>44.99</v>
      </c>
      <c r="K802" s="316">
        <v>49.71</v>
      </c>
      <c r="L802" s="316">
        <v>4.34</v>
      </c>
      <c r="M802" s="316">
        <v>0.38</v>
      </c>
      <c r="N802" s="316">
        <v>44.99</v>
      </c>
      <c r="O802" s="316">
        <v>49.71</v>
      </c>
      <c r="P802" s="317">
        <v>8.5491043458858581E-5</v>
      </c>
    </row>
    <row r="803" spans="1:16" x14ac:dyDescent="0.4">
      <c r="A803" s="313" t="s">
        <v>3430</v>
      </c>
      <c r="B803" s="313">
        <v>98503</v>
      </c>
      <c r="C803" s="313" t="s">
        <v>395</v>
      </c>
      <c r="D803" s="313" t="s">
        <v>6096</v>
      </c>
      <c r="E803" s="314" t="s">
        <v>675</v>
      </c>
      <c r="F803" s="315">
        <v>1</v>
      </c>
      <c r="G803" s="316">
        <v>25.23</v>
      </c>
      <c r="H803" s="316">
        <v>4.66</v>
      </c>
      <c r="I803" s="316">
        <v>0.48</v>
      </c>
      <c r="J803" s="316">
        <v>20.09</v>
      </c>
      <c r="K803" s="316">
        <v>25.23</v>
      </c>
      <c r="L803" s="316">
        <v>4.66</v>
      </c>
      <c r="M803" s="316">
        <v>0.48</v>
      </c>
      <c r="N803" s="316">
        <v>20.09</v>
      </c>
      <c r="O803" s="316">
        <v>25.23</v>
      </c>
      <c r="P803" s="317">
        <v>4.3390445110983746E-5</v>
      </c>
    </row>
    <row r="804" spans="1:16" x14ac:dyDescent="0.4">
      <c r="A804" s="313" t="s">
        <v>3431</v>
      </c>
      <c r="B804" s="313">
        <v>61542</v>
      </c>
      <c r="C804" s="313" t="s">
        <v>408</v>
      </c>
      <c r="D804" s="313" t="s">
        <v>6097</v>
      </c>
      <c r="E804" s="314" t="s">
        <v>4</v>
      </c>
      <c r="F804" s="315">
        <v>1</v>
      </c>
      <c r="G804" s="316">
        <v>34.57</v>
      </c>
      <c r="H804" s="316">
        <v>14.43</v>
      </c>
      <c r="I804" s="316">
        <v>0</v>
      </c>
      <c r="J804" s="316">
        <v>20.14</v>
      </c>
      <c r="K804" s="316">
        <v>34.57</v>
      </c>
      <c r="L804" s="316">
        <v>14.43</v>
      </c>
      <c r="M804" s="316">
        <v>0</v>
      </c>
      <c r="N804" s="316">
        <v>20.14</v>
      </c>
      <c r="O804" s="316">
        <v>34.57</v>
      </c>
      <c r="P804" s="317">
        <v>5.9453336800900044E-5</v>
      </c>
    </row>
    <row r="805" spans="1:16" x14ac:dyDescent="0.4">
      <c r="A805" s="313" t="s">
        <v>3432</v>
      </c>
      <c r="B805" s="313">
        <v>63756</v>
      </c>
      <c r="C805" s="313" t="s">
        <v>408</v>
      </c>
      <c r="D805" s="313" t="s">
        <v>424</v>
      </c>
      <c r="E805" s="314" t="s">
        <v>4</v>
      </c>
      <c r="F805" s="315">
        <v>1</v>
      </c>
      <c r="G805" s="316">
        <v>13.77</v>
      </c>
      <c r="H805" s="316">
        <v>7.5</v>
      </c>
      <c r="I805" s="316">
        <v>0</v>
      </c>
      <c r="J805" s="316">
        <v>6.27</v>
      </c>
      <c r="K805" s="316">
        <v>13.77</v>
      </c>
      <c r="L805" s="316">
        <v>7.5</v>
      </c>
      <c r="M805" s="316">
        <v>0</v>
      </c>
      <c r="N805" s="316">
        <v>6.27</v>
      </c>
      <c r="O805" s="316">
        <v>13.77</v>
      </c>
      <c r="P805" s="317">
        <v>2.3681586570679597E-5</v>
      </c>
    </row>
    <row r="806" spans="1:16" x14ac:dyDescent="0.4">
      <c r="A806" s="313" t="s">
        <v>3433</v>
      </c>
      <c r="B806" s="313">
        <v>60504</v>
      </c>
      <c r="C806" s="313" t="s">
        <v>408</v>
      </c>
      <c r="D806" s="313" t="s">
        <v>426</v>
      </c>
      <c r="E806" s="314" t="s">
        <v>7</v>
      </c>
      <c r="F806" s="315">
        <v>1</v>
      </c>
      <c r="G806" s="316">
        <v>78.25</v>
      </c>
      <c r="H806" s="316">
        <v>50.88</v>
      </c>
      <c r="I806" s="316">
        <v>4.5</v>
      </c>
      <c r="J806" s="316">
        <v>22.87</v>
      </c>
      <c r="K806" s="316">
        <v>78.25</v>
      </c>
      <c r="L806" s="316">
        <v>50.88</v>
      </c>
      <c r="M806" s="316">
        <v>4.5</v>
      </c>
      <c r="N806" s="316">
        <v>22.87</v>
      </c>
      <c r="O806" s="316">
        <v>78.25</v>
      </c>
      <c r="P806" s="317">
        <v>1.34574012284363E-4</v>
      </c>
    </row>
    <row r="807" spans="1:16" x14ac:dyDescent="0.4">
      <c r="A807" s="313" t="s">
        <v>3434</v>
      </c>
      <c r="B807" s="313">
        <v>62572</v>
      </c>
      <c r="C807" s="313" t="s">
        <v>408</v>
      </c>
      <c r="D807" s="313" t="s">
        <v>427</v>
      </c>
      <c r="E807" s="314" t="s">
        <v>4</v>
      </c>
      <c r="F807" s="315">
        <v>1</v>
      </c>
      <c r="G807" s="316">
        <v>26.05</v>
      </c>
      <c r="H807" s="316">
        <v>14.36</v>
      </c>
      <c r="I807" s="316">
        <v>1.26</v>
      </c>
      <c r="J807" s="316">
        <v>10.43</v>
      </c>
      <c r="K807" s="316">
        <v>26.05</v>
      </c>
      <c r="L807" s="316">
        <v>14.36</v>
      </c>
      <c r="M807" s="316">
        <v>1.26</v>
      </c>
      <c r="N807" s="316">
        <v>10.43</v>
      </c>
      <c r="O807" s="316">
        <v>26.05</v>
      </c>
      <c r="P807" s="317">
        <v>4.480067757198282E-5</v>
      </c>
    </row>
    <row r="808" spans="1:16" x14ac:dyDescent="0.4">
      <c r="A808" s="313" t="s">
        <v>3435</v>
      </c>
      <c r="B808" s="313">
        <v>63511</v>
      </c>
      <c r="C808" s="313" t="s">
        <v>408</v>
      </c>
      <c r="D808" s="313" t="s">
        <v>6098</v>
      </c>
      <c r="E808" s="314" t="s">
        <v>7</v>
      </c>
      <c r="F808" s="315">
        <v>1</v>
      </c>
      <c r="G808" s="316">
        <v>12.19</v>
      </c>
      <c r="H808" s="316">
        <v>4.9000000000000004</v>
      </c>
      <c r="I808" s="316">
        <v>0</v>
      </c>
      <c r="J808" s="316">
        <v>7.29</v>
      </c>
      <c r="K808" s="316">
        <v>12.19</v>
      </c>
      <c r="L808" s="316">
        <v>4.9000000000000004</v>
      </c>
      <c r="M808" s="316">
        <v>0</v>
      </c>
      <c r="N808" s="316">
        <v>7.29</v>
      </c>
      <c r="O808" s="316">
        <v>12.19</v>
      </c>
      <c r="P808" s="317">
        <v>2.0964309389730159E-5</v>
      </c>
    </row>
    <row r="809" spans="1:16" x14ac:dyDescent="0.4">
      <c r="A809" s="313" t="s">
        <v>3436</v>
      </c>
      <c r="B809" s="313">
        <v>61223</v>
      </c>
      <c r="C809" s="313" t="s">
        <v>408</v>
      </c>
      <c r="D809" s="313" t="s">
        <v>442</v>
      </c>
      <c r="E809" s="314" t="s">
        <v>4</v>
      </c>
      <c r="F809" s="315">
        <v>1</v>
      </c>
      <c r="G809" s="316">
        <v>207.19</v>
      </c>
      <c r="H809" s="316">
        <v>59.87</v>
      </c>
      <c r="I809" s="316">
        <v>0</v>
      </c>
      <c r="J809" s="316">
        <v>147.32</v>
      </c>
      <c r="K809" s="316">
        <v>207.19</v>
      </c>
      <c r="L809" s="316">
        <v>59.87</v>
      </c>
      <c r="M809" s="316">
        <v>0</v>
      </c>
      <c r="N809" s="316">
        <v>147.32</v>
      </c>
      <c r="O809" s="316">
        <v>207.19</v>
      </c>
      <c r="P809" s="317">
        <v>3.5632446779804687E-4</v>
      </c>
    </row>
    <row r="810" spans="1:16" x14ac:dyDescent="0.4">
      <c r="A810" s="313" t="s">
        <v>3437</v>
      </c>
      <c r="B810" s="313">
        <v>59400</v>
      </c>
      <c r="C810" s="313" t="s">
        <v>408</v>
      </c>
      <c r="D810" s="313" t="s">
        <v>445</v>
      </c>
      <c r="E810" s="314" t="s">
        <v>4</v>
      </c>
      <c r="F810" s="315">
        <v>1</v>
      </c>
      <c r="G810" s="316">
        <v>160.33000000000001</v>
      </c>
      <c r="H810" s="316">
        <v>99.09</v>
      </c>
      <c r="I810" s="316">
        <v>0</v>
      </c>
      <c r="J810" s="316">
        <v>61.24</v>
      </c>
      <c r="K810" s="316">
        <v>160.33000000000001</v>
      </c>
      <c r="L810" s="316">
        <v>99.09</v>
      </c>
      <c r="M810" s="316">
        <v>0</v>
      </c>
      <c r="N810" s="316">
        <v>61.24</v>
      </c>
      <c r="O810" s="316">
        <v>160.33000000000001</v>
      </c>
      <c r="P810" s="317">
        <v>2.7573484203900214E-4</v>
      </c>
    </row>
    <row r="811" spans="1:16" x14ac:dyDescent="0.4">
      <c r="A811" s="313" t="s">
        <v>3438</v>
      </c>
      <c r="B811" s="313">
        <v>68156</v>
      </c>
      <c r="C811" s="313" t="s">
        <v>408</v>
      </c>
      <c r="D811" s="313" t="s">
        <v>6099</v>
      </c>
      <c r="E811" s="314" t="s">
        <v>4</v>
      </c>
      <c r="F811" s="315">
        <v>1</v>
      </c>
      <c r="G811" s="316">
        <v>2.99</v>
      </c>
      <c r="H811" s="316">
        <v>0.78</v>
      </c>
      <c r="I811" s="316">
        <v>0</v>
      </c>
      <c r="J811" s="316">
        <v>2.21</v>
      </c>
      <c r="K811" s="316">
        <v>2.99</v>
      </c>
      <c r="L811" s="316">
        <v>0.78</v>
      </c>
      <c r="M811" s="316">
        <v>0</v>
      </c>
      <c r="N811" s="316">
        <v>2.21</v>
      </c>
      <c r="O811" s="316">
        <v>2.99</v>
      </c>
      <c r="P811" s="317">
        <v>5.1421890955941898E-6</v>
      </c>
    </row>
    <row r="812" spans="1:16" x14ac:dyDescent="0.4">
      <c r="A812" s="313" t="s">
        <v>3439</v>
      </c>
      <c r="B812" s="313">
        <v>62572</v>
      </c>
      <c r="C812" s="313" t="s">
        <v>408</v>
      </c>
      <c r="D812" s="313" t="s">
        <v>427</v>
      </c>
      <c r="E812" s="314" t="s">
        <v>4</v>
      </c>
      <c r="F812" s="315">
        <v>1</v>
      </c>
      <c r="G812" s="316">
        <v>26.05</v>
      </c>
      <c r="H812" s="316">
        <v>14.36</v>
      </c>
      <c r="I812" s="316">
        <v>1.26</v>
      </c>
      <c r="J812" s="316">
        <v>10.43</v>
      </c>
      <c r="K812" s="316">
        <v>26.05</v>
      </c>
      <c r="L812" s="316">
        <v>14.36</v>
      </c>
      <c r="M812" s="316">
        <v>1.26</v>
      </c>
      <c r="N812" s="316">
        <v>10.43</v>
      </c>
      <c r="O812" s="316">
        <v>26.05</v>
      </c>
      <c r="P812" s="317">
        <v>4.480067757198282E-5</v>
      </c>
    </row>
    <row r="813" spans="1:16" x14ac:dyDescent="0.4">
      <c r="A813" s="313" t="s">
        <v>3440</v>
      </c>
      <c r="B813" s="313">
        <v>59436</v>
      </c>
      <c r="C813" s="313" t="s">
        <v>408</v>
      </c>
      <c r="D813" s="313" t="s">
        <v>6100</v>
      </c>
      <c r="E813" s="314" t="s">
        <v>7</v>
      </c>
      <c r="F813" s="315">
        <v>1</v>
      </c>
      <c r="G813" s="316">
        <v>2.52</v>
      </c>
      <c r="H813" s="316">
        <v>1.53</v>
      </c>
      <c r="I813" s="316">
        <v>0</v>
      </c>
      <c r="J813" s="316">
        <v>0.99</v>
      </c>
      <c r="K813" s="316">
        <v>2.52</v>
      </c>
      <c r="L813" s="316">
        <v>1.53</v>
      </c>
      <c r="M813" s="316">
        <v>0</v>
      </c>
      <c r="N813" s="316">
        <v>0.99</v>
      </c>
      <c r="O813" s="316">
        <v>2.52</v>
      </c>
      <c r="P813" s="317">
        <v>4.3338851240459388E-6</v>
      </c>
    </row>
    <row r="814" spans="1:16" x14ac:dyDescent="0.4">
      <c r="A814" s="313" t="s">
        <v>3441</v>
      </c>
      <c r="B814" s="313">
        <v>78114</v>
      </c>
      <c r="C814" s="313" t="s">
        <v>408</v>
      </c>
      <c r="D814" s="313" t="s">
        <v>464</v>
      </c>
      <c r="E814" s="314" t="s">
        <v>4</v>
      </c>
      <c r="F814" s="315">
        <v>1</v>
      </c>
      <c r="G814" s="316">
        <v>266.5</v>
      </c>
      <c r="H814" s="316">
        <v>78.16</v>
      </c>
      <c r="I814" s="316">
        <v>0</v>
      </c>
      <c r="J814" s="316">
        <v>188.34</v>
      </c>
      <c r="K814" s="316">
        <v>266.5</v>
      </c>
      <c r="L814" s="316">
        <v>78.16</v>
      </c>
      <c r="M814" s="316">
        <v>0</v>
      </c>
      <c r="N814" s="316">
        <v>188.34</v>
      </c>
      <c r="O814" s="316">
        <v>266.5</v>
      </c>
      <c r="P814" s="317">
        <v>4.5832554982469948E-4</v>
      </c>
    </row>
    <row r="815" spans="1:16" x14ac:dyDescent="0.4">
      <c r="A815" s="313" t="s">
        <v>3442</v>
      </c>
      <c r="B815" s="313">
        <v>63461</v>
      </c>
      <c r="C815" s="313" t="s">
        <v>408</v>
      </c>
      <c r="D815" s="313" t="s">
        <v>1159</v>
      </c>
      <c r="E815" s="314" t="s">
        <v>7</v>
      </c>
      <c r="F815" s="315">
        <v>1</v>
      </c>
      <c r="G815" s="316">
        <v>53.31</v>
      </c>
      <c r="H815" s="316">
        <v>10.79</v>
      </c>
      <c r="I815" s="316">
        <v>0</v>
      </c>
      <c r="J815" s="316">
        <v>42.52</v>
      </c>
      <c r="K815" s="316">
        <v>53.31</v>
      </c>
      <c r="L815" s="316">
        <v>10.79</v>
      </c>
      <c r="M815" s="316">
        <v>0</v>
      </c>
      <c r="N815" s="316">
        <v>42.52</v>
      </c>
      <c r="O815" s="316">
        <v>53.31</v>
      </c>
      <c r="P815" s="317">
        <v>9.1682307921781356E-5</v>
      </c>
    </row>
    <row r="816" spans="1:16" ht="26.4" x14ac:dyDescent="0.4">
      <c r="A816" s="313" t="s">
        <v>3443</v>
      </c>
      <c r="B816" s="313">
        <v>72322</v>
      </c>
      <c r="C816" s="313" t="s">
        <v>395</v>
      </c>
      <c r="D816" s="313" t="s">
        <v>2683</v>
      </c>
      <c r="E816" s="314" t="s">
        <v>4</v>
      </c>
      <c r="F816" s="315">
        <v>1</v>
      </c>
      <c r="G816" s="316">
        <v>441.68</v>
      </c>
      <c r="H816" s="316">
        <v>111.34</v>
      </c>
      <c r="I816" s="316">
        <v>9.84</v>
      </c>
      <c r="J816" s="316">
        <v>320.5</v>
      </c>
      <c r="K816" s="316">
        <v>441.68</v>
      </c>
      <c r="L816" s="316">
        <v>111.34</v>
      </c>
      <c r="M816" s="316">
        <v>9.84</v>
      </c>
      <c r="N816" s="316">
        <v>320.5</v>
      </c>
      <c r="O816" s="316">
        <v>441.68</v>
      </c>
      <c r="P816" s="317">
        <v>7.5959935777325808E-4</v>
      </c>
    </row>
    <row r="817" spans="1:16" ht="26.4" x14ac:dyDescent="0.4">
      <c r="A817" s="313" t="s">
        <v>3444</v>
      </c>
      <c r="B817" s="313">
        <v>90627</v>
      </c>
      <c r="C817" s="313" t="s">
        <v>2661</v>
      </c>
      <c r="D817" s="313" t="s">
        <v>2685</v>
      </c>
      <c r="E817" s="314" t="s">
        <v>4</v>
      </c>
      <c r="F817" s="315">
        <v>1</v>
      </c>
      <c r="G817" s="316">
        <v>559.08000000000004</v>
      </c>
      <c r="H817" s="316">
        <v>131.36000000000001</v>
      </c>
      <c r="I817" s="316">
        <v>0</v>
      </c>
      <c r="J817" s="316">
        <v>427.72</v>
      </c>
      <c r="K817" s="316">
        <v>559.08000000000004</v>
      </c>
      <c r="L817" s="316">
        <v>131.36000000000001</v>
      </c>
      <c r="M817" s="316">
        <v>0</v>
      </c>
      <c r="N817" s="316">
        <v>427.72</v>
      </c>
      <c r="O817" s="316">
        <v>559.08000000000004</v>
      </c>
      <c r="P817" s="317">
        <v>9.6150337109190617E-4</v>
      </c>
    </row>
    <row r="818" spans="1:16" x14ac:dyDescent="0.4">
      <c r="A818" s="313" t="s">
        <v>3445</v>
      </c>
      <c r="B818" s="313">
        <v>61166</v>
      </c>
      <c r="C818" s="313" t="s">
        <v>408</v>
      </c>
      <c r="D818" s="313" t="s">
        <v>6101</v>
      </c>
      <c r="E818" s="314" t="s">
        <v>7</v>
      </c>
      <c r="F818" s="315">
        <v>1</v>
      </c>
      <c r="G818" s="316">
        <v>34.72</v>
      </c>
      <c r="H818" s="316">
        <v>22.51</v>
      </c>
      <c r="I818" s="316">
        <v>0</v>
      </c>
      <c r="J818" s="316">
        <v>12.21</v>
      </c>
      <c r="K818" s="316">
        <v>34.72</v>
      </c>
      <c r="L818" s="316">
        <v>22.51</v>
      </c>
      <c r="M818" s="316">
        <v>0</v>
      </c>
      <c r="N818" s="316">
        <v>12.21</v>
      </c>
      <c r="O818" s="316">
        <v>34.72</v>
      </c>
      <c r="P818" s="317">
        <v>5.971130615352183E-5</v>
      </c>
    </row>
    <row r="819" spans="1:16" x14ac:dyDescent="0.4">
      <c r="A819" s="313" t="s">
        <v>3446</v>
      </c>
      <c r="B819" s="313">
        <v>61169</v>
      </c>
      <c r="C819" s="313" t="s">
        <v>408</v>
      </c>
      <c r="D819" s="313" t="s">
        <v>6102</v>
      </c>
      <c r="E819" s="314" t="s">
        <v>7</v>
      </c>
      <c r="F819" s="315">
        <v>1</v>
      </c>
      <c r="G819" s="316">
        <v>71.05</v>
      </c>
      <c r="H819" s="316">
        <v>29.02</v>
      </c>
      <c r="I819" s="316">
        <v>0</v>
      </c>
      <c r="J819" s="316">
        <v>42.03</v>
      </c>
      <c r="K819" s="316">
        <v>71.05</v>
      </c>
      <c r="L819" s="316">
        <v>29.02</v>
      </c>
      <c r="M819" s="316">
        <v>0</v>
      </c>
      <c r="N819" s="316">
        <v>42.03</v>
      </c>
      <c r="O819" s="316">
        <v>71.05</v>
      </c>
      <c r="P819" s="317">
        <v>1.2219148335851745E-4</v>
      </c>
    </row>
    <row r="820" spans="1:16" x14ac:dyDescent="0.4">
      <c r="A820" s="313" t="s">
        <v>3447</v>
      </c>
      <c r="B820" s="313">
        <v>61170</v>
      </c>
      <c r="C820" s="313" t="s">
        <v>408</v>
      </c>
      <c r="D820" s="313" t="s">
        <v>6103</v>
      </c>
      <c r="E820" s="314" t="s">
        <v>7</v>
      </c>
      <c r="F820" s="315">
        <v>1</v>
      </c>
      <c r="G820" s="316">
        <v>99.23</v>
      </c>
      <c r="H820" s="316">
        <v>31.88</v>
      </c>
      <c r="I820" s="316">
        <v>0</v>
      </c>
      <c r="J820" s="316">
        <v>67.349999999999994</v>
      </c>
      <c r="K820" s="316">
        <v>99.23</v>
      </c>
      <c r="L820" s="316">
        <v>31.88</v>
      </c>
      <c r="M820" s="316">
        <v>0</v>
      </c>
      <c r="N820" s="316">
        <v>67.349999999999994</v>
      </c>
      <c r="O820" s="316">
        <v>99.23</v>
      </c>
      <c r="P820" s="317">
        <v>1.7065532573772957E-4</v>
      </c>
    </row>
    <row r="821" spans="1:16" x14ac:dyDescent="0.4">
      <c r="A821" s="313" t="s">
        <v>3448</v>
      </c>
      <c r="B821" s="313">
        <v>59098</v>
      </c>
      <c r="C821" s="313" t="s">
        <v>408</v>
      </c>
      <c r="D821" s="313" t="s">
        <v>1834</v>
      </c>
      <c r="E821" s="314" t="s">
        <v>4</v>
      </c>
      <c r="F821" s="315">
        <v>1</v>
      </c>
      <c r="G821" s="316">
        <v>34.06</v>
      </c>
      <c r="H821" s="316">
        <v>20.65</v>
      </c>
      <c r="I821" s="316">
        <v>1.82</v>
      </c>
      <c r="J821" s="316">
        <v>11.59</v>
      </c>
      <c r="K821" s="316">
        <v>34.06</v>
      </c>
      <c r="L821" s="316">
        <v>20.65</v>
      </c>
      <c r="M821" s="316">
        <v>1.82</v>
      </c>
      <c r="N821" s="316">
        <v>11.59</v>
      </c>
      <c r="O821" s="316">
        <v>34.06</v>
      </c>
      <c r="P821" s="317">
        <v>5.8576241001985983E-5</v>
      </c>
    </row>
    <row r="822" spans="1:16" x14ac:dyDescent="0.4">
      <c r="A822" s="313" t="s">
        <v>3449</v>
      </c>
      <c r="B822" s="313">
        <v>61260</v>
      </c>
      <c r="C822" s="313" t="s">
        <v>408</v>
      </c>
      <c r="D822" s="313" t="s">
        <v>6104</v>
      </c>
      <c r="E822" s="314" t="s">
        <v>7</v>
      </c>
      <c r="F822" s="315">
        <v>1</v>
      </c>
      <c r="G822" s="316">
        <v>10.43</v>
      </c>
      <c r="H822" s="316">
        <v>5.94</v>
      </c>
      <c r="I822" s="316">
        <v>0</v>
      </c>
      <c r="J822" s="316">
        <v>4.49</v>
      </c>
      <c r="K822" s="316">
        <v>10.43</v>
      </c>
      <c r="L822" s="316">
        <v>5.94</v>
      </c>
      <c r="M822" s="316">
        <v>0</v>
      </c>
      <c r="N822" s="316">
        <v>4.49</v>
      </c>
      <c r="O822" s="316">
        <v>10.43</v>
      </c>
      <c r="P822" s="317">
        <v>1.793746898563458E-5</v>
      </c>
    </row>
    <row r="823" spans="1:16" x14ac:dyDescent="0.4">
      <c r="A823" s="313" t="s">
        <v>2159</v>
      </c>
      <c r="B823" s="313">
        <v>53619</v>
      </c>
      <c r="C823" s="313" t="s">
        <v>408</v>
      </c>
      <c r="D823" s="313" t="s">
        <v>564</v>
      </c>
      <c r="E823" s="314" t="s">
        <v>4</v>
      </c>
      <c r="F823" s="315">
        <v>1</v>
      </c>
      <c r="G823" s="316">
        <v>10.39</v>
      </c>
      <c r="H823" s="316">
        <v>9.19</v>
      </c>
      <c r="I823" s="316">
        <v>0</v>
      </c>
      <c r="J823" s="316">
        <v>1.2</v>
      </c>
      <c r="K823" s="316">
        <v>10.39</v>
      </c>
      <c r="L823" s="316">
        <v>9.19</v>
      </c>
      <c r="M823" s="316">
        <v>0</v>
      </c>
      <c r="N823" s="316">
        <v>1.2</v>
      </c>
      <c r="O823" s="316">
        <v>10.39</v>
      </c>
      <c r="P823" s="317">
        <v>1.7868677158268771E-5</v>
      </c>
    </row>
    <row r="824" spans="1:16" x14ac:dyDescent="0.4">
      <c r="A824" s="313" t="s">
        <v>3450</v>
      </c>
      <c r="B824" s="313">
        <v>53617</v>
      </c>
      <c r="C824" s="313" t="s">
        <v>408</v>
      </c>
      <c r="D824" s="313" t="s">
        <v>565</v>
      </c>
      <c r="E824" s="314" t="s">
        <v>4</v>
      </c>
      <c r="F824" s="315">
        <v>1</v>
      </c>
      <c r="G824" s="316">
        <v>5.45</v>
      </c>
      <c r="H824" s="316">
        <v>3.95</v>
      </c>
      <c r="I824" s="316">
        <v>0</v>
      </c>
      <c r="J824" s="316">
        <v>1.5</v>
      </c>
      <c r="K824" s="316">
        <v>5.45</v>
      </c>
      <c r="L824" s="316">
        <v>3.95</v>
      </c>
      <c r="M824" s="316">
        <v>0</v>
      </c>
      <c r="N824" s="316">
        <v>1.5</v>
      </c>
      <c r="O824" s="316">
        <v>5.45</v>
      </c>
      <c r="P824" s="317">
        <v>9.3728864785914161E-6</v>
      </c>
    </row>
    <row r="825" spans="1:16" x14ac:dyDescent="0.4">
      <c r="A825" s="313" t="s">
        <v>3451</v>
      </c>
      <c r="B825" s="313">
        <v>53006</v>
      </c>
      <c r="C825" s="313" t="s">
        <v>408</v>
      </c>
      <c r="D825" s="313" t="s">
        <v>566</v>
      </c>
      <c r="E825" s="314" t="s">
        <v>4</v>
      </c>
      <c r="F825" s="315">
        <v>1</v>
      </c>
      <c r="G825" s="316">
        <v>11.94</v>
      </c>
      <c r="H825" s="316">
        <v>6.2</v>
      </c>
      <c r="I825" s="316">
        <v>0</v>
      </c>
      <c r="J825" s="316">
        <v>5.74</v>
      </c>
      <c r="K825" s="316">
        <v>11.94</v>
      </c>
      <c r="L825" s="316">
        <v>6.2</v>
      </c>
      <c r="M825" s="316">
        <v>0</v>
      </c>
      <c r="N825" s="316">
        <v>5.74</v>
      </c>
      <c r="O825" s="316">
        <v>11.94</v>
      </c>
      <c r="P825" s="317">
        <v>2.0534360468693855E-5</v>
      </c>
    </row>
    <row r="826" spans="1:16" ht="39.6" x14ac:dyDescent="0.4">
      <c r="A826" s="313" t="s">
        <v>3452</v>
      </c>
      <c r="B826" s="313">
        <v>90712</v>
      </c>
      <c r="C826" s="313" t="s">
        <v>395</v>
      </c>
      <c r="D826" s="313" t="s">
        <v>1888</v>
      </c>
      <c r="E826" s="314" t="s">
        <v>7</v>
      </c>
      <c r="F826" s="315">
        <v>1</v>
      </c>
      <c r="G826" s="316">
        <v>245.38</v>
      </c>
      <c r="H826" s="316">
        <v>7.47</v>
      </c>
      <c r="I826" s="316">
        <v>0.51</v>
      </c>
      <c r="J826" s="316">
        <v>237.4</v>
      </c>
      <c r="K826" s="316">
        <v>245.38</v>
      </c>
      <c r="L826" s="316">
        <v>7.47</v>
      </c>
      <c r="M826" s="316">
        <v>0.51</v>
      </c>
      <c r="N826" s="316">
        <v>237.4</v>
      </c>
      <c r="O826" s="316">
        <v>245.38</v>
      </c>
      <c r="P826" s="317">
        <v>4.2200346497555259E-4</v>
      </c>
    </row>
    <row r="827" spans="1:16" ht="26.4" x14ac:dyDescent="0.4">
      <c r="A827" s="313" t="s">
        <v>3453</v>
      </c>
      <c r="B827" s="313">
        <v>89619</v>
      </c>
      <c r="C827" s="313" t="s">
        <v>395</v>
      </c>
      <c r="D827" s="313" t="s">
        <v>74</v>
      </c>
      <c r="E827" s="314" t="s">
        <v>4</v>
      </c>
      <c r="F827" s="315">
        <v>1</v>
      </c>
      <c r="G827" s="316">
        <v>11.91</v>
      </c>
      <c r="H827" s="316">
        <v>4.3499999999999996</v>
      </c>
      <c r="I827" s="316">
        <v>0.3</v>
      </c>
      <c r="J827" s="316">
        <v>7.26</v>
      </c>
      <c r="K827" s="316">
        <v>11.91</v>
      </c>
      <c r="L827" s="316">
        <v>4.3499999999999996</v>
      </c>
      <c r="M827" s="316">
        <v>0.3</v>
      </c>
      <c r="N827" s="316">
        <v>7.26</v>
      </c>
      <c r="O827" s="316">
        <v>11.91</v>
      </c>
      <c r="P827" s="317">
        <v>2.0482766598169497E-5</v>
      </c>
    </row>
    <row r="828" spans="1:16" ht="39.6" x14ac:dyDescent="0.4">
      <c r="A828" s="313" t="s">
        <v>3454</v>
      </c>
      <c r="B828" s="313">
        <v>90713</v>
      </c>
      <c r="C828" s="313" t="s">
        <v>395</v>
      </c>
      <c r="D828" s="313" t="s">
        <v>1885</v>
      </c>
      <c r="E828" s="314" t="s">
        <v>7</v>
      </c>
      <c r="F828" s="315">
        <v>1</v>
      </c>
      <c r="G828" s="316">
        <v>372.84</v>
      </c>
      <c r="H828" s="316">
        <v>8.15</v>
      </c>
      <c r="I828" s="316">
        <v>0.56000000000000005</v>
      </c>
      <c r="J828" s="316">
        <v>364.13</v>
      </c>
      <c r="K828" s="316">
        <v>372.84</v>
      </c>
      <c r="L828" s="316">
        <v>8.15</v>
      </c>
      <c r="M828" s="316">
        <v>0.56000000000000005</v>
      </c>
      <c r="N828" s="316">
        <v>364.13</v>
      </c>
      <c r="O828" s="316">
        <v>372.84</v>
      </c>
      <c r="P828" s="317">
        <v>6.412086228767016E-4</v>
      </c>
    </row>
    <row r="829" spans="1:16" ht="26.4" x14ac:dyDescent="0.4">
      <c r="A829" s="313" t="s">
        <v>3455</v>
      </c>
      <c r="B829" s="313">
        <v>83624</v>
      </c>
      <c r="C829" s="313" t="s">
        <v>395</v>
      </c>
      <c r="D829" s="313" t="s">
        <v>1973</v>
      </c>
      <c r="E829" s="314" t="s">
        <v>7</v>
      </c>
      <c r="F829" s="315">
        <v>1</v>
      </c>
      <c r="G829" s="316">
        <v>235.77</v>
      </c>
      <c r="H829" s="316">
        <v>3.62</v>
      </c>
      <c r="I829" s="316">
        <v>0.38</v>
      </c>
      <c r="J829" s="316">
        <v>231.77</v>
      </c>
      <c r="K829" s="316">
        <v>235.77</v>
      </c>
      <c r="L829" s="316">
        <v>3.62</v>
      </c>
      <c r="M829" s="316">
        <v>0.38</v>
      </c>
      <c r="N829" s="316">
        <v>231.77</v>
      </c>
      <c r="O829" s="316">
        <v>235.77</v>
      </c>
      <c r="P829" s="317">
        <v>4.0547622845091708E-4</v>
      </c>
    </row>
    <row r="830" spans="1:16" x14ac:dyDescent="0.4">
      <c r="A830" s="313" t="s">
        <v>3456</v>
      </c>
      <c r="B830" s="313">
        <v>53009</v>
      </c>
      <c r="C830" s="313" t="s">
        <v>408</v>
      </c>
      <c r="D830" s="313" t="s">
        <v>1880</v>
      </c>
      <c r="E830" s="314" t="s">
        <v>4</v>
      </c>
      <c r="F830" s="315">
        <v>1</v>
      </c>
      <c r="G830" s="316">
        <v>152.21</v>
      </c>
      <c r="H830" s="316">
        <v>40.29</v>
      </c>
      <c r="I830" s="316">
        <v>2.76</v>
      </c>
      <c r="J830" s="316">
        <v>109.16</v>
      </c>
      <c r="K830" s="316">
        <v>152.21</v>
      </c>
      <c r="L830" s="316">
        <v>40.29</v>
      </c>
      <c r="M830" s="316">
        <v>2.76</v>
      </c>
      <c r="N830" s="316">
        <v>109.16</v>
      </c>
      <c r="O830" s="316">
        <v>152.21</v>
      </c>
      <c r="P830" s="317">
        <v>2.6177010108374303E-4</v>
      </c>
    </row>
    <row r="831" spans="1:16" x14ac:dyDescent="0.4">
      <c r="A831" s="313" t="s">
        <v>3457</v>
      </c>
      <c r="B831" s="313">
        <v>53615</v>
      </c>
      <c r="C831" s="313" t="s">
        <v>408</v>
      </c>
      <c r="D831" s="313" t="s">
        <v>562</v>
      </c>
      <c r="E831" s="314" t="s">
        <v>4</v>
      </c>
      <c r="F831" s="315">
        <v>1</v>
      </c>
      <c r="G831" s="316">
        <v>3.15</v>
      </c>
      <c r="H831" s="316">
        <v>2.37</v>
      </c>
      <c r="I831" s="316">
        <v>0</v>
      </c>
      <c r="J831" s="316">
        <v>0.78</v>
      </c>
      <c r="K831" s="316">
        <v>3.15</v>
      </c>
      <c r="L831" s="316">
        <v>2.37</v>
      </c>
      <c r="M831" s="316">
        <v>0</v>
      </c>
      <c r="N831" s="316">
        <v>0.78</v>
      </c>
      <c r="O831" s="316">
        <v>3.15</v>
      </c>
      <c r="P831" s="317">
        <v>5.4173564050574239E-6</v>
      </c>
    </row>
    <row r="832" spans="1:16" x14ac:dyDescent="0.4">
      <c r="A832" s="313" t="s">
        <v>3458</v>
      </c>
      <c r="B832" s="313">
        <v>53620</v>
      </c>
      <c r="C832" s="313" t="s">
        <v>408</v>
      </c>
      <c r="D832" s="313" t="s">
        <v>563</v>
      </c>
      <c r="E832" s="314" t="s">
        <v>4</v>
      </c>
      <c r="F832" s="315">
        <v>1</v>
      </c>
      <c r="G832" s="316">
        <v>10.24</v>
      </c>
      <c r="H832" s="316">
        <v>9.4600000000000009</v>
      </c>
      <c r="I832" s="316">
        <v>0</v>
      </c>
      <c r="J832" s="316">
        <v>0.78</v>
      </c>
      <c r="K832" s="316">
        <v>10.24</v>
      </c>
      <c r="L832" s="316">
        <v>9.4600000000000009</v>
      </c>
      <c r="M832" s="316">
        <v>0</v>
      </c>
      <c r="N832" s="316">
        <v>0.78</v>
      </c>
      <c r="O832" s="316">
        <v>10.24</v>
      </c>
      <c r="P832" s="317">
        <v>1.7610707805646992E-5</v>
      </c>
    </row>
    <row r="833" spans="1:16" x14ac:dyDescent="0.4">
      <c r="A833" s="313" t="s">
        <v>3469</v>
      </c>
      <c r="B833" s="313">
        <v>63619</v>
      </c>
      <c r="C833" s="313" t="s">
        <v>408</v>
      </c>
      <c r="D833" s="313" t="s">
        <v>6105</v>
      </c>
      <c r="E833" s="314" t="s">
        <v>4</v>
      </c>
      <c r="F833" s="315">
        <v>1</v>
      </c>
      <c r="G833" s="316">
        <v>135.83000000000001</v>
      </c>
      <c r="H833" s="316">
        <v>46.31</v>
      </c>
      <c r="I833" s="316">
        <v>0</v>
      </c>
      <c r="J833" s="316">
        <v>89.52</v>
      </c>
      <c r="K833" s="316">
        <v>135.83000000000001</v>
      </c>
      <c r="L833" s="316">
        <v>46.31</v>
      </c>
      <c r="M833" s="316">
        <v>0</v>
      </c>
      <c r="N833" s="316">
        <v>89.52</v>
      </c>
      <c r="O833" s="316">
        <v>135.83000000000001</v>
      </c>
      <c r="P833" s="317">
        <v>2.3359984777744441E-4</v>
      </c>
    </row>
    <row r="834" spans="1:16" x14ac:dyDescent="0.4">
      <c r="A834" s="313" t="s">
        <v>3471</v>
      </c>
      <c r="B834" s="313">
        <v>53617</v>
      </c>
      <c r="C834" s="313" t="s">
        <v>408</v>
      </c>
      <c r="D834" s="313" t="s">
        <v>565</v>
      </c>
      <c r="E834" s="314" t="s">
        <v>4</v>
      </c>
      <c r="F834" s="315">
        <v>1</v>
      </c>
      <c r="G834" s="316">
        <v>5.45</v>
      </c>
      <c r="H834" s="316">
        <v>3.95</v>
      </c>
      <c r="I834" s="316">
        <v>0</v>
      </c>
      <c r="J834" s="316">
        <v>1.5</v>
      </c>
      <c r="K834" s="316">
        <v>5.45</v>
      </c>
      <c r="L834" s="316">
        <v>3.95</v>
      </c>
      <c r="M834" s="316">
        <v>0</v>
      </c>
      <c r="N834" s="316">
        <v>1.5</v>
      </c>
      <c r="O834" s="316">
        <v>5.45</v>
      </c>
      <c r="P834" s="317">
        <v>9.3728864785914161E-6</v>
      </c>
    </row>
    <row r="835" spans="1:16" ht="39.6" x14ac:dyDescent="0.4">
      <c r="A835" s="313" t="s">
        <v>3472</v>
      </c>
      <c r="B835" s="313">
        <v>89980</v>
      </c>
      <c r="C835" s="313" t="s">
        <v>395</v>
      </c>
      <c r="D835" s="313" t="s">
        <v>104</v>
      </c>
      <c r="E835" s="314" t="s">
        <v>4</v>
      </c>
      <c r="F835" s="315">
        <v>1</v>
      </c>
      <c r="G835" s="316">
        <v>11.13</v>
      </c>
      <c r="H835" s="316">
        <v>2.17</v>
      </c>
      <c r="I835" s="316">
        <v>0.14000000000000001</v>
      </c>
      <c r="J835" s="316">
        <v>8.82</v>
      </c>
      <c r="K835" s="316">
        <v>11.13</v>
      </c>
      <c r="L835" s="316">
        <v>2.17</v>
      </c>
      <c r="M835" s="316">
        <v>0.14000000000000001</v>
      </c>
      <c r="N835" s="316">
        <v>8.82</v>
      </c>
      <c r="O835" s="316">
        <v>11.13</v>
      </c>
      <c r="P835" s="317">
        <v>1.9141325964536232E-5</v>
      </c>
    </row>
    <row r="836" spans="1:16" ht="39.6" x14ac:dyDescent="0.4">
      <c r="A836" s="313" t="s">
        <v>3473</v>
      </c>
      <c r="B836" s="313">
        <v>97341</v>
      </c>
      <c r="C836" s="313" t="s">
        <v>395</v>
      </c>
      <c r="D836" s="313" t="s">
        <v>199</v>
      </c>
      <c r="E836" s="314" t="s">
        <v>7</v>
      </c>
      <c r="F836" s="315">
        <v>1</v>
      </c>
      <c r="G836" s="316">
        <v>60.85</v>
      </c>
      <c r="H836" s="316">
        <v>6.79</v>
      </c>
      <c r="I836" s="316">
        <v>0.46</v>
      </c>
      <c r="J836" s="316">
        <v>53.6</v>
      </c>
      <c r="K836" s="316">
        <v>60.85</v>
      </c>
      <c r="L836" s="316">
        <v>6.79</v>
      </c>
      <c r="M836" s="316">
        <v>0.46</v>
      </c>
      <c r="N836" s="316">
        <v>53.6</v>
      </c>
      <c r="O836" s="316">
        <v>60.85</v>
      </c>
      <c r="P836" s="317">
        <v>1.0464956738023627E-4</v>
      </c>
    </row>
    <row r="837" spans="1:16" ht="39.6" x14ac:dyDescent="0.4">
      <c r="A837" s="313" t="s">
        <v>3474</v>
      </c>
      <c r="B837" s="313">
        <v>97342</v>
      </c>
      <c r="C837" s="313" t="s">
        <v>395</v>
      </c>
      <c r="D837" s="313" t="s">
        <v>200</v>
      </c>
      <c r="E837" s="314" t="s">
        <v>7</v>
      </c>
      <c r="F837" s="315">
        <v>1</v>
      </c>
      <c r="G837" s="316">
        <v>94.17</v>
      </c>
      <c r="H837" s="316">
        <v>7.82</v>
      </c>
      <c r="I837" s="316">
        <v>0.54</v>
      </c>
      <c r="J837" s="316">
        <v>85.81</v>
      </c>
      <c r="K837" s="316">
        <v>94.17</v>
      </c>
      <c r="L837" s="316">
        <v>7.82</v>
      </c>
      <c r="M837" s="316">
        <v>0.54</v>
      </c>
      <c r="N837" s="316">
        <v>85.81</v>
      </c>
      <c r="O837" s="316">
        <v>94.17</v>
      </c>
      <c r="P837" s="317">
        <v>1.619531595759548E-4</v>
      </c>
    </row>
    <row r="838" spans="1:16" ht="39.6" x14ac:dyDescent="0.4">
      <c r="A838" s="313" t="s">
        <v>3475</v>
      </c>
      <c r="B838" s="313">
        <v>97343</v>
      </c>
      <c r="C838" s="313" t="s">
        <v>395</v>
      </c>
      <c r="D838" s="313" t="s">
        <v>201</v>
      </c>
      <c r="E838" s="314" t="s">
        <v>7</v>
      </c>
      <c r="F838" s="315">
        <v>1</v>
      </c>
      <c r="G838" s="316">
        <v>118.08</v>
      </c>
      <c r="H838" s="316">
        <v>8.69</v>
      </c>
      <c r="I838" s="316">
        <v>0.6</v>
      </c>
      <c r="J838" s="316">
        <v>108.79</v>
      </c>
      <c r="K838" s="316">
        <v>118.08</v>
      </c>
      <c r="L838" s="316">
        <v>8.69</v>
      </c>
      <c r="M838" s="316">
        <v>0.6</v>
      </c>
      <c r="N838" s="316">
        <v>108.79</v>
      </c>
      <c r="O838" s="316">
        <v>118.08</v>
      </c>
      <c r="P838" s="317">
        <v>2.0307347438386686E-4</v>
      </c>
    </row>
    <row r="839" spans="1:16" x14ac:dyDescent="0.4">
      <c r="A839" s="313" t="s">
        <v>3476</v>
      </c>
      <c r="B839" s="313">
        <v>55232</v>
      </c>
      <c r="C839" s="313" t="s">
        <v>408</v>
      </c>
      <c r="D839" s="313" t="s">
        <v>1950</v>
      </c>
      <c r="E839" s="314" t="s">
        <v>4</v>
      </c>
      <c r="F839" s="315">
        <v>1</v>
      </c>
      <c r="G839" s="316">
        <v>83.65</v>
      </c>
      <c r="H839" s="316">
        <v>15.43</v>
      </c>
      <c r="I839" s="316">
        <v>0</v>
      </c>
      <c r="J839" s="316">
        <v>68.22</v>
      </c>
      <c r="K839" s="316">
        <v>83.65</v>
      </c>
      <c r="L839" s="316">
        <v>15.43</v>
      </c>
      <c r="M839" s="316">
        <v>0</v>
      </c>
      <c r="N839" s="316">
        <v>68.22</v>
      </c>
      <c r="O839" s="316">
        <v>83.65</v>
      </c>
      <c r="P839" s="317">
        <v>1.4386090897874714E-4</v>
      </c>
    </row>
    <row r="840" spans="1:16" ht="26.4" x14ac:dyDescent="0.4">
      <c r="A840" s="313" t="s">
        <v>3477</v>
      </c>
      <c r="B840" s="313" t="s">
        <v>3461</v>
      </c>
      <c r="C840" s="313" t="s">
        <v>5902</v>
      </c>
      <c r="D840" s="313" t="s">
        <v>3470</v>
      </c>
      <c r="E840" s="314" t="s">
        <v>713</v>
      </c>
      <c r="F840" s="315">
        <v>1</v>
      </c>
      <c r="G840" s="316">
        <v>249.81</v>
      </c>
      <c r="H840" s="316">
        <v>249.81</v>
      </c>
      <c r="I840" s="316">
        <v>0</v>
      </c>
      <c r="J840" s="316">
        <v>0</v>
      </c>
      <c r="K840" s="316">
        <v>249.81</v>
      </c>
      <c r="L840" s="316">
        <v>249.81</v>
      </c>
      <c r="M840" s="316">
        <v>0</v>
      </c>
      <c r="N840" s="316">
        <v>0</v>
      </c>
      <c r="O840" s="316">
        <v>249.81</v>
      </c>
      <c r="P840" s="317">
        <v>4.296221598563159E-4</v>
      </c>
    </row>
    <row r="841" spans="1:16" ht="26.4" x14ac:dyDescent="0.4">
      <c r="A841" s="313" t="s">
        <v>3478</v>
      </c>
      <c r="B841" s="313" t="s">
        <v>3465</v>
      </c>
      <c r="C841" s="313" t="s">
        <v>5902</v>
      </c>
      <c r="D841" s="313" t="s">
        <v>3462</v>
      </c>
      <c r="E841" s="314" t="s">
        <v>11</v>
      </c>
      <c r="F841" s="315">
        <v>1</v>
      </c>
      <c r="G841" s="316">
        <v>48.06</v>
      </c>
      <c r="H841" s="316">
        <v>0</v>
      </c>
      <c r="I841" s="316">
        <v>0</v>
      </c>
      <c r="J841" s="316">
        <v>48.06</v>
      </c>
      <c r="K841" s="316">
        <v>48.06</v>
      </c>
      <c r="L841" s="316">
        <v>0</v>
      </c>
      <c r="M841" s="316">
        <v>0</v>
      </c>
      <c r="N841" s="316">
        <v>48.06</v>
      </c>
      <c r="O841" s="316">
        <v>48.06</v>
      </c>
      <c r="P841" s="317">
        <v>8.2653380580018979E-5</v>
      </c>
    </row>
    <row r="842" spans="1:16" ht="26.4" x14ac:dyDescent="0.4">
      <c r="A842" s="313" t="s">
        <v>3479</v>
      </c>
      <c r="B842" s="313" t="s">
        <v>3466</v>
      </c>
      <c r="C842" s="313" t="s">
        <v>5902</v>
      </c>
      <c r="D842" s="313" t="s">
        <v>6106</v>
      </c>
      <c r="E842" s="314" t="s">
        <v>11</v>
      </c>
      <c r="F842" s="315">
        <v>1</v>
      </c>
      <c r="G842" s="316">
        <v>922.99</v>
      </c>
      <c r="H842" s="316">
        <v>0</v>
      </c>
      <c r="I842" s="316">
        <v>0</v>
      </c>
      <c r="J842" s="316">
        <v>922.99</v>
      </c>
      <c r="K842" s="316">
        <v>922.99</v>
      </c>
      <c r="L842" s="316">
        <v>0</v>
      </c>
      <c r="M842" s="316">
        <v>0</v>
      </c>
      <c r="N842" s="316">
        <v>922.99</v>
      </c>
      <c r="O842" s="316">
        <v>922.99</v>
      </c>
      <c r="P842" s="317">
        <v>1.587354218509191E-3</v>
      </c>
    </row>
    <row r="843" spans="1:16" ht="26.4" x14ac:dyDescent="0.4">
      <c r="A843" s="313" t="s">
        <v>3480</v>
      </c>
      <c r="B843" s="313" t="s">
        <v>3467</v>
      </c>
      <c r="C843" s="313" t="s">
        <v>5902</v>
      </c>
      <c r="D843" s="313" t="s">
        <v>3463</v>
      </c>
      <c r="E843" s="314" t="s">
        <v>120</v>
      </c>
      <c r="F843" s="315">
        <v>1</v>
      </c>
      <c r="G843" s="316">
        <v>2.83</v>
      </c>
      <c r="H843" s="316">
        <v>0</v>
      </c>
      <c r="I843" s="316">
        <v>0</v>
      </c>
      <c r="J843" s="316">
        <v>2.83</v>
      </c>
      <c r="K843" s="316">
        <v>2.83</v>
      </c>
      <c r="L843" s="316">
        <v>0</v>
      </c>
      <c r="M843" s="316">
        <v>0</v>
      </c>
      <c r="N843" s="316">
        <v>2.83</v>
      </c>
      <c r="O843" s="316">
        <v>2.83</v>
      </c>
      <c r="P843" s="317">
        <v>4.8670217861309557E-6</v>
      </c>
    </row>
    <row r="844" spans="1:16" ht="26.4" x14ac:dyDescent="0.4">
      <c r="A844" s="313" t="s">
        <v>3481</v>
      </c>
      <c r="B844" s="313" t="s">
        <v>3468</v>
      </c>
      <c r="C844" s="313" t="s">
        <v>5902</v>
      </c>
      <c r="D844" s="313" t="s">
        <v>3464</v>
      </c>
      <c r="E844" s="314" t="s">
        <v>713</v>
      </c>
      <c r="F844" s="315">
        <v>1</v>
      </c>
      <c r="G844" s="316">
        <v>149.09</v>
      </c>
      <c r="H844" s="316">
        <v>122.63</v>
      </c>
      <c r="I844" s="316">
        <v>0</v>
      </c>
      <c r="J844" s="316">
        <v>26.46</v>
      </c>
      <c r="K844" s="316">
        <v>149.09</v>
      </c>
      <c r="L844" s="316">
        <v>122.63</v>
      </c>
      <c r="M844" s="316">
        <v>0</v>
      </c>
      <c r="N844" s="316">
        <v>26.46</v>
      </c>
      <c r="O844" s="316">
        <v>149.09</v>
      </c>
      <c r="P844" s="317">
        <v>2.5640433854920994E-4</v>
      </c>
    </row>
    <row r="845" spans="1:16" ht="26.4" x14ac:dyDescent="0.4">
      <c r="A845" s="313" t="s">
        <v>3482</v>
      </c>
      <c r="B845" s="313">
        <v>97627</v>
      </c>
      <c r="C845" s="313" t="s">
        <v>395</v>
      </c>
      <c r="D845" s="313" t="s">
        <v>6107</v>
      </c>
      <c r="E845" s="314" t="s">
        <v>713</v>
      </c>
      <c r="F845" s="315">
        <v>1</v>
      </c>
      <c r="G845" s="316">
        <v>291.25</v>
      </c>
      <c r="H845" s="316">
        <v>209.42</v>
      </c>
      <c r="I845" s="316">
        <v>18.05</v>
      </c>
      <c r="J845" s="316">
        <v>63.78</v>
      </c>
      <c r="K845" s="316">
        <v>291.25</v>
      </c>
      <c r="L845" s="316">
        <v>209.42</v>
      </c>
      <c r="M845" s="316">
        <v>18.05</v>
      </c>
      <c r="N845" s="316">
        <v>63.78</v>
      </c>
      <c r="O845" s="316">
        <v>291.25</v>
      </c>
      <c r="P845" s="317">
        <v>5.0089049300729356E-4</v>
      </c>
    </row>
    <row r="846" spans="1:16" ht="26.4" x14ac:dyDescent="0.4">
      <c r="A846" s="313" t="s">
        <v>3483</v>
      </c>
      <c r="B846" s="313">
        <v>97625</v>
      </c>
      <c r="C846" s="313" t="s">
        <v>395</v>
      </c>
      <c r="D846" s="313" t="s">
        <v>6108</v>
      </c>
      <c r="E846" s="314" t="s">
        <v>713</v>
      </c>
      <c r="F846" s="315">
        <v>1</v>
      </c>
      <c r="G846" s="316">
        <v>65.03</v>
      </c>
      <c r="H846" s="316">
        <v>11.1</v>
      </c>
      <c r="I846" s="316">
        <v>37.96</v>
      </c>
      <c r="J846" s="316">
        <v>15.97</v>
      </c>
      <c r="K846" s="316">
        <v>65.03</v>
      </c>
      <c r="L846" s="316">
        <v>11.1</v>
      </c>
      <c r="M846" s="316">
        <v>37.96</v>
      </c>
      <c r="N846" s="316">
        <v>15.97</v>
      </c>
      <c r="O846" s="316">
        <v>65.03</v>
      </c>
      <c r="P846" s="317">
        <v>1.1183831333996327E-4</v>
      </c>
    </row>
    <row r="847" spans="1:16" ht="26.4" x14ac:dyDescent="0.4">
      <c r="A847" s="313" t="s">
        <v>5834</v>
      </c>
      <c r="B847" s="313">
        <v>97645</v>
      </c>
      <c r="C847" s="313" t="s">
        <v>395</v>
      </c>
      <c r="D847" s="313" t="s">
        <v>6109</v>
      </c>
      <c r="E847" s="314" t="s">
        <v>675</v>
      </c>
      <c r="F847" s="315">
        <v>1</v>
      </c>
      <c r="G847" s="316">
        <v>37.85</v>
      </c>
      <c r="H847" s="316">
        <v>26.88</v>
      </c>
      <c r="I847" s="316">
        <v>2.52</v>
      </c>
      <c r="J847" s="316">
        <v>8.4499999999999993</v>
      </c>
      <c r="K847" s="316">
        <v>37.85</v>
      </c>
      <c r="L847" s="316">
        <v>26.88</v>
      </c>
      <c r="M847" s="316">
        <v>2.52</v>
      </c>
      <c r="N847" s="316">
        <v>8.4499999999999993</v>
      </c>
      <c r="O847" s="316">
        <v>37.85</v>
      </c>
      <c r="P847" s="317">
        <v>6.5094266644896346E-5</v>
      </c>
    </row>
    <row r="848" spans="1:16" ht="26.4" x14ac:dyDescent="0.4">
      <c r="A848" s="313" t="s">
        <v>5837</v>
      </c>
      <c r="B848" s="313">
        <v>97644</v>
      </c>
      <c r="C848" s="313" t="s">
        <v>395</v>
      </c>
      <c r="D848" s="313" t="s">
        <v>6110</v>
      </c>
      <c r="E848" s="314" t="s">
        <v>675</v>
      </c>
      <c r="F848" s="315">
        <v>1</v>
      </c>
      <c r="G848" s="316">
        <v>14.66</v>
      </c>
      <c r="H848" s="316">
        <v>10.41</v>
      </c>
      <c r="I848" s="316">
        <v>0.98</v>
      </c>
      <c r="J848" s="316">
        <v>3.27</v>
      </c>
      <c r="K848" s="316">
        <v>14.66</v>
      </c>
      <c r="L848" s="316">
        <v>10.41</v>
      </c>
      <c r="M848" s="316">
        <v>0.98</v>
      </c>
      <c r="N848" s="316">
        <v>3.27</v>
      </c>
      <c r="O848" s="316">
        <v>14.66</v>
      </c>
      <c r="P848" s="317">
        <v>2.5212204729568837E-5</v>
      </c>
    </row>
    <row r="849" spans="1:16" ht="26.4" x14ac:dyDescent="0.4">
      <c r="A849" s="313" t="s">
        <v>8483</v>
      </c>
      <c r="B849" s="313">
        <v>97663</v>
      </c>
      <c r="C849" s="313" t="s">
        <v>395</v>
      </c>
      <c r="D849" s="313" t="s">
        <v>6111</v>
      </c>
      <c r="E849" s="314" t="s">
        <v>4</v>
      </c>
      <c r="F849" s="315">
        <v>1</v>
      </c>
      <c r="G849" s="316">
        <v>19.28</v>
      </c>
      <c r="H849" s="316">
        <v>13.69</v>
      </c>
      <c r="I849" s="316">
        <v>1.23</v>
      </c>
      <c r="J849" s="316">
        <v>4.3600000000000003</v>
      </c>
      <c r="K849" s="316">
        <v>19.28</v>
      </c>
      <c r="L849" s="316">
        <v>13.69</v>
      </c>
      <c r="M849" s="316">
        <v>1.23</v>
      </c>
      <c r="N849" s="316">
        <v>4.3600000000000003</v>
      </c>
      <c r="O849" s="316">
        <v>19.28</v>
      </c>
      <c r="P849" s="317">
        <v>3.3157660790319727E-5</v>
      </c>
    </row>
    <row r="850" spans="1:16" ht="39.6" x14ac:dyDescent="0.4">
      <c r="A850" s="313" t="s">
        <v>8494</v>
      </c>
      <c r="B850" s="313">
        <v>97649</v>
      </c>
      <c r="C850" s="313" t="s">
        <v>395</v>
      </c>
      <c r="D850" s="313" t="s">
        <v>6112</v>
      </c>
      <c r="E850" s="314" t="s">
        <v>675</v>
      </c>
      <c r="F850" s="315">
        <v>1</v>
      </c>
      <c r="G850" s="316">
        <v>6.64</v>
      </c>
      <c r="H850" s="316">
        <v>4.2699999999999996</v>
      </c>
      <c r="I850" s="316">
        <v>1.03</v>
      </c>
      <c r="J850" s="316">
        <v>1.34</v>
      </c>
      <c r="K850" s="316">
        <v>6.64</v>
      </c>
      <c r="L850" s="316">
        <v>4.2699999999999996</v>
      </c>
      <c r="M850" s="316">
        <v>1.03</v>
      </c>
      <c r="N850" s="316">
        <v>1.34</v>
      </c>
      <c r="O850" s="316">
        <v>6.64</v>
      </c>
      <c r="P850" s="317">
        <v>1.141944334272422E-5</v>
      </c>
    </row>
    <row r="851" spans="1:16" ht="26.4" x14ac:dyDescent="0.4">
      <c r="A851" s="313" t="s">
        <v>5840</v>
      </c>
      <c r="B851" s="313">
        <v>97655</v>
      </c>
      <c r="C851" s="313" t="s">
        <v>395</v>
      </c>
      <c r="D851" s="313" t="s">
        <v>6113</v>
      </c>
      <c r="E851" s="314" t="s">
        <v>675</v>
      </c>
      <c r="F851" s="315">
        <v>1</v>
      </c>
      <c r="G851" s="316">
        <v>48.31</v>
      </c>
      <c r="H851" s="316">
        <v>19.149999999999999</v>
      </c>
      <c r="I851" s="316">
        <v>1.72</v>
      </c>
      <c r="J851" s="316">
        <v>27.44</v>
      </c>
      <c r="K851" s="316">
        <v>48.31</v>
      </c>
      <c r="L851" s="316">
        <v>19.149999999999999</v>
      </c>
      <c r="M851" s="316">
        <v>1.72</v>
      </c>
      <c r="N851" s="316">
        <v>27.44</v>
      </c>
      <c r="O851" s="316">
        <v>48.31</v>
      </c>
      <c r="P851" s="317">
        <v>8.3083329501055283E-5</v>
      </c>
    </row>
    <row r="852" spans="1:16" x14ac:dyDescent="0.4">
      <c r="A852" s="313" t="s">
        <v>5841</v>
      </c>
      <c r="B852" s="313">
        <v>40387</v>
      </c>
      <c r="C852" s="313" t="s">
        <v>408</v>
      </c>
      <c r="D852" s="313" t="s">
        <v>761</v>
      </c>
      <c r="E852" s="314" t="s">
        <v>713</v>
      </c>
      <c r="F852" s="315">
        <v>1</v>
      </c>
      <c r="G852" s="316">
        <v>105.66</v>
      </c>
      <c r="H852" s="316">
        <v>20.67</v>
      </c>
      <c r="I852" s="316">
        <v>1.21</v>
      </c>
      <c r="J852" s="316">
        <v>83.78</v>
      </c>
      <c r="K852" s="316">
        <v>105.66</v>
      </c>
      <c r="L852" s="316">
        <v>20.67</v>
      </c>
      <c r="M852" s="316">
        <v>1.21</v>
      </c>
      <c r="N852" s="316">
        <v>83.78</v>
      </c>
      <c r="O852" s="316">
        <v>105.66</v>
      </c>
      <c r="P852" s="317">
        <v>1.8171361198678331E-4</v>
      </c>
    </row>
    <row r="853" spans="1:16" x14ac:dyDescent="0.4">
      <c r="A853" s="313" t="s">
        <v>8496</v>
      </c>
      <c r="B853" s="313">
        <v>61168</v>
      </c>
      <c r="C853" s="313" t="s">
        <v>408</v>
      </c>
      <c r="D853" s="313" t="s">
        <v>1833</v>
      </c>
      <c r="E853" s="314" t="s">
        <v>7</v>
      </c>
      <c r="F853" s="315">
        <v>1</v>
      </c>
      <c r="G853" s="316">
        <v>83.19</v>
      </c>
      <c r="H853" s="316">
        <v>22.49</v>
      </c>
      <c r="I853" s="316">
        <v>1.98</v>
      </c>
      <c r="J853" s="316">
        <v>58.72</v>
      </c>
      <c r="K853" s="316">
        <v>83.19</v>
      </c>
      <c r="L853" s="316">
        <v>22.49</v>
      </c>
      <c r="M853" s="316">
        <v>1.98</v>
      </c>
      <c r="N853" s="316">
        <v>58.72</v>
      </c>
      <c r="O853" s="316">
        <v>83.19</v>
      </c>
      <c r="P853" s="317">
        <v>1.4306980296404035E-4</v>
      </c>
    </row>
    <row r="854" spans="1:16" ht="26.4" x14ac:dyDescent="0.4">
      <c r="A854" s="313" t="s">
        <v>8497</v>
      </c>
      <c r="B854" s="313" t="s">
        <v>5833</v>
      </c>
      <c r="C854" s="313" t="s">
        <v>5902</v>
      </c>
      <c r="D854" s="313" t="s">
        <v>5836</v>
      </c>
      <c r="E854" s="314" t="s">
        <v>713</v>
      </c>
      <c r="F854" s="315">
        <v>1</v>
      </c>
      <c r="G854" s="316">
        <v>275.57</v>
      </c>
      <c r="H854" s="316">
        <v>90.84</v>
      </c>
      <c r="I854" s="316">
        <v>0</v>
      </c>
      <c r="J854" s="316">
        <v>184.73</v>
      </c>
      <c r="K854" s="316">
        <v>275.57</v>
      </c>
      <c r="L854" s="316">
        <v>90.84</v>
      </c>
      <c r="M854" s="316">
        <v>0</v>
      </c>
      <c r="N854" s="316">
        <v>184.73</v>
      </c>
      <c r="O854" s="316">
        <v>275.57</v>
      </c>
      <c r="P854" s="317">
        <v>4.7392409667989659E-4</v>
      </c>
    </row>
    <row r="855" spans="1:16" x14ac:dyDescent="0.4">
      <c r="A855" s="313" t="s">
        <v>8499</v>
      </c>
      <c r="B855" s="313">
        <v>22106</v>
      </c>
      <c r="C855" s="313" t="s">
        <v>408</v>
      </c>
      <c r="D855" s="313" t="s">
        <v>5839</v>
      </c>
      <c r="E855" s="314" t="s">
        <v>675</v>
      </c>
      <c r="F855" s="315">
        <v>1</v>
      </c>
      <c r="G855" s="316">
        <v>36.590000000000003</v>
      </c>
      <c r="H855" s="316">
        <v>26.05</v>
      </c>
      <c r="I855" s="316">
        <v>2.35</v>
      </c>
      <c r="J855" s="316">
        <v>8.19</v>
      </c>
      <c r="K855" s="316">
        <v>36.590000000000003</v>
      </c>
      <c r="L855" s="316">
        <v>26.05</v>
      </c>
      <c r="M855" s="316">
        <v>2.35</v>
      </c>
      <c r="N855" s="316">
        <v>8.19</v>
      </c>
      <c r="O855" s="316">
        <v>36.590000000000003</v>
      </c>
      <c r="P855" s="317">
        <v>6.2927324082873374E-5</v>
      </c>
    </row>
    <row r="856" spans="1:16" ht="26.4" x14ac:dyDescent="0.4">
      <c r="A856" s="313" t="s">
        <v>8500</v>
      </c>
      <c r="B856" s="313" t="s">
        <v>3465</v>
      </c>
      <c r="C856" s="313" t="s">
        <v>5902</v>
      </c>
      <c r="D856" s="313" t="s">
        <v>3462</v>
      </c>
      <c r="E856" s="314" t="s">
        <v>11</v>
      </c>
      <c r="F856" s="315">
        <v>1</v>
      </c>
      <c r="G856" s="316">
        <v>48.06</v>
      </c>
      <c r="H856" s="316">
        <v>0</v>
      </c>
      <c r="I856" s="316">
        <v>0</v>
      </c>
      <c r="J856" s="316">
        <v>48.06</v>
      </c>
      <c r="K856" s="316">
        <v>48.06</v>
      </c>
      <c r="L856" s="316">
        <v>0</v>
      </c>
      <c r="M856" s="316">
        <v>0</v>
      </c>
      <c r="N856" s="316">
        <v>48.06</v>
      </c>
      <c r="O856" s="316">
        <v>48.06</v>
      </c>
      <c r="P856" s="317">
        <v>8.2653380580018979E-5</v>
      </c>
    </row>
    <row r="857" spans="1:16" ht="26.4" x14ac:dyDescent="0.4">
      <c r="A857" s="313" t="s">
        <v>8502</v>
      </c>
      <c r="B857" s="313" t="s">
        <v>3467</v>
      </c>
      <c r="C857" s="313" t="s">
        <v>5902</v>
      </c>
      <c r="D857" s="313" t="s">
        <v>3463</v>
      </c>
      <c r="E857" s="314" t="s">
        <v>120</v>
      </c>
      <c r="F857" s="315">
        <v>1</v>
      </c>
      <c r="G857" s="316">
        <v>2.83</v>
      </c>
      <c r="H857" s="316">
        <v>0</v>
      </c>
      <c r="I857" s="316">
        <v>0</v>
      </c>
      <c r="J857" s="316">
        <v>2.83</v>
      </c>
      <c r="K857" s="316">
        <v>2.83</v>
      </c>
      <c r="L857" s="316">
        <v>0</v>
      </c>
      <c r="M857" s="316">
        <v>0</v>
      </c>
      <c r="N857" s="316">
        <v>2.83</v>
      </c>
      <c r="O857" s="316">
        <v>2.83</v>
      </c>
      <c r="P857" s="317">
        <v>4.8670217861309557E-6</v>
      </c>
    </row>
    <row r="858" spans="1:16" x14ac:dyDescent="0.4">
      <c r="A858" s="313" t="s">
        <v>8504</v>
      </c>
      <c r="B858" s="313">
        <v>22224</v>
      </c>
      <c r="C858" s="313" t="s">
        <v>408</v>
      </c>
      <c r="D858" s="313" t="s">
        <v>5843</v>
      </c>
      <c r="E858" s="314" t="s">
        <v>675</v>
      </c>
      <c r="F858" s="315">
        <v>1</v>
      </c>
      <c r="G858" s="316">
        <v>33.31</v>
      </c>
      <c r="H858" s="316">
        <v>23.84</v>
      </c>
      <c r="I858" s="316">
        <v>2.1800000000000002</v>
      </c>
      <c r="J858" s="316">
        <v>7.29</v>
      </c>
      <c r="K858" s="316">
        <v>33.31</v>
      </c>
      <c r="L858" s="316">
        <v>23.84</v>
      </c>
      <c r="M858" s="316">
        <v>2.1800000000000002</v>
      </c>
      <c r="N858" s="316">
        <v>7.29</v>
      </c>
      <c r="O858" s="316">
        <v>33.31</v>
      </c>
      <c r="P858" s="317">
        <v>5.7286394238877072E-5</v>
      </c>
    </row>
    <row r="859" spans="1:16" ht="16.95" customHeight="1" x14ac:dyDescent="0.4">
      <c r="A859" s="313" t="s">
        <v>8506</v>
      </c>
      <c r="B859" s="313">
        <v>716</v>
      </c>
      <c r="C859" s="313" t="s">
        <v>575</v>
      </c>
      <c r="D859" s="313" t="s">
        <v>6114</v>
      </c>
      <c r="E859" s="314" t="s">
        <v>675</v>
      </c>
      <c r="F859" s="315">
        <v>1</v>
      </c>
      <c r="G859" s="316">
        <v>511.35</v>
      </c>
      <c r="H859" s="316">
        <v>183.39</v>
      </c>
      <c r="I859" s="316">
        <v>13.34</v>
      </c>
      <c r="J859" s="316">
        <v>314.62</v>
      </c>
      <c r="K859" s="316">
        <v>511.35</v>
      </c>
      <c r="L859" s="316">
        <v>183.39</v>
      </c>
      <c r="M859" s="316">
        <v>13.34</v>
      </c>
      <c r="N859" s="316">
        <v>314.62</v>
      </c>
      <c r="O859" s="316">
        <v>511.35</v>
      </c>
      <c r="P859" s="317">
        <v>8.7941752308765518E-4</v>
      </c>
    </row>
    <row r="860" spans="1:16" ht="52.8" x14ac:dyDescent="0.4">
      <c r="A860" s="313" t="s">
        <v>8507</v>
      </c>
      <c r="B860" s="313" t="s">
        <v>8395</v>
      </c>
      <c r="C860" s="313" t="s">
        <v>8393</v>
      </c>
      <c r="D860" s="313" t="s">
        <v>8394</v>
      </c>
      <c r="E860" s="314" t="s">
        <v>675</v>
      </c>
      <c r="F860" s="315">
        <v>1</v>
      </c>
      <c r="G860" s="316">
        <v>44.18</v>
      </c>
      <c r="H860" s="316">
        <v>22.02</v>
      </c>
      <c r="I860" s="316">
        <v>0</v>
      </c>
      <c r="J860" s="316">
        <v>22.16</v>
      </c>
      <c r="K860" s="316">
        <v>44.18</v>
      </c>
      <c r="L860" s="316">
        <v>22.02</v>
      </c>
      <c r="M860" s="316">
        <v>0</v>
      </c>
      <c r="N860" s="316">
        <v>22.16</v>
      </c>
      <c r="O860" s="316">
        <v>44.18</v>
      </c>
      <c r="P860" s="317">
        <v>7.5980573325535553E-5</v>
      </c>
    </row>
    <row r="861" spans="1:16" x14ac:dyDescent="0.4">
      <c r="A861" s="313" t="s">
        <v>8526</v>
      </c>
      <c r="B861" s="313">
        <v>110099</v>
      </c>
      <c r="C861" s="313" t="s">
        <v>408</v>
      </c>
      <c r="D861" s="313" t="s">
        <v>8477</v>
      </c>
      <c r="E861" s="314" t="s">
        <v>4</v>
      </c>
      <c r="F861" s="315">
        <v>1</v>
      </c>
      <c r="G861" s="316">
        <v>1732.49</v>
      </c>
      <c r="H861" s="316">
        <v>823.37</v>
      </c>
      <c r="I861" s="316">
        <v>0</v>
      </c>
      <c r="J861" s="316">
        <v>909.12</v>
      </c>
      <c r="K861" s="316">
        <v>1732.49</v>
      </c>
      <c r="L861" s="316">
        <v>823.37</v>
      </c>
      <c r="M861" s="316">
        <v>0</v>
      </c>
      <c r="N861" s="316">
        <v>909.12</v>
      </c>
      <c r="O861" s="316">
        <v>1732.49</v>
      </c>
      <c r="P861" s="317">
        <v>2.9795288248247414E-3</v>
      </c>
    </row>
    <row r="862" spans="1:16" x14ac:dyDescent="0.4">
      <c r="A862" s="313" t="s">
        <v>8538</v>
      </c>
      <c r="B862" s="313">
        <v>180049</v>
      </c>
      <c r="C862" s="313" t="s">
        <v>408</v>
      </c>
      <c r="D862" s="313" t="s">
        <v>8524</v>
      </c>
      <c r="E862" s="314" t="s">
        <v>675</v>
      </c>
      <c r="F862" s="315">
        <v>1</v>
      </c>
      <c r="G862" s="316">
        <v>49.27</v>
      </c>
      <c r="H862" s="316">
        <v>29.09</v>
      </c>
      <c r="I862" s="316">
        <v>0</v>
      </c>
      <c r="J862" s="316">
        <v>20.18</v>
      </c>
      <c r="K862" s="316">
        <v>49.27</v>
      </c>
      <c r="L862" s="316">
        <v>29.09</v>
      </c>
      <c r="M862" s="316">
        <v>0</v>
      </c>
      <c r="N862" s="316">
        <v>20.18</v>
      </c>
      <c r="O862" s="316">
        <v>49.27</v>
      </c>
      <c r="P862" s="317">
        <v>8.4734333357834682E-5</v>
      </c>
    </row>
    <row r="863" spans="1:16" ht="26.4" x14ac:dyDescent="0.4">
      <c r="A863" s="313" t="s">
        <v>8617</v>
      </c>
      <c r="B863" s="313" t="s">
        <v>8481</v>
      </c>
      <c r="C863" s="313" t="s">
        <v>5902</v>
      </c>
      <c r="D863" s="313" t="s">
        <v>8482</v>
      </c>
      <c r="E863" s="314" t="s">
        <v>713</v>
      </c>
      <c r="F863" s="315">
        <v>1</v>
      </c>
      <c r="G863" s="316">
        <v>3153.52</v>
      </c>
      <c r="H863" s="316">
        <v>921.14</v>
      </c>
      <c r="I863" s="316">
        <v>0</v>
      </c>
      <c r="J863" s="316">
        <v>2232.38</v>
      </c>
      <c r="K863" s="316">
        <v>3153.52</v>
      </c>
      <c r="L863" s="316">
        <v>921.14</v>
      </c>
      <c r="M863" s="316">
        <v>0</v>
      </c>
      <c r="N863" s="316">
        <v>2232.38</v>
      </c>
      <c r="O863" s="316">
        <v>3153.52</v>
      </c>
      <c r="P863" s="317">
        <v>5.423410085865615E-3</v>
      </c>
    </row>
    <row r="864" spans="1:16" x14ac:dyDescent="0.4">
      <c r="A864" s="313" t="s">
        <v>8618</v>
      </c>
      <c r="B864" s="313">
        <v>9090038</v>
      </c>
      <c r="C864" s="313" t="s">
        <v>2661</v>
      </c>
      <c r="D864" s="313" t="s">
        <v>8619</v>
      </c>
      <c r="E864" s="314" t="s">
        <v>7</v>
      </c>
      <c r="F864" s="315">
        <v>1</v>
      </c>
      <c r="G864" s="316">
        <v>5.09</v>
      </c>
      <c r="H864" s="316">
        <v>0</v>
      </c>
      <c r="I864" s="316">
        <v>0</v>
      </c>
      <c r="J864" s="316">
        <v>5.09</v>
      </c>
      <c r="K864" s="316">
        <v>5.09</v>
      </c>
      <c r="L864" s="316">
        <v>0</v>
      </c>
      <c r="M864" s="316">
        <v>0</v>
      </c>
      <c r="N864" s="316">
        <v>5.09</v>
      </c>
      <c r="O864" s="316">
        <v>5.09</v>
      </c>
      <c r="P864" s="317">
        <v>8.753760032299138E-6</v>
      </c>
    </row>
    <row r="865" spans="1:16" ht="16.95" customHeight="1" x14ac:dyDescent="0.4">
      <c r="A865" s="344"/>
      <c r="B865" s="311"/>
      <c r="C865" s="344"/>
      <c r="D865" s="344"/>
      <c r="E865" s="344"/>
      <c r="F865" s="344"/>
      <c r="G865" s="344"/>
      <c r="H865" s="344"/>
      <c r="I865" s="344"/>
      <c r="J865" s="344"/>
      <c r="K865" s="344" t="s">
        <v>8508</v>
      </c>
      <c r="L865" s="344">
        <v>207803.07</v>
      </c>
      <c r="M865" s="344">
        <v>7944.48</v>
      </c>
      <c r="N865" s="344" t="s">
        <v>8620</v>
      </c>
      <c r="O865" s="344" t="s">
        <v>8621</v>
      </c>
      <c r="P865" s="344"/>
    </row>
    <row r="866" spans="1:16" ht="16.95" customHeight="1" x14ac:dyDescent="0.4">
      <c r="A866" s="345"/>
      <c r="B866" s="346"/>
      <c r="C866" s="345"/>
      <c r="D866" s="345"/>
      <c r="E866" s="345"/>
      <c r="F866" s="345"/>
      <c r="G866" s="345"/>
      <c r="H866" s="345"/>
      <c r="I866" s="345"/>
      <c r="J866" s="345"/>
      <c r="K866" s="345"/>
      <c r="L866" s="345"/>
      <c r="M866" s="345"/>
      <c r="N866" s="345"/>
      <c r="O866" s="345"/>
      <c r="P866" s="345"/>
    </row>
    <row r="867" spans="1:16" x14ac:dyDescent="0.4">
      <c r="A867" s="581"/>
      <c r="B867" s="581"/>
      <c r="C867" s="581"/>
      <c r="D867" s="346"/>
      <c r="E867" s="344"/>
      <c r="F867" s="344"/>
      <c r="G867" s="344"/>
      <c r="H867" s="344"/>
      <c r="I867" s="344"/>
      <c r="J867" s="344"/>
      <c r="K867" s="344"/>
      <c r="L867" s="582" t="s">
        <v>8509</v>
      </c>
      <c r="M867" s="581"/>
      <c r="N867" s="583">
        <v>581464.42000000004</v>
      </c>
      <c r="O867" s="581"/>
      <c r="P867" s="581"/>
    </row>
    <row r="868" spans="1:16" x14ac:dyDescent="0.4">
      <c r="A868" s="581"/>
      <c r="B868" s="581"/>
      <c r="C868" s="581"/>
      <c r="D868" s="346"/>
      <c r="E868" s="344"/>
      <c r="F868" s="344"/>
      <c r="G868" s="344"/>
      <c r="H868" s="344"/>
      <c r="I868" s="344"/>
      <c r="J868" s="344"/>
      <c r="K868" s="344"/>
      <c r="L868" s="582" t="s">
        <v>8510</v>
      </c>
      <c r="M868" s="581"/>
      <c r="N868" s="583">
        <v>0</v>
      </c>
      <c r="O868" s="581"/>
      <c r="P868" s="581"/>
    </row>
    <row r="869" spans="1:16" ht="16.95" customHeight="1" x14ac:dyDescent="0.4">
      <c r="A869" s="581"/>
      <c r="B869" s="581"/>
      <c r="C869" s="581"/>
      <c r="D869" s="346"/>
      <c r="E869" s="344"/>
      <c r="F869" s="344"/>
      <c r="G869" s="344"/>
      <c r="H869" s="344"/>
      <c r="I869" s="344"/>
      <c r="J869" s="344"/>
      <c r="K869" s="344"/>
      <c r="L869" s="582" t="s">
        <v>8511</v>
      </c>
      <c r="M869" s="581"/>
      <c r="N869" s="583">
        <v>581464.42000000004</v>
      </c>
      <c r="O869" s="581"/>
      <c r="P869" s="581"/>
    </row>
    <row r="870" spans="1:16" ht="16.95" customHeight="1" x14ac:dyDescent="0.4">
      <c r="A870" s="347"/>
      <c r="B870" s="311"/>
      <c r="C870" s="347"/>
      <c r="D870" s="347"/>
      <c r="E870" s="347"/>
      <c r="F870" s="347"/>
      <c r="G870" s="347"/>
      <c r="H870" s="347"/>
      <c r="I870" s="347"/>
      <c r="J870" s="347"/>
      <c r="K870" s="347"/>
      <c r="L870" s="347"/>
      <c r="M870" s="347"/>
      <c r="N870" s="347"/>
      <c r="O870" s="347"/>
      <c r="P870" s="347"/>
    </row>
    <row r="871" spans="1:16" x14ac:dyDescent="0.4">
      <c r="A871" s="590" t="s">
        <v>8542</v>
      </c>
      <c r="B871" s="589"/>
      <c r="C871" s="589"/>
      <c r="D871" s="589"/>
      <c r="E871" s="589"/>
      <c r="F871" s="589"/>
      <c r="G871" s="589"/>
      <c r="H871" s="589"/>
      <c r="I871" s="589"/>
      <c r="J871" s="589"/>
      <c r="K871" s="589"/>
      <c r="L871" s="589"/>
      <c r="M871" s="589"/>
      <c r="N871" s="589"/>
      <c r="O871" s="589"/>
      <c r="P871" s="589"/>
    </row>
    <row r="872" spans="1:16" x14ac:dyDescent="0.4">
      <c r="A872"/>
      <c r="B872" s="350"/>
      <c r="C872"/>
      <c r="D872"/>
      <c r="E872"/>
      <c r="F872"/>
      <c r="G872"/>
      <c r="H872"/>
      <c r="I872"/>
      <c r="J872"/>
      <c r="K872"/>
      <c r="L872"/>
      <c r="M872"/>
      <c r="N872"/>
      <c r="O872"/>
      <c r="P872"/>
    </row>
    <row r="873" spans="1:16" x14ac:dyDescent="0.4">
      <c r="A873"/>
      <c r="B873" s="350"/>
      <c r="C873"/>
      <c r="D873"/>
      <c r="E873"/>
      <c r="F873"/>
      <c r="G873"/>
      <c r="H873"/>
      <c r="I873"/>
      <c r="J873"/>
      <c r="K873"/>
      <c r="L873"/>
      <c r="M873"/>
      <c r="N873"/>
      <c r="O873"/>
      <c r="P873"/>
    </row>
    <row r="874" spans="1:16" x14ac:dyDescent="0.4">
      <c r="A874"/>
      <c r="B874" s="350"/>
      <c r="C874"/>
      <c r="D874"/>
      <c r="E874"/>
      <c r="F874"/>
      <c r="G874"/>
      <c r="H874"/>
      <c r="I874"/>
      <c r="J874"/>
      <c r="K874"/>
      <c r="L874"/>
      <c r="M874"/>
      <c r="N874"/>
      <c r="O874"/>
      <c r="P874"/>
    </row>
    <row r="875" spans="1:16" x14ac:dyDescent="0.4">
      <c r="A875"/>
      <c r="B875" s="350"/>
      <c r="C875"/>
      <c r="D875"/>
      <c r="E875"/>
      <c r="F875"/>
      <c r="G875"/>
      <c r="H875"/>
      <c r="I875"/>
      <c r="J875"/>
      <c r="K875"/>
      <c r="L875"/>
      <c r="M875"/>
      <c r="N875"/>
      <c r="O875"/>
      <c r="P875"/>
    </row>
    <row r="876" spans="1:16" x14ac:dyDescent="0.4">
      <c r="A876"/>
      <c r="B876" s="350"/>
      <c r="C876"/>
      <c r="D876"/>
      <c r="E876"/>
      <c r="F876"/>
      <c r="G876"/>
      <c r="H876"/>
      <c r="I876"/>
      <c r="J876"/>
      <c r="K876"/>
      <c r="L876"/>
      <c r="M876"/>
      <c r="N876"/>
      <c r="O876"/>
      <c r="P876"/>
    </row>
    <row r="877" spans="1:16" x14ac:dyDescent="0.4">
      <c r="A877"/>
      <c r="B877" s="350"/>
      <c r="C877"/>
      <c r="D877"/>
      <c r="E877"/>
      <c r="F877"/>
      <c r="G877"/>
      <c r="H877"/>
      <c r="I877"/>
      <c r="J877"/>
      <c r="K877"/>
      <c r="L877"/>
      <c r="M877"/>
      <c r="N877"/>
      <c r="O877"/>
      <c r="P877"/>
    </row>
    <row r="878" spans="1:16" x14ac:dyDescent="0.4">
      <c r="A878"/>
      <c r="B878" s="350"/>
      <c r="C878"/>
      <c r="D878"/>
      <c r="E878"/>
      <c r="F878"/>
      <c r="G878"/>
      <c r="H878"/>
      <c r="I878"/>
      <c r="J878"/>
      <c r="K878"/>
      <c r="L878"/>
      <c r="M878"/>
      <c r="N878"/>
      <c r="O878"/>
      <c r="P878"/>
    </row>
    <row r="879" spans="1:16" x14ac:dyDescent="0.4">
      <c r="A879"/>
      <c r="B879" s="350"/>
      <c r="C879"/>
      <c r="D879"/>
      <c r="E879"/>
      <c r="F879"/>
      <c r="G879"/>
      <c r="H879"/>
      <c r="I879"/>
      <c r="J879"/>
      <c r="K879"/>
      <c r="L879"/>
      <c r="M879"/>
      <c r="N879"/>
      <c r="O879"/>
      <c r="P879"/>
    </row>
    <row r="880" spans="1:16" x14ac:dyDescent="0.4">
      <c r="A880"/>
      <c r="B880" s="350"/>
      <c r="C880"/>
      <c r="D880"/>
      <c r="E880"/>
      <c r="F880"/>
      <c r="G880"/>
      <c r="H880"/>
      <c r="I880"/>
      <c r="J880"/>
      <c r="K880"/>
      <c r="L880"/>
      <c r="M880"/>
      <c r="N880"/>
      <c r="O880"/>
      <c r="P880"/>
    </row>
    <row r="881" spans="1:16" x14ac:dyDescent="0.4">
      <c r="A881"/>
      <c r="B881" s="350"/>
      <c r="C881"/>
      <c r="D881"/>
      <c r="E881"/>
      <c r="F881"/>
      <c r="G881"/>
      <c r="H881"/>
      <c r="I881"/>
      <c r="J881"/>
      <c r="K881"/>
      <c r="L881"/>
      <c r="M881"/>
      <c r="N881"/>
      <c r="O881"/>
      <c r="P881"/>
    </row>
    <row r="882" spans="1:16" x14ac:dyDescent="0.4">
      <c r="A882"/>
      <c r="B882" s="350"/>
      <c r="C882"/>
      <c r="D882"/>
      <c r="E882"/>
      <c r="F882"/>
      <c r="G882"/>
      <c r="H882"/>
      <c r="I882"/>
      <c r="J882"/>
      <c r="K882"/>
      <c r="L882"/>
      <c r="M882"/>
      <c r="N882"/>
      <c r="O882"/>
      <c r="P882"/>
    </row>
    <row r="883" spans="1:16" x14ac:dyDescent="0.4">
      <c r="A883"/>
      <c r="B883" s="350"/>
      <c r="C883"/>
      <c r="D883"/>
      <c r="E883"/>
      <c r="F883"/>
      <c r="G883"/>
      <c r="H883"/>
      <c r="I883"/>
      <c r="J883"/>
      <c r="K883"/>
      <c r="L883"/>
      <c r="M883"/>
      <c r="N883"/>
      <c r="O883"/>
      <c r="P883"/>
    </row>
    <row r="884" spans="1:16" x14ac:dyDescent="0.4">
      <c r="A884"/>
      <c r="B884" s="350"/>
      <c r="C884"/>
      <c r="D884"/>
      <c r="E884"/>
      <c r="F884"/>
      <c r="G884"/>
      <c r="H884"/>
      <c r="I884"/>
      <c r="J884"/>
      <c r="K884"/>
      <c r="L884"/>
      <c r="M884"/>
      <c r="N884"/>
      <c r="O884"/>
      <c r="P884"/>
    </row>
    <row r="885" spans="1:16" x14ac:dyDescent="0.4">
      <c r="A885"/>
      <c r="B885" s="350"/>
      <c r="C885"/>
      <c r="D885"/>
      <c r="E885"/>
      <c r="F885"/>
      <c r="G885"/>
      <c r="H885"/>
      <c r="I885"/>
      <c r="J885"/>
      <c r="K885"/>
      <c r="L885"/>
      <c r="M885"/>
      <c r="N885"/>
      <c r="O885"/>
      <c r="P885"/>
    </row>
    <row r="886" spans="1:16" x14ac:dyDescent="0.4">
      <c r="A886"/>
      <c r="B886" s="350"/>
      <c r="C886"/>
      <c r="D886"/>
      <c r="E886"/>
      <c r="F886"/>
      <c r="G886"/>
      <c r="H886"/>
      <c r="I886"/>
      <c r="J886"/>
      <c r="K886"/>
      <c r="L886"/>
      <c r="M886"/>
      <c r="N886"/>
      <c r="O886"/>
      <c r="P886"/>
    </row>
    <row r="887" spans="1:16" x14ac:dyDescent="0.4">
      <c r="A887"/>
      <c r="B887" s="350"/>
      <c r="C887"/>
      <c r="D887"/>
      <c r="E887"/>
      <c r="F887"/>
      <c r="G887"/>
      <c r="H887"/>
      <c r="I887"/>
      <c r="J887"/>
      <c r="K887"/>
      <c r="L887"/>
      <c r="M887"/>
      <c r="N887"/>
      <c r="O887"/>
      <c r="P887"/>
    </row>
    <row r="888" spans="1:16" x14ac:dyDescent="0.4">
      <c r="A888"/>
      <c r="B888" s="350"/>
      <c r="C888"/>
      <c r="D888"/>
      <c r="E888"/>
      <c r="F888"/>
      <c r="G888"/>
      <c r="H888"/>
      <c r="I888"/>
      <c r="J888"/>
      <c r="K888"/>
      <c r="L888"/>
      <c r="M888"/>
      <c r="N888"/>
      <c r="O888"/>
      <c r="P888"/>
    </row>
    <row r="889" spans="1:16" x14ac:dyDescent="0.4">
      <c r="A889"/>
      <c r="B889" s="350"/>
      <c r="C889"/>
      <c r="D889"/>
      <c r="E889"/>
      <c r="F889"/>
      <c r="G889"/>
      <c r="H889"/>
      <c r="I889"/>
      <c r="J889"/>
      <c r="K889"/>
      <c r="L889"/>
      <c r="M889"/>
      <c r="N889"/>
      <c r="O889"/>
      <c r="P889"/>
    </row>
    <row r="890" spans="1:16" x14ac:dyDescent="0.4">
      <c r="A890"/>
      <c r="B890" s="350"/>
      <c r="C890"/>
      <c r="D890"/>
      <c r="E890"/>
      <c r="F890"/>
      <c r="G890"/>
      <c r="H890"/>
      <c r="I890"/>
      <c r="J890"/>
      <c r="K890"/>
      <c r="L890"/>
      <c r="M890"/>
      <c r="N890"/>
      <c r="O890"/>
      <c r="P890"/>
    </row>
    <row r="891" spans="1:16" x14ac:dyDescent="0.4">
      <c r="A891"/>
      <c r="B891" s="350"/>
      <c r="C891"/>
      <c r="D891"/>
      <c r="E891"/>
      <c r="F891"/>
      <c r="G891"/>
      <c r="H891"/>
      <c r="I891"/>
      <c r="J891"/>
      <c r="K891"/>
      <c r="L891"/>
      <c r="M891"/>
      <c r="N891"/>
      <c r="O891"/>
      <c r="P891"/>
    </row>
    <row r="892" spans="1:16" x14ac:dyDescent="0.4">
      <c r="A892"/>
      <c r="B892" s="350"/>
      <c r="C892"/>
      <c r="D892"/>
      <c r="E892"/>
      <c r="F892"/>
      <c r="G892"/>
      <c r="H892"/>
      <c r="I892"/>
      <c r="J892"/>
      <c r="K892"/>
      <c r="L892"/>
      <c r="M892"/>
      <c r="N892"/>
      <c r="O892"/>
      <c r="P892"/>
    </row>
    <row r="893" spans="1:16" x14ac:dyDescent="0.4">
      <c r="A893"/>
      <c r="B893" s="350"/>
      <c r="C893"/>
      <c r="D893"/>
      <c r="E893"/>
      <c r="F893"/>
      <c r="G893"/>
      <c r="H893"/>
      <c r="I893"/>
      <c r="J893"/>
      <c r="K893"/>
      <c r="L893"/>
      <c r="M893"/>
      <c r="N893"/>
      <c r="O893"/>
      <c r="P893"/>
    </row>
    <row r="894" spans="1:16" x14ac:dyDescent="0.4">
      <c r="A894"/>
      <c r="B894" s="350"/>
      <c r="C894"/>
      <c r="D894"/>
      <c r="E894"/>
      <c r="F894"/>
      <c r="G894"/>
      <c r="H894"/>
      <c r="I894"/>
      <c r="J894"/>
      <c r="K894"/>
      <c r="L894"/>
      <c r="M894"/>
      <c r="N894"/>
      <c r="O894"/>
      <c r="P894"/>
    </row>
    <row r="895" spans="1:16" x14ac:dyDescent="0.4">
      <c r="A895"/>
      <c r="B895" s="350"/>
      <c r="C895"/>
      <c r="D895"/>
      <c r="E895"/>
      <c r="F895"/>
      <c r="G895"/>
      <c r="H895"/>
      <c r="I895"/>
      <c r="J895"/>
      <c r="K895"/>
      <c r="L895"/>
      <c r="M895"/>
      <c r="N895"/>
      <c r="O895"/>
      <c r="P895"/>
    </row>
    <row r="896" spans="1:16" x14ac:dyDescent="0.4">
      <c r="A896"/>
      <c r="B896" s="350"/>
      <c r="C896"/>
      <c r="D896"/>
      <c r="E896"/>
      <c r="F896"/>
      <c r="G896"/>
      <c r="H896"/>
      <c r="I896"/>
      <c r="J896"/>
      <c r="K896"/>
      <c r="L896"/>
      <c r="M896"/>
      <c r="N896"/>
      <c r="O896"/>
      <c r="P896"/>
    </row>
    <row r="897" spans="1:16" x14ac:dyDescent="0.4">
      <c r="A897"/>
      <c r="B897" s="350"/>
      <c r="C897"/>
      <c r="D897"/>
      <c r="E897"/>
      <c r="F897"/>
      <c r="G897"/>
      <c r="H897"/>
      <c r="I897"/>
      <c r="J897"/>
      <c r="K897"/>
      <c r="L897"/>
      <c r="M897"/>
      <c r="N897"/>
      <c r="O897"/>
      <c r="P897"/>
    </row>
    <row r="898" spans="1:16" x14ac:dyDescent="0.4">
      <c r="A898"/>
      <c r="B898" s="350"/>
      <c r="C898"/>
      <c r="D898"/>
      <c r="E898"/>
      <c r="F898"/>
      <c r="G898"/>
      <c r="H898"/>
      <c r="I898"/>
      <c r="J898"/>
      <c r="K898"/>
      <c r="L898"/>
      <c r="M898"/>
      <c r="N898"/>
      <c r="O898"/>
      <c r="P898"/>
    </row>
    <row r="899" spans="1:16" x14ac:dyDescent="0.4">
      <c r="A899"/>
      <c r="B899" s="350"/>
      <c r="C899"/>
      <c r="D899"/>
      <c r="E899"/>
      <c r="F899"/>
      <c r="G899"/>
      <c r="H899"/>
      <c r="I899"/>
      <c r="J899"/>
      <c r="K899"/>
      <c r="L899"/>
      <c r="M899"/>
      <c r="N899"/>
      <c r="O899"/>
      <c r="P899"/>
    </row>
    <row r="900" spans="1:16" x14ac:dyDescent="0.4">
      <c r="A900"/>
      <c r="B900" s="350"/>
      <c r="C900"/>
      <c r="D900"/>
      <c r="E900"/>
      <c r="F900"/>
      <c r="G900"/>
      <c r="H900"/>
      <c r="I900"/>
      <c r="J900"/>
      <c r="K900"/>
      <c r="L900"/>
      <c r="M900"/>
      <c r="N900"/>
      <c r="O900"/>
      <c r="P900"/>
    </row>
    <row r="901" spans="1:16" x14ac:dyDescent="0.4">
      <c r="A901"/>
      <c r="B901" s="350"/>
      <c r="C901"/>
      <c r="D901"/>
      <c r="E901"/>
      <c r="F901"/>
      <c r="G901"/>
      <c r="H901"/>
      <c r="I901"/>
      <c r="J901"/>
      <c r="K901"/>
      <c r="L901"/>
      <c r="M901"/>
      <c r="N901"/>
      <c r="O901"/>
      <c r="P901"/>
    </row>
    <row r="902" spans="1:16" x14ac:dyDescent="0.4">
      <c r="A902"/>
      <c r="B902" s="350"/>
      <c r="C902"/>
      <c r="D902"/>
      <c r="E902"/>
      <c r="F902"/>
      <c r="G902"/>
      <c r="H902"/>
      <c r="I902"/>
      <c r="J902"/>
      <c r="K902"/>
      <c r="L902"/>
      <c r="M902"/>
      <c r="N902"/>
      <c r="O902"/>
      <c r="P902"/>
    </row>
    <row r="903" spans="1:16" x14ac:dyDescent="0.4">
      <c r="A903"/>
      <c r="B903" s="350"/>
      <c r="C903"/>
      <c r="D903"/>
      <c r="E903"/>
      <c r="F903"/>
      <c r="G903"/>
      <c r="H903"/>
      <c r="I903"/>
      <c r="J903"/>
      <c r="K903"/>
      <c r="L903"/>
      <c r="M903"/>
      <c r="N903"/>
      <c r="O903"/>
      <c r="P903"/>
    </row>
    <row r="904" spans="1:16" x14ac:dyDescent="0.4">
      <c r="A904"/>
      <c r="B904" s="350"/>
      <c r="C904"/>
      <c r="D904"/>
      <c r="E904"/>
      <c r="F904"/>
      <c r="G904"/>
      <c r="H904"/>
      <c r="I904"/>
      <c r="J904"/>
      <c r="K904"/>
      <c r="L904"/>
      <c r="M904"/>
      <c r="N904"/>
      <c r="O904"/>
      <c r="P904"/>
    </row>
    <row r="905" spans="1:16" x14ac:dyDescent="0.4">
      <c r="A905"/>
      <c r="B905" s="350"/>
      <c r="C905"/>
      <c r="D905"/>
      <c r="E905"/>
      <c r="F905"/>
      <c r="G905"/>
      <c r="H905"/>
      <c r="I905"/>
      <c r="J905"/>
      <c r="K905"/>
      <c r="L905"/>
      <c r="M905"/>
      <c r="N905"/>
      <c r="O905"/>
      <c r="P905"/>
    </row>
    <row r="906" spans="1:16" x14ac:dyDescent="0.4">
      <c r="A906"/>
      <c r="B906" s="350"/>
      <c r="C906"/>
      <c r="D906"/>
      <c r="E906"/>
      <c r="F906"/>
      <c r="G906"/>
      <c r="H906"/>
      <c r="I906"/>
      <c r="J906"/>
      <c r="K906"/>
      <c r="L906"/>
      <c r="M906"/>
      <c r="N906"/>
      <c r="O906"/>
      <c r="P906"/>
    </row>
    <row r="907" spans="1:16" x14ac:dyDescent="0.4">
      <c r="A907"/>
      <c r="B907" s="350"/>
      <c r="C907"/>
      <c r="D907"/>
      <c r="E907"/>
      <c r="F907"/>
      <c r="G907"/>
      <c r="H907"/>
      <c r="I907"/>
      <c r="J907"/>
      <c r="K907"/>
      <c r="L907"/>
      <c r="M907"/>
      <c r="N907"/>
      <c r="O907"/>
      <c r="P907"/>
    </row>
    <row r="908" spans="1:16" x14ac:dyDescent="0.4">
      <c r="A908"/>
      <c r="B908" s="350"/>
      <c r="C908"/>
      <c r="D908"/>
      <c r="E908"/>
      <c r="F908"/>
      <c r="G908"/>
      <c r="H908"/>
      <c r="I908"/>
      <c r="J908"/>
      <c r="K908"/>
      <c r="L908"/>
      <c r="M908"/>
      <c r="N908"/>
      <c r="O908"/>
      <c r="P908"/>
    </row>
    <row r="909" spans="1:16" x14ac:dyDescent="0.4">
      <c r="A909"/>
      <c r="B909" s="350"/>
      <c r="C909"/>
      <c r="D909"/>
      <c r="E909"/>
      <c r="F909"/>
      <c r="G909"/>
      <c r="H909"/>
      <c r="I909"/>
      <c r="J909"/>
      <c r="K909"/>
      <c r="L909"/>
      <c r="M909"/>
      <c r="N909"/>
      <c r="O909"/>
      <c r="P909"/>
    </row>
    <row r="910" spans="1:16" x14ac:dyDescent="0.4">
      <c r="A910"/>
      <c r="B910" s="350"/>
      <c r="C910"/>
      <c r="D910"/>
      <c r="E910"/>
      <c r="F910"/>
      <c r="G910"/>
      <c r="H910"/>
      <c r="I910"/>
      <c r="J910"/>
      <c r="K910"/>
      <c r="L910"/>
      <c r="M910"/>
      <c r="N910"/>
      <c r="O910"/>
      <c r="P910"/>
    </row>
    <row r="911" spans="1:16" x14ac:dyDescent="0.4">
      <c r="A911"/>
      <c r="B911" s="350"/>
      <c r="C911"/>
      <c r="D911"/>
      <c r="E911"/>
      <c r="F911"/>
      <c r="G911"/>
      <c r="H911"/>
      <c r="I911"/>
      <c r="J911"/>
      <c r="K911"/>
      <c r="L911"/>
      <c r="M911"/>
      <c r="N911"/>
      <c r="O911"/>
      <c r="P911"/>
    </row>
    <row r="912" spans="1:16" x14ac:dyDescent="0.4">
      <c r="A912"/>
      <c r="B912" s="350"/>
      <c r="C912"/>
      <c r="D912"/>
      <c r="E912"/>
      <c r="F912"/>
      <c r="G912"/>
      <c r="H912"/>
      <c r="I912"/>
      <c r="J912"/>
      <c r="K912"/>
      <c r="L912"/>
      <c r="M912"/>
      <c r="N912"/>
      <c r="O912"/>
      <c r="P912"/>
    </row>
    <row r="913" spans="1:16" x14ac:dyDescent="0.4">
      <c r="A913"/>
      <c r="B913" s="350"/>
      <c r="C913"/>
      <c r="D913"/>
      <c r="E913"/>
      <c r="F913"/>
      <c r="G913"/>
      <c r="H913"/>
      <c r="I913"/>
      <c r="J913"/>
      <c r="K913"/>
      <c r="L913"/>
      <c r="M913"/>
      <c r="N913"/>
      <c r="O913"/>
      <c r="P913"/>
    </row>
    <row r="914" spans="1:16" x14ac:dyDescent="0.4">
      <c r="A914"/>
      <c r="B914" s="350"/>
      <c r="C914"/>
      <c r="D914"/>
      <c r="E914"/>
      <c r="F914"/>
      <c r="G914"/>
      <c r="H914"/>
      <c r="I914"/>
      <c r="J914"/>
      <c r="K914"/>
      <c r="L914"/>
      <c r="M914"/>
      <c r="N914"/>
      <c r="O914"/>
      <c r="P914"/>
    </row>
    <row r="915" spans="1:16" x14ac:dyDescent="0.4">
      <c r="A915"/>
      <c r="B915" s="350"/>
      <c r="C915"/>
      <c r="D915"/>
      <c r="E915"/>
      <c r="F915"/>
      <c r="G915"/>
      <c r="H915"/>
      <c r="I915"/>
      <c r="J915"/>
      <c r="K915"/>
      <c r="L915"/>
      <c r="M915"/>
      <c r="N915"/>
      <c r="O915"/>
      <c r="P915"/>
    </row>
    <row r="916" spans="1:16" x14ac:dyDescent="0.4">
      <c r="A916"/>
      <c r="B916" s="350"/>
      <c r="C916"/>
      <c r="D916"/>
      <c r="E916"/>
      <c r="F916"/>
      <c r="G916"/>
      <c r="H916"/>
      <c r="I916"/>
      <c r="J916"/>
      <c r="K916"/>
      <c r="L916"/>
      <c r="M916"/>
      <c r="N916"/>
      <c r="O916"/>
      <c r="P916"/>
    </row>
    <row r="917" spans="1:16" x14ac:dyDescent="0.4">
      <c r="A917"/>
      <c r="B917" s="350"/>
      <c r="C917"/>
      <c r="D917"/>
      <c r="E917"/>
      <c r="F917"/>
      <c r="G917"/>
      <c r="H917"/>
      <c r="I917"/>
      <c r="J917"/>
      <c r="K917"/>
      <c r="L917"/>
      <c r="M917"/>
      <c r="N917"/>
      <c r="O917"/>
      <c r="P917"/>
    </row>
    <row r="918" spans="1:16" x14ac:dyDescent="0.4">
      <c r="A918"/>
      <c r="B918" s="350"/>
      <c r="C918"/>
      <c r="D918"/>
      <c r="E918"/>
      <c r="F918"/>
      <c r="G918"/>
      <c r="H918"/>
      <c r="I918"/>
      <c r="J918"/>
      <c r="K918"/>
      <c r="L918"/>
      <c r="M918"/>
      <c r="N918"/>
      <c r="O918"/>
      <c r="P918"/>
    </row>
    <row r="919" spans="1:16" x14ac:dyDescent="0.4">
      <c r="A919"/>
      <c r="B919" s="350"/>
      <c r="C919"/>
      <c r="D919"/>
      <c r="E919"/>
      <c r="F919"/>
      <c r="G919"/>
      <c r="H919"/>
      <c r="I919"/>
      <c r="J919"/>
      <c r="K919"/>
      <c r="L919"/>
      <c r="M919"/>
      <c r="N919"/>
      <c r="O919"/>
      <c r="P919"/>
    </row>
    <row r="920" spans="1:16" x14ac:dyDescent="0.4">
      <c r="A920"/>
      <c r="B920" s="350"/>
      <c r="C920"/>
      <c r="D920"/>
      <c r="E920"/>
      <c r="F920"/>
      <c r="G920"/>
      <c r="H920"/>
      <c r="I920"/>
      <c r="J920"/>
      <c r="K920"/>
      <c r="L920"/>
      <c r="M920"/>
      <c r="N920"/>
      <c r="O920"/>
      <c r="P920"/>
    </row>
    <row r="921" spans="1:16" x14ac:dyDescent="0.4">
      <c r="A921"/>
      <c r="B921" s="350"/>
      <c r="C921"/>
      <c r="D921"/>
      <c r="E921"/>
      <c r="F921"/>
      <c r="G921"/>
      <c r="H921"/>
      <c r="I921"/>
      <c r="J921"/>
      <c r="K921"/>
      <c r="L921"/>
      <c r="M921"/>
      <c r="N921"/>
      <c r="O921"/>
      <c r="P921"/>
    </row>
    <row r="922" spans="1:16" x14ac:dyDescent="0.4">
      <c r="A922"/>
      <c r="B922" s="350"/>
      <c r="C922"/>
      <c r="D922"/>
      <c r="E922"/>
      <c r="F922"/>
      <c r="G922"/>
      <c r="H922"/>
      <c r="I922"/>
      <c r="J922"/>
      <c r="K922"/>
      <c r="L922"/>
      <c r="M922"/>
      <c r="N922"/>
      <c r="O922"/>
      <c r="P922"/>
    </row>
    <row r="923" spans="1:16" x14ac:dyDescent="0.4">
      <c r="A923"/>
      <c r="B923" s="350"/>
      <c r="C923"/>
      <c r="D923"/>
      <c r="E923"/>
      <c r="F923"/>
      <c r="G923"/>
      <c r="H923"/>
      <c r="I923"/>
      <c r="J923"/>
      <c r="K923"/>
      <c r="L923"/>
      <c r="M923"/>
      <c r="N923"/>
      <c r="O923"/>
      <c r="P923"/>
    </row>
    <row r="924" spans="1:16" x14ac:dyDescent="0.4">
      <c r="A924"/>
      <c r="B924" s="350"/>
      <c r="C924"/>
      <c r="D924"/>
      <c r="E924"/>
      <c r="F924"/>
      <c r="G924"/>
      <c r="H924"/>
      <c r="I924"/>
      <c r="J924"/>
      <c r="K924"/>
      <c r="L924"/>
      <c r="M924"/>
      <c r="N924"/>
      <c r="O924"/>
      <c r="P924"/>
    </row>
    <row r="925" spans="1:16" x14ac:dyDescent="0.4">
      <c r="A925"/>
      <c r="B925" s="350"/>
      <c r="C925"/>
      <c r="D925"/>
      <c r="E925"/>
      <c r="F925"/>
      <c r="G925"/>
      <c r="H925"/>
      <c r="I925"/>
      <c r="J925"/>
      <c r="K925"/>
      <c r="L925"/>
      <c r="M925"/>
      <c r="N925"/>
      <c r="O925"/>
      <c r="P925"/>
    </row>
    <row r="926" spans="1:16" x14ac:dyDescent="0.4">
      <c r="A926"/>
      <c r="B926" s="350"/>
      <c r="C926"/>
      <c r="D926"/>
      <c r="E926"/>
      <c r="F926"/>
      <c r="G926"/>
      <c r="H926"/>
      <c r="I926"/>
      <c r="J926"/>
      <c r="K926"/>
      <c r="L926"/>
      <c r="M926"/>
      <c r="N926"/>
      <c r="O926"/>
      <c r="P926"/>
    </row>
    <row r="927" spans="1:16" x14ac:dyDescent="0.4">
      <c r="A927"/>
      <c r="B927" s="350"/>
      <c r="C927"/>
      <c r="D927"/>
      <c r="E927"/>
      <c r="F927"/>
      <c r="G927"/>
      <c r="H927"/>
      <c r="I927"/>
      <c r="J927"/>
      <c r="K927"/>
      <c r="L927"/>
      <c r="M927"/>
      <c r="N927"/>
      <c r="O927"/>
      <c r="P927"/>
    </row>
    <row r="928" spans="1:16" x14ac:dyDescent="0.4">
      <c r="A928"/>
      <c r="B928" s="350"/>
      <c r="C928"/>
      <c r="D928"/>
      <c r="E928"/>
      <c r="F928"/>
      <c r="G928"/>
      <c r="H928"/>
      <c r="I928"/>
      <c r="J928"/>
      <c r="K928"/>
      <c r="L928"/>
      <c r="M928"/>
      <c r="N928"/>
      <c r="O928"/>
      <c r="P928"/>
    </row>
    <row r="929" spans="1:16" x14ac:dyDescent="0.4">
      <c r="A929"/>
      <c r="B929" s="350"/>
      <c r="C929"/>
      <c r="D929"/>
      <c r="E929"/>
      <c r="F929"/>
      <c r="G929"/>
      <c r="H929"/>
      <c r="I929"/>
      <c r="J929"/>
      <c r="K929"/>
      <c r="L929"/>
      <c r="M929"/>
      <c r="N929"/>
      <c r="O929"/>
      <c r="P929"/>
    </row>
    <row r="930" spans="1:16" x14ac:dyDescent="0.4">
      <c r="A930"/>
      <c r="B930" s="350"/>
      <c r="C930"/>
      <c r="D930"/>
      <c r="E930"/>
      <c r="F930"/>
      <c r="G930"/>
      <c r="H930"/>
      <c r="I930"/>
      <c r="J930"/>
      <c r="K930"/>
      <c r="L930"/>
      <c r="M930"/>
      <c r="N930"/>
      <c r="O930"/>
      <c r="P930"/>
    </row>
    <row r="931" spans="1:16" x14ac:dyDescent="0.4">
      <c r="A931"/>
      <c r="B931" s="350"/>
      <c r="C931"/>
      <c r="D931"/>
      <c r="E931"/>
      <c r="F931"/>
      <c r="G931"/>
      <c r="H931"/>
      <c r="I931"/>
      <c r="J931"/>
      <c r="K931"/>
      <c r="L931"/>
      <c r="M931"/>
      <c r="N931"/>
      <c r="O931"/>
      <c r="P931"/>
    </row>
    <row r="932" spans="1:16" x14ac:dyDescent="0.4">
      <c r="A932"/>
      <c r="B932" s="350"/>
      <c r="C932"/>
      <c r="D932"/>
      <c r="E932"/>
      <c r="F932"/>
      <c r="G932"/>
      <c r="H932"/>
      <c r="I932"/>
      <c r="J932"/>
      <c r="K932"/>
      <c r="L932"/>
      <c r="M932"/>
      <c r="N932"/>
      <c r="O932"/>
      <c r="P932"/>
    </row>
    <row r="933" spans="1:16" x14ac:dyDescent="0.4">
      <c r="A933"/>
      <c r="B933" s="350"/>
      <c r="C933"/>
      <c r="D933"/>
      <c r="E933"/>
      <c r="F933"/>
      <c r="G933"/>
      <c r="H933"/>
      <c r="I933"/>
      <c r="J933"/>
      <c r="K933"/>
      <c r="L933"/>
      <c r="M933"/>
      <c r="N933"/>
      <c r="O933"/>
      <c r="P933"/>
    </row>
    <row r="934" spans="1:16" x14ac:dyDescent="0.4">
      <c r="A934"/>
      <c r="B934" s="350"/>
      <c r="C934"/>
      <c r="D934"/>
      <c r="E934"/>
      <c r="F934"/>
      <c r="G934"/>
      <c r="H934"/>
      <c r="I934"/>
      <c r="J934"/>
      <c r="K934"/>
      <c r="L934"/>
      <c r="M934"/>
      <c r="N934"/>
      <c r="O934"/>
      <c r="P934"/>
    </row>
    <row r="935" spans="1:16" x14ac:dyDescent="0.4">
      <c r="A935"/>
      <c r="B935" s="350"/>
      <c r="C935"/>
      <c r="D935"/>
      <c r="E935"/>
      <c r="F935"/>
      <c r="G935"/>
      <c r="H935"/>
      <c r="I935"/>
      <c r="J935"/>
      <c r="K935"/>
      <c r="L935"/>
      <c r="M935"/>
      <c r="N935"/>
      <c r="O935"/>
      <c r="P935"/>
    </row>
    <row r="936" spans="1:16" x14ac:dyDescent="0.4">
      <c r="A936"/>
      <c r="B936" s="350"/>
      <c r="C936"/>
      <c r="D936"/>
      <c r="E936"/>
      <c r="F936"/>
      <c r="G936"/>
      <c r="H936"/>
      <c r="I936"/>
      <c r="J936"/>
      <c r="K936"/>
      <c r="L936"/>
      <c r="M936"/>
      <c r="N936"/>
      <c r="O936"/>
      <c r="P936"/>
    </row>
    <row r="937" spans="1:16" x14ac:dyDescent="0.4">
      <c r="A937"/>
      <c r="B937" s="350"/>
      <c r="C937"/>
      <c r="D937"/>
      <c r="E937"/>
      <c r="F937"/>
      <c r="G937"/>
      <c r="H937"/>
      <c r="I937"/>
      <c r="J937"/>
      <c r="K937"/>
      <c r="L937"/>
      <c r="M937"/>
      <c r="N937"/>
      <c r="O937"/>
      <c r="P937"/>
    </row>
    <row r="938" spans="1:16" x14ac:dyDescent="0.4">
      <c r="A938"/>
      <c r="B938" s="350"/>
      <c r="C938"/>
      <c r="D938"/>
      <c r="E938"/>
      <c r="F938"/>
      <c r="G938"/>
      <c r="H938"/>
      <c r="I938"/>
      <c r="J938"/>
      <c r="K938"/>
      <c r="L938"/>
      <c r="M938"/>
      <c r="N938"/>
      <c r="O938"/>
      <c r="P938"/>
    </row>
    <row r="939" spans="1:16" x14ac:dyDescent="0.4">
      <c r="A939"/>
      <c r="B939" s="350"/>
      <c r="C939"/>
      <c r="D939"/>
      <c r="E939"/>
      <c r="F939"/>
      <c r="G939"/>
      <c r="H939"/>
      <c r="I939"/>
      <c r="J939"/>
      <c r="K939"/>
      <c r="L939"/>
      <c r="M939"/>
      <c r="N939"/>
      <c r="O939"/>
      <c r="P939"/>
    </row>
    <row r="940" spans="1:16" x14ac:dyDescent="0.4">
      <c r="A940"/>
      <c r="B940" s="350"/>
      <c r="C940"/>
      <c r="D940"/>
      <c r="E940"/>
      <c r="F940"/>
      <c r="G940"/>
      <c r="H940"/>
      <c r="I940"/>
      <c r="J940"/>
      <c r="K940"/>
      <c r="L940"/>
      <c r="M940"/>
      <c r="N940"/>
      <c r="O940"/>
      <c r="P940"/>
    </row>
    <row r="941" spans="1:16" x14ac:dyDescent="0.4">
      <c r="A941"/>
      <c r="B941" s="350"/>
      <c r="C941"/>
      <c r="D941"/>
      <c r="E941"/>
      <c r="F941"/>
      <c r="G941"/>
      <c r="H941"/>
      <c r="I941"/>
      <c r="J941"/>
      <c r="K941"/>
      <c r="L941"/>
      <c r="M941"/>
      <c r="N941"/>
      <c r="O941"/>
      <c r="P941"/>
    </row>
    <row r="942" spans="1:16" x14ac:dyDescent="0.4">
      <c r="A942"/>
      <c r="B942" s="350"/>
      <c r="C942"/>
      <c r="D942"/>
      <c r="E942"/>
      <c r="F942"/>
      <c r="G942"/>
      <c r="H942"/>
      <c r="I942"/>
      <c r="J942"/>
      <c r="K942"/>
      <c r="L942"/>
      <c r="M942"/>
      <c r="N942"/>
      <c r="O942"/>
      <c r="P942"/>
    </row>
    <row r="943" spans="1:16" x14ac:dyDescent="0.4">
      <c r="A943"/>
      <c r="B943" s="350"/>
      <c r="C943"/>
      <c r="D943"/>
      <c r="E943"/>
      <c r="F943"/>
      <c r="G943"/>
      <c r="H943"/>
      <c r="I943"/>
      <c r="J943"/>
      <c r="K943"/>
      <c r="L943"/>
      <c r="M943"/>
      <c r="N943"/>
      <c r="O943"/>
      <c r="P943"/>
    </row>
    <row r="944" spans="1:16" x14ac:dyDescent="0.4">
      <c r="A944"/>
      <c r="B944" s="350"/>
      <c r="C944"/>
      <c r="D944"/>
      <c r="E944"/>
      <c r="F944"/>
      <c r="G944"/>
      <c r="H944"/>
      <c r="I944"/>
      <c r="J944"/>
      <c r="K944"/>
      <c r="L944"/>
      <c r="M944"/>
      <c r="N944"/>
      <c r="O944"/>
      <c r="P944"/>
    </row>
    <row r="945" spans="1:16" x14ac:dyDescent="0.4">
      <c r="A945"/>
      <c r="B945" s="350"/>
      <c r="C945"/>
      <c r="D945"/>
      <c r="E945"/>
      <c r="F945"/>
      <c r="G945"/>
      <c r="H945"/>
      <c r="I945"/>
      <c r="J945"/>
      <c r="K945"/>
      <c r="L945"/>
      <c r="M945"/>
      <c r="N945"/>
      <c r="O945"/>
      <c r="P945"/>
    </row>
    <row r="946" spans="1:16" x14ac:dyDescent="0.4">
      <c r="A946"/>
      <c r="B946" s="350"/>
      <c r="C946"/>
      <c r="D946"/>
      <c r="E946"/>
      <c r="F946"/>
      <c r="G946"/>
      <c r="H946"/>
      <c r="I946"/>
      <c r="J946"/>
      <c r="K946"/>
      <c r="L946"/>
      <c r="M946"/>
      <c r="N946"/>
      <c r="O946"/>
      <c r="P946"/>
    </row>
    <row r="947" spans="1:16" x14ac:dyDescent="0.4">
      <c r="A947"/>
      <c r="B947" s="350"/>
      <c r="C947"/>
      <c r="D947"/>
      <c r="E947"/>
      <c r="F947"/>
      <c r="G947"/>
      <c r="H947"/>
      <c r="I947"/>
      <c r="J947"/>
      <c r="K947"/>
      <c r="L947"/>
      <c r="M947"/>
      <c r="N947"/>
      <c r="O947"/>
      <c r="P947"/>
    </row>
    <row r="948" spans="1:16" x14ac:dyDescent="0.4">
      <c r="A948"/>
      <c r="B948" s="350"/>
      <c r="C948"/>
      <c r="D948"/>
      <c r="E948"/>
      <c r="F948"/>
      <c r="G948"/>
      <c r="H948"/>
      <c r="I948"/>
      <c r="J948"/>
      <c r="K948"/>
      <c r="L948"/>
      <c r="M948"/>
      <c r="N948"/>
      <c r="O948"/>
      <c r="P948"/>
    </row>
    <row r="949" spans="1:16" x14ac:dyDescent="0.4">
      <c r="A949"/>
      <c r="B949" s="350"/>
      <c r="C949"/>
      <c r="D949"/>
      <c r="E949"/>
      <c r="F949"/>
      <c r="G949"/>
      <c r="H949"/>
      <c r="I949"/>
      <c r="J949"/>
      <c r="K949"/>
      <c r="L949"/>
      <c r="M949"/>
      <c r="N949"/>
      <c r="O949"/>
      <c r="P949"/>
    </row>
    <row r="950" spans="1:16" x14ac:dyDescent="0.4">
      <c r="A950"/>
      <c r="B950" s="350"/>
      <c r="C950"/>
      <c r="D950"/>
      <c r="E950"/>
      <c r="F950"/>
      <c r="G950"/>
      <c r="H950"/>
      <c r="I950"/>
      <c r="J950"/>
      <c r="K950"/>
      <c r="L950"/>
      <c r="M950"/>
      <c r="N950"/>
      <c r="O950"/>
      <c r="P950"/>
    </row>
    <row r="951" spans="1:16" x14ac:dyDescent="0.4">
      <c r="A951"/>
      <c r="B951" s="350"/>
      <c r="C951"/>
      <c r="D951"/>
      <c r="E951"/>
      <c r="F951"/>
      <c r="G951"/>
      <c r="H951"/>
      <c r="I951"/>
      <c r="J951"/>
      <c r="K951"/>
      <c r="L951"/>
      <c r="M951"/>
      <c r="N951"/>
      <c r="O951"/>
      <c r="P951"/>
    </row>
    <row r="952" spans="1:16" x14ac:dyDescent="0.4">
      <c r="A952"/>
      <c r="B952" s="350"/>
      <c r="C952"/>
      <c r="D952"/>
      <c r="E952"/>
      <c r="F952"/>
      <c r="G952"/>
      <c r="H952"/>
      <c r="I952"/>
      <c r="J952"/>
      <c r="K952"/>
      <c r="L952"/>
      <c r="M952"/>
      <c r="N952"/>
      <c r="O952"/>
      <c r="P952"/>
    </row>
    <row r="953" spans="1:16" x14ac:dyDescent="0.4">
      <c r="A953"/>
      <c r="B953" s="350"/>
      <c r="C953"/>
      <c r="D953"/>
      <c r="E953"/>
      <c r="F953"/>
      <c r="G953"/>
      <c r="H953"/>
      <c r="I953"/>
      <c r="J953"/>
      <c r="K953"/>
      <c r="L953"/>
      <c r="M953"/>
      <c r="N953"/>
      <c r="O953"/>
      <c r="P953"/>
    </row>
    <row r="954" spans="1:16" x14ac:dyDescent="0.4">
      <c r="A954"/>
      <c r="B954" s="350"/>
      <c r="C954"/>
      <c r="D954"/>
      <c r="E954"/>
      <c r="F954"/>
      <c r="G954"/>
      <c r="H954"/>
      <c r="I954"/>
      <c r="J954"/>
      <c r="K954"/>
      <c r="L954"/>
      <c r="M954"/>
      <c r="N954"/>
      <c r="O954"/>
      <c r="P954"/>
    </row>
    <row r="955" spans="1:16" x14ac:dyDescent="0.4">
      <c r="A955"/>
      <c r="B955" s="350"/>
      <c r="C955"/>
      <c r="D955"/>
      <c r="E955"/>
      <c r="F955"/>
      <c r="G955"/>
      <c r="H955"/>
      <c r="I955"/>
      <c r="J955"/>
      <c r="K955"/>
      <c r="L955"/>
      <c r="M955"/>
      <c r="N955"/>
      <c r="O955"/>
      <c r="P955"/>
    </row>
    <row r="956" spans="1:16" x14ac:dyDescent="0.4">
      <c r="A956"/>
      <c r="B956" s="350"/>
      <c r="C956"/>
      <c r="D956"/>
      <c r="E956"/>
      <c r="F956"/>
      <c r="G956"/>
      <c r="H956"/>
      <c r="I956"/>
      <c r="J956"/>
      <c r="K956"/>
      <c r="L956"/>
      <c r="M956"/>
      <c r="N956"/>
      <c r="O956"/>
      <c r="P956"/>
    </row>
    <row r="957" spans="1:16" x14ac:dyDescent="0.4">
      <c r="A957"/>
      <c r="B957" s="350"/>
      <c r="C957"/>
      <c r="D957"/>
      <c r="E957"/>
      <c r="F957"/>
      <c r="G957"/>
      <c r="H957"/>
      <c r="I957"/>
      <c r="J957"/>
      <c r="K957"/>
      <c r="L957"/>
      <c r="M957"/>
      <c r="N957"/>
      <c r="O957"/>
      <c r="P957"/>
    </row>
    <row r="958" spans="1:16" x14ac:dyDescent="0.4">
      <c r="A958"/>
      <c r="B958" s="350"/>
      <c r="C958"/>
      <c r="D958"/>
      <c r="E958"/>
      <c r="F958"/>
      <c r="G958"/>
      <c r="H958"/>
      <c r="I958"/>
      <c r="J958"/>
      <c r="K958"/>
      <c r="L958"/>
      <c r="M958"/>
      <c r="N958"/>
      <c r="O958"/>
      <c r="P958"/>
    </row>
    <row r="959" spans="1:16" x14ac:dyDescent="0.4">
      <c r="A959"/>
      <c r="B959" s="350"/>
      <c r="C959"/>
      <c r="D959"/>
      <c r="E959"/>
      <c r="F959"/>
      <c r="G959"/>
      <c r="H959"/>
      <c r="I959"/>
      <c r="J959"/>
      <c r="K959"/>
      <c r="L959"/>
      <c r="M959"/>
      <c r="N959"/>
      <c r="O959"/>
      <c r="P959"/>
    </row>
    <row r="960" spans="1:16" x14ac:dyDescent="0.4">
      <c r="A960"/>
      <c r="B960" s="350"/>
      <c r="C960"/>
      <c r="D960"/>
      <c r="E960"/>
      <c r="F960"/>
      <c r="G960"/>
      <c r="H960"/>
      <c r="I960"/>
      <c r="J960"/>
      <c r="K960"/>
      <c r="L960"/>
      <c r="M960"/>
      <c r="N960"/>
      <c r="O960"/>
      <c r="P960"/>
    </row>
    <row r="961" spans="1:16" x14ac:dyDescent="0.4">
      <c r="A961"/>
      <c r="B961" s="350"/>
      <c r="C961"/>
      <c r="D961"/>
      <c r="E961"/>
      <c r="F961"/>
      <c r="G961"/>
      <c r="H961"/>
      <c r="I961"/>
      <c r="J961"/>
      <c r="K961"/>
      <c r="L961"/>
      <c r="M961"/>
      <c r="N961"/>
      <c r="O961"/>
      <c r="P961"/>
    </row>
    <row r="962" spans="1:16" x14ac:dyDescent="0.4">
      <c r="A962"/>
      <c r="B962" s="350"/>
      <c r="C962"/>
      <c r="D962"/>
      <c r="E962"/>
      <c r="F962"/>
      <c r="G962"/>
      <c r="H962"/>
      <c r="I962"/>
      <c r="J962"/>
      <c r="K962"/>
      <c r="L962"/>
      <c r="M962"/>
      <c r="N962"/>
      <c r="O962"/>
      <c r="P962"/>
    </row>
    <row r="963" spans="1:16" x14ac:dyDescent="0.4">
      <c r="A963"/>
      <c r="B963" s="350"/>
      <c r="C963"/>
      <c r="D963"/>
      <c r="E963"/>
      <c r="F963"/>
      <c r="G963"/>
      <c r="H963"/>
      <c r="I963"/>
      <c r="J963"/>
      <c r="K963"/>
      <c r="L963"/>
      <c r="M963"/>
      <c r="N963"/>
      <c r="O963"/>
      <c r="P963"/>
    </row>
    <row r="964" spans="1:16" x14ac:dyDescent="0.4">
      <c r="A964"/>
      <c r="B964" s="350"/>
      <c r="C964"/>
      <c r="D964"/>
      <c r="E964"/>
      <c r="F964"/>
      <c r="G964"/>
      <c r="H964"/>
      <c r="I964"/>
      <c r="J964"/>
      <c r="K964"/>
      <c r="L964"/>
      <c r="M964"/>
      <c r="N964"/>
      <c r="O964"/>
      <c r="P964"/>
    </row>
    <row r="965" spans="1:16" x14ac:dyDescent="0.4">
      <c r="A965"/>
      <c r="B965" s="350"/>
      <c r="C965"/>
      <c r="D965"/>
      <c r="E965"/>
      <c r="F965"/>
      <c r="G965"/>
      <c r="H965"/>
      <c r="I965"/>
      <c r="J965"/>
      <c r="K965"/>
      <c r="L965"/>
      <c r="M965"/>
      <c r="N965"/>
      <c r="O965"/>
      <c r="P965"/>
    </row>
    <row r="966" spans="1:16" x14ac:dyDescent="0.4">
      <c r="A966"/>
      <c r="B966" s="350"/>
      <c r="C966"/>
      <c r="D966"/>
      <c r="E966"/>
      <c r="F966"/>
      <c r="G966"/>
      <c r="H966"/>
      <c r="I966"/>
      <c r="J966"/>
      <c r="K966"/>
      <c r="L966"/>
      <c r="M966"/>
      <c r="N966"/>
      <c r="O966"/>
      <c r="P966"/>
    </row>
    <row r="967" spans="1:16" x14ac:dyDescent="0.4">
      <c r="A967"/>
      <c r="B967" s="350"/>
      <c r="C967"/>
      <c r="D967"/>
      <c r="E967"/>
      <c r="F967"/>
      <c r="G967"/>
      <c r="H967"/>
      <c r="I967"/>
      <c r="J967"/>
      <c r="K967"/>
      <c r="L967"/>
      <c r="M967"/>
      <c r="N967"/>
      <c r="O967"/>
      <c r="P967"/>
    </row>
    <row r="968" spans="1:16" x14ac:dyDescent="0.4">
      <c r="A968"/>
      <c r="B968" s="350"/>
      <c r="C968"/>
      <c r="D968"/>
      <c r="E968"/>
      <c r="F968"/>
      <c r="G968"/>
      <c r="H968"/>
      <c r="I968"/>
      <c r="J968"/>
      <c r="K968"/>
      <c r="L968"/>
      <c r="M968"/>
      <c r="N968"/>
      <c r="O968"/>
      <c r="P968"/>
    </row>
    <row r="969" spans="1:16" x14ac:dyDescent="0.4">
      <c r="A969"/>
      <c r="B969" s="350"/>
      <c r="C969"/>
      <c r="D969"/>
      <c r="E969"/>
      <c r="F969"/>
      <c r="G969"/>
      <c r="H969"/>
      <c r="I969"/>
      <c r="J969"/>
      <c r="K969"/>
      <c r="L969"/>
      <c r="M969"/>
      <c r="N969"/>
      <c r="O969"/>
      <c r="P969"/>
    </row>
    <row r="970" spans="1:16" x14ac:dyDescent="0.4">
      <c r="A970"/>
      <c r="B970" s="350"/>
      <c r="C970"/>
      <c r="D970"/>
      <c r="E970"/>
      <c r="F970"/>
      <c r="G970"/>
      <c r="H970"/>
      <c r="I970"/>
      <c r="J970"/>
      <c r="K970"/>
      <c r="L970"/>
      <c r="M970"/>
      <c r="N970"/>
      <c r="O970"/>
      <c r="P970"/>
    </row>
    <row r="971" spans="1:16" x14ac:dyDescent="0.4">
      <c r="A971"/>
      <c r="B971" s="350"/>
      <c r="C971"/>
      <c r="D971"/>
      <c r="E971"/>
      <c r="F971"/>
      <c r="G971"/>
      <c r="H971"/>
      <c r="I971"/>
      <c r="J971"/>
      <c r="K971"/>
      <c r="L971"/>
      <c r="M971"/>
      <c r="N971"/>
      <c r="O971"/>
      <c r="P971"/>
    </row>
    <row r="972" spans="1:16" x14ac:dyDescent="0.4">
      <c r="A972"/>
      <c r="B972" s="350"/>
      <c r="C972"/>
      <c r="D972"/>
      <c r="E972"/>
      <c r="F972"/>
      <c r="G972"/>
      <c r="H972"/>
      <c r="I972"/>
      <c r="J972"/>
      <c r="K972"/>
      <c r="L972"/>
      <c r="M972"/>
      <c r="N972"/>
      <c r="O972"/>
      <c r="P972"/>
    </row>
    <row r="973" spans="1:16" x14ac:dyDescent="0.4">
      <c r="A973"/>
      <c r="B973" s="350"/>
      <c r="C973"/>
      <c r="D973"/>
      <c r="E973"/>
      <c r="F973"/>
      <c r="G973"/>
      <c r="H973"/>
      <c r="I973"/>
      <c r="J973"/>
      <c r="K973"/>
      <c r="L973"/>
      <c r="M973"/>
      <c r="N973"/>
      <c r="O973"/>
      <c r="P973"/>
    </row>
    <row r="974" spans="1:16" x14ac:dyDescent="0.4">
      <c r="A974"/>
      <c r="B974" s="350"/>
      <c r="C974"/>
      <c r="D974"/>
      <c r="E974"/>
      <c r="F974"/>
      <c r="G974"/>
      <c r="H974"/>
      <c r="I974"/>
      <c r="J974"/>
      <c r="K974"/>
      <c r="L974"/>
      <c r="M974"/>
      <c r="N974"/>
      <c r="O974"/>
      <c r="P974"/>
    </row>
    <row r="975" spans="1:16" x14ac:dyDescent="0.4">
      <c r="A975"/>
      <c r="B975" s="350"/>
      <c r="C975"/>
      <c r="D975"/>
      <c r="E975"/>
      <c r="F975"/>
      <c r="G975"/>
      <c r="H975"/>
      <c r="I975"/>
      <c r="J975"/>
      <c r="K975"/>
      <c r="L975"/>
      <c r="M975"/>
      <c r="N975"/>
      <c r="O975"/>
      <c r="P975"/>
    </row>
    <row r="976" spans="1:16" x14ac:dyDescent="0.4">
      <c r="A976"/>
      <c r="B976" s="350"/>
      <c r="C976"/>
      <c r="D976"/>
      <c r="E976"/>
      <c r="F976"/>
      <c r="G976"/>
      <c r="H976"/>
      <c r="I976"/>
      <c r="J976"/>
      <c r="K976"/>
      <c r="L976"/>
      <c r="M976"/>
      <c r="N976"/>
      <c r="O976"/>
      <c r="P976"/>
    </row>
    <row r="977" spans="1:16" x14ac:dyDescent="0.4">
      <c r="A977"/>
      <c r="B977" s="350"/>
      <c r="C977"/>
      <c r="D977"/>
      <c r="E977"/>
      <c r="F977"/>
      <c r="G977"/>
      <c r="H977"/>
      <c r="I977"/>
      <c r="J977"/>
      <c r="K977"/>
      <c r="L977"/>
      <c r="M977"/>
      <c r="N977"/>
      <c r="O977"/>
      <c r="P977"/>
    </row>
    <row r="978" spans="1:16" x14ac:dyDescent="0.4">
      <c r="A978"/>
      <c r="B978" s="350"/>
      <c r="C978"/>
      <c r="D978"/>
      <c r="E978"/>
      <c r="F978"/>
      <c r="G978"/>
      <c r="H978"/>
      <c r="I978"/>
      <c r="J978"/>
      <c r="K978"/>
      <c r="L978"/>
      <c r="M978"/>
      <c r="N978"/>
      <c r="O978"/>
      <c r="P978"/>
    </row>
    <row r="979" spans="1:16" x14ac:dyDescent="0.4">
      <c r="A979"/>
      <c r="B979" s="350"/>
      <c r="C979"/>
      <c r="D979"/>
      <c r="E979"/>
      <c r="F979"/>
      <c r="G979"/>
      <c r="H979"/>
      <c r="I979"/>
      <c r="J979"/>
      <c r="K979"/>
      <c r="L979"/>
      <c r="M979"/>
      <c r="N979"/>
      <c r="O979"/>
      <c r="P979"/>
    </row>
    <row r="980" spans="1:16" x14ac:dyDescent="0.4">
      <c r="A980"/>
      <c r="B980" s="350"/>
      <c r="C980"/>
      <c r="D980"/>
      <c r="E980"/>
      <c r="F980"/>
      <c r="G980"/>
      <c r="H980"/>
      <c r="I980"/>
      <c r="J980"/>
      <c r="K980"/>
      <c r="L980"/>
      <c r="M980"/>
      <c r="N980"/>
      <c r="O980"/>
      <c r="P980"/>
    </row>
    <row r="981" spans="1:16" x14ac:dyDescent="0.4">
      <c r="A981"/>
      <c r="B981" s="350"/>
      <c r="C981"/>
      <c r="D981"/>
      <c r="E981"/>
      <c r="F981"/>
      <c r="G981"/>
      <c r="H981"/>
      <c r="I981"/>
      <c r="J981"/>
      <c r="K981"/>
      <c r="L981"/>
      <c r="M981"/>
      <c r="N981"/>
      <c r="O981"/>
      <c r="P981"/>
    </row>
    <row r="982" spans="1:16" x14ac:dyDescent="0.4">
      <c r="A982"/>
      <c r="B982" s="350"/>
      <c r="C982"/>
      <c r="D982"/>
      <c r="E982"/>
      <c r="F982"/>
      <c r="G982"/>
      <c r="H982"/>
      <c r="I982"/>
      <c r="J982"/>
      <c r="K982"/>
      <c r="L982"/>
      <c r="M982"/>
      <c r="N982"/>
      <c r="O982"/>
      <c r="P982"/>
    </row>
    <row r="983" spans="1:16" x14ac:dyDescent="0.4">
      <c r="A983"/>
      <c r="B983" s="350"/>
      <c r="C983"/>
      <c r="D983"/>
      <c r="E983"/>
      <c r="F983"/>
      <c r="G983"/>
      <c r="H983"/>
      <c r="I983"/>
      <c r="J983"/>
      <c r="K983"/>
      <c r="L983"/>
      <c r="M983"/>
      <c r="N983"/>
      <c r="O983"/>
      <c r="P983"/>
    </row>
    <row r="984" spans="1:16" x14ac:dyDescent="0.4">
      <c r="A984"/>
      <c r="B984" s="350"/>
      <c r="C984"/>
      <c r="D984"/>
      <c r="E984"/>
      <c r="F984"/>
      <c r="G984"/>
      <c r="H984"/>
      <c r="I984"/>
      <c r="J984"/>
      <c r="K984"/>
      <c r="L984"/>
      <c r="M984"/>
      <c r="N984"/>
      <c r="O984"/>
      <c r="P984"/>
    </row>
    <row r="985" spans="1:16" x14ac:dyDescent="0.4">
      <c r="A985"/>
      <c r="B985" s="350"/>
      <c r="C985"/>
      <c r="D985"/>
      <c r="E985"/>
      <c r="F985"/>
      <c r="G985"/>
      <c r="H985"/>
      <c r="I985"/>
      <c r="J985"/>
      <c r="K985"/>
      <c r="L985"/>
      <c r="M985"/>
      <c r="N985"/>
      <c r="O985"/>
      <c r="P985"/>
    </row>
    <row r="986" spans="1:16" x14ac:dyDescent="0.4">
      <c r="A986"/>
      <c r="B986" s="350"/>
      <c r="C986"/>
      <c r="D986"/>
      <c r="E986"/>
      <c r="F986"/>
      <c r="G986"/>
      <c r="H986"/>
      <c r="I986"/>
      <c r="J986"/>
      <c r="K986"/>
      <c r="L986"/>
      <c r="M986"/>
      <c r="N986"/>
      <c r="O986"/>
      <c r="P986"/>
    </row>
    <row r="987" spans="1:16" x14ac:dyDescent="0.4">
      <c r="A987"/>
      <c r="B987" s="350"/>
      <c r="C987"/>
      <c r="D987"/>
      <c r="E987"/>
      <c r="F987"/>
      <c r="G987"/>
      <c r="H987"/>
      <c r="I987"/>
      <c r="J987"/>
      <c r="K987"/>
      <c r="L987"/>
      <c r="M987"/>
      <c r="N987"/>
      <c r="O987"/>
      <c r="P987"/>
    </row>
    <row r="988" spans="1:16" x14ac:dyDescent="0.4">
      <c r="A988"/>
      <c r="B988" s="350"/>
      <c r="C988"/>
      <c r="D988"/>
      <c r="E988"/>
      <c r="F988"/>
      <c r="G988"/>
      <c r="H988"/>
      <c r="I988"/>
      <c r="J988"/>
      <c r="K988"/>
      <c r="L988"/>
      <c r="M988"/>
      <c r="N988"/>
      <c r="O988"/>
      <c r="P988"/>
    </row>
    <row r="989" spans="1:16" x14ac:dyDescent="0.4">
      <c r="A989"/>
      <c r="B989" s="350"/>
      <c r="C989"/>
      <c r="D989"/>
      <c r="E989"/>
      <c r="F989"/>
      <c r="G989"/>
      <c r="H989"/>
      <c r="I989"/>
      <c r="J989"/>
      <c r="K989"/>
      <c r="L989"/>
      <c r="M989"/>
      <c r="N989"/>
      <c r="O989"/>
      <c r="P989"/>
    </row>
    <row r="990" spans="1:16" x14ac:dyDescent="0.4">
      <c r="A990"/>
      <c r="B990" s="350"/>
      <c r="C990"/>
      <c r="D990"/>
      <c r="E990"/>
      <c r="F990"/>
      <c r="G990"/>
      <c r="H990"/>
      <c r="I990"/>
      <c r="J990"/>
      <c r="K990"/>
      <c r="L990"/>
      <c r="M990"/>
      <c r="N990"/>
      <c r="O990"/>
      <c r="P990"/>
    </row>
    <row r="991" spans="1:16" x14ac:dyDescent="0.4">
      <c r="A991"/>
      <c r="B991" s="350"/>
      <c r="C991"/>
      <c r="D991"/>
      <c r="E991"/>
      <c r="F991"/>
      <c r="G991"/>
      <c r="H991"/>
      <c r="I991"/>
      <c r="J991"/>
      <c r="K991"/>
      <c r="L991"/>
      <c r="M991"/>
      <c r="N991"/>
      <c r="O991"/>
      <c r="P991"/>
    </row>
    <row r="992" spans="1:16" x14ac:dyDescent="0.4">
      <c r="A992"/>
      <c r="B992" s="350"/>
      <c r="C992"/>
      <c r="D992"/>
      <c r="E992"/>
      <c r="F992"/>
      <c r="G992"/>
      <c r="H992"/>
      <c r="I992"/>
      <c r="J992"/>
      <c r="K992"/>
      <c r="L992"/>
      <c r="M992"/>
      <c r="N992"/>
      <c r="O992"/>
      <c r="P992"/>
    </row>
    <row r="993" spans="1:16" x14ac:dyDescent="0.4">
      <c r="A993"/>
      <c r="B993" s="350"/>
      <c r="C993"/>
      <c r="D993"/>
      <c r="E993"/>
      <c r="F993"/>
      <c r="G993"/>
      <c r="H993"/>
      <c r="I993"/>
      <c r="J993"/>
      <c r="K993"/>
      <c r="L993"/>
      <c r="M993"/>
      <c r="N993"/>
      <c r="O993"/>
      <c r="P993"/>
    </row>
    <row r="994" spans="1:16" x14ac:dyDescent="0.4">
      <c r="A994"/>
      <c r="B994" s="350"/>
      <c r="C994"/>
      <c r="D994"/>
      <c r="E994"/>
      <c r="F994"/>
      <c r="G994"/>
      <c r="H994"/>
      <c r="I994"/>
      <c r="J994"/>
      <c r="K994"/>
      <c r="L994"/>
      <c r="M994"/>
      <c r="N994"/>
      <c r="O994"/>
      <c r="P994"/>
    </row>
    <row r="995" spans="1:16" x14ac:dyDescent="0.4">
      <c r="A995"/>
      <c r="B995" s="350"/>
      <c r="C995"/>
      <c r="D995"/>
      <c r="E995"/>
      <c r="F995"/>
      <c r="G995"/>
      <c r="H995"/>
      <c r="I995"/>
      <c r="J995"/>
      <c r="K995"/>
      <c r="L995"/>
      <c r="M995"/>
      <c r="N995"/>
      <c r="O995"/>
      <c r="P995"/>
    </row>
    <row r="996" spans="1:16" x14ac:dyDescent="0.4">
      <c r="A996"/>
      <c r="B996" s="350"/>
      <c r="C996"/>
      <c r="D996"/>
      <c r="E996"/>
      <c r="F996"/>
      <c r="G996"/>
      <c r="H996"/>
      <c r="I996"/>
      <c r="J996"/>
      <c r="K996"/>
      <c r="L996"/>
      <c r="M996"/>
      <c r="N996"/>
      <c r="O996"/>
      <c r="P996"/>
    </row>
    <row r="997" spans="1:16" x14ac:dyDescent="0.4">
      <c r="A997"/>
      <c r="B997" s="350"/>
      <c r="C997"/>
      <c r="D997"/>
      <c r="E997"/>
      <c r="F997"/>
      <c r="G997"/>
      <c r="H997"/>
      <c r="I997"/>
      <c r="J997"/>
      <c r="K997"/>
      <c r="L997"/>
      <c r="M997"/>
      <c r="N997"/>
      <c r="O997"/>
      <c r="P997"/>
    </row>
    <row r="998" spans="1:16" x14ac:dyDescent="0.4">
      <c r="A998"/>
      <c r="B998" s="350"/>
      <c r="C998"/>
      <c r="D998"/>
      <c r="E998"/>
      <c r="F998"/>
      <c r="G998"/>
      <c r="H998"/>
      <c r="I998"/>
      <c r="J998"/>
      <c r="K998"/>
      <c r="L998"/>
      <c r="M998"/>
      <c r="N998"/>
      <c r="O998"/>
      <c r="P998"/>
    </row>
    <row r="999" spans="1:16" x14ac:dyDescent="0.4">
      <c r="A999"/>
      <c r="B999" s="350"/>
      <c r="C999"/>
      <c r="D999"/>
      <c r="E999"/>
      <c r="F999"/>
      <c r="G999"/>
      <c r="H999"/>
      <c r="I999"/>
      <c r="J999"/>
      <c r="K999"/>
      <c r="L999"/>
      <c r="M999"/>
      <c r="N999"/>
      <c r="O999"/>
      <c r="P999"/>
    </row>
    <row r="1000" spans="1:16" x14ac:dyDescent="0.4">
      <c r="A1000"/>
      <c r="B1000" s="350"/>
      <c r="C1000"/>
      <c r="D1000"/>
      <c r="E1000"/>
      <c r="F1000"/>
      <c r="G1000"/>
      <c r="H1000"/>
      <c r="I1000"/>
      <c r="J1000"/>
      <c r="K1000"/>
      <c r="L1000"/>
      <c r="M1000"/>
      <c r="N1000"/>
      <c r="O1000"/>
      <c r="P1000"/>
    </row>
    <row r="1001" spans="1:16" x14ac:dyDescent="0.4">
      <c r="A1001"/>
      <c r="B1001" s="350"/>
      <c r="C1001"/>
      <c r="D1001"/>
      <c r="E1001"/>
      <c r="F1001"/>
      <c r="G1001"/>
      <c r="H1001"/>
      <c r="I1001"/>
      <c r="J1001"/>
      <c r="K1001"/>
      <c r="L1001"/>
      <c r="M1001"/>
      <c r="N1001"/>
      <c r="O1001"/>
      <c r="P1001"/>
    </row>
    <row r="1002" spans="1:16" x14ac:dyDescent="0.4">
      <c r="A1002"/>
      <c r="B1002" s="350"/>
      <c r="C1002"/>
      <c r="D1002"/>
      <c r="E1002"/>
      <c r="F1002"/>
      <c r="G1002"/>
      <c r="H1002"/>
      <c r="I1002"/>
      <c r="J1002"/>
      <c r="K1002"/>
      <c r="L1002"/>
      <c r="M1002"/>
      <c r="N1002"/>
      <c r="O1002"/>
      <c r="P1002"/>
    </row>
    <row r="1003" spans="1:16" x14ac:dyDescent="0.4">
      <c r="A1003"/>
      <c r="B1003" s="350"/>
      <c r="C1003"/>
      <c r="D1003"/>
      <c r="E1003"/>
      <c r="F1003"/>
      <c r="G1003"/>
      <c r="H1003"/>
      <c r="I1003"/>
      <c r="J1003"/>
      <c r="K1003"/>
      <c r="L1003"/>
      <c r="M1003"/>
      <c r="N1003"/>
      <c r="O1003"/>
      <c r="P1003"/>
    </row>
    <row r="1004" spans="1:16" x14ac:dyDescent="0.4">
      <c r="A1004"/>
      <c r="B1004" s="350"/>
      <c r="C1004"/>
      <c r="D1004"/>
      <c r="E1004"/>
      <c r="F1004"/>
      <c r="G1004"/>
      <c r="H1004"/>
      <c r="I1004"/>
      <c r="J1004"/>
      <c r="K1004"/>
      <c r="L1004"/>
      <c r="M1004"/>
      <c r="N1004"/>
      <c r="O1004"/>
      <c r="P1004"/>
    </row>
    <row r="1005" spans="1:16" x14ac:dyDescent="0.4">
      <c r="A1005"/>
      <c r="B1005" s="350"/>
      <c r="C1005"/>
      <c r="D1005"/>
      <c r="E1005"/>
      <c r="F1005"/>
      <c r="G1005"/>
      <c r="H1005"/>
      <c r="I1005"/>
      <c r="J1005"/>
      <c r="K1005"/>
      <c r="L1005"/>
      <c r="M1005"/>
      <c r="N1005"/>
      <c r="O1005"/>
      <c r="P1005"/>
    </row>
    <row r="1006" spans="1:16" x14ac:dyDescent="0.4">
      <c r="A1006"/>
      <c r="B1006" s="350"/>
      <c r="C1006"/>
      <c r="D1006"/>
      <c r="E1006"/>
      <c r="F1006"/>
      <c r="G1006"/>
      <c r="H1006"/>
      <c r="I1006"/>
      <c r="J1006"/>
      <c r="K1006"/>
      <c r="L1006"/>
      <c r="M1006"/>
      <c r="N1006"/>
      <c r="O1006"/>
      <c r="P1006"/>
    </row>
    <row r="1007" spans="1:16" x14ac:dyDescent="0.4">
      <c r="A1007"/>
      <c r="B1007" s="350"/>
      <c r="C1007"/>
      <c r="D1007"/>
      <c r="E1007"/>
      <c r="F1007"/>
      <c r="G1007"/>
      <c r="H1007"/>
      <c r="I1007"/>
      <c r="J1007"/>
      <c r="K1007"/>
      <c r="L1007"/>
      <c r="M1007"/>
      <c r="N1007"/>
      <c r="O1007"/>
      <c r="P1007"/>
    </row>
    <row r="1008" spans="1:16" x14ac:dyDescent="0.4">
      <c r="A1008"/>
      <c r="B1008" s="350"/>
      <c r="C1008"/>
      <c r="D1008"/>
      <c r="E1008"/>
      <c r="F1008"/>
      <c r="G1008"/>
      <c r="H1008"/>
      <c r="I1008"/>
      <c r="J1008"/>
      <c r="K1008"/>
      <c r="L1008"/>
      <c r="M1008"/>
      <c r="N1008"/>
      <c r="O1008"/>
      <c r="P1008"/>
    </row>
    <row r="1009" spans="1:16" x14ac:dyDescent="0.4">
      <c r="A1009"/>
      <c r="B1009" s="350"/>
      <c r="C1009"/>
      <c r="D1009"/>
      <c r="E1009"/>
      <c r="F1009"/>
      <c r="G1009"/>
      <c r="H1009"/>
      <c r="I1009"/>
      <c r="J1009"/>
      <c r="K1009"/>
      <c r="L1009"/>
      <c r="M1009"/>
      <c r="N1009"/>
      <c r="O1009"/>
      <c r="P1009"/>
    </row>
    <row r="1010" spans="1:16" x14ac:dyDescent="0.4">
      <c r="A1010"/>
      <c r="B1010" s="350"/>
      <c r="C1010"/>
      <c r="D1010"/>
      <c r="E1010"/>
      <c r="F1010"/>
      <c r="G1010"/>
      <c r="H1010"/>
      <c r="I1010"/>
      <c r="J1010"/>
      <c r="K1010"/>
      <c r="L1010"/>
      <c r="M1010"/>
      <c r="N1010"/>
      <c r="O1010"/>
      <c r="P1010"/>
    </row>
    <row r="1011" spans="1:16" x14ac:dyDescent="0.4">
      <c r="A1011"/>
      <c r="B1011" s="350"/>
      <c r="C1011"/>
      <c r="D1011"/>
      <c r="E1011"/>
      <c r="F1011"/>
      <c r="G1011"/>
      <c r="H1011"/>
      <c r="I1011"/>
      <c r="J1011"/>
      <c r="K1011"/>
      <c r="L1011"/>
      <c r="M1011"/>
      <c r="N1011"/>
      <c r="O1011"/>
      <c r="P1011"/>
    </row>
    <row r="1012" spans="1:16" x14ac:dyDescent="0.4">
      <c r="A1012"/>
      <c r="B1012" s="350"/>
      <c r="C1012"/>
      <c r="D1012"/>
      <c r="E1012"/>
      <c r="F1012"/>
      <c r="G1012"/>
      <c r="H1012"/>
      <c r="I1012"/>
      <c r="J1012"/>
      <c r="K1012"/>
      <c r="L1012"/>
      <c r="M1012"/>
      <c r="N1012"/>
      <c r="O1012"/>
      <c r="P1012"/>
    </row>
    <row r="1013" spans="1:16" x14ac:dyDescent="0.4">
      <c r="A1013"/>
      <c r="B1013" s="350"/>
      <c r="C1013"/>
      <c r="D1013"/>
      <c r="E1013"/>
      <c r="F1013"/>
      <c r="G1013"/>
      <c r="H1013"/>
      <c r="I1013"/>
      <c r="J1013"/>
      <c r="K1013"/>
      <c r="L1013"/>
      <c r="M1013"/>
      <c r="N1013"/>
      <c r="O1013"/>
      <c r="P1013"/>
    </row>
    <row r="1014" spans="1:16" x14ac:dyDescent="0.4">
      <c r="A1014"/>
      <c r="B1014" s="350"/>
      <c r="C1014"/>
      <c r="D1014"/>
      <c r="E1014"/>
      <c r="F1014"/>
      <c r="G1014"/>
      <c r="H1014"/>
      <c r="I1014"/>
      <c r="J1014"/>
      <c r="K1014"/>
      <c r="L1014"/>
      <c r="M1014"/>
      <c r="N1014"/>
      <c r="O1014"/>
      <c r="P1014"/>
    </row>
    <row r="1015" spans="1:16" x14ac:dyDescent="0.4">
      <c r="A1015"/>
      <c r="B1015" s="350"/>
      <c r="C1015"/>
      <c r="D1015"/>
      <c r="E1015"/>
      <c r="F1015"/>
      <c r="G1015"/>
      <c r="H1015"/>
      <c r="I1015"/>
      <c r="J1015"/>
      <c r="K1015"/>
      <c r="L1015"/>
      <c r="M1015"/>
      <c r="N1015"/>
      <c r="O1015"/>
      <c r="P1015"/>
    </row>
    <row r="1016" spans="1:16" x14ac:dyDescent="0.4">
      <c r="A1016"/>
      <c r="B1016" s="350"/>
      <c r="C1016"/>
      <c r="D1016"/>
      <c r="E1016"/>
      <c r="F1016"/>
      <c r="G1016"/>
      <c r="H1016"/>
      <c r="I1016"/>
      <c r="J1016"/>
      <c r="K1016"/>
      <c r="L1016"/>
      <c r="M1016"/>
      <c r="N1016"/>
      <c r="O1016"/>
      <c r="P1016"/>
    </row>
    <row r="1017" spans="1:16" x14ac:dyDescent="0.4">
      <c r="A1017"/>
      <c r="B1017" s="350"/>
      <c r="C1017"/>
      <c r="D1017"/>
      <c r="E1017"/>
      <c r="F1017"/>
      <c r="G1017"/>
      <c r="H1017"/>
      <c r="I1017"/>
      <c r="J1017"/>
      <c r="K1017"/>
      <c r="L1017"/>
      <c r="M1017"/>
      <c r="N1017"/>
      <c r="O1017"/>
      <c r="P1017"/>
    </row>
    <row r="1018" spans="1:16" x14ac:dyDescent="0.4">
      <c r="A1018"/>
      <c r="B1018" s="350"/>
      <c r="C1018"/>
      <c r="D1018"/>
      <c r="E1018"/>
      <c r="F1018"/>
      <c r="G1018"/>
      <c r="H1018"/>
      <c r="I1018"/>
      <c r="J1018"/>
      <c r="K1018"/>
      <c r="L1018"/>
      <c r="M1018"/>
      <c r="N1018"/>
      <c r="O1018"/>
      <c r="P1018"/>
    </row>
    <row r="1019" spans="1:16" x14ac:dyDescent="0.4">
      <c r="A1019"/>
      <c r="B1019" s="350"/>
      <c r="C1019"/>
      <c r="D1019"/>
      <c r="E1019"/>
      <c r="F1019"/>
      <c r="G1019"/>
      <c r="H1019"/>
      <c r="I1019"/>
      <c r="J1019"/>
      <c r="K1019"/>
      <c r="L1019"/>
      <c r="M1019"/>
      <c r="N1019"/>
      <c r="O1019"/>
      <c r="P1019"/>
    </row>
    <row r="1020" spans="1:16" x14ac:dyDescent="0.4">
      <c r="A1020"/>
      <c r="B1020" s="350"/>
      <c r="C1020"/>
      <c r="D1020"/>
      <c r="E1020"/>
      <c r="F1020"/>
      <c r="G1020"/>
      <c r="H1020"/>
      <c r="I1020"/>
      <c r="J1020"/>
      <c r="K1020"/>
      <c r="L1020"/>
      <c r="M1020"/>
      <c r="N1020"/>
      <c r="O1020"/>
      <c r="P1020"/>
    </row>
    <row r="1021" spans="1:16" x14ac:dyDescent="0.4">
      <c r="A1021"/>
      <c r="B1021" s="350"/>
      <c r="C1021"/>
      <c r="D1021"/>
      <c r="E1021"/>
      <c r="F1021"/>
      <c r="G1021"/>
      <c r="H1021"/>
      <c r="I1021"/>
      <c r="J1021"/>
      <c r="K1021"/>
      <c r="L1021"/>
      <c r="M1021"/>
      <c r="N1021"/>
      <c r="O1021"/>
      <c r="P1021"/>
    </row>
    <row r="1022" spans="1:16" x14ac:dyDescent="0.4">
      <c r="A1022"/>
      <c r="B1022" s="350"/>
      <c r="C1022"/>
      <c r="D1022"/>
      <c r="E1022"/>
      <c r="F1022"/>
      <c r="G1022"/>
      <c r="H1022"/>
      <c r="I1022"/>
      <c r="J1022"/>
      <c r="K1022"/>
      <c r="L1022"/>
      <c r="M1022"/>
      <c r="N1022"/>
      <c r="O1022"/>
      <c r="P1022"/>
    </row>
    <row r="1023" spans="1:16" x14ac:dyDescent="0.4">
      <c r="A1023"/>
      <c r="B1023" s="350"/>
      <c r="C1023"/>
      <c r="D1023"/>
      <c r="E1023"/>
      <c r="F1023"/>
      <c r="G1023"/>
      <c r="H1023"/>
      <c r="I1023"/>
      <c r="J1023"/>
      <c r="K1023"/>
      <c r="L1023"/>
      <c r="M1023"/>
      <c r="N1023"/>
      <c r="O1023"/>
      <c r="P1023"/>
    </row>
    <row r="1024" spans="1:16" x14ac:dyDescent="0.4">
      <c r="A1024"/>
      <c r="B1024" s="350"/>
      <c r="C1024"/>
      <c r="D1024"/>
      <c r="E1024"/>
      <c r="F1024"/>
      <c r="G1024"/>
      <c r="H1024"/>
      <c r="I1024"/>
      <c r="J1024"/>
      <c r="K1024"/>
      <c r="L1024"/>
      <c r="M1024"/>
      <c r="N1024"/>
      <c r="O1024"/>
      <c r="P1024"/>
    </row>
    <row r="1025" spans="1:16" x14ac:dyDescent="0.4">
      <c r="A1025"/>
      <c r="B1025" s="350"/>
      <c r="C1025"/>
      <c r="D1025"/>
      <c r="E1025"/>
      <c r="F1025"/>
      <c r="G1025"/>
      <c r="H1025"/>
      <c r="I1025"/>
      <c r="J1025"/>
      <c r="K1025"/>
      <c r="L1025"/>
      <c r="M1025"/>
      <c r="N1025"/>
      <c r="O1025"/>
      <c r="P1025"/>
    </row>
    <row r="1026" spans="1:16" x14ac:dyDescent="0.4">
      <c r="A1026"/>
      <c r="B1026" s="350"/>
      <c r="C1026"/>
      <c r="D1026"/>
      <c r="E1026"/>
      <c r="F1026"/>
      <c r="G1026"/>
      <c r="H1026"/>
      <c r="I1026"/>
      <c r="J1026"/>
      <c r="K1026"/>
      <c r="L1026"/>
      <c r="M1026"/>
      <c r="N1026"/>
      <c r="O1026"/>
      <c r="P1026"/>
    </row>
    <row r="1027" spans="1:16" x14ac:dyDescent="0.4">
      <c r="A1027"/>
      <c r="B1027" s="350"/>
      <c r="C1027"/>
      <c r="D1027"/>
      <c r="E1027"/>
      <c r="F1027"/>
      <c r="G1027"/>
      <c r="H1027"/>
      <c r="I1027"/>
      <c r="J1027"/>
      <c r="K1027"/>
      <c r="L1027"/>
      <c r="M1027"/>
      <c r="N1027"/>
      <c r="O1027"/>
      <c r="P1027"/>
    </row>
    <row r="1028" spans="1:16" x14ac:dyDescent="0.4">
      <c r="A1028"/>
      <c r="B1028" s="350"/>
      <c r="C1028"/>
      <c r="D1028"/>
      <c r="E1028"/>
      <c r="F1028"/>
      <c r="G1028"/>
      <c r="H1028"/>
      <c r="I1028"/>
      <c r="J1028"/>
      <c r="K1028"/>
      <c r="L1028"/>
      <c r="M1028"/>
      <c r="N1028"/>
      <c r="O1028"/>
      <c r="P1028"/>
    </row>
    <row r="1029" spans="1:16" x14ac:dyDescent="0.4">
      <c r="A1029"/>
      <c r="B1029" s="350"/>
      <c r="C1029"/>
      <c r="D1029"/>
      <c r="E1029"/>
      <c r="F1029"/>
      <c r="G1029"/>
      <c r="H1029"/>
      <c r="I1029"/>
      <c r="J1029"/>
      <c r="K1029"/>
      <c r="L1029"/>
      <c r="M1029"/>
      <c r="N1029"/>
      <c r="O1029"/>
      <c r="P1029"/>
    </row>
    <row r="1030" spans="1:16" x14ac:dyDescent="0.4">
      <c r="A1030"/>
      <c r="B1030" s="350"/>
      <c r="C1030"/>
      <c r="D1030"/>
      <c r="E1030"/>
      <c r="F1030"/>
      <c r="G1030"/>
      <c r="H1030"/>
      <c r="I1030"/>
      <c r="J1030"/>
      <c r="K1030"/>
      <c r="L1030"/>
      <c r="M1030"/>
      <c r="N1030"/>
      <c r="O1030"/>
      <c r="P1030"/>
    </row>
    <row r="1031" spans="1:16" x14ac:dyDescent="0.4">
      <c r="A1031"/>
      <c r="B1031" s="350"/>
      <c r="C1031"/>
      <c r="D1031"/>
      <c r="E1031"/>
      <c r="F1031"/>
      <c r="G1031"/>
      <c r="H1031"/>
      <c r="I1031"/>
      <c r="J1031"/>
      <c r="K1031"/>
      <c r="L1031"/>
      <c r="M1031"/>
      <c r="N1031"/>
      <c r="O1031"/>
      <c r="P1031"/>
    </row>
    <row r="1032" spans="1:16" x14ac:dyDescent="0.4">
      <c r="A1032"/>
      <c r="B1032" s="350"/>
      <c r="C1032"/>
      <c r="D1032"/>
      <c r="E1032"/>
      <c r="F1032"/>
      <c r="G1032"/>
      <c r="H1032"/>
      <c r="I1032"/>
      <c r="J1032"/>
      <c r="K1032"/>
      <c r="L1032"/>
      <c r="M1032"/>
      <c r="N1032"/>
      <c r="O1032"/>
      <c r="P1032"/>
    </row>
    <row r="1033" spans="1:16" x14ac:dyDescent="0.4">
      <c r="A1033"/>
      <c r="B1033" s="350"/>
      <c r="C1033"/>
      <c r="D1033"/>
      <c r="E1033"/>
      <c r="F1033"/>
      <c r="G1033"/>
      <c r="H1033"/>
      <c r="I1033"/>
      <c r="J1033"/>
      <c r="K1033"/>
      <c r="L1033"/>
      <c r="M1033"/>
      <c r="N1033"/>
      <c r="O1033"/>
      <c r="P1033"/>
    </row>
    <row r="1034" spans="1:16" x14ac:dyDescent="0.4">
      <c r="A1034"/>
      <c r="B1034" s="350"/>
      <c r="C1034"/>
      <c r="D1034"/>
      <c r="E1034"/>
      <c r="F1034"/>
      <c r="G1034"/>
      <c r="H1034"/>
      <c r="I1034"/>
      <c r="J1034"/>
      <c r="K1034"/>
      <c r="L1034"/>
      <c r="M1034"/>
      <c r="N1034"/>
      <c r="O1034"/>
      <c r="P1034"/>
    </row>
    <row r="1035" spans="1:16" x14ac:dyDescent="0.4">
      <c r="A1035"/>
      <c r="B1035" s="350"/>
      <c r="C1035"/>
      <c r="D1035"/>
      <c r="E1035"/>
      <c r="F1035"/>
      <c r="G1035"/>
      <c r="H1035"/>
      <c r="I1035"/>
      <c r="J1035"/>
      <c r="K1035"/>
      <c r="L1035"/>
      <c r="M1035"/>
      <c r="N1035"/>
      <c r="O1035"/>
      <c r="P1035"/>
    </row>
    <row r="1036" spans="1:16" x14ac:dyDescent="0.4">
      <c r="A1036"/>
      <c r="B1036" s="350"/>
      <c r="C1036"/>
      <c r="D1036"/>
      <c r="E1036"/>
      <c r="F1036"/>
      <c r="G1036"/>
      <c r="H1036"/>
      <c r="I1036"/>
      <c r="J1036"/>
      <c r="K1036"/>
      <c r="L1036"/>
      <c r="M1036"/>
      <c r="N1036"/>
      <c r="O1036"/>
      <c r="P1036"/>
    </row>
    <row r="1037" spans="1:16" x14ac:dyDescent="0.4">
      <c r="A1037"/>
      <c r="B1037" s="350"/>
      <c r="C1037"/>
      <c r="D1037"/>
      <c r="E1037"/>
      <c r="F1037"/>
      <c r="G1037"/>
      <c r="H1037"/>
      <c r="I1037"/>
      <c r="J1037"/>
      <c r="K1037"/>
      <c r="L1037"/>
      <c r="M1037"/>
      <c r="N1037"/>
      <c r="O1037"/>
      <c r="P1037"/>
    </row>
    <row r="1038" spans="1:16" x14ac:dyDescent="0.4">
      <c r="A1038"/>
      <c r="B1038" s="350"/>
      <c r="C1038"/>
      <c r="D1038"/>
      <c r="E1038"/>
      <c r="F1038"/>
      <c r="G1038"/>
      <c r="H1038"/>
      <c r="I1038"/>
      <c r="J1038"/>
      <c r="K1038"/>
      <c r="L1038"/>
      <c r="M1038"/>
      <c r="N1038"/>
      <c r="O1038"/>
      <c r="P1038"/>
    </row>
    <row r="1039" spans="1:16" x14ac:dyDescent="0.4">
      <c r="A1039"/>
      <c r="B1039" s="350"/>
      <c r="C1039"/>
      <c r="D1039"/>
      <c r="E1039"/>
      <c r="F1039"/>
      <c r="G1039"/>
      <c r="H1039"/>
      <c r="I1039"/>
      <c r="J1039"/>
      <c r="K1039"/>
      <c r="L1039"/>
      <c r="M1039"/>
      <c r="N1039"/>
      <c r="O1039"/>
      <c r="P1039"/>
    </row>
    <row r="1040" spans="1:16" x14ac:dyDescent="0.4">
      <c r="A1040"/>
      <c r="B1040" s="350"/>
      <c r="C1040"/>
      <c r="D1040"/>
      <c r="E1040"/>
      <c r="F1040"/>
      <c r="G1040"/>
      <c r="H1040"/>
      <c r="I1040"/>
      <c r="J1040"/>
      <c r="K1040"/>
      <c r="L1040"/>
      <c r="M1040"/>
      <c r="N1040"/>
      <c r="O1040"/>
      <c r="P1040"/>
    </row>
    <row r="1041" spans="1:16" x14ac:dyDescent="0.4">
      <c r="A1041"/>
      <c r="B1041" s="350"/>
      <c r="C1041"/>
      <c r="D1041"/>
      <c r="E1041"/>
      <c r="F1041"/>
      <c r="G1041"/>
      <c r="H1041"/>
      <c r="I1041"/>
      <c r="J1041"/>
      <c r="K1041"/>
      <c r="L1041"/>
      <c r="M1041"/>
      <c r="N1041"/>
      <c r="O1041"/>
      <c r="P1041"/>
    </row>
    <row r="1042" spans="1:16" x14ac:dyDescent="0.4">
      <c r="A1042"/>
      <c r="B1042" s="350"/>
      <c r="C1042"/>
      <c r="D1042"/>
      <c r="E1042"/>
      <c r="F1042"/>
      <c r="G1042"/>
      <c r="H1042"/>
      <c r="I1042"/>
      <c r="J1042"/>
      <c r="K1042"/>
      <c r="L1042"/>
      <c r="M1042"/>
      <c r="N1042"/>
      <c r="O1042"/>
      <c r="P1042"/>
    </row>
    <row r="1043" spans="1:16" x14ac:dyDescent="0.4">
      <c r="A1043"/>
      <c r="B1043" s="350"/>
      <c r="C1043"/>
      <c r="D1043"/>
      <c r="E1043"/>
      <c r="F1043"/>
      <c r="G1043"/>
      <c r="H1043"/>
      <c r="I1043"/>
      <c r="J1043"/>
      <c r="K1043"/>
      <c r="L1043"/>
      <c r="M1043"/>
      <c r="N1043"/>
      <c r="O1043"/>
      <c r="P1043"/>
    </row>
    <row r="1044" spans="1:16" x14ac:dyDescent="0.4">
      <c r="A1044"/>
      <c r="B1044" s="350"/>
      <c r="C1044"/>
      <c r="D1044"/>
      <c r="E1044"/>
      <c r="F1044"/>
      <c r="G1044"/>
      <c r="H1044"/>
      <c r="I1044"/>
      <c r="J1044"/>
      <c r="K1044"/>
      <c r="L1044"/>
      <c r="M1044"/>
      <c r="N1044"/>
      <c r="O1044"/>
      <c r="P1044"/>
    </row>
    <row r="1045" spans="1:16" x14ac:dyDescent="0.4">
      <c r="A1045"/>
      <c r="B1045" s="350"/>
      <c r="C1045"/>
      <c r="D1045"/>
      <c r="E1045"/>
      <c r="F1045"/>
      <c r="G1045"/>
      <c r="H1045"/>
      <c r="I1045"/>
      <c r="J1045"/>
      <c r="K1045"/>
      <c r="L1045"/>
      <c r="M1045"/>
      <c r="N1045"/>
      <c r="O1045"/>
      <c r="P1045"/>
    </row>
    <row r="1046" spans="1:16" x14ac:dyDescent="0.4">
      <c r="A1046"/>
      <c r="B1046" s="350"/>
      <c r="C1046"/>
      <c r="D1046"/>
      <c r="E1046"/>
      <c r="F1046"/>
      <c r="G1046"/>
      <c r="H1046"/>
      <c r="I1046"/>
      <c r="J1046"/>
      <c r="K1046"/>
      <c r="L1046"/>
      <c r="M1046"/>
      <c r="N1046"/>
      <c r="O1046"/>
      <c r="P1046"/>
    </row>
    <row r="1047" spans="1:16" x14ac:dyDescent="0.4">
      <c r="A1047"/>
      <c r="B1047" s="350"/>
      <c r="C1047"/>
      <c r="D1047"/>
      <c r="E1047"/>
      <c r="F1047"/>
      <c r="G1047"/>
      <c r="H1047"/>
      <c r="I1047"/>
      <c r="J1047"/>
      <c r="K1047"/>
      <c r="L1047"/>
      <c r="M1047"/>
      <c r="N1047"/>
      <c r="O1047"/>
      <c r="P1047"/>
    </row>
    <row r="1048" spans="1:16" x14ac:dyDescent="0.4">
      <c r="A1048"/>
      <c r="B1048" s="350"/>
      <c r="C1048"/>
      <c r="D1048"/>
      <c r="E1048"/>
      <c r="F1048"/>
      <c r="G1048"/>
      <c r="H1048"/>
      <c r="I1048"/>
      <c r="J1048"/>
      <c r="K1048"/>
      <c r="L1048"/>
      <c r="M1048"/>
      <c r="N1048"/>
      <c r="O1048"/>
      <c r="P1048"/>
    </row>
    <row r="1049" spans="1:16" x14ac:dyDescent="0.4">
      <c r="A1049"/>
      <c r="B1049" s="350"/>
      <c r="C1049"/>
      <c r="D1049"/>
      <c r="E1049"/>
      <c r="F1049"/>
      <c r="G1049"/>
      <c r="H1049"/>
      <c r="I1049"/>
      <c r="J1049"/>
      <c r="K1049"/>
      <c r="L1049"/>
      <c r="M1049"/>
      <c r="N1049"/>
      <c r="O1049"/>
      <c r="P1049"/>
    </row>
    <row r="1050" spans="1:16" x14ac:dyDescent="0.4">
      <c r="A1050"/>
      <c r="B1050" s="350"/>
      <c r="C1050"/>
      <c r="D1050"/>
      <c r="E1050"/>
      <c r="F1050"/>
      <c r="G1050"/>
      <c r="H1050"/>
      <c r="I1050"/>
      <c r="J1050"/>
      <c r="K1050"/>
      <c r="L1050"/>
      <c r="M1050"/>
      <c r="N1050"/>
      <c r="O1050"/>
      <c r="P1050"/>
    </row>
    <row r="1051" spans="1:16" x14ac:dyDescent="0.4">
      <c r="A1051"/>
      <c r="B1051" s="350"/>
      <c r="C1051"/>
      <c r="D1051"/>
      <c r="E1051"/>
      <c r="F1051"/>
      <c r="G1051"/>
      <c r="H1051"/>
      <c r="I1051"/>
      <c r="J1051"/>
      <c r="K1051"/>
      <c r="L1051"/>
      <c r="M1051"/>
      <c r="N1051"/>
      <c r="O1051"/>
      <c r="P1051"/>
    </row>
    <row r="1052" spans="1:16" x14ac:dyDescent="0.4">
      <c r="A1052"/>
      <c r="B1052" s="350"/>
      <c r="C1052"/>
      <c r="D1052"/>
      <c r="E1052"/>
      <c r="F1052"/>
      <c r="G1052"/>
      <c r="H1052"/>
      <c r="I1052"/>
      <c r="J1052"/>
      <c r="K1052"/>
      <c r="L1052"/>
      <c r="M1052"/>
      <c r="N1052"/>
      <c r="O1052"/>
      <c r="P1052"/>
    </row>
    <row r="1053" spans="1:16" x14ac:dyDescent="0.4">
      <c r="A1053"/>
      <c r="B1053" s="350"/>
      <c r="C1053"/>
      <c r="D1053"/>
      <c r="E1053"/>
      <c r="F1053"/>
      <c r="G1053"/>
      <c r="H1053"/>
      <c r="I1053"/>
      <c r="J1053"/>
      <c r="K1053"/>
      <c r="L1053"/>
      <c r="M1053"/>
      <c r="N1053"/>
      <c r="O1053"/>
      <c r="P1053"/>
    </row>
    <row r="1054" spans="1:16" x14ac:dyDescent="0.4">
      <c r="A1054"/>
      <c r="B1054" s="350"/>
      <c r="C1054"/>
      <c r="D1054"/>
      <c r="E1054"/>
      <c r="F1054"/>
      <c r="G1054"/>
      <c r="H1054"/>
      <c r="I1054"/>
      <c r="J1054"/>
      <c r="K1054"/>
      <c r="L1054"/>
      <c r="M1054"/>
      <c r="N1054"/>
      <c r="O1054"/>
      <c r="P1054"/>
    </row>
    <row r="1055" spans="1:16" x14ac:dyDescent="0.4">
      <c r="A1055"/>
      <c r="B1055" s="350"/>
      <c r="C1055"/>
      <c r="D1055"/>
      <c r="E1055"/>
      <c r="F1055"/>
      <c r="G1055"/>
      <c r="H1055"/>
      <c r="I1055"/>
      <c r="J1055"/>
      <c r="K1055"/>
      <c r="L1055"/>
      <c r="M1055"/>
      <c r="N1055"/>
      <c r="O1055"/>
      <c r="P1055"/>
    </row>
    <row r="1056" spans="1:16" x14ac:dyDescent="0.4">
      <c r="A1056"/>
      <c r="B1056" s="350"/>
      <c r="C1056"/>
      <c r="D1056"/>
      <c r="E1056"/>
      <c r="F1056"/>
      <c r="G1056"/>
      <c r="H1056"/>
      <c r="I1056"/>
      <c r="J1056"/>
      <c r="K1056"/>
      <c r="L1056"/>
      <c r="M1056"/>
      <c r="N1056"/>
      <c r="O1056"/>
      <c r="P1056"/>
    </row>
    <row r="1057" spans="1:16" x14ac:dyDescent="0.4">
      <c r="A1057"/>
      <c r="B1057" s="350"/>
      <c r="C1057"/>
      <c r="D1057"/>
      <c r="E1057"/>
      <c r="F1057"/>
      <c r="G1057"/>
      <c r="H1057"/>
      <c r="I1057"/>
      <c r="J1057"/>
      <c r="K1057"/>
      <c r="L1057"/>
      <c r="M1057"/>
      <c r="N1057"/>
      <c r="O1057"/>
      <c r="P1057"/>
    </row>
    <row r="1058" spans="1:16" x14ac:dyDescent="0.4">
      <c r="A1058"/>
      <c r="B1058" s="350"/>
      <c r="C1058"/>
      <c r="D1058"/>
      <c r="E1058"/>
      <c r="F1058"/>
      <c r="G1058"/>
      <c r="H1058"/>
      <c r="I1058"/>
      <c r="J1058"/>
      <c r="K1058"/>
      <c r="L1058"/>
      <c r="M1058"/>
      <c r="N1058"/>
      <c r="O1058"/>
      <c r="P1058"/>
    </row>
    <row r="1059" spans="1:16" x14ac:dyDescent="0.4">
      <c r="A1059"/>
      <c r="B1059" s="350"/>
      <c r="C1059"/>
      <c r="D1059"/>
      <c r="E1059"/>
      <c r="F1059"/>
      <c r="G1059"/>
      <c r="H1059"/>
      <c r="I1059"/>
      <c r="J1059"/>
      <c r="K1059"/>
      <c r="L1059"/>
      <c r="M1059"/>
      <c r="N1059"/>
      <c r="O1059"/>
      <c r="P1059"/>
    </row>
    <row r="1060" spans="1:16" x14ac:dyDescent="0.4">
      <c r="A1060"/>
      <c r="B1060" s="350"/>
      <c r="C1060"/>
      <c r="D1060"/>
      <c r="E1060"/>
      <c r="F1060"/>
      <c r="G1060"/>
      <c r="H1060"/>
      <c r="I1060"/>
      <c r="J1060"/>
      <c r="K1060"/>
      <c r="L1060"/>
      <c r="M1060"/>
      <c r="N1060"/>
      <c r="O1060"/>
      <c r="P1060"/>
    </row>
    <row r="1061" spans="1:16" x14ac:dyDescent="0.4">
      <c r="A1061"/>
      <c r="B1061" s="350"/>
      <c r="C1061"/>
      <c r="D1061"/>
      <c r="E1061"/>
      <c r="F1061"/>
      <c r="G1061"/>
      <c r="H1061"/>
      <c r="I1061"/>
      <c r="J1061"/>
      <c r="K1061"/>
      <c r="L1061"/>
      <c r="M1061"/>
      <c r="N1061"/>
      <c r="O1061"/>
      <c r="P1061"/>
    </row>
    <row r="1062" spans="1:16" x14ac:dyDescent="0.4">
      <c r="A1062"/>
      <c r="B1062" s="350"/>
      <c r="C1062"/>
      <c r="D1062"/>
      <c r="E1062"/>
      <c r="F1062"/>
      <c r="G1062"/>
      <c r="H1062"/>
      <c r="I1062"/>
      <c r="J1062"/>
      <c r="K1062"/>
      <c r="L1062"/>
      <c r="M1062"/>
      <c r="N1062"/>
      <c r="O1062"/>
      <c r="P1062"/>
    </row>
    <row r="1063" spans="1:16" x14ac:dyDescent="0.4">
      <c r="A1063"/>
      <c r="B1063" s="350"/>
      <c r="C1063"/>
      <c r="D1063"/>
      <c r="E1063"/>
      <c r="F1063"/>
      <c r="G1063"/>
      <c r="H1063"/>
      <c r="I1063"/>
      <c r="J1063"/>
      <c r="K1063"/>
      <c r="L1063"/>
      <c r="M1063"/>
      <c r="N1063"/>
      <c r="O1063"/>
      <c r="P1063"/>
    </row>
    <row r="1064" spans="1:16" x14ac:dyDescent="0.4">
      <c r="A1064"/>
      <c r="B1064" s="350"/>
      <c r="C1064"/>
      <c r="D1064"/>
      <c r="E1064"/>
      <c r="F1064"/>
      <c r="G1064"/>
      <c r="H1064"/>
      <c r="I1064"/>
      <c r="J1064"/>
      <c r="K1064"/>
      <c r="L1064"/>
      <c r="M1064"/>
      <c r="N1064"/>
      <c r="O1064"/>
      <c r="P1064"/>
    </row>
    <row r="1065" spans="1:16" x14ac:dyDescent="0.4">
      <c r="A1065"/>
      <c r="B1065" s="350"/>
      <c r="C1065"/>
      <c r="D1065"/>
      <c r="E1065"/>
      <c r="F1065"/>
      <c r="G1065"/>
      <c r="H1065"/>
      <c r="I1065"/>
      <c r="J1065"/>
      <c r="K1065"/>
      <c r="L1065"/>
      <c r="M1065"/>
      <c r="N1065"/>
      <c r="O1065"/>
      <c r="P1065"/>
    </row>
    <row r="1066" spans="1:16" x14ac:dyDescent="0.4">
      <c r="A1066"/>
      <c r="B1066" s="350"/>
      <c r="C1066"/>
      <c r="D1066"/>
      <c r="E1066"/>
      <c r="F1066"/>
      <c r="G1066"/>
      <c r="H1066"/>
      <c r="I1066"/>
      <c r="J1066"/>
      <c r="K1066"/>
      <c r="L1066"/>
      <c r="M1066"/>
      <c r="N1066"/>
      <c r="O1066"/>
      <c r="P1066"/>
    </row>
    <row r="1067" spans="1:16" x14ac:dyDescent="0.4">
      <c r="A1067"/>
      <c r="B1067" s="350"/>
      <c r="C1067"/>
      <c r="D1067"/>
      <c r="E1067"/>
      <c r="F1067"/>
      <c r="G1067"/>
      <c r="H1067"/>
      <c r="I1067"/>
      <c r="J1067"/>
      <c r="K1067"/>
      <c r="L1067"/>
      <c r="M1067"/>
      <c r="N1067"/>
      <c r="O1067"/>
      <c r="P1067"/>
    </row>
    <row r="1068" spans="1:16" x14ac:dyDescent="0.4">
      <c r="A1068"/>
      <c r="B1068" s="350"/>
      <c r="C1068"/>
      <c r="D1068"/>
      <c r="E1068"/>
      <c r="F1068"/>
      <c r="G1068"/>
      <c r="H1068"/>
      <c r="I1068"/>
      <c r="J1068"/>
      <c r="K1068"/>
      <c r="L1068"/>
      <c r="M1068"/>
      <c r="N1068"/>
      <c r="O1068"/>
      <c r="P1068"/>
    </row>
    <row r="1069" spans="1:16" x14ac:dyDescent="0.4">
      <c r="A1069"/>
      <c r="B1069" s="350"/>
      <c r="C1069"/>
      <c r="D1069"/>
      <c r="E1069"/>
      <c r="F1069"/>
      <c r="G1069"/>
      <c r="H1069"/>
      <c r="I1069"/>
      <c r="J1069"/>
      <c r="K1069"/>
      <c r="L1069"/>
      <c r="M1069"/>
      <c r="N1069"/>
      <c r="O1069"/>
      <c r="P1069"/>
    </row>
    <row r="1070" spans="1:16" x14ac:dyDescent="0.4">
      <c r="A1070"/>
      <c r="B1070" s="350"/>
      <c r="C1070"/>
      <c r="D1070"/>
      <c r="E1070"/>
      <c r="F1070"/>
      <c r="G1070"/>
      <c r="H1070"/>
      <c r="I1070"/>
      <c r="J1070"/>
      <c r="K1070"/>
      <c r="L1070"/>
      <c r="M1070"/>
      <c r="N1070"/>
      <c r="O1070"/>
      <c r="P1070"/>
    </row>
    <row r="1071" spans="1:16" x14ac:dyDescent="0.4">
      <c r="A1071"/>
      <c r="B1071" s="350"/>
      <c r="C1071"/>
      <c r="D1071"/>
      <c r="E1071"/>
      <c r="F1071"/>
      <c r="G1071"/>
      <c r="H1071"/>
      <c r="I1071"/>
      <c r="J1071"/>
      <c r="K1071"/>
      <c r="L1071"/>
      <c r="M1071"/>
      <c r="N1071"/>
      <c r="O1071"/>
      <c r="P1071"/>
    </row>
    <row r="1072" spans="1:16" x14ac:dyDescent="0.4">
      <c r="A1072"/>
      <c r="B1072" s="350"/>
      <c r="C1072"/>
      <c r="D1072"/>
      <c r="E1072"/>
      <c r="F1072"/>
      <c r="G1072"/>
      <c r="H1072"/>
      <c r="I1072"/>
      <c r="J1072"/>
      <c r="K1072"/>
      <c r="L1072"/>
      <c r="M1072"/>
      <c r="N1072"/>
      <c r="O1072"/>
      <c r="P1072"/>
    </row>
    <row r="1073" spans="1:16" x14ac:dyDescent="0.4">
      <c r="A1073"/>
      <c r="B1073" s="350"/>
      <c r="C1073"/>
      <c r="D1073"/>
      <c r="E1073"/>
      <c r="F1073"/>
      <c r="G1073"/>
      <c r="H1073"/>
      <c r="I1073"/>
      <c r="J1073"/>
      <c r="K1073"/>
      <c r="L1073"/>
      <c r="M1073"/>
      <c r="N1073"/>
      <c r="O1073"/>
      <c r="P1073"/>
    </row>
    <row r="1074" spans="1:16" x14ac:dyDescent="0.4">
      <c r="A1074"/>
      <c r="B1074" s="350"/>
      <c r="C1074"/>
      <c r="D1074"/>
      <c r="E1074"/>
      <c r="F1074"/>
      <c r="G1074"/>
      <c r="H1074"/>
      <c r="I1074"/>
      <c r="J1074"/>
      <c r="K1074"/>
      <c r="L1074"/>
      <c r="M1074"/>
      <c r="N1074"/>
      <c r="O1074"/>
      <c r="P1074"/>
    </row>
    <row r="1075" spans="1:16" x14ac:dyDescent="0.4">
      <c r="A1075"/>
      <c r="B1075" s="350"/>
      <c r="C1075"/>
      <c r="D1075"/>
      <c r="E1075"/>
      <c r="F1075"/>
      <c r="G1075"/>
      <c r="H1075"/>
      <c r="I1075"/>
      <c r="J1075"/>
      <c r="K1075"/>
      <c r="L1075"/>
      <c r="M1075"/>
      <c r="N1075"/>
      <c r="O1075"/>
      <c r="P1075"/>
    </row>
    <row r="1076" spans="1:16" x14ac:dyDescent="0.4">
      <c r="A1076"/>
      <c r="B1076" s="350"/>
      <c r="C1076"/>
      <c r="D1076"/>
      <c r="E1076"/>
      <c r="F1076"/>
      <c r="G1076"/>
      <c r="H1076"/>
      <c r="I1076"/>
      <c r="J1076"/>
      <c r="K1076"/>
      <c r="L1076"/>
      <c r="M1076"/>
      <c r="N1076"/>
      <c r="O1076"/>
      <c r="P1076"/>
    </row>
    <row r="1077" spans="1:16" x14ac:dyDescent="0.4">
      <c r="A1077"/>
      <c r="B1077" s="350"/>
      <c r="C1077"/>
      <c r="D1077"/>
      <c r="E1077"/>
      <c r="F1077"/>
      <c r="G1077"/>
      <c r="H1077"/>
      <c r="I1077"/>
      <c r="J1077"/>
      <c r="K1077"/>
      <c r="L1077"/>
      <c r="M1077"/>
      <c r="N1077"/>
      <c r="O1077"/>
      <c r="P1077"/>
    </row>
    <row r="1078" spans="1:16" x14ac:dyDescent="0.4">
      <c r="A1078"/>
      <c r="B1078" s="350"/>
      <c r="C1078"/>
      <c r="D1078"/>
      <c r="E1078"/>
      <c r="F1078"/>
      <c r="G1078"/>
      <c r="H1078"/>
      <c r="I1078"/>
      <c r="J1078"/>
      <c r="K1078"/>
      <c r="L1078"/>
      <c r="M1078"/>
      <c r="N1078"/>
      <c r="O1078"/>
      <c r="P1078"/>
    </row>
    <row r="1079" spans="1:16" x14ac:dyDescent="0.4">
      <c r="A1079"/>
      <c r="B1079" s="350"/>
      <c r="C1079"/>
      <c r="D1079"/>
      <c r="E1079"/>
      <c r="F1079"/>
      <c r="G1079"/>
      <c r="H1079"/>
      <c r="I1079"/>
      <c r="J1079"/>
      <c r="K1079"/>
      <c r="L1079"/>
      <c r="M1079"/>
      <c r="N1079"/>
      <c r="O1079"/>
      <c r="P1079"/>
    </row>
    <row r="1080" spans="1:16" x14ac:dyDescent="0.4">
      <c r="A1080"/>
      <c r="B1080" s="350"/>
      <c r="C1080"/>
      <c r="D1080"/>
      <c r="E1080"/>
      <c r="F1080"/>
      <c r="G1080"/>
      <c r="H1080"/>
      <c r="I1080"/>
      <c r="J1080"/>
      <c r="K1080"/>
      <c r="L1080"/>
      <c r="M1080"/>
      <c r="N1080"/>
      <c r="O1080"/>
      <c r="P1080"/>
    </row>
    <row r="1081" spans="1:16" x14ac:dyDescent="0.4">
      <c r="A1081"/>
      <c r="B1081" s="350"/>
      <c r="C1081"/>
      <c r="D1081"/>
      <c r="E1081"/>
      <c r="F1081"/>
      <c r="G1081"/>
      <c r="H1081"/>
      <c r="I1081"/>
      <c r="J1081"/>
      <c r="K1081"/>
      <c r="L1081"/>
      <c r="M1081"/>
      <c r="N1081"/>
      <c r="O1081"/>
      <c r="P1081"/>
    </row>
    <row r="1082" spans="1:16" x14ac:dyDescent="0.4">
      <c r="A1082"/>
      <c r="B1082" s="350"/>
      <c r="C1082"/>
      <c r="D1082"/>
      <c r="E1082"/>
      <c r="F1082"/>
      <c r="G1082"/>
      <c r="H1082"/>
      <c r="I1082"/>
      <c r="J1082"/>
      <c r="K1082"/>
      <c r="L1082"/>
      <c r="M1082"/>
      <c r="N1082"/>
      <c r="O1082"/>
      <c r="P1082"/>
    </row>
    <row r="1083" spans="1:16" x14ac:dyDescent="0.4">
      <c r="A1083"/>
      <c r="B1083" s="350"/>
      <c r="C1083"/>
      <c r="D1083"/>
      <c r="E1083"/>
      <c r="F1083"/>
      <c r="G1083"/>
      <c r="H1083"/>
      <c r="I1083"/>
      <c r="J1083"/>
      <c r="K1083"/>
      <c r="L1083"/>
      <c r="M1083"/>
      <c r="N1083"/>
      <c r="O1083"/>
      <c r="P1083"/>
    </row>
    <row r="1084" spans="1:16" x14ac:dyDescent="0.4">
      <c r="A1084"/>
      <c r="B1084" s="350"/>
      <c r="C1084"/>
      <c r="D1084"/>
      <c r="E1084"/>
      <c r="F1084"/>
      <c r="G1084"/>
      <c r="H1084"/>
      <c r="I1084"/>
      <c r="J1084"/>
      <c r="K1084"/>
      <c r="L1084"/>
      <c r="M1084"/>
      <c r="N1084"/>
      <c r="O1084"/>
      <c r="P1084"/>
    </row>
    <row r="1085" spans="1:16" x14ac:dyDescent="0.4">
      <c r="A1085"/>
      <c r="B1085" s="350"/>
      <c r="C1085"/>
      <c r="D1085"/>
      <c r="E1085"/>
      <c r="F1085"/>
      <c r="G1085"/>
      <c r="H1085"/>
      <c r="I1085"/>
      <c r="J1085"/>
      <c r="K1085"/>
      <c r="L1085"/>
      <c r="M1085"/>
      <c r="N1085"/>
      <c r="O1085"/>
      <c r="P1085"/>
    </row>
    <row r="1086" spans="1:16" x14ac:dyDescent="0.4">
      <c r="A1086"/>
      <c r="B1086" s="350"/>
      <c r="C1086"/>
      <c r="D1086"/>
      <c r="E1086"/>
      <c r="F1086"/>
      <c r="G1086"/>
      <c r="H1086"/>
      <c r="I1086"/>
      <c r="J1086"/>
      <c r="K1086"/>
      <c r="L1086"/>
      <c r="M1086"/>
      <c r="N1086"/>
      <c r="O1086"/>
      <c r="P1086"/>
    </row>
    <row r="1087" spans="1:16" x14ac:dyDescent="0.4">
      <c r="A1087"/>
      <c r="B1087" s="350"/>
      <c r="C1087"/>
      <c r="D1087"/>
      <c r="E1087"/>
      <c r="F1087"/>
      <c r="G1087"/>
      <c r="H1087"/>
      <c r="I1087"/>
      <c r="J1087"/>
      <c r="K1087"/>
      <c r="L1087"/>
      <c r="M1087"/>
      <c r="N1087"/>
      <c r="O1087"/>
      <c r="P1087"/>
    </row>
    <row r="1088" spans="1:16" x14ac:dyDescent="0.4">
      <c r="A1088"/>
      <c r="B1088" s="350"/>
      <c r="C1088"/>
      <c r="D1088"/>
      <c r="E1088"/>
      <c r="F1088"/>
      <c r="G1088"/>
      <c r="H1088"/>
      <c r="I1088"/>
      <c r="J1088"/>
      <c r="K1088"/>
      <c r="L1088"/>
      <c r="M1088"/>
      <c r="N1088"/>
      <c r="O1088"/>
      <c r="P1088"/>
    </row>
    <row r="1089" spans="1:16" x14ac:dyDescent="0.4">
      <c r="A1089"/>
      <c r="B1089" s="350"/>
      <c r="C1089"/>
      <c r="D1089"/>
      <c r="E1089"/>
      <c r="F1089"/>
      <c r="G1089"/>
      <c r="H1089"/>
      <c r="I1089"/>
      <c r="J1089"/>
      <c r="K1089"/>
      <c r="L1089"/>
      <c r="M1089"/>
      <c r="N1089"/>
      <c r="O1089"/>
      <c r="P1089"/>
    </row>
    <row r="1090" spans="1:16" x14ac:dyDescent="0.4">
      <c r="A1090"/>
      <c r="B1090" s="350"/>
      <c r="C1090"/>
      <c r="D1090"/>
      <c r="E1090"/>
      <c r="F1090"/>
      <c r="G1090"/>
      <c r="H1090"/>
      <c r="I1090"/>
      <c r="J1090"/>
      <c r="K1090"/>
      <c r="L1090"/>
      <c r="M1090"/>
      <c r="N1090"/>
      <c r="O1090"/>
      <c r="P1090"/>
    </row>
    <row r="1091" spans="1:16" x14ac:dyDescent="0.4">
      <c r="A1091"/>
      <c r="B1091" s="350"/>
      <c r="C1091"/>
      <c r="D1091"/>
      <c r="E1091"/>
      <c r="F1091"/>
      <c r="G1091"/>
      <c r="H1091"/>
      <c r="I1091"/>
      <c r="J1091"/>
      <c r="K1091"/>
      <c r="L1091"/>
      <c r="M1091"/>
      <c r="N1091"/>
      <c r="O1091"/>
      <c r="P1091"/>
    </row>
    <row r="1092" spans="1:16" x14ac:dyDescent="0.4">
      <c r="A1092"/>
      <c r="B1092" s="350"/>
      <c r="C1092"/>
      <c r="D1092"/>
      <c r="E1092"/>
      <c r="F1092"/>
      <c r="G1092"/>
      <c r="H1092"/>
      <c r="I1092"/>
      <c r="J1092"/>
      <c r="K1092"/>
      <c r="L1092"/>
      <c r="M1092"/>
      <c r="N1092"/>
      <c r="O1092"/>
      <c r="P1092"/>
    </row>
    <row r="1093" spans="1:16" x14ac:dyDescent="0.4">
      <c r="A1093"/>
      <c r="B1093" s="350"/>
      <c r="C1093"/>
      <c r="D1093"/>
      <c r="E1093"/>
      <c r="F1093"/>
      <c r="G1093"/>
      <c r="H1093"/>
      <c r="I1093"/>
      <c r="J1093"/>
      <c r="K1093"/>
      <c r="L1093"/>
      <c r="M1093"/>
      <c r="N1093"/>
      <c r="O1093"/>
      <c r="P1093"/>
    </row>
    <row r="1094" spans="1:16" x14ac:dyDescent="0.4">
      <c r="A1094"/>
      <c r="B1094" s="350"/>
      <c r="C1094"/>
      <c r="D1094"/>
      <c r="E1094"/>
      <c r="F1094"/>
      <c r="G1094"/>
      <c r="H1094"/>
      <c r="I1094"/>
      <c r="J1094"/>
      <c r="K1094"/>
      <c r="L1094"/>
      <c r="M1094"/>
      <c r="N1094"/>
      <c r="O1094"/>
      <c r="P1094"/>
    </row>
    <row r="1095" spans="1:16" x14ac:dyDescent="0.4">
      <c r="A1095"/>
      <c r="B1095" s="350"/>
      <c r="C1095"/>
      <c r="D1095"/>
      <c r="E1095"/>
      <c r="F1095"/>
      <c r="G1095"/>
      <c r="H1095"/>
      <c r="I1095"/>
      <c r="J1095"/>
      <c r="K1095"/>
      <c r="L1095"/>
      <c r="M1095"/>
      <c r="N1095"/>
      <c r="O1095"/>
      <c r="P1095"/>
    </row>
    <row r="1096" spans="1:16" x14ac:dyDescent="0.4">
      <c r="A1096"/>
      <c r="B1096" s="350"/>
      <c r="C1096"/>
      <c r="D1096"/>
      <c r="E1096"/>
      <c r="F1096"/>
      <c r="G1096"/>
      <c r="H1096"/>
      <c r="I1096"/>
      <c r="J1096"/>
      <c r="K1096"/>
      <c r="L1096"/>
      <c r="M1096"/>
      <c r="N1096"/>
      <c r="O1096"/>
      <c r="P1096"/>
    </row>
    <row r="1097" spans="1:16" x14ac:dyDescent="0.4">
      <c r="A1097"/>
      <c r="B1097" s="350"/>
      <c r="C1097"/>
      <c r="D1097"/>
      <c r="E1097"/>
      <c r="F1097"/>
      <c r="G1097"/>
      <c r="H1097"/>
      <c r="I1097"/>
      <c r="J1097"/>
      <c r="K1097"/>
      <c r="L1097"/>
      <c r="M1097"/>
      <c r="N1097"/>
      <c r="O1097"/>
      <c r="P1097"/>
    </row>
    <row r="1098" spans="1:16" x14ac:dyDescent="0.4">
      <c r="A1098"/>
      <c r="B1098" s="350"/>
      <c r="C1098"/>
      <c r="D1098"/>
      <c r="E1098"/>
      <c r="F1098"/>
      <c r="G1098"/>
      <c r="H1098"/>
      <c r="I1098"/>
      <c r="J1098"/>
      <c r="K1098"/>
      <c r="L1098"/>
      <c r="M1098"/>
      <c r="N1098"/>
      <c r="O1098"/>
      <c r="P1098"/>
    </row>
    <row r="1099" spans="1:16" x14ac:dyDescent="0.4">
      <c r="A1099"/>
      <c r="B1099" s="350"/>
      <c r="C1099"/>
      <c r="D1099"/>
      <c r="E1099"/>
      <c r="F1099"/>
      <c r="G1099"/>
      <c r="H1099"/>
      <c r="I1099"/>
      <c r="J1099"/>
      <c r="K1099"/>
      <c r="L1099"/>
      <c r="M1099"/>
      <c r="N1099"/>
      <c r="O1099"/>
      <c r="P1099"/>
    </row>
    <row r="1100" spans="1:16" x14ac:dyDescent="0.4">
      <c r="A1100"/>
      <c r="B1100" s="350"/>
      <c r="C1100"/>
      <c r="D1100"/>
      <c r="E1100"/>
      <c r="F1100"/>
      <c r="G1100"/>
      <c r="H1100"/>
      <c r="I1100"/>
      <c r="J1100"/>
      <c r="K1100"/>
      <c r="L1100"/>
      <c r="M1100"/>
      <c r="N1100"/>
      <c r="O1100"/>
      <c r="P1100"/>
    </row>
    <row r="1101" spans="1:16" x14ac:dyDescent="0.4">
      <c r="A1101"/>
      <c r="B1101" s="350"/>
      <c r="C1101"/>
      <c r="D1101"/>
      <c r="E1101"/>
      <c r="F1101"/>
      <c r="G1101"/>
      <c r="H1101"/>
      <c r="I1101"/>
      <c r="J1101"/>
      <c r="K1101"/>
      <c r="L1101"/>
      <c r="M1101"/>
      <c r="N1101"/>
      <c r="O1101"/>
      <c r="P1101"/>
    </row>
    <row r="1102" spans="1:16" x14ac:dyDescent="0.4">
      <c r="A1102"/>
      <c r="B1102" s="350"/>
      <c r="C1102"/>
      <c r="D1102"/>
      <c r="E1102"/>
      <c r="F1102"/>
      <c r="G1102"/>
      <c r="H1102"/>
      <c r="I1102"/>
      <c r="J1102"/>
      <c r="K1102"/>
      <c r="L1102"/>
      <c r="M1102"/>
      <c r="N1102"/>
      <c r="O1102"/>
      <c r="P1102"/>
    </row>
    <row r="1103" spans="1:16" x14ac:dyDescent="0.4">
      <c r="A1103"/>
      <c r="B1103" s="350"/>
      <c r="C1103"/>
      <c r="D1103"/>
      <c r="E1103"/>
      <c r="F1103"/>
      <c r="G1103"/>
      <c r="H1103"/>
      <c r="I1103"/>
      <c r="J1103"/>
      <c r="K1103"/>
      <c r="L1103"/>
      <c r="M1103"/>
      <c r="N1103"/>
      <c r="O1103"/>
      <c r="P1103"/>
    </row>
    <row r="1104" spans="1:16" x14ac:dyDescent="0.4">
      <c r="A1104"/>
      <c r="B1104" s="350"/>
      <c r="C1104"/>
      <c r="D1104"/>
      <c r="E1104"/>
      <c r="F1104"/>
      <c r="G1104"/>
      <c r="H1104"/>
      <c r="I1104"/>
      <c r="J1104"/>
      <c r="K1104"/>
      <c r="L1104"/>
      <c r="M1104"/>
      <c r="N1104"/>
      <c r="O1104"/>
      <c r="P1104"/>
    </row>
    <row r="1105" spans="1:16" x14ac:dyDescent="0.4">
      <c r="A1105"/>
      <c r="B1105" s="350"/>
      <c r="C1105"/>
      <c r="D1105"/>
      <c r="E1105"/>
      <c r="F1105"/>
      <c r="G1105"/>
      <c r="H1105"/>
      <c r="I1105"/>
      <c r="J1105"/>
      <c r="K1105"/>
      <c r="L1105"/>
      <c r="M1105"/>
      <c r="N1105"/>
      <c r="O1105"/>
      <c r="P1105"/>
    </row>
    <row r="1106" spans="1:16" x14ac:dyDescent="0.4">
      <c r="A1106"/>
      <c r="B1106" s="350"/>
      <c r="C1106"/>
      <c r="D1106"/>
      <c r="E1106"/>
      <c r="F1106"/>
      <c r="G1106"/>
      <c r="H1106"/>
      <c r="I1106"/>
      <c r="J1106"/>
      <c r="K1106"/>
      <c r="L1106"/>
      <c r="M1106"/>
      <c r="N1106"/>
      <c r="O1106"/>
      <c r="P1106"/>
    </row>
    <row r="1107" spans="1:16" x14ac:dyDescent="0.4">
      <c r="A1107"/>
      <c r="B1107" s="350"/>
      <c r="C1107"/>
      <c r="D1107"/>
      <c r="E1107"/>
      <c r="F1107"/>
      <c r="G1107"/>
      <c r="H1107"/>
      <c r="I1107"/>
      <c r="J1107"/>
      <c r="K1107"/>
      <c r="L1107"/>
      <c r="M1107"/>
      <c r="N1107"/>
      <c r="O1107"/>
      <c r="P1107"/>
    </row>
    <row r="1108" spans="1:16" x14ac:dyDescent="0.4">
      <c r="A1108"/>
      <c r="B1108" s="350"/>
      <c r="C1108"/>
      <c r="D1108"/>
      <c r="E1108"/>
      <c r="F1108"/>
      <c r="G1108"/>
      <c r="H1108"/>
      <c r="I1108"/>
      <c r="J1108"/>
      <c r="K1108"/>
      <c r="L1108"/>
      <c r="M1108"/>
      <c r="N1108"/>
      <c r="O1108"/>
      <c r="P1108"/>
    </row>
    <row r="1109" spans="1:16" x14ac:dyDescent="0.4">
      <c r="A1109"/>
      <c r="B1109" s="350"/>
      <c r="C1109"/>
      <c r="D1109"/>
      <c r="E1109"/>
      <c r="F1109"/>
      <c r="G1109"/>
      <c r="H1109"/>
      <c r="I1109"/>
      <c r="J1109"/>
      <c r="K1109"/>
      <c r="L1109"/>
      <c r="M1109"/>
      <c r="N1109"/>
      <c r="O1109"/>
      <c r="P1109"/>
    </row>
    <row r="1110" spans="1:16" x14ac:dyDescent="0.4">
      <c r="A1110"/>
      <c r="B1110" s="350"/>
      <c r="C1110"/>
      <c r="D1110"/>
      <c r="E1110"/>
      <c r="F1110"/>
      <c r="G1110"/>
      <c r="H1110"/>
      <c r="I1110"/>
      <c r="J1110"/>
      <c r="K1110"/>
      <c r="L1110"/>
      <c r="M1110"/>
      <c r="N1110"/>
      <c r="O1110"/>
      <c r="P1110"/>
    </row>
    <row r="1111" spans="1:16" x14ac:dyDescent="0.4">
      <c r="A1111"/>
      <c r="B1111" s="350"/>
      <c r="C1111"/>
      <c r="D1111"/>
      <c r="E1111"/>
      <c r="F1111"/>
      <c r="G1111"/>
      <c r="H1111"/>
      <c r="I1111"/>
      <c r="J1111"/>
      <c r="K1111"/>
      <c r="L1111"/>
      <c r="M1111"/>
      <c r="N1111"/>
      <c r="O1111"/>
      <c r="P1111"/>
    </row>
    <row r="1112" spans="1:16" x14ac:dyDescent="0.4">
      <c r="A1112"/>
      <c r="B1112" s="350"/>
      <c r="C1112"/>
      <c r="D1112"/>
      <c r="E1112"/>
      <c r="F1112"/>
      <c r="G1112"/>
      <c r="H1112"/>
      <c r="I1112"/>
      <c r="J1112"/>
      <c r="K1112"/>
      <c r="L1112"/>
      <c r="M1112"/>
      <c r="N1112"/>
      <c r="O1112"/>
      <c r="P1112"/>
    </row>
    <row r="1113" spans="1:16" x14ac:dyDescent="0.4">
      <c r="A1113"/>
      <c r="B1113" s="350"/>
      <c r="C1113"/>
      <c r="D1113"/>
      <c r="E1113"/>
      <c r="F1113"/>
      <c r="G1113"/>
      <c r="H1113"/>
      <c r="I1113"/>
      <c r="J1113"/>
      <c r="K1113"/>
      <c r="L1113"/>
      <c r="M1113"/>
      <c r="N1113"/>
      <c r="O1113"/>
      <c r="P1113"/>
    </row>
    <row r="1114" spans="1:16" x14ac:dyDescent="0.4">
      <c r="A1114"/>
      <c r="B1114" s="350"/>
      <c r="C1114"/>
      <c r="D1114"/>
      <c r="E1114"/>
      <c r="F1114"/>
      <c r="G1114"/>
      <c r="H1114"/>
      <c r="I1114"/>
      <c r="J1114"/>
      <c r="K1114"/>
      <c r="L1114"/>
      <c r="M1114"/>
      <c r="N1114"/>
      <c r="O1114"/>
      <c r="P1114"/>
    </row>
    <row r="1115" spans="1:16" x14ac:dyDescent="0.4">
      <c r="A1115"/>
      <c r="B1115" s="350"/>
      <c r="C1115"/>
      <c r="D1115"/>
      <c r="E1115"/>
      <c r="F1115"/>
      <c r="G1115"/>
      <c r="H1115"/>
      <c r="I1115"/>
      <c r="J1115"/>
      <c r="K1115"/>
      <c r="L1115"/>
      <c r="M1115"/>
      <c r="N1115"/>
      <c r="O1115"/>
      <c r="P1115"/>
    </row>
    <row r="1116" spans="1:16" x14ac:dyDescent="0.4">
      <c r="A1116"/>
      <c r="B1116" s="350"/>
      <c r="C1116"/>
      <c r="D1116"/>
      <c r="E1116"/>
      <c r="F1116"/>
      <c r="G1116"/>
      <c r="H1116"/>
      <c r="I1116"/>
      <c r="J1116"/>
      <c r="K1116"/>
      <c r="L1116"/>
      <c r="M1116"/>
      <c r="N1116"/>
      <c r="O1116"/>
      <c r="P1116"/>
    </row>
    <row r="1117" spans="1:16" x14ac:dyDescent="0.4">
      <c r="A1117"/>
      <c r="B1117" s="350"/>
      <c r="C1117"/>
      <c r="D1117"/>
      <c r="E1117"/>
      <c r="F1117"/>
      <c r="G1117"/>
      <c r="H1117"/>
      <c r="I1117"/>
      <c r="J1117"/>
      <c r="K1117"/>
      <c r="L1117"/>
      <c r="M1117"/>
      <c r="N1117"/>
      <c r="O1117"/>
      <c r="P1117"/>
    </row>
    <row r="1118" spans="1:16" x14ac:dyDescent="0.4">
      <c r="A1118"/>
      <c r="B1118" s="350"/>
      <c r="C1118"/>
      <c r="D1118"/>
      <c r="E1118"/>
      <c r="F1118"/>
      <c r="G1118"/>
      <c r="H1118"/>
      <c r="I1118"/>
      <c r="J1118"/>
      <c r="K1118"/>
      <c r="L1118"/>
      <c r="M1118"/>
      <c r="N1118"/>
      <c r="O1118"/>
      <c r="P1118"/>
    </row>
    <row r="1119" spans="1:16" x14ac:dyDescent="0.4">
      <c r="A1119"/>
      <c r="B1119" s="350"/>
      <c r="C1119"/>
      <c r="D1119"/>
      <c r="E1119"/>
      <c r="F1119"/>
      <c r="G1119"/>
      <c r="H1119"/>
      <c r="I1119"/>
      <c r="J1119"/>
      <c r="K1119"/>
      <c r="L1119"/>
      <c r="M1119"/>
      <c r="N1119"/>
      <c r="O1119"/>
      <c r="P1119"/>
    </row>
    <row r="1120" spans="1:16" x14ac:dyDescent="0.4">
      <c r="A1120"/>
      <c r="B1120" s="350"/>
      <c r="C1120"/>
      <c r="D1120"/>
      <c r="E1120"/>
      <c r="F1120"/>
      <c r="G1120"/>
      <c r="H1120"/>
      <c r="I1120"/>
      <c r="J1120"/>
      <c r="K1120"/>
      <c r="L1120"/>
      <c r="M1120"/>
      <c r="N1120"/>
      <c r="O1120"/>
      <c r="P1120"/>
    </row>
    <row r="1121" spans="1:16" x14ac:dyDescent="0.4">
      <c r="A1121"/>
      <c r="B1121" s="350"/>
      <c r="C1121"/>
      <c r="D1121"/>
      <c r="E1121"/>
      <c r="F1121"/>
      <c r="G1121"/>
      <c r="H1121"/>
      <c r="I1121"/>
      <c r="J1121"/>
      <c r="K1121"/>
      <c r="L1121"/>
      <c r="M1121"/>
      <c r="N1121"/>
      <c r="O1121"/>
      <c r="P1121"/>
    </row>
    <row r="1122" spans="1:16" x14ac:dyDescent="0.4">
      <c r="A1122"/>
      <c r="B1122" s="350"/>
      <c r="C1122"/>
      <c r="D1122"/>
      <c r="E1122"/>
      <c r="F1122"/>
      <c r="G1122"/>
      <c r="H1122"/>
      <c r="I1122"/>
      <c r="J1122"/>
      <c r="K1122"/>
      <c r="L1122"/>
      <c r="M1122"/>
      <c r="N1122"/>
      <c r="O1122"/>
      <c r="P1122"/>
    </row>
    <row r="1123" spans="1:16" x14ac:dyDescent="0.4">
      <c r="A1123"/>
      <c r="B1123" s="350"/>
      <c r="C1123"/>
      <c r="D1123"/>
      <c r="E1123"/>
      <c r="F1123"/>
      <c r="G1123"/>
      <c r="H1123"/>
      <c r="I1123"/>
      <c r="J1123"/>
      <c r="K1123"/>
      <c r="L1123"/>
      <c r="M1123"/>
      <c r="N1123"/>
      <c r="O1123"/>
      <c r="P1123"/>
    </row>
    <row r="1124" spans="1:16" x14ac:dyDescent="0.4">
      <c r="A1124"/>
      <c r="B1124" s="350"/>
      <c r="C1124"/>
      <c r="D1124"/>
      <c r="E1124"/>
      <c r="F1124"/>
      <c r="G1124"/>
      <c r="H1124"/>
      <c r="I1124"/>
      <c r="J1124"/>
      <c r="K1124"/>
      <c r="L1124"/>
      <c r="M1124"/>
      <c r="N1124"/>
      <c r="O1124"/>
      <c r="P1124"/>
    </row>
    <row r="1125" spans="1:16" x14ac:dyDescent="0.4">
      <c r="A1125"/>
      <c r="B1125" s="350"/>
      <c r="C1125"/>
      <c r="D1125"/>
      <c r="E1125"/>
      <c r="F1125"/>
      <c r="G1125"/>
      <c r="H1125"/>
      <c r="I1125"/>
      <c r="J1125"/>
      <c r="K1125"/>
      <c r="L1125"/>
      <c r="M1125"/>
      <c r="N1125"/>
      <c r="O1125"/>
      <c r="P1125"/>
    </row>
    <row r="1126" spans="1:16" x14ac:dyDescent="0.4">
      <c r="A1126"/>
      <c r="B1126" s="350"/>
      <c r="C1126"/>
      <c r="D1126"/>
      <c r="E1126"/>
      <c r="F1126"/>
      <c r="G1126"/>
      <c r="H1126"/>
      <c r="I1126"/>
      <c r="J1126"/>
      <c r="K1126"/>
      <c r="L1126"/>
      <c r="M1126"/>
      <c r="N1126"/>
      <c r="O1126"/>
      <c r="P1126"/>
    </row>
    <row r="1127" spans="1:16" x14ac:dyDescent="0.4">
      <c r="A1127"/>
      <c r="B1127" s="350"/>
      <c r="C1127"/>
      <c r="D1127"/>
      <c r="E1127"/>
      <c r="F1127"/>
      <c r="G1127"/>
      <c r="H1127"/>
      <c r="I1127"/>
      <c r="J1127"/>
      <c r="K1127"/>
      <c r="L1127"/>
      <c r="M1127"/>
      <c r="N1127"/>
      <c r="O1127"/>
      <c r="P1127"/>
    </row>
    <row r="1128" spans="1:16" x14ac:dyDescent="0.4">
      <c r="A1128"/>
      <c r="B1128" s="350"/>
      <c r="C1128"/>
      <c r="D1128"/>
      <c r="E1128"/>
      <c r="F1128"/>
      <c r="G1128"/>
      <c r="H1128"/>
      <c r="I1128"/>
      <c r="J1128"/>
      <c r="K1128"/>
      <c r="L1128"/>
      <c r="M1128"/>
      <c r="N1128"/>
      <c r="O1128"/>
      <c r="P1128"/>
    </row>
    <row r="1129" spans="1:16" x14ac:dyDescent="0.4">
      <c r="A1129"/>
      <c r="B1129" s="350"/>
      <c r="C1129"/>
      <c r="D1129"/>
      <c r="E1129"/>
      <c r="F1129"/>
      <c r="G1129"/>
      <c r="H1129"/>
      <c r="I1129"/>
      <c r="J1129"/>
      <c r="K1129"/>
      <c r="L1129"/>
      <c r="M1129"/>
      <c r="N1129"/>
      <c r="O1129"/>
      <c r="P1129"/>
    </row>
    <row r="1130" spans="1:16" x14ac:dyDescent="0.4">
      <c r="A1130"/>
      <c r="B1130" s="350"/>
      <c r="C1130"/>
      <c r="D1130"/>
      <c r="E1130"/>
      <c r="F1130"/>
      <c r="G1130"/>
      <c r="H1130"/>
      <c r="I1130"/>
      <c r="J1130"/>
      <c r="K1130"/>
      <c r="L1130"/>
      <c r="M1130"/>
      <c r="N1130"/>
      <c r="O1130"/>
      <c r="P1130"/>
    </row>
    <row r="1131" spans="1:16" x14ac:dyDescent="0.4">
      <c r="A1131"/>
      <c r="B1131" s="350"/>
      <c r="C1131"/>
      <c r="D1131"/>
      <c r="E1131"/>
      <c r="F1131"/>
      <c r="G1131"/>
      <c r="H1131"/>
      <c r="I1131"/>
      <c r="J1131"/>
      <c r="K1131"/>
      <c r="L1131"/>
      <c r="M1131"/>
      <c r="N1131"/>
      <c r="O1131"/>
      <c r="P1131"/>
    </row>
    <row r="1132" spans="1:16" x14ac:dyDescent="0.4">
      <c r="A1132"/>
      <c r="B1132" s="350"/>
      <c r="C1132"/>
      <c r="D1132"/>
      <c r="E1132"/>
      <c r="F1132"/>
      <c r="G1132"/>
      <c r="H1132"/>
      <c r="I1132"/>
      <c r="J1132"/>
      <c r="K1132"/>
      <c r="L1132"/>
      <c r="M1132"/>
      <c r="N1132"/>
      <c r="O1132"/>
      <c r="P1132"/>
    </row>
    <row r="1133" spans="1:16" x14ac:dyDescent="0.4">
      <c r="A1133"/>
      <c r="B1133" s="350"/>
      <c r="C1133"/>
      <c r="D1133"/>
      <c r="E1133"/>
      <c r="F1133"/>
      <c r="G1133"/>
      <c r="H1133"/>
      <c r="I1133"/>
      <c r="J1133"/>
      <c r="K1133"/>
      <c r="L1133"/>
      <c r="M1133"/>
      <c r="N1133"/>
      <c r="O1133"/>
      <c r="P1133"/>
    </row>
    <row r="1134" spans="1:16" x14ac:dyDescent="0.4">
      <c r="A1134"/>
      <c r="B1134" s="350"/>
      <c r="C1134"/>
      <c r="D1134"/>
      <c r="E1134"/>
      <c r="F1134"/>
      <c r="G1134"/>
      <c r="H1134"/>
      <c r="I1134"/>
      <c r="J1134"/>
      <c r="K1134"/>
      <c r="L1134"/>
      <c r="M1134"/>
      <c r="N1134"/>
      <c r="O1134"/>
      <c r="P1134"/>
    </row>
    <row r="1135" spans="1:16" x14ac:dyDescent="0.4">
      <c r="A1135"/>
      <c r="B1135" s="350"/>
      <c r="C1135"/>
      <c r="D1135"/>
      <c r="E1135"/>
      <c r="F1135"/>
      <c r="G1135"/>
      <c r="H1135"/>
      <c r="I1135"/>
      <c r="J1135"/>
      <c r="K1135"/>
      <c r="L1135"/>
      <c r="M1135"/>
      <c r="N1135"/>
      <c r="O1135"/>
      <c r="P1135"/>
    </row>
    <row r="1136" spans="1:16" x14ac:dyDescent="0.4">
      <c r="A1136"/>
      <c r="B1136" s="350"/>
      <c r="C1136"/>
      <c r="D1136"/>
      <c r="E1136"/>
      <c r="F1136"/>
      <c r="G1136"/>
      <c r="H1136"/>
      <c r="I1136"/>
      <c r="J1136"/>
      <c r="K1136"/>
      <c r="L1136"/>
      <c r="M1136"/>
      <c r="N1136"/>
      <c r="O1136"/>
      <c r="P1136"/>
    </row>
    <row r="1137" spans="1:16" x14ac:dyDescent="0.4">
      <c r="A1137"/>
      <c r="B1137" s="350"/>
      <c r="C1137"/>
      <c r="D1137"/>
      <c r="E1137"/>
      <c r="F1137"/>
      <c r="G1137"/>
      <c r="H1137"/>
      <c r="I1137"/>
      <c r="J1137"/>
      <c r="K1137"/>
      <c r="L1137"/>
      <c r="M1137"/>
      <c r="N1137"/>
      <c r="O1137"/>
      <c r="P1137"/>
    </row>
    <row r="1138" spans="1:16" x14ac:dyDescent="0.4">
      <c r="A1138"/>
      <c r="B1138" s="350"/>
      <c r="C1138"/>
      <c r="D1138"/>
      <c r="E1138"/>
      <c r="F1138"/>
      <c r="G1138"/>
      <c r="H1138"/>
      <c r="I1138"/>
      <c r="J1138"/>
      <c r="K1138"/>
      <c r="L1138"/>
      <c r="M1138"/>
      <c r="N1138"/>
      <c r="O1138"/>
      <c r="P1138"/>
    </row>
    <row r="1139" spans="1:16" x14ac:dyDescent="0.4">
      <c r="A1139"/>
      <c r="B1139" s="350"/>
      <c r="C1139"/>
      <c r="D1139"/>
      <c r="E1139"/>
      <c r="F1139"/>
      <c r="G1139"/>
      <c r="H1139"/>
      <c r="I1139"/>
      <c r="J1139"/>
      <c r="K1139"/>
      <c r="L1139"/>
      <c r="M1139"/>
      <c r="N1139"/>
      <c r="O1139"/>
      <c r="P1139"/>
    </row>
    <row r="1140" spans="1:16" x14ac:dyDescent="0.4">
      <c r="A1140"/>
      <c r="B1140" s="350"/>
      <c r="C1140"/>
      <c r="D1140"/>
      <c r="E1140"/>
      <c r="F1140"/>
      <c r="G1140"/>
      <c r="H1140"/>
      <c r="I1140"/>
      <c r="J1140"/>
      <c r="K1140"/>
      <c r="L1140"/>
      <c r="M1140"/>
      <c r="N1140"/>
      <c r="O1140"/>
      <c r="P1140"/>
    </row>
    <row r="1141" spans="1:16" x14ac:dyDescent="0.4">
      <c r="A1141"/>
      <c r="B1141" s="350"/>
      <c r="C1141"/>
      <c r="D1141"/>
      <c r="E1141"/>
      <c r="F1141"/>
      <c r="G1141"/>
      <c r="H1141"/>
      <c r="I1141"/>
      <c r="J1141"/>
      <c r="K1141"/>
      <c r="L1141"/>
      <c r="M1141"/>
      <c r="N1141"/>
      <c r="O1141"/>
      <c r="P1141"/>
    </row>
    <row r="1142" spans="1:16" x14ac:dyDescent="0.4">
      <c r="A1142"/>
      <c r="B1142" s="350"/>
      <c r="C1142"/>
      <c r="D1142"/>
      <c r="E1142"/>
      <c r="F1142"/>
      <c r="G1142"/>
      <c r="H1142"/>
      <c r="I1142"/>
      <c r="J1142"/>
      <c r="K1142"/>
      <c r="L1142"/>
      <c r="M1142"/>
      <c r="N1142"/>
      <c r="O1142"/>
      <c r="P1142"/>
    </row>
    <row r="1143" spans="1:16" x14ac:dyDescent="0.4">
      <c r="A1143"/>
      <c r="B1143" s="350"/>
      <c r="C1143"/>
      <c r="D1143"/>
      <c r="E1143"/>
      <c r="F1143"/>
      <c r="G1143"/>
      <c r="H1143"/>
      <c r="I1143"/>
      <c r="J1143"/>
      <c r="K1143"/>
      <c r="L1143"/>
      <c r="M1143"/>
      <c r="N1143"/>
      <c r="O1143"/>
      <c r="P1143"/>
    </row>
    <row r="1144" spans="1:16" x14ac:dyDescent="0.4">
      <c r="A1144"/>
      <c r="B1144" s="350"/>
      <c r="C1144"/>
      <c r="D1144"/>
      <c r="E1144"/>
      <c r="F1144"/>
      <c r="G1144"/>
      <c r="H1144"/>
      <c r="I1144"/>
      <c r="J1144"/>
      <c r="K1144"/>
      <c r="L1144"/>
      <c r="M1144"/>
      <c r="N1144"/>
      <c r="O1144"/>
      <c r="P1144"/>
    </row>
    <row r="1145" spans="1:16" x14ac:dyDescent="0.4">
      <c r="A1145"/>
      <c r="B1145" s="350"/>
      <c r="C1145"/>
      <c r="D1145"/>
      <c r="E1145"/>
      <c r="F1145"/>
      <c r="G1145"/>
      <c r="H1145"/>
      <c r="I1145"/>
      <c r="J1145"/>
      <c r="K1145"/>
      <c r="L1145"/>
      <c r="M1145"/>
      <c r="N1145"/>
      <c r="O1145"/>
      <c r="P1145"/>
    </row>
    <row r="1146" spans="1:16" x14ac:dyDescent="0.4">
      <c r="A1146"/>
      <c r="B1146" s="350"/>
      <c r="C1146"/>
      <c r="D1146"/>
      <c r="E1146"/>
      <c r="F1146"/>
      <c r="G1146"/>
      <c r="H1146"/>
      <c r="I1146"/>
      <c r="J1146"/>
      <c r="K1146"/>
      <c r="L1146"/>
      <c r="M1146"/>
      <c r="N1146"/>
      <c r="O1146"/>
      <c r="P1146"/>
    </row>
    <row r="1147" spans="1:16" x14ac:dyDescent="0.4">
      <c r="A1147"/>
      <c r="B1147" s="350"/>
      <c r="C1147"/>
      <c r="D1147"/>
      <c r="E1147"/>
      <c r="F1147"/>
      <c r="G1147"/>
      <c r="H1147"/>
      <c r="I1147"/>
      <c r="J1147"/>
      <c r="K1147"/>
      <c r="L1147"/>
      <c r="M1147"/>
      <c r="N1147"/>
      <c r="O1147"/>
      <c r="P1147"/>
    </row>
    <row r="1148" spans="1:16" x14ac:dyDescent="0.4">
      <c r="A1148"/>
      <c r="B1148" s="350"/>
      <c r="C1148"/>
      <c r="D1148"/>
      <c r="E1148"/>
      <c r="F1148"/>
      <c r="G1148"/>
      <c r="H1148"/>
      <c r="I1148"/>
      <c r="J1148"/>
      <c r="K1148"/>
      <c r="L1148"/>
      <c r="M1148"/>
      <c r="N1148"/>
      <c r="O1148"/>
      <c r="P1148"/>
    </row>
    <row r="1149" spans="1:16" x14ac:dyDescent="0.4">
      <c r="A1149"/>
      <c r="B1149" s="350"/>
      <c r="C1149"/>
      <c r="D1149"/>
      <c r="E1149"/>
      <c r="F1149"/>
      <c r="G1149"/>
      <c r="H1149"/>
      <c r="I1149"/>
      <c r="J1149"/>
      <c r="K1149"/>
      <c r="L1149"/>
      <c r="M1149"/>
      <c r="N1149"/>
      <c r="O1149"/>
      <c r="P1149"/>
    </row>
    <row r="1150" spans="1:16" x14ac:dyDescent="0.4">
      <c r="A1150"/>
      <c r="B1150" s="350"/>
      <c r="C1150"/>
      <c r="D1150"/>
      <c r="E1150"/>
      <c r="F1150"/>
      <c r="G1150"/>
      <c r="H1150"/>
      <c r="I1150"/>
      <c r="J1150"/>
      <c r="K1150"/>
      <c r="L1150"/>
      <c r="M1150"/>
      <c r="N1150"/>
      <c r="O1150"/>
      <c r="P1150"/>
    </row>
    <row r="1151" spans="1:16" x14ac:dyDescent="0.4">
      <c r="A1151"/>
      <c r="B1151" s="350"/>
      <c r="C1151"/>
      <c r="D1151"/>
      <c r="E1151"/>
      <c r="F1151"/>
      <c r="G1151"/>
      <c r="H1151"/>
      <c r="I1151"/>
      <c r="J1151"/>
      <c r="K1151"/>
      <c r="L1151"/>
      <c r="M1151"/>
      <c r="N1151"/>
      <c r="O1151"/>
      <c r="P1151"/>
    </row>
    <row r="1152" spans="1:16" x14ac:dyDescent="0.4">
      <c r="A1152"/>
      <c r="B1152" s="350"/>
      <c r="C1152"/>
      <c r="D1152"/>
      <c r="E1152"/>
      <c r="F1152"/>
      <c r="G1152"/>
      <c r="H1152"/>
      <c r="I1152"/>
      <c r="J1152"/>
      <c r="K1152"/>
      <c r="L1152"/>
      <c r="M1152"/>
      <c r="N1152"/>
      <c r="O1152"/>
      <c r="P1152"/>
    </row>
    <row r="1153" spans="1:16" x14ac:dyDescent="0.4">
      <c r="A1153"/>
      <c r="B1153" s="350"/>
      <c r="C1153"/>
      <c r="D1153"/>
      <c r="E1153"/>
      <c r="F1153"/>
      <c r="G1153"/>
      <c r="H1153"/>
      <c r="I1153"/>
      <c r="J1153"/>
      <c r="K1153"/>
      <c r="L1153"/>
      <c r="M1153"/>
      <c r="N1153"/>
      <c r="O1153"/>
      <c r="P1153"/>
    </row>
    <row r="1154" spans="1:16" x14ac:dyDescent="0.4">
      <c r="A1154"/>
      <c r="B1154" s="350"/>
      <c r="C1154"/>
      <c r="D1154"/>
      <c r="E1154"/>
      <c r="F1154"/>
      <c r="G1154"/>
      <c r="H1154"/>
      <c r="I1154"/>
      <c r="J1154"/>
      <c r="K1154"/>
      <c r="L1154"/>
      <c r="M1154"/>
      <c r="N1154"/>
      <c r="O1154"/>
      <c r="P1154"/>
    </row>
    <row r="1155" spans="1:16" x14ac:dyDescent="0.4">
      <c r="A1155"/>
      <c r="B1155" s="350"/>
      <c r="C1155"/>
      <c r="D1155"/>
      <c r="E1155"/>
      <c r="F1155"/>
      <c r="G1155"/>
      <c r="H1155"/>
      <c r="I1155"/>
      <c r="J1155"/>
      <c r="K1155"/>
      <c r="L1155"/>
      <c r="M1155"/>
      <c r="N1155"/>
      <c r="O1155"/>
      <c r="P1155"/>
    </row>
    <row r="1156" spans="1:16" x14ac:dyDescent="0.4">
      <c r="A1156"/>
      <c r="B1156" s="350"/>
      <c r="C1156"/>
      <c r="D1156"/>
      <c r="E1156"/>
      <c r="F1156"/>
      <c r="G1156"/>
      <c r="H1156"/>
      <c r="I1156"/>
      <c r="J1156"/>
      <c r="K1156"/>
      <c r="L1156"/>
      <c r="M1156"/>
      <c r="N1156"/>
      <c r="O1156"/>
      <c r="P1156"/>
    </row>
    <row r="1157" spans="1:16" x14ac:dyDescent="0.4">
      <c r="A1157"/>
      <c r="B1157" s="350"/>
      <c r="C1157"/>
      <c r="D1157"/>
      <c r="E1157"/>
      <c r="F1157"/>
      <c r="G1157"/>
      <c r="H1157"/>
      <c r="I1157"/>
      <c r="J1157"/>
      <c r="K1157"/>
      <c r="L1157"/>
      <c r="M1157"/>
      <c r="N1157"/>
      <c r="O1157"/>
      <c r="P1157"/>
    </row>
    <row r="1158" spans="1:16" x14ac:dyDescent="0.4">
      <c r="A1158"/>
      <c r="B1158" s="350"/>
      <c r="C1158"/>
      <c r="D1158"/>
      <c r="E1158"/>
      <c r="F1158"/>
      <c r="G1158"/>
      <c r="H1158"/>
      <c r="I1158"/>
      <c r="J1158"/>
      <c r="K1158"/>
      <c r="L1158"/>
      <c r="M1158"/>
      <c r="N1158"/>
      <c r="O1158"/>
      <c r="P1158"/>
    </row>
    <row r="1159" spans="1:16" x14ac:dyDescent="0.4">
      <c r="A1159"/>
      <c r="B1159" s="350"/>
      <c r="C1159"/>
      <c r="D1159"/>
      <c r="E1159"/>
      <c r="F1159"/>
      <c r="G1159"/>
      <c r="H1159"/>
      <c r="I1159"/>
      <c r="J1159"/>
      <c r="K1159"/>
      <c r="L1159"/>
      <c r="M1159"/>
      <c r="N1159"/>
      <c r="O1159"/>
      <c r="P1159"/>
    </row>
    <row r="1160" spans="1:16" x14ac:dyDescent="0.4">
      <c r="A1160"/>
      <c r="B1160" s="350"/>
      <c r="C1160"/>
      <c r="D1160"/>
      <c r="E1160"/>
      <c r="F1160"/>
      <c r="G1160"/>
      <c r="H1160"/>
      <c r="I1160"/>
      <c r="J1160"/>
      <c r="K1160"/>
      <c r="L1160"/>
      <c r="M1160"/>
      <c r="N1160"/>
      <c r="O1160"/>
      <c r="P1160"/>
    </row>
    <row r="1161" spans="1:16" x14ac:dyDescent="0.4">
      <c r="A1161"/>
      <c r="B1161" s="350"/>
      <c r="C1161"/>
      <c r="D1161"/>
      <c r="E1161"/>
      <c r="F1161"/>
      <c r="G1161"/>
      <c r="H1161"/>
      <c r="I1161"/>
      <c r="J1161"/>
      <c r="K1161"/>
      <c r="L1161"/>
      <c r="M1161"/>
      <c r="N1161"/>
      <c r="O1161"/>
      <c r="P1161"/>
    </row>
    <row r="1162" spans="1:16" x14ac:dyDescent="0.4">
      <c r="A1162"/>
      <c r="B1162" s="350"/>
      <c r="C1162"/>
      <c r="D1162"/>
      <c r="E1162"/>
      <c r="F1162"/>
      <c r="G1162"/>
      <c r="H1162"/>
      <c r="I1162"/>
      <c r="J1162"/>
      <c r="K1162"/>
      <c r="L1162"/>
      <c r="M1162"/>
      <c r="N1162"/>
      <c r="O1162"/>
      <c r="P1162"/>
    </row>
    <row r="1163" spans="1:16" x14ac:dyDescent="0.4">
      <c r="A1163"/>
      <c r="B1163" s="350"/>
      <c r="C1163"/>
      <c r="D1163"/>
      <c r="E1163"/>
      <c r="F1163"/>
      <c r="G1163"/>
      <c r="H1163"/>
      <c r="I1163"/>
      <c r="J1163"/>
      <c r="K1163"/>
      <c r="L1163"/>
      <c r="M1163"/>
      <c r="N1163"/>
      <c r="O1163"/>
      <c r="P1163"/>
    </row>
    <row r="1164" spans="1:16" x14ac:dyDescent="0.4">
      <c r="A1164"/>
      <c r="B1164" s="350"/>
      <c r="C1164"/>
      <c r="D1164"/>
      <c r="E1164"/>
      <c r="F1164"/>
      <c r="G1164"/>
      <c r="H1164"/>
      <c r="I1164"/>
      <c r="J1164"/>
      <c r="K1164"/>
      <c r="L1164"/>
      <c r="M1164"/>
      <c r="N1164"/>
      <c r="O1164"/>
      <c r="P1164"/>
    </row>
    <row r="1165" spans="1:16" x14ac:dyDescent="0.4">
      <c r="A1165"/>
      <c r="B1165" s="350"/>
      <c r="C1165"/>
      <c r="D1165"/>
      <c r="E1165"/>
      <c r="F1165"/>
      <c r="G1165"/>
      <c r="H1165"/>
      <c r="I1165"/>
      <c r="J1165"/>
      <c r="K1165"/>
      <c r="L1165"/>
      <c r="M1165"/>
      <c r="N1165"/>
      <c r="O1165"/>
      <c r="P1165"/>
    </row>
    <row r="1166" spans="1:16" x14ac:dyDescent="0.4">
      <c r="A1166"/>
      <c r="B1166" s="350"/>
      <c r="C1166"/>
      <c r="D1166"/>
      <c r="E1166"/>
      <c r="F1166"/>
      <c r="G1166"/>
      <c r="H1166"/>
      <c r="I1166"/>
      <c r="J1166"/>
      <c r="K1166"/>
      <c r="L1166"/>
      <c r="M1166"/>
      <c r="N1166"/>
      <c r="O1166"/>
      <c r="P1166"/>
    </row>
    <row r="1167" spans="1:16" x14ac:dyDescent="0.4">
      <c r="A1167"/>
      <c r="B1167" s="350"/>
      <c r="C1167"/>
      <c r="D1167"/>
      <c r="E1167"/>
      <c r="F1167"/>
      <c r="G1167"/>
      <c r="H1167"/>
      <c r="I1167"/>
      <c r="J1167"/>
      <c r="K1167"/>
      <c r="L1167"/>
      <c r="M1167"/>
      <c r="N1167"/>
      <c r="O1167"/>
      <c r="P1167"/>
    </row>
    <row r="1168" spans="1:16" x14ac:dyDescent="0.4">
      <c r="A1168"/>
      <c r="B1168" s="350"/>
      <c r="C1168"/>
      <c r="D1168"/>
      <c r="E1168"/>
      <c r="F1168"/>
      <c r="G1168"/>
      <c r="H1168"/>
      <c r="I1168"/>
      <c r="J1168"/>
      <c r="K1168"/>
      <c r="L1168"/>
      <c r="M1168"/>
      <c r="N1168"/>
      <c r="O1168"/>
      <c r="P1168"/>
    </row>
    <row r="1169" spans="1:16" x14ac:dyDescent="0.4">
      <c r="A1169"/>
      <c r="B1169" s="350"/>
      <c r="C1169"/>
      <c r="D1169"/>
      <c r="E1169"/>
      <c r="F1169"/>
      <c r="G1169"/>
      <c r="H1169"/>
      <c r="I1169"/>
      <c r="J1169"/>
      <c r="K1169"/>
      <c r="L1169"/>
      <c r="M1169"/>
      <c r="N1169"/>
      <c r="O1169"/>
      <c r="P1169"/>
    </row>
    <row r="1170" spans="1:16" x14ac:dyDescent="0.4">
      <c r="A1170"/>
      <c r="B1170" s="350"/>
      <c r="C1170"/>
      <c r="D1170"/>
      <c r="E1170"/>
      <c r="F1170"/>
      <c r="G1170"/>
      <c r="H1170"/>
      <c r="I1170"/>
      <c r="J1170"/>
      <c r="K1170"/>
      <c r="L1170"/>
      <c r="M1170"/>
      <c r="N1170"/>
      <c r="O1170"/>
      <c r="P1170"/>
    </row>
    <row r="1171" spans="1:16" x14ac:dyDescent="0.4">
      <c r="A1171"/>
      <c r="B1171" s="350"/>
      <c r="C1171"/>
      <c r="D1171"/>
      <c r="E1171"/>
      <c r="F1171"/>
      <c r="G1171"/>
      <c r="H1171"/>
      <c r="I1171"/>
      <c r="J1171"/>
      <c r="K1171"/>
      <c r="L1171"/>
      <c r="M1171"/>
      <c r="N1171"/>
      <c r="O1171"/>
      <c r="P1171"/>
    </row>
    <row r="1172" spans="1:16" x14ac:dyDescent="0.4">
      <c r="A1172"/>
      <c r="B1172" s="350"/>
      <c r="C1172"/>
      <c r="D1172"/>
      <c r="E1172"/>
      <c r="F1172"/>
      <c r="G1172"/>
      <c r="H1172"/>
      <c r="I1172"/>
      <c r="J1172"/>
      <c r="K1172"/>
      <c r="L1172"/>
      <c r="M1172"/>
      <c r="N1172"/>
      <c r="O1172"/>
      <c r="P1172"/>
    </row>
    <row r="1173" spans="1:16" x14ac:dyDescent="0.4">
      <c r="A1173"/>
      <c r="B1173" s="350"/>
      <c r="C1173"/>
      <c r="D1173"/>
      <c r="E1173"/>
      <c r="F1173"/>
      <c r="G1173"/>
      <c r="H1173"/>
      <c r="I1173"/>
      <c r="J1173"/>
      <c r="K1173"/>
      <c r="L1173"/>
      <c r="M1173"/>
      <c r="N1173"/>
      <c r="O1173"/>
      <c r="P1173"/>
    </row>
    <row r="1174" spans="1:16" x14ac:dyDescent="0.4">
      <c r="A1174"/>
      <c r="B1174" s="350"/>
      <c r="C1174"/>
      <c r="D1174"/>
      <c r="E1174"/>
      <c r="F1174"/>
      <c r="G1174"/>
      <c r="H1174"/>
      <c r="I1174"/>
      <c r="J1174"/>
      <c r="K1174"/>
      <c r="L1174"/>
      <c r="M1174"/>
      <c r="N1174"/>
      <c r="O1174"/>
      <c r="P1174"/>
    </row>
    <row r="1175" spans="1:16" x14ac:dyDescent="0.4">
      <c r="A1175"/>
      <c r="B1175" s="350"/>
      <c r="C1175"/>
      <c r="D1175"/>
      <c r="E1175"/>
      <c r="F1175"/>
      <c r="G1175"/>
      <c r="H1175"/>
      <c r="I1175"/>
      <c r="J1175"/>
      <c r="K1175"/>
      <c r="L1175"/>
      <c r="M1175"/>
      <c r="N1175"/>
      <c r="O1175"/>
      <c r="P1175"/>
    </row>
    <row r="1176" spans="1:16" x14ac:dyDescent="0.4">
      <c r="A1176"/>
      <c r="B1176" s="350"/>
      <c r="C1176"/>
      <c r="D1176"/>
      <c r="E1176"/>
      <c r="F1176"/>
      <c r="G1176"/>
      <c r="H1176"/>
      <c r="I1176"/>
      <c r="J1176"/>
      <c r="K1176"/>
      <c r="L1176"/>
      <c r="M1176"/>
      <c r="N1176"/>
      <c r="O1176"/>
      <c r="P1176"/>
    </row>
    <row r="1177" spans="1:16" x14ac:dyDescent="0.4">
      <c r="A1177"/>
      <c r="B1177" s="350"/>
      <c r="C1177"/>
      <c r="D1177"/>
      <c r="E1177"/>
      <c r="F1177"/>
      <c r="G1177"/>
      <c r="H1177"/>
      <c r="I1177"/>
      <c r="J1177"/>
      <c r="K1177"/>
      <c r="L1177"/>
      <c r="M1177"/>
      <c r="N1177"/>
      <c r="O1177"/>
      <c r="P1177"/>
    </row>
    <row r="1178" spans="1:16" x14ac:dyDescent="0.4">
      <c r="A1178"/>
      <c r="B1178" s="350"/>
      <c r="C1178"/>
      <c r="D1178"/>
      <c r="E1178"/>
      <c r="F1178"/>
      <c r="G1178"/>
      <c r="H1178"/>
      <c r="I1178"/>
      <c r="J1178"/>
      <c r="K1178"/>
      <c r="L1178"/>
      <c r="M1178"/>
      <c r="N1178"/>
      <c r="O1178"/>
      <c r="P1178"/>
    </row>
    <row r="1179" spans="1:16" x14ac:dyDescent="0.4">
      <c r="A1179"/>
      <c r="B1179" s="350"/>
      <c r="C1179"/>
      <c r="D1179"/>
      <c r="E1179"/>
      <c r="F1179"/>
      <c r="G1179"/>
      <c r="H1179"/>
      <c r="I1179"/>
      <c r="J1179"/>
      <c r="K1179"/>
      <c r="L1179"/>
      <c r="M1179"/>
      <c r="N1179"/>
      <c r="O1179"/>
      <c r="P1179"/>
    </row>
    <row r="1180" spans="1:16" x14ac:dyDescent="0.4">
      <c r="A1180"/>
      <c r="B1180" s="350"/>
      <c r="C1180"/>
      <c r="D1180"/>
      <c r="E1180"/>
      <c r="F1180"/>
      <c r="G1180"/>
      <c r="H1180"/>
      <c r="I1180"/>
      <c r="J1180"/>
      <c r="K1180"/>
      <c r="L1180"/>
      <c r="M1180"/>
      <c r="N1180"/>
      <c r="O1180"/>
      <c r="P1180"/>
    </row>
    <row r="1181" spans="1:16" x14ac:dyDescent="0.4">
      <c r="A1181"/>
      <c r="B1181" s="350"/>
      <c r="C1181"/>
      <c r="D1181"/>
      <c r="E1181"/>
      <c r="F1181"/>
      <c r="G1181"/>
      <c r="H1181"/>
      <c r="I1181"/>
      <c r="J1181"/>
      <c r="K1181"/>
      <c r="L1181"/>
      <c r="M1181"/>
      <c r="N1181"/>
      <c r="O1181"/>
      <c r="P1181"/>
    </row>
    <row r="1182" spans="1:16" x14ac:dyDescent="0.4">
      <c r="A1182"/>
      <c r="B1182" s="350"/>
      <c r="C1182"/>
      <c r="D1182"/>
      <c r="E1182"/>
      <c r="F1182"/>
      <c r="G1182"/>
      <c r="H1182"/>
      <c r="I1182"/>
      <c r="J1182"/>
      <c r="K1182"/>
      <c r="L1182"/>
      <c r="M1182"/>
      <c r="N1182"/>
      <c r="O1182"/>
      <c r="P1182"/>
    </row>
    <row r="1183" spans="1:16" x14ac:dyDescent="0.4">
      <c r="A1183"/>
      <c r="B1183" s="350"/>
      <c r="C1183"/>
      <c r="D1183"/>
      <c r="E1183"/>
      <c r="F1183"/>
      <c r="G1183"/>
      <c r="H1183"/>
      <c r="I1183"/>
      <c r="J1183"/>
      <c r="K1183"/>
      <c r="L1183"/>
      <c r="M1183"/>
      <c r="N1183"/>
      <c r="O1183"/>
      <c r="P1183"/>
    </row>
    <row r="1184" spans="1:16" x14ac:dyDescent="0.4">
      <c r="A1184"/>
      <c r="B1184" s="350"/>
      <c r="C1184"/>
      <c r="D1184"/>
      <c r="E1184"/>
      <c r="F1184"/>
      <c r="G1184"/>
      <c r="H1184"/>
      <c r="I1184"/>
      <c r="J1184"/>
      <c r="K1184"/>
      <c r="L1184"/>
      <c r="M1184"/>
      <c r="N1184"/>
      <c r="O1184"/>
      <c r="P1184"/>
    </row>
    <row r="1185" spans="1:16" x14ac:dyDescent="0.4">
      <c r="A1185"/>
      <c r="B1185" s="350"/>
      <c r="C1185"/>
      <c r="D1185"/>
      <c r="E1185"/>
      <c r="F1185"/>
      <c r="G1185"/>
      <c r="H1185"/>
      <c r="I1185"/>
      <c r="J1185"/>
      <c r="K1185"/>
      <c r="L1185"/>
      <c r="M1185"/>
      <c r="N1185"/>
      <c r="O1185"/>
      <c r="P1185"/>
    </row>
    <row r="1186" spans="1:16" x14ac:dyDescent="0.4">
      <c r="A1186"/>
      <c r="B1186" s="350"/>
      <c r="C1186"/>
      <c r="D1186"/>
      <c r="E1186"/>
      <c r="F1186"/>
      <c r="G1186"/>
      <c r="H1186"/>
      <c r="I1186"/>
      <c r="J1186"/>
      <c r="K1186"/>
      <c r="L1186"/>
      <c r="M1186"/>
      <c r="N1186"/>
      <c r="O1186"/>
      <c r="P1186"/>
    </row>
    <row r="1187" spans="1:16" x14ac:dyDescent="0.4">
      <c r="A1187"/>
      <c r="B1187" s="350"/>
      <c r="C1187"/>
      <c r="D1187"/>
      <c r="E1187"/>
      <c r="F1187"/>
      <c r="G1187"/>
      <c r="H1187"/>
      <c r="I1187"/>
      <c r="J1187"/>
      <c r="K1187"/>
      <c r="L1187"/>
      <c r="M1187"/>
      <c r="N1187"/>
      <c r="O1187"/>
      <c r="P1187"/>
    </row>
    <row r="1188" spans="1:16" x14ac:dyDescent="0.4">
      <c r="A1188"/>
      <c r="B1188" s="350"/>
      <c r="C1188"/>
      <c r="D1188"/>
      <c r="E1188"/>
      <c r="F1188"/>
      <c r="G1188"/>
      <c r="H1188"/>
      <c r="I1188"/>
      <c r="J1188"/>
      <c r="K1188"/>
      <c r="L1188"/>
      <c r="M1188"/>
      <c r="N1188"/>
      <c r="O1188"/>
      <c r="P1188"/>
    </row>
    <row r="1189" spans="1:16" x14ac:dyDescent="0.4">
      <c r="A1189"/>
      <c r="B1189" s="350"/>
      <c r="C1189"/>
      <c r="D1189"/>
      <c r="E1189"/>
      <c r="F1189"/>
      <c r="G1189"/>
      <c r="H1189"/>
      <c r="I1189"/>
      <c r="J1189"/>
      <c r="K1189"/>
      <c r="L1189"/>
      <c r="M1189"/>
      <c r="N1189"/>
      <c r="O1189"/>
      <c r="P1189"/>
    </row>
    <row r="1190" spans="1:16" x14ac:dyDescent="0.4">
      <c r="A1190"/>
      <c r="B1190" s="350"/>
      <c r="C1190"/>
      <c r="D1190"/>
      <c r="E1190"/>
      <c r="F1190"/>
      <c r="G1190"/>
      <c r="H1190"/>
      <c r="I1190"/>
      <c r="J1190"/>
      <c r="K1190"/>
      <c r="L1190"/>
      <c r="M1190"/>
      <c r="N1190"/>
      <c r="O1190"/>
      <c r="P1190"/>
    </row>
    <row r="1191" spans="1:16" x14ac:dyDescent="0.4">
      <c r="A1191"/>
      <c r="B1191" s="350"/>
      <c r="C1191"/>
      <c r="D1191"/>
      <c r="E1191"/>
      <c r="F1191"/>
      <c r="G1191"/>
      <c r="H1191"/>
      <c r="I1191"/>
      <c r="J1191"/>
      <c r="K1191"/>
      <c r="L1191"/>
      <c r="M1191"/>
      <c r="N1191"/>
      <c r="O1191"/>
      <c r="P1191"/>
    </row>
    <row r="1192" spans="1:16" x14ac:dyDescent="0.4">
      <c r="A1192"/>
      <c r="B1192" s="350"/>
      <c r="C1192"/>
      <c r="D1192"/>
      <c r="E1192"/>
      <c r="F1192"/>
      <c r="G1192"/>
      <c r="H1192"/>
      <c r="I1192"/>
      <c r="J1192"/>
      <c r="K1192"/>
      <c r="L1192"/>
      <c r="M1192"/>
      <c r="N1192"/>
      <c r="O1192"/>
      <c r="P1192"/>
    </row>
    <row r="1193" spans="1:16" x14ac:dyDescent="0.4">
      <c r="A1193"/>
      <c r="B1193" s="350"/>
      <c r="C1193"/>
      <c r="D1193"/>
      <c r="E1193"/>
      <c r="F1193"/>
      <c r="G1193"/>
      <c r="H1193"/>
      <c r="I1193"/>
      <c r="J1193"/>
      <c r="K1193"/>
      <c r="L1193"/>
      <c r="M1193"/>
      <c r="N1193"/>
      <c r="O1193"/>
      <c r="P1193"/>
    </row>
    <row r="1194" spans="1:16" x14ac:dyDescent="0.4">
      <c r="A1194"/>
      <c r="B1194" s="350"/>
      <c r="C1194"/>
      <c r="D1194"/>
      <c r="E1194"/>
      <c r="F1194"/>
      <c r="G1194"/>
      <c r="H1194"/>
      <c r="I1194"/>
      <c r="J1194"/>
      <c r="K1194"/>
      <c r="L1194"/>
      <c r="M1194"/>
      <c r="N1194"/>
      <c r="O1194"/>
      <c r="P1194"/>
    </row>
    <row r="1195" spans="1:16" x14ac:dyDescent="0.4">
      <c r="A1195"/>
      <c r="B1195" s="350"/>
      <c r="C1195"/>
      <c r="D1195"/>
      <c r="E1195"/>
      <c r="F1195"/>
      <c r="G1195"/>
      <c r="H1195"/>
      <c r="I1195"/>
      <c r="J1195"/>
      <c r="K1195"/>
      <c r="L1195"/>
      <c r="M1195"/>
      <c r="N1195"/>
      <c r="O1195"/>
      <c r="P1195"/>
    </row>
    <row r="1196" spans="1:16" x14ac:dyDescent="0.4">
      <c r="A1196"/>
      <c r="B1196" s="350"/>
      <c r="C1196"/>
      <c r="D1196"/>
      <c r="E1196"/>
      <c r="F1196"/>
      <c r="G1196"/>
      <c r="H1196"/>
      <c r="I1196"/>
      <c r="J1196"/>
      <c r="K1196"/>
      <c r="L1196"/>
      <c r="M1196"/>
      <c r="N1196"/>
      <c r="O1196"/>
      <c r="P1196"/>
    </row>
    <row r="1197" spans="1:16" x14ac:dyDescent="0.4">
      <c r="A1197"/>
      <c r="B1197" s="350"/>
      <c r="C1197"/>
      <c r="D1197"/>
      <c r="E1197"/>
      <c r="F1197"/>
      <c r="G1197"/>
      <c r="H1197"/>
      <c r="I1197"/>
      <c r="J1197"/>
      <c r="K1197"/>
      <c r="L1197"/>
      <c r="M1197"/>
      <c r="N1197"/>
      <c r="O1197"/>
      <c r="P1197"/>
    </row>
    <row r="1198" spans="1:16" x14ac:dyDescent="0.4">
      <c r="A1198"/>
      <c r="B1198" s="350"/>
      <c r="C1198"/>
      <c r="D1198"/>
      <c r="E1198"/>
      <c r="F1198"/>
      <c r="G1198"/>
      <c r="H1198"/>
      <c r="I1198"/>
      <c r="J1198"/>
      <c r="K1198"/>
      <c r="L1198"/>
      <c r="M1198"/>
      <c r="N1198"/>
      <c r="O1198"/>
      <c r="P1198"/>
    </row>
    <row r="1199" spans="1:16" x14ac:dyDescent="0.4">
      <c r="A1199"/>
      <c r="B1199" s="350"/>
      <c r="C1199"/>
      <c r="D1199"/>
      <c r="E1199"/>
      <c r="F1199"/>
      <c r="G1199"/>
      <c r="H1199"/>
      <c r="I1199"/>
      <c r="J1199"/>
      <c r="K1199"/>
      <c r="L1199"/>
      <c r="M1199"/>
      <c r="N1199"/>
      <c r="O1199"/>
      <c r="P1199"/>
    </row>
    <row r="1200" spans="1:16" x14ac:dyDescent="0.4">
      <c r="A1200"/>
      <c r="B1200" s="350"/>
      <c r="C1200"/>
      <c r="D1200"/>
      <c r="E1200"/>
      <c r="F1200"/>
      <c r="G1200"/>
      <c r="H1200"/>
      <c r="I1200"/>
      <c r="J1200"/>
      <c r="K1200"/>
      <c r="L1200"/>
      <c r="M1200"/>
      <c r="N1200"/>
      <c r="O1200"/>
      <c r="P1200"/>
    </row>
    <row r="1201" spans="1:16" x14ac:dyDescent="0.4">
      <c r="A1201"/>
      <c r="B1201" s="350"/>
      <c r="C1201"/>
      <c r="D1201"/>
      <c r="E1201"/>
      <c r="F1201"/>
      <c r="G1201"/>
      <c r="H1201"/>
      <c r="I1201"/>
      <c r="J1201"/>
      <c r="K1201"/>
      <c r="L1201"/>
      <c r="M1201"/>
      <c r="N1201"/>
      <c r="O1201"/>
      <c r="P1201"/>
    </row>
    <row r="1202" spans="1:16" x14ac:dyDescent="0.4">
      <c r="A1202"/>
      <c r="B1202" s="350"/>
      <c r="C1202"/>
      <c r="D1202"/>
      <c r="E1202"/>
      <c r="F1202"/>
      <c r="G1202"/>
      <c r="H1202"/>
      <c r="I1202"/>
      <c r="J1202"/>
      <c r="K1202"/>
      <c r="L1202"/>
      <c r="M1202"/>
      <c r="N1202"/>
      <c r="O1202"/>
      <c r="P1202"/>
    </row>
    <row r="1203" spans="1:16" x14ac:dyDescent="0.4">
      <c r="A1203"/>
      <c r="B1203" s="350"/>
      <c r="C1203"/>
      <c r="D1203"/>
      <c r="E1203"/>
      <c r="F1203"/>
      <c r="G1203"/>
      <c r="H1203"/>
      <c r="I1203"/>
      <c r="J1203"/>
      <c r="K1203"/>
      <c r="L1203"/>
      <c r="M1203"/>
      <c r="N1203"/>
      <c r="O1203"/>
      <c r="P1203"/>
    </row>
    <row r="1204" spans="1:16" x14ac:dyDescent="0.4">
      <c r="A1204"/>
      <c r="B1204" s="350"/>
      <c r="C1204"/>
      <c r="D1204"/>
      <c r="E1204"/>
      <c r="F1204"/>
      <c r="G1204"/>
      <c r="H1204"/>
      <c r="I1204"/>
      <c r="J1204"/>
      <c r="K1204"/>
      <c r="L1204"/>
      <c r="M1204"/>
      <c r="N1204"/>
      <c r="O1204"/>
      <c r="P1204"/>
    </row>
    <row r="1205" spans="1:16" x14ac:dyDescent="0.4">
      <c r="A1205"/>
      <c r="B1205" s="350"/>
      <c r="C1205"/>
      <c r="D1205"/>
      <c r="E1205"/>
      <c r="F1205"/>
      <c r="G1205"/>
      <c r="H1205"/>
      <c r="I1205"/>
      <c r="J1205"/>
      <c r="K1205"/>
      <c r="L1205"/>
      <c r="M1205"/>
      <c r="N1205"/>
      <c r="O1205"/>
      <c r="P1205"/>
    </row>
    <row r="1206" spans="1:16" x14ac:dyDescent="0.4">
      <c r="A1206"/>
      <c r="B1206" s="350"/>
      <c r="C1206"/>
      <c r="D1206"/>
      <c r="E1206"/>
      <c r="F1206"/>
      <c r="G1206"/>
      <c r="H1206"/>
      <c r="I1206"/>
      <c r="J1206"/>
      <c r="K1206"/>
      <c r="L1206"/>
      <c r="M1206"/>
      <c r="N1206"/>
      <c r="O1206"/>
      <c r="P1206"/>
    </row>
    <row r="1207" spans="1:16" x14ac:dyDescent="0.4">
      <c r="A1207"/>
      <c r="B1207" s="350"/>
      <c r="C1207"/>
      <c r="D1207"/>
      <c r="E1207"/>
      <c r="F1207"/>
      <c r="G1207"/>
      <c r="H1207"/>
      <c r="I1207"/>
      <c r="J1207"/>
      <c r="K1207"/>
      <c r="L1207"/>
      <c r="M1207"/>
      <c r="N1207"/>
      <c r="O1207"/>
      <c r="P1207"/>
    </row>
    <row r="1208" spans="1:16" x14ac:dyDescent="0.4">
      <c r="A1208"/>
      <c r="B1208" s="350"/>
      <c r="C1208"/>
      <c r="D1208"/>
      <c r="E1208"/>
      <c r="F1208"/>
      <c r="G1208"/>
      <c r="H1208"/>
      <c r="I1208"/>
      <c r="J1208"/>
      <c r="K1208"/>
      <c r="L1208"/>
      <c r="M1208"/>
      <c r="N1208"/>
      <c r="O1208"/>
      <c r="P1208"/>
    </row>
    <row r="1209" spans="1:16" x14ac:dyDescent="0.4">
      <c r="A1209"/>
      <c r="B1209" s="350"/>
      <c r="C1209"/>
      <c r="D1209"/>
      <c r="E1209"/>
      <c r="F1209"/>
      <c r="G1209"/>
      <c r="H1209"/>
      <c r="I1209"/>
      <c r="J1209"/>
      <c r="K1209"/>
      <c r="L1209"/>
      <c r="M1209"/>
      <c r="N1209"/>
      <c r="O1209"/>
      <c r="P1209"/>
    </row>
    <row r="1210" spans="1:16" x14ac:dyDescent="0.4">
      <c r="A1210"/>
      <c r="B1210" s="350"/>
      <c r="C1210"/>
      <c r="D1210"/>
      <c r="E1210"/>
      <c r="F1210"/>
      <c r="G1210"/>
      <c r="H1210"/>
      <c r="I1210"/>
      <c r="J1210"/>
      <c r="K1210"/>
      <c r="L1210"/>
      <c r="M1210"/>
      <c r="N1210"/>
      <c r="O1210"/>
      <c r="P1210"/>
    </row>
    <row r="1211" spans="1:16" x14ac:dyDescent="0.4">
      <c r="A1211"/>
      <c r="B1211" s="350"/>
      <c r="C1211"/>
      <c r="D1211"/>
      <c r="E1211"/>
      <c r="F1211"/>
      <c r="G1211"/>
      <c r="H1211"/>
      <c r="I1211"/>
      <c r="J1211"/>
      <c r="K1211"/>
      <c r="L1211"/>
      <c r="M1211"/>
      <c r="N1211"/>
      <c r="O1211"/>
      <c r="P1211"/>
    </row>
    <row r="1212" spans="1:16" x14ac:dyDescent="0.4">
      <c r="A1212"/>
      <c r="B1212" s="350"/>
      <c r="C1212"/>
      <c r="D1212"/>
      <c r="E1212"/>
      <c r="F1212"/>
      <c r="G1212"/>
      <c r="H1212"/>
      <c r="I1212"/>
      <c r="J1212"/>
      <c r="K1212"/>
      <c r="L1212"/>
      <c r="M1212"/>
      <c r="N1212"/>
      <c r="O1212"/>
      <c r="P1212"/>
    </row>
    <row r="1213" spans="1:16" x14ac:dyDescent="0.4">
      <c r="A1213"/>
      <c r="B1213" s="350"/>
      <c r="C1213"/>
      <c r="D1213"/>
      <c r="E1213"/>
      <c r="F1213"/>
      <c r="G1213"/>
      <c r="H1213"/>
      <c r="I1213"/>
      <c r="J1213"/>
      <c r="K1213"/>
      <c r="L1213"/>
      <c r="M1213"/>
      <c r="N1213"/>
      <c r="O1213"/>
      <c r="P1213"/>
    </row>
    <row r="1214" spans="1:16" x14ac:dyDescent="0.4">
      <c r="A1214"/>
      <c r="B1214" s="350"/>
      <c r="C1214"/>
      <c r="D1214"/>
      <c r="E1214"/>
      <c r="F1214"/>
      <c r="G1214"/>
      <c r="H1214"/>
      <c r="I1214"/>
      <c r="J1214"/>
      <c r="K1214"/>
      <c r="L1214"/>
      <c r="M1214"/>
      <c r="N1214"/>
      <c r="O1214"/>
      <c r="P1214"/>
    </row>
    <row r="1215" spans="1:16" x14ac:dyDescent="0.4">
      <c r="A1215"/>
      <c r="B1215" s="350"/>
      <c r="C1215"/>
      <c r="D1215"/>
      <c r="E1215"/>
      <c r="F1215"/>
      <c r="G1215"/>
      <c r="H1215"/>
      <c r="I1215"/>
      <c r="J1215"/>
      <c r="K1215"/>
      <c r="L1215"/>
      <c r="M1215"/>
      <c r="N1215"/>
      <c r="O1215"/>
      <c r="P1215"/>
    </row>
    <row r="1216" spans="1:16" x14ac:dyDescent="0.4">
      <c r="A1216"/>
      <c r="B1216" s="350"/>
      <c r="C1216"/>
      <c r="D1216"/>
      <c r="E1216"/>
      <c r="F1216"/>
      <c r="G1216"/>
      <c r="H1216"/>
      <c r="I1216"/>
      <c r="J1216"/>
      <c r="K1216"/>
      <c r="L1216"/>
      <c r="M1216"/>
      <c r="N1216"/>
      <c r="O1216"/>
      <c r="P1216"/>
    </row>
    <row r="1217" spans="1:16" x14ac:dyDescent="0.4">
      <c r="A1217"/>
      <c r="B1217" s="350"/>
      <c r="C1217"/>
      <c r="D1217"/>
      <c r="E1217"/>
      <c r="F1217"/>
      <c r="G1217"/>
      <c r="H1217"/>
      <c r="I1217"/>
      <c r="J1217"/>
      <c r="K1217"/>
      <c r="L1217"/>
      <c r="M1217"/>
      <c r="N1217"/>
      <c r="O1217"/>
      <c r="P1217"/>
    </row>
    <row r="1218" spans="1:16" x14ac:dyDescent="0.4">
      <c r="A1218"/>
      <c r="B1218" s="350"/>
      <c r="C1218"/>
      <c r="D1218"/>
      <c r="E1218"/>
      <c r="F1218"/>
      <c r="G1218"/>
      <c r="H1218"/>
      <c r="I1218"/>
      <c r="J1218"/>
      <c r="K1218"/>
      <c r="L1218"/>
      <c r="M1218"/>
      <c r="N1218"/>
      <c r="O1218"/>
      <c r="P1218"/>
    </row>
    <row r="1219" spans="1:16" x14ac:dyDescent="0.4">
      <c r="A1219"/>
      <c r="B1219" s="350"/>
      <c r="C1219"/>
      <c r="D1219"/>
      <c r="E1219"/>
      <c r="F1219"/>
      <c r="G1219"/>
      <c r="H1219"/>
      <c r="I1219"/>
      <c r="J1219"/>
      <c r="K1219"/>
      <c r="L1219"/>
      <c r="M1219"/>
      <c r="N1219"/>
      <c r="O1219"/>
      <c r="P1219"/>
    </row>
    <row r="1220" spans="1:16" x14ac:dyDescent="0.4">
      <c r="A1220"/>
      <c r="B1220" s="350"/>
      <c r="C1220"/>
      <c r="D1220"/>
      <c r="E1220"/>
      <c r="F1220"/>
      <c r="G1220"/>
      <c r="H1220"/>
      <c r="I1220"/>
      <c r="J1220"/>
      <c r="K1220"/>
      <c r="L1220"/>
      <c r="M1220"/>
      <c r="N1220"/>
      <c r="O1220"/>
      <c r="P1220"/>
    </row>
    <row r="1221" spans="1:16" x14ac:dyDescent="0.4">
      <c r="A1221"/>
      <c r="B1221" s="350"/>
      <c r="C1221"/>
      <c r="D1221"/>
      <c r="E1221"/>
      <c r="F1221"/>
      <c r="G1221"/>
      <c r="H1221"/>
      <c r="I1221"/>
      <c r="J1221"/>
      <c r="K1221"/>
      <c r="L1221"/>
      <c r="M1221"/>
      <c r="N1221"/>
      <c r="O1221"/>
      <c r="P1221"/>
    </row>
    <row r="1222" spans="1:16" x14ac:dyDescent="0.4">
      <c r="A1222"/>
      <c r="B1222" s="350"/>
      <c r="C1222"/>
      <c r="D1222"/>
      <c r="E1222"/>
      <c r="F1222"/>
      <c r="G1222"/>
      <c r="H1222"/>
      <c r="I1222"/>
      <c r="J1222"/>
      <c r="K1222"/>
      <c r="L1222"/>
      <c r="M1222"/>
      <c r="N1222"/>
      <c r="O1222"/>
      <c r="P1222"/>
    </row>
    <row r="1223" spans="1:16" x14ac:dyDescent="0.4">
      <c r="A1223"/>
      <c r="B1223" s="350"/>
      <c r="C1223"/>
      <c r="D1223"/>
      <c r="E1223"/>
      <c r="F1223"/>
      <c r="G1223"/>
      <c r="H1223"/>
      <c r="I1223"/>
      <c r="J1223"/>
      <c r="K1223"/>
      <c r="L1223"/>
      <c r="M1223"/>
      <c r="N1223"/>
      <c r="O1223"/>
      <c r="P1223"/>
    </row>
    <row r="1224" spans="1:16" x14ac:dyDescent="0.4">
      <c r="A1224"/>
      <c r="B1224" s="350"/>
      <c r="C1224"/>
      <c r="D1224"/>
      <c r="E1224"/>
      <c r="F1224"/>
      <c r="G1224"/>
      <c r="H1224"/>
      <c r="I1224"/>
      <c r="J1224"/>
      <c r="K1224"/>
      <c r="L1224"/>
      <c r="M1224"/>
      <c r="N1224"/>
      <c r="O1224"/>
      <c r="P1224"/>
    </row>
    <row r="1225" spans="1:16" x14ac:dyDescent="0.4">
      <c r="A1225"/>
      <c r="B1225" s="350"/>
      <c r="C1225"/>
      <c r="D1225"/>
      <c r="E1225"/>
      <c r="F1225"/>
      <c r="G1225"/>
      <c r="H1225"/>
      <c r="I1225"/>
      <c r="J1225"/>
      <c r="K1225"/>
      <c r="L1225"/>
      <c r="M1225"/>
      <c r="N1225"/>
      <c r="O1225"/>
      <c r="P1225"/>
    </row>
    <row r="1226" spans="1:16" x14ac:dyDescent="0.4">
      <c r="A1226"/>
      <c r="B1226" s="350"/>
      <c r="C1226"/>
      <c r="D1226"/>
      <c r="E1226"/>
      <c r="F1226"/>
      <c r="G1226"/>
      <c r="H1226"/>
      <c r="I1226"/>
      <c r="J1226"/>
      <c r="K1226"/>
      <c r="L1226"/>
      <c r="M1226"/>
      <c r="N1226"/>
      <c r="O1226"/>
      <c r="P1226"/>
    </row>
    <row r="1227" spans="1:16" x14ac:dyDescent="0.4">
      <c r="A1227"/>
      <c r="B1227" s="350"/>
      <c r="C1227"/>
      <c r="D1227"/>
      <c r="E1227"/>
      <c r="F1227"/>
      <c r="G1227"/>
      <c r="H1227"/>
      <c r="I1227"/>
      <c r="J1227"/>
      <c r="K1227"/>
      <c r="L1227"/>
      <c r="M1227"/>
      <c r="N1227"/>
      <c r="O1227"/>
      <c r="P1227"/>
    </row>
    <row r="1228" spans="1:16" x14ac:dyDescent="0.4">
      <c r="A1228"/>
      <c r="B1228" s="350"/>
      <c r="C1228"/>
      <c r="D1228"/>
      <c r="E1228"/>
      <c r="F1228"/>
      <c r="G1228"/>
      <c r="H1228"/>
      <c r="I1228"/>
      <c r="J1228"/>
      <c r="K1228"/>
      <c r="L1228"/>
      <c r="M1228"/>
      <c r="N1228"/>
      <c r="O1228"/>
      <c r="P1228"/>
    </row>
    <row r="1229" spans="1:16" x14ac:dyDescent="0.4">
      <c r="A1229"/>
      <c r="B1229" s="350"/>
      <c r="C1229"/>
      <c r="D1229"/>
      <c r="E1229"/>
      <c r="F1229"/>
      <c r="G1229"/>
      <c r="H1229"/>
      <c r="I1229"/>
      <c r="J1229"/>
      <c r="K1229"/>
      <c r="L1229"/>
      <c r="M1229"/>
      <c r="N1229"/>
      <c r="O1229"/>
      <c r="P1229"/>
    </row>
    <row r="1230" spans="1:16" x14ac:dyDescent="0.4">
      <c r="A1230"/>
      <c r="B1230" s="350"/>
      <c r="C1230"/>
      <c r="D1230"/>
      <c r="E1230"/>
      <c r="F1230"/>
      <c r="G1230"/>
      <c r="H1230"/>
      <c r="I1230"/>
      <c r="J1230"/>
      <c r="K1230"/>
      <c r="L1230"/>
      <c r="M1230"/>
      <c r="N1230"/>
      <c r="O1230"/>
      <c r="P1230"/>
    </row>
    <row r="1231" spans="1:16" x14ac:dyDescent="0.4">
      <c r="A1231"/>
      <c r="B1231" s="350"/>
      <c r="C1231"/>
      <c r="D1231"/>
      <c r="E1231"/>
      <c r="F1231"/>
      <c r="G1231"/>
      <c r="H1231"/>
      <c r="I1231"/>
      <c r="J1231"/>
      <c r="K1231"/>
      <c r="L1231"/>
      <c r="M1231"/>
      <c r="N1231"/>
      <c r="O1231"/>
      <c r="P1231"/>
    </row>
    <row r="1232" spans="1:16" x14ac:dyDescent="0.4">
      <c r="A1232"/>
      <c r="B1232" s="350"/>
      <c r="C1232"/>
      <c r="D1232"/>
      <c r="E1232"/>
      <c r="F1232"/>
      <c r="G1232"/>
      <c r="H1232"/>
      <c r="I1232"/>
      <c r="J1232"/>
      <c r="K1232"/>
      <c r="L1232"/>
      <c r="M1232"/>
      <c r="N1232"/>
      <c r="O1232"/>
      <c r="P1232"/>
    </row>
    <row r="1233" spans="1:16" x14ac:dyDescent="0.4">
      <c r="A1233"/>
      <c r="B1233" s="350"/>
      <c r="C1233"/>
      <c r="D1233"/>
      <c r="E1233"/>
      <c r="F1233"/>
      <c r="G1233"/>
      <c r="H1233"/>
      <c r="I1233"/>
      <c r="J1233"/>
      <c r="K1233"/>
      <c r="L1233"/>
      <c r="M1233"/>
      <c r="N1233"/>
      <c r="O1233"/>
      <c r="P1233"/>
    </row>
    <row r="1234" spans="1:16" x14ac:dyDescent="0.4">
      <c r="A1234"/>
      <c r="B1234" s="350"/>
      <c r="C1234"/>
      <c r="D1234"/>
      <c r="E1234"/>
      <c r="F1234"/>
      <c r="G1234"/>
      <c r="H1234"/>
      <c r="I1234"/>
      <c r="J1234"/>
      <c r="K1234"/>
      <c r="L1234"/>
      <c r="M1234"/>
      <c r="N1234"/>
      <c r="O1234"/>
      <c r="P1234"/>
    </row>
    <row r="1235" spans="1:16" x14ac:dyDescent="0.4">
      <c r="A1235"/>
      <c r="B1235" s="350"/>
      <c r="C1235"/>
      <c r="D1235"/>
      <c r="E1235"/>
      <c r="F1235"/>
      <c r="G1235"/>
      <c r="H1235"/>
      <c r="I1235"/>
      <c r="J1235"/>
      <c r="K1235"/>
      <c r="L1235"/>
      <c r="M1235"/>
      <c r="N1235"/>
      <c r="O1235"/>
      <c r="P1235"/>
    </row>
    <row r="1236" spans="1:16" x14ac:dyDescent="0.4">
      <c r="A1236"/>
      <c r="B1236" s="350"/>
      <c r="C1236"/>
      <c r="D1236"/>
      <c r="E1236"/>
      <c r="F1236"/>
      <c r="G1236"/>
      <c r="H1236"/>
      <c r="I1236"/>
      <c r="J1236"/>
      <c r="K1236"/>
      <c r="L1236"/>
      <c r="M1236"/>
      <c r="N1236"/>
      <c r="O1236"/>
      <c r="P1236"/>
    </row>
    <row r="1237" spans="1:16" x14ac:dyDescent="0.4">
      <c r="A1237"/>
      <c r="B1237" s="350"/>
      <c r="C1237"/>
      <c r="D1237"/>
      <c r="E1237"/>
      <c r="F1237"/>
      <c r="G1237"/>
      <c r="H1237"/>
      <c r="I1237"/>
      <c r="J1237"/>
      <c r="K1237"/>
      <c r="L1237"/>
      <c r="M1237"/>
      <c r="N1237"/>
      <c r="O1237"/>
      <c r="P1237"/>
    </row>
    <row r="1238" spans="1:16" x14ac:dyDescent="0.4">
      <c r="A1238"/>
      <c r="B1238" s="350"/>
      <c r="C1238"/>
      <c r="D1238"/>
      <c r="E1238"/>
      <c r="F1238"/>
      <c r="G1238"/>
      <c r="H1238"/>
      <c r="I1238"/>
      <c r="J1238"/>
      <c r="K1238"/>
      <c r="L1238"/>
      <c r="M1238"/>
      <c r="N1238"/>
      <c r="O1238"/>
      <c r="P1238"/>
    </row>
    <row r="1239" spans="1:16" x14ac:dyDescent="0.4">
      <c r="A1239"/>
      <c r="B1239" s="350"/>
      <c r="C1239"/>
      <c r="D1239"/>
      <c r="E1239"/>
      <c r="F1239"/>
      <c r="G1239"/>
      <c r="H1239"/>
      <c r="I1239"/>
      <c r="J1239"/>
      <c r="K1239"/>
      <c r="L1239"/>
      <c r="M1239"/>
      <c r="N1239"/>
      <c r="O1239"/>
      <c r="P1239"/>
    </row>
    <row r="1240" spans="1:16" x14ac:dyDescent="0.4">
      <c r="A1240"/>
      <c r="B1240" s="350"/>
      <c r="C1240"/>
      <c r="D1240"/>
      <c r="E1240"/>
      <c r="F1240"/>
      <c r="G1240"/>
      <c r="H1240"/>
      <c r="I1240"/>
      <c r="J1240"/>
      <c r="K1240"/>
      <c r="L1240"/>
      <c r="M1240"/>
      <c r="N1240"/>
      <c r="O1240"/>
      <c r="P1240"/>
    </row>
    <row r="1241" spans="1:16" x14ac:dyDescent="0.4">
      <c r="A1241"/>
      <c r="B1241" s="350"/>
      <c r="C1241"/>
      <c r="D1241"/>
      <c r="E1241"/>
      <c r="F1241"/>
      <c r="G1241"/>
      <c r="H1241"/>
      <c r="I1241"/>
      <c r="J1241"/>
      <c r="K1241"/>
      <c r="L1241"/>
      <c r="M1241"/>
      <c r="N1241"/>
      <c r="O1241"/>
      <c r="P1241"/>
    </row>
    <row r="1242" spans="1:16" x14ac:dyDescent="0.4">
      <c r="A1242"/>
      <c r="B1242" s="350"/>
      <c r="C1242"/>
      <c r="D1242"/>
      <c r="E1242"/>
      <c r="F1242"/>
      <c r="G1242"/>
      <c r="H1242"/>
      <c r="I1242"/>
      <c r="J1242"/>
      <c r="K1242"/>
      <c r="L1242"/>
      <c r="M1242"/>
      <c r="N1242"/>
      <c r="O1242"/>
      <c r="P1242"/>
    </row>
    <row r="1243" spans="1:16" x14ac:dyDescent="0.4">
      <c r="A1243"/>
      <c r="B1243" s="350"/>
      <c r="C1243"/>
      <c r="D1243"/>
      <c r="E1243"/>
      <c r="F1243"/>
      <c r="G1243"/>
      <c r="H1243"/>
      <c r="I1243"/>
      <c r="J1243"/>
      <c r="K1243"/>
      <c r="L1243"/>
      <c r="M1243"/>
      <c r="N1243"/>
      <c r="O1243"/>
      <c r="P1243"/>
    </row>
    <row r="1244" spans="1:16" x14ac:dyDescent="0.4">
      <c r="A1244"/>
      <c r="B1244" s="350"/>
      <c r="C1244"/>
      <c r="D1244"/>
      <c r="E1244"/>
      <c r="F1244"/>
      <c r="G1244"/>
      <c r="H1244"/>
      <c r="I1244"/>
      <c r="J1244"/>
      <c r="K1244"/>
      <c r="L1244"/>
      <c r="M1244"/>
      <c r="N1244"/>
      <c r="O1244"/>
      <c r="P1244"/>
    </row>
    <row r="1245" spans="1:16" x14ac:dyDescent="0.4">
      <c r="A1245"/>
      <c r="B1245" s="350"/>
      <c r="C1245"/>
      <c r="D1245"/>
      <c r="E1245"/>
      <c r="F1245"/>
      <c r="G1245"/>
      <c r="H1245"/>
      <c r="I1245"/>
      <c r="J1245"/>
      <c r="K1245"/>
      <c r="L1245"/>
      <c r="M1245"/>
      <c r="N1245"/>
      <c r="O1245"/>
      <c r="P1245"/>
    </row>
    <row r="1246" spans="1:16" x14ac:dyDescent="0.4">
      <c r="A1246"/>
      <c r="B1246" s="350"/>
      <c r="C1246"/>
      <c r="D1246"/>
      <c r="E1246"/>
      <c r="F1246"/>
      <c r="G1246"/>
      <c r="H1246"/>
      <c r="I1246"/>
      <c r="J1246"/>
      <c r="K1246"/>
      <c r="L1246"/>
      <c r="M1246"/>
      <c r="N1246"/>
      <c r="O1246"/>
      <c r="P1246"/>
    </row>
    <row r="1247" spans="1:16" x14ac:dyDescent="0.4">
      <c r="A1247"/>
      <c r="B1247" s="350"/>
      <c r="C1247"/>
      <c r="D1247"/>
      <c r="E1247"/>
      <c r="F1247"/>
      <c r="G1247"/>
      <c r="H1247"/>
      <c r="I1247"/>
      <c r="J1247"/>
      <c r="K1247"/>
      <c r="L1247"/>
      <c r="M1247"/>
      <c r="N1247"/>
      <c r="O1247"/>
      <c r="P1247"/>
    </row>
    <row r="1248" spans="1:16" x14ac:dyDescent="0.4">
      <c r="A1248"/>
      <c r="B1248" s="350"/>
      <c r="C1248"/>
      <c r="D1248"/>
      <c r="E1248"/>
      <c r="F1248"/>
      <c r="G1248"/>
      <c r="H1248"/>
      <c r="I1248"/>
      <c r="J1248"/>
      <c r="K1248"/>
      <c r="L1248"/>
      <c r="M1248"/>
      <c r="N1248"/>
      <c r="O1248"/>
      <c r="P1248"/>
    </row>
    <row r="1249" spans="1:16" x14ac:dyDescent="0.4">
      <c r="A1249"/>
      <c r="B1249" s="350"/>
      <c r="C1249"/>
      <c r="D1249"/>
      <c r="E1249"/>
      <c r="F1249"/>
      <c r="G1249"/>
      <c r="H1249"/>
      <c r="I1249"/>
      <c r="J1249"/>
      <c r="K1249"/>
      <c r="L1249"/>
      <c r="M1249"/>
      <c r="N1249"/>
      <c r="O1249"/>
      <c r="P1249"/>
    </row>
    <row r="1250" spans="1:16" x14ac:dyDescent="0.4">
      <c r="A1250"/>
      <c r="B1250" s="350"/>
      <c r="C1250"/>
      <c r="D1250"/>
      <c r="E1250"/>
      <c r="F1250"/>
      <c r="G1250"/>
      <c r="H1250"/>
      <c r="I1250"/>
      <c r="J1250"/>
      <c r="K1250"/>
      <c r="L1250"/>
      <c r="M1250"/>
      <c r="N1250"/>
      <c r="O1250"/>
      <c r="P1250"/>
    </row>
    <row r="1251" spans="1:16" x14ac:dyDescent="0.4">
      <c r="A1251"/>
      <c r="B1251" s="350"/>
      <c r="C1251"/>
      <c r="D1251"/>
      <c r="E1251"/>
      <c r="F1251"/>
      <c r="G1251"/>
      <c r="H1251"/>
      <c r="I1251"/>
      <c r="J1251"/>
      <c r="K1251"/>
      <c r="L1251"/>
      <c r="M1251"/>
      <c r="N1251"/>
      <c r="O1251"/>
      <c r="P1251"/>
    </row>
    <row r="1252" spans="1:16" x14ac:dyDescent="0.4">
      <c r="A1252"/>
      <c r="B1252" s="350"/>
      <c r="C1252"/>
      <c r="D1252"/>
      <c r="E1252"/>
      <c r="F1252"/>
      <c r="G1252"/>
      <c r="H1252"/>
      <c r="I1252"/>
      <c r="J1252"/>
      <c r="K1252"/>
      <c r="L1252"/>
      <c r="M1252"/>
      <c r="N1252"/>
      <c r="O1252"/>
      <c r="P1252"/>
    </row>
    <row r="1253" spans="1:16" x14ac:dyDescent="0.4">
      <c r="A1253"/>
      <c r="B1253" s="350"/>
      <c r="C1253"/>
      <c r="D1253"/>
      <c r="E1253"/>
      <c r="F1253"/>
      <c r="G1253"/>
      <c r="H1253"/>
      <c r="I1253"/>
      <c r="J1253"/>
      <c r="K1253"/>
      <c r="L1253"/>
      <c r="M1253"/>
      <c r="N1253"/>
      <c r="O1253"/>
      <c r="P1253"/>
    </row>
    <row r="1254" spans="1:16" x14ac:dyDescent="0.4">
      <c r="A1254"/>
      <c r="B1254" s="350"/>
      <c r="C1254"/>
      <c r="D1254"/>
      <c r="E1254"/>
      <c r="F1254"/>
      <c r="G1254"/>
      <c r="H1254"/>
      <c r="I1254"/>
      <c r="J1254"/>
      <c r="K1254"/>
      <c r="L1254"/>
      <c r="M1254"/>
      <c r="N1254"/>
      <c r="O1254"/>
      <c r="P1254"/>
    </row>
    <row r="1255" spans="1:16" x14ac:dyDescent="0.4">
      <c r="A1255"/>
      <c r="B1255" s="350"/>
      <c r="C1255"/>
      <c r="D1255"/>
      <c r="E1255"/>
      <c r="F1255"/>
      <c r="G1255"/>
      <c r="H1255"/>
      <c r="I1255"/>
      <c r="J1255"/>
      <c r="K1255"/>
      <c r="L1255"/>
      <c r="M1255"/>
      <c r="N1255"/>
      <c r="O1255"/>
      <c r="P1255"/>
    </row>
    <row r="1256" spans="1:16" x14ac:dyDescent="0.4">
      <c r="A1256"/>
      <c r="B1256" s="350"/>
      <c r="C1256"/>
      <c r="D1256"/>
      <c r="E1256"/>
      <c r="F1256"/>
      <c r="G1256"/>
      <c r="H1256"/>
      <c r="I1256"/>
      <c r="J1256"/>
      <c r="K1256"/>
      <c r="L1256"/>
      <c r="M1256"/>
      <c r="N1256"/>
      <c r="O1256"/>
      <c r="P1256"/>
    </row>
    <row r="1257" spans="1:16" x14ac:dyDescent="0.4">
      <c r="A1257"/>
      <c r="B1257" s="350"/>
      <c r="C1257"/>
      <c r="D1257"/>
      <c r="E1257"/>
      <c r="F1257"/>
      <c r="G1257"/>
      <c r="H1257"/>
      <c r="I1257"/>
      <c r="J1257"/>
      <c r="K1257"/>
      <c r="L1257"/>
      <c r="M1257"/>
      <c r="N1257"/>
      <c r="O1257"/>
      <c r="P1257"/>
    </row>
    <row r="1258" spans="1:16" x14ac:dyDescent="0.4">
      <c r="A1258"/>
      <c r="B1258" s="350"/>
      <c r="C1258"/>
      <c r="D1258"/>
      <c r="E1258"/>
      <c r="F1258"/>
      <c r="G1258"/>
      <c r="H1258"/>
      <c r="I1258"/>
      <c r="J1258"/>
      <c r="K1258"/>
      <c r="L1258"/>
      <c r="M1258"/>
      <c r="N1258"/>
      <c r="O1258"/>
      <c r="P1258"/>
    </row>
    <row r="1259" spans="1:16" x14ac:dyDescent="0.4">
      <c r="A1259"/>
      <c r="B1259" s="350"/>
      <c r="C1259"/>
      <c r="D1259"/>
      <c r="E1259"/>
      <c r="F1259"/>
      <c r="G1259"/>
      <c r="H1259"/>
      <c r="I1259"/>
      <c r="J1259"/>
      <c r="K1259"/>
      <c r="L1259"/>
      <c r="M1259"/>
      <c r="N1259"/>
      <c r="O1259"/>
      <c r="P1259"/>
    </row>
    <row r="1260" spans="1:16" x14ac:dyDescent="0.4">
      <c r="A1260"/>
      <c r="B1260" s="350"/>
      <c r="C1260"/>
      <c r="D1260"/>
      <c r="E1260"/>
      <c r="F1260"/>
      <c r="G1260"/>
      <c r="H1260"/>
      <c r="I1260"/>
      <c r="J1260"/>
      <c r="K1260"/>
      <c r="L1260"/>
      <c r="M1260"/>
      <c r="N1260"/>
      <c r="O1260"/>
      <c r="P1260"/>
    </row>
    <row r="1261" spans="1:16" x14ac:dyDescent="0.4">
      <c r="A1261"/>
      <c r="B1261" s="350"/>
      <c r="C1261"/>
      <c r="D1261"/>
      <c r="E1261"/>
      <c r="F1261"/>
      <c r="G1261"/>
      <c r="H1261"/>
      <c r="I1261"/>
      <c r="J1261"/>
      <c r="K1261"/>
      <c r="L1261"/>
      <c r="M1261"/>
      <c r="N1261"/>
      <c r="O1261"/>
      <c r="P1261"/>
    </row>
    <row r="1262" spans="1:16" x14ac:dyDescent="0.4">
      <c r="A1262"/>
      <c r="B1262" s="350"/>
      <c r="C1262"/>
      <c r="D1262"/>
      <c r="E1262"/>
      <c r="F1262"/>
      <c r="G1262"/>
      <c r="H1262"/>
      <c r="I1262"/>
      <c r="J1262"/>
      <c r="K1262"/>
      <c r="L1262"/>
      <c r="M1262"/>
      <c r="N1262"/>
      <c r="O1262"/>
      <c r="P1262"/>
    </row>
    <row r="1263" spans="1:16" x14ac:dyDescent="0.4">
      <c r="A1263"/>
      <c r="B1263" s="350"/>
      <c r="C1263"/>
      <c r="D1263"/>
      <c r="E1263"/>
      <c r="F1263"/>
      <c r="G1263"/>
      <c r="H1263"/>
      <c r="I1263"/>
      <c r="J1263"/>
      <c r="K1263"/>
      <c r="L1263"/>
      <c r="M1263"/>
      <c r="N1263"/>
      <c r="O1263"/>
      <c r="P1263"/>
    </row>
    <row r="1264" spans="1:16" x14ac:dyDescent="0.4">
      <c r="A1264"/>
      <c r="B1264" s="350"/>
      <c r="C1264"/>
      <c r="D1264"/>
      <c r="E1264"/>
      <c r="F1264"/>
      <c r="G1264"/>
      <c r="H1264"/>
      <c r="I1264"/>
      <c r="J1264"/>
      <c r="K1264"/>
      <c r="L1264"/>
      <c r="M1264"/>
      <c r="N1264"/>
      <c r="O1264"/>
      <c r="P1264"/>
    </row>
    <row r="1265" spans="1:16" x14ac:dyDescent="0.4">
      <c r="A1265"/>
      <c r="B1265" s="350"/>
      <c r="C1265"/>
      <c r="D1265"/>
      <c r="E1265"/>
      <c r="F1265"/>
      <c r="G1265"/>
      <c r="H1265"/>
      <c r="I1265"/>
      <c r="J1265"/>
      <c r="K1265"/>
      <c r="L1265"/>
      <c r="M1265"/>
      <c r="N1265"/>
      <c r="O1265"/>
      <c r="P1265"/>
    </row>
    <row r="1266" spans="1:16" x14ac:dyDescent="0.4">
      <c r="A1266"/>
      <c r="B1266" s="350"/>
      <c r="C1266"/>
      <c r="D1266"/>
      <c r="E1266"/>
      <c r="F1266"/>
      <c r="G1266"/>
      <c r="H1266"/>
      <c r="I1266"/>
      <c r="J1266"/>
      <c r="K1266"/>
      <c r="L1266"/>
      <c r="M1266"/>
      <c r="N1266"/>
      <c r="O1266"/>
      <c r="P1266"/>
    </row>
    <row r="1267" spans="1:16" x14ac:dyDescent="0.4">
      <c r="A1267"/>
      <c r="B1267" s="350"/>
      <c r="C1267"/>
      <c r="D1267"/>
      <c r="E1267"/>
      <c r="F1267"/>
      <c r="G1267"/>
      <c r="H1267"/>
      <c r="I1267"/>
      <c r="J1267"/>
      <c r="K1267"/>
      <c r="L1267"/>
      <c r="M1267"/>
      <c r="N1267"/>
      <c r="O1267"/>
      <c r="P1267"/>
    </row>
    <row r="1268" spans="1:16" x14ac:dyDescent="0.4">
      <c r="A1268"/>
      <c r="B1268" s="350"/>
      <c r="C1268"/>
      <c r="D1268"/>
      <c r="E1268"/>
      <c r="F1268"/>
      <c r="G1268"/>
      <c r="H1268"/>
      <c r="I1268"/>
      <c r="J1268"/>
      <c r="K1268"/>
      <c r="L1268"/>
      <c r="M1268"/>
      <c r="N1268"/>
      <c r="O1268"/>
      <c r="P1268"/>
    </row>
    <row r="1269" spans="1:16" x14ac:dyDescent="0.4">
      <c r="A1269"/>
      <c r="B1269" s="350"/>
      <c r="C1269"/>
      <c r="D1269"/>
      <c r="E1269"/>
      <c r="F1269"/>
      <c r="G1269"/>
      <c r="H1269"/>
      <c r="I1269"/>
      <c r="J1269"/>
      <c r="K1269"/>
      <c r="L1269"/>
      <c r="M1269"/>
      <c r="N1269"/>
      <c r="O1269"/>
      <c r="P1269"/>
    </row>
    <row r="1270" spans="1:16" x14ac:dyDescent="0.4">
      <c r="A1270"/>
      <c r="B1270" s="350"/>
      <c r="C1270"/>
      <c r="D1270"/>
      <c r="E1270"/>
      <c r="F1270"/>
      <c r="G1270"/>
      <c r="H1270"/>
      <c r="I1270"/>
      <c r="J1270"/>
      <c r="K1270"/>
      <c r="L1270"/>
      <c r="M1270"/>
      <c r="N1270"/>
      <c r="O1270"/>
      <c r="P1270"/>
    </row>
    <row r="1271" spans="1:16" x14ac:dyDescent="0.4">
      <c r="A1271"/>
      <c r="B1271" s="350"/>
      <c r="C1271"/>
      <c r="D1271"/>
      <c r="E1271"/>
      <c r="F1271"/>
      <c r="G1271"/>
      <c r="H1271"/>
      <c r="I1271"/>
      <c r="J1271"/>
      <c r="K1271"/>
      <c r="L1271"/>
      <c r="M1271"/>
      <c r="N1271"/>
      <c r="O1271"/>
      <c r="P1271"/>
    </row>
    <row r="1272" spans="1:16" x14ac:dyDescent="0.4">
      <c r="A1272"/>
      <c r="B1272" s="350"/>
      <c r="C1272"/>
      <c r="D1272"/>
      <c r="E1272"/>
      <c r="F1272"/>
      <c r="G1272"/>
      <c r="H1272"/>
      <c r="I1272"/>
      <c r="J1272"/>
      <c r="K1272"/>
      <c r="L1272"/>
      <c r="M1272"/>
      <c r="N1272"/>
      <c r="O1272"/>
      <c r="P1272"/>
    </row>
    <row r="1273" spans="1:16" x14ac:dyDescent="0.4">
      <c r="A1273"/>
      <c r="B1273" s="350"/>
      <c r="C1273"/>
      <c r="D1273"/>
      <c r="E1273"/>
      <c r="F1273"/>
      <c r="G1273"/>
      <c r="H1273"/>
      <c r="I1273"/>
      <c r="J1273"/>
      <c r="K1273"/>
      <c r="L1273"/>
      <c r="M1273"/>
      <c r="N1273"/>
      <c r="O1273"/>
      <c r="P1273"/>
    </row>
    <row r="1274" spans="1:16" x14ac:dyDescent="0.4">
      <c r="A1274"/>
      <c r="B1274" s="350"/>
      <c r="C1274"/>
      <c r="D1274"/>
      <c r="E1274"/>
      <c r="F1274"/>
      <c r="G1274"/>
      <c r="H1274"/>
      <c r="I1274"/>
      <c r="J1274"/>
      <c r="K1274"/>
      <c r="L1274"/>
      <c r="M1274"/>
      <c r="N1274"/>
      <c r="O1274"/>
      <c r="P1274"/>
    </row>
    <row r="1275" spans="1:16" x14ac:dyDescent="0.4">
      <c r="A1275"/>
      <c r="B1275" s="350"/>
      <c r="C1275"/>
      <c r="D1275"/>
      <c r="E1275"/>
      <c r="F1275"/>
      <c r="G1275"/>
      <c r="H1275"/>
      <c r="I1275"/>
      <c r="J1275"/>
      <c r="K1275"/>
      <c r="L1275"/>
      <c r="M1275"/>
      <c r="N1275"/>
      <c r="O1275"/>
      <c r="P1275"/>
    </row>
    <row r="1276" spans="1:16" x14ac:dyDescent="0.4">
      <c r="A1276"/>
      <c r="B1276" s="350"/>
      <c r="C1276"/>
      <c r="D1276"/>
      <c r="E1276"/>
      <c r="F1276"/>
      <c r="G1276"/>
      <c r="H1276"/>
      <c r="I1276"/>
      <c r="J1276"/>
      <c r="K1276"/>
      <c r="L1276"/>
      <c r="M1276"/>
      <c r="N1276"/>
      <c r="O1276"/>
      <c r="P1276"/>
    </row>
    <row r="1277" spans="1:16" x14ac:dyDescent="0.4">
      <c r="A1277"/>
      <c r="B1277" s="350"/>
      <c r="C1277"/>
      <c r="D1277"/>
      <c r="E1277"/>
      <c r="F1277"/>
      <c r="G1277"/>
      <c r="H1277"/>
      <c r="I1277"/>
      <c r="J1277"/>
      <c r="K1277"/>
      <c r="L1277"/>
      <c r="M1277"/>
      <c r="N1277"/>
      <c r="O1277"/>
      <c r="P1277"/>
    </row>
    <row r="1278" spans="1:16" x14ac:dyDescent="0.4">
      <c r="A1278"/>
      <c r="B1278" s="350"/>
      <c r="C1278"/>
      <c r="D1278"/>
      <c r="E1278"/>
      <c r="F1278"/>
      <c r="G1278"/>
      <c r="H1278"/>
      <c r="I1278"/>
      <c r="J1278"/>
      <c r="K1278"/>
      <c r="L1278"/>
      <c r="M1278"/>
      <c r="N1278"/>
      <c r="O1278"/>
      <c r="P1278"/>
    </row>
    <row r="1279" spans="1:16" x14ac:dyDescent="0.4">
      <c r="A1279"/>
      <c r="B1279" s="350"/>
      <c r="C1279"/>
      <c r="D1279"/>
      <c r="E1279"/>
      <c r="F1279"/>
      <c r="G1279"/>
      <c r="H1279"/>
      <c r="I1279"/>
      <c r="J1279"/>
      <c r="K1279"/>
      <c r="L1279"/>
      <c r="M1279"/>
      <c r="N1279"/>
      <c r="O1279"/>
      <c r="P1279"/>
    </row>
    <row r="1280" spans="1:16" x14ac:dyDescent="0.4">
      <c r="A1280"/>
      <c r="B1280" s="350"/>
      <c r="C1280"/>
      <c r="D1280"/>
      <c r="E1280"/>
      <c r="F1280"/>
      <c r="G1280"/>
      <c r="H1280"/>
      <c r="I1280"/>
      <c r="J1280"/>
      <c r="K1280"/>
      <c r="L1280"/>
      <c r="M1280"/>
      <c r="N1280"/>
      <c r="O1280"/>
      <c r="P1280"/>
    </row>
    <row r="1281" spans="1:16" x14ac:dyDescent="0.4">
      <c r="A1281"/>
      <c r="B1281" s="350"/>
      <c r="C1281"/>
      <c r="D1281"/>
      <c r="E1281"/>
      <c r="F1281"/>
      <c r="G1281"/>
      <c r="H1281"/>
      <c r="I1281"/>
      <c r="J1281"/>
      <c r="K1281"/>
      <c r="L1281"/>
      <c r="M1281"/>
      <c r="N1281"/>
      <c r="O1281"/>
      <c r="P1281"/>
    </row>
    <row r="1282" spans="1:16" x14ac:dyDescent="0.4">
      <c r="A1282"/>
      <c r="B1282" s="350"/>
      <c r="C1282"/>
      <c r="D1282"/>
      <c r="E1282"/>
      <c r="F1282"/>
      <c r="G1282"/>
      <c r="H1282"/>
      <c r="I1282"/>
      <c r="J1282"/>
      <c r="K1282"/>
      <c r="L1282"/>
      <c r="M1282"/>
      <c r="N1282"/>
      <c r="O1282"/>
      <c r="P1282"/>
    </row>
    <row r="1283" spans="1:16" x14ac:dyDescent="0.4">
      <c r="A1283"/>
      <c r="B1283" s="350"/>
      <c r="C1283"/>
      <c r="D1283"/>
      <c r="E1283"/>
      <c r="F1283"/>
      <c r="G1283"/>
      <c r="H1283"/>
      <c r="I1283"/>
      <c r="J1283"/>
      <c r="K1283"/>
      <c r="L1283"/>
      <c r="M1283"/>
      <c r="N1283"/>
      <c r="O1283"/>
      <c r="P1283"/>
    </row>
    <row r="1284" spans="1:16" x14ac:dyDescent="0.4">
      <c r="A1284"/>
      <c r="B1284" s="350"/>
      <c r="C1284"/>
      <c r="D1284"/>
      <c r="E1284"/>
      <c r="F1284"/>
      <c r="G1284"/>
      <c r="H1284"/>
      <c r="I1284"/>
      <c r="J1284"/>
      <c r="K1284"/>
      <c r="L1284"/>
      <c r="M1284"/>
      <c r="N1284"/>
      <c r="O1284"/>
      <c r="P1284"/>
    </row>
    <row r="1285" spans="1:16" x14ac:dyDescent="0.4">
      <c r="A1285"/>
      <c r="B1285" s="350"/>
      <c r="C1285"/>
      <c r="D1285"/>
      <c r="E1285"/>
      <c r="F1285"/>
      <c r="G1285"/>
      <c r="H1285"/>
      <c r="I1285"/>
      <c r="J1285"/>
      <c r="K1285"/>
      <c r="L1285"/>
      <c r="M1285"/>
      <c r="N1285"/>
      <c r="O1285"/>
      <c r="P1285"/>
    </row>
    <row r="1286" spans="1:16" x14ac:dyDescent="0.4">
      <c r="A1286"/>
      <c r="B1286" s="350"/>
      <c r="C1286"/>
      <c r="D1286"/>
      <c r="E1286"/>
      <c r="F1286"/>
      <c r="G1286"/>
      <c r="H1286"/>
      <c r="I1286"/>
      <c r="J1286"/>
      <c r="K1286"/>
      <c r="L1286"/>
      <c r="M1286"/>
      <c r="N1286"/>
      <c r="O1286"/>
      <c r="P1286"/>
    </row>
    <row r="1287" spans="1:16" x14ac:dyDescent="0.4">
      <c r="A1287"/>
      <c r="B1287" s="350"/>
      <c r="C1287"/>
      <c r="D1287"/>
      <c r="E1287"/>
      <c r="F1287"/>
      <c r="G1287"/>
      <c r="H1287"/>
      <c r="I1287"/>
      <c r="J1287"/>
      <c r="K1287"/>
      <c r="L1287"/>
      <c r="M1287"/>
      <c r="N1287"/>
      <c r="O1287"/>
      <c r="P1287"/>
    </row>
    <row r="1288" spans="1:16" x14ac:dyDescent="0.4">
      <c r="A1288"/>
      <c r="B1288" s="350"/>
      <c r="C1288"/>
      <c r="D1288"/>
      <c r="E1288"/>
      <c r="F1288"/>
      <c r="G1288"/>
      <c r="H1288"/>
      <c r="I1288"/>
      <c r="J1288"/>
      <c r="K1288"/>
      <c r="L1288"/>
      <c r="M1288"/>
      <c r="N1288"/>
      <c r="O1288"/>
      <c r="P1288"/>
    </row>
    <row r="1289" spans="1:16" x14ac:dyDescent="0.4">
      <c r="A1289"/>
      <c r="B1289" s="350"/>
      <c r="C1289"/>
      <c r="D1289"/>
      <c r="E1289"/>
      <c r="F1289"/>
      <c r="G1289"/>
      <c r="H1289"/>
      <c r="I1289"/>
      <c r="J1289"/>
      <c r="K1289"/>
      <c r="L1289"/>
      <c r="M1289"/>
      <c r="N1289"/>
      <c r="O1289"/>
      <c r="P1289"/>
    </row>
    <row r="1290" spans="1:16" x14ac:dyDescent="0.4">
      <c r="A1290"/>
      <c r="B1290" s="350"/>
      <c r="C1290"/>
      <c r="D1290"/>
      <c r="E1290"/>
      <c r="F1290"/>
      <c r="G1290"/>
      <c r="H1290"/>
      <c r="I1290"/>
      <c r="J1290"/>
      <c r="K1290"/>
      <c r="L1290"/>
      <c r="M1290"/>
      <c r="N1290"/>
      <c r="O1290"/>
      <c r="P1290"/>
    </row>
    <row r="1291" spans="1:16" x14ac:dyDescent="0.4">
      <c r="A1291"/>
      <c r="B1291" s="350"/>
      <c r="C1291"/>
      <c r="D1291"/>
      <c r="E1291"/>
      <c r="F1291"/>
      <c r="G1291"/>
      <c r="H1291"/>
      <c r="I1291"/>
      <c r="J1291"/>
      <c r="K1291"/>
      <c r="L1291"/>
      <c r="M1291"/>
      <c r="N1291"/>
      <c r="O1291"/>
      <c r="P1291"/>
    </row>
    <row r="1292" spans="1:16" x14ac:dyDescent="0.4">
      <c r="A1292"/>
      <c r="B1292" s="350"/>
      <c r="C1292"/>
      <c r="D1292"/>
      <c r="E1292"/>
      <c r="F1292"/>
      <c r="G1292"/>
      <c r="H1292"/>
      <c r="I1292"/>
      <c r="J1292"/>
      <c r="K1292"/>
      <c r="L1292"/>
      <c r="M1292"/>
      <c r="N1292"/>
      <c r="O1292"/>
      <c r="P1292"/>
    </row>
    <row r="1293" spans="1:16" x14ac:dyDescent="0.4">
      <c r="A1293"/>
      <c r="B1293" s="350"/>
      <c r="C1293"/>
      <c r="D1293"/>
      <c r="E1293"/>
      <c r="F1293"/>
      <c r="G1293"/>
      <c r="H1293"/>
      <c r="I1293"/>
      <c r="J1293"/>
      <c r="K1293"/>
      <c r="L1293"/>
      <c r="M1293"/>
      <c r="N1293"/>
      <c r="O1293"/>
      <c r="P1293"/>
    </row>
    <row r="1294" spans="1:16" x14ac:dyDescent="0.4">
      <c r="A1294"/>
      <c r="B1294" s="350"/>
      <c r="C1294"/>
      <c r="D1294"/>
      <c r="E1294"/>
      <c r="F1294"/>
      <c r="G1294"/>
      <c r="H1294"/>
      <c r="I1294"/>
      <c r="J1294"/>
      <c r="K1294"/>
      <c r="L1294"/>
      <c r="M1294"/>
      <c r="N1294"/>
      <c r="O1294"/>
      <c r="P1294"/>
    </row>
    <row r="1295" spans="1:16" x14ac:dyDescent="0.4">
      <c r="A1295"/>
      <c r="B1295" s="350"/>
      <c r="C1295"/>
      <c r="D1295"/>
      <c r="E1295"/>
      <c r="F1295"/>
      <c r="G1295"/>
      <c r="H1295"/>
      <c r="I1295"/>
      <c r="J1295"/>
      <c r="K1295"/>
      <c r="L1295"/>
      <c r="M1295"/>
      <c r="N1295"/>
      <c r="O1295"/>
      <c r="P1295"/>
    </row>
    <row r="1296" spans="1:16" x14ac:dyDescent="0.4">
      <c r="A1296"/>
      <c r="B1296" s="350"/>
      <c r="C1296"/>
      <c r="D1296"/>
      <c r="E1296"/>
      <c r="F1296"/>
      <c r="G1296"/>
      <c r="H1296"/>
      <c r="I1296"/>
      <c r="J1296"/>
      <c r="K1296"/>
      <c r="L1296"/>
      <c r="M1296"/>
      <c r="N1296"/>
      <c r="O1296"/>
      <c r="P1296"/>
    </row>
    <row r="1297" spans="1:16" x14ac:dyDescent="0.4">
      <c r="A1297"/>
      <c r="B1297" s="350"/>
      <c r="C1297"/>
      <c r="D1297"/>
      <c r="E1297"/>
      <c r="F1297"/>
      <c r="G1297"/>
      <c r="H1297"/>
      <c r="I1297"/>
      <c r="J1297"/>
      <c r="K1297"/>
      <c r="L1297"/>
      <c r="M1297"/>
      <c r="N1297"/>
      <c r="O1297"/>
      <c r="P1297"/>
    </row>
    <row r="1298" spans="1:16" x14ac:dyDescent="0.4">
      <c r="A1298"/>
      <c r="B1298" s="350"/>
      <c r="C1298"/>
      <c r="D1298"/>
      <c r="E1298"/>
      <c r="F1298"/>
      <c r="G1298"/>
      <c r="H1298"/>
      <c r="I1298"/>
      <c r="J1298"/>
      <c r="K1298"/>
      <c r="L1298"/>
      <c r="M1298"/>
      <c r="N1298"/>
      <c r="O1298"/>
      <c r="P1298"/>
    </row>
    <row r="1299" spans="1:16" x14ac:dyDescent="0.4">
      <c r="A1299"/>
      <c r="B1299" s="350"/>
      <c r="C1299"/>
      <c r="D1299"/>
      <c r="E1299"/>
      <c r="F1299"/>
      <c r="G1299"/>
      <c r="H1299"/>
      <c r="I1299"/>
      <c r="J1299"/>
      <c r="K1299"/>
      <c r="L1299"/>
      <c r="M1299"/>
      <c r="N1299"/>
      <c r="O1299"/>
      <c r="P1299"/>
    </row>
    <row r="1300" spans="1:16" x14ac:dyDescent="0.4">
      <c r="A1300"/>
      <c r="B1300" s="350"/>
      <c r="C1300"/>
      <c r="D1300"/>
      <c r="E1300"/>
      <c r="F1300"/>
      <c r="G1300"/>
      <c r="H1300"/>
      <c r="I1300"/>
      <c r="J1300"/>
      <c r="K1300"/>
      <c r="L1300"/>
      <c r="M1300"/>
      <c r="N1300"/>
      <c r="O1300"/>
      <c r="P1300"/>
    </row>
    <row r="1301" spans="1:16" x14ac:dyDescent="0.4">
      <c r="A1301"/>
      <c r="B1301" s="350"/>
      <c r="C1301"/>
      <c r="D1301"/>
      <c r="E1301"/>
      <c r="F1301"/>
      <c r="G1301"/>
      <c r="H1301"/>
      <c r="I1301"/>
      <c r="J1301"/>
      <c r="K1301"/>
      <c r="L1301"/>
      <c r="M1301"/>
      <c r="N1301"/>
      <c r="O1301"/>
      <c r="P1301"/>
    </row>
    <row r="1302" spans="1:16" x14ac:dyDescent="0.4">
      <c r="A1302"/>
      <c r="B1302" s="350"/>
      <c r="C1302"/>
      <c r="D1302"/>
      <c r="E1302"/>
      <c r="F1302"/>
      <c r="G1302"/>
      <c r="H1302"/>
      <c r="I1302"/>
      <c r="J1302"/>
      <c r="K1302"/>
      <c r="L1302"/>
      <c r="M1302"/>
      <c r="N1302"/>
      <c r="O1302"/>
      <c r="P1302"/>
    </row>
    <row r="1303" spans="1:16" x14ac:dyDescent="0.4">
      <c r="A1303"/>
      <c r="B1303" s="350"/>
      <c r="C1303"/>
      <c r="D1303"/>
      <c r="E1303"/>
      <c r="F1303"/>
      <c r="G1303"/>
      <c r="H1303"/>
      <c r="I1303"/>
      <c r="J1303"/>
      <c r="K1303"/>
      <c r="L1303"/>
      <c r="M1303"/>
      <c r="N1303"/>
      <c r="O1303"/>
      <c r="P1303"/>
    </row>
    <row r="1304" spans="1:16" x14ac:dyDescent="0.4">
      <c r="A1304"/>
      <c r="B1304" s="350"/>
      <c r="C1304"/>
      <c r="D1304"/>
      <c r="E1304"/>
      <c r="F1304"/>
      <c r="G1304"/>
      <c r="H1304"/>
      <c r="I1304"/>
      <c r="J1304"/>
      <c r="K1304"/>
      <c r="L1304"/>
      <c r="M1304"/>
      <c r="N1304"/>
      <c r="O1304"/>
      <c r="P1304"/>
    </row>
    <row r="1305" spans="1:16" x14ac:dyDescent="0.4">
      <c r="A1305"/>
      <c r="B1305" s="350"/>
      <c r="C1305"/>
      <c r="D1305"/>
      <c r="E1305"/>
      <c r="F1305"/>
      <c r="G1305"/>
      <c r="H1305"/>
      <c r="I1305"/>
      <c r="J1305"/>
      <c r="K1305"/>
      <c r="L1305"/>
      <c r="M1305"/>
      <c r="N1305"/>
      <c r="O1305"/>
      <c r="P1305"/>
    </row>
    <row r="1306" spans="1:16" x14ac:dyDescent="0.4">
      <c r="A1306"/>
      <c r="B1306" s="350"/>
      <c r="C1306"/>
      <c r="D1306"/>
      <c r="E1306"/>
      <c r="F1306"/>
      <c r="G1306"/>
      <c r="H1306"/>
      <c r="I1306"/>
      <c r="J1306"/>
      <c r="K1306"/>
      <c r="L1306"/>
      <c r="M1306"/>
      <c r="N1306"/>
      <c r="O1306"/>
      <c r="P1306"/>
    </row>
    <row r="1307" spans="1:16" x14ac:dyDescent="0.4">
      <c r="A1307"/>
      <c r="B1307" s="350"/>
      <c r="C1307"/>
      <c r="D1307"/>
      <c r="E1307"/>
      <c r="F1307"/>
      <c r="G1307"/>
      <c r="H1307"/>
      <c r="I1307"/>
      <c r="J1307"/>
      <c r="K1307"/>
      <c r="L1307"/>
      <c r="M1307"/>
      <c r="N1307"/>
      <c r="O1307"/>
      <c r="P1307"/>
    </row>
    <row r="1308" spans="1:16" x14ac:dyDescent="0.4">
      <c r="A1308"/>
      <c r="B1308" s="350"/>
      <c r="C1308"/>
      <c r="D1308"/>
      <c r="E1308"/>
      <c r="F1308"/>
      <c r="G1308"/>
      <c r="H1308"/>
      <c r="I1308"/>
      <c r="J1308"/>
      <c r="K1308"/>
      <c r="L1308"/>
      <c r="M1308"/>
      <c r="N1308"/>
      <c r="O1308"/>
      <c r="P1308"/>
    </row>
    <row r="1309" spans="1:16" x14ac:dyDescent="0.4">
      <c r="A1309"/>
      <c r="B1309" s="350"/>
      <c r="C1309"/>
      <c r="D1309"/>
      <c r="E1309"/>
      <c r="F1309"/>
      <c r="G1309"/>
      <c r="H1309"/>
      <c r="I1309"/>
      <c r="J1309"/>
      <c r="K1309"/>
      <c r="L1309"/>
      <c r="M1309"/>
      <c r="N1309"/>
      <c r="O1309"/>
      <c r="P1309"/>
    </row>
    <row r="1310" spans="1:16" x14ac:dyDescent="0.4">
      <c r="A1310"/>
      <c r="B1310" s="350"/>
      <c r="C1310"/>
      <c r="D1310"/>
      <c r="E1310"/>
      <c r="F1310"/>
      <c r="G1310"/>
      <c r="H1310"/>
      <c r="I1310"/>
      <c r="J1310"/>
      <c r="K1310"/>
      <c r="L1310"/>
      <c r="M1310"/>
      <c r="N1310"/>
      <c r="O1310"/>
      <c r="P1310"/>
    </row>
    <row r="1311" spans="1:16" x14ac:dyDescent="0.4">
      <c r="A1311"/>
      <c r="B1311" s="350"/>
      <c r="C1311"/>
      <c r="D1311"/>
      <c r="E1311"/>
      <c r="F1311"/>
      <c r="G1311"/>
      <c r="H1311"/>
      <c r="I1311"/>
      <c r="J1311"/>
      <c r="K1311"/>
      <c r="L1311"/>
      <c r="M1311"/>
      <c r="N1311"/>
      <c r="O1311"/>
      <c r="P1311"/>
    </row>
    <row r="1312" spans="1:16" x14ac:dyDescent="0.4">
      <c r="A1312"/>
      <c r="B1312" s="350"/>
      <c r="C1312"/>
      <c r="D1312"/>
      <c r="E1312"/>
      <c r="F1312"/>
      <c r="G1312"/>
      <c r="H1312"/>
      <c r="I1312"/>
      <c r="J1312"/>
      <c r="K1312"/>
      <c r="L1312"/>
      <c r="M1312"/>
      <c r="N1312"/>
      <c r="O1312"/>
      <c r="P1312"/>
    </row>
    <row r="1313" spans="1:16" x14ac:dyDescent="0.4">
      <c r="A1313"/>
      <c r="B1313" s="350"/>
      <c r="C1313"/>
      <c r="D1313"/>
      <c r="E1313"/>
      <c r="F1313"/>
      <c r="G1313"/>
      <c r="H1313"/>
      <c r="I1313"/>
      <c r="J1313"/>
      <c r="K1313"/>
      <c r="L1313"/>
      <c r="M1313"/>
      <c r="N1313"/>
      <c r="O1313"/>
      <c r="P1313"/>
    </row>
    <row r="1314" spans="1:16" x14ac:dyDescent="0.4">
      <c r="A1314"/>
      <c r="B1314" s="350"/>
      <c r="C1314"/>
      <c r="D1314"/>
      <c r="E1314"/>
      <c r="F1314"/>
      <c r="G1314"/>
      <c r="H1314"/>
      <c r="I1314"/>
      <c r="J1314"/>
      <c r="K1314"/>
      <c r="L1314"/>
      <c r="M1314"/>
      <c r="N1314"/>
      <c r="O1314"/>
      <c r="P1314"/>
    </row>
    <row r="1315" spans="1:16" x14ac:dyDescent="0.4">
      <c r="A1315"/>
      <c r="B1315" s="350"/>
      <c r="C1315"/>
      <c r="D1315"/>
      <c r="E1315"/>
      <c r="F1315"/>
      <c r="G1315"/>
      <c r="H1315"/>
      <c r="I1315"/>
      <c r="J1315"/>
      <c r="K1315"/>
      <c r="L1315"/>
      <c r="M1315"/>
      <c r="N1315"/>
      <c r="O1315"/>
      <c r="P1315"/>
    </row>
    <row r="1316" spans="1:16" x14ac:dyDescent="0.4">
      <c r="A1316"/>
      <c r="B1316" s="350"/>
      <c r="C1316"/>
      <c r="D1316"/>
      <c r="E1316"/>
      <c r="F1316"/>
      <c r="G1316"/>
      <c r="H1316"/>
      <c r="I1316"/>
      <c r="J1316"/>
      <c r="K1316"/>
      <c r="L1316"/>
      <c r="M1316"/>
      <c r="N1316"/>
      <c r="O1316"/>
      <c r="P1316"/>
    </row>
    <row r="1317" spans="1:16" x14ac:dyDescent="0.4">
      <c r="A1317"/>
      <c r="B1317" s="350"/>
      <c r="C1317"/>
      <c r="D1317"/>
      <c r="E1317"/>
      <c r="F1317"/>
      <c r="G1317"/>
      <c r="H1317"/>
      <c r="I1317"/>
      <c r="J1317"/>
      <c r="K1317"/>
      <c r="L1317"/>
      <c r="M1317"/>
      <c r="N1317"/>
      <c r="O1317"/>
      <c r="P1317"/>
    </row>
    <row r="1318" spans="1:16" x14ac:dyDescent="0.4">
      <c r="A1318"/>
      <c r="B1318" s="350"/>
      <c r="C1318"/>
      <c r="D1318"/>
      <c r="E1318"/>
      <c r="F1318"/>
      <c r="G1318"/>
      <c r="H1318"/>
      <c r="I1318"/>
      <c r="J1318"/>
      <c r="K1318"/>
      <c r="L1318"/>
      <c r="M1318"/>
      <c r="N1318"/>
      <c r="O1318"/>
      <c r="P1318"/>
    </row>
    <row r="1319" spans="1:16" x14ac:dyDescent="0.4">
      <c r="A1319"/>
      <c r="B1319" s="350"/>
      <c r="C1319"/>
      <c r="D1319"/>
      <c r="E1319"/>
      <c r="F1319"/>
      <c r="G1319"/>
      <c r="H1319"/>
      <c r="I1319"/>
      <c r="J1319"/>
      <c r="K1319"/>
      <c r="L1319"/>
      <c r="M1319"/>
      <c r="N1319"/>
      <c r="O1319"/>
      <c r="P1319"/>
    </row>
  </sheetData>
  <autoFilter ref="A5:P631" xr:uid="{9DDD7E6B-6272-47B7-961C-C4ACB2574C98}"/>
  <mergeCells count="27">
    <mergeCell ref="A871:P871"/>
    <mergeCell ref="A868:C868"/>
    <mergeCell ref="L868:M868"/>
    <mergeCell ref="N868:P868"/>
    <mergeCell ref="A869:C869"/>
    <mergeCell ref="L869:M869"/>
    <mergeCell ref="N869:P869"/>
    <mergeCell ref="A3:P3"/>
    <mergeCell ref="A4:A5"/>
    <mergeCell ref="B4:B5"/>
    <mergeCell ref="C4:C5"/>
    <mergeCell ref="D4:D5"/>
    <mergeCell ref="E4:E5"/>
    <mergeCell ref="E1:G1"/>
    <mergeCell ref="H1:J1"/>
    <mergeCell ref="K1:P1"/>
    <mergeCell ref="E2:G2"/>
    <mergeCell ref="H2:J2"/>
    <mergeCell ref="K2:P2"/>
    <mergeCell ref="A867:C867"/>
    <mergeCell ref="L867:M867"/>
    <mergeCell ref="N867:P867"/>
    <mergeCell ref="G4:G5"/>
    <mergeCell ref="H4:K4"/>
    <mergeCell ref="L4:O4"/>
    <mergeCell ref="P4:P5"/>
    <mergeCell ref="F4:F5"/>
  </mergeCells>
  <pageMargins left="0.51181102362204722" right="0.51181102362204722" top="0.78740157480314965" bottom="0.78740157480314965" header="0.31496062992125984" footer="0.31496062992125984"/>
  <pageSetup paperSize="9" scale="55" fitToHeight="0" orientation="landscape"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151B2-1370-4329-81E2-C63567C98487}">
  <sheetPr>
    <tabColor rgb="FF92D050"/>
    <pageSetUpPr fitToPage="1"/>
  </sheetPr>
  <dimension ref="B1:AG354"/>
  <sheetViews>
    <sheetView showGridLines="0" zoomScale="70" zoomScaleNormal="70" zoomScaleSheetLayoutView="100" workbookViewId="0">
      <pane ySplit="2" topLeftCell="A3" activePane="bottomLeft" state="frozen"/>
      <selection activeCell="G14" sqref="G14"/>
      <selection pane="bottomLeft" activeCell="E9" sqref="E9"/>
    </sheetView>
  </sheetViews>
  <sheetFormatPr defaultColWidth="9.109375" defaultRowHeight="19.2" x14ac:dyDescent="0.3"/>
  <cols>
    <col min="1" max="1" width="3.33203125" style="181" customWidth="1"/>
    <col min="2" max="2" width="8.88671875" style="176" bestFit="1" customWidth="1"/>
    <col min="3" max="4" width="15" style="176" customWidth="1"/>
    <col min="5" max="5" width="20.109375" style="420" customWidth="1"/>
    <col min="6" max="6" width="117" style="357" customWidth="1"/>
    <col min="7" max="7" width="9.109375" style="176"/>
    <col min="8" max="8" width="10.88671875" style="226" customWidth="1"/>
    <col min="9" max="10" width="13.33203125" style="226" customWidth="1"/>
    <col min="11" max="11" width="15.109375" style="226" customWidth="1"/>
    <col min="12" max="12" width="9.88671875" style="181" customWidth="1"/>
    <col min="13" max="13" width="13" style="429" customWidth="1"/>
    <col min="14" max="14" width="9.33203125" style="179" customWidth="1"/>
    <col min="15" max="15" width="9.33203125" style="178" customWidth="1"/>
    <col min="16" max="16" width="2.6640625" style="179" customWidth="1"/>
    <col min="17" max="17" width="2.6640625" style="180" customWidth="1"/>
    <col min="18" max="19" width="2.6640625" style="181" customWidth="1"/>
    <col min="20" max="20" width="9.109375" style="181" customWidth="1"/>
    <col min="21" max="21" width="161.33203125" style="181" customWidth="1"/>
    <col min="22" max="22" width="9.33203125" style="182" bestFit="1" customWidth="1"/>
    <col min="23" max="23" width="12.109375" style="182" customWidth="1"/>
    <col min="24" max="24" width="121.5546875" style="182" customWidth="1"/>
    <col min="25" max="25" width="12" style="181" customWidth="1"/>
    <col min="26" max="26" width="9.109375" style="181" customWidth="1"/>
    <col min="27" max="27" width="12.44140625" style="183" customWidth="1"/>
    <col min="28" max="29" width="9.109375" style="181"/>
    <col min="30" max="30" width="11.5546875" style="181" bestFit="1" customWidth="1"/>
    <col min="31" max="32" width="9.109375" style="181"/>
    <col min="33" max="33" width="13.5546875" style="181" customWidth="1"/>
    <col min="34" max="16384" width="9.109375" style="181"/>
  </cols>
  <sheetData>
    <row r="1" spans="2:20" ht="19.8" thickBot="1" x14ac:dyDescent="0.35">
      <c r="C1" s="593" t="s">
        <v>5892</v>
      </c>
      <c r="D1" s="594"/>
      <c r="E1" s="594"/>
      <c r="F1" s="594"/>
      <c r="G1" s="594"/>
      <c r="H1" s="594"/>
      <c r="I1" s="594"/>
      <c r="J1" s="594"/>
      <c r="K1" s="595"/>
      <c r="L1" s="177"/>
    </row>
    <row r="2" spans="2:20" ht="39" thickBot="1" x14ac:dyDescent="0.35">
      <c r="B2" s="184"/>
      <c r="C2" s="185" t="s">
        <v>0</v>
      </c>
      <c r="D2" s="186" t="s">
        <v>1</v>
      </c>
      <c r="E2" s="419" t="s">
        <v>1644</v>
      </c>
      <c r="F2" s="351" t="s">
        <v>165</v>
      </c>
      <c r="G2" s="186" t="s">
        <v>2</v>
      </c>
      <c r="H2" s="187" t="s">
        <v>1645</v>
      </c>
      <c r="I2" s="187" t="s">
        <v>5893</v>
      </c>
      <c r="J2" s="369" t="s">
        <v>10800</v>
      </c>
      <c r="K2" s="187" t="s">
        <v>1646</v>
      </c>
      <c r="L2" s="188"/>
      <c r="M2" s="591" t="s">
        <v>373</v>
      </c>
      <c r="N2" s="591"/>
      <c r="O2" s="591"/>
      <c r="P2" s="592" t="s">
        <v>300</v>
      </c>
      <c r="Q2" s="592"/>
      <c r="R2" s="592"/>
      <c r="S2" s="592"/>
    </row>
    <row r="3" spans="2:20" ht="19.8" thickBot="1" x14ac:dyDescent="0.35">
      <c r="B3" s="190"/>
      <c r="F3" s="352" t="s">
        <v>379</v>
      </c>
      <c r="H3" s="191"/>
      <c r="I3" s="191"/>
      <c r="J3" s="191"/>
      <c r="K3" s="191"/>
      <c r="M3" s="430">
        <v>1</v>
      </c>
      <c r="N3" s="192">
        <v>2</v>
      </c>
      <c r="O3" s="192">
        <v>3</v>
      </c>
      <c r="P3" s="189"/>
      <c r="Q3" s="189"/>
      <c r="R3" s="189"/>
      <c r="S3" s="189"/>
    </row>
    <row r="4" spans="2:20" x14ac:dyDescent="0.3">
      <c r="B4" s="194"/>
      <c r="C4" s="195"/>
      <c r="D4" s="196"/>
      <c r="E4" s="421"/>
      <c r="F4" s="353" t="s">
        <v>1643</v>
      </c>
      <c r="G4" s="196" t="s">
        <v>5</v>
      </c>
      <c r="H4" s="197"/>
      <c r="I4" s="197">
        <f t="shared" ref="I4" si="0">+M4</f>
        <v>0</v>
      </c>
      <c r="J4" s="370"/>
      <c r="K4" s="198">
        <f t="shared" ref="K4:K15" si="1">+H4*I4</f>
        <v>0</v>
      </c>
      <c r="L4" s="199"/>
      <c r="M4" s="431"/>
      <c r="N4" s="200"/>
      <c r="O4" s="201"/>
      <c r="P4" s="202">
        <f>SUM(Q4:S4)</f>
        <v>0</v>
      </c>
      <c r="Q4" s="203">
        <f>IF(M4&gt;0,1,0)</f>
        <v>0</v>
      </c>
      <c r="R4" s="203">
        <f t="shared" ref="R4:S5" si="2">IF(N4&gt;0,1,0)</f>
        <v>0</v>
      </c>
      <c r="S4" s="204">
        <f t="shared" si="2"/>
        <v>0</v>
      </c>
    </row>
    <row r="5" spans="2:20" ht="38.4" x14ac:dyDescent="0.3">
      <c r="B5" s="205"/>
      <c r="C5" s="206" t="s">
        <v>1648</v>
      </c>
      <c r="D5" s="207" t="s">
        <v>1673</v>
      </c>
      <c r="E5" s="422" t="s">
        <v>8551</v>
      </c>
      <c r="F5" s="333" t="str">
        <f t="shared" ref="F5" si="3">UPPER(U5)</f>
        <v/>
      </c>
      <c r="G5" s="209" t="s">
        <v>9</v>
      </c>
      <c r="H5" s="426">
        <v>171.36</v>
      </c>
      <c r="I5" s="426">
        <v>7135.39</v>
      </c>
      <c r="J5" s="426"/>
      <c r="K5" s="211">
        <f t="shared" si="1"/>
        <v>1222720.4304000002</v>
      </c>
      <c r="L5" s="209"/>
      <c r="M5" s="432"/>
      <c r="N5" s="213"/>
      <c r="O5" s="212"/>
      <c r="P5" s="214">
        <f t="shared" ref="P5" si="4">SUM(Q5:S5)</f>
        <v>0</v>
      </c>
      <c r="Q5" s="215">
        <f t="shared" ref="Q5" si="5">IF(M5&gt;0,1,0)</f>
        <v>0</v>
      </c>
      <c r="R5" s="215">
        <f t="shared" si="2"/>
        <v>0</v>
      </c>
      <c r="S5" s="216">
        <f t="shared" si="2"/>
        <v>0</v>
      </c>
      <c r="T5" s="179"/>
    </row>
    <row r="6" spans="2:20" x14ac:dyDescent="0.3">
      <c r="B6" s="205"/>
      <c r="C6" s="206"/>
      <c r="D6" s="207"/>
      <c r="E6" s="423"/>
      <c r="F6" s="333"/>
      <c r="G6" s="209"/>
      <c r="H6" s="218"/>
      <c r="I6" s="218">
        <f t="shared" ref="I6:I8" si="6">+M6</f>
        <v>0</v>
      </c>
      <c r="J6" s="218"/>
      <c r="K6" s="211">
        <f t="shared" si="1"/>
        <v>0</v>
      </c>
      <c r="L6" s="208"/>
      <c r="M6" s="432"/>
      <c r="N6" s="213"/>
      <c r="O6" s="212"/>
      <c r="P6" s="214">
        <f t="shared" ref="P6:P34" si="7">SUM(Q6:S6)</f>
        <v>0</v>
      </c>
      <c r="Q6" s="215">
        <f t="shared" ref="Q6:Q34" si="8">IF(M6&gt;0,1,0)</f>
        <v>0</v>
      </c>
      <c r="R6" s="215">
        <f t="shared" ref="R6:R34" si="9">IF(N6&gt;0,1,0)</f>
        <v>0</v>
      </c>
      <c r="S6" s="216">
        <f t="shared" ref="S6:S34" si="10">IF(O6&gt;0,1,0)</f>
        <v>0</v>
      </c>
    </row>
    <row r="7" spans="2:20" x14ac:dyDescent="0.3">
      <c r="B7" s="205"/>
      <c r="C7" s="221"/>
      <c r="D7" s="222"/>
      <c r="E7" s="423"/>
      <c r="F7" s="354" t="str">
        <f t="shared" ref="F7" si="11">UPPER(U7)</f>
        <v/>
      </c>
      <c r="G7" s="222" t="s">
        <v>5</v>
      </c>
      <c r="H7" s="223"/>
      <c r="I7" s="223">
        <f t="shared" si="6"/>
        <v>0</v>
      </c>
      <c r="J7" s="223"/>
      <c r="K7" s="224">
        <f t="shared" si="1"/>
        <v>0</v>
      </c>
      <c r="L7" s="222"/>
      <c r="M7" s="433"/>
      <c r="N7" s="213"/>
      <c r="O7" s="212"/>
      <c r="P7" s="214">
        <f t="shared" ref="P7" si="12">SUM(Q7:S7)</f>
        <v>0</v>
      </c>
      <c r="Q7" s="215">
        <f t="shared" ref="Q7" si="13">IF(M7&gt;0,1,0)</f>
        <v>0</v>
      </c>
      <c r="R7" s="215">
        <f t="shared" ref="R7" si="14">IF(N7&gt;0,1,0)</f>
        <v>0</v>
      </c>
      <c r="S7" s="216">
        <f t="shared" ref="S7" si="15">IF(O7&gt;0,1,0)</f>
        <v>0</v>
      </c>
    </row>
    <row r="8" spans="2:20" x14ac:dyDescent="0.3">
      <c r="B8" s="205"/>
      <c r="C8" s="206"/>
      <c r="D8" s="207"/>
      <c r="E8" s="423"/>
      <c r="F8" s="333"/>
      <c r="G8" s="209"/>
      <c r="H8" s="218"/>
      <c r="I8" s="218">
        <f t="shared" si="6"/>
        <v>0</v>
      </c>
      <c r="J8" s="218"/>
      <c r="K8" s="211">
        <f t="shared" si="1"/>
        <v>0</v>
      </c>
      <c r="L8" s="208"/>
      <c r="M8" s="432"/>
      <c r="N8" s="213"/>
      <c r="O8" s="212"/>
      <c r="P8" s="214">
        <f t="shared" si="7"/>
        <v>0</v>
      </c>
      <c r="Q8" s="215">
        <f t="shared" si="8"/>
        <v>0</v>
      </c>
      <c r="R8" s="215">
        <f t="shared" si="9"/>
        <v>0</v>
      </c>
      <c r="S8" s="216">
        <f t="shared" si="10"/>
        <v>0</v>
      </c>
    </row>
    <row r="9" spans="2:20" ht="38.4" x14ac:dyDescent="0.3">
      <c r="B9" s="205"/>
      <c r="C9" s="206" t="s">
        <v>8610</v>
      </c>
      <c r="D9" s="209" t="s">
        <v>1673</v>
      </c>
      <c r="E9" s="423" t="s">
        <v>2798</v>
      </c>
      <c r="F9" s="355" t="s">
        <v>8603</v>
      </c>
      <c r="G9" s="209" t="s">
        <v>4</v>
      </c>
      <c r="H9" s="426">
        <v>1</v>
      </c>
      <c r="I9" s="426">
        <v>9208.9599999999991</v>
      </c>
      <c r="J9" s="426"/>
      <c r="K9" s="211">
        <f t="shared" si="1"/>
        <v>9208.9599999999991</v>
      </c>
      <c r="L9" s="208"/>
      <c r="M9" s="432"/>
      <c r="N9" s="213"/>
      <c r="O9" s="212"/>
      <c r="P9" s="214">
        <f t="shared" ref="P9:P18" si="16">SUM(Q9:S9)</f>
        <v>0</v>
      </c>
      <c r="Q9" s="215">
        <f t="shared" ref="Q9:Q18" si="17">IF(M9&gt;0,1,0)</f>
        <v>0</v>
      </c>
      <c r="R9" s="215">
        <f t="shared" ref="R9:R18" si="18">IF(N9&gt;0,1,0)</f>
        <v>0</v>
      </c>
      <c r="S9" s="216">
        <f t="shared" ref="S9:S18" si="19">IF(O9&gt;0,1,0)</f>
        <v>0</v>
      </c>
    </row>
    <row r="10" spans="2:20" x14ac:dyDescent="0.3">
      <c r="B10" s="205"/>
      <c r="C10" s="206" t="s">
        <v>8611</v>
      </c>
      <c r="D10" s="209" t="s">
        <v>1673</v>
      </c>
      <c r="E10" s="423" t="s">
        <v>2798</v>
      </c>
      <c r="F10" s="355" t="s">
        <v>8604</v>
      </c>
      <c r="G10" s="209" t="s">
        <v>3295</v>
      </c>
      <c r="H10" s="426">
        <v>4</v>
      </c>
      <c r="I10" s="426">
        <v>2464.31</v>
      </c>
      <c r="J10" s="426"/>
      <c r="K10" s="211">
        <f t="shared" si="1"/>
        <v>9857.24</v>
      </c>
      <c r="L10" s="208"/>
      <c r="M10" s="432"/>
      <c r="N10" s="213"/>
      <c r="O10" s="212"/>
      <c r="P10" s="214">
        <f t="shared" ref="P10:P15" si="20">SUM(Q10:S10)</f>
        <v>0</v>
      </c>
      <c r="Q10" s="215">
        <f t="shared" ref="Q10:Q15" si="21">IF(M10&gt;0,1,0)</f>
        <v>0</v>
      </c>
      <c r="R10" s="215">
        <f t="shared" ref="R10:R15" si="22">IF(N10&gt;0,1,0)</f>
        <v>0</v>
      </c>
      <c r="S10" s="216">
        <f t="shared" ref="S10:S15" si="23">IF(O10&gt;0,1,0)</f>
        <v>0</v>
      </c>
    </row>
    <row r="11" spans="2:20" x14ac:dyDescent="0.3">
      <c r="B11" s="205"/>
      <c r="C11" s="206" t="s">
        <v>8612</v>
      </c>
      <c r="D11" s="209" t="s">
        <v>1673</v>
      </c>
      <c r="E11" s="423" t="s">
        <v>2798</v>
      </c>
      <c r="F11" s="355" t="s">
        <v>8605</v>
      </c>
      <c r="G11" s="209" t="s">
        <v>4</v>
      </c>
      <c r="H11" s="426">
        <v>1</v>
      </c>
      <c r="I11" s="426">
        <v>464.77</v>
      </c>
      <c r="J11" s="426"/>
      <c r="K11" s="211">
        <f t="shared" si="1"/>
        <v>464.77</v>
      </c>
      <c r="L11" s="208"/>
      <c r="M11" s="432"/>
      <c r="N11" s="213"/>
      <c r="O11" s="212"/>
      <c r="P11" s="214">
        <f t="shared" si="20"/>
        <v>0</v>
      </c>
      <c r="Q11" s="215">
        <f t="shared" si="21"/>
        <v>0</v>
      </c>
      <c r="R11" s="215">
        <f t="shared" si="22"/>
        <v>0</v>
      </c>
      <c r="S11" s="216">
        <f t="shared" si="23"/>
        <v>0</v>
      </c>
    </row>
    <row r="12" spans="2:20" x14ac:dyDescent="0.3">
      <c r="B12" s="205"/>
      <c r="C12" s="206" t="s">
        <v>8613</v>
      </c>
      <c r="D12" s="209" t="s">
        <v>1673</v>
      </c>
      <c r="E12" s="423" t="s">
        <v>2798</v>
      </c>
      <c r="F12" s="355" t="s">
        <v>8606</v>
      </c>
      <c r="G12" s="209" t="s">
        <v>4</v>
      </c>
      <c r="H12" s="426">
        <v>1</v>
      </c>
      <c r="I12" s="426">
        <v>2558.92</v>
      </c>
      <c r="J12" s="426"/>
      <c r="K12" s="211">
        <f t="shared" si="1"/>
        <v>2558.92</v>
      </c>
      <c r="L12" s="208"/>
      <c r="M12" s="432"/>
      <c r="N12" s="213"/>
      <c r="O12" s="212"/>
      <c r="P12" s="214">
        <f t="shared" si="20"/>
        <v>0</v>
      </c>
      <c r="Q12" s="215">
        <f t="shared" si="21"/>
        <v>0</v>
      </c>
      <c r="R12" s="215">
        <f t="shared" si="22"/>
        <v>0</v>
      </c>
      <c r="S12" s="216">
        <f t="shared" si="23"/>
        <v>0</v>
      </c>
    </row>
    <row r="13" spans="2:20" ht="38.4" x14ac:dyDescent="0.3">
      <c r="B13" s="205"/>
      <c r="C13" s="206" t="s">
        <v>8614</v>
      </c>
      <c r="D13" s="209" t="s">
        <v>1673</v>
      </c>
      <c r="E13" s="423" t="s">
        <v>2798</v>
      </c>
      <c r="F13" s="355" t="s">
        <v>9714</v>
      </c>
      <c r="G13" s="209" t="s">
        <v>5</v>
      </c>
      <c r="H13" s="426">
        <v>1159.2</v>
      </c>
      <c r="I13" s="426">
        <v>152.15</v>
      </c>
      <c r="J13" s="426"/>
      <c r="K13" s="211">
        <f t="shared" si="1"/>
        <v>176372.28000000003</v>
      </c>
      <c r="L13" s="208"/>
      <c r="M13" s="432"/>
      <c r="N13" s="213"/>
      <c r="O13" s="212"/>
      <c r="P13" s="214">
        <f t="shared" si="20"/>
        <v>0</v>
      </c>
      <c r="Q13" s="215">
        <f t="shared" si="21"/>
        <v>0</v>
      </c>
      <c r="R13" s="215">
        <f t="shared" si="22"/>
        <v>0</v>
      </c>
      <c r="S13" s="216">
        <f t="shared" si="23"/>
        <v>0</v>
      </c>
    </row>
    <row r="14" spans="2:20" ht="38.4" x14ac:dyDescent="0.3">
      <c r="B14" s="205"/>
      <c r="C14" s="206" t="s">
        <v>8615</v>
      </c>
      <c r="D14" s="209" t="s">
        <v>1673</v>
      </c>
      <c r="E14" s="423" t="s">
        <v>2798</v>
      </c>
      <c r="F14" s="355" t="s">
        <v>8608</v>
      </c>
      <c r="G14" s="209" t="s">
        <v>5</v>
      </c>
      <c r="H14" s="426">
        <v>2147.06</v>
      </c>
      <c r="I14" s="426">
        <v>90.15</v>
      </c>
      <c r="J14" s="426"/>
      <c r="K14" s="211">
        <f t="shared" si="1"/>
        <v>193557.459</v>
      </c>
      <c r="L14" s="208"/>
      <c r="M14" s="432"/>
      <c r="N14" s="213"/>
      <c r="O14" s="212"/>
      <c r="P14" s="214">
        <f t="shared" si="20"/>
        <v>0</v>
      </c>
      <c r="Q14" s="215">
        <f t="shared" si="21"/>
        <v>0</v>
      </c>
      <c r="R14" s="215">
        <f t="shared" si="22"/>
        <v>0</v>
      </c>
      <c r="S14" s="216">
        <f t="shared" si="23"/>
        <v>0</v>
      </c>
    </row>
    <row r="15" spans="2:20" ht="38.4" x14ac:dyDescent="0.3">
      <c r="B15" s="205"/>
      <c r="C15" s="206" t="s">
        <v>8616</v>
      </c>
      <c r="D15" s="209" t="s">
        <v>1673</v>
      </c>
      <c r="E15" s="423" t="s">
        <v>2798</v>
      </c>
      <c r="F15" s="355" t="s">
        <v>9715</v>
      </c>
      <c r="G15" s="209" t="s">
        <v>5</v>
      </c>
      <c r="H15" s="426">
        <v>2150</v>
      </c>
      <c r="I15" s="426">
        <v>152.15</v>
      </c>
      <c r="J15" s="426"/>
      <c r="K15" s="211">
        <f t="shared" si="1"/>
        <v>327122.5</v>
      </c>
      <c r="L15" s="208"/>
      <c r="M15" s="432"/>
      <c r="N15" s="213"/>
      <c r="O15" s="212"/>
      <c r="P15" s="214">
        <f t="shared" si="20"/>
        <v>0</v>
      </c>
      <c r="Q15" s="215">
        <f t="shared" si="21"/>
        <v>0</v>
      </c>
      <c r="R15" s="215">
        <f t="shared" si="22"/>
        <v>0</v>
      </c>
      <c r="S15" s="216">
        <f t="shared" si="23"/>
        <v>0</v>
      </c>
    </row>
    <row r="16" spans="2:20" x14ac:dyDescent="0.3">
      <c r="B16" s="205"/>
      <c r="C16" s="206"/>
      <c r="D16" s="209"/>
      <c r="E16" s="423"/>
      <c r="F16" s="355"/>
      <c r="G16" s="209"/>
      <c r="H16" s="426"/>
      <c r="I16" s="426"/>
      <c r="J16" s="426"/>
      <c r="K16" s="211"/>
      <c r="L16" s="208"/>
      <c r="M16" s="432"/>
      <c r="N16" s="213"/>
      <c r="O16" s="212"/>
      <c r="P16" s="214"/>
      <c r="Q16" s="215"/>
      <c r="R16" s="215"/>
      <c r="S16" s="216"/>
    </row>
    <row r="17" spans="2:19" ht="38.4" x14ac:dyDescent="0.3">
      <c r="B17" s="205"/>
      <c r="C17" s="206" t="s">
        <v>2783</v>
      </c>
      <c r="D17" s="209" t="s">
        <v>1673</v>
      </c>
      <c r="E17" s="423" t="s">
        <v>9690</v>
      </c>
      <c r="F17" s="355" t="s">
        <v>9688</v>
      </c>
      <c r="G17" s="209" t="s">
        <v>5</v>
      </c>
      <c r="H17" s="426">
        <v>2150</v>
      </c>
      <c r="I17" s="426">
        <f>159.54*1.1</f>
        <v>175.494</v>
      </c>
      <c r="J17" s="426"/>
      <c r="K17" s="211">
        <f>+H17*I17</f>
        <v>377312.1</v>
      </c>
      <c r="L17" s="208"/>
      <c r="M17" s="432"/>
      <c r="N17" s="213"/>
      <c r="O17" s="212"/>
      <c r="P17" s="214">
        <f t="shared" ref="P17" si="24">SUM(Q17:S17)</f>
        <v>0</v>
      </c>
      <c r="Q17" s="215">
        <f t="shared" ref="Q17" si="25">IF(M17&gt;0,1,0)</f>
        <v>0</v>
      </c>
      <c r="R17" s="215">
        <f t="shared" ref="R17" si="26">IF(N17&gt;0,1,0)</f>
        <v>0</v>
      </c>
      <c r="S17" s="216">
        <f t="shared" ref="S17" si="27">IF(O17&gt;0,1,0)</f>
        <v>0</v>
      </c>
    </row>
    <row r="18" spans="2:19" x14ac:dyDescent="0.3">
      <c r="B18" s="205"/>
      <c r="C18" s="206" t="s">
        <v>2783</v>
      </c>
      <c r="D18" s="209" t="s">
        <v>1673</v>
      </c>
      <c r="E18" s="423" t="s">
        <v>9690</v>
      </c>
      <c r="F18" s="355" t="s">
        <v>9689</v>
      </c>
      <c r="G18" s="209" t="s">
        <v>5</v>
      </c>
      <c r="H18" s="426">
        <v>2</v>
      </c>
      <c r="I18" s="426">
        <v>4500</v>
      </c>
      <c r="J18" s="426"/>
      <c r="K18" s="211">
        <f>+H18*I18</f>
        <v>9000</v>
      </c>
      <c r="L18" s="208"/>
      <c r="M18" s="432"/>
      <c r="N18" s="213"/>
      <c r="O18" s="212"/>
      <c r="P18" s="214">
        <f t="shared" si="16"/>
        <v>0</v>
      </c>
      <c r="Q18" s="215">
        <f t="shared" si="17"/>
        <v>0</v>
      </c>
      <c r="R18" s="215">
        <f t="shared" si="18"/>
        <v>0</v>
      </c>
      <c r="S18" s="216">
        <f t="shared" si="19"/>
        <v>0</v>
      </c>
    </row>
    <row r="19" spans="2:19" x14ac:dyDescent="0.3">
      <c r="B19" s="205"/>
      <c r="C19" s="206"/>
      <c r="D19" s="209"/>
      <c r="E19" s="423"/>
      <c r="F19" s="356" t="s">
        <v>2066</v>
      </c>
      <c r="G19" s="209"/>
      <c r="H19" s="426"/>
      <c r="I19" s="426">
        <f t="shared" ref="I19" si="28">+AG19</f>
        <v>0</v>
      </c>
      <c r="J19" s="426"/>
      <c r="K19" s="417">
        <f>SUM(K20:K33)</f>
        <v>775256.41670000006</v>
      </c>
      <c r="L19" s="208"/>
      <c r="M19" s="432"/>
      <c r="N19" s="213"/>
      <c r="O19" s="212"/>
      <c r="P19" s="214">
        <f t="shared" ref="P19:P25" si="29">SUM(Q19:S19)</f>
        <v>0</v>
      </c>
      <c r="Q19" s="215">
        <f t="shared" ref="Q19:Q25" si="30">IF(M19&gt;0,1,0)</f>
        <v>0</v>
      </c>
      <c r="R19" s="215">
        <f t="shared" ref="R19:R25" si="31">IF(N19&gt;0,1,0)</f>
        <v>0</v>
      </c>
      <c r="S19" s="216">
        <f t="shared" ref="S19:S25" si="32">IF(O19&gt;0,1,0)</f>
        <v>0</v>
      </c>
    </row>
    <row r="20" spans="2:19" x14ac:dyDescent="0.3">
      <c r="B20" s="205"/>
      <c r="C20" s="206" t="s">
        <v>2784</v>
      </c>
      <c r="D20" s="209" t="s">
        <v>1673</v>
      </c>
      <c r="E20" s="423" t="s">
        <v>2799</v>
      </c>
      <c r="F20" s="355" t="s">
        <v>3525</v>
      </c>
      <c r="G20" s="209" t="s">
        <v>5</v>
      </c>
      <c r="H20" s="426">
        <v>1064.7</v>
      </c>
      <c r="I20" s="426">
        <v>352.56</v>
      </c>
      <c r="J20" s="426"/>
      <c r="K20" s="211">
        <f t="shared" ref="K20:K35" si="33">+H20*I20</f>
        <v>375370.63200000004</v>
      </c>
      <c r="L20" s="208"/>
      <c r="M20" s="432"/>
      <c r="N20" s="213"/>
      <c r="O20" s="212"/>
      <c r="P20" s="214">
        <f t="shared" si="29"/>
        <v>0</v>
      </c>
      <c r="Q20" s="215">
        <f t="shared" si="30"/>
        <v>0</v>
      </c>
      <c r="R20" s="215">
        <f t="shared" si="31"/>
        <v>0</v>
      </c>
      <c r="S20" s="216">
        <f t="shared" si="32"/>
        <v>0</v>
      </c>
    </row>
    <row r="21" spans="2:19" x14ac:dyDescent="0.3">
      <c r="B21" s="205"/>
      <c r="C21" s="206" t="s">
        <v>2785</v>
      </c>
      <c r="D21" s="209" t="s">
        <v>1673</v>
      </c>
      <c r="E21" s="423" t="s">
        <v>2799</v>
      </c>
      <c r="F21" s="355" t="s">
        <v>3526</v>
      </c>
      <c r="G21" s="209" t="s">
        <v>5</v>
      </c>
      <c r="H21" s="426">
        <v>94.5</v>
      </c>
      <c r="I21" s="426">
        <v>399.04</v>
      </c>
      <c r="J21" s="426"/>
      <c r="K21" s="211">
        <f t="shared" si="33"/>
        <v>37709.279999999999</v>
      </c>
      <c r="L21" s="208"/>
      <c r="M21" s="432"/>
      <c r="N21" s="213"/>
      <c r="O21" s="212"/>
      <c r="P21" s="214">
        <f t="shared" si="29"/>
        <v>0</v>
      </c>
      <c r="Q21" s="215">
        <f t="shared" si="30"/>
        <v>0</v>
      </c>
      <c r="R21" s="215">
        <f t="shared" si="31"/>
        <v>0</v>
      </c>
      <c r="S21" s="216">
        <f t="shared" si="32"/>
        <v>0</v>
      </c>
    </row>
    <row r="22" spans="2:19" x14ac:dyDescent="0.3">
      <c r="B22" s="205"/>
      <c r="C22" s="206" t="s">
        <v>2786</v>
      </c>
      <c r="D22" s="209" t="s">
        <v>1673</v>
      </c>
      <c r="E22" s="423" t="s">
        <v>2799</v>
      </c>
      <c r="F22" s="355" t="s">
        <v>3527</v>
      </c>
      <c r="G22" s="209" t="s">
        <v>7</v>
      </c>
      <c r="H22" s="426">
        <v>36.799999999999997</v>
      </c>
      <c r="I22" s="426">
        <v>113.58</v>
      </c>
      <c r="J22" s="426"/>
      <c r="K22" s="211">
        <f t="shared" si="33"/>
        <v>4179.7439999999997</v>
      </c>
      <c r="L22" s="208"/>
      <c r="M22" s="432"/>
      <c r="N22" s="213"/>
      <c r="O22" s="212"/>
      <c r="P22" s="214">
        <f t="shared" si="29"/>
        <v>0</v>
      </c>
      <c r="Q22" s="215">
        <f t="shared" si="30"/>
        <v>0</v>
      </c>
      <c r="R22" s="215">
        <f t="shared" si="31"/>
        <v>0</v>
      </c>
      <c r="S22" s="216">
        <f t="shared" si="32"/>
        <v>0</v>
      </c>
    </row>
    <row r="23" spans="2:19" x14ac:dyDescent="0.3">
      <c r="B23" s="205"/>
      <c r="C23" s="206" t="s">
        <v>2787</v>
      </c>
      <c r="D23" s="209" t="s">
        <v>1673</v>
      </c>
      <c r="E23" s="423" t="s">
        <v>2799</v>
      </c>
      <c r="F23" s="355" t="s">
        <v>3528</v>
      </c>
      <c r="G23" s="209" t="s">
        <v>7</v>
      </c>
      <c r="H23" s="426">
        <v>83.85</v>
      </c>
      <c r="I23" s="426">
        <v>258.27</v>
      </c>
      <c r="J23" s="426"/>
      <c r="K23" s="211">
        <f t="shared" si="33"/>
        <v>21655.939499999997</v>
      </c>
      <c r="L23" s="208"/>
      <c r="M23" s="432"/>
      <c r="N23" s="213"/>
      <c r="O23" s="212"/>
      <c r="P23" s="214">
        <f t="shared" si="29"/>
        <v>0</v>
      </c>
      <c r="Q23" s="215">
        <f t="shared" si="30"/>
        <v>0</v>
      </c>
      <c r="R23" s="215">
        <f t="shared" si="31"/>
        <v>0</v>
      </c>
      <c r="S23" s="216">
        <f t="shared" si="32"/>
        <v>0</v>
      </c>
    </row>
    <row r="24" spans="2:19" x14ac:dyDescent="0.3">
      <c r="B24" s="205"/>
      <c r="C24" s="206" t="s">
        <v>2788</v>
      </c>
      <c r="D24" s="209" t="s">
        <v>1673</v>
      </c>
      <c r="E24" s="423" t="s">
        <v>2799</v>
      </c>
      <c r="F24" s="355" t="s">
        <v>3529</v>
      </c>
      <c r="G24" s="209" t="s">
        <v>7</v>
      </c>
      <c r="H24" s="426">
        <v>4.5</v>
      </c>
      <c r="I24" s="426">
        <v>258.27</v>
      </c>
      <c r="J24" s="426"/>
      <c r="K24" s="211">
        <f t="shared" si="33"/>
        <v>1162.2149999999999</v>
      </c>
      <c r="L24" s="208"/>
      <c r="M24" s="432"/>
      <c r="N24" s="213"/>
      <c r="O24" s="212"/>
      <c r="P24" s="214">
        <f t="shared" si="29"/>
        <v>0</v>
      </c>
      <c r="Q24" s="215">
        <f t="shared" si="30"/>
        <v>0</v>
      </c>
      <c r="R24" s="215">
        <f t="shared" si="31"/>
        <v>0</v>
      </c>
      <c r="S24" s="216">
        <f t="shared" si="32"/>
        <v>0</v>
      </c>
    </row>
    <row r="25" spans="2:19" x14ac:dyDescent="0.3">
      <c r="B25" s="205"/>
      <c r="C25" s="206" t="s">
        <v>2789</v>
      </c>
      <c r="D25" s="209" t="s">
        <v>1673</v>
      </c>
      <c r="E25" s="423" t="s">
        <v>2799</v>
      </c>
      <c r="F25" s="355" t="s">
        <v>3530</v>
      </c>
      <c r="G25" s="209" t="s">
        <v>7</v>
      </c>
      <c r="H25" s="426">
        <v>19.2</v>
      </c>
      <c r="I25" s="426">
        <v>181.87</v>
      </c>
      <c r="J25" s="426"/>
      <c r="K25" s="211">
        <f t="shared" si="33"/>
        <v>3491.904</v>
      </c>
      <c r="L25" s="208"/>
      <c r="M25" s="432"/>
      <c r="N25" s="213"/>
      <c r="O25" s="212"/>
      <c r="P25" s="214">
        <f t="shared" si="29"/>
        <v>0</v>
      </c>
      <c r="Q25" s="215">
        <f t="shared" si="30"/>
        <v>0</v>
      </c>
      <c r="R25" s="215">
        <f t="shared" si="31"/>
        <v>0</v>
      </c>
      <c r="S25" s="216">
        <f t="shared" si="32"/>
        <v>0</v>
      </c>
    </row>
    <row r="26" spans="2:19" x14ac:dyDescent="0.3">
      <c r="B26" s="205"/>
      <c r="C26" s="206" t="s">
        <v>2790</v>
      </c>
      <c r="D26" s="209" t="s">
        <v>1673</v>
      </c>
      <c r="E26" s="423" t="s">
        <v>2799</v>
      </c>
      <c r="F26" s="355" t="s">
        <v>3531</v>
      </c>
      <c r="G26" s="209" t="s">
        <v>7</v>
      </c>
      <c r="H26" s="426">
        <v>14.4</v>
      </c>
      <c r="I26" s="426">
        <v>1232.1600000000001</v>
      </c>
      <c r="J26" s="426"/>
      <c r="K26" s="211">
        <f t="shared" si="33"/>
        <v>17743.104000000003</v>
      </c>
      <c r="L26" s="208"/>
      <c r="M26" s="432"/>
      <c r="N26" s="213"/>
      <c r="O26" s="212"/>
      <c r="P26" s="214">
        <f t="shared" si="7"/>
        <v>0</v>
      </c>
      <c r="Q26" s="215">
        <f t="shared" si="8"/>
        <v>0</v>
      </c>
      <c r="R26" s="215">
        <f t="shared" si="9"/>
        <v>0</v>
      </c>
      <c r="S26" s="216">
        <f t="shared" si="10"/>
        <v>0</v>
      </c>
    </row>
    <row r="27" spans="2:19" x14ac:dyDescent="0.3">
      <c r="B27" s="205"/>
      <c r="C27" s="206" t="s">
        <v>2791</v>
      </c>
      <c r="D27" s="209" t="s">
        <v>1673</v>
      </c>
      <c r="E27" s="423" t="s">
        <v>2799</v>
      </c>
      <c r="F27" s="355" t="s">
        <v>3532</v>
      </c>
      <c r="G27" s="209" t="s">
        <v>7</v>
      </c>
      <c r="H27" s="426">
        <v>73.599999999999994</v>
      </c>
      <c r="I27" s="426">
        <v>812.46</v>
      </c>
      <c r="J27" s="426"/>
      <c r="K27" s="211">
        <f t="shared" si="33"/>
        <v>59797.055999999997</v>
      </c>
      <c r="L27" s="208"/>
      <c r="M27" s="432"/>
      <c r="N27" s="213"/>
      <c r="O27" s="212"/>
      <c r="P27" s="214">
        <f t="shared" si="7"/>
        <v>0</v>
      </c>
      <c r="Q27" s="215">
        <f t="shared" si="8"/>
        <v>0</v>
      </c>
      <c r="R27" s="215">
        <f t="shared" si="9"/>
        <v>0</v>
      </c>
      <c r="S27" s="216">
        <f t="shared" si="10"/>
        <v>0</v>
      </c>
    </row>
    <row r="28" spans="2:19" x14ac:dyDescent="0.3">
      <c r="B28" s="205"/>
      <c r="C28" s="206" t="s">
        <v>2792</v>
      </c>
      <c r="D28" s="209" t="s">
        <v>1673</v>
      </c>
      <c r="E28" s="423" t="s">
        <v>2799</v>
      </c>
      <c r="F28" s="355" t="s">
        <v>3533</v>
      </c>
      <c r="G28" s="209" t="s">
        <v>7</v>
      </c>
      <c r="H28" s="426">
        <v>61.2</v>
      </c>
      <c r="I28" s="426">
        <v>526.15</v>
      </c>
      <c r="J28" s="426"/>
      <c r="K28" s="211">
        <f t="shared" si="33"/>
        <v>32200.38</v>
      </c>
      <c r="L28" s="208"/>
      <c r="M28" s="433"/>
      <c r="N28" s="213"/>
      <c r="O28" s="212"/>
      <c r="P28" s="214">
        <f t="shared" si="7"/>
        <v>0</v>
      </c>
      <c r="Q28" s="215">
        <f t="shared" si="8"/>
        <v>0</v>
      </c>
      <c r="R28" s="215">
        <f t="shared" si="9"/>
        <v>0</v>
      </c>
      <c r="S28" s="216">
        <f t="shared" si="10"/>
        <v>0</v>
      </c>
    </row>
    <row r="29" spans="2:19" x14ac:dyDescent="0.3">
      <c r="B29" s="205"/>
      <c r="C29" s="206" t="s">
        <v>2793</v>
      </c>
      <c r="D29" s="209" t="s">
        <v>1673</v>
      </c>
      <c r="E29" s="423" t="s">
        <v>2799</v>
      </c>
      <c r="F29" s="355" t="s">
        <v>3534</v>
      </c>
      <c r="G29" s="209" t="s">
        <v>5</v>
      </c>
      <c r="H29" s="426">
        <v>2147.06</v>
      </c>
      <c r="I29" s="426">
        <v>94.27</v>
      </c>
      <c r="J29" s="426"/>
      <c r="K29" s="211">
        <f t="shared" si="33"/>
        <v>202403.3462</v>
      </c>
      <c r="L29" s="208"/>
      <c r="M29" s="433"/>
      <c r="N29" s="213"/>
      <c r="O29" s="212"/>
      <c r="P29" s="214">
        <f t="shared" si="7"/>
        <v>0</v>
      </c>
      <c r="Q29" s="215">
        <f t="shared" si="8"/>
        <v>0</v>
      </c>
      <c r="R29" s="215">
        <f t="shared" si="9"/>
        <v>0</v>
      </c>
      <c r="S29" s="216">
        <f t="shared" si="10"/>
        <v>0</v>
      </c>
    </row>
    <row r="30" spans="2:19" x14ac:dyDescent="0.3">
      <c r="B30" s="205"/>
      <c r="C30" s="206" t="s">
        <v>2794</v>
      </c>
      <c r="D30" s="209" t="s">
        <v>1673</v>
      </c>
      <c r="E30" s="423" t="s">
        <v>2799</v>
      </c>
      <c r="F30" s="355" t="s">
        <v>3535</v>
      </c>
      <c r="G30" s="209" t="s">
        <v>7</v>
      </c>
      <c r="H30" s="426">
        <v>41.6</v>
      </c>
      <c r="I30" s="426">
        <v>140.24</v>
      </c>
      <c r="J30" s="426"/>
      <c r="K30" s="211">
        <f t="shared" si="33"/>
        <v>5833.9840000000004</v>
      </c>
      <c r="L30" s="208"/>
      <c r="M30" s="433"/>
      <c r="N30" s="213"/>
      <c r="O30" s="212"/>
      <c r="P30" s="214">
        <f t="shared" si="7"/>
        <v>0</v>
      </c>
      <c r="Q30" s="215">
        <f t="shared" si="8"/>
        <v>0</v>
      </c>
      <c r="R30" s="215">
        <f t="shared" si="9"/>
        <v>0</v>
      </c>
      <c r="S30" s="216">
        <f t="shared" si="10"/>
        <v>0</v>
      </c>
    </row>
    <row r="31" spans="2:19" x14ac:dyDescent="0.3">
      <c r="B31" s="205"/>
      <c r="C31" s="206" t="s">
        <v>2795</v>
      </c>
      <c r="D31" s="209" t="s">
        <v>1673</v>
      </c>
      <c r="E31" s="423" t="s">
        <v>2799</v>
      </c>
      <c r="F31" s="355" t="s">
        <v>3536</v>
      </c>
      <c r="G31" s="209" t="s">
        <v>7</v>
      </c>
      <c r="H31" s="426">
        <v>41.6</v>
      </c>
      <c r="I31" s="426">
        <v>36.270000000000003</v>
      </c>
      <c r="J31" s="426"/>
      <c r="K31" s="211">
        <f t="shared" si="33"/>
        <v>1508.8320000000001</v>
      </c>
      <c r="L31" s="208"/>
      <c r="M31" s="433"/>
      <c r="N31" s="213"/>
      <c r="O31" s="212"/>
      <c r="P31" s="214">
        <f t="shared" si="7"/>
        <v>0</v>
      </c>
      <c r="Q31" s="215">
        <f t="shared" si="8"/>
        <v>0</v>
      </c>
      <c r="R31" s="215">
        <f t="shared" si="9"/>
        <v>0</v>
      </c>
      <c r="S31" s="216">
        <f t="shared" si="10"/>
        <v>0</v>
      </c>
    </row>
    <row r="32" spans="2:19" x14ac:dyDescent="0.3">
      <c r="B32" s="205"/>
      <c r="C32" s="206" t="s">
        <v>2796</v>
      </c>
      <c r="D32" s="209" t="s">
        <v>1673</v>
      </c>
      <c r="E32" s="423" t="s">
        <v>2799</v>
      </c>
      <c r="F32" s="355" t="s">
        <v>3537</v>
      </c>
      <c r="G32" s="225" t="s">
        <v>9707</v>
      </c>
      <c r="H32" s="426">
        <v>2</v>
      </c>
      <c r="I32" s="426">
        <v>2500</v>
      </c>
      <c r="J32" s="426"/>
      <c r="K32" s="211">
        <f t="shared" si="33"/>
        <v>5000</v>
      </c>
      <c r="L32" s="208"/>
      <c r="M32" s="433"/>
      <c r="N32" s="213"/>
      <c r="O32" s="212"/>
      <c r="P32" s="214">
        <f t="shared" ref="P32:P33" si="34">SUM(Q32:S32)</f>
        <v>0</v>
      </c>
      <c r="Q32" s="215">
        <f t="shared" ref="Q32:Q33" si="35">IF(M32&gt;0,1,0)</f>
        <v>0</v>
      </c>
      <c r="R32" s="215">
        <f t="shared" ref="R32:R33" si="36">IF(N32&gt;0,1,0)</f>
        <v>0</v>
      </c>
      <c r="S32" s="216">
        <f t="shared" ref="S32:S33" si="37">IF(O32&gt;0,1,0)</f>
        <v>0</v>
      </c>
    </row>
    <row r="33" spans="2:19" x14ac:dyDescent="0.3">
      <c r="B33" s="205"/>
      <c r="C33" s="206" t="s">
        <v>2797</v>
      </c>
      <c r="D33" s="209" t="s">
        <v>1673</v>
      </c>
      <c r="E33" s="423" t="s">
        <v>2799</v>
      </c>
      <c r="F33" s="355" t="s">
        <v>3538</v>
      </c>
      <c r="G33" s="225" t="s">
        <v>7</v>
      </c>
      <c r="H33" s="426">
        <v>19.2</v>
      </c>
      <c r="I33" s="426">
        <v>375</v>
      </c>
      <c r="J33" s="426"/>
      <c r="K33" s="211">
        <f t="shared" si="33"/>
        <v>7200</v>
      </c>
      <c r="L33" s="208"/>
      <c r="M33" s="433"/>
      <c r="N33" s="213"/>
      <c r="O33" s="212"/>
      <c r="P33" s="214">
        <f t="shared" si="34"/>
        <v>0</v>
      </c>
      <c r="Q33" s="215">
        <f t="shared" si="35"/>
        <v>0</v>
      </c>
      <c r="R33" s="215">
        <f t="shared" si="36"/>
        <v>0</v>
      </c>
      <c r="S33" s="216">
        <f t="shared" si="37"/>
        <v>0</v>
      </c>
    </row>
    <row r="34" spans="2:19" x14ac:dyDescent="0.3">
      <c r="B34" s="205"/>
      <c r="C34" s="206"/>
      <c r="D34" s="207"/>
      <c r="E34" s="423"/>
      <c r="F34" s="333"/>
      <c r="G34" s="209"/>
      <c r="H34" s="218"/>
      <c r="I34" s="218"/>
      <c r="J34" s="218"/>
      <c r="K34" s="211">
        <f t="shared" si="33"/>
        <v>0</v>
      </c>
      <c r="L34" s="208"/>
      <c r="M34" s="433"/>
      <c r="N34" s="213"/>
      <c r="O34" s="212"/>
      <c r="P34" s="214">
        <f t="shared" si="7"/>
        <v>0</v>
      </c>
      <c r="Q34" s="215">
        <f t="shared" si="8"/>
        <v>0</v>
      </c>
      <c r="R34" s="215">
        <f t="shared" si="9"/>
        <v>0</v>
      </c>
      <c r="S34" s="216">
        <f t="shared" si="10"/>
        <v>0</v>
      </c>
    </row>
    <row r="35" spans="2:19" x14ac:dyDescent="0.3">
      <c r="B35" s="205"/>
      <c r="C35" s="221"/>
      <c r="D35" s="228"/>
      <c r="E35" s="423"/>
      <c r="F35" s="358" t="s">
        <v>1675</v>
      </c>
      <c r="G35" s="222"/>
      <c r="H35" s="223"/>
      <c r="I35" s="223">
        <f t="shared" ref="I35" si="38">+M35</f>
        <v>0</v>
      </c>
      <c r="J35" s="223"/>
      <c r="K35" s="224">
        <f t="shared" si="33"/>
        <v>0</v>
      </c>
      <c r="L35" s="208"/>
      <c r="M35" s="432"/>
      <c r="N35" s="213"/>
      <c r="O35" s="212"/>
      <c r="P35" s="214">
        <f>SUM(Q35:S35)</f>
        <v>0</v>
      </c>
      <c r="Q35" s="215">
        <f t="shared" ref="Q35:S36" si="39">IF(M35&gt;0,1,0)</f>
        <v>0</v>
      </c>
      <c r="R35" s="215">
        <f t="shared" si="39"/>
        <v>0</v>
      </c>
      <c r="S35" s="216">
        <f t="shared" si="39"/>
        <v>0</v>
      </c>
    </row>
    <row r="36" spans="2:19" ht="43.2" x14ac:dyDescent="0.3">
      <c r="B36" s="205"/>
      <c r="C36" s="206" t="s">
        <v>2802</v>
      </c>
      <c r="D36" s="209" t="s">
        <v>1673</v>
      </c>
      <c r="E36" s="423" t="s">
        <v>2104</v>
      </c>
      <c r="F36" s="367" t="s">
        <v>8553</v>
      </c>
      <c r="G36" s="209" t="s">
        <v>5</v>
      </c>
      <c r="H36" s="368">
        <v>9.18</v>
      </c>
      <c r="I36" s="217">
        <v>1203.76</v>
      </c>
      <c r="J36" s="217">
        <v>350</v>
      </c>
      <c r="K36" s="211">
        <f t="shared" ref="K36:K69" si="40">+(I36+J36)*H36</f>
        <v>14263.516799999999</v>
      </c>
      <c r="L36" s="208"/>
      <c r="M36" s="227"/>
      <c r="N36" s="366"/>
      <c r="O36" s="365"/>
      <c r="P36" s="214">
        <f>SUM(Q36:S36)</f>
        <v>0</v>
      </c>
      <c r="Q36" s="215">
        <f t="shared" si="39"/>
        <v>0</v>
      </c>
      <c r="R36" s="215">
        <f t="shared" si="39"/>
        <v>0</v>
      </c>
      <c r="S36" s="216">
        <f t="shared" si="39"/>
        <v>0</v>
      </c>
    </row>
    <row r="37" spans="2:19" ht="43.2" x14ac:dyDescent="0.3">
      <c r="B37" s="205"/>
      <c r="C37" s="206" t="s">
        <v>2803</v>
      </c>
      <c r="D37" s="209" t="s">
        <v>1673</v>
      </c>
      <c r="E37" s="423" t="s">
        <v>2104</v>
      </c>
      <c r="F37" s="367" t="s">
        <v>8569</v>
      </c>
      <c r="G37" s="209" t="s">
        <v>5</v>
      </c>
      <c r="H37" s="368">
        <v>109.44</v>
      </c>
      <c r="I37" s="217">
        <v>1203.76</v>
      </c>
      <c r="J37" s="217">
        <v>350</v>
      </c>
      <c r="K37" s="211">
        <f t="shared" si="40"/>
        <v>170043.4944</v>
      </c>
      <c r="L37" s="208"/>
      <c r="M37" s="218"/>
      <c r="N37" s="366"/>
      <c r="O37" s="365"/>
      <c r="P37" s="214">
        <f t="shared" ref="P37" si="41">SUM(Q37:S37)</f>
        <v>0</v>
      </c>
      <c r="Q37" s="215">
        <f t="shared" ref="Q37" si="42">IF(M37&gt;0,1,0)</f>
        <v>0</v>
      </c>
      <c r="R37" s="215">
        <f t="shared" ref="R37" si="43">IF(N37&gt;0,1,0)</f>
        <v>0</v>
      </c>
      <c r="S37" s="216">
        <f t="shared" ref="S37" si="44">IF(O37&gt;0,1,0)</f>
        <v>0</v>
      </c>
    </row>
    <row r="38" spans="2:19" ht="43.2" x14ac:dyDescent="0.3">
      <c r="B38" s="205"/>
      <c r="C38" s="206" t="s">
        <v>2804</v>
      </c>
      <c r="D38" s="209" t="s">
        <v>1673</v>
      </c>
      <c r="E38" s="423" t="s">
        <v>2104</v>
      </c>
      <c r="F38" s="367" t="s">
        <v>8570</v>
      </c>
      <c r="G38" s="209" t="s">
        <v>5</v>
      </c>
      <c r="H38" s="368">
        <v>1.1100000000000001</v>
      </c>
      <c r="I38" s="217">
        <v>1203.76</v>
      </c>
      <c r="J38" s="217">
        <v>350</v>
      </c>
      <c r="K38" s="211">
        <f t="shared" si="40"/>
        <v>1724.6736000000001</v>
      </c>
      <c r="L38" s="208"/>
      <c r="M38" s="218"/>
      <c r="N38" s="366"/>
      <c r="O38" s="365"/>
      <c r="P38" s="214">
        <f t="shared" ref="P38:P39" si="45">SUM(Q38:S38)</f>
        <v>0</v>
      </c>
      <c r="Q38" s="215">
        <f t="shared" ref="Q38:Q39" si="46">IF(M38&gt;0,1,0)</f>
        <v>0</v>
      </c>
      <c r="R38" s="215">
        <f t="shared" ref="R38:R39" si="47">IF(N38&gt;0,1,0)</f>
        <v>0</v>
      </c>
      <c r="S38" s="216">
        <f t="shared" ref="S38:S39" si="48">IF(O38&gt;0,1,0)</f>
        <v>0</v>
      </c>
    </row>
    <row r="39" spans="2:19" ht="43.2" x14ac:dyDescent="0.3">
      <c r="B39" s="205"/>
      <c r="C39" s="206" t="s">
        <v>2805</v>
      </c>
      <c r="D39" s="209" t="s">
        <v>1673</v>
      </c>
      <c r="E39" s="423" t="s">
        <v>2104</v>
      </c>
      <c r="F39" s="367" t="s">
        <v>8571</v>
      </c>
      <c r="G39" s="209" t="s">
        <v>5</v>
      </c>
      <c r="H39" s="368">
        <v>124.42</v>
      </c>
      <c r="I39" s="217">
        <v>1203.76</v>
      </c>
      <c r="J39" s="217">
        <v>350</v>
      </c>
      <c r="K39" s="211">
        <f t="shared" si="40"/>
        <v>193318.8192</v>
      </c>
      <c r="L39" s="208"/>
      <c r="M39" s="218"/>
      <c r="N39" s="366"/>
      <c r="O39" s="365"/>
      <c r="P39" s="214">
        <f t="shared" si="45"/>
        <v>0</v>
      </c>
      <c r="Q39" s="215">
        <f t="shared" si="46"/>
        <v>0</v>
      </c>
      <c r="R39" s="215">
        <f t="shared" si="47"/>
        <v>0</v>
      </c>
      <c r="S39" s="216">
        <f t="shared" si="48"/>
        <v>0</v>
      </c>
    </row>
    <row r="40" spans="2:19" ht="43.2" x14ac:dyDescent="0.3">
      <c r="B40" s="205"/>
      <c r="C40" s="206" t="s">
        <v>2806</v>
      </c>
      <c r="D40" s="209" t="s">
        <v>1673</v>
      </c>
      <c r="E40" s="423" t="s">
        <v>2104</v>
      </c>
      <c r="F40" s="367" t="s">
        <v>8572</v>
      </c>
      <c r="G40" s="209" t="s">
        <v>5</v>
      </c>
      <c r="H40" s="368">
        <v>0.94</v>
      </c>
      <c r="I40" s="217">
        <v>1203.76</v>
      </c>
      <c r="J40" s="217">
        <v>350</v>
      </c>
      <c r="K40" s="211">
        <f t="shared" si="40"/>
        <v>1460.5344</v>
      </c>
      <c r="L40" s="208"/>
      <c r="M40" s="218"/>
      <c r="N40" s="366"/>
      <c r="O40" s="365"/>
      <c r="P40" s="214">
        <f t="shared" ref="P40:P41" si="49">SUM(Q40:S40)</f>
        <v>0</v>
      </c>
      <c r="Q40" s="215">
        <f t="shared" ref="Q40:Q41" si="50">IF(M40&gt;0,1,0)</f>
        <v>0</v>
      </c>
      <c r="R40" s="215">
        <f t="shared" ref="R40:R41" si="51">IF(N40&gt;0,1,0)</f>
        <v>0</v>
      </c>
      <c r="S40" s="216">
        <f t="shared" ref="S40:S41" si="52">IF(O40&gt;0,1,0)</f>
        <v>0</v>
      </c>
    </row>
    <row r="41" spans="2:19" ht="43.2" x14ac:dyDescent="0.3">
      <c r="B41" s="205"/>
      <c r="C41" s="206" t="s">
        <v>2807</v>
      </c>
      <c r="D41" s="209" t="s">
        <v>1673</v>
      </c>
      <c r="E41" s="423" t="s">
        <v>2104</v>
      </c>
      <c r="F41" s="367" t="s">
        <v>8573</v>
      </c>
      <c r="G41" s="209" t="s">
        <v>5</v>
      </c>
      <c r="H41" s="368">
        <v>1.1100000000000001</v>
      </c>
      <c r="I41" s="217">
        <v>1203.76</v>
      </c>
      <c r="J41" s="217">
        <v>350</v>
      </c>
      <c r="K41" s="211">
        <f t="shared" si="40"/>
        <v>1724.6736000000001</v>
      </c>
      <c r="L41" s="208"/>
      <c r="M41" s="218"/>
      <c r="N41" s="366"/>
      <c r="O41" s="365"/>
      <c r="P41" s="214">
        <f t="shared" si="49"/>
        <v>0</v>
      </c>
      <c r="Q41" s="215">
        <f t="shared" si="50"/>
        <v>0</v>
      </c>
      <c r="R41" s="215">
        <f t="shared" si="51"/>
        <v>0</v>
      </c>
      <c r="S41" s="216">
        <f t="shared" si="52"/>
        <v>0</v>
      </c>
    </row>
    <row r="42" spans="2:19" ht="43.2" x14ac:dyDescent="0.3">
      <c r="B42" s="205"/>
      <c r="C42" s="206" t="s">
        <v>2808</v>
      </c>
      <c r="D42" s="209" t="s">
        <v>1673</v>
      </c>
      <c r="E42" s="423" t="s">
        <v>2104</v>
      </c>
      <c r="F42" s="367" t="s">
        <v>8574</v>
      </c>
      <c r="G42" s="209" t="s">
        <v>5</v>
      </c>
      <c r="H42" s="368">
        <v>25.76</v>
      </c>
      <c r="I42" s="217">
        <v>1203.76</v>
      </c>
      <c r="J42" s="217">
        <v>350</v>
      </c>
      <c r="K42" s="211">
        <f t="shared" si="40"/>
        <v>40024.857600000003</v>
      </c>
      <c r="L42" s="208"/>
      <c r="M42" s="218"/>
      <c r="N42" s="366"/>
      <c r="O42" s="365"/>
      <c r="P42" s="214">
        <f t="shared" ref="P42" si="53">SUM(Q42:S42)</f>
        <v>0</v>
      </c>
      <c r="Q42" s="215">
        <f t="shared" ref="Q42" si="54">IF(M42&gt;0,1,0)</f>
        <v>0</v>
      </c>
      <c r="R42" s="215">
        <f t="shared" ref="R42" si="55">IF(N42&gt;0,1,0)</f>
        <v>0</v>
      </c>
      <c r="S42" s="216">
        <f t="shared" ref="S42" si="56">IF(O42&gt;0,1,0)</f>
        <v>0</v>
      </c>
    </row>
    <row r="43" spans="2:19" ht="43.2" x14ac:dyDescent="0.3">
      <c r="B43" s="205"/>
      <c r="C43" s="206" t="s">
        <v>2809</v>
      </c>
      <c r="D43" s="209" t="s">
        <v>1673</v>
      </c>
      <c r="E43" s="423" t="s">
        <v>2104</v>
      </c>
      <c r="F43" s="367" t="s">
        <v>8575</v>
      </c>
      <c r="G43" s="209" t="s">
        <v>5</v>
      </c>
      <c r="H43" s="368">
        <v>0.82</v>
      </c>
      <c r="I43" s="217">
        <v>1203.76</v>
      </c>
      <c r="J43" s="217">
        <v>350</v>
      </c>
      <c r="K43" s="211">
        <f t="shared" si="40"/>
        <v>1274.0831999999998</v>
      </c>
      <c r="L43" s="208"/>
      <c r="M43" s="218"/>
      <c r="N43" s="366"/>
      <c r="O43" s="365"/>
      <c r="P43" s="214">
        <f t="shared" ref="P43" si="57">SUM(Q43:S43)</f>
        <v>0</v>
      </c>
      <c r="Q43" s="215">
        <f t="shared" ref="Q43" si="58">IF(M43&gt;0,1,0)</f>
        <v>0</v>
      </c>
      <c r="R43" s="215">
        <f t="shared" ref="R43" si="59">IF(N43&gt;0,1,0)</f>
        <v>0</v>
      </c>
      <c r="S43" s="216">
        <f t="shared" ref="S43" si="60">IF(O43&gt;0,1,0)</f>
        <v>0</v>
      </c>
    </row>
    <row r="44" spans="2:19" ht="43.2" x14ac:dyDescent="0.3">
      <c r="B44" s="205"/>
      <c r="C44" s="206" t="s">
        <v>2810</v>
      </c>
      <c r="D44" s="209" t="s">
        <v>1673</v>
      </c>
      <c r="E44" s="423" t="s">
        <v>2104</v>
      </c>
      <c r="F44" s="367" t="s">
        <v>8576</v>
      </c>
      <c r="G44" s="209" t="s">
        <v>5</v>
      </c>
      <c r="H44" s="368">
        <v>21.62</v>
      </c>
      <c r="I44" s="217">
        <v>1203.76</v>
      </c>
      <c r="J44" s="217">
        <v>350</v>
      </c>
      <c r="K44" s="211">
        <f t="shared" si="40"/>
        <v>33592.2912</v>
      </c>
      <c r="L44" s="208"/>
      <c r="M44" s="218"/>
      <c r="N44" s="366"/>
      <c r="O44" s="365"/>
      <c r="P44" s="214">
        <f t="shared" ref="P44" si="61">SUM(Q44:S44)</f>
        <v>0</v>
      </c>
      <c r="Q44" s="215">
        <f t="shared" ref="Q44" si="62">IF(M44&gt;0,1,0)</f>
        <v>0</v>
      </c>
      <c r="R44" s="215">
        <f t="shared" ref="R44" si="63">IF(N44&gt;0,1,0)</f>
        <v>0</v>
      </c>
      <c r="S44" s="216">
        <f t="shared" ref="S44" si="64">IF(O44&gt;0,1,0)</f>
        <v>0</v>
      </c>
    </row>
    <row r="45" spans="2:19" ht="43.2" x14ac:dyDescent="0.3">
      <c r="B45" s="205"/>
      <c r="C45" s="206" t="s">
        <v>2811</v>
      </c>
      <c r="D45" s="209" t="s">
        <v>1673</v>
      </c>
      <c r="E45" s="423" t="s">
        <v>2104</v>
      </c>
      <c r="F45" s="367" t="s">
        <v>8577</v>
      </c>
      <c r="G45" s="209" t="s">
        <v>5</v>
      </c>
      <c r="H45" s="368">
        <v>3.38</v>
      </c>
      <c r="I45" s="217">
        <v>1203.76</v>
      </c>
      <c r="J45" s="217">
        <v>350</v>
      </c>
      <c r="K45" s="211">
        <f t="shared" si="40"/>
        <v>5251.7087999999994</v>
      </c>
      <c r="L45" s="208"/>
      <c r="M45" s="218"/>
      <c r="N45" s="366"/>
      <c r="O45" s="365"/>
      <c r="P45" s="214">
        <f t="shared" ref="P45" si="65">SUM(Q45:S45)</f>
        <v>0</v>
      </c>
      <c r="Q45" s="215">
        <f t="shared" ref="Q45" si="66">IF(M45&gt;0,1,0)</f>
        <v>0</v>
      </c>
      <c r="R45" s="215">
        <f t="shared" ref="R45" si="67">IF(N45&gt;0,1,0)</f>
        <v>0</v>
      </c>
      <c r="S45" s="216">
        <f t="shared" ref="S45" si="68">IF(O45&gt;0,1,0)</f>
        <v>0</v>
      </c>
    </row>
    <row r="46" spans="2:19" ht="43.2" x14ac:dyDescent="0.3">
      <c r="B46" s="205"/>
      <c r="C46" s="206" t="s">
        <v>2812</v>
      </c>
      <c r="D46" s="209" t="s">
        <v>1673</v>
      </c>
      <c r="E46" s="423" t="s">
        <v>2104</v>
      </c>
      <c r="F46" s="367" t="s">
        <v>8578</v>
      </c>
      <c r="G46" s="209" t="s">
        <v>5</v>
      </c>
      <c r="H46" s="368">
        <v>36.58</v>
      </c>
      <c r="I46" s="217">
        <v>1203.76</v>
      </c>
      <c r="J46" s="217">
        <v>350</v>
      </c>
      <c r="K46" s="211">
        <f t="shared" si="40"/>
        <v>56836.540799999995</v>
      </c>
      <c r="L46" s="208"/>
      <c r="M46" s="218"/>
      <c r="N46" s="366"/>
      <c r="O46" s="365"/>
      <c r="P46" s="214">
        <f t="shared" ref="P46" si="69">SUM(Q46:S46)</f>
        <v>0</v>
      </c>
      <c r="Q46" s="215">
        <f t="shared" ref="Q46" si="70">IF(M46&gt;0,1,0)</f>
        <v>0</v>
      </c>
      <c r="R46" s="215">
        <f t="shared" ref="R46" si="71">IF(N46&gt;0,1,0)</f>
        <v>0</v>
      </c>
      <c r="S46" s="216">
        <f t="shared" ref="S46" si="72">IF(O46&gt;0,1,0)</f>
        <v>0</v>
      </c>
    </row>
    <row r="47" spans="2:19" ht="43.2" x14ac:dyDescent="0.3">
      <c r="B47" s="205"/>
      <c r="C47" s="206" t="s">
        <v>2813</v>
      </c>
      <c r="D47" s="209" t="s">
        <v>1673</v>
      </c>
      <c r="E47" s="423" t="s">
        <v>2104</v>
      </c>
      <c r="F47" s="367" t="s">
        <v>8579</v>
      </c>
      <c r="G47" s="209" t="s">
        <v>5</v>
      </c>
      <c r="H47" s="368">
        <v>61.16</v>
      </c>
      <c r="I47" s="217">
        <v>1203.76</v>
      </c>
      <c r="J47" s="217">
        <v>350</v>
      </c>
      <c r="K47" s="211">
        <f t="shared" si="40"/>
        <v>95027.961599999995</v>
      </c>
      <c r="L47" s="208"/>
      <c r="M47" s="218"/>
      <c r="N47" s="366"/>
      <c r="O47" s="365"/>
      <c r="P47" s="214">
        <f t="shared" ref="P47" si="73">SUM(Q47:S47)</f>
        <v>0</v>
      </c>
      <c r="Q47" s="215">
        <f t="shared" ref="Q47" si="74">IF(M47&gt;0,1,0)</f>
        <v>0</v>
      </c>
      <c r="R47" s="215">
        <f t="shared" ref="R47" si="75">IF(N47&gt;0,1,0)</f>
        <v>0</v>
      </c>
      <c r="S47" s="216">
        <f t="shared" ref="S47" si="76">IF(O47&gt;0,1,0)</f>
        <v>0</v>
      </c>
    </row>
    <row r="48" spans="2:19" ht="43.2" x14ac:dyDescent="0.3">
      <c r="B48" s="205"/>
      <c r="C48" s="206" t="s">
        <v>2814</v>
      </c>
      <c r="D48" s="209" t="s">
        <v>1673</v>
      </c>
      <c r="E48" s="423" t="s">
        <v>2104</v>
      </c>
      <c r="F48" s="367" t="s">
        <v>8580</v>
      </c>
      <c r="G48" s="209" t="s">
        <v>5</v>
      </c>
      <c r="H48" s="368">
        <v>1.87</v>
      </c>
      <c r="I48" s="217">
        <v>1203.76</v>
      </c>
      <c r="J48" s="217">
        <v>350</v>
      </c>
      <c r="K48" s="211">
        <f t="shared" si="40"/>
        <v>2905.5312000000004</v>
      </c>
      <c r="L48" s="208"/>
      <c r="M48" s="218"/>
      <c r="N48" s="366"/>
      <c r="O48" s="365"/>
      <c r="P48" s="214">
        <f t="shared" ref="P48:P53" si="77">SUM(Q48:S48)</f>
        <v>0</v>
      </c>
      <c r="Q48" s="215">
        <f t="shared" ref="Q48:Q53" si="78">IF(M48&gt;0,1,0)</f>
        <v>0</v>
      </c>
      <c r="R48" s="215">
        <f t="shared" ref="R48:R53" si="79">IF(N48&gt;0,1,0)</f>
        <v>0</v>
      </c>
      <c r="S48" s="216">
        <f t="shared" ref="S48:S53" si="80">IF(O48&gt;0,1,0)</f>
        <v>0</v>
      </c>
    </row>
    <row r="49" spans="2:19" ht="43.2" x14ac:dyDescent="0.3">
      <c r="B49" s="205"/>
      <c r="C49" s="206" t="s">
        <v>2815</v>
      </c>
      <c r="D49" s="209" t="s">
        <v>1673</v>
      </c>
      <c r="E49" s="423" t="s">
        <v>2104</v>
      </c>
      <c r="F49" s="367" t="s">
        <v>8581</v>
      </c>
      <c r="G49" s="209" t="s">
        <v>5</v>
      </c>
      <c r="H49" s="368">
        <v>1.67</v>
      </c>
      <c r="I49" s="217">
        <v>1203.76</v>
      </c>
      <c r="J49" s="217">
        <v>350</v>
      </c>
      <c r="K49" s="211">
        <f t="shared" si="40"/>
        <v>2594.7791999999999</v>
      </c>
      <c r="L49" s="208"/>
      <c r="M49" s="227"/>
      <c r="N49" s="366"/>
      <c r="O49" s="365"/>
      <c r="P49" s="214">
        <f t="shared" si="77"/>
        <v>0</v>
      </c>
      <c r="Q49" s="215">
        <f t="shared" si="78"/>
        <v>0</v>
      </c>
      <c r="R49" s="215">
        <f t="shared" si="79"/>
        <v>0</v>
      </c>
      <c r="S49" s="216">
        <f t="shared" si="80"/>
        <v>0</v>
      </c>
    </row>
    <row r="50" spans="2:19" ht="43.2" x14ac:dyDescent="0.3">
      <c r="B50" s="205"/>
      <c r="C50" s="206" t="s">
        <v>2816</v>
      </c>
      <c r="D50" s="209" t="s">
        <v>1673</v>
      </c>
      <c r="E50" s="423" t="s">
        <v>2104</v>
      </c>
      <c r="F50" s="367" t="s">
        <v>8582</v>
      </c>
      <c r="G50" s="209" t="s">
        <v>5</v>
      </c>
      <c r="H50" s="368">
        <v>0.33</v>
      </c>
      <c r="I50" s="217">
        <v>1203.76</v>
      </c>
      <c r="J50" s="217">
        <v>350</v>
      </c>
      <c r="K50" s="211">
        <f t="shared" si="40"/>
        <v>512.74080000000004</v>
      </c>
      <c r="L50" s="208"/>
      <c r="M50" s="227"/>
      <c r="N50" s="366"/>
      <c r="O50" s="365">
        <f t="shared" ref="O50:O53" si="81">+N50*M50</f>
        <v>0</v>
      </c>
      <c r="P50" s="214">
        <f t="shared" si="77"/>
        <v>0</v>
      </c>
      <c r="Q50" s="215">
        <f t="shared" si="78"/>
        <v>0</v>
      </c>
      <c r="R50" s="215">
        <f t="shared" si="79"/>
        <v>0</v>
      </c>
      <c r="S50" s="216">
        <f t="shared" si="80"/>
        <v>0</v>
      </c>
    </row>
    <row r="51" spans="2:19" ht="43.2" x14ac:dyDescent="0.3">
      <c r="B51" s="205"/>
      <c r="C51" s="206" t="s">
        <v>2817</v>
      </c>
      <c r="D51" s="209" t="s">
        <v>1673</v>
      </c>
      <c r="E51" s="423" t="s">
        <v>2104</v>
      </c>
      <c r="F51" s="367" t="s">
        <v>8583</v>
      </c>
      <c r="G51" s="209" t="s">
        <v>5</v>
      </c>
      <c r="H51" s="368">
        <v>0.23</v>
      </c>
      <c r="I51" s="217">
        <v>1203.76</v>
      </c>
      <c r="J51" s="217">
        <v>350</v>
      </c>
      <c r="K51" s="211">
        <f t="shared" si="40"/>
        <v>357.3648</v>
      </c>
      <c r="L51" s="208"/>
      <c r="M51" s="218"/>
      <c r="N51" s="366"/>
      <c r="O51" s="365">
        <f t="shared" si="81"/>
        <v>0</v>
      </c>
      <c r="P51" s="214">
        <f t="shared" si="77"/>
        <v>0</v>
      </c>
      <c r="Q51" s="215">
        <f t="shared" si="78"/>
        <v>0</v>
      </c>
      <c r="R51" s="215">
        <f t="shared" si="79"/>
        <v>0</v>
      </c>
      <c r="S51" s="216">
        <f t="shared" si="80"/>
        <v>0</v>
      </c>
    </row>
    <row r="52" spans="2:19" ht="43.2" x14ac:dyDescent="0.3">
      <c r="B52" s="205"/>
      <c r="C52" s="206" t="s">
        <v>2818</v>
      </c>
      <c r="D52" s="209" t="s">
        <v>1673</v>
      </c>
      <c r="E52" s="423" t="s">
        <v>2104</v>
      </c>
      <c r="F52" s="367" t="s">
        <v>8584</v>
      </c>
      <c r="G52" s="209" t="s">
        <v>5</v>
      </c>
      <c r="H52" s="368">
        <v>1.1399999999999999</v>
      </c>
      <c r="I52" s="217">
        <v>1203.76</v>
      </c>
      <c r="J52" s="217">
        <v>350</v>
      </c>
      <c r="K52" s="211">
        <f t="shared" si="40"/>
        <v>1771.2863999999997</v>
      </c>
      <c r="L52" s="208"/>
      <c r="M52" s="218"/>
      <c r="N52" s="366"/>
      <c r="O52" s="365">
        <f t="shared" si="81"/>
        <v>0</v>
      </c>
      <c r="P52" s="214">
        <f t="shared" si="77"/>
        <v>0</v>
      </c>
      <c r="Q52" s="215">
        <f t="shared" si="78"/>
        <v>0</v>
      </c>
      <c r="R52" s="215">
        <f t="shared" si="79"/>
        <v>0</v>
      </c>
      <c r="S52" s="216">
        <f t="shared" si="80"/>
        <v>0</v>
      </c>
    </row>
    <row r="53" spans="2:19" ht="43.2" x14ac:dyDescent="0.3">
      <c r="B53" s="205"/>
      <c r="C53" s="206" t="s">
        <v>2819</v>
      </c>
      <c r="D53" s="209" t="s">
        <v>1673</v>
      </c>
      <c r="E53" s="423" t="s">
        <v>2104</v>
      </c>
      <c r="F53" s="367" t="s">
        <v>8585</v>
      </c>
      <c r="G53" s="209" t="s">
        <v>5</v>
      </c>
      <c r="H53" s="368">
        <v>0.25</v>
      </c>
      <c r="I53" s="217">
        <v>1203.76</v>
      </c>
      <c r="J53" s="217">
        <v>350</v>
      </c>
      <c r="K53" s="211">
        <f t="shared" si="40"/>
        <v>388.44</v>
      </c>
      <c r="L53" s="208"/>
      <c r="M53" s="218"/>
      <c r="N53" s="366"/>
      <c r="O53" s="365">
        <f t="shared" si="81"/>
        <v>0</v>
      </c>
      <c r="P53" s="214">
        <f t="shared" si="77"/>
        <v>0</v>
      </c>
      <c r="Q53" s="215">
        <f t="shared" si="78"/>
        <v>0</v>
      </c>
      <c r="R53" s="215">
        <f t="shared" si="79"/>
        <v>0</v>
      </c>
      <c r="S53" s="216">
        <f t="shared" si="80"/>
        <v>0</v>
      </c>
    </row>
    <row r="54" spans="2:19" ht="43.2" x14ac:dyDescent="0.3">
      <c r="B54" s="205"/>
      <c r="C54" s="206" t="s">
        <v>2820</v>
      </c>
      <c r="D54" s="209" t="s">
        <v>1673</v>
      </c>
      <c r="E54" s="423" t="s">
        <v>2104</v>
      </c>
      <c r="F54" s="367" t="s">
        <v>8586</v>
      </c>
      <c r="G54" s="209" t="s">
        <v>5</v>
      </c>
      <c r="H54" s="368">
        <v>0.23</v>
      </c>
      <c r="I54" s="217">
        <v>1203.76</v>
      </c>
      <c r="J54" s="217">
        <v>350</v>
      </c>
      <c r="K54" s="211">
        <f t="shared" si="40"/>
        <v>357.3648</v>
      </c>
      <c r="L54" s="208"/>
      <c r="M54" s="218"/>
      <c r="N54" s="366"/>
      <c r="O54" s="365">
        <f t="shared" ref="O54:O70" si="82">+N54*M54</f>
        <v>0</v>
      </c>
      <c r="P54" s="214">
        <f t="shared" ref="P54:P70" si="83">SUM(Q54:S54)</f>
        <v>0</v>
      </c>
      <c r="Q54" s="215">
        <f t="shared" ref="Q54:Q70" si="84">IF(M54&gt;0,1,0)</f>
        <v>0</v>
      </c>
      <c r="R54" s="215">
        <f t="shared" ref="R54:R70" si="85">IF(N54&gt;0,1,0)</f>
        <v>0</v>
      </c>
      <c r="S54" s="216">
        <f t="shared" ref="S54:S70" si="86">IF(O54&gt;0,1,0)</f>
        <v>0</v>
      </c>
    </row>
    <row r="55" spans="2:19" ht="43.2" x14ac:dyDescent="0.3">
      <c r="B55" s="205"/>
      <c r="C55" s="206" t="s">
        <v>8554</v>
      </c>
      <c r="D55" s="209" t="s">
        <v>1673</v>
      </c>
      <c r="E55" s="423" t="s">
        <v>2104</v>
      </c>
      <c r="F55" s="367" t="s">
        <v>8587</v>
      </c>
      <c r="G55" s="209" t="s">
        <v>5</v>
      </c>
      <c r="H55" s="368">
        <v>1.1100000000000001</v>
      </c>
      <c r="I55" s="217">
        <v>1203.76</v>
      </c>
      <c r="J55" s="217">
        <v>350</v>
      </c>
      <c r="K55" s="211">
        <f t="shared" si="40"/>
        <v>1724.6736000000001</v>
      </c>
      <c r="L55" s="208"/>
      <c r="M55" s="218"/>
      <c r="N55" s="366"/>
      <c r="O55" s="365">
        <f t="shared" si="82"/>
        <v>0</v>
      </c>
      <c r="P55" s="214">
        <f t="shared" si="83"/>
        <v>0</v>
      </c>
      <c r="Q55" s="215">
        <f t="shared" si="84"/>
        <v>0</v>
      </c>
      <c r="R55" s="215">
        <f t="shared" si="85"/>
        <v>0</v>
      </c>
      <c r="S55" s="216">
        <f t="shared" si="86"/>
        <v>0</v>
      </c>
    </row>
    <row r="56" spans="2:19" ht="43.2" x14ac:dyDescent="0.3">
      <c r="B56" s="205"/>
      <c r="C56" s="206" t="s">
        <v>8555</v>
      </c>
      <c r="D56" s="209" t="s">
        <v>1673</v>
      </c>
      <c r="E56" s="423" t="s">
        <v>2104</v>
      </c>
      <c r="F56" s="367" t="s">
        <v>8588</v>
      </c>
      <c r="G56" s="209" t="s">
        <v>5</v>
      </c>
      <c r="H56" s="368">
        <v>0.22</v>
      </c>
      <c r="I56" s="217">
        <v>1203.76</v>
      </c>
      <c r="J56" s="217">
        <v>350</v>
      </c>
      <c r="K56" s="211">
        <f t="shared" si="40"/>
        <v>341.8272</v>
      </c>
      <c r="L56" s="208"/>
      <c r="M56" s="218"/>
      <c r="N56" s="366"/>
      <c r="O56" s="365">
        <f t="shared" si="82"/>
        <v>0</v>
      </c>
      <c r="P56" s="214">
        <f t="shared" si="83"/>
        <v>0</v>
      </c>
      <c r="Q56" s="215">
        <f t="shared" si="84"/>
        <v>0</v>
      </c>
      <c r="R56" s="215">
        <f t="shared" si="85"/>
        <v>0</v>
      </c>
      <c r="S56" s="216">
        <f t="shared" si="86"/>
        <v>0</v>
      </c>
    </row>
    <row r="57" spans="2:19" ht="43.2" x14ac:dyDescent="0.3">
      <c r="B57" s="205"/>
      <c r="C57" s="206" t="s">
        <v>8556</v>
      </c>
      <c r="D57" s="209" t="s">
        <v>1673</v>
      </c>
      <c r="E57" s="423" t="s">
        <v>2104</v>
      </c>
      <c r="F57" s="367" t="s">
        <v>8589</v>
      </c>
      <c r="G57" s="209" t="s">
        <v>5</v>
      </c>
      <c r="H57" s="368">
        <v>0.78</v>
      </c>
      <c r="I57" s="217">
        <v>1203.76</v>
      </c>
      <c r="J57" s="217">
        <v>350</v>
      </c>
      <c r="K57" s="211">
        <f t="shared" si="40"/>
        <v>1211.9328</v>
      </c>
      <c r="L57" s="208"/>
      <c r="M57" s="218"/>
      <c r="N57" s="366"/>
      <c r="O57" s="365">
        <f t="shared" si="82"/>
        <v>0</v>
      </c>
      <c r="P57" s="214">
        <f t="shared" si="83"/>
        <v>0</v>
      </c>
      <c r="Q57" s="215">
        <f t="shared" si="84"/>
        <v>0</v>
      </c>
      <c r="R57" s="215">
        <f t="shared" si="85"/>
        <v>0</v>
      </c>
      <c r="S57" s="216">
        <f t="shared" si="86"/>
        <v>0</v>
      </c>
    </row>
    <row r="58" spans="2:19" ht="43.2" x14ac:dyDescent="0.3">
      <c r="B58" s="205"/>
      <c r="C58" s="206" t="s">
        <v>8557</v>
      </c>
      <c r="D58" s="209" t="s">
        <v>1673</v>
      </c>
      <c r="E58" s="423" t="s">
        <v>2104</v>
      </c>
      <c r="F58" s="367" t="s">
        <v>8590</v>
      </c>
      <c r="G58" s="209" t="s">
        <v>5</v>
      </c>
      <c r="H58" s="368">
        <v>1.67</v>
      </c>
      <c r="I58" s="217">
        <v>1203.76</v>
      </c>
      <c r="J58" s="217">
        <v>350</v>
      </c>
      <c r="K58" s="211">
        <f t="shared" si="40"/>
        <v>2594.7791999999999</v>
      </c>
      <c r="L58" s="208"/>
      <c r="M58" s="218"/>
      <c r="N58" s="366"/>
      <c r="O58" s="365">
        <f t="shared" si="82"/>
        <v>0</v>
      </c>
      <c r="P58" s="214">
        <f t="shared" si="83"/>
        <v>0</v>
      </c>
      <c r="Q58" s="215">
        <f t="shared" si="84"/>
        <v>0</v>
      </c>
      <c r="R58" s="215">
        <f t="shared" si="85"/>
        <v>0</v>
      </c>
      <c r="S58" s="216">
        <f t="shared" si="86"/>
        <v>0</v>
      </c>
    </row>
    <row r="59" spans="2:19" ht="43.2" x14ac:dyDescent="0.3">
      <c r="B59" s="205"/>
      <c r="C59" s="206" t="s">
        <v>8558</v>
      </c>
      <c r="D59" s="209" t="s">
        <v>1673</v>
      </c>
      <c r="E59" s="423" t="s">
        <v>2104</v>
      </c>
      <c r="F59" s="367" t="s">
        <v>8591</v>
      </c>
      <c r="G59" s="209" t="s">
        <v>5</v>
      </c>
      <c r="H59" s="368">
        <v>1.67</v>
      </c>
      <c r="I59" s="217">
        <v>1203.76</v>
      </c>
      <c r="J59" s="217">
        <v>350</v>
      </c>
      <c r="K59" s="211">
        <f t="shared" si="40"/>
        <v>2594.7791999999999</v>
      </c>
      <c r="L59" s="208"/>
      <c r="M59" s="218"/>
      <c r="N59" s="366"/>
      <c r="O59" s="365">
        <f t="shared" si="82"/>
        <v>0</v>
      </c>
      <c r="P59" s="214">
        <f t="shared" si="83"/>
        <v>0</v>
      </c>
      <c r="Q59" s="215">
        <f t="shared" si="84"/>
        <v>0</v>
      </c>
      <c r="R59" s="215">
        <f t="shared" si="85"/>
        <v>0</v>
      </c>
      <c r="S59" s="216">
        <f t="shared" si="86"/>
        <v>0</v>
      </c>
    </row>
    <row r="60" spans="2:19" ht="43.2" x14ac:dyDescent="0.3">
      <c r="B60" s="205"/>
      <c r="C60" s="206" t="s">
        <v>8559</v>
      </c>
      <c r="D60" s="209" t="s">
        <v>1673</v>
      </c>
      <c r="E60" s="423" t="s">
        <v>2104</v>
      </c>
      <c r="F60" s="367" t="s">
        <v>8592</v>
      </c>
      <c r="G60" s="209" t="s">
        <v>5</v>
      </c>
      <c r="H60" s="368">
        <v>0.33</v>
      </c>
      <c r="I60" s="217">
        <v>1203.76</v>
      </c>
      <c r="J60" s="217">
        <v>350</v>
      </c>
      <c r="K60" s="211">
        <f t="shared" si="40"/>
        <v>512.74080000000004</v>
      </c>
      <c r="L60" s="208"/>
      <c r="M60" s="218"/>
      <c r="N60" s="366"/>
      <c r="O60" s="365">
        <f t="shared" si="82"/>
        <v>0</v>
      </c>
      <c r="P60" s="214">
        <f t="shared" si="83"/>
        <v>0</v>
      </c>
      <c r="Q60" s="215">
        <f t="shared" si="84"/>
        <v>0</v>
      </c>
      <c r="R60" s="215">
        <f t="shared" si="85"/>
        <v>0</v>
      </c>
      <c r="S60" s="216">
        <f t="shared" si="86"/>
        <v>0</v>
      </c>
    </row>
    <row r="61" spans="2:19" ht="43.2" x14ac:dyDescent="0.3">
      <c r="B61" s="205"/>
      <c r="C61" s="206" t="s">
        <v>8560</v>
      </c>
      <c r="D61" s="209" t="s">
        <v>1673</v>
      </c>
      <c r="E61" s="423" t="s">
        <v>2104</v>
      </c>
      <c r="F61" s="367" t="s">
        <v>8593</v>
      </c>
      <c r="G61" s="209" t="s">
        <v>5</v>
      </c>
      <c r="H61" s="368">
        <v>0.34</v>
      </c>
      <c r="I61" s="217">
        <v>1203.76</v>
      </c>
      <c r="J61" s="217">
        <v>350</v>
      </c>
      <c r="K61" s="211">
        <f t="shared" si="40"/>
        <v>528.27840000000003</v>
      </c>
      <c r="L61" s="208"/>
      <c r="M61" s="218"/>
      <c r="N61" s="366"/>
      <c r="O61" s="365">
        <f t="shared" si="82"/>
        <v>0</v>
      </c>
      <c r="P61" s="214">
        <f t="shared" si="83"/>
        <v>0</v>
      </c>
      <c r="Q61" s="215">
        <f t="shared" si="84"/>
        <v>0</v>
      </c>
      <c r="R61" s="215">
        <f t="shared" si="85"/>
        <v>0</v>
      </c>
      <c r="S61" s="216">
        <f t="shared" si="86"/>
        <v>0</v>
      </c>
    </row>
    <row r="62" spans="2:19" ht="43.2" x14ac:dyDescent="0.3">
      <c r="B62" s="205"/>
      <c r="C62" s="206" t="s">
        <v>8561</v>
      </c>
      <c r="D62" s="209" t="s">
        <v>1673</v>
      </c>
      <c r="E62" s="423" t="s">
        <v>2104</v>
      </c>
      <c r="F62" s="367" t="s">
        <v>8594</v>
      </c>
      <c r="G62" s="209" t="s">
        <v>5</v>
      </c>
      <c r="H62" s="368">
        <v>0.78</v>
      </c>
      <c r="I62" s="217">
        <v>1203.76</v>
      </c>
      <c r="J62" s="217">
        <v>350</v>
      </c>
      <c r="K62" s="211">
        <f t="shared" si="40"/>
        <v>1211.9328</v>
      </c>
      <c r="L62" s="208"/>
      <c r="M62" s="218"/>
      <c r="N62" s="366"/>
      <c r="O62" s="365">
        <f t="shared" si="82"/>
        <v>0</v>
      </c>
      <c r="P62" s="214">
        <f t="shared" si="83"/>
        <v>0</v>
      </c>
      <c r="Q62" s="215">
        <f t="shared" si="84"/>
        <v>0</v>
      </c>
      <c r="R62" s="215">
        <f t="shared" si="85"/>
        <v>0</v>
      </c>
      <c r="S62" s="216">
        <f t="shared" si="86"/>
        <v>0</v>
      </c>
    </row>
    <row r="63" spans="2:19" ht="43.2" x14ac:dyDescent="0.3">
      <c r="B63" s="205"/>
      <c r="C63" s="206" t="s">
        <v>8562</v>
      </c>
      <c r="D63" s="209" t="s">
        <v>1673</v>
      </c>
      <c r="E63" s="423" t="s">
        <v>2104</v>
      </c>
      <c r="F63" s="367" t="s">
        <v>8595</v>
      </c>
      <c r="G63" s="209" t="s">
        <v>5</v>
      </c>
      <c r="H63" s="368">
        <v>0.21</v>
      </c>
      <c r="I63" s="217">
        <v>1203.76</v>
      </c>
      <c r="J63" s="217">
        <v>350</v>
      </c>
      <c r="K63" s="211">
        <f t="shared" si="40"/>
        <v>326.28960000000001</v>
      </c>
      <c r="L63" s="208"/>
      <c r="M63" s="218"/>
      <c r="N63" s="366"/>
      <c r="O63" s="365">
        <f t="shared" si="82"/>
        <v>0</v>
      </c>
      <c r="P63" s="214">
        <f t="shared" si="83"/>
        <v>0</v>
      </c>
      <c r="Q63" s="215">
        <f t="shared" si="84"/>
        <v>0</v>
      </c>
      <c r="R63" s="215">
        <f t="shared" si="85"/>
        <v>0</v>
      </c>
      <c r="S63" s="216">
        <f t="shared" si="86"/>
        <v>0</v>
      </c>
    </row>
    <row r="64" spans="2:19" ht="43.2" x14ac:dyDescent="0.3">
      <c r="B64" s="205"/>
      <c r="C64" s="206" t="s">
        <v>8563</v>
      </c>
      <c r="D64" s="209" t="s">
        <v>1673</v>
      </c>
      <c r="E64" s="423" t="s">
        <v>2104</v>
      </c>
      <c r="F64" s="367" t="s">
        <v>8596</v>
      </c>
      <c r="G64" s="209" t="s">
        <v>5</v>
      </c>
      <c r="H64" s="368">
        <v>1.1000000000000001</v>
      </c>
      <c r="I64" s="217">
        <v>1203.76</v>
      </c>
      <c r="J64" s="217">
        <v>350</v>
      </c>
      <c r="K64" s="211">
        <f t="shared" si="40"/>
        <v>1709.1360000000002</v>
      </c>
      <c r="L64" s="208"/>
      <c r="M64" s="218"/>
      <c r="N64" s="366"/>
      <c r="O64" s="365">
        <f t="shared" si="82"/>
        <v>0</v>
      </c>
      <c r="P64" s="214">
        <f t="shared" si="83"/>
        <v>0</v>
      </c>
      <c r="Q64" s="215">
        <f t="shared" si="84"/>
        <v>0</v>
      </c>
      <c r="R64" s="215">
        <f t="shared" si="85"/>
        <v>0</v>
      </c>
      <c r="S64" s="216">
        <f t="shared" si="86"/>
        <v>0</v>
      </c>
    </row>
    <row r="65" spans="2:33" ht="43.2" x14ac:dyDescent="0.3">
      <c r="B65" s="205"/>
      <c r="C65" s="206" t="s">
        <v>8564</v>
      </c>
      <c r="D65" s="209" t="s">
        <v>1673</v>
      </c>
      <c r="E65" s="423" t="s">
        <v>2104</v>
      </c>
      <c r="F65" s="367" t="s">
        <v>8597</v>
      </c>
      <c r="G65" s="209" t="s">
        <v>5</v>
      </c>
      <c r="H65" s="368">
        <v>0.23</v>
      </c>
      <c r="I65" s="217">
        <v>1203.76</v>
      </c>
      <c r="J65" s="217">
        <v>350</v>
      </c>
      <c r="K65" s="211">
        <f t="shared" si="40"/>
        <v>357.3648</v>
      </c>
      <c r="L65" s="208"/>
      <c r="M65" s="218"/>
      <c r="N65" s="366"/>
      <c r="O65" s="365">
        <f t="shared" si="82"/>
        <v>0</v>
      </c>
      <c r="P65" s="214">
        <f t="shared" si="83"/>
        <v>0</v>
      </c>
      <c r="Q65" s="215">
        <f t="shared" si="84"/>
        <v>0</v>
      </c>
      <c r="R65" s="215">
        <f t="shared" si="85"/>
        <v>0</v>
      </c>
      <c r="S65" s="216">
        <f t="shared" si="86"/>
        <v>0</v>
      </c>
    </row>
    <row r="66" spans="2:33" ht="43.2" x14ac:dyDescent="0.3">
      <c r="B66" s="205"/>
      <c r="C66" s="206" t="s">
        <v>8565</v>
      </c>
      <c r="D66" s="209" t="s">
        <v>1673</v>
      </c>
      <c r="E66" s="423" t="s">
        <v>2104</v>
      </c>
      <c r="F66" s="367" t="s">
        <v>8598</v>
      </c>
      <c r="G66" s="209" t="s">
        <v>5</v>
      </c>
      <c r="H66" s="368">
        <v>0.78</v>
      </c>
      <c r="I66" s="217">
        <v>1203.76</v>
      </c>
      <c r="J66" s="217">
        <v>350</v>
      </c>
      <c r="K66" s="211">
        <f t="shared" si="40"/>
        <v>1211.9328</v>
      </c>
      <c r="L66" s="208"/>
      <c r="M66" s="218"/>
      <c r="N66" s="366"/>
      <c r="O66" s="365">
        <f t="shared" si="82"/>
        <v>0</v>
      </c>
      <c r="P66" s="214">
        <f t="shared" si="83"/>
        <v>0</v>
      </c>
      <c r="Q66" s="215">
        <f t="shared" si="84"/>
        <v>0</v>
      </c>
      <c r="R66" s="215">
        <f t="shared" si="85"/>
        <v>0</v>
      </c>
      <c r="S66" s="216">
        <f t="shared" si="86"/>
        <v>0</v>
      </c>
    </row>
    <row r="67" spans="2:33" ht="43.2" x14ac:dyDescent="0.3">
      <c r="B67" s="205"/>
      <c r="C67" s="206" t="s">
        <v>8566</v>
      </c>
      <c r="D67" s="209" t="s">
        <v>1673</v>
      </c>
      <c r="E67" s="423" t="s">
        <v>2104</v>
      </c>
      <c r="F67" s="367" t="s">
        <v>8599</v>
      </c>
      <c r="G67" s="209" t="s">
        <v>5</v>
      </c>
      <c r="H67" s="368">
        <v>1.67</v>
      </c>
      <c r="I67" s="217">
        <v>1203.76</v>
      </c>
      <c r="J67" s="217">
        <v>350</v>
      </c>
      <c r="K67" s="211">
        <f t="shared" si="40"/>
        <v>2594.7791999999999</v>
      </c>
      <c r="L67" s="208"/>
      <c r="M67" s="218"/>
      <c r="N67" s="366"/>
      <c r="O67" s="365">
        <f t="shared" si="82"/>
        <v>0</v>
      </c>
      <c r="P67" s="214">
        <f t="shared" si="83"/>
        <v>0</v>
      </c>
      <c r="Q67" s="215">
        <f t="shared" si="84"/>
        <v>0</v>
      </c>
      <c r="R67" s="215">
        <f t="shared" si="85"/>
        <v>0</v>
      </c>
      <c r="S67" s="216">
        <f t="shared" si="86"/>
        <v>0</v>
      </c>
    </row>
    <row r="68" spans="2:33" ht="43.2" x14ac:dyDescent="0.3">
      <c r="B68" s="205"/>
      <c r="C68" s="206" t="s">
        <v>8567</v>
      </c>
      <c r="D68" s="209" t="s">
        <v>1673</v>
      </c>
      <c r="E68" s="423" t="s">
        <v>2104</v>
      </c>
      <c r="F68" s="367" t="s">
        <v>8600</v>
      </c>
      <c r="G68" s="209" t="s">
        <v>5</v>
      </c>
      <c r="H68" s="368">
        <v>0.78</v>
      </c>
      <c r="I68" s="217">
        <v>1203.76</v>
      </c>
      <c r="J68" s="217">
        <v>350</v>
      </c>
      <c r="K68" s="211">
        <f t="shared" si="40"/>
        <v>1211.9328</v>
      </c>
      <c r="L68" s="208"/>
      <c r="M68" s="218"/>
      <c r="N68" s="366"/>
      <c r="O68" s="365">
        <f t="shared" si="82"/>
        <v>0</v>
      </c>
      <c r="P68" s="214">
        <f t="shared" si="83"/>
        <v>0</v>
      </c>
      <c r="Q68" s="215">
        <f t="shared" si="84"/>
        <v>0</v>
      </c>
      <c r="R68" s="215">
        <f t="shared" si="85"/>
        <v>0</v>
      </c>
      <c r="S68" s="216">
        <f t="shared" si="86"/>
        <v>0</v>
      </c>
    </row>
    <row r="69" spans="2:33" ht="43.2" x14ac:dyDescent="0.3">
      <c r="B69" s="205"/>
      <c r="C69" s="206" t="s">
        <v>8568</v>
      </c>
      <c r="D69" s="209" t="s">
        <v>1673</v>
      </c>
      <c r="E69" s="423" t="s">
        <v>2104</v>
      </c>
      <c r="F69" s="367" t="s">
        <v>8601</v>
      </c>
      <c r="G69" s="209" t="s">
        <v>5</v>
      </c>
      <c r="H69" s="368">
        <v>0.34</v>
      </c>
      <c r="I69" s="217">
        <v>1203.76</v>
      </c>
      <c r="J69" s="217">
        <v>350</v>
      </c>
      <c r="K69" s="211">
        <f t="shared" si="40"/>
        <v>528.27840000000003</v>
      </c>
      <c r="L69" s="208"/>
      <c r="M69" s="218"/>
      <c r="N69" s="366"/>
      <c r="O69" s="365">
        <f t="shared" ref="O69" si="87">+N69*M69</f>
        <v>0</v>
      </c>
      <c r="P69" s="214">
        <f t="shared" ref="P69" si="88">SUM(Q69:S69)</f>
        <v>0</v>
      </c>
      <c r="Q69" s="215">
        <f t="shared" ref="Q69" si="89">IF(M69&gt;0,1,0)</f>
        <v>0</v>
      </c>
      <c r="R69" s="215">
        <f t="shared" ref="R69" si="90">IF(N69&gt;0,1,0)</f>
        <v>0</v>
      </c>
      <c r="S69" s="216">
        <f t="shared" ref="S69" si="91">IF(O69&gt;0,1,0)</f>
        <v>0</v>
      </c>
    </row>
    <row r="70" spans="2:33" x14ac:dyDescent="0.3">
      <c r="B70" s="205"/>
      <c r="C70" s="206"/>
      <c r="D70" s="209"/>
      <c r="E70" s="423"/>
      <c r="F70" s="367"/>
      <c r="G70" s="209"/>
      <c r="H70" s="368"/>
      <c r="I70" s="217"/>
      <c r="J70" s="217"/>
      <c r="K70" s="211"/>
      <c r="L70" s="208"/>
      <c r="M70" s="218"/>
      <c r="N70" s="366"/>
      <c r="O70" s="365">
        <f t="shared" si="82"/>
        <v>0</v>
      </c>
      <c r="P70" s="214">
        <f t="shared" si="83"/>
        <v>0</v>
      </c>
      <c r="Q70" s="215">
        <f t="shared" si="84"/>
        <v>0</v>
      </c>
      <c r="R70" s="215">
        <f t="shared" si="85"/>
        <v>0</v>
      </c>
      <c r="S70" s="216">
        <f t="shared" si="86"/>
        <v>0</v>
      </c>
    </row>
    <row r="71" spans="2:33" x14ac:dyDescent="0.3">
      <c r="B71" s="205"/>
      <c r="C71" s="221"/>
      <c r="D71" s="228"/>
      <c r="E71" s="423"/>
      <c r="F71" s="358" t="s">
        <v>1667</v>
      </c>
      <c r="G71" s="222"/>
      <c r="H71" s="223"/>
      <c r="I71" s="223"/>
      <c r="J71" s="223"/>
      <c r="K71" s="224">
        <f t="shared" ref="K71:K79" si="92">+H71*I71</f>
        <v>0</v>
      </c>
      <c r="L71" s="208"/>
      <c r="M71" s="433"/>
      <c r="N71" s="213"/>
      <c r="O71" s="212"/>
      <c r="P71" s="214">
        <f t="shared" ref="P71:P74" si="93">SUM(Q71:S71)</f>
        <v>0</v>
      </c>
      <c r="Q71" s="215">
        <f t="shared" ref="Q71:Q74" si="94">IF(M71&gt;0,1,0)</f>
        <v>0</v>
      </c>
      <c r="R71" s="215">
        <f t="shared" ref="R71:R74" si="95">IF(N71&gt;0,1,0)</f>
        <v>0</v>
      </c>
      <c r="S71" s="216">
        <f t="shared" ref="S71:S74" si="96">IF(O71&gt;0,1,0)</f>
        <v>0</v>
      </c>
    </row>
    <row r="72" spans="2:33" x14ac:dyDescent="0.3">
      <c r="B72" s="205"/>
      <c r="C72" s="206" t="s">
        <v>2821</v>
      </c>
      <c r="D72" s="209" t="s">
        <v>1673</v>
      </c>
      <c r="E72" s="423" t="s">
        <v>8402</v>
      </c>
      <c r="F72" s="333" t="s">
        <v>8399</v>
      </c>
      <c r="G72" s="209" t="s">
        <v>5</v>
      </c>
      <c r="H72" s="218">
        <v>44</v>
      </c>
      <c r="I72" s="426">
        <v>250</v>
      </c>
      <c r="J72" s="426"/>
      <c r="K72" s="211">
        <f t="shared" si="92"/>
        <v>11000</v>
      </c>
      <c r="L72" s="208"/>
      <c r="M72" s="433"/>
      <c r="N72" s="213"/>
      <c r="O72" s="212"/>
      <c r="P72" s="214">
        <f t="shared" si="93"/>
        <v>0</v>
      </c>
      <c r="Q72" s="215">
        <f t="shared" si="94"/>
        <v>0</v>
      </c>
      <c r="R72" s="215">
        <f t="shared" si="95"/>
        <v>0</v>
      </c>
      <c r="S72" s="216">
        <f t="shared" si="96"/>
        <v>0</v>
      </c>
      <c r="AG72" s="218"/>
    </row>
    <row r="73" spans="2:33" x14ac:dyDescent="0.3">
      <c r="B73" s="205"/>
      <c r="C73" s="206" t="s">
        <v>2822</v>
      </c>
      <c r="D73" s="209" t="s">
        <v>1673</v>
      </c>
      <c r="E73" s="423" t="s">
        <v>8402</v>
      </c>
      <c r="F73" s="333" t="s">
        <v>8399</v>
      </c>
      <c r="G73" s="209" t="s">
        <v>5</v>
      </c>
      <c r="H73" s="218">
        <v>15</v>
      </c>
      <c r="I73" s="426">
        <v>240</v>
      </c>
      <c r="J73" s="426"/>
      <c r="K73" s="211">
        <f t="shared" si="92"/>
        <v>3600</v>
      </c>
      <c r="L73" s="208"/>
      <c r="M73" s="433"/>
      <c r="N73" s="213"/>
      <c r="O73" s="212"/>
      <c r="P73" s="214">
        <f t="shared" si="93"/>
        <v>0</v>
      </c>
      <c r="Q73" s="215">
        <f t="shared" si="94"/>
        <v>0</v>
      </c>
      <c r="R73" s="215">
        <f t="shared" si="95"/>
        <v>0</v>
      </c>
      <c r="S73" s="216">
        <f t="shared" si="96"/>
        <v>0</v>
      </c>
      <c r="AG73" s="218"/>
    </row>
    <row r="74" spans="2:33" x14ac:dyDescent="0.3">
      <c r="B74" s="205"/>
      <c r="C74" s="206" t="s">
        <v>2823</v>
      </c>
      <c r="D74" s="209" t="s">
        <v>1673</v>
      </c>
      <c r="E74" s="423" t="s">
        <v>8402</v>
      </c>
      <c r="F74" s="333" t="s">
        <v>8400</v>
      </c>
      <c r="G74" s="209" t="s">
        <v>5</v>
      </c>
      <c r="H74" s="218">
        <v>26</v>
      </c>
      <c r="I74" s="426">
        <v>230</v>
      </c>
      <c r="J74" s="426"/>
      <c r="K74" s="211">
        <f t="shared" si="92"/>
        <v>5980</v>
      </c>
      <c r="L74" s="208"/>
      <c r="M74" s="433"/>
      <c r="N74" s="213"/>
      <c r="O74" s="212"/>
      <c r="P74" s="214">
        <f t="shared" si="93"/>
        <v>0</v>
      </c>
      <c r="Q74" s="215">
        <f t="shared" si="94"/>
        <v>0</v>
      </c>
      <c r="R74" s="215">
        <f t="shared" si="95"/>
        <v>0</v>
      </c>
      <c r="S74" s="216">
        <f t="shared" si="96"/>
        <v>0</v>
      </c>
      <c r="AG74" s="218"/>
    </row>
    <row r="75" spans="2:33" x14ac:dyDescent="0.3">
      <c r="B75" s="205"/>
      <c r="C75" s="206" t="s">
        <v>2824</v>
      </c>
      <c r="D75" s="209" t="s">
        <v>1673</v>
      </c>
      <c r="E75" s="423" t="s">
        <v>8402</v>
      </c>
      <c r="F75" s="333" t="s">
        <v>8401</v>
      </c>
      <c r="G75" s="209" t="s">
        <v>5</v>
      </c>
      <c r="H75" s="217">
        <v>43</v>
      </c>
      <c r="I75" s="426">
        <v>220</v>
      </c>
      <c r="J75" s="426"/>
      <c r="K75" s="217">
        <f t="shared" si="92"/>
        <v>9460</v>
      </c>
      <c r="L75" s="208"/>
      <c r="M75" s="433"/>
      <c r="N75" s="229"/>
      <c r="O75" s="229"/>
      <c r="P75" s="230"/>
      <c r="Q75" s="230"/>
      <c r="R75" s="230"/>
      <c r="S75" s="231"/>
      <c r="AA75" s="193"/>
      <c r="AG75" s="218"/>
    </row>
    <row r="76" spans="2:33" x14ac:dyDescent="0.3">
      <c r="B76" s="205"/>
      <c r="C76" s="206" t="s">
        <v>2825</v>
      </c>
      <c r="D76" s="209" t="s">
        <v>1673</v>
      </c>
      <c r="E76" s="423" t="s">
        <v>8397</v>
      </c>
      <c r="F76" s="333" t="s">
        <v>8398</v>
      </c>
      <c r="G76" s="209" t="s">
        <v>5</v>
      </c>
      <c r="H76" s="218">
        <v>128</v>
      </c>
      <c r="I76" s="426">
        <v>360</v>
      </c>
      <c r="J76" s="426"/>
      <c r="K76" s="211">
        <f t="shared" si="92"/>
        <v>46080</v>
      </c>
      <c r="L76" s="208"/>
      <c r="M76" s="432"/>
      <c r="N76" s="213"/>
      <c r="O76" s="212"/>
      <c r="P76" s="214">
        <f t="shared" ref="P76:P77" si="97">SUM(Q76:S76)</f>
        <v>0</v>
      </c>
      <c r="Q76" s="215">
        <f t="shared" ref="Q76:Q77" si="98">IF(M76&gt;0,1,0)</f>
        <v>0</v>
      </c>
      <c r="R76" s="215">
        <f t="shared" ref="R76:R77" si="99">IF(N76&gt;0,1,0)</f>
        <v>0</v>
      </c>
      <c r="S76" s="216">
        <f t="shared" ref="S76:S77" si="100">IF(O76&gt;0,1,0)</f>
        <v>0</v>
      </c>
      <c r="V76" s="220"/>
      <c r="W76" s="220"/>
      <c r="AG76" s="218"/>
    </row>
    <row r="77" spans="2:33" ht="38.4" x14ac:dyDescent="0.3">
      <c r="B77" s="205"/>
      <c r="C77" s="206" t="s">
        <v>2826</v>
      </c>
      <c r="D77" s="209" t="s">
        <v>1673</v>
      </c>
      <c r="E77" s="423" t="s">
        <v>2104</v>
      </c>
      <c r="F77" s="333" t="s">
        <v>9716</v>
      </c>
      <c r="G77" s="209" t="s">
        <v>4</v>
      </c>
      <c r="H77" s="218">
        <v>1</v>
      </c>
      <c r="I77" s="426">
        <v>3197.4789679999999</v>
      </c>
      <c r="J77" s="426"/>
      <c r="K77" s="211">
        <f t="shared" si="92"/>
        <v>3197.4789679999999</v>
      </c>
      <c r="L77" s="208"/>
      <c r="M77" s="433"/>
      <c r="N77" s="213"/>
      <c r="O77" s="212"/>
      <c r="P77" s="214">
        <f t="shared" si="97"/>
        <v>0</v>
      </c>
      <c r="Q77" s="215">
        <f t="shared" si="98"/>
        <v>0</v>
      </c>
      <c r="R77" s="215">
        <f t="shared" si="99"/>
        <v>0</v>
      </c>
      <c r="S77" s="216">
        <f t="shared" si="100"/>
        <v>0</v>
      </c>
      <c r="U77" s="219"/>
      <c r="V77" s="220"/>
      <c r="W77" s="220"/>
      <c r="AG77" s="218"/>
    </row>
    <row r="78" spans="2:33" x14ac:dyDescent="0.3">
      <c r="B78" s="205"/>
      <c r="C78" s="221"/>
      <c r="D78" s="228"/>
      <c r="E78" s="423"/>
      <c r="F78" s="359" t="s">
        <v>1760</v>
      </c>
      <c r="G78" s="222"/>
      <c r="H78" s="223"/>
      <c r="I78" s="223"/>
      <c r="J78" s="223"/>
      <c r="K78" s="224">
        <f t="shared" si="92"/>
        <v>0</v>
      </c>
      <c r="L78" s="208"/>
      <c r="M78" s="433"/>
      <c r="N78" s="213"/>
      <c r="O78" s="212"/>
      <c r="P78" s="214">
        <f t="shared" ref="P78:P79" si="101">SUM(Q78:S78)</f>
        <v>0</v>
      </c>
      <c r="Q78" s="215">
        <f t="shared" ref="Q78:Q79" si="102">IF(M78&gt;0,1,0)</f>
        <v>0</v>
      </c>
      <c r="R78" s="215">
        <f t="shared" ref="R78:R79" si="103">IF(N78&gt;0,1,0)</f>
        <v>0</v>
      </c>
      <c r="S78" s="216">
        <f t="shared" ref="S78:S79" si="104">IF(O78&gt;0,1,0)</f>
        <v>0</v>
      </c>
      <c r="U78" s="219" t="s">
        <v>9691</v>
      </c>
      <c r="V78" s="220"/>
      <c r="W78" s="220"/>
    </row>
    <row r="79" spans="2:33" ht="211.2" x14ac:dyDescent="0.3">
      <c r="B79" s="205"/>
      <c r="C79" s="206" t="s">
        <v>2827</v>
      </c>
      <c r="D79" s="209" t="s">
        <v>1673</v>
      </c>
      <c r="E79" s="423" t="s">
        <v>8387</v>
      </c>
      <c r="F79" s="208" t="s">
        <v>9721</v>
      </c>
      <c r="G79" s="442" t="s">
        <v>4</v>
      </c>
      <c r="H79" s="218">
        <v>1</v>
      </c>
      <c r="I79" s="218">
        <v>19548.04</v>
      </c>
      <c r="J79" s="218"/>
      <c r="K79" s="211">
        <f t="shared" si="92"/>
        <v>19548.04</v>
      </c>
      <c r="L79" s="208"/>
      <c r="M79" s="434"/>
      <c r="N79" s="213">
        <f>+I79-M79</f>
        <v>19548.04</v>
      </c>
      <c r="O79" s="212"/>
      <c r="P79" s="214">
        <f t="shared" si="101"/>
        <v>1</v>
      </c>
      <c r="Q79" s="215">
        <f t="shared" si="102"/>
        <v>0</v>
      </c>
      <c r="R79" s="215">
        <f t="shared" si="103"/>
        <v>1</v>
      </c>
      <c r="S79" s="216">
        <f t="shared" si="104"/>
        <v>0</v>
      </c>
      <c r="U79" s="208" t="e">
        <f>CONCATENATE(F79,$U$78,#REF!,$U$77,#REF!,$U$77,#REF!,$U$77,#REF!,$U$77,#REF!,$U$77,#REF!,$U$77,#REF!,$U$77,#REF!,$U$77,#REF!,$U$77,#REF!)</f>
        <v>#REF!</v>
      </c>
      <c r="V79" s="220"/>
      <c r="W79" s="220"/>
      <c r="AD79" s="218">
        <v>9995.2150000000001</v>
      </c>
    </row>
    <row r="80" spans="2:33" x14ac:dyDescent="0.3">
      <c r="B80" s="205"/>
      <c r="C80" s="206"/>
      <c r="D80" s="209"/>
      <c r="E80" s="423"/>
      <c r="F80" s="333"/>
      <c r="G80" s="442"/>
      <c r="H80" s="218"/>
      <c r="I80" s="218"/>
      <c r="J80" s="218"/>
      <c r="K80" s="211"/>
      <c r="L80" s="208"/>
      <c r="M80" s="434"/>
      <c r="N80" s="213"/>
      <c r="O80" s="212"/>
      <c r="P80" s="214"/>
      <c r="Q80" s="215"/>
      <c r="R80" s="215"/>
      <c r="S80" s="216"/>
      <c r="U80" s="219" t="s">
        <v>9691</v>
      </c>
      <c r="V80" s="220"/>
      <c r="W80" s="220"/>
      <c r="AD80" s="218"/>
    </row>
    <row r="81" spans="2:30" ht="409.6" x14ac:dyDescent="0.3">
      <c r="B81" s="205"/>
      <c r="C81" s="206" t="s">
        <v>2828</v>
      </c>
      <c r="D81" s="209" t="s">
        <v>1673</v>
      </c>
      <c r="E81" s="423" t="s">
        <v>8387</v>
      </c>
      <c r="F81" s="333" t="s">
        <v>9724</v>
      </c>
      <c r="G81" s="442" t="s">
        <v>4</v>
      </c>
      <c r="H81" s="218">
        <v>1</v>
      </c>
      <c r="I81" s="218">
        <v>92034.43</v>
      </c>
      <c r="J81" s="218"/>
      <c r="K81" s="211">
        <f>+H81*I81</f>
        <v>92034.43</v>
      </c>
      <c r="L81" s="208"/>
      <c r="M81" s="434"/>
      <c r="N81" s="213"/>
      <c r="O81" s="212"/>
      <c r="P81" s="214">
        <f t="shared" ref="P81:P134" si="105">SUM(Q81:S81)</f>
        <v>0</v>
      </c>
      <c r="Q81" s="215">
        <f t="shared" ref="Q81:Q134" si="106">IF(M81&gt;0,1,0)</f>
        <v>0</v>
      </c>
      <c r="R81" s="215">
        <f t="shared" ref="R81:R134" si="107">IF(N81&gt;0,1,0)</f>
        <v>0</v>
      </c>
      <c r="S81" s="216">
        <f t="shared" ref="S81:S134" si="108">IF(O81&gt;0,1,0)</f>
        <v>0</v>
      </c>
      <c r="U81" s="208" t="e">
        <f>CONCATENATE(F81,$U$80,#REF!,#REF!,#REF!,#REF!,#REF!,#REF!,#REF!,#REF!,#REF!,#REF!,#REF!,#REF!,#REF!,#REF!,#REF!,#REF!,#REF!,#REF!,#REF!,#REF!,#REF!,#REF!,#REF!,#REF!,#REF!,#REF!,#REF!,#REF!,#REF!,#REF!,#REF!,#REF!,#REF!,#REF!,#REF!,#REF!,#REF!,#REF!,#REF!,#REF!,#REF!,#REF!,#REF!,#REF!,#REF!,#REF!,#REF!,#REF!,#REF!)</f>
        <v>#REF!</v>
      </c>
      <c r="V81" s="220"/>
      <c r="W81" s="220"/>
      <c r="AD81" s="218">
        <v>52536.522720000001</v>
      </c>
    </row>
    <row r="82" spans="2:30" x14ac:dyDescent="0.3">
      <c r="B82" s="205"/>
      <c r="C82" s="206"/>
      <c r="D82" s="209"/>
      <c r="E82" s="423"/>
      <c r="F82" s="333" t="s">
        <v>781</v>
      </c>
      <c r="G82" s="442"/>
      <c r="H82" s="218"/>
      <c r="I82" s="218"/>
      <c r="J82" s="218"/>
      <c r="K82" s="211"/>
      <c r="L82" s="208"/>
      <c r="M82" s="434"/>
      <c r="N82" s="213"/>
      <c r="O82" s="212"/>
      <c r="P82" s="214"/>
      <c r="Q82" s="215"/>
      <c r="R82" s="215"/>
      <c r="S82" s="216"/>
      <c r="U82" s="208"/>
      <c r="V82" s="220"/>
      <c r="W82" s="220"/>
      <c r="AD82" s="218"/>
    </row>
    <row r="83" spans="2:30" ht="76.8" x14ac:dyDescent="0.3">
      <c r="B83" s="205"/>
      <c r="C83" s="206" t="s">
        <v>2829</v>
      </c>
      <c r="D83" s="209" t="s">
        <v>1673</v>
      </c>
      <c r="E83" s="423" t="s">
        <v>8387</v>
      </c>
      <c r="F83" s="333" t="s">
        <v>8466</v>
      </c>
      <c r="G83" s="442" t="s">
        <v>4</v>
      </c>
      <c r="H83" s="218">
        <v>1</v>
      </c>
      <c r="I83" s="218">
        <v>3669.11</v>
      </c>
      <c r="J83" s="218"/>
      <c r="K83" s="211">
        <f>+H83*I83</f>
        <v>3669.11</v>
      </c>
      <c r="L83" s="208"/>
      <c r="M83" s="434"/>
      <c r="N83" s="213"/>
      <c r="O83" s="212"/>
      <c r="P83" s="214">
        <f t="shared" si="105"/>
        <v>0</v>
      </c>
      <c r="Q83" s="215">
        <f t="shared" si="106"/>
        <v>0</v>
      </c>
      <c r="R83" s="215">
        <f t="shared" si="107"/>
        <v>0</v>
      </c>
      <c r="S83" s="216">
        <f t="shared" si="108"/>
        <v>0</v>
      </c>
      <c r="U83" s="219" t="s">
        <v>8623</v>
      </c>
      <c r="V83" s="220"/>
      <c r="W83" s="220"/>
      <c r="AD83" s="218">
        <v>5402.4891200000002</v>
      </c>
    </row>
    <row r="84" spans="2:30" x14ac:dyDescent="0.3">
      <c r="B84" s="205"/>
      <c r="C84" s="206"/>
      <c r="D84" s="209"/>
      <c r="E84" s="423"/>
      <c r="F84" s="333"/>
      <c r="G84" s="442"/>
      <c r="H84" s="218"/>
      <c r="I84" s="218"/>
      <c r="J84" s="218"/>
      <c r="K84" s="211"/>
      <c r="L84" s="208"/>
      <c r="M84" s="434"/>
      <c r="N84" s="213"/>
      <c r="O84" s="212"/>
      <c r="P84" s="214"/>
      <c r="Q84" s="215"/>
      <c r="R84" s="215"/>
      <c r="S84" s="216"/>
      <c r="U84" s="219" t="s">
        <v>9691</v>
      </c>
      <c r="V84" s="220"/>
      <c r="W84" s="220"/>
      <c r="AD84" s="218"/>
    </row>
    <row r="85" spans="2:30" ht="211.2" x14ac:dyDescent="0.3">
      <c r="B85" s="205"/>
      <c r="C85" s="206" t="s">
        <v>2830</v>
      </c>
      <c r="D85" s="209" t="s">
        <v>1673</v>
      </c>
      <c r="E85" s="423" t="s">
        <v>8387</v>
      </c>
      <c r="F85" s="333" t="s">
        <v>9693</v>
      </c>
      <c r="G85" s="442" t="s">
        <v>4</v>
      </c>
      <c r="H85" s="218">
        <v>1</v>
      </c>
      <c r="I85" s="218">
        <v>19530.11</v>
      </c>
      <c r="J85" s="218"/>
      <c r="K85" s="211">
        <f>+H85*I85</f>
        <v>19530.11</v>
      </c>
      <c r="L85" s="208"/>
      <c r="M85" s="434"/>
      <c r="N85" s="213"/>
      <c r="O85" s="212"/>
      <c r="P85" s="214">
        <f t="shared" si="105"/>
        <v>0</v>
      </c>
      <c r="Q85" s="215">
        <f t="shared" si="106"/>
        <v>0</v>
      </c>
      <c r="R85" s="215">
        <f t="shared" si="107"/>
        <v>0</v>
      </c>
      <c r="S85" s="216">
        <f t="shared" si="108"/>
        <v>0</v>
      </c>
      <c r="U85" s="208" t="e">
        <f>CONCATENATE(F85,$U$84,#REF!,$U$83,#REF!,$U$83,#REF!,$U$83,#REF!,$U$83,#REF!,$U$83,#REF!,$U$83,#REF!,$U$83,#REF!,$U$83,#REF!,$U$83,#REF!)</f>
        <v>#REF!</v>
      </c>
      <c r="V85" s="220"/>
      <c r="W85" s="220"/>
      <c r="AD85" s="218">
        <v>17016.291229999999</v>
      </c>
    </row>
    <row r="86" spans="2:30" x14ac:dyDescent="0.3">
      <c r="B86" s="205"/>
      <c r="C86" s="206"/>
      <c r="D86" s="209"/>
      <c r="E86" s="423"/>
      <c r="F86" s="333"/>
      <c r="G86" s="442"/>
      <c r="H86" s="218"/>
      <c r="I86" s="218"/>
      <c r="J86" s="218"/>
      <c r="K86" s="211"/>
      <c r="L86" s="208"/>
      <c r="M86" s="434"/>
      <c r="N86" s="213"/>
      <c r="O86" s="212"/>
      <c r="P86" s="214"/>
      <c r="Q86" s="215"/>
      <c r="R86" s="215"/>
      <c r="S86" s="216"/>
      <c r="U86" s="208"/>
      <c r="V86" s="220"/>
      <c r="W86" s="220"/>
      <c r="AD86" s="218"/>
    </row>
    <row r="87" spans="2:30" ht="38.4" x14ac:dyDescent="0.3">
      <c r="B87" s="205"/>
      <c r="C87" s="206" t="s">
        <v>2831</v>
      </c>
      <c r="D87" s="209" t="s">
        <v>1673</v>
      </c>
      <c r="E87" s="423" t="s">
        <v>8387</v>
      </c>
      <c r="F87" s="333" t="s">
        <v>8431</v>
      </c>
      <c r="G87" s="442" t="s">
        <v>4</v>
      </c>
      <c r="H87" s="218">
        <v>2</v>
      </c>
      <c r="I87" s="218">
        <v>3520.5</v>
      </c>
      <c r="J87" s="218"/>
      <c r="K87" s="211">
        <f>+H87*I87</f>
        <v>7041</v>
      </c>
      <c r="L87" s="208"/>
      <c r="M87" s="434"/>
      <c r="N87" s="213"/>
      <c r="O87" s="212"/>
      <c r="P87" s="214">
        <f t="shared" si="105"/>
        <v>0</v>
      </c>
      <c r="Q87" s="215">
        <f t="shared" si="106"/>
        <v>0</v>
      </c>
      <c r="R87" s="215">
        <f t="shared" si="107"/>
        <v>0</v>
      </c>
      <c r="S87" s="216">
        <f t="shared" si="108"/>
        <v>0</v>
      </c>
      <c r="U87" s="219" t="s">
        <v>8623</v>
      </c>
      <c r="V87" s="220"/>
      <c r="W87" s="220"/>
      <c r="AD87" s="218">
        <v>2938.2507000000001</v>
      </c>
    </row>
    <row r="88" spans="2:30" x14ac:dyDescent="0.3">
      <c r="B88" s="205"/>
      <c r="C88" s="206"/>
      <c r="D88" s="209"/>
      <c r="E88" s="423"/>
      <c r="F88" s="333"/>
      <c r="G88" s="442"/>
      <c r="H88" s="218"/>
      <c r="I88" s="218"/>
      <c r="J88" s="218"/>
      <c r="K88" s="211"/>
      <c r="L88" s="208"/>
      <c r="M88" s="434"/>
      <c r="N88" s="213"/>
      <c r="O88" s="212"/>
      <c r="P88" s="214"/>
      <c r="Q88" s="215"/>
      <c r="R88" s="215"/>
      <c r="S88" s="216"/>
      <c r="U88" s="219" t="s">
        <v>9691</v>
      </c>
      <c r="V88" s="220"/>
      <c r="W88" s="220"/>
      <c r="AD88" s="218"/>
    </row>
    <row r="89" spans="2:30" ht="249.6" x14ac:dyDescent="0.3">
      <c r="B89" s="205"/>
      <c r="C89" s="206" t="s">
        <v>2832</v>
      </c>
      <c r="D89" s="209" t="s">
        <v>1673</v>
      </c>
      <c r="E89" s="423" t="s">
        <v>8387</v>
      </c>
      <c r="F89" s="333" t="s">
        <v>9694</v>
      </c>
      <c r="G89" s="442" t="s">
        <v>4</v>
      </c>
      <c r="H89" s="218">
        <v>1</v>
      </c>
      <c r="I89" s="218">
        <v>32585.55</v>
      </c>
      <c r="J89" s="218"/>
      <c r="K89" s="211">
        <f>+H89*I89</f>
        <v>32585.55</v>
      </c>
      <c r="L89" s="208"/>
      <c r="M89" s="434"/>
      <c r="N89" s="213"/>
      <c r="O89" s="212"/>
      <c r="P89" s="214">
        <f t="shared" si="105"/>
        <v>0</v>
      </c>
      <c r="Q89" s="215">
        <f t="shared" si="106"/>
        <v>0</v>
      </c>
      <c r="R89" s="215">
        <f t="shared" si="107"/>
        <v>0</v>
      </c>
      <c r="S89" s="216">
        <f t="shared" si="108"/>
        <v>0</v>
      </c>
      <c r="U89" s="208" t="e">
        <f>CONCATENATE(F89,$U$88,#REF!,$U$87,#REF!,$U$87,#REF!,$U$87,#REF!,$U$87,#REF!,$U$87,#REF!,$U$87,#REF!,$U$87,#REF!,$U$87,#REF!,$U$87,#REF!,$U$87,#REF!)</f>
        <v>#REF!</v>
      </c>
      <c r="V89" s="220"/>
      <c r="W89" s="220"/>
      <c r="AD89" s="218">
        <v>12947.70823</v>
      </c>
    </row>
    <row r="90" spans="2:30" x14ac:dyDescent="0.3">
      <c r="B90" s="205"/>
      <c r="C90" s="206"/>
      <c r="D90" s="209"/>
      <c r="E90" s="423"/>
      <c r="F90" s="333"/>
      <c r="G90" s="442"/>
      <c r="H90" s="218"/>
      <c r="I90" s="218"/>
      <c r="J90" s="218"/>
      <c r="K90" s="211"/>
      <c r="L90" s="208"/>
      <c r="M90" s="434"/>
      <c r="N90" s="213"/>
      <c r="O90" s="212"/>
      <c r="P90" s="214"/>
      <c r="Q90" s="215"/>
      <c r="R90" s="215"/>
      <c r="S90" s="216"/>
      <c r="U90" s="219" t="s">
        <v>9691</v>
      </c>
      <c r="V90" s="220"/>
      <c r="W90" s="220"/>
      <c r="AD90" s="218"/>
    </row>
    <row r="91" spans="2:30" ht="134.4" x14ac:dyDescent="0.3">
      <c r="B91" s="205"/>
      <c r="C91" s="206" t="s">
        <v>2833</v>
      </c>
      <c r="D91" s="209" t="s">
        <v>1673</v>
      </c>
      <c r="E91" s="423" t="s">
        <v>8387</v>
      </c>
      <c r="F91" s="333" t="s">
        <v>9695</v>
      </c>
      <c r="G91" s="442" t="s">
        <v>4</v>
      </c>
      <c r="H91" s="218">
        <v>1</v>
      </c>
      <c r="I91" s="218">
        <v>27714.51</v>
      </c>
      <c r="J91" s="218"/>
      <c r="K91" s="211">
        <f>+H91*I91</f>
        <v>27714.51</v>
      </c>
      <c r="L91" s="208"/>
      <c r="M91" s="434"/>
      <c r="N91" s="213"/>
      <c r="O91" s="212"/>
      <c r="P91" s="214">
        <f t="shared" si="105"/>
        <v>0</v>
      </c>
      <c r="Q91" s="215">
        <f t="shared" si="106"/>
        <v>0</v>
      </c>
      <c r="R91" s="215">
        <f t="shared" si="107"/>
        <v>0</v>
      </c>
      <c r="S91" s="216">
        <f t="shared" si="108"/>
        <v>0</v>
      </c>
      <c r="U91" s="208" t="e">
        <f>CONCATENATE(F91,$U$90,#REF!,#REF!,#REF!,#REF!,#REF!,#REF!,#REF!,#REF!,#REF!)</f>
        <v>#REF!</v>
      </c>
      <c r="V91" s="220"/>
      <c r="W91" s="220"/>
      <c r="AD91" s="218">
        <v>7968.9601300000004</v>
      </c>
    </row>
    <row r="92" spans="2:30" x14ac:dyDescent="0.3">
      <c r="B92" s="205"/>
      <c r="C92" s="206"/>
      <c r="D92" s="209"/>
      <c r="E92" s="423"/>
      <c r="F92" s="333"/>
      <c r="G92" s="442"/>
      <c r="H92" s="218"/>
      <c r="I92" s="218"/>
      <c r="J92" s="218"/>
      <c r="K92" s="211"/>
      <c r="L92" s="208"/>
      <c r="M92" s="434"/>
      <c r="N92" s="213"/>
      <c r="O92" s="212"/>
      <c r="P92" s="214"/>
      <c r="Q92" s="215"/>
      <c r="R92" s="215"/>
      <c r="S92" s="216"/>
      <c r="U92" s="219" t="s">
        <v>9691</v>
      </c>
      <c r="V92" s="220"/>
      <c r="W92" s="220"/>
      <c r="AD92" s="218"/>
    </row>
    <row r="93" spans="2:30" ht="153.6" x14ac:dyDescent="0.3">
      <c r="B93" s="205"/>
      <c r="C93" s="206" t="s">
        <v>2834</v>
      </c>
      <c r="D93" s="209" t="s">
        <v>1673</v>
      </c>
      <c r="E93" s="423" t="s">
        <v>8387</v>
      </c>
      <c r="F93" s="333" t="s">
        <v>9696</v>
      </c>
      <c r="G93" s="442" t="s">
        <v>4</v>
      </c>
      <c r="H93" s="218">
        <v>1</v>
      </c>
      <c r="I93" s="218">
        <v>4670.7</v>
      </c>
      <c r="J93" s="218"/>
      <c r="K93" s="211">
        <f>+H93*I93</f>
        <v>4670.7</v>
      </c>
      <c r="L93" s="208"/>
      <c r="M93" s="434"/>
      <c r="N93" s="213"/>
      <c r="O93" s="212"/>
      <c r="P93" s="214">
        <f t="shared" si="105"/>
        <v>0</v>
      </c>
      <c r="Q93" s="215">
        <f t="shared" si="106"/>
        <v>0</v>
      </c>
      <c r="R93" s="215">
        <f t="shared" si="107"/>
        <v>0</v>
      </c>
      <c r="S93" s="216">
        <f t="shared" si="108"/>
        <v>0</v>
      </c>
      <c r="U93" s="208" t="e">
        <f>CONCATENATE(F93,$U$92,#REF!,#REF!,#REF!,#REF!,#REF!,#REF!,#REF!,#REF!,#REF!,#REF!,#REF!,#REF!,#REF!)</f>
        <v>#REF!</v>
      </c>
      <c r="V93" s="220"/>
      <c r="W93" s="220"/>
      <c r="AD93" s="218">
        <v>3865.3925399999998</v>
      </c>
    </row>
    <row r="94" spans="2:30" x14ac:dyDescent="0.3">
      <c r="B94" s="205"/>
      <c r="C94" s="206"/>
      <c r="D94" s="209"/>
      <c r="E94" s="423"/>
      <c r="F94" s="333"/>
      <c r="G94" s="442"/>
      <c r="H94" s="218"/>
      <c r="I94" s="218"/>
      <c r="J94" s="218"/>
      <c r="K94" s="211"/>
      <c r="L94" s="208"/>
      <c r="M94" s="434"/>
      <c r="N94" s="213"/>
      <c r="O94" s="212"/>
      <c r="P94" s="214"/>
      <c r="Q94" s="215"/>
      <c r="R94" s="215"/>
      <c r="S94" s="216"/>
      <c r="U94" s="219" t="s">
        <v>9691</v>
      </c>
      <c r="V94" s="220"/>
      <c r="W94" s="220"/>
      <c r="AD94" s="218"/>
    </row>
    <row r="95" spans="2:30" ht="96" x14ac:dyDescent="0.3">
      <c r="B95" s="205"/>
      <c r="C95" s="206" t="s">
        <v>2835</v>
      </c>
      <c r="D95" s="209" t="s">
        <v>1673</v>
      </c>
      <c r="E95" s="423" t="s">
        <v>8387</v>
      </c>
      <c r="F95" s="333" t="s">
        <v>9697</v>
      </c>
      <c r="G95" s="442" t="s">
        <v>4</v>
      </c>
      <c r="H95" s="218">
        <v>1.35</v>
      </c>
      <c r="I95" s="218">
        <f>617.36/1.35</f>
        <v>457.30370370370366</v>
      </c>
      <c r="J95" s="218"/>
      <c r="K95" s="211">
        <f>+H95*I95</f>
        <v>617.36</v>
      </c>
      <c r="L95" s="208"/>
      <c r="M95" s="434"/>
      <c r="N95" s="213"/>
      <c r="O95" s="212"/>
      <c r="P95" s="214">
        <f t="shared" si="105"/>
        <v>0</v>
      </c>
      <c r="Q95" s="215">
        <f t="shared" si="106"/>
        <v>0</v>
      </c>
      <c r="R95" s="215">
        <f t="shared" si="107"/>
        <v>0</v>
      </c>
      <c r="S95" s="216">
        <f t="shared" si="108"/>
        <v>0</v>
      </c>
      <c r="U95" s="208" t="e">
        <f>CONCATENATE(F95,$U$94,#REF!,#REF!,#REF!,#REF!,#REF!,#REF!,#REF!,$U$1487,#REF!)</f>
        <v>#REF!</v>
      </c>
      <c r="V95" s="220"/>
      <c r="W95" s="220"/>
      <c r="AD95" s="218">
        <v>293.91183999999998</v>
      </c>
    </row>
    <row r="96" spans="2:30" x14ac:dyDescent="0.3">
      <c r="B96" s="205"/>
      <c r="C96" s="206"/>
      <c r="D96" s="209"/>
      <c r="E96" s="423"/>
      <c r="F96" s="333"/>
      <c r="G96" s="442"/>
      <c r="H96" s="218"/>
      <c r="I96" s="218"/>
      <c r="J96" s="218"/>
      <c r="K96" s="211"/>
      <c r="L96" s="208"/>
      <c r="M96" s="434"/>
      <c r="N96" s="213"/>
      <c r="O96" s="212"/>
      <c r="P96" s="214"/>
      <c r="Q96" s="215"/>
      <c r="R96" s="215"/>
      <c r="S96" s="216"/>
      <c r="U96" s="219" t="s">
        <v>9691</v>
      </c>
      <c r="V96" s="220"/>
      <c r="W96" s="220"/>
      <c r="AD96" s="218"/>
    </row>
    <row r="97" spans="2:30" ht="38.4" x14ac:dyDescent="0.3">
      <c r="B97" s="205"/>
      <c r="C97" s="206" t="s">
        <v>2836</v>
      </c>
      <c r="D97" s="209" t="s">
        <v>1673</v>
      </c>
      <c r="E97" s="423" t="s">
        <v>8387</v>
      </c>
      <c r="F97" s="333" t="s">
        <v>9698</v>
      </c>
      <c r="G97" s="442" t="s">
        <v>4</v>
      </c>
      <c r="H97" s="218">
        <v>1.35</v>
      </c>
      <c r="I97" s="218">
        <f>617.36/1.35</f>
        <v>457.30370370370366</v>
      </c>
      <c r="J97" s="218"/>
      <c r="K97" s="211">
        <f>+H97*I97</f>
        <v>617.36</v>
      </c>
      <c r="L97" s="208"/>
      <c r="M97" s="434"/>
      <c r="N97" s="213"/>
      <c r="O97" s="212"/>
      <c r="P97" s="214">
        <f t="shared" si="105"/>
        <v>0</v>
      </c>
      <c r="Q97" s="215">
        <f t="shared" si="106"/>
        <v>0</v>
      </c>
      <c r="R97" s="215">
        <f t="shared" si="107"/>
        <v>0</v>
      </c>
      <c r="S97" s="216">
        <f t="shared" si="108"/>
        <v>0</v>
      </c>
      <c r="U97" s="208" t="e">
        <f>CONCATENATE(F97,$U$96,#REF!,#REF!)</f>
        <v>#REF!</v>
      </c>
      <c r="V97" s="220"/>
      <c r="W97" s="220"/>
      <c r="AD97" s="218">
        <v>293.91183999999998</v>
      </c>
    </row>
    <row r="98" spans="2:30" x14ac:dyDescent="0.3">
      <c r="B98" s="205"/>
      <c r="C98" s="206"/>
      <c r="D98" s="209"/>
      <c r="E98" s="423"/>
      <c r="F98" s="333"/>
      <c r="G98" s="442"/>
      <c r="H98" s="218"/>
      <c r="I98" s="218"/>
      <c r="J98" s="218"/>
      <c r="K98" s="211"/>
      <c r="L98" s="208"/>
      <c r="M98" s="434"/>
      <c r="N98" s="213"/>
      <c r="O98" s="212"/>
      <c r="P98" s="214"/>
      <c r="Q98" s="215"/>
      <c r="R98" s="215"/>
      <c r="S98" s="216"/>
      <c r="U98" s="219" t="s">
        <v>9691</v>
      </c>
      <c r="V98" s="220"/>
      <c r="W98" s="220"/>
      <c r="AD98" s="218"/>
    </row>
    <row r="99" spans="2:30" ht="38.4" x14ac:dyDescent="0.3">
      <c r="B99" s="205"/>
      <c r="C99" s="206" t="s">
        <v>2837</v>
      </c>
      <c r="D99" s="209" t="s">
        <v>1673</v>
      </c>
      <c r="E99" s="423" t="s">
        <v>8387</v>
      </c>
      <c r="F99" s="333" t="s">
        <v>9718</v>
      </c>
      <c r="G99" s="442" t="s">
        <v>4</v>
      </c>
      <c r="H99" s="218">
        <v>1</v>
      </c>
      <c r="I99" s="218">
        <v>3520.52</v>
      </c>
      <c r="J99" s="218"/>
      <c r="K99" s="211">
        <f>+H99*I99</f>
        <v>3520.52</v>
      </c>
      <c r="L99" s="208"/>
      <c r="M99" s="434"/>
      <c r="N99" s="213"/>
      <c r="O99" s="212"/>
      <c r="P99" s="214">
        <f t="shared" si="105"/>
        <v>0</v>
      </c>
      <c r="Q99" s="215">
        <f t="shared" si="106"/>
        <v>0</v>
      </c>
      <c r="R99" s="215">
        <f t="shared" si="107"/>
        <v>0</v>
      </c>
      <c r="S99" s="216">
        <f t="shared" si="108"/>
        <v>0</v>
      </c>
      <c r="U99" s="208" t="e">
        <f>CONCATENATE(F99,$U$98,#REF!,#REF!)</f>
        <v>#REF!</v>
      </c>
      <c r="V99" s="220"/>
      <c r="W99" s="220"/>
      <c r="AD99" s="218">
        <v>2938.2582499999999</v>
      </c>
    </row>
    <row r="100" spans="2:30" x14ac:dyDescent="0.3">
      <c r="B100" s="205"/>
      <c r="C100" s="206"/>
      <c r="D100" s="209"/>
      <c r="E100" s="423"/>
      <c r="F100" s="333"/>
      <c r="G100" s="442"/>
      <c r="H100" s="218"/>
      <c r="I100" s="218"/>
      <c r="J100" s="218"/>
      <c r="K100" s="211"/>
      <c r="L100" s="208"/>
      <c r="M100" s="434"/>
      <c r="N100" s="213"/>
      <c r="O100" s="212"/>
      <c r="P100" s="214"/>
      <c r="Q100" s="215"/>
      <c r="R100" s="215"/>
      <c r="S100" s="216"/>
      <c r="U100" s="219" t="s">
        <v>9691</v>
      </c>
      <c r="V100" s="220"/>
      <c r="W100" s="220"/>
      <c r="AD100" s="218"/>
    </row>
    <row r="101" spans="2:30" ht="115.2" x14ac:dyDescent="0.3">
      <c r="B101" s="205"/>
      <c r="C101" s="206" t="s">
        <v>2838</v>
      </c>
      <c r="D101" s="209" t="s">
        <v>1673</v>
      </c>
      <c r="E101" s="423" t="s">
        <v>8387</v>
      </c>
      <c r="F101" s="333" t="s">
        <v>9722</v>
      </c>
      <c r="G101" s="442" t="s">
        <v>4</v>
      </c>
      <c r="H101" s="218">
        <v>1</v>
      </c>
      <c r="I101" s="218">
        <v>9813.7800000000007</v>
      </c>
      <c r="J101" s="218"/>
      <c r="K101" s="211">
        <f>+H101*I101</f>
        <v>9813.7800000000007</v>
      </c>
      <c r="L101" s="208"/>
      <c r="M101" s="434"/>
      <c r="N101" s="213"/>
      <c r="O101" s="212"/>
      <c r="P101" s="214">
        <f t="shared" si="105"/>
        <v>0</v>
      </c>
      <c r="Q101" s="215">
        <f t="shared" si="106"/>
        <v>0</v>
      </c>
      <c r="R101" s="215">
        <f t="shared" si="107"/>
        <v>0</v>
      </c>
      <c r="S101" s="216">
        <f t="shared" si="108"/>
        <v>0</v>
      </c>
      <c r="U101" s="208" t="e">
        <f>CONCATENATE(F101,$U$100,#REF!,#REF!,#REF!,#REF!,#REF!,#REF!,#REF!)</f>
        <v>#REF!</v>
      </c>
      <c r="V101" s="220"/>
      <c r="W101" s="220"/>
      <c r="AD101" s="218">
        <v>7521.9611999999997</v>
      </c>
    </row>
    <row r="102" spans="2:30" x14ac:dyDescent="0.3">
      <c r="B102" s="205"/>
      <c r="C102" s="206"/>
      <c r="D102" s="209"/>
      <c r="E102" s="423"/>
      <c r="F102" s="333"/>
      <c r="G102" s="442"/>
      <c r="H102" s="218"/>
      <c r="I102" s="218"/>
      <c r="J102" s="218"/>
      <c r="K102" s="211"/>
      <c r="L102" s="208"/>
      <c r="M102" s="434"/>
      <c r="N102" s="213"/>
      <c r="O102" s="212"/>
      <c r="P102" s="214"/>
      <c r="Q102" s="215"/>
      <c r="R102" s="215"/>
      <c r="S102" s="216"/>
      <c r="U102" s="208" t="str">
        <f>UPPER(F102)</f>
        <v/>
      </c>
      <c r="V102" s="220"/>
      <c r="W102" s="220"/>
      <c r="AD102" s="218"/>
    </row>
    <row r="103" spans="2:30" ht="38.4" x14ac:dyDescent="0.3">
      <c r="B103" s="205"/>
      <c r="C103" s="206" t="s">
        <v>2839</v>
      </c>
      <c r="D103" s="209" t="s">
        <v>1673</v>
      </c>
      <c r="E103" s="423" t="s">
        <v>8387</v>
      </c>
      <c r="F103" s="333" t="s">
        <v>9723</v>
      </c>
      <c r="G103" s="442" t="s">
        <v>4</v>
      </c>
      <c r="H103" s="426">
        <v>3</v>
      </c>
      <c r="I103" s="218">
        <f>4222.62/3</f>
        <v>1407.54</v>
      </c>
      <c r="J103" s="218"/>
      <c r="K103" s="211">
        <f>+H103*I103</f>
        <v>4222.62</v>
      </c>
      <c r="L103" s="208"/>
      <c r="M103" s="434"/>
      <c r="N103" s="213"/>
      <c r="O103" s="212"/>
      <c r="P103" s="214">
        <f t="shared" si="105"/>
        <v>0</v>
      </c>
      <c r="Q103" s="215">
        <f t="shared" si="106"/>
        <v>0</v>
      </c>
      <c r="R103" s="215">
        <f t="shared" si="107"/>
        <v>0</v>
      </c>
      <c r="S103" s="216">
        <f t="shared" si="108"/>
        <v>0</v>
      </c>
      <c r="U103" s="219" t="s">
        <v>8623</v>
      </c>
      <c r="V103" s="220"/>
      <c r="W103" s="220"/>
      <c r="AD103" s="218">
        <v>1158.4187999999999</v>
      </c>
    </row>
    <row r="104" spans="2:30" x14ac:dyDescent="0.3">
      <c r="B104" s="205"/>
      <c r="C104" s="206"/>
      <c r="D104" s="209"/>
      <c r="E104" s="423"/>
      <c r="F104" s="333"/>
      <c r="G104" s="442"/>
      <c r="H104" s="426"/>
      <c r="I104" s="218"/>
      <c r="J104" s="218"/>
      <c r="K104" s="211"/>
      <c r="L104" s="208"/>
      <c r="M104" s="434"/>
      <c r="N104" s="213"/>
      <c r="O104" s="212"/>
      <c r="P104" s="214"/>
      <c r="Q104" s="215"/>
      <c r="R104" s="215"/>
      <c r="S104" s="216"/>
      <c r="U104" s="219" t="s">
        <v>9691</v>
      </c>
      <c r="V104" s="220"/>
      <c r="W104" s="220"/>
      <c r="AD104" s="218"/>
    </row>
    <row r="105" spans="2:30" ht="172.8" x14ac:dyDescent="0.3">
      <c r="B105" s="205"/>
      <c r="C105" s="206" t="s">
        <v>2840</v>
      </c>
      <c r="D105" s="209" t="s">
        <v>1673</v>
      </c>
      <c r="E105" s="423" t="s">
        <v>8387</v>
      </c>
      <c r="F105" s="333" t="s">
        <v>9700</v>
      </c>
      <c r="G105" s="442" t="s">
        <v>4</v>
      </c>
      <c r="H105" s="426">
        <v>1</v>
      </c>
      <c r="I105" s="218">
        <v>16670.89</v>
      </c>
      <c r="J105" s="218"/>
      <c r="K105" s="211">
        <f>+H105*I105</f>
        <v>16670.89</v>
      </c>
      <c r="L105" s="208"/>
      <c r="M105" s="434"/>
      <c r="N105" s="213"/>
      <c r="O105" s="212"/>
      <c r="P105" s="214">
        <f t="shared" si="105"/>
        <v>0</v>
      </c>
      <c r="Q105" s="215">
        <f t="shared" si="106"/>
        <v>0</v>
      </c>
      <c r="R105" s="215">
        <f t="shared" si="107"/>
        <v>0</v>
      </c>
      <c r="S105" s="216">
        <f t="shared" si="108"/>
        <v>0</v>
      </c>
      <c r="U105" s="208" t="e">
        <f>CONCATENATE(F105,$U$104,#REF!,#REF!,#REF!,#REF!,#REF!,#REF!,#REF!,#REF!,#REF!,#REF!,#REF!,#REF!,#REF!,#REF!,#REF!)</f>
        <v>#REF!</v>
      </c>
      <c r="V105" s="220"/>
      <c r="W105" s="220"/>
      <c r="AD105" s="218">
        <v>14261.262909999999</v>
      </c>
    </row>
    <row r="106" spans="2:30" x14ac:dyDescent="0.3">
      <c r="B106" s="205"/>
      <c r="C106" s="206"/>
      <c r="D106" s="209"/>
      <c r="E106" s="423"/>
      <c r="F106" s="333"/>
      <c r="G106" s="442"/>
      <c r="H106" s="218"/>
      <c r="I106" s="218"/>
      <c r="J106" s="218"/>
      <c r="K106" s="211"/>
      <c r="L106" s="208"/>
      <c r="M106" s="434"/>
      <c r="N106" s="213"/>
      <c r="O106" s="212"/>
      <c r="P106" s="214"/>
      <c r="Q106" s="215"/>
      <c r="R106" s="215"/>
      <c r="S106" s="216"/>
      <c r="U106" s="208"/>
      <c r="V106" s="220"/>
      <c r="W106" s="220"/>
      <c r="AD106" s="218"/>
    </row>
    <row r="107" spans="2:30" x14ac:dyDescent="0.3">
      <c r="B107" s="205"/>
      <c r="C107" s="206" t="s">
        <v>2841</v>
      </c>
      <c r="D107" s="209" t="s">
        <v>1673</v>
      </c>
      <c r="E107" s="423" t="s">
        <v>8387</v>
      </c>
      <c r="F107" s="333" t="s">
        <v>8432</v>
      </c>
      <c r="G107" s="442" t="s">
        <v>4</v>
      </c>
      <c r="H107" s="218">
        <v>3</v>
      </c>
      <c r="I107" s="218">
        <f>10561.51/3</f>
        <v>3520.5033333333336</v>
      </c>
      <c r="J107" s="218"/>
      <c r="K107" s="211">
        <f>+H107*I107</f>
        <v>10561.51</v>
      </c>
      <c r="L107" s="208"/>
      <c r="M107" s="434"/>
      <c r="N107" s="213"/>
      <c r="O107" s="212"/>
      <c r="P107" s="214">
        <f t="shared" si="105"/>
        <v>0</v>
      </c>
      <c r="Q107" s="215">
        <f t="shared" si="106"/>
        <v>0</v>
      </c>
      <c r="R107" s="215">
        <f t="shared" si="107"/>
        <v>0</v>
      </c>
      <c r="S107" s="216">
        <f t="shared" si="108"/>
        <v>0</v>
      </c>
      <c r="U107" s="219" t="s">
        <v>8623</v>
      </c>
      <c r="V107" s="220"/>
      <c r="W107" s="220"/>
      <c r="AD107" s="218">
        <v>2938.2507000000001</v>
      </c>
    </row>
    <row r="108" spans="2:30" x14ac:dyDescent="0.3">
      <c r="B108" s="205"/>
      <c r="C108" s="206"/>
      <c r="D108" s="209"/>
      <c r="E108" s="423"/>
      <c r="F108" s="333"/>
      <c r="G108" s="442"/>
      <c r="H108" s="218"/>
      <c r="I108" s="218"/>
      <c r="J108" s="218"/>
      <c r="K108" s="211"/>
      <c r="L108" s="208"/>
      <c r="M108" s="434"/>
      <c r="N108" s="213"/>
      <c r="O108" s="212"/>
      <c r="P108" s="214"/>
      <c r="Q108" s="215"/>
      <c r="R108" s="215"/>
      <c r="S108" s="216"/>
      <c r="U108" s="219" t="s">
        <v>9691</v>
      </c>
      <c r="V108" s="220"/>
      <c r="W108" s="220"/>
      <c r="AD108" s="218"/>
    </row>
    <row r="109" spans="2:30" ht="134.4" x14ac:dyDescent="0.3">
      <c r="B109" s="205"/>
      <c r="C109" s="206" t="s">
        <v>2842</v>
      </c>
      <c r="D109" s="209" t="s">
        <v>1673</v>
      </c>
      <c r="E109" s="423" t="s">
        <v>8387</v>
      </c>
      <c r="F109" s="333" t="s">
        <v>9701</v>
      </c>
      <c r="G109" s="442" t="s">
        <v>4</v>
      </c>
      <c r="H109" s="218">
        <v>1</v>
      </c>
      <c r="I109" s="218">
        <v>8908.82</v>
      </c>
      <c r="J109" s="218"/>
      <c r="K109" s="211">
        <f>+H109*I109</f>
        <v>8908.82</v>
      </c>
      <c r="L109" s="208"/>
      <c r="M109" s="434"/>
      <c r="N109" s="213"/>
      <c r="O109" s="212"/>
      <c r="P109" s="214">
        <f t="shared" si="105"/>
        <v>0</v>
      </c>
      <c r="Q109" s="215">
        <f t="shared" si="106"/>
        <v>0</v>
      </c>
      <c r="R109" s="215">
        <f t="shared" si="107"/>
        <v>0</v>
      </c>
      <c r="S109" s="216">
        <f t="shared" si="108"/>
        <v>0</v>
      </c>
      <c r="U109" s="208" t="e">
        <f>CONCATENATE(F109,$U$108,#REF!,$U$107,#REF!,$U$107,#REF!,$U$107,#REF!,$U$107,#REF!,$U$107,#REF!)</f>
        <v>#REF!</v>
      </c>
      <c r="V109" s="220"/>
      <c r="W109" s="220"/>
      <c r="AD109" s="218">
        <v>8609.8320399999993</v>
      </c>
    </row>
    <row r="110" spans="2:30" x14ac:dyDescent="0.3">
      <c r="B110" s="205"/>
      <c r="C110" s="206"/>
      <c r="D110" s="209"/>
      <c r="E110" s="423"/>
      <c r="F110" s="333"/>
      <c r="G110" s="442"/>
      <c r="H110" s="218"/>
      <c r="I110" s="218"/>
      <c r="J110" s="218"/>
      <c r="K110" s="211"/>
      <c r="L110" s="208"/>
      <c r="M110" s="434"/>
      <c r="N110" s="213"/>
      <c r="O110" s="212"/>
      <c r="P110" s="214"/>
      <c r="Q110" s="215"/>
      <c r="R110" s="215"/>
      <c r="S110" s="216"/>
      <c r="U110" s="208"/>
      <c r="V110" s="220"/>
      <c r="W110" s="220"/>
      <c r="AD110" s="218"/>
    </row>
    <row r="111" spans="2:30" x14ac:dyDescent="0.3">
      <c r="B111" s="205"/>
      <c r="C111" s="206" t="s">
        <v>2843</v>
      </c>
      <c r="D111" s="209" t="s">
        <v>1673</v>
      </c>
      <c r="E111" s="423" t="s">
        <v>8387</v>
      </c>
      <c r="F111" s="333" t="s">
        <v>8433</v>
      </c>
      <c r="G111" s="442" t="s">
        <v>4</v>
      </c>
      <c r="H111" s="218">
        <v>3</v>
      </c>
      <c r="I111" s="218">
        <f>10561.51/3</f>
        <v>3520.5033333333336</v>
      </c>
      <c r="J111" s="218"/>
      <c r="K111" s="211">
        <f>+H111*I111</f>
        <v>10561.51</v>
      </c>
      <c r="L111" s="208"/>
      <c r="M111" s="434"/>
      <c r="N111" s="213"/>
      <c r="O111" s="212"/>
      <c r="P111" s="214">
        <f t="shared" si="105"/>
        <v>0</v>
      </c>
      <c r="Q111" s="215">
        <f t="shared" si="106"/>
        <v>0</v>
      </c>
      <c r="R111" s="215">
        <f t="shared" si="107"/>
        <v>0</v>
      </c>
      <c r="S111" s="216">
        <f t="shared" si="108"/>
        <v>0</v>
      </c>
      <c r="U111" s="219" t="s">
        <v>8623</v>
      </c>
      <c r="V111" s="220"/>
      <c r="W111" s="220"/>
      <c r="AD111" s="218">
        <v>2938.24818</v>
      </c>
    </row>
    <row r="112" spans="2:30" x14ac:dyDescent="0.3">
      <c r="B112" s="205"/>
      <c r="C112" s="206"/>
      <c r="D112" s="209"/>
      <c r="E112" s="423"/>
      <c r="F112" s="333"/>
      <c r="G112" s="442"/>
      <c r="H112" s="218"/>
      <c r="I112" s="218"/>
      <c r="J112" s="218"/>
      <c r="K112" s="211"/>
      <c r="L112" s="208"/>
      <c r="M112" s="434"/>
      <c r="N112" s="213"/>
      <c r="O112" s="212"/>
      <c r="P112" s="214"/>
      <c r="Q112" s="215"/>
      <c r="R112" s="215"/>
      <c r="S112" s="216"/>
      <c r="U112" s="219" t="s">
        <v>9691</v>
      </c>
      <c r="V112" s="220"/>
      <c r="W112" s="220"/>
      <c r="AD112" s="218"/>
    </row>
    <row r="113" spans="2:30" ht="134.4" x14ac:dyDescent="0.3">
      <c r="B113" s="205"/>
      <c r="C113" s="206" t="s">
        <v>2844</v>
      </c>
      <c r="D113" s="209" t="s">
        <v>1673</v>
      </c>
      <c r="E113" s="423" t="s">
        <v>8387</v>
      </c>
      <c r="F113" s="333" t="s">
        <v>9702</v>
      </c>
      <c r="G113" s="442" t="s">
        <v>4</v>
      </c>
      <c r="H113" s="218">
        <v>1</v>
      </c>
      <c r="I113" s="218">
        <v>5728.42</v>
      </c>
      <c r="J113" s="218"/>
      <c r="K113" s="211">
        <f>+H113*I113</f>
        <v>5728.42</v>
      </c>
      <c r="L113" s="208"/>
      <c r="M113" s="434"/>
      <c r="N113" s="213"/>
      <c r="O113" s="212"/>
      <c r="P113" s="214">
        <f t="shared" si="105"/>
        <v>0</v>
      </c>
      <c r="Q113" s="215">
        <f t="shared" si="106"/>
        <v>0</v>
      </c>
      <c r="R113" s="215">
        <f t="shared" si="107"/>
        <v>0</v>
      </c>
      <c r="S113" s="216">
        <f t="shared" si="108"/>
        <v>0</v>
      </c>
      <c r="U113" s="208" t="e">
        <f>CONCATENATE(F113,$U$112,#REF!,$U$111,#REF!,$U$111,#REF!,$U$111,#REF!,$U$111,#REF!)</f>
        <v>#REF!</v>
      </c>
      <c r="V113" s="220"/>
      <c r="W113" s="220"/>
      <c r="AD113" s="218">
        <v>4085.2807499999999</v>
      </c>
    </row>
    <row r="114" spans="2:30" x14ac:dyDescent="0.3">
      <c r="B114" s="205"/>
      <c r="C114" s="206"/>
      <c r="D114" s="209"/>
      <c r="E114" s="423"/>
      <c r="F114" s="333"/>
      <c r="G114" s="442"/>
      <c r="H114" s="218"/>
      <c r="I114" s="218"/>
      <c r="J114" s="218"/>
      <c r="K114" s="211"/>
      <c r="L114" s="208"/>
      <c r="M114" s="434"/>
      <c r="N114" s="213"/>
      <c r="O114" s="212"/>
      <c r="P114" s="214"/>
      <c r="Q114" s="215"/>
      <c r="R114" s="215"/>
      <c r="S114" s="216"/>
      <c r="U114" s="208"/>
      <c r="V114" s="220"/>
      <c r="W114" s="220"/>
      <c r="AD114" s="218"/>
    </row>
    <row r="115" spans="2:30" ht="38.4" x14ac:dyDescent="0.3">
      <c r="B115" s="205"/>
      <c r="C115" s="206" t="s">
        <v>2845</v>
      </c>
      <c r="D115" s="209" t="s">
        <v>1673</v>
      </c>
      <c r="E115" s="423" t="s">
        <v>8387</v>
      </c>
      <c r="F115" s="333" t="s">
        <v>8434</v>
      </c>
      <c r="G115" s="442" t="s">
        <v>4</v>
      </c>
      <c r="H115" s="426">
        <v>3</v>
      </c>
      <c r="I115" s="218">
        <f>2815.07/2</f>
        <v>1407.5350000000001</v>
      </c>
      <c r="J115" s="218"/>
      <c r="K115" s="211">
        <f>+H115*I115</f>
        <v>4222.6050000000005</v>
      </c>
      <c r="L115" s="208"/>
      <c r="M115" s="434"/>
      <c r="N115" s="213"/>
      <c r="O115" s="212"/>
      <c r="P115" s="214">
        <f t="shared" si="105"/>
        <v>0</v>
      </c>
      <c r="Q115" s="215">
        <f t="shared" si="106"/>
        <v>0</v>
      </c>
      <c r="R115" s="215">
        <f t="shared" si="107"/>
        <v>0</v>
      </c>
      <c r="S115" s="216">
        <f t="shared" si="108"/>
        <v>0</v>
      </c>
      <c r="U115" s="208"/>
      <c r="V115" s="220"/>
      <c r="W115" s="220"/>
      <c r="AD115" s="218">
        <v>1158.4187999999999</v>
      </c>
    </row>
    <row r="116" spans="2:30" x14ac:dyDescent="0.3">
      <c r="B116" s="205"/>
      <c r="C116" s="206"/>
      <c r="D116" s="209"/>
      <c r="E116" s="423"/>
      <c r="F116" s="333"/>
      <c r="G116" s="442"/>
      <c r="H116" s="426"/>
      <c r="I116" s="218"/>
      <c r="J116" s="218"/>
      <c r="K116" s="211"/>
      <c r="L116" s="208"/>
      <c r="M116" s="434"/>
      <c r="N116" s="213"/>
      <c r="O116" s="212"/>
      <c r="P116" s="214"/>
      <c r="Q116" s="215"/>
      <c r="R116" s="215"/>
      <c r="S116" s="216"/>
      <c r="U116" s="208"/>
      <c r="V116" s="220"/>
      <c r="W116" s="220"/>
      <c r="AD116" s="218"/>
    </row>
    <row r="117" spans="2:30" ht="38.4" x14ac:dyDescent="0.3">
      <c r="B117" s="205"/>
      <c r="C117" s="206" t="s">
        <v>2846</v>
      </c>
      <c r="D117" s="209" t="s">
        <v>1673</v>
      </c>
      <c r="E117" s="423" t="s">
        <v>8387</v>
      </c>
      <c r="F117" s="333" t="s">
        <v>8467</v>
      </c>
      <c r="G117" s="442" t="s">
        <v>4</v>
      </c>
      <c r="H117" s="218">
        <v>1</v>
      </c>
      <c r="I117" s="218">
        <v>785.37</v>
      </c>
      <c r="J117" s="218"/>
      <c r="K117" s="211">
        <f>+H117*I117</f>
        <v>785.37</v>
      </c>
      <c r="L117" s="208"/>
      <c r="M117" s="434"/>
      <c r="N117" s="213"/>
      <c r="O117" s="212"/>
      <c r="P117" s="214">
        <f t="shared" si="105"/>
        <v>0</v>
      </c>
      <c r="Q117" s="215">
        <f t="shared" si="106"/>
        <v>0</v>
      </c>
      <c r="R117" s="215">
        <f t="shared" si="107"/>
        <v>0</v>
      </c>
      <c r="S117" s="216">
        <f t="shared" si="108"/>
        <v>0</v>
      </c>
      <c r="U117" s="219" t="s">
        <v>8623</v>
      </c>
      <c r="V117" s="220"/>
      <c r="W117" s="220"/>
      <c r="AD117" s="218">
        <v>643.18097999999998</v>
      </c>
    </row>
    <row r="118" spans="2:30" x14ac:dyDescent="0.3">
      <c r="B118" s="205"/>
      <c r="C118" s="206"/>
      <c r="D118" s="209"/>
      <c r="E118" s="423"/>
      <c r="F118" s="333"/>
      <c r="G118" s="442"/>
      <c r="H118" s="218"/>
      <c r="I118" s="218"/>
      <c r="J118" s="218"/>
      <c r="K118" s="211"/>
      <c r="L118" s="208"/>
      <c r="M118" s="434"/>
      <c r="N118" s="213"/>
      <c r="O118" s="212"/>
      <c r="P118" s="214"/>
      <c r="Q118" s="215"/>
      <c r="R118" s="215"/>
      <c r="S118" s="216"/>
      <c r="U118" s="219" t="s">
        <v>9691</v>
      </c>
      <c r="V118" s="220"/>
      <c r="W118" s="220"/>
      <c r="AD118" s="218"/>
    </row>
    <row r="119" spans="2:30" ht="307.2" x14ac:dyDescent="0.3">
      <c r="B119" s="205"/>
      <c r="C119" s="206" t="s">
        <v>2847</v>
      </c>
      <c r="D119" s="232" t="s">
        <v>1673</v>
      </c>
      <c r="E119" s="423" t="s">
        <v>8387</v>
      </c>
      <c r="F119" s="333" t="s">
        <v>9703</v>
      </c>
      <c r="G119" s="442" t="s">
        <v>4</v>
      </c>
      <c r="H119" s="218">
        <v>1</v>
      </c>
      <c r="I119" s="218">
        <v>20076.45</v>
      </c>
      <c r="J119" s="218"/>
      <c r="K119" s="211">
        <f>+H119*I119</f>
        <v>20076.45</v>
      </c>
      <c r="L119" s="208"/>
      <c r="M119" s="434"/>
      <c r="N119" s="213"/>
      <c r="O119" s="212"/>
      <c r="P119" s="214">
        <f t="shared" si="105"/>
        <v>0</v>
      </c>
      <c r="Q119" s="215">
        <f t="shared" si="106"/>
        <v>0</v>
      </c>
      <c r="R119" s="215">
        <f t="shared" si="107"/>
        <v>0</v>
      </c>
      <c r="S119" s="216">
        <f t="shared" si="108"/>
        <v>0</v>
      </c>
      <c r="U119" s="208" t="e">
        <f>CONCATENATE(F119,$U$118,#REF!,$U$117,#REF!,$U$117,#REF!,$U$117,#REF!,$U$117,#REF!,$U$117,#REF!,$U$117,#REF!,$U$117,#REF!,$U$117,#REF!,$U$117,#REF!,$U$117,#REF!,$U$117,#REF!)</f>
        <v>#REF!</v>
      </c>
      <c r="V119" s="220"/>
      <c r="W119" s="220"/>
      <c r="AD119" s="218">
        <v>11580.395399999999</v>
      </c>
    </row>
    <row r="120" spans="2:30" x14ac:dyDescent="0.3">
      <c r="B120" s="205"/>
      <c r="C120" s="206"/>
      <c r="D120" s="232"/>
      <c r="E120" s="423"/>
      <c r="F120" s="333"/>
      <c r="G120" s="442"/>
      <c r="H120" s="218"/>
      <c r="I120" s="218"/>
      <c r="J120" s="218"/>
      <c r="K120" s="211"/>
      <c r="L120" s="208"/>
      <c r="M120" s="434"/>
      <c r="N120" s="213"/>
      <c r="O120" s="212"/>
      <c r="P120" s="214"/>
      <c r="Q120" s="215"/>
      <c r="R120" s="215"/>
      <c r="S120" s="216"/>
      <c r="U120" s="219" t="s">
        <v>9691</v>
      </c>
      <c r="V120" s="220"/>
      <c r="W120" s="220"/>
      <c r="AD120" s="218"/>
    </row>
    <row r="121" spans="2:30" ht="409.6" x14ac:dyDescent="0.3">
      <c r="B121" s="205"/>
      <c r="C121" s="206" t="s">
        <v>2848</v>
      </c>
      <c r="D121" s="209" t="s">
        <v>1673</v>
      </c>
      <c r="E121" s="423" t="s">
        <v>8387</v>
      </c>
      <c r="F121" s="333" t="s">
        <v>9719</v>
      </c>
      <c r="G121" s="442" t="s">
        <v>4</v>
      </c>
      <c r="H121" s="218">
        <v>1</v>
      </c>
      <c r="I121" s="218">
        <v>92034.43</v>
      </c>
      <c r="J121" s="218"/>
      <c r="K121" s="211">
        <f>+H121*I121</f>
        <v>92034.43</v>
      </c>
      <c r="L121" s="208"/>
      <c r="M121" s="434"/>
      <c r="N121" s="213"/>
      <c r="O121" s="212"/>
      <c r="P121" s="214">
        <f t="shared" si="105"/>
        <v>0</v>
      </c>
      <c r="Q121" s="215">
        <f t="shared" si="106"/>
        <v>0</v>
      </c>
      <c r="R121" s="215">
        <f t="shared" si="107"/>
        <v>0</v>
      </c>
      <c r="S121" s="216">
        <f t="shared" si="108"/>
        <v>0</v>
      </c>
      <c r="U121" s="208" t="e">
        <f>CONCATENATE(F121,$U$120,#REF!,#REF!,#REF!,#REF!,#REF!,#REF!,#REF!,#REF!,#REF!,#REF!,#REF!,#REF!,#REF!,#REF!,#REF!,#REF!,#REF!,#REF!,#REF!,#REF!,#REF!,#REF!,#REF!,#REF!,#REF!,#REF!,#REF!,#REF!,#REF!,#REF!,#REF!,#REF!,#REF!,#REF!,#REF!,#REF!,#REF!,#REF!,#REF!,#REF!,#REF!,#REF!,#REF!,#REF!,#REF!)</f>
        <v>#REF!</v>
      </c>
      <c r="V121" s="220"/>
      <c r="W121" s="220"/>
      <c r="AD121" s="218">
        <v>52536.522720000001</v>
      </c>
    </row>
    <row r="122" spans="2:30" x14ac:dyDescent="0.3">
      <c r="B122" s="205"/>
      <c r="C122" s="206"/>
      <c r="D122" s="209"/>
      <c r="E122" s="423"/>
      <c r="F122" s="333"/>
      <c r="G122" s="442"/>
      <c r="H122" s="218"/>
      <c r="I122" s="218"/>
      <c r="J122" s="218"/>
      <c r="K122" s="211"/>
      <c r="L122" s="208"/>
      <c r="M122" s="434"/>
      <c r="N122" s="213"/>
      <c r="O122" s="212"/>
      <c r="P122" s="214"/>
      <c r="Q122" s="215"/>
      <c r="R122" s="215"/>
      <c r="S122" s="216"/>
      <c r="U122" s="208"/>
      <c r="V122" s="220"/>
      <c r="W122" s="220"/>
      <c r="AD122" s="218"/>
    </row>
    <row r="123" spans="2:30" ht="96" x14ac:dyDescent="0.3">
      <c r="B123" s="205"/>
      <c r="C123" s="206" t="s">
        <v>2849</v>
      </c>
      <c r="D123" s="209" t="s">
        <v>1673</v>
      </c>
      <c r="E123" s="423" t="s">
        <v>8387</v>
      </c>
      <c r="F123" s="333" t="s">
        <v>8469</v>
      </c>
      <c r="G123" s="442" t="s">
        <v>4</v>
      </c>
      <c r="H123" s="218">
        <v>1</v>
      </c>
      <c r="I123" s="218">
        <v>3669.11</v>
      </c>
      <c r="J123" s="218"/>
      <c r="K123" s="211">
        <f>+H123*I123</f>
        <v>3669.11</v>
      </c>
      <c r="L123" s="208"/>
      <c r="M123" s="434"/>
      <c r="N123" s="213"/>
      <c r="O123" s="212"/>
      <c r="P123" s="214">
        <f t="shared" si="105"/>
        <v>0</v>
      </c>
      <c r="Q123" s="215">
        <f t="shared" si="106"/>
        <v>0</v>
      </c>
      <c r="R123" s="215">
        <f t="shared" si="107"/>
        <v>0</v>
      </c>
      <c r="S123" s="216">
        <f t="shared" si="108"/>
        <v>0</v>
      </c>
      <c r="U123" s="219" t="s">
        <v>8623</v>
      </c>
      <c r="V123" s="220"/>
      <c r="W123" s="220"/>
      <c r="AD123" s="218">
        <v>5402.4891200000002</v>
      </c>
    </row>
    <row r="124" spans="2:30" x14ac:dyDescent="0.3">
      <c r="B124" s="205"/>
      <c r="C124" s="206"/>
      <c r="D124" s="209"/>
      <c r="E124" s="423"/>
      <c r="F124" s="333"/>
      <c r="G124" s="442"/>
      <c r="H124" s="218"/>
      <c r="I124" s="218"/>
      <c r="J124" s="218"/>
      <c r="K124" s="211"/>
      <c r="L124" s="208"/>
      <c r="M124" s="434"/>
      <c r="N124" s="213"/>
      <c r="O124" s="212"/>
      <c r="P124" s="214"/>
      <c r="Q124" s="215"/>
      <c r="R124" s="215"/>
      <c r="S124" s="216"/>
      <c r="U124" s="219" t="s">
        <v>9691</v>
      </c>
      <c r="V124" s="220"/>
      <c r="W124" s="220"/>
      <c r="AD124" s="218"/>
    </row>
    <row r="125" spans="2:30" ht="211.2" x14ac:dyDescent="0.3">
      <c r="B125" s="205"/>
      <c r="C125" s="206" t="s">
        <v>2850</v>
      </c>
      <c r="D125" s="209" t="s">
        <v>1673</v>
      </c>
      <c r="E125" s="423" t="s">
        <v>8387</v>
      </c>
      <c r="F125" s="333" t="s">
        <v>9704</v>
      </c>
      <c r="G125" s="442" t="s">
        <v>4</v>
      </c>
      <c r="H125" s="218">
        <v>1</v>
      </c>
      <c r="I125" s="218">
        <v>18015.87</v>
      </c>
      <c r="J125" s="218"/>
      <c r="K125" s="211">
        <f>+H125*I125</f>
        <v>18015.87</v>
      </c>
      <c r="L125" s="208"/>
      <c r="M125" s="434"/>
      <c r="N125" s="213"/>
      <c r="O125" s="212"/>
      <c r="P125" s="214">
        <f t="shared" si="105"/>
        <v>0</v>
      </c>
      <c r="Q125" s="215">
        <f t="shared" si="106"/>
        <v>0</v>
      </c>
      <c r="R125" s="215">
        <f t="shared" si="107"/>
        <v>0</v>
      </c>
      <c r="S125" s="216">
        <f t="shared" si="108"/>
        <v>0</v>
      </c>
      <c r="U125" s="208" t="e">
        <f>CONCATENATE(F125,#REF!,#REF!,$U$123,#REF!,$U$123,#REF!,$U$123,#REF!,$U$123,#REF!,$U$117,#REF!,$U$117,#REF!,$U$117,#REF!)</f>
        <v>#REF!</v>
      </c>
      <c r="V125" s="220"/>
      <c r="W125" s="220"/>
      <c r="AD125" s="218">
        <v>10731.590480000001</v>
      </c>
    </row>
    <row r="126" spans="2:30" x14ac:dyDescent="0.3">
      <c r="B126" s="205"/>
      <c r="C126" s="206"/>
      <c r="D126" s="209"/>
      <c r="E126" s="423"/>
      <c r="F126" s="333"/>
      <c r="G126" s="442"/>
      <c r="H126" s="218"/>
      <c r="I126" s="218"/>
      <c r="J126" s="218"/>
      <c r="K126" s="211"/>
      <c r="L126" s="208"/>
      <c r="M126" s="434"/>
      <c r="N126" s="213"/>
      <c r="O126" s="212"/>
      <c r="P126" s="214"/>
      <c r="Q126" s="215"/>
      <c r="R126" s="215"/>
      <c r="S126" s="216"/>
      <c r="U126" s="219" t="s">
        <v>9691</v>
      </c>
      <c r="V126" s="220"/>
      <c r="W126" s="220"/>
      <c r="AD126" s="218"/>
    </row>
    <row r="127" spans="2:30" ht="192" x14ac:dyDescent="0.3">
      <c r="B127" s="205"/>
      <c r="C127" s="206" t="s">
        <v>2851</v>
      </c>
      <c r="D127" s="209" t="s">
        <v>1673</v>
      </c>
      <c r="E127" s="423" t="s">
        <v>8387</v>
      </c>
      <c r="F127" s="333" t="s">
        <v>9720</v>
      </c>
      <c r="G127" s="442" t="s">
        <v>4</v>
      </c>
      <c r="H127" s="218">
        <v>1</v>
      </c>
      <c r="I127" s="426">
        <v>104141.14</v>
      </c>
      <c r="J127" s="426"/>
      <c r="K127" s="427">
        <f>+H127*I127</f>
        <v>104141.14</v>
      </c>
      <c r="L127" s="428"/>
      <c r="M127" s="435"/>
      <c r="N127" s="213"/>
      <c r="O127" s="212"/>
      <c r="P127" s="214">
        <f t="shared" ref="P127" si="109">SUM(Q127:S127)</f>
        <v>0</v>
      </c>
      <c r="Q127" s="215">
        <f t="shared" ref="Q127" si="110">IF(M127&gt;0,1,0)</f>
        <v>0</v>
      </c>
      <c r="R127" s="215">
        <f t="shared" ref="R127" si="111">IF(N127&gt;0,1,0)</f>
        <v>0</v>
      </c>
      <c r="S127" s="216">
        <f t="shared" ref="S127" si="112">IF(O127&gt;0,1,0)</f>
        <v>0</v>
      </c>
      <c r="U127" s="208" t="e">
        <f>CONCATENATE(F127,$U$126,#REF!,#REF!,#REF!,#REF!,#REF!,#REF!,#REF!,#REF!,#REF!,#REF!,#REF!,#REF!,#REF!,#REF!,#REF!)</f>
        <v>#REF!</v>
      </c>
      <c r="V127" s="220"/>
      <c r="W127" s="220"/>
      <c r="AD127" s="218">
        <v>10731.590480000001</v>
      </c>
    </row>
    <row r="128" spans="2:30" x14ac:dyDescent="0.3">
      <c r="B128" s="205"/>
      <c r="C128" s="206"/>
      <c r="D128" s="209"/>
      <c r="E128" s="423"/>
      <c r="F128" s="333"/>
      <c r="G128" s="442"/>
      <c r="H128" s="218"/>
      <c r="I128" s="426"/>
      <c r="J128" s="426"/>
      <c r="K128" s="427"/>
      <c r="L128" s="428"/>
      <c r="M128" s="435"/>
      <c r="N128" s="213"/>
      <c r="O128" s="212"/>
      <c r="P128" s="214"/>
      <c r="Q128" s="215"/>
      <c r="R128" s="215"/>
      <c r="S128" s="216"/>
      <c r="U128" s="219" t="s">
        <v>9691</v>
      </c>
      <c r="V128" s="220"/>
      <c r="W128" s="220"/>
      <c r="AD128" s="218"/>
    </row>
    <row r="129" spans="2:30" ht="230.4" x14ac:dyDescent="0.3">
      <c r="B129" s="205"/>
      <c r="C129" s="206" t="s">
        <v>2852</v>
      </c>
      <c r="D129" s="209" t="s">
        <v>1673</v>
      </c>
      <c r="E129" s="423" t="s">
        <v>8387</v>
      </c>
      <c r="F129" s="333" t="s">
        <v>9705</v>
      </c>
      <c r="G129" s="442" t="s">
        <v>4</v>
      </c>
      <c r="H129" s="218">
        <v>1</v>
      </c>
      <c r="I129" s="426">
        <v>16607.14</v>
      </c>
      <c r="J129" s="426"/>
      <c r="K129" s="427">
        <f>+H129*I129</f>
        <v>16607.14</v>
      </c>
      <c r="L129" s="428"/>
      <c r="M129" s="435"/>
      <c r="N129" s="213"/>
      <c r="O129" s="212"/>
      <c r="P129" s="214">
        <f t="shared" si="105"/>
        <v>0</v>
      </c>
      <c r="Q129" s="215">
        <f t="shared" si="106"/>
        <v>0</v>
      </c>
      <c r="R129" s="215">
        <f t="shared" si="107"/>
        <v>0</v>
      </c>
      <c r="S129" s="216">
        <f t="shared" si="108"/>
        <v>0</v>
      </c>
      <c r="U129" s="208" t="e">
        <f>CONCATENATE(F129,$U$128,#REF!,#REF!,#REF!,#REF!,#REF!,#REF!,#REF!,#REF!,#REF!,#REF!,#REF!,#REF!,#REF!,#REF!,#REF!,#REF!,#REF!)</f>
        <v>#REF!</v>
      </c>
      <c r="V129" s="220"/>
      <c r="W129" s="220"/>
      <c r="AD129" s="218">
        <v>6391.3244000000004</v>
      </c>
    </row>
    <row r="130" spans="2:30" x14ac:dyDescent="0.3">
      <c r="B130" s="205"/>
      <c r="C130" s="206"/>
      <c r="D130" s="209"/>
      <c r="E130" s="423"/>
      <c r="F130" s="333"/>
      <c r="G130" s="442"/>
      <c r="H130" s="218"/>
      <c r="I130" s="426"/>
      <c r="J130" s="426"/>
      <c r="K130" s="427"/>
      <c r="L130" s="428"/>
      <c r="M130" s="435"/>
      <c r="N130" s="213"/>
      <c r="O130" s="212"/>
      <c r="P130" s="214"/>
      <c r="Q130" s="215"/>
      <c r="R130" s="215"/>
      <c r="S130" s="216"/>
      <c r="U130" s="219" t="s">
        <v>9691</v>
      </c>
      <c r="V130" s="220"/>
      <c r="W130" s="220"/>
      <c r="AD130" s="218"/>
    </row>
    <row r="131" spans="2:30" ht="115.2" x14ac:dyDescent="0.3">
      <c r="B131" s="205"/>
      <c r="C131" s="206" t="s">
        <v>2853</v>
      </c>
      <c r="D131" s="209" t="s">
        <v>1673</v>
      </c>
      <c r="E131" s="423" t="s">
        <v>8387</v>
      </c>
      <c r="F131" s="333" t="s">
        <v>9706</v>
      </c>
      <c r="G131" s="442" t="s">
        <v>4</v>
      </c>
      <c r="H131" s="218">
        <v>1</v>
      </c>
      <c r="I131" s="426">
        <v>7247.34</v>
      </c>
      <c r="J131" s="426"/>
      <c r="K131" s="427">
        <f>+H131*I131</f>
        <v>7247.34</v>
      </c>
      <c r="L131" s="428"/>
      <c r="M131" s="435"/>
      <c r="N131" s="213"/>
      <c r="O131" s="212"/>
      <c r="P131" s="214">
        <f t="shared" ref="P131" si="113">SUM(Q131:S131)</f>
        <v>0</v>
      </c>
      <c r="Q131" s="215">
        <f t="shared" ref="Q131" si="114">IF(M131&gt;0,1,0)</f>
        <v>0</v>
      </c>
      <c r="R131" s="215">
        <f t="shared" ref="R131" si="115">IF(N131&gt;0,1,0)</f>
        <v>0</v>
      </c>
      <c r="S131" s="216">
        <f t="shared" ref="S131" si="116">IF(O131&gt;0,1,0)</f>
        <v>0</v>
      </c>
      <c r="U131" s="208" t="e">
        <f>CONCATENATE(F131,$U$130,#REF!,#REF!,#REF!,#REF!,#REF!,#REF!,#REF!)</f>
        <v>#REF!</v>
      </c>
      <c r="V131" s="220"/>
      <c r="W131" s="220"/>
      <c r="AD131" s="218">
        <v>6391.3244000000004</v>
      </c>
    </row>
    <row r="132" spans="2:30" x14ac:dyDescent="0.3">
      <c r="B132" s="205"/>
      <c r="C132" s="206"/>
      <c r="D132" s="206"/>
      <c r="E132" s="423"/>
      <c r="F132" s="333"/>
      <c r="G132" s="209"/>
      <c r="H132" s="218"/>
      <c r="I132" s="218"/>
      <c r="J132" s="218"/>
      <c r="K132" s="211">
        <f>+H132*I132</f>
        <v>0</v>
      </c>
      <c r="L132" s="208"/>
      <c r="M132" s="433"/>
      <c r="N132" s="213"/>
      <c r="O132" s="212"/>
      <c r="P132" s="214">
        <f t="shared" si="105"/>
        <v>0</v>
      </c>
      <c r="Q132" s="215">
        <f t="shared" si="106"/>
        <v>0</v>
      </c>
      <c r="R132" s="215">
        <f t="shared" si="107"/>
        <v>0</v>
      </c>
      <c r="S132" s="216">
        <f t="shared" si="108"/>
        <v>0</v>
      </c>
      <c r="U132" s="219"/>
      <c r="V132" s="220"/>
      <c r="W132" s="220"/>
      <c r="AD132" s="218"/>
    </row>
    <row r="133" spans="2:30" ht="57.6" x14ac:dyDescent="0.3">
      <c r="B133" s="205"/>
      <c r="C133" s="206" t="s">
        <v>2865</v>
      </c>
      <c r="D133" s="209" t="s">
        <v>1662</v>
      </c>
      <c r="E133" s="423" t="s">
        <v>2104</v>
      </c>
      <c r="F133" s="360" t="s">
        <v>8476</v>
      </c>
      <c r="G133" s="209" t="s">
        <v>766</v>
      </c>
      <c r="H133" s="218">
        <v>15.82</v>
      </c>
      <c r="I133" s="218">
        <v>1203.76</v>
      </c>
      <c r="J133" s="426">
        <v>350</v>
      </c>
      <c r="K133" s="426">
        <f>+(I133+J133)*H133</f>
        <v>24580.483199999999</v>
      </c>
      <c r="L133" s="215"/>
      <c r="M133" s="433"/>
      <c r="N133" s="213"/>
      <c r="O133" s="212"/>
      <c r="P133" s="214">
        <f t="shared" si="105"/>
        <v>0</v>
      </c>
      <c r="Q133" s="215">
        <f t="shared" si="106"/>
        <v>0</v>
      </c>
      <c r="R133" s="215">
        <f t="shared" si="107"/>
        <v>0</v>
      </c>
      <c r="S133" s="216">
        <f t="shared" si="108"/>
        <v>0</v>
      </c>
      <c r="U133" s="219"/>
      <c r="V133" s="220"/>
      <c r="W133" s="220"/>
      <c r="AD133" s="210">
        <v>1523.77</v>
      </c>
    </row>
    <row r="134" spans="2:30" x14ac:dyDescent="0.3">
      <c r="B134" s="205"/>
      <c r="C134" s="206"/>
      <c r="D134" s="206"/>
      <c r="E134" s="423"/>
      <c r="F134" s="333"/>
      <c r="G134" s="209"/>
      <c r="H134" s="218"/>
      <c r="I134" s="218"/>
      <c r="J134" s="218"/>
      <c r="K134" s="211">
        <f t="shared" ref="K134:K153" si="117">+H134*I134</f>
        <v>0</v>
      </c>
      <c r="L134" s="208"/>
      <c r="M134" s="433"/>
      <c r="N134" s="213"/>
      <c r="O134" s="212"/>
      <c r="P134" s="214">
        <f t="shared" si="105"/>
        <v>0</v>
      </c>
      <c r="Q134" s="215">
        <f t="shared" si="106"/>
        <v>0</v>
      </c>
      <c r="R134" s="215">
        <f t="shared" si="107"/>
        <v>0</v>
      </c>
      <c r="S134" s="216">
        <f t="shared" si="108"/>
        <v>0</v>
      </c>
      <c r="U134" s="219"/>
      <c r="V134" s="220"/>
      <c r="W134" s="220"/>
    </row>
    <row r="135" spans="2:30" x14ac:dyDescent="0.3">
      <c r="B135" s="205"/>
      <c r="C135" s="206"/>
      <c r="D135" s="206"/>
      <c r="E135" s="423"/>
      <c r="F135" s="333"/>
      <c r="G135" s="209"/>
      <c r="H135" s="218"/>
      <c r="I135" s="218"/>
      <c r="J135" s="218"/>
      <c r="K135" s="211">
        <f t="shared" si="117"/>
        <v>0</v>
      </c>
      <c r="L135" s="208"/>
      <c r="M135" s="433"/>
      <c r="N135" s="213"/>
      <c r="O135" s="212"/>
      <c r="P135" s="214">
        <f t="shared" ref="P135:P148" si="118">SUM(Q135:S135)</f>
        <v>0</v>
      </c>
      <c r="Q135" s="215">
        <f t="shared" ref="Q135:Q148" si="119">IF(M135&gt;0,1,0)</f>
        <v>0</v>
      </c>
      <c r="R135" s="215">
        <f t="shared" ref="R135:R148" si="120">IF(N135&gt;0,1,0)</f>
        <v>0</v>
      </c>
      <c r="S135" s="216">
        <f t="shared" ref="S135:S148" si="121">IF(O135&gt;0,1,0)</f>
        <v>0</v>
      </c>
      <c r="U135" s="219"/>
      <c r="V135" s="220"/>
      <c r="W135" s="220"/>
    </row>
    <row r="136" spans="2:30" x14ac:dyDescent="0.3">
      <c r="B136" s="205"/>
      <c r="C136" s="221"/>
      <c r="D136" s="228"/>
      <c r="E136" s="423"/>
      <c r="F136" s="359" t="s">
        <v>2018</v>
      </c>
      <c r="G136" s="222"/>
      <c r="H136" s="223"/>
      <c r="I136" s="223"/>
      <c r="J136" s="223"/>
      <c r="K136" s="224">
        <f t="shared" si="117"/>
        <v>0</v>
      </c>
      <c r="L136" s="208"/>
      <c r="M136" s="433"/>
      <c r="N136" s="213"/>
      <c r="O136" s="212"/>
      <c r="P136" s="214">
        <f t="shared" si="118"/>
        <v>0</v>
      </c>
      <c r="Q136" s="215">
        <f t="shared" si="119"/>
        <v>0</v>
      </c>
      <c r="R136" s="215">
        <f t="shared" si="120"/>
        <v>0</v>
      </c>
      <c r="S136" s="216">
        <f t="shared" si="121"/>
        <v>0</v>
      </c>
      <c r="U136" s="219"/>
      <c r="V136" s="220"/>
      <c r="W136" s="220"/>
    </row>
    <row r="137" spans="2:30" x14ac:dyDescent="0.3">
      <c r="B137" s="205"/>
      <c r="C137" s="206"/>
      <c r="D137" s="206"/>
      <c r="E137" s="423"/>
      <c r="F137" s="361"/>
      <c r="G137" s="209"/>
      <c r="H137" s="218"/>
      <c r="I137" s="218">
        <f t="shared" ref="I137:I147" si="122">+M137</f>
        <v>0</v>
      </c>
      <c r="J137" s="218"/>
      <c r="K137" s="211">
        <f t="shared" si="117"/>
        <v>0</v>
      </c>
      <c r="L137" s="208"/>
      <c r="M137" s="433"/>
      <c r="N137" s="213"/>
      <c r="O137" s="212"/>
      <c r="P137" s="214">
        <f t="shared" si="118"/>
        <v>0</v>
      </c>
      <c r="Q137" s="215">
        <f t="shared" si="119"/>
        <v>0</v>
      </c>
      <c r="R137" s="215">
        <f t="shared" si="120"/>
        <v>0</v>
      </c>
      <c r="S137" s="216">
        <f t="shared" si="121"/>
        <v>0</v>
      </c>
      <c r="U137" s="219"/>
      <c r="V137" s="220"/>
      <c r="W137" s="220"/>
    </row>
    <row r="138" spans="2:30" x14ac:dyDescent="0.3">
      <c r="B138" s="205"/>
      <c r="C138" s="233" t="s">
        <v>2859</v>
      </c>
      <c r="D138" s="206" t="s">
        <v>1673</v>
      </c>
      <c r="E138" s="425" t="s">
        <v>8367</v>
      </c>
      <c r="F138" s="362" t="s">
        <v>2775</v>
      </c>
      <c r="G138" s="209" t="s">
        <v>4</v>
      </c>
      <c r="H138" s="234">
        <v>70</v>
      </c>
      <c r="I138" s="234">
        <v>380.29471428571429</v>
      </c>
      <c r="J138" s="234"/>
      <c r="K138" s="211">
        <f t="shared" si="117"/>
        <v>26620.63</v>
      </c>
      <c r="L138" s="208"/>
      <c r="M138" s="433"/>
      <c r="N138" s="213"/>
      <c r="O138" s="212"/>
      <c r="P138" s="214">
        <f t="shared" ref="P138:P144" si="123">SUM(Q138:S138)</f>
        <v>0</v>
      </c>
      <c r="Q138" s="215">
        <f t="shared" ref="Q138:Q144" si="124">IF(M138&gt;0,1,0)</f>
        <v>0</v>
      </c>
      <c r="R138" s="215">
        <f t="shared" ref="R138:R144" si="125">IF(N138&gt;0,1,0)</f>
        <v>0</v>
      </c>
      <c r="S138" s="216">
        <f t="shared" ref="S138:S144" si="126">IF(O138&gt;0,1,0)</f>
        <v>0</v>
      </c>
      <c r="U138" s="219"/>
      <c r="V138" s="220"/>
      <c r="W138" s="220"/>
    </row>
    <row r="139" spans="2:30" x14ac:dyDescent="0.3">
      <c r="B139" s="205"/>
      <c r="C139" s="233" t="s">
        <v>2860</v>
      </c>
      <c r="D139" s="206" t="s">
        <v>1673</v>
      </c>
      <c r="E139" s="425" t="s">
        <v>8367</v>
      </c>
      <c r="F139" s="362" t="s">
        <v>2019</v>
      </c>
      <c r="G139" s="209" t="s">
        <v>4</v>
      </c>
      <c r="H139" s="234">
        <v>4</v>
      </c>
      <c r="I139" s="234">
        <v>161.16749999999999</v>
      </c>
      <c r="J139" s="234"/>
      <c r="K139" s="211">
        <f t="shared" si="117"/>
        <v>644.66999999999996</v>
      </c>
      <c r="L139" s="208"/>
      <c r="M139" s="433"/>
      <c r="N139" s="213"/>
      <c r="O139" s="212"/>
      <c r="P139" s="214">
        <f t="shared" si="123"/>
        <v>0</v>
      </c>
      <c r="Q139" s="215">
        <f t="shared" si="124"/>
        <v>0</v>
      </c>
      <c r="R139" s="215">
        <f t="shared" si="125"/>
        <v>0</v>
      </c>
      <c r="S139" s="216">
        <f t="shared" si="126"/>
        <v>0</v>
      </c>
      <c r="U139" s="219"/>
      <c r="V139" s="220"/>
      <c r="W139" s="220"/>
    </row>
    <row r="140" spans="2:30" x14ac:dyDescent="0.3">
      <c r="B140" s="205"/>
      <c r="C140" s="233" t="s">
        <v>2861</v>
      </c>
      <c r="D140" s="206" t="s">
        <v>1673</v>
      </c>
      <c r="E140" s="425" t="s">
        <v>8367</v>
      </c>
      <c r="F140" s="362" t="s">
        <v>2022</v>
      </c>
      <c r="G140" s="209" t="s">
        <v>4</v>
      </c>
      <c r="H140" s="234">
        <v>50</v>
      </c>
      <c r="I140" s="234">
        <v>230.60679999999999</v>
      </c>
      <c r="J140" s="234"/>
      <c r="K140" s="211">
        <f t="shared" si="117"/>
        <v>11530.34</v>
      </c>
      <c r="L140" s="208"/>
      <c r="M140" s="433"/>
      <c r="N140" s="213"/>
      <c r="O140" s="212"/>
      <c r="P140" s="214">
        <f t="shared" si="123"/>
        <v>0</v>
      </c>
      <c r="Q140" s="215">
        <f t="shared" si="124"/>
        <v>0</v>
      </c>
      <c r="R140" s="215">
        <f t="shared" si="125"/>
        <v>0</v>
      </c>
      <c r="S140" s="216">
        <f t="shared" si="126"/>
        <v>0</v>
      </c>
      <c r="U140" s="219"/>
      <c r="V140" s="220"/>
      <c r="W140" s="220"/>
    </row>
    <row r="141" spans="2:30" x14ac:dyDescent="0.3">
      <c r="B141" s="205"/>
      <c r="C141" s="233" t="s">
        <v>2862</v>
      </c>
      <c r="D141" s="206" t="s">
        <v>1673</v>
      </c>
      <c r="E141" s="425" t="s">
        <v>8367</v>
      </c>
      <c r="F141" s="362" t="s">
        <v>2020</v>
      </c>
      <c r="G141" s="209" t="s">
        <v>4</v>
      </c>
      <c r="H141" s="234">
        <v>10</v>
      </c>
      <c r="I141" s="234">
        <v>92.069000000000003</v>
      </c>
      <c r="J141" s="234"/>
      <c r="K141" s="211">
        <f t="shared" si="117"/>
        <v>920.69</v>
      </c>
      <c r="L141" s="208"/>
      <c r="M141" s="433"/>
      <c r="N141" s="213"/>
      <c r="O141" s="212"/>
      <c r="P141" s="214">
        <f t="shared" si="123"/>
        <v>0</v>
      </c>
      <c r="Q141" s="215">
        <f t="shared" si="124"/>
        <v>0</v>
      </c>
      <c r="R141" s="215">
        <f t="shared" si="125"/>
        <v>0</v>
      </c>
      <c r="S141" s="216">
        <f t="shared" si="126"/>
        <v>0</v>
      </c>
      <c r="U141" s="219"/>
      <c r="V141" s="220"/>
      <c r="W141" s="220"/>
    </row>
    <row r="142" spans="2:30" x14ac:dyDescent="0.3">
      <c r="B142" s="205"/>
      <c r="C142" s="233" t="s">
        <v>2863</v>
      </c>
      <c r="D142" s="206" t="s">
        <v>1673</v>
      </c>
      <c r="E142" s="425" t="s">
        <v>8367</v>
      </c>
      <c r="F142" s="362" t="s">
        <v>2021</v>
      </c>
      <c r="G142" s="209" t="s">
        <v>4</v>
      </c>
      <c r="H142" s="234">
        <v>10</v>
      </c>
      <c r="I142" s="234">
        <v>167.215</v>
      </c>
      <c r="J142" s="234"/>
      <c r="K142" s="211">
        <f t="shared" si="117"/>
        <v>1672.15</v>
      </c>
      <c r="L142" s="208"/>
      <c r="M142" s="433"/>
      <c r="N142" s="213"/>
      <c r="O142" s="212"/>
      <c r="P142" s="214">
        <f t="shared" si="123"/>
        <v>0</v>
      </c>
      <c r="Q142" s="215">
        <f t="shared" si="124"/>
        <v>0</v>
      </c>
      <c r="R142" s="215">
        <f t="shared" si="125"/>
        <v>0</v>
      </c>
      <c r="S142" s="216">
        <f t="shared" si="126"/>
        <v>0</v>
      </c>
      <c r="U142" s="219"/>
      <c r="V142" s="220"/>
      <c r="W142" s="220"/>
    </row>
    <row r="143" spans="2:30" x14ac:dyDescent="0.3">
      <c r="B143" s="205"/>
      <c r="C143" s="233" t="s">
        <v>2864</v>
      </c>
      <c r="D143" s="206" t="s">
        <v>1673</v>
      </c>
      <c r="E143" s="425" t="s">
        <v>8367</v>
      </c>
      <c r="F143" s="362" t="s">
        <v>2021</v>
      </c>
      <c r="G143" s="209" t="s">
        <v>4</v>
      </c>
      <c r="H143" s="234">
        <v>2</v>
      </c>
      <c r="I143" s="234">
        <v>167.215</v>
      </c>
      <c r="J143" s="234"/>
      <c r="K143" s="211">
        <f t="shared" si="117"/>
        <v>334.43</v>
      </c>
      <c r="L143" s="208"/>
      <c r="M143" s="433"/>
      <c r="N143" s="213"/>
      <c r="O143" s="212"/>
      <c r="P143" s="214">
        <f t="shared" si="123"/>
        <v>0</v>
      </c>
      <c r="Q143" s="215">
        <f t="shared" si="124"/>
        <v>0</v>
      </c>
      <c r="R143" s="215">
        <f t="shared" si="125"/>
        <v>0</v>
      </c>
      <c r="S143" s="216">
        <f t="shared" si="126"/>
        <v>0</v>
      </c>
      <c r="U143" s="219"/>
      <c r="V143" s="220"/>
      <c r="W143" s="220"/>
    </row>
    <row r="144" spans="2:30" x14ac:dyDescent="0.3">
      <c r="B144" s="205"/>
      <c r="C144" s="206"/>
      <c r="D144" s="206"/>
      <c r="E144" s="423"/>
      <c r="F144" s="361"/>
      <c r="G144" s="209"/>
      <c r="H144" s="218"/>
      <c r="I144" s="218">
        <v>0</v>
      </c>
      <c r="J144" s="218"/>
      <c r="K144" s="211">
        <f t="shared" si="117"/>
        <v>0</v>
      </c>
      <c r="L144" s="208"/>
      <c r="M144" s="433"/>
      <c r="N144" s="213"/>
      <c r="O144" s="212"/>
      <c r="P144" s="214">
        <f t="shared" si="123"/>
        <v>0</v>
      </c>
      <c r="Q144" s="215">
        <f t="shared" si="124"/>
        <v>0</v>
      </c>
      <c r="R144" s="215">
        <f t="shared" si="125"/>
        <v>0</v>
      </c>
      <c r="S144" s="216">
        <f t="shared" si="126"/>
        <v>0</v>
      </c>
      <c r="U144" s="219"/>
      <c r="V144" s="220"/>
      <c r="W144" s="220"/>
    </row>
    <row r="145" spans="2:23" x14ac:dyDescent="0.3">
      <c r="B145" s="205"/>
      <c r="C145" s="206"/>
      <c r="D145" s="206"/>
      <c r="E145" s="423"/>
      <c r="F145" s="333"/>
      <c r="G145" s="209"/>
      <c r="H145" s="218"/>
      <c r="I145" s="218">
        <f t="shared" si="122"/>
        <v>0</v>
      </c>
      <c r="J145" s="218"/>
      <c r="K145" s="211">
        <f t="shared" si="117"/>
        <v>0</v>
      </c>
      <c r="L145" s="208"/>
      <c r="M145" s="432"/>
      <c r="N145" s="213"/>
      <c r="O145" s="212"/>
      <c r="P145" s="214">
        <f t="shared" si="118"/>
        <v>0</v>
      </c>
      <c r="Q145" s="215">
        <f t="shared" si="119"/>
        <v>0</v>
      </c>
      <c r="R145" s="215">
        <f t="shared" si="120"/>
        <v>0</v>
      </c>
      <c r="S145" s="216">
        <f t="shared" si="121"/>
        <v>0</v>
      </c>
      <c r="U145" s="219"/>
      <c r="V145" s="220"/>
      <c r="W145" s="220"/>
    </row>
    <row r="146" spans="2:23" x14ac:dyDescent="0.3">
      <c r="B146" s="205"/>
      <c r="C146" s="221"/>
      <c r="D146" s="228"/>
      <c r="E146" s="423"/>
      <c r="F146" s="359" t="s">
        <v>298</v>
      </c>
      <c r="G146" s="222"/>
      <c r="H146" s="223"/>
      <c r="I146" s="223">
        <f t="shared" ref="I146" si="127">+M146</f>
        <v>0</v>
      </c>
      <c r="J146" s="223"/>
      <c r="K146" s="224">
        <f t="shared" si="117"/>
        <v>0</v>
      </c>
      <c r="L146" s="208"/>
      <c r="M146" s="432"/>
      <c r="N146" s="213"/>
      <c r="O146" s="212"/>
      <c r="P146" s="214">
        <f t="shared" ref="P146" si="128">SUM(Q146:S146)</f>
        <v>0</v>
      </c>
      <c r="Q146" s="215">
        <f t="shared" ref="Q146" si="129">IF(M146&gt;0,1,0)</f>
        <v>0</v>
      </c>
      <c r="R146" s="215">
        <f t="shared" ref="R146" si="130">IF(N146&gt;0,1,0)</f>
        <v>0</v>
      </c>
      <c r="S146" s="216">
        <f t="shared" ref="S146" si="131">IF(O146&gt;0,1,0)</f>
        <v>0</v>
      </c>
      <c r="U146" s="219"/>
      <c r="V146" s="220"/>
      <c r="W146" s="220"/>
    </row>
    <row r="147" spans="2:23" x14ac:dyDescent="0.3">
      <c r="B147" s="205"/>
      <c r="C147" s="206"/>
      <c r="D147" s="206"/>
      <c r="E147" s="423"/>
      <c r="F147" s="333"/>
      <c r="G147" s="209"/>
      <c r="H147" s="218"/>
      <c r="I147" s="218">
        <f t="shared" si="122"/>
        <v>0</v>
      </c>
      <c r="J147" s="218"/>
      <c r="K147" s="211">
        <f t="shared" si="117"/>
        <v>0</v>
      </c>
      <c r="L147" s="208"/>
      <c r="M147" s="432"/>
      <c r="N147" s="213"/>
      <c r="O147" s="212"/>
      <c r="P147" s="214">
        <f t="shared" si="118"/>
        <v>0</v>
      </c>
      <c r="Q147" s="215">
        <f t="shared" si="119"/>
        <v>0</v>
      </c>
      <c r="R147" s="215">
        <f t="shared" si="120"/>
        <v>0</v>
      </c>
      <c r="S147" s="216">
        <f t="shared" si="121"/>
        <v>0</v>
      </c>
      <c r="U147" s="219"/>
      <c r="V147" s="220"/>
      <c r="W147" s="220"/>
    </row>
    <row r="148" spans="2:23" x14ac:dyDescent="0.3">
      <c r="B148" s="205"/>
      <c r="C148" s="206" t="s">
        <v>2854</v>
      </c>
      <c r="D148" s="206" t="s">
        <v>1673</v>
      </c>
      <c r="E148" s="424" t="s">
        <v>2781</v>
      </c>
      <c r="F148" s="333" t="s">
        <v>2778</v>
      </c>
      <c r="G148" s="209" t="s">
        <v>2779</v>
      </c>
      <c r="H148" s="218">
        <v>1</v>
      </c>
      <c r="I148" s="218">
        <v>125720</v>
      </c>
      <c r="J148" s="218"/>
      <c r="K148" s="211">
        <f t="shared" si="117"/>
        <v>125720</v>
      </c>
      <c r="L148" s="208"/>
      <c r="M148" s="432"/>
      <c r="N148" s="213"/>
      <c r="O148" s="212"/>
      <c r="P148" s="214">
        <f t="shared" si="118"/>
        <v>0</v>
      </c>
      <c r="Q148" s="215">
        <f t="shared" si="119"/>
        <v>0</v>
      </c>
      <c r="R148" s="215">
        <f t="shared" si="120"/>
        <v>0</v>
      </c>
      <c r="S148" s="216">
        <f t="shared" si="121"/>
        <v>0</v>
      </c>
      <c r="U148" s="219"/>
      <c r="V148" s="220"/>
      <c r="W148" s="220"/>
    </row>
    <row r="149" spans="2:23" x14ac:dyDescent="0.3">
      <c r="B149" s="205"/>
      <c r="C149" s="206" t="s">
        <v>2855</v>
      </c>
      <c r="D149" s="206" t="s">
        <v>1673</v>
      </c>
      <c r="E149" s="424" t="s">
        <v>2781</v>
      </c>
      <c r="F149" s="333" t="s">
        <v>2780</v>
      </c>
      <c r="G149" s="209" t="s">
        <v>2779</v>
      </c>
      <c r="H149" s="218">
        <v>1</v>
      </c>
      <c r="I149" s="218">
        <v>3790</v>
      </c>
      <c r="J149" s="218"/>
      <c r="K149" s="211">
        <f t="shared" si="117"/>
        <v>3790</v>
      </c>
      <c r="L149" s="208"/>
      <c r="M149" s="432"/>
      <c r="N149" s="213"/>
      <c r="O149" s="212"/>
      <c r="P149" s="214">
        <f t="shared" ref="P149:P153" si="132">SUM(Q149:S149)</f>
        <v>0</v>
      </c>
      <c r="Q149" s="215">
        <f t="shared" ref="Q149:Q153" si="133">IF(M149&gt;0,1,0)</f>
        <v>0</v>
      </c>
      <c r="R149" s="215">
        <f t="shared" ref="R149:R153" si="134">IF(N149&gt;0,1,0)</f>
        <v>0</v>
      </c>
      <c r="S149" s="216">
        <f t="shared" ref="S149:S153" si="135">IF(O149&gt;0,1,0)</f>
        <v>0</v>
      </c>
      <c r="U149" s="219"/>
      <c r="V149" s="220"/>
      <c r="W149" s="220"/>
    </row>
    <row r="150" spans="2:23" x14ac:dyDescent="0.3">
      <c r="B150" s="205"/>
      <c r="C150" s="206" t="s">
        <v>2856</v>
      </c>
      <c r="D150" s="206" t="s">
        <v>1673</v>
      </c>
      <c r="E150" s="424" t="s">
        <v>2781</v>
      </c>
      <c r="F150" s="333" t="s">
        <v>8368</v>
      </c>
      <c r="G150" s="209" t="s">
        <v>2779</v>
      </c>
      <c r="H150" s="218">
        <v>1</v>
      </c>
      <c r="I150" s="218">
        <v>59800</v>
      </c>
      <c r="J150" s="218"/>
      <c r="K150" s="211">
        <f t="shared" si="117"/>
        <v>59800</v>
      </c>
      <c r="L150" s="208"/>
      <c r="M150" s="432"/>
      <c r="N150" s="213"/>
      <c r="O150" s="212"/>
      <c r="P150" s="214">
        <f t="shared" si="132"/>
        <v>0</v>
      </c>
      <c r="Q150" s="215">
        <f t="shared" si="133"/>
        <v>0</v>
      </c>
      <c r="R150" s="215">
        <f t="shared" si="134"/>
        <v>0</v>
      </c>
      <c r="S150" s="216">
        <f t="shared" si="135"/>
        <v>0</v>
      </c>
      <c r="U150" s="219"/>
      <c r="V150" s="220"/>
      <c r="W150" s="220"/>
    </row>
    <row r="151" spans="2:23" x14ac:dyDescent="0.3">
      <c r="B151" s="205"/>
      <c r="C151" s="206" t="s">
        <v>2857</v>
      </c>
      <c r="D151" s="206" t="s">
        <v>1673</v>
      </c>
      <c r="E151" s="424" t="s">
        <v>2781</v>
      </c>
      <c r="F151" s="333" t="s">
        <v>8370</v>
      </c>
      <c r="G151" s="209" t="s">
        <v>2779</v>
      </c>
      <c r="H151" s="218">
        <v>1</v>
      </c>
      <c r="I151" s="218">
        <v>72000</v>
      </c>
      <c r="J151" s="218"/>
      <c r="K151" s="211">
        <f t="shared" si="117"/>
        <v>72000</v>
      </c>
      <c r="L151" s="208"/>
      <c r="M151" s="432"/>
      <c r="N151" s="213"/>
      <c r="O151" s="212"/>
      <c r="P151" s="214">
        <f t="shared" si="132"/>
        <v>0</v>
      </c>
      <c r="Q151" s="215">
        <f t="shared" si="133"/>
        <v>0</v>
      </c>
      <c r="R151" s="215">
        <f t="shared" si="134"/>
        <v>0</v>
      </c>
      <c r="S151" s="216">
        <f t="shared" si="135"/>
        <v>0</v>
      </c>
      <c r="U151" s="219"/>
      <c r="V151" s="220"/>
      <c r="W151" s="220"/>
    </row>
    <row r="152" spans="2:23" x14ac:dyDescent="0.3">
      <c r="B152" s="205"/>
      <c r="C152" s="206" t="s">
        <v>2858</v>
      </c>
      <c r="D152" s="206" t="s">
        <v>1673</v>
      </c>
      <c r="E152" s="424" t="s">
        <v>2781</v>
      </c>
      <c r="F152" s="333" t="s">
        <v>8369</v>
      </c>
      <c r="G152" s="209" t="s">
        <v>2779</v>
      </c>
      <c r="H152" s="218">
        <v>1</v>
      </c>
      <c r="I152" s="218">
        <v>116500</v>
      </c>
      <c r="J152" s="218"/>
      <c r="K152" s="211">
        <f t="shared" si="117"/>
        <v>116500</v>
      </c>
      <c r="L152" s="208"/>
      <c r="M152" s="432"/>
      <c r="N152" s="213"/>
      <c r="O152" s="212"/>
      <c r="P152" s="214">
        <f t="shared" si="132"/>
        <v>0</v>
      </c>
      <c r="Q152" s="215">
        <f t="shared" si="133"/>
        <v>0</v>
      </c>
      <c r="R152" s="215">
        <f t="shared" si="134"/>
        <v>0</v>
      </c>
      <c r="S152" s="216">
        <f t="shared" si="135"/>
        <v>0</v>
      </c>
      <c r="U152" s="219"/>
      <c r="V152" s="220"/>
      <c r="W152" s="220"/>
    </row>
    <row r="153" spans="2:23" x14ac:dyDescent="0.3">
      <c r="B153" s="205"/>
      <c r="C153" s="206"/>
      <c r="D153" s="206"/>
      <c r="E153" s="423"/>
      <c r="F153" s="333"/>
      <c r="G153" s="209"/>
      <c r="H153" s="218"/>
      <c r="I153" s="218">
        <f t="shared" ref="I153" si="136">+M153</f>
        <v>0</v>
      </c>
      <c r="J153" s="218"/>
      <c r="K153" s="211">
        <f t="shared" si="117"/>
        <v>0</v>
      </c>
      <c r="L153" s="208"/>
      <c r="M153" s="432"/>
      <c r="N153" s="213"/>
      <c r="O153" s="212"/>
      <c r="P153" s="214">
        <f t="shared" si="132"/>
        <v>0</v>
      </c>
      <c r="Q153" s="215">
        <f t="shared" si="133"/>
        <v>0</v>
      </c>
      <c r="R153" s="215">
        <f t="shared" si="134"/>
        <v>0</v>
      </c>
      <c r="S153" s="216">
        <f t="shared" si="135"/>
        <v>0</v>
      </c>
      <c r="U153" s="219"/>
      <c r="V153" s="220"/>
      <c r="W153" s="220"/>
    </row>
    <row r="154" spans="2:23" x14ac:dyDescent="0.3">
      <c r="B154" s="205"/>
      <c r="C154" s="206"/>
      <c r="D154" s="206"/>
      <c r="E154" s="423"/>
      <c r="F154" s="363"/>
      <c r="G154" s="235"/>
      <c r="H154" s="218"/>
      <c r="I154" s="218"/>
      <c r="J154" s="218"/>
      <c r="K154" s="211"/>
      <c r="L154" s="208"/>
      <c r="M154" s="432"/>
      <c r="N154" s="213"/>
      <c r="O154" s="212"/>
      <c r="P154" s="214">
        <f t="shared" ref="P154:P194" si="137">SUM(Q154:S154)</f>
        <v>0</v>
      </c>
      <c r="Q154" s="215">
        <f t="shared" ref="Q154:Q194" si="138">IF(M154&gt;0,1,0)</f>
        <v>0</v>
      </c>
      <c r="R154" s="215">
        <f t="shared" ref="R154:R194" si="139">IF(N154&gt;0,1,0)</f>
        <v>0</v>
      </c>
      <c r="S154" s="216">
        <f t="shared" ref="S154:S194" si="140">IF(O154&gt;0,1,0)</f>
        <v>0</v>
      </c>
      <c r="U154" s="219"/>
      <c r="V154" s="220"/>
      <c r="W154" s="220"/>
    </row>
    <row r="155" spans="2:23" x14ac:dyDescent="0.3">
      <c r="B155" s="205"/>
      <c r="C155" s="221"/>
      <c r="D155" s="236"/>
      <c r="E155" s="423"/>
      <c r="F155" s="359" t="s">
        <v>2894</v>
      </c>
      <c r="G155" s="222"/>
      <c r="H155" s="223"/>
      <c r="I155" s="223">
        <f>+M155</f>
        <v>0</v>
      </c>
      <c r="J155" s="223"/>
      <c r="K155" s="224">
        <f t="shared" ref="K155:K186" si="141">+H155*I155</f>
        <v>0</v>
      </c>
      <c r="L155" s="208"/>
      <c r="M155" s="432"/>
      <c r="N155" s="213"/>
      <c r="O155" s="212"/>
      <c r="P155" s="214">
        <f>SUM(Q155:S155)</f>
        <v>0</v>
      </c>
      <c r="Q155" s="215">
        <f>IF(M155&gt;0,1,0)</f>
        <v>0</v>
      </c>
      <c r="R155" s="215">
        <f>IF(N155&gt;0,1,0)</f>
        <v>0</v>
      </c>
      <c r="S155" s="216">
        <f>IF(O155&gt;0,1,0)</f>
        <v>0</v>
      </c>
      <c r="U155" s="219"/>
      <c r="V155" s="220"/>
      <c r="W155" s="220"/>
    </row>
    <row r="156" spans="2:23" x14ac:dyDescent="0.3">
      <c r="B156" s="205"/>
      <c r="C156" s="206"/>
      <c r="D156" s="206"/>
      <c r="E156" s="423"/>
      <c r="F156" s="333"/>
      <c r="G156" s="209"/>
      <c r="H156" s="218"/>
      <c r="I156" s="218">
        <f t="shared" ref="I156:I194" si="142">+M156</f>
        <v>0</v>
      </c>
      <c r="J156" s="218"/>
      <c r="K156" s="211">
        <f t="shared" si="141"/>
        <v>0</v>
      </c>
      <c r="L156" s="208"/>
      <c r="M156" s="432"/>
      <c r="N156" s="213"/>
      <c r="O156" s="212"/>
      <c r="P156" s="214">
        <f t="shared" si="137"/>
        <v>0</v>
      </c>
      <c r="Q156" s="215">
        <f t="shared" si="138"/>
        <v>0</v>
      </c>
      <c r="R156" s="215">
        <f t="shared" si="139"/>
        <v>0</v>
      </c>
      <c r="S156" s="216">
        <f t="shared" si="140"/>
        <v>0</v>
      </c>
      <c r="U156" s="219"/>
      <c r="V156" s="220"/>
      <c r="W156" s="220"/>
    </row>
    <row r="157" spans="2:23" x14ac:dyDescent="0.3">
      <c r="B157" s="205"/>
      <c r="C157" s="206" t="s">
        <v>3714</v>
      </c>
      <c r="D157" s="206" t="s">
        <v>1662</v>
      </c>
      <c r="E157" s="425" t="s">
        <v>1662</v>
      </c>
      <c r="F157" s="364" t="s">
        <v>2660</v>
      </c>
      <c r="G157" s="209" t="s">
        <v>1799</v>
      </c>
      <c r="H157" s="218">
        <v>1</v>
      </c>
      <c r="I157" s="218">
        <v>2500</v>
      </c>
      <c r="J157" s="218"/>
      <c r="K157" s="211">
        <f t="shared" si="141"/>
        <v>2500</v>
      </c>
      <c r="L157" s="208"/>
      <c r="M157" s="432"/>
      <c r="N157" s="213"/>
      <c r="O157" s="212"/>
      <c r="P157" s="214">
        <f t="shared" si="137"/>
        <v>0</v>
      </c>
      <c r="Q157" s="215">
        <f t="shared" si="138"/>
        <v>0</v>
      </c>
      <c r="R157" s="215">
        <f t="shared" si="139"/>
        <v>0</v>
      </c>
      <c r="S157" s="216">
        <f t="shared" si="140"/>
        <v>0</v>
      </c>
      <c r="U157" s="219"/>
      <c r="V157" s="220"/>
      <c r="W157" s="220"/>
    </row>
    <row r="158" spans="2:23" x14ac:dyDescent="0.3">
      <c r="B158" s="205"/>
      <c r="C158" s="206"/>
      <c r="D158" s="206"/>
      <c r="E158" s="423"/>
      <c r="F158" s="333"/>
      <c r="G158" s="209"/>
      <c r="H158" s="218"/>
      <c r="I158" s="218">
        <f t="shared" si="142"/>
        <v>0</v>
      </c>
      <c r="J158" s="218"/>
      <c r="K158" s="211">
        <f t="shared" si="141"/>
        <v>0</v>
      </c>
      <c r="L158" s="208"/>
      <c r="M158" s="432"/>
      <c r="N158" s="213"/>
      <c r="O158" s="212"/>
      <c r="P158" s="214">
        <f t="shared" si="137"/>
        <v>0</v>
      </c>
      <c r="Q158" s="215">
        <f t="shared" si="138"/>
        <v>0</v>
      </c>
      <c r="R158" s="215">
        <f t="shared" si="139"/>
        <v>0</v>
      </c>
      <c r="S158" s="216">
        <f t="shared" si="140"/>
        <v>0</v>
      </c>
      <c r="U158" s="219"/>
      <c r="V158" s="220"/>
      <c r="W158" s="220"/>
    </row>
    <row r="159" spans="2:23" x14ac:dyDescent="0.3">
      <c r="B159" s="205"/>
      <c r="C159" s="206"/>
      <c r="D159" s="206"/>
      <c r="E159" s="423"/>
      <c r="F159" s="333"/>
      <c r="G159" s="209"/>
      <c r="H159" s="218"/>
      <c r="I159" s="218">
        <f t="shared" si="142"/>
        <v>0</v>
      </c>
      <c r="J159" s="218"/>
      <c r="K159" s="211">
        <f t="shared" si="141"/>
        <v>0</v>
      </c>
      <c r="L159" s="208"/>
      <c r="M159" s="432"/>
      <c r="N159" s="213"/>
      <c r="O159" s="212"/>
      <c r="P159" s="214">
        <f t="shared" si="137"/>
        <v>0</v>
      </c>
      <c r="Q159" s="215">
        <f t="shared" si="138"/>
        <v>0</v>
      </c>
      <c r="R159" s="215">
        <f t="shared" si="139"/>
        <v>0</v>
      </c>
      <c r="S159" s="216">
        <f t="shared" si="140"/>
        <v>0</v>
      </c>
      <c r="U159" s="219"/>
      <c r="V159" s="220"/>
      <c r="W159" s="220"/>
    </row>
    <row r="160" spans="2:23" x14ac:dyDescent="0.3">
      <c r="B160" s="205"/>
      <c r="C160" s="206"/>
      <c r="D160" s="206"/>
      <c r="E160" s="423"/>
      <c r="F160" s="333"/>
      <c r="G160" s="209"/>
      <c r="H160" s="218"/>
      <c r="I160" s="218">
        <f t="shared" si="142"/>
        <v>0</v>
      </c>
      <c r="J160" s="218"/>
      <c r="K160" s="211">
        <f t="shared" si="141"/>
        <v>0</v>
      </c>
      <c r="L160" s="208"/>
      <c r="M160" s="432"/>
      <c r="N160" s="213"/>
      <c r="O160" s="212"/>
      <c r="P160" s="214">
        <f t="shared" si="137"/>
        <v>0</v>
      </c>
      <c r="Q160" s="215">
        <f t="shared" si="138"/>
        <v>0</v>
      </c>
      <c r="R160" s="215">
        <f t="shared" si="139"/>
        <v>0</v>
      </c>
      <c r="S160" s="216">
        <f t="shared" si="140"/>
        <v>0</v>
      </c>
      <c r="U160" s="219"/>
      <c r="V160" s="220"/>
      <c r="W160" s="220"/>
    </row>
    <row r="161" spans="2:23" x14ac:dyDescent="0.3">
      <c r="B161" s="205"/>
      <c r="C161" s="206"/>
      <c r="D161" s="206"/>
      <c r="E161" s="423"/>
      <c r="F161" s="333"/>
      <c r="G161" s="209"/>
      <c r="H161" s="218"/>
      <c r="I161" s="218">
        <f t="shared" si="142"/>
        <v>0</v>
      </c>
      <c r="J161" s="218"/>
      <c r="K161" s="211">
        <f t="shared" si="141"/>
        <v>0</v>
      </c>
      <c r="L161" s="208"/>
      <c r="M161" s="432"/>
      <c r="N161" s="213"/>
      <c r="O161" s="212"/>
      <c r="P161" s="214">
        <f t="shared" si="137"/>
        <v>0</v>
      </c>
      <c r="Q161" s="215">
        <f t="shared" si="138"/>
        <v>0</v>
      </c>
      <c r="R161" s="215">
        <f t="shared" si="139"/>
        <v>0</v>
      </c>
      <c r="S161" s="216">
        <f t="shared" si="140"/>
        <v>0</v>
      </c>
      <c r="U161" s="219"/>
      <c r="V161" s="220"/>
      <c r="W161" s="220"/>
    </row>
    <row r="162" spans="2:23" x14ac:dyDescent="0.3">
      <c r="B162" s="205"/>
      <c r="C162" s="206"/>
      <c r="D162" s="206"/>
      <c r="E162" s="423"/>
      <c r="F162" s="333"/>
      <c r="G162" s="209"/>
      <c r="H162" s="218"/>
      <c r="I162" s="218">
        <f t="shared" si="142"/>
        <v>0</v>
      </c>
      <c r="J162" s="218"/>
      <c r="K162" s="211">
        <f t="shared" si="141"/>
        <v>0</v>
      </c>
      <c r="L162" s="208"/>
      <c r="M162" s="432"/>
      <c r="N162" s="213"/>
      <c r="O162" s="212"/>
      <c r="P162" s="214">
        <f t="shared" si="137"/>
        <v>0</v>
      </c>
      <c r="Q162" s="215">
        <f t="shared" si="138"/>
        <v>0</v>
      </c>
      <c r="R162" s="215">
        <f t="shared" si="139"/>
        <v>0</v>
      </c>
      <c r="S162" s="216">
        <f t="shared" si="140"/>
        <v>0</v>
      </c>
      <c r="U162" s="219"/>
      <c r="V162" s="220"/>
      <c r="W162" s="220"/>
    </row>
    <row r="163" spans="2:23" x14ac:dyDescent="0.3">
      <c r="B163" s="205"/>
      <c r="C163" s="206"/>
      <c r="D163" s="206"/>
      <c r="E163" s="423"/>
      <c r="F163" s="333"/>
      <c r="G163" s="209"/>
      <c r="H163" s="218"/>
      <c r="I163" s="218">
        <f t="shared" si="142"/>
        <v>0</v>
      </c>
      <c r="J163" s="218"/>
      <c r="K163" s="211">
        <f t="shared" si="141"/>
        <v>0</v>
      </c>
      <c r="L163" s="208"/>
      <c r="M163" s="432"/>
      <c r="N163" s="213"/>
      <c r="O163" s="212"/>
      <c r="P163" s="214">
        <f t="shared" si="137"/>
        <v>0</v>
      </c>
      <c r="Q163" s="215">
        <f t="shared" si="138"/>
        <v>0</v>
      </c>
      <c r="R163" s="215">
        <f t="shared" si="139"/>
        <v>0</v>
      </c>
      <c r="S163" s="216">
        <f t="shared" si="140"/>
        <v>0</v>
      </c>
      <c r="U163" s="219"/>
      <c r="V163" s="220"/>
      <c r="W163" s="220"/>
    </row>
    <row r="164" spans="2:23" x14ac:dyDescent="0.3">
      <c r="B164" s="205"/>
      <c r="C164" s="206"/>
      <c r="D164" s="206"/>
      <c r="E164" s="423"/>
      <c r="F164" s="333"/>
      <c r="G164" s="209"/>
      <c r="H164" s="218"/>
      <c r="I164" s="218">
        <f t="shared" si="142"/>
        <v>0</v>
      </c>
      <c r="J164" s="218"/>
      <c r="K164" s="211">
        <f t="shared" si="141"/>
        <v>0</v>
      </c>
      <c r="L164" s="208"/>
      <c r="M164" s="432"/>
      <c r="N164" s="213"/>
      <c r="O164" s="212"/>
      <c r="P164" s="214">
        <f t="shared" si="137"/>
        <v>0</v>
      </c>
      <c r="Q164" s="215">
        <f t="shared" si="138"/>
        <v>0</v>
      </c>
      <c r="R164" s="215">
        <f t="shared" si="139"/>
        <v>0</v>
      </c>
      <c r="S164" s="216">
        <f t="shared" si="140"/>
        <v>0</v>
      </c>
      <c r="U164" s="219"/>
      <c r="V164" s="220"/>
      <c r="W164" s="220"/>
    </row>
    <row r="165" spans="2:23" x14ac:dyDescent="0.3">
      <c r="B165" s="205"/>
      <c r="C165" s="206"/>
      <c r="D165" s="206"/>
      <c r="E165" s="423"/>
      <c r="F165" s="333"/>
      <c r="G165" s="209"/>
      <c r="H165" s="218"/>
      <c r="I165" s="218">
        <f t="shared" si="142"/>
        <v>0</v>
      </c>
      <c r="J165" s="218"/>
      <c r="K165" s="211">
        <f t="shared" si="141"/>
        <v>0</v>
      </c>
      <c r="L165" s="208"/>
      <c r="M165" s="432"/>
      <c r="N165" s="213"/>
      <c r="O165" s="212"/>
      <c r="P165" s="214">
        <f t="shared" si="137"/>
        <v>0</v>
      </c>
      <c r="Q165" s="215">
        <f t="shared" si="138"/>
        <v>0</v>
      </c>
      <c r="R165" s="215">
        <f t="shared" si="139"/>
        <v>0</v>
      </c>
      <c r="S165" s="216">
        <f t="shared" si="140"/>
        <v>0</v>
      </c>
      <c r="U165" s="219"/>
      <c r="V165" s="220"/>
      <c r="W165" s="220"/>
    </row>
    <row r="166" spans="2:23" x14ac:dyDescent="0.3">
      <c r="B166" s="205"/>
      <c r="C166" s="206"/>
      <c r="D166" s="206"/>
      <c r="E166" s="423"/>
      <c r="F166" s="333"/>
      <c r="G166" s="209"/>
      <c r="H166" s="218"/>
      <c r="I166" s="218">
        <f t="shared" si="142"/>
        <v>0</v>
      </c>
      <c r="J166" s="218"/>
      <c r="K166" s="211">
        <f t="shared" si="141"/>
        <v>0</v>
      </c>
      <c r="L166" s="208"/>
      <c r="M166" s="432"/>
      <c r="N166" s="213"/>
      <c r="O166" s="212"/>
      <c r="P166" s="214">
        <f t="shared" si="137"/>
        <v>0</v>
      </c>
      <c r="Q166" s="215">
        <f t="shared" si="138"/>
        <v>0</v>
      </c>
      <c r="R166" s="215">
        <f t="shared" si="139"/>
        <v>0</v>
      </c>
      <c r="S166" s="216">
        <f t="shared" si="140"/>
        <v>0</v>
      </c>
      <c r="U166" s="219"/>
      <c r="V166" s="220"/>
      <c r="W166" s="220"/>
    </row>
    <row r="167" spans="2:23" x14ac:dyDescent="0.3">
      <c r="B167" s="205"/>
      <c r="C167" s="206"/>
      <c r="D167" s="206"/>
      <c r="E167" s="423"/>
      <c r="F167" s="333"/>
      <c r="G167" s="209"/>
      <c r="H167" s="218"/>
      <c r="I167" s="218">
        <f t="shared" si="142"/>
        <v>0</v>
      </c>
      <c r="J167" s="218"/>
      <c r="K167" s="211">
        <f t="shared" si="141"/>
        <v>0</v>
      </c>
      <c r="L167" s="208"/>
      <c r="M167" s="432"/>
      <c r="N167" s="213"/>
      <c r="O167" s="212"/>
      <c r="P167" s="214">
        <f t="shared" si="137"/>
        <v>0</v>
      </c>
      <c r="Q167" s="215">
        <f t="shared" si="138"/>
        <v>0</v>
      </c>
      <c r="R167" s="215">
        <f t="shared" si="139"/>
        <v>0</v>
      </c>
      <c r="S167" s="216">
        <f t="shared" si="140"/>
        <v>0</v>
      </c>
      <c r="U167" s="219"/>
      <c r="V167" s="220"/>
      <c r="W167" s="220"/>
    </row>
    <row r="168" spans="2:23" x14ac:dyDescent="0.3">
      <c r="B168" s="205"/>
      <c r="C168" s="206"/>
      <c r="D168" s="206"/>
      <c r="E168" s="423"/>
      <c r="F168" s="333"/>
      <c r="G168" s="209"/>
      <c r="H168" s="218"/>
      <c r="I168" s="218">
        <f t="shared" si="142"/>
        <v>0</v>
      </c>
      <c r="J168" s="218"/>
      <c r="K168" s="211">
        <f t="shared" si="141"/>
        <v>0</v>
      </c>
      <c r="L168" s="208"/>
      <c r="M168" s="432"/>
      <c r="N168" s="213"/>
      <c r="O168" s="212"/>
      <c r="P168" s="214">
        <f t="shared" si="137"/>
        <v>0</v>
      </c>
      <c r="Q168" s="215">
        <f t="shared" si="138"/>
        <v>0</v>
      </c>
      <c r="R168" s="215">
        <f t="shared" si="139"/>
        <v>0</v>
      </c>
      <c r="S168" s="216">
        <f t="shared" si="140"/>
        <v>0</v>
      </c>
      <c r="U168" s="219"/>
      <c r="V168" s="220"/>
      <c r="W168" s="220"/>
    </row>
    <row r="169" spans="2:23" x14ac:dyDescent="0.3">
      <c r="B169" s="205"/>
      <c r="C169" s="206"/>
      <c r="D169" s="206"/>
      <c r="E169" s="423"/>
      <c r="F169" s="333"/>
      <c r="G169" s="209"/>
      <c r="H169" s="218"/>
      <c r="I169" s="218">
        <f t="shared" si="142"/>
        <v>0</v>
      </c>
      <c r="J169" s="218"/>
      <c r="K169" s="211">
        <f t="shared" si="141"/>
        <v>0</v>
      </c>
      <c r="L169" s="208"/>
      <c r="M169" s="432"/>
      <c r="N169" s="213"/>
      <c r="O169" s="212"/>
      <c r="P169" s="214">
        <f t="shared" si="137"/>
        <v>0</v>
      </c>
      <c r="Q169" s="215">
        <f t="shared" si="138"/>
        <v>0</v>
      </c>
      <c r="R169" s="215">
        <f t="shared" si="139"/>
        <v>0</v>
      </c>
      <c r="S169" s="216">
        <f t="shared" si="140"/>
        <v>0</v>
      </c>
      <c r="U169" s="219"/>
      <c r="V169" s="220"/>
      <c r="W169" s="220"/>
    </row>
    <row r="170" spans="2:23" x14ac:dyDescent="0.3">
      <c r="B170" s="205"/>
      <c r="C170" s="206"/>
      <c r="D170" s="206"/>
      <c r="E170" s="423"/>
      <c r="F170" s="333"/>
      <c r="G170" s="209"/>
      <c r="H170" s="218"/>
      <c r="I170" s="218">
        <f t="shared" si="142"/>
        <v>0</v>
      </c>
      <c r="J170" s="218"/>
      <c r="K170" s="211">
        <f t="shared" si="141"/>
        <v>0</v>
      </c>
      <c r="L170" s="208"/>
      <c r="M170" s="432"/>
      <c r="N170" s="213"/>
      <c r="O170" s="212"/>
      <c r="P170" s="214">
        <f t="shared" si="137"/>
        <v>0</v>
      </c>
      <c r="Q170" s="215">
        <f t="shared" si="138"/>
        <v>0</v>
      </c>
      <c r="R170" s="215">
        <f t="shared" si="139"/>
        <v>0</v>
      </c>
      <c r="S170" s="216">
        <f t="shared" si="140"/>
        <v>0</v>
      </c>
      <c r="U170" s="219"/>
      <c r="V170" s="220"/>
      <c r="W170" s="220"/>
    </row>
    <row r="171" spans="2:23" x14ac:dyDescent="0.3">
      <c r="B171" s="205"/>
      <c r="C171" s="206"/>
      <c r="D171" s="206"/>
      <c r="E171" s="423"/>
      <c r="F171" s="333"/>
      <c r="G171" s="209"/>
      <c r="H171" s="218"/>
      <c r="I171" s="218">
        <f t="shared" si="142"/>
        <v>0</v>
      </c>
      <c r="J171" s="218"/>
      <c r="K171" s="211">
        <f t="shared" si="141"/>
        <v>0</v>
      </c>
      <c r="L171" s="208"/>
      <c r="M171" s="432"/>
      <c r="N171" s="213"/>
      <c r="O171" s="212"/>
      <c r="P171" s="214">
        <f t="shared" si="137"/>
        <v>0</v>
      </c>
      <c r="Q171" s="215">
        <f t="shared" si="138"/>
        <v>0</v>
      </c>
      <c r="R171" s="215">
        <f t="shared" si="139"/>
        <v>0</v>
      </c>
      <c r="S171" s="216">
        <f t="shared" si="140"/>
        <v>0</v>
      </c>
      <c r="U171" s="219"/>
      <c r="V171" s="220"/>
      <c r="W171" s="220"/>
    </row>
    <row r="172" spans="2:23" x14ac:dyDescent="0.3">
      <c r="B172" s="205"/>
      <c r="C172" s="206"/>
      <c r="D172" s="206"/>
      <c r="E172" s="423"/>
      <c r="F172" s="333"/>
      <c r="G172" s="209"/>
      <c r="H172" s="218"/>
      <c r="I172" s="218">
        <f t="shared" si="142"/>
        <v>0</v>
      </c>
      <c r="J172" s="218"/>
      <c r="K172" s="211">
        <f t="shared" si="141"/>
        <v>0</v>
      </c>
      <c r="L172" s="208"/>
      <c r="M172" s="432"/>
      <c r="N172" s="213"/>
      <c r="O172" s="212"/>
      <c r="P172" s="214">
        <f t="shared" si="137"/>
        <v>0</v>
      </c>
      <c r="Q172" s="215">
        <f t="shared" si="138"/>
        <v>0</v>
      </c>
      <c r="R172" s="215">
        <f t="shared" si="139"/>
        <v>0</v>
      </c>
      <c r="S172" s="216">
        <f t="shared" si="140"/>
        <v>0</v>
      </c>
      <c r="U172" s="219"/>
      <c r="V172" s="220"/>
      <c r="W172" s="220"/>
    </row>
    <row r="173" spans="2:23" x14ac:dyDescent="0.3">
      <c r="B173" s="205"/>
      <c r="C173" s="206"/>
      <c r="D173" s="206"/>
      <c r="E173" s="423"/>
      <c r="F173" s="333"/>
      <c r="G173" s="209"/>
      <c r="H173" s="218"/>
      <c r="I173" s="218">
        <f t="shared" si="142"/>
        <v>0</v>
      </c>
      <c r="J173" s="218"/>
      <c r="K173" s="211">
        <f t="shared" si="141"/>
        <v>0</v>
      </c>
      <c r="L173" s="208"/>
      <c r="M173" s="432"/>
      <c r="N173" s="213"/>
      <c r="O173" s="212"/>
      <c r="P173" s="214">
        <f t="shared" si="137"/>
        <v>0</v>
      </c>
      <c r="Q173" s="215">
        <f t="shared" si="138"/>
        <v>0</v>
      </c>
      <c r="R173" s="215">
        <f t="shared" si="139"/>
        <v>0</v>
      </c>
      <c r="S173" s="216">
        <f t="shared" si="140"/>
        <v>0</v>
      </c>
      <c r="U173" s="219"/>
      <c r="V173" s="220"/>
      <c r="W173" s="220"/>
    </row>
    <row r="174" spans="2:23" x14ac:dyDescent="0.3">
      <c r="B174" s="205"/>
      <c r="C174" s="206"/>
      <c r="D174" s="206"/>
      <c r="E174" s="423"/>
      <c r="F174" s="333"/>
      <c r="G174" s="209"/>
      <c r="H174" s="218"/>
      <c r="I174" s="218">
        <f t="shared" si="142"/>
        <v>0</v>
      </c>
      <c r="J174" s="218"/>
      <c r="K174" s="211">
        <f t="shared" si="141"/>
        <v>0</v>
      </c>
      <c r="L174" s="208"/>
      <c r="M174" s="432"/>
      <c r="N174" s="213"/>
      <c r="O174" s="212"/>
      <c r="P174" s="214">
        <f t="shared" si="137"/>
        <v>0</v>
      </c>
      <c r="Q174" s="215">
        <f t="shared" si="138"/>
        <v>0</v>
      </c>
      <c r="R174" s="215">
        <f t="shared" si="139"/>
        <v>0</v>
      </c>
      <c r="S174" s="216">
        <f t="shared" si="140"/>
        <v>0</v>
      </c>
      <c r="U174" s="219"/>
      <c r="V174" s="220"/>
      <c r="W174" s="220"/>
    </row>
    <row r="175" spans="2:23" x14ac:dyDescent="0.3">
      <c r="B175" s="205"/>
      <c r="C175" s="206"/>
      <c r="D175" s="206"/>
      <c r="E175" s="423"/>
      <c r="F175" s="333"/>
      <c r="G175" s="209"/>
      <c r="H175" s="218"/>
      <c r="I175" s="218">
        <f t="shared" si="142"/>
        <v>0</v>
      </c>
      <c r="J175" s="218"/>
      <c r="K175" s="211">
        <f t="shared" si="141"/>
        <v>0</v>
      </c>
      <c r="L175" s="208"/>
      <c r="M175" s="432"/>
      <c r="N175" s="213"/>
      <c r="O175" s="212"/>
      <c r="P175" s="214">
        <f t="shared" si="137"/>
        <v>0</v>
      </c>
      <c r="Q175" s="215">
        <f t="shared" si="138"/>
        <v>0</v>
      </c>
      <c r="R175" s="215">
        <f t="shared" si="139"/>
        <v>0</v>
      </c>
      <c r="S175" s="216">
        <f t="shared" si="140"/>
        <v>0</v>
      </c>
      <c r="U175" s="219"/>
      <c r="V175" s="220"/>
      <c r="W175" s="220"/>
    </row>
    <row r="176" spans="2:23" x14ac:dyDescent="0.3">
      <c r="B176" s="205"/>
      <c r="C176" s="206"/>
      <c r="D176" s="206"/>
      <c r="E176" s="423"/>
      <c r="F176" s="333"/>
      <c r="G176" s="209"/>
      <c r="H176" s="218"/>
      <c r="I176" s="218">
        <f t="shared" si="142"/>
        <v>0</v>
      </c>
      <c r="J176" s="218"/>
      <c r="K176" s="211">
        <f t="shared" si="141"/>
        <v>0</v>
      </c>
      <c r="L176" s="208"/>
      <c r="M176" s="432"/>
      <c r="N176" s="213"/>
      <c r="O176" s="212"/>
      <c r="P176" s="214">
        <f t="shared" si="137"/>
        <v>0</v>
      </c>
      <c r="Q176" s="215">
        <f t="shared" si="138"/>
        <v>0</v>
      </c>
      <c r="R176" s="215">
        <f t="shared" si="139"/>
        <v>0</v>
      </c>
      <c r="S176" s="216">
        <f t="shared" si="140"/>
        <v>0</v>
      </c>
      <c r="U176" s="219"/>
      <c r="V176" s="220"/>
      <c r="W176" s="220"/>
    </row>
    <row r="177" spans="2:23" x14ac:dyDescent="0.3">
      <c r="B177" s="205"/>
      <c r="C177" s="206"/>
      <c r="D177" s="206"/>
      <c r="E177" s="423"/>
      <c r="F177" s="333"/>
      <c r="G177" s="209"/>
      <c r="H177" s="218"/>
      <c r="I177" s="218">
        <f t="shared" si="142"/>
        <v>0</v>
      </c>
      <c r="J177" s="218"/>
      <c r="K177" s="211">
        <f t="shared" si="141"/>
        <v>0</v>
      </c>
      <c r="L177" s="208"/>
      <c r="M177" s="432"/>
      <c r="N177" s="213"/>
      <c r="O177" s="212"/>
      <c r="P177" s="214">
        <f t="shared" si="137"/>
        <v>0</v>
      </c>
      <c r="Q177" s="215">
        <f t="shared" si="138"/>
        <v>0</v>
      </c>
      <c r="R177" s="215">
        <f t="shared" si="139"/>
        <v>0</v>
      </c>
      <c r="S177" s="216">
        <f t="shared" si="140"/>
        <v>0</v>
      </c>
      <c r="U177" s="219"/>
      <c r="V177" s="220"/>
      <c r="W177" s="220"/>
    </row>
    <row r="178" spans="2:23" x14ac:dyDescent="0.3">
      <c r="B178" s="205"/>
      <c r="C178" s="206"/>
      <c r="D178" s="206"/>
      <c r="E178" s="423"/>
      <c r="F178" s="333"/>
      <c r="G178" s="209"/>
      <c r="H178" s="218"/>
      <c r="I178" s="218">
        <f t="shared" si="142"/>
        <v>0</v>
      </c>
      <c r="J178" s="218"/>
      <c r="K178" s="211">
        <f t="shared" si="141"/>
        <v>0</v>
      </c>
      <c r="L178" s="208"/>
      <c r="M178" s="432"/>
      <c r="N178" s="213"/>
      <c r="O178" s="212"/>
      <c r="P178" s="214">
        <f t="shared" si="137"/>
        <v>0</v>
      </c>
      <c r="Q178" s="215">
        <f t="shared" si="138"/>
        <v>0</v>
      </c>
      <c r="R178" s="215">
        <f t="shared" si="139"/>
        <v>0</v>
      </c>
      <c r="S178" s="216">
        <f t="shared" si="140"/>
        <v>0</v>
      </c>
      <c r="U178" s="219"/>
      <c r="V178" s="220"/>
      <c r="W178" s="220"/>
    </row>
    <row r="179" spans="2:23" x14ac:dyDescent="0.3">
      <c r="B179" s="205"/>
      <c r="C179" s="206"/>
      <c r="D179" s="206"/>
      <c r="E179" s="423"/>
      <c r="F179" s="333"/>
      <c r="G179" s="209"/>
      <c r="H179" s="218"/>
      <c r="I179" s="218">
        <f t="shared" si="142"/>
        <v>0</v>
      </c>
      <c r="J179" s="218"/>
      <c r="K179" s="211">
        <f t="shared" si="141"/>
        <v>0</v>
      </c>
      <c r="L179" s="208"/>
      <c r="M179" s="432"/>
      <c r="N179" s="213"/>
      <c r="O179" s="212"/>
      <c r="P179" s="214">
        <f t="shared" si="137"/>
        <v>0</v>
      </c>
      <c r="Q179" s="215">
        <f t="shared" si="138"/>
        <v>0</v>
      </c>
      <c r="R179" s="215">
        <f t="shared" si="139"/>
        <v>0</v>
      </c>
      <c r="S179" s="216">
        <f t="shared" si="140"/>
        <v>0</v>
      </c>
      <c r="U179" s="219"/>
      <c r="V179" s="220"/>
      <c r="W179" s="220"/>
    </row>
    <row r="180" spans="2:23" x14ac:dyDescent="0.3">
      <c r="B180" s="205"/>
      <c r="C180" s="206"/>
      <c r="D180" s="206"/>
      <c r="E180" s="423"/>
      <c r="F180" s="333"/>
      <c r="G180" s="209"/>
      <c r="H180" s="218"/>
      <c r="I180" s="218">
        <f t="shared" si="142"/>
        <v>0</v>
      </c>
      <c r="J180" s="218"/>
      <c r="K180" s="211">
        <f t="shared" si="141"/>
        <v>0</v>
      </c>
      <c r="L180" s="208"/>
      <c r="M180" s="432"/>
      <c r="N180" s="213"/>
      <c r="O180" s="212"/>
      <c r="P180" s="214">
        <f t="shared" si="137"/>
        <v>0</v>
      </c>
      <c r="Q180" s="215">
        <f t="shared" si="138"/>
        <v>0</v>
      </c>
      <c r="R180" s="215">
        <f t="shared" si="139"/>
        <v>0</v>
      </c>
      <c r="S180" s="216">
        <f t="shared" si="140"/>
        <v>0</v>
      </c>
      <c r="U180" s="219"/>
      <c r="V180" s="220"/>
      <c r="W180" s="220"/>
    </row>
    <row r="181" spans="2:23" x14ac:dyDescent="0.3">
      <c r="B181" s="205"/>
      <c r="C181" s="206"/>
      <c r="D181" s="206"/>
      <c r="E181" s="423"/>
      <c r="F181" s="333"/>
      <c r="G181" s="209"/>
      <c r="H181" s="218"/>
      <c r="I181" s="218">
        <f t="shared" si="142"/>
        <v>0</v>
      </c>
      <c r="J181" s="218"/>
      <c r="K181" s="211">
        <f t="shared" si="141"/>
        <v>0</v>
      </c>
      <c r="L181" s="208"/>
      <c r="M181" s="432"/>
      <c r="N181" s="213"/>
      <c r="O181" s="212"/>
      <c r="P181" s="214">
        <f t="shared" si="137"/>
        <v>0</v>
      </c>
      <c r="Q181" s="215">
        <f t="shared" si="138"/>
        <v>0</v>
      </c>
      <c r="R181" s="215">
        <f t="shared" si="139"/>
        <v>0</v>
      </c>
      <c r="S181" s="216">
        <f t="shared" si="140"/>
        <v>0</v>
      </c>
      <c r="U181" s="219"/>
      <c r="V181" s="220"/>
      <c r="W181" s="220"/>
    </row>
    <row r="182" spans="2:23" x14ac:dyDescent="0.3">
      <c r="B182" s="205"/>
      <c r="C182" s="206"/>
      <c r="D182" s="206"/>
      <c r="E182" s="423"/>
      <c r="F182" s="333"/>
      <c r="G182" s="209"/>
      <c r="H182" s="218"/>
      <c r="I182" s="218">
        <f t="shared" si="142"/>
        <v>0</v>
      </c>
      <c r="J182" s="218"/>
      <c r="K182" s="211">
        <f t="shared" si="141"/>
        <v>0</v>
      </c>
      <c r="L182" s="208"/>
      <c r="M182" s="432"/>
      <c r="N182" s="213"/>
      <c r="O182" s="212"/>
      <c r="P182" s="214">
        <f t="shared" si="137"/>
        <v>0</v>
      </c>
      <c r="Q182" s="215">
        <f t="shared" si="138"/>
        <v>0</v>
      </c>
      <c r="R182" s="215">
        <f t="shared" si="139"/>
        <v>0</v>
      </c>
      <c r="S182" s="216">
        <f t="shared" si="140"/>
        <v>0</v>
      </c>
      <c r="U182" s="219"/>
      <c r="V182" s="220"/>
      <c r="W182" s="220"/>
    </row>
    <row r="183" spans="2:23" x14ac:dyDescent="0.3">
      <c r="B183" s="205"/>
      <c r="C183" s="206"/>
      <c r="D183" s="206"/>
      <c r="E183" s="423"/>
      <c r="F183" s="333"/>
      <c r="G183" s="209"/>
      <c r="H183" s="218"/>
      <c r="I183" s="218">
        <f t="shared" si="142"/>
        <v>0</v>
      </c>
      <c r="J183" s="218"/>
      <c r="K183" s="211">
        <f t="shared" si="141"/>
        <v>0</v>
      </c>
      <c r="L183" s="208"/>
      <c r="M183" s="432"/>
      <c r="N183" s="213"/>
      <c r="O183" s="212"/>
      <c r="P183" s="214">
        <f t="shared" si="137"/>
        <v>0</v>
      </c>
      <c r="Q183" s="215">
        <f t="shared" si="138"/>
        <v>0</v>
      </c>
      <c r="R183" s="215">
        <f t="shared" si="139"/>
        <v>0</v>
      </c>
      <c r="S183" s="216">
        <f t="shared" si="140"/>
        <v>0</v>
      </c>
      <c r="U183" s="219"/>
      <c r="V183" s="220"/>
      <c r="W183" s="220"/>
    </row>
    <row r="184" spans="2:23" x14ac:dyDescent="0.3">
      <c r="B184" s="205"/>
      <c r="C184" s="206"/>
      <c r="D184" s="206"/>
      <c r="E184" s="423"/>
      <c r="F184" s="333"/>
      <c r="G184" s="209"/>
      <c r="H184" s="218"/>
      <c r="I184" s="218">
        <f t="shared" si="142"/>
        <v>0</v>
      </c>
      <c r="J184" s="218"/>
      <c r="K184" s="211">
        <f t="shared" si="141"/>
        <v>0</v>
      </c>
      <c r="L184" s="208"/>
      <c r="M184" s="432"/>
      <c r="N184" s="213"/>
      <c r="O184" s="212"/>
      <c r="P184" s="214">
        <f t="shared" si="137"/>
        <v>0</v>
      </c>
      <c r="Q184" s="215">
        <f t="shared" si="138"/>
        <v>0</v>
      </c>
      <c r="R184" s="215">
        <f t="shared" si="139"/>
        <v>0</v>
      </c>
      <c r="S184" s="216">
        <f t="shared" si="140"/>
        <v>0</v>
      </c>
      <c r="U184" s="219"/>
      <c r="V184" s="220"/>
      <c r="W184" s="220"/>
    </row>
    <row r="185" spans="2:23" x14ac:dyDescent="0.3">
      <c r="B185" s="205"/>
      <c r="C185" s="206"/>
      <c r="D185" s="206"/>
      <c r="E185" s="423"/>
      <c r="F185" s="333"/>
      <c r="G185" s="209"/>
      <c r="H185" s="218"/>
      <c r="I185" s="218">
        <f t="shared" si="142"/>
        <v>0</v>
      </c>
      <c r="J185" s="218"/>
      <c r="K185" s="211">
        <f t="shared" si="141"/>
        <v>0</v>
      </c>
      <c r="L185" s="208"/>
      <c r="M185" s="432"/>
      <c r="N185" s="213"/>
      <c r="O185" s="212"/>
      <c r="P185" s="214">
        <f t="shared" si="137"/>
        <v>0</v>
      </c>
      <c r="Q185" s="215">
        <f t="shared" si="138"/>
        <v>0</v>
      </c>
      <c r="R185" s="215">
        <f t="shared" si="139"/>
        <v>0</v>
      </c>
      <c r="S185" s="216">
        <f t="shared" si="140"/>
        <v>0</v>
      </c>
      <c r="U185" s="219"/>
      <c r="V185" s="220"/>
      <c r="W185" s="220"/>
    </row>
    <row r="186" spans="2:23" x14ac:dyDescent="0.3">
      <c r="B186" s="205"/>
      <c r="C186" s="206"/>
      <c r="D186" s="206"/>
      <c r="E186" s="423"/>
      <c r="F186" s="333"/>
      <c r="G186" s="209"/>
      <c r="H186" s="218"/>
      <c r="I186" s="218">
        <f t="shared" si="142"/>
        <v>0</v>
      </c>
      <c r="J186" s="218"/>
      <c r="K186" s="211">
        <f t="shared" si="141"/>
        <v>0</v>
      </c>
      <c r="L186" s="208"/>
      <c r="M186" s="432"/>
      <c r="N186" s="213"/>
      <c r="O186" s="212"/>
      <c r="P186" s="214">
        <f t="shared" si="137"/>
        <v>0</v>
      </c>
      <c r="Q186" s="215">
        <f t="shared" si="138"/>
        <v>0</v>
      </c>
      <c r="R186" s="215">
        <f t="shared" si="139"/>
        <v>0</v>
      </c>
      <c r="S186" s="216">
        <f t="shared" si="140"/>
        <v>0</v>
      </c>
      <c r="U186" s="219"/>
      <c r="V186" s="220"/>
      <c r="W186" s="220"/>
    </row>
    <row r="187" spans="2:23" x14ac:dyDescent="0.3">
      <c r="B187" s="205"/>
      <c r="C187" s="206"/>
      <c r="D187" s="206"/>
      <c r="E187" s="423"/>
      <c r="F187" s="333"/>
      <c r="G187" s="209"/>
      <c r="H187" s="218"/>
      <c r="I187" s="218">
        <f t="shared" si="142"/>
        <v>0</v>
      </c>
      <c r="J187" s="218"/>
      <c r="K187" s="211">
        <f t="shared" ref="K187:K218" si="143">+H187*I187</f>
        <v>0</v>
      </c>
      <c r="L187" s="208"/>
      <c r="M187" s="432"/>
      <c r="N187" s="213"/>
      <c r="O187" s="212"/>
      <c r="P187" s="214">
        <f t="shared" si="137"/>
        <v>0</v>
      </c>
      <c r="Q187" s="215">
        <f t="shared" si="138"/>
        <v>0</v>
      </c>
      <c r="R187" s="215">
        <f t="shared" si="139"/>
        <v>0</v>
      </c>
      <c r="S187" s="216">
        <f t="shared" si="140"/>
        <v>0</v>
      </c>
      <c r="U187" s="219"/>
      <c r="V187" s="220"/>
      <c r="W187" s="220"/>
    </row>
    <row r="188" spans="2:23" x14ac:dyDescent="0.3">
      <c r="B188" s="205"/>
      <c r="C188" s="206"/>
      <c r="D188" s="206"/>
      <c r="E188" s="423"/>
      <c r="F188" s="333"/>
      <c r="G188" s="209"/>
      <c r="H188" s="218"/>
      <c r="I188" s="218">
        <f t="shared" si="142"/>
        <v>0</v>
      </c>
      <c r="J188" s="218"/>
      <c r="K188" s="211">
        <f t="shared" si="143"/>
        <v>0</v>
      </c>
      <c r="L188" s="208"/>
      <c r="M188" s="432"/>
      <c r="N188" s="213"/>
      <c r="O188" s="212"/>
      <c r="P188" s="214">
        <f t="shared" si="137"/>
        <v>0</v>
      </c>
      <c r="Q188" s="215">
        <f t="shared" si="138"/>
        <v>0</v>
      </c>
      <c r="R188" s="215">
        <f t="shared" si="139"/>
        <v>0</v>
      </c>
      <c r="S188" s="216">
        <f t="shared" si="140"/>
        <v>0</v>
      </c>
      <c r="U188" s="219"/>
      <c r="V188" s="220"/>
      <c r="W188" s="220"/>
    </row>
    <row r="189" spans="2:23" x14ac:dyDescent="0.3">
      <c r="B189" s="205"/>
      <c r="C189" s="206"/>
      <c r="D189" s="206"/>
      <c r="E189" s="423"/>
      <c r="F189" s="333"/>
      <c r="G189" s="209"/>
      <c r="H189" s="218"/>
      <c r="I189" s="218">
        <f t="shared" si="142"/>
        <v>0</v>
      </c>
      <c r="J189" s="218"/>
      <c r="K189" s="211">
        <f t="shared" si="143"/>
        <v>0</v>
      </c>
      <c r="L189" s="208"/>
      <c r="M189" s="432"/>
      <c r="N189" s="213"/>
      <c r="O189" s="212"/>
      <c r="P189" s="214">
        <f t="shared" si="137"/>
        <v>0</v>
      </c>
      <c r="Q189" s="215">
        <f t="shared" si="138"/>
        <v>0</v>
      </c>
      <c r="R189" s="215">
        <f t="shared" si="139"/>
        <v>0</v>
      </c>
      <c r="S189" s="216">
        <f t="shared" si="140"/>
        <v>0</v>
      </c>
      <c r="U189" s="219"/>
      <c r="V189" s="220"/>
      <c r="W189" s="220"/>
    </row>
    <row r="190" spans="2:23" x14ac:dyDescent="0.3">
      <c r="B190" s="205"/>
      <c r="C190" s="206"/>
      <c r="D190" s="206"/>
      <c r="E190" s="423"/>
      <c r="F190" s="333"/>
      <c r="G190" s="209"/>
      <c r="H190" s="218"/>
      <c r="I190" s="218">
        <f t="shared" si="142"/>
        <v>0</v>
      </c>
      <c r="J190" s="218"/>
      <c r="K190" s="211">
        <f t="shared" si="143"/>
        <v>0</v>
      </c>
      <c r="L190" s="208"/>
      <c r="M190" s="432"/>
      <c r="N190" s="213"/>
      <c r="O190" s="212"/>
      <c r="P190" s="214">
        <f t="shared" si="137"/>
        <v>0</v>
      </c>
      <c r="Q190" s="215">
        <f t="shared" si="138"/>
        <v>0</v>
      </c>
      <c r="R190" s="215">
        <f t="shared" si="139"/>
        <v>0</v>
      </c>
      <c r="S190" s="216">
        <f t="shared" si="140"/>
        <v>0</v>
      </c>
      <c r="U190" s="219"/>
      <c r="V190" s="220"/>
      <c r="W190" s="220"/>
    </row>
    <row r="191" spans="2:23" x14ac:dyDescent="0.3">
      <c r="B191" s="205"/>
      <c r="C191" s="206"/>
      <c r="D191" s="206"/>
      <c r="E191" s="423"/>
      <c r="F191" s="333"/>
      <c r="G191" s="209"/>
      <c r="H191" s="218"/>
      <c r="I191" s="218">
        <f t="shared" si="142"/>
        <v>0</v>
      </c>
      <c r="J191" s="218"/>
      <c r="K191" s="211">
        <f t="shared" si="143"/>
        <v>0</v>
      </c>
      <c r="L191" s="208"/>
      <c r="M191" s="432"/>
      <c r="N191" s="213"/>
      <c r="O191" s="212"/>
      <c r="P191" s="214">
        <f t="shared" si="137"/>
        <v>0</v>
      </c>
      <c r="Q191" s="215">
        <f t="shared" si="138"/>
        <v>0</v>
      </c>
      <c r="R191" s="215">
        <f t="shared" si="139"/>
        <v>0</v>
      </c>
      <c r="S191" s="216">
        <f t="shared" si="140"/>
        <v>0</v>
      </c>
      <c r="U191" s="219"/>
      <c r="V191" s="220"/>
      <c r="W191" s="220"/>
    </row>
    <row r="192" spans="2:23" x14ac:dyDescent="0.3">
      <c r="B192" s="205"/>
      <c r="C192" s="206"/>
      <c r="D192" s="206"/>
      <c r="E192" s="423"/>
      <c r="F192" s="333"/>
      <c r="G192" s="209"/>
      <c r="H192" s="218"/>
      <c r="I192" s="218">
        <f t="shared" si="142"/>
        <v>0</v>
      </c>
      <c r="J192" s="218"/>
      <c r="K192" s="211">
        <f t="shared" si="143"/>
        <v>0</v>
      </c>
      <c r="L192" s="208"/>
      <c r="M192" s="432"/>
      <c r="N192" s="213"/>
      <c r="O192" s="212"/>
      <c r="P192" s="214">
        <f t="shared" si="137"/>
        <v>0</v>
      </c>
      <c r="Q192" s="215">
        <f t="shared" si="138"/>
        <v>0</v>
      </c>
      <c r="R192" s="215">
        <f t="shared" si="139"/>
        <v>0</v>
      </c>
      <c r="S192" s="216">
        <f t="shared" si="140"/>
        <v>0</v>
      </c>
      <c r="U192" s="219"/>
      <c r="V192" s="220"/>
      <c r="W192" s="220"/>
    </row>
    <row r="193" spans="2:23" x14ac:dyDescent="0.3">
      <c r="B193" s="205"/>
      <c r="C193" s="206"/>
      <c r="D193" s="206"/>
      <c r="E193" s="423"/>
      <c r="F193" s="333"/>
      <c r="G193" s="209"/>
      <c r="H193" s="218"/>
      <c r="I193" s="218">
        <f t="shared" si="142"/>
        <v>0</v>
      </c>
      <c r="J193" s="218"/>
      <c r="K193" s="211">
        <f t="shared" si="143"/>
        <v>0</v>
      </c>
      <c r="L193" s="208"/>
      <c r="M193" s="432"/>
      <c r="N193" s="213"/>
      <c r="O193" s="212"/>
      <c r="P193" s="214">
        <f t="shared" si="137"/>
        <v>0</v>
      </c>
      <c r="Q193" s="215">
        <f t="shared" si="138"/>
        <v>0</v>
      </c>
      <c r="R193" s="215">
        <f t="shared" si="139"/>
        <v>0</v>
      </c>
      <c r="S193" s="216">
        <f t="shared" si="140"/>
        <v>0</v>
      </c>
      <c r="U193" s="219"/>
      <c r="V193" s="220"/>
      <c r="W193" s="220"/>
    </row>
    <row r="194" spans="2:23" x14ac:dyDescent="0.3">
      <c r="B194" s="205"/>
      <c r="C194" s="206"/>
      <c r="D194" s="206"/>
      <c r="E194" s="423"/>
      <c r="F194" s="333"/>
      <c r="G194" s="209"/>
      <c r="H194" s="218"/>
      <c r="I194" s="218">
        <f t="shared" si="142"/>
        <v>0</v>
      </c>
      <c r="J194" s="218"/>
      <c r="K194" s="211">
        <f t="shared" si="143"/>
        <v>0</v>
      </c>
      <c r="L194" s="208"/>
      <c r="M194" s="432"/>
      <c r="N194" s="213"/>
      <c r="O194" s="212"/>
      <c r="P194" s="214">
        <f t="shared" si="137"/>
        <v>0</v>
      </c>
      <c r="Q194" s="215">
        <f t="shared" si="138"/>
        <v>0</v>
      </c>
      <c r="R194" s="215">
        <f t="shared" si="139"/>
        <v>0</v>
      </c>
      <c r="S194" s="216">
        <f t="shared" si="140"/>
        <v>0</v>
      </c>
      <c r="U194" s="219"/>
      <c r="V194" s="220"/>
      <c r="W194" s="220"/>
    </row>
    <row r="195" spans="2:23" x14ac:dyDescent="0.3">
      <c r="B195" s="205"/>
      <c r="C195" s="206"/>
      <c r="D195" s="206"/>
      <c r="E195" s="423"/>
      <c r="F195" s="333"/>
      <c r="G195" s="209"/>
      <c r="H195" s="218"/>
      <c r="I195" s="218">
        <f t="shared" ref="I195:I258" si="144">+M195</f>
        <v>0</v>
      </c>
      <c r="J195" s="218"/>
      <c r="K195" s="211">
        <f t="shared" si="143"/>
        <v>0</v>
      </c>
      <c r="L195" s="208"/>
      <c r="M195" s="432"/>
      <c r="N195" s="213"/>
      <c r="O195" s="212"/>
      <c r="P195" s="214">
        <f t="shared" ref="P195:P258" si="145">SUM(Q195:S195)</f>
        <v>0</v>
      </c>
      <c r="Q195" s="215">
        <f t="shared" ref="Q195:Q258" si="146">IF(M195&gt;0,1,0)</f>
        <v>0</v>
      </c>
      <c r="R195" s="215">
        <f t="shared" ref="R195:R258" si="147">IF(N195&gt;0,1,0)</f>
        <v>0</v>
      </c>
      <c r="S195" s="216">
        <f t="shared" ref="S195:S258" si="148">IF(O195&gt;0,1,0)</f>
        <v>0</v>
      </c>
      <c r="U195" s="219"/>
      <c r="V195" s="220"/>
      <c r="W195" s="220"/>
    </row>
    <row r="196" spans="2:23" x14ac:dyDescent="0.3">
      <c r="B196" s="205"/>
      <c r="C196" s="206"/>
      <c r="D196" s="206"/>
      <c r="E196" s="423"/>
      <c r="F196" s="333"/>
      <c r="G196" s="209"/>
      <c r="H196" s="218"/>
      <c r="I196" s="218">
        <f t="shared" si="144"/>
        <v>0</v>
      </c>
      <c r="J196" s="218"/>
      <c r="K196" s="211">
        <f t="shared" si="143"/>
        <v>0</v>
      </c>
      <c r="L196" s="208"/>
      <c r="M196" s="432"/>
      <c r="N196" s="213"/>
      <c r="O196" s="212"/>
      <c r="P196" s="214">
        <f t="shared" si="145"/>
        <v>0</v>
      </c>
      <c r="Q196" s="215">
        <f t="shared" si="146"/>
        <v>0</v>
      </c>
      <c r="R196" s="215">
        <f t="shared" si="147"/>
        <v>0</v>
      </c>
      <c r="S196" s="216">
        <f t="shared" si="148"/>
        <v>0</v>
      </c>
      <c r="U196" s="219"/>
      <c r="V196" s="220"/>
      <c r="W196" s="220"/>
    </row>
    <row r="197" spans="2:23" x14ac:dyDescent="0.3">
      <c r="B197" s="205"/>
      <c r="C197" s="206"/>
      <c r="D197" s="206"/>
      <c r="E197" s="423"/>
      <c r="F197" s="333"/>
      <c r="G197" s="209"/>
      <c r="H197" s="218"/>
      <c r="I197" s="218">
        <f t="shared" si="144"/>
        <v>0</v>
      </c>
      <c r="J197" s="218"/>
      <c r="K197" s="211">
        <f t="shared" si="143"/>
        <v>0</v>
      </c>
      <c r="L197" s="208"/>
      <c r="M197" s="432"/>
      <c r="N197" s="213"/>
      <c r="O197" s="212"/>
      <c r="P197" s="214">
        <f t="shared" si="145"/>
        <v>0</v>
      </c>
      <c r="Q197" s="215">
        <f t="shared" si="146"/>
        <v>0</v>
      </c>
      <c r="R197" s="215">
        <f t="shared" si="147"/>
        <v>0</v>
      </c>
      <c r="S197" s="216">
        <f t="shared" si="148"/>
        <v>0</v>
      </c>
      <c r="U197" s="219"/>
      <c r="V197" s="220"/>
      <c r="W197" s="220"/>
    </row>
    <row r="198" spans="2:23" x14ac:dyDescent="0.3">
      <c r="B198" s="205"/>
      <c r="C198" s="206"/>
      <c r="D198" s="206"/>
      <c r="E198" s="423"/>
      <c r="F198" s="333"/>
      <c r="G198" s="209"/>
      <c r="H198" s="218"/>
      <c r="I198" s="218">
        <f t="shared" si="144"/>
        <v>0</v>
      </c>
      <c r="J198" s="218"/>
      <c r="K198" s="211">
        <f t="shared" si="143"/>
        <v>0</v>
      </c>
      <c r="L198" s="208"/>
      <c r="M198" s="432"/>
      <c r="N198" s="213"/>
      <c r="O198" s="212"/>
      <c r="P198" s="214">
        <f t="shared" si="145"/>
        <v>0</v>
      </c>
      <c r="Q198" s="215">
        <f t="shared" si="146"/>
        <v>0</v>
      </c>
      <c r="R198" s="215">
        <f t="shared" si="147"/>
        <v>0</v>
      </c>
      <c r="S198" s="216">
        <f t="shared" si="148"/>
        <v>0</v>
      </c>
      <c r="U198" s="219"/>
      <c r="V198" s="220"/>
      <c r="W198" s="220"/>
    </row>
    <row r="199" spans="2:23" x14ac:dyDescent="0.3">
      <c r="B199" s="205"/>
      <c r="C199" s="206"/>
      <c r="D199" s="206"/>
      <c r="E199" s="423"/>
      <c r="F199" s="333"/>
      <c r="G199" s="209"/>
      <c r="H199" s="218"/>
      <c r="I199" s="218">
        <f t="shared" si="144"/>
        <v>0</v>
      </c>
      <c r="J199" s="218"/>
      <c r="K199" s="211">
        <f t="shared" si="143"/>
        <v>0</v>
      </c>
      <c r="L199" s="208"/>
      <c r="M199" s="432"/>
      <c r="N199" s="213"/>
      <c r="O199" s="212"/>
      <c r="P199" s="214">
        <f t="shared" si="145"/>
        <v>0</v>
      </c>
      <c r="Q199" s="215">
        <f t="shared" si="146"/>
        <v>0</v>
      </c>
      <c r="R199" s="215">
        <f t="shared" si="147"/>
        <v>0</v>
      </c>
      <c r="S199" s="216">
        <f t="shared" si="148"/>
        <v>0</v>
      </c>
      <c r="U199" s="219"/>
      <c r="V199" s="220"/>
      <c r="W199" s="220"/>
    </row>
    <row r="200" spans="2:23" x14ac:dyDescent="0.3">
      <c r="B200" s="205"/>
      <c r="C200" s="206"/>
      <c r="D200" s="206"/>
      <c r="E200" s="423"/>
      <c r="F200" s="333"/>
      <c r="G200" s="209"/>
      <c r="H200" s="218"/>
      <c r="I200" s="218">
        <f t="shared" si="144"/>
        <v>0</v>
      </c>
      <c r="J200" s="218"/>
      <c r="K200" s="211">
        <f t="shared" si="143"/>
        <v>0</v>
      </c>
      <c r="L200" s="208"/>
      <c r="M200" s="432"/>
      <c r="N200" s="213"/>
      <c r="O200" s="212"/>
      <c r="P200" s="214">
        <f t="shared" si="145"/>
        <v>0</v>
      </c>
      <c r="Q200" s="215">
        <f t="shared" si="146"/>
        <v>0</v>
      </c>
      <c r="R200" s="215">
        <f t="shared" si="147"/>
        <v>0</v>
      </c>
      <c r="S200" s="216">
        <f t="shared" si="148"/>
        <v>0</v>
      </c>
      <c r="U200" s="219"/>
      <c r="V200" s="220"/>
      <c r="W200" s="220"/>
    </row>
    <row r="201" spans="2:23" x14ac:dyDescent="0.3">
      <c r="B201" s="205"/>
      <c r="C201" s="206"/>
      <c r="D201" s="206"/>
      <c r="E201" s="423"/>
      <c r="F201" s="333"/>
      <c r="G201" s="209"/>
      <c r="H201" s="218"/>
      <c r="I201" s="218">
        <f t="shared" si="144"/>
        <v>0</v>
      </c>
      <c r="J201" s="218"/>
      <c r="K201" s="211">
        <f t="shared" si="143"/>
        <v>0</v>
      </c>
      <c r="L201" s="208"/>
      <c r="M201" s="432"/>
      <c r="N201" s="213"/>
      <c r="O201" s="212"/>
      <c r="P201" s="214">
        <f t="shared" si="145"/>
        <v>0</v>
      </c>
      <c r="Q201" s="215">
        <f t="shared" si="146"/>
        <v>0</v>
      </c>
      <c r="R201" s="215">
        <f t="shared" si="147"/>
        <v>0</v>
      </c>
      <c r="S201" s="216">
        <f t="shared" si="148"/>
        <v>0</v>
      </c>
      <c r="U201" s="219"/>
      <c r="V201" s="220"/>
      <c r="W201" s="220"/>
    </row>
    <row r="202" spans="2:23" x14ac:dyDescent="0.3">
      <c r="B202" s="205"/>
      <c r="C202" s="206"/>
      <c r="D202" s="206"/>
      <c r="E202" s="423"/>
      <c r="F202" s="333"/>
      <c r="G202" s="209"/>
      <c r="H202" s="218"/>
      <c r="I202" s="218">
        <f t="shared" si="144"/>
        <v>0</v>
      </c>
      <c r="J202" s="218"/>
      <c r="K202" s="211">
        <f t="shared" si="143"/>
        <v>0</v>
      </c>
      <c r="L202" s="208"/>
      <c r="M202" s="432"/>
      <c r="N202" s="213"/>
      <c r="O202" s="212"/>
      <c r="P202" s="214">
        <f t="shared" si="145"/>
        <v>0</v>
      </c>
      <c r="Q202" s="215">
        <f t="shared" si="146"/>
        <v>0</v>
      </c>
      <c r="R202" s="215">
        <f t="shared" si="147"/>
        <v>0</v>
      </c>
      <c r="S202" s="216">
        <f t="shared" si="148"/>
        <v>0</v>
      </c>
      <c r="U202" s="219"/>
      <c r="V202" s="220"/>
      <c r="W202" s="220"/>
    </row>
    <row r="203" spans="2:23" x14ac:dyDescent="0.3">
      <c r="B203" s="205"/>
      <c r="C203" s="206"/>
      <c r="D203" s="206"/>
      <c r="E203" s="423"/>
      <c r="F203" s="333"/>
      <c r="G203" s="209"/>
      <c r="H203" s="218"/>
      <c r="I203" s="218">
        <f t="shared" si="144"/>
        <v>0</v>
      </c>
      <c r="J203" s="218"/>
      <c r="K203" s="211">
        <f t="shared" si="143"/>
        <v>0</v>
      </c>
      <c r="L203" s="208"/>
      <c r="M203" s="432"/>
      <c r="N203" s="213"/>
      <c r="O203" s="212"/>
      <c r="P203" s="214">
        <f t="shared" si="145"/>
        <v>0</v>
      </c>
      <c r="Q203" s="215">
        <f t="shared" si="146"/>
        <v>0</v>
      </c>
      <c r="R203" s="215">
        <f t="shared" si="147"/>
        <v>0</v>
      </c>
      <c r="S203" s="216">
        <f t="shared" si="148"/>
        <v>0</v>
      </c>
      <c r="U203" s="219"/>
      <c r="V203" s="220"/>
      <c r="W203" s="220"/>
    </row>
    <row r="204" spans="2:23" x14ac:dyDescent="0.3">
      <c r="B204" s="205"/>
      <c r="C204" s="206"/>
      <c r="D204" s="206"/>
      <c r="E204" s="423"/>
      <c r="F204" s="333"/>
      <c r="G204" s="209"/>
      <c r="H204" s="218"/>
      <c r="I204" s="218">
        <f t="shared" si="144"/>
        <v>0</v>
      </c>
      <c r="J204" s="218"/>
      <c r="K204" s="211">
        <f t="shared" si="143"/>
        <v>0</v>
      </c>
      <c r="L204" s="208"/>
      <c r="M204" s="432"/>
      <c r="N204" s="213"/>
      <c r="O204" s="212"/>
      <c r="P204" s="214">
        <f t="shared" si="145"/>
        <v>0</v>
      </c>
      <c r="Q204" s="215">
        <f t="shared" si="146"/>
        <v>0</v>
      </c>
      <c r="R204" s="215">
        <f t="shared" si="147"/>
        <v>0</v>
      </c>
      <c r="S204" s="216">
        <f t="shared" si="148"/>
        <v>0</v>
      </c>
      <c r="U204" s="219"/>
      <c r="V204" s="220"/>
      <c r="W204" s="220"/>
    </row>
    <row r="205" spans="2:23" x14ac:dyDescent="0.3">
      <c r="B205" s="205"/>
      <c r="C205" s="206"/>
      <c r="D205" s="206"/>
      <c r="E205" s="423"/>
      <c r="F205" s="333"/>
      <c r="G205" s="209"/>
      <c r="H205" s="218"/>
      <c r="I205" s="218">
        <f t="shared" si="144"/>
        <v>0</v>
      </c>
      <c r="J205" s="218"/>
      <c r="K205" s="211">
        <f t="shared" si="143"/>
        <v>0</v>
      </c>
      <c r="L205" s="208"/>
      <c r="M205" s="432"/>
      <c r="N205" s="213"/>
      <c r="O205" s="212"/>
      <c r="P205" s="214">
        <f t="shared" si="145"/>
        <v>0</v>
      </c>
      <c r="Q205" s="215">
        <f t="shared" si="146"/>
        <v>0</v>
      </c>
      <c r="R205" s="215">
        <f t="shared" si="147"/>
        <v>0</v>
      </c>
      <c r="S205" s="216">
        <f t="shared" si="148"/>
        <v>0</v>
      </c>
      <c r="U205" s="219"/>
      <c r="V205" s="220"/>
      <c r="W205" s="220"/>
    </row>
    <row r="206" spans="2:23" x14ac:dyDescent="0.3">
      <c r="B206" s="205"/>
      <c r="C206" s="206"/>
      <c r="D206" s="206"/>
      <c r="E206" s="423"/>
      <c r="F206" s="333"/>
      <c r="G206" s="209"/>
      <c r="H206" s="218"/>
      <c r="I206" s="218">
        <f t="shared" si="144"/>
        <v>0</v>
      </c>
      <c r="J206" s="218"/>
      <c r="K206" s="211">
        <f t="shared" si="143"/>
        <v>0</v>
      </c>
      <c r="L206" s="208"/>
      <c r="M206" s="432"/>
      <c r="N206" s="213"/>
      <c r="O206" s="212"/>
      <c r="P206" s="214">
        <f t="shared" si="145"/>
        <v>0</v>
      </c>
      <c r="Q206" s="215">
        <f t="shared" si="146"/>
        <v>0</v>
      </c>
      <c r="R206" s="215">
        <f t="shared" si="147"/>
        <v>0</v>
      </c>
      <c r="S206" s="216">
        <f t="shared" si="148"/>
        <v>0</v>
      </c>
      <c r="U206" s="219"/>
      <c r="V206" s="220"/>
      <c r="W206" s="220"/>
    </row>
    <row r="207" spans="2:23" x14ac:dyDescent="0.3">
      <c r="B207" s="205"/>
      <c r="C207" s="206"/>
      <c r="D207" s="206"/>
      <c r="E207" s="423"/>
      <c r="F207" s="333"/>
      <c r="G207" s="209"/>
      <c r="H207" s="218"/>
      <c r="I207" s="218">
        <f t="shared" si="144"/>
        <v>0</v>
      </c>
      <c r="J207" s="218"/>
      <c r="K207" s="211">
        <f t="shared" si="143"/>
        <v>0</v>
      </c>
      <c r="L207" s="208"/>
      <c r="M207" s="432"/>
      <c r="N207" s="213"/>
      <c r="O207" s="212"/>
      <c r="P207" s="214">
        <f t="shared" si="145"/>
        <v>0</v>
      </c>
      <c r="Q207" s="215">
        <f t="shared" si="146"/>
        <v>0</v>
      </c>
      <c r="R207" s="215">
        <f t="shared" si="147"/>
        <v>0</v>
      </c>
      <c r="S207" s="216">
        <f t="shared" si="148"/>
        <v>0</v>
      </c>
      <c r="U207" s="219"/>
      <c r="V207" s="220"/>
      <c r="W207" s="220"/>
    </row>
    <row r="208" spans="2:23" x14ac:dyDescent="0.3">
      <c r="B208" s="205"/>
      <c r="C208" s="206"/>
      <c r="D208" s="206"/>
      <c r="E208" s="423"/>
      <c r="F208" s="333"/>
      <c r="G208" s="209"/>
      <c r="H208" s="218"/>
      <c r="I208" s="218">
        <f t="shared" si="144"/>
        <v>0</v>
      </c>
      <c r="J208" s="218"/>
      <c r="K208" s="211">
        <f t="shared" si="143"/>
        <v>0</v>
      </c>
      <c r="L208" s="208"/>
      <c r="M208" s="432"/>
      <c r="N208" s="213"/>
      <c r="O208" s="212"/>
      <c r="P208" s="214">
        <f t="shared" si="145"/>
        <v>0</v>
      </c>
      <c r="Q208" s="215">
        <f t="shared" si="146"/>
        <v>0</v>
      </c>
      <c r="R208" s="215">
        <f t="shared" si="147"/>
        <v>0</v>
      </c>
      <c r="S208" s="216">
        <f t="shared" si="148"/>
        <v>0</v>
      </c>
      <c r="U208" s="219"/>
      <c r="V208" s="220"/>
      <c r="W208" s="220"/>
    </row>
    <row r="209" spans="2:23" x14ac:dyDescent="0.3">
      <c r="B209" s="205"/>
      <c r="C209" s="206"/>
      <c r="D209" s="206"/>
      <c r="E209" s="423"/>
      <c r="F209" s="333"/>
      <c r="G209" s="209"/>
      <c r="H209" s="218"/>
      <c r="I209" s="218">
        <f t="shared" si="144"/>
        <v>0</v>
      </c>
      <c r="J209" s="218"/>
      <c r="K209" s="211">
        <f t="shared" si="143"/>
        <v>0</v>
      </c>
      <c r="L209" s="208"/>
      <c r="M209" s="432"/>
      <c r="N209" s="213"/>
      <c r="O209" s="212"/>
      <c r="P209" s="214">
        <f t="shared" si="145"/>
        <v>0</v>
      </c>
      <c r="Q209" s="215">
        <f t="shared" si="146"/>
        <v>0</v>
      </c>
      <c r="R209" s="215">
        <f t="shared" si="147"/>
        <v>0</v>
      </c>
      <c r="S209" s="216">
        <f t="shared" si="148"/>
        <v>0</v>
      </c>
      <c r="U209" s="219"/>
      <c r="V209" s="220"/>
      <c r="W209" s="220"/>
    </row>
    <row r="210" spans="2:23" x14ac:dyDescent="0.3">
      <c r="B210" s="205"/>
      <c r="C210" s="206"/>
      <c r="D210" s="206"/>
      <c r="E210" s="423"/>
      <c r="F210" s="333"/>
      <c r="G210" s="209"/>
      <c r="H210" s="218"/>
      <c r="I210" s="218">
        <f t="shared" si="144"/>
        <v>0</v>
      </c>
      <c r="J210" s="218"/>
      <c r="K210" s="211">
        <f t="shared" si="143"/>
        <v>0</v>
      </c>
      <c r="L210" s="208"/>
      <c r="M210" s="432"/>
      <c r="N210" s="213"/>
      <c r="O210" s="212"/>
      <c r="P210" s="214">
        <f t="shared" si="145"/>
        <v>0</v>
      </c>
      <c r="Q210" s="215">
        <f t="shared" si="146"/>
        <v>0</v>
      </c>
      <c r="R210" s="215">
        <f t="shared" si="147"/>
        <v>0</v>
      </c>
      <c r="S210" s="216">
        <f t="shared" si="148"/>
        <v>0</v>
      </c>
      <c r="U210" s="219"/>
      <c r="V210" s="220"/>
      <c r="W210" s="220"/>
    </row>
    <row r="211" spans="2:23" x14ac:dyDescent="0.3">
      <c r="B211" s="205"/>
      <c r="C211" s="206"/>
      <c r="D211" s="206"/>
      <c r="E211" s="423"/>
      <c r="F211" s="333"/>
      <c r="G211" s="209"/>
      <c r="H211" s="218"/>
      <c r="I211" s="218">
        <f t="shared" si="144"/>
        <v>0</v>
      </c>
      <c r="J211" s="218"/>
      <c r="K211" s="211">
        <f t="shared" si="143"/>
        <v>0</v>
      </c>
      <c r="L211" s="208"/>
      <c r="M211" s="432"/>
      <c r="N211" s="213"/>
      <c r="O211" s="212"/>
      <c r="P211" s="214">
        <f t="shared" si="145"/>
        <v>0</v>
      </c>
      <c r="Q211" s="215">
        <f t="shared" si="146"/>
        <v>0</v>
      </c>
      <c r="R211" s="215">
        <f t="shared" si="147"/>
        <v>0</v>
      </c>
      <c r="S211" s="216">
        <f t="shared" si="148"/>
        <v>0</v>
      </c>
      <c r="U211" s="219"/>
      <c r="V211" s="220"/>
      <c r="W211" s="220"/>
    </row>
    <row r="212" spans="2:23" x14ac:dyDescent="0.3">
      <c r="B212" s="205"/>
      <c r="C212" s="206"/>
      <c r="D212" s="206"/>
      <c r="E212" s="423"/>
      <c r="F212" s="333"/>
      <c r="G212" s="209"/>
      <c r="H212" s="218"/>
      <c r="I212" s="218">
        <f t="shared" si="144"/>
        <v>0</v>
      </c>
      <c r="J212" s="218"/>
      <c r="K212" s="211">
        <f t="shared" si="143"/>
        <v>0</v>
      </c>
      <c r="L212" s="208"/>
      <c r="M212" s="432"/>
      <c r="N212" s="213"/>
      <c r="O212" s="212"/>
      <c r="P212" s="214">
        <f t="shared" si="145"/>
        <v>0</v>
      </c>
      <c r="Q212" s="215">
        <f t="shared" si="146"/>
        <v>0</v>
      </c>
      <c r="R212" s="215">
        <f t="shared" si="147"/>
        <v>0</v>
      </c>
      <c r="S212" s="216">
        <f t="shared" si="148"/>
        <v>0</v>
      </c>
      <c r="U212" s="219"/>
      <c r="V212" s="220"/>
      <c r="W212" s="220"/>
    </row>
    <row r="213" spans="2:23" x14ac:dyDescent="0.3">
      <c r="B213" s="205"/>
      <c r="C213" s="206"/>
      <c r="D213" s="206"/>
      <c r="E213" s="423"/>
      <c r="F213" s="333"/>
      <c r="G213" s="209"/>
      <c r="H213" s="218"/>
      <c r="I213" s="218">
        <f t="shared" si="144"/>
        <v>0</v>
      </c>
      <c r="J213" s="218"/>
      <c r="K213" s="211">
        <f t="shared" si="143"/>
        <v>0</v>
      </c>
      <c r="L213" s="208"/>
      <c r="M213" s="432"/>
      <c r="N213" s="213"/>
      <c r="O213" s="212"/>
      <c r="P213" s="214">
        <f t="shared" si="145"/>
        <v>0</v>
      </c>
      <c r="Q213" s="215">
        <f t="shared" si="146"/>
        <v>0</v>
      </c>
      <c r="R213" s="215">
        <f t="shared" si="147"/>
        <v>0</v>
      </c>
      <c r="S213" s="216">
        <f t="shared" si="148"/>
        <v>0</v>
      </c>
      <c r="U213" s="219"/>
      <c r="V213" s="220"/>
      <c r="W213" s="220"/>
    </row>
    <row r="214" spans="2:23" x14ac:dyDescent="0.3">
      <c r="B214" s="205"/>
      <c r="C214" s="206"/>
      <c r="D214" s="206"/>
      <c r="E214" s="423"/>
      <c r="F214" s="333"/>
      <c r="G214" s="209"/>
      <c r="H214" s="218"/>
      <c r="I214" s="218">
        <f t="shared" si="144"/>
        <v>0</v>
      </c>
      <c r="J214" s="218"/>
      <c r="K214" s="211">
        <f t="shared" si="143"/>
        <v>0</v>
      </c>
      <c r="L214" s="208"/>
      <c r="M214" s="432"/>
      <c r="N214" s="213"/>
      <c r="O214" s="212"/>
      <c r="P214" s="214">
        <f t="shared" si="145"/>
        <v>0</v>
      </c>
      <c r="Q214" s="215">
        <f t="shared" si="146"/>
        <v>0</v>
      </c>
      <c r="R214" s="215">
        <f t="shared" si="147"/>
        <v>0</v>
      </c>
      <c r="S214" s="216">
        <f t="shared" si="148"/>
        <v>0</v>
      </c>
      <c r="U214" s="219"/>
      <c r="V214" s="220"/>
      <c r="W214" s="220"/>
    </row>
    <row r="215" spans="2:23" x14ac:dyDescent="0.3">
      <c r="B215" s="205"/>
      <c r="C215" s="206"/>
      <c r="D215" s="206"/>
      <c r="E215" s="423"/>
      <c r="F215" s="333"/>
      <c r="G215" s="209"/>
      <c r="H215" s="218"/>
      <c r="I215" s="218">
        <f t="shared" si="144"/>
        <v>0</v>
      </c>
      <c r="J215" s="218"/>
      <c r="K215" s="211">
        <f t="shared" si="143"/>
        <v>0</v>
      </c>
      <c r="L215" s="208"/>
      <c r="M215" s="432"/>
      <c r="N215" s="213"/>
      <c r="O215" s="212"/>
      <c r="P215" s="214">
        <f t="shared" si="145"/>
        <v>0</v>
      </c>
      <c r="Q215" s="215">
        <f t="shared" si="146"/>
        <v>0</v>
      </c>
      <c r="R215" s="215">
        <f t="shared" si="147"/>
        <v>0</v>
      </c>
      <c r="S215" s="216">
        <f t="shared" si="148"/>
        <v>0</v>
      </c>
      <c r="U215" s="219"/>
      <c r="V215" s="220"/>
      <c r="W215" s="220"/>
    </row>
    <row r="216" spans="2:23" x14ac:dyDescent="0.3">
      <c r="B216" s="205"/>
      <c r="C216" s="206"/>
      <c r="D216" s="206"/>
      <c r="E216" s="423"/>
      <c r="F216" s="333"/>
      <c r="G216" s="209"/>
      <c r="H216" s="218"/>
      <c r="I216" s="218">
        <f t="shared" si="144"/>
        <v>0</v>
      </c>
      <c r="J216" s="218"/>
      <c r="K216" s="211">
        <f t="shared" si="143"/>
        <v>0</v>
      </c>
      <c r="L216" s="208"/>
      <c r="M216" s="432"/>
      <c r="N216" s="213"/>
      <c r="O216" s="212"/>
      <c r="P216" s="214">
        <f t="shared" si="145"/>
        <v>0</v>
      </c>
      <c r="Q216" s="215">
        <f t="shared" si="146"/>
        <v>0</v>
      </c>
      <c r="R216" s="215">
        <f t="shared" si="147"/>
        <v>0</v>
      </c>
      <c r="S216" s="216">
        <f t="shared" si="148"/>
        <v>0</v>
      </c>
      <c r="U216" s="219"/>
      <c r="V216" s="220"/>
      <c r="W216" s="220"/>
    </row>
    <row r="217" spans="2:23" x14ac:dyDescent="0.3">
      <c r="B217" s="205"/>
      <c r="C217" s="206"/>
      <c r="D217" s="206"/>
      <c r="E217" s="423"/>
      <c r="F217" s="333"/>
      <c r="G217" s="209"/>
      <c r="H217" s="218"/>
      <c r="I217" s="218">
        <f t="shared" si="144"/>
        <v>0</v>
      </c>
      <c r="J217" s="218"/>
      <c r="K217" s="211">
        <f t="shared" si="143"/>
        <v>0</v>
      </c>
      <c r="L217" s="208"/>
      <c r="M217" s="432"/>
      <c r="N217" s="213"/>
      <c r="O217" s="212"/>
      <c r="P217" s="214">
        <f t="shared" si="145"/>
        <v>0</v>
      </c>
      <c r="Q217" s="215">
        <f t="shared" si="146"/>
        <v>0</v>
      </c>
      <c r="R217" s="215">
        <f t="shared" si="147"/>
        <v>0</v>
      </c>
      <c r="S217" s="216">
        <f t="shared" si="148"/>
        <v>0</v>
      </c>
      <c r="U217" s="219"/>
      <c r="V217" s="220"/>
      <c r="W217" s="220"/>
    </row>
    <row r="218" spans="2:23" x14ac:dyDescent="0.3">
      <c r="B218" s="205"/>
      <c r="C218" s="206"/>
      <c r="D218" s="206"/>
      <c r="E218" s="423"/>
      <c r="F218" s="333"/>
      <c r="G218" s="209"/>
      <c r="H218" s="218"/>
      <c r="I218" s="218">
        <f t="shared" si="144"/>
        <v>0</v>
      </c>
      <c r="J218" s="218"/>
      <c r="K218" s="211">
        <f t="shared" si="143"/>
        <v>0</v>
      </c>
      <c r="L218" s="208"/>
      <c r="M218" s="432"/>
      <c r="N218" s="213"/>
      <c r="O218" s="212"/>
      <c r="P218" s="214">
        <f t="shared" si="145"/>
        <v>0</v>
      </c>
      <c r="Q218" s="215">
        <f t="shared" si="146"/>
        <v>0</v>
      </c>
      <c r="R218" s="215">
        <f t="shared" si="147"/>
        <v>0</v>
      </c>
      <c r="S218" s="216">
        <f t="shared" si="148"/>
        <v>0</v>
      </c>
      <c r="U218" s="219"/>
      <c r="V218" s="220"/>
      <c r="W218" s="220"/>
    </row>
    <row r="219" spans="2:23" x14ac:dyDescent="0.3">
      <c r="B219" s="205"/>
      <c r="C219" s="206"/>
      <c r="D219" s="206"/>
      <c r="E219" s="423"/>
      <c r="F219" s="333"/>
      <c r="G219" s="209"/>
      <c r="H219" s="218"/>
      <c r="I219" s="218">
        <f t="shared" si="144"/>
        <v>0</v>
      </c>
      <c r="J219" s="218"/>
      <c r="K219" s="211">
        <f t="shared" ref="K219:K250" si="149">+H219*I219</f>
        <v>0</v>
      </c>
      <c r="L219" s="208"/>
      <c r="M219" s="432"/>
      <c r="N219" s="213"/>
      <c r="O219" s="212"/>
      <c r="P219" s="214">
        <f t="shared" si="145"/>
        <v>0</v>
      </c>
      <c r="Q219" s="215">
        <f t="shared" si="146"/>
        <v>0</v>
      </c>
      <c r="R219" s="215">
        <f t="shared" si="147"/>
        <v>0</v>
      </c>
      <c r="S219" s="216">
        <f t="shared" si="148"/>
        <v>0</v>
      </c>
      <c r="U219" s="219"/>
      <c r="V219" s="220"/>
      <c r="W219" s="220"/>
    </row>
    <row r="220" spans="2:23" x14ac:dyDescent="0.3">
      <c r="B220" s="205"/>
      <c r="C220" s="206"/>
      <c r="D220" s="206"/>
      <c r="E220" s="423"/>
      <c r="F220" s="333"/>
      <c r="G220" s="209"/>
      <c r="H220" s="218"/>
      <c r="I220" s="218">
        <f t="shared" si="144"/>
        <v>0</v>
      </c>
      <c r="J220" s="218"/>
      <c r="K220" s="211">
        <f t="shared" si="149"/>
        <v>0</v>
      </c>
      <c r="L220" s="208"/>
      <c r="M220" s="432"/>
      <c r="N220" s="213"/>
      <c r="O220" s="212"/>
      <c r="P220" s="214">
        <f t="shared" si="145"/>
        <v>0</v>
      </c>
      <c r="Q220" s="215">
        <f t="shared" si="146"/>
        <v>0</v>
      </c>
      <c r="R220" s="215">
        <f t="shared" si="147"/>
        <v>0</v>
      </c>
      <c r="S220" s="216">
        <f t="shared" si="148"/>
        <v>0</v>
      </c>
      <c r="U220" s="219"/>
      <c r="V220" s="220"/>
      <c r="W220" s="220"/>
    </row>
    <row r="221" spans="2:23" x14ac:dyDescent="0.3">
      <c r="B221" s="205"/>
      <c r="C221" s="206"/>
      <c r="D221" s="206"/>
      <c r="E221" s="423"/>
      <c r="F221" s="333"/>
      <c r="G221" s="209"/>
      <c r="H221" s="218"/>
      <c r="I221" s="218">
        <f t="shared" si="144"/>
        <v>0</v>
      </c>
      <c r="J221" s="218"/>
      <c r="K221" s="211">
        <f t="shared" si="149"/>
        <v>0</v>
      </c>
      <c r="L221" s="208"/>
      <c r="M221" s="432"/>
      <c r="N221" s="213"/>
      <c r="O221" s="212"/>
      <c r="P221" s="214">
        <f t="shared" si="145"/>
        <v>0</v>
      </c>
      <c r="Q221" s="215">
        <f t="shared" si="146"/>
        <v>0</v>
      </c>
      <c r="R221" s="215">
        <f t="shared" si="147"/>
        <v>0</v>
      </c>
      <c r="S221" s="216">
        <f t="shared" si="148"/>
        <v>0</v>
      </c>
      <c r="U221" s="219"/>
      <c r="V221" s="220"/>
      <c r="W221" s="220"/>
    </row>
    <row r="222" spans="2:23" x14ac:dyDescent="0.3">
      <c r="B222" s="205"/>
      <c r="C222" s="206"/>
      <c r="D222" s="206"/>
      <c r="E222" s="423"/>
      <c r="F222" s="333"/>
      <c r="G222" s="209"/>
      <c r="H222" s="218"/>
      <c r="I222" s="218">
        <f t="shared" si="144"/>
        <v>0</v>
      </c>
      <c r="J222" s="218"/>
      <c r="K222" s="211">
        <f t="shared" si="149"/>
        <v>0</v>
      </c>
      <c r="L222" s="208"/>
      <c r="M222" s="432"/>
      <c r="N222" s="213"/>
      <c r="O222" s="212"/>
      <c r="P222" s="214">
        <f t="shared" si="145"/>
        <v>0</v>
      </c>
      <c r="Q222" s="215">
        <f t="shared" si="146"/>
        <v>0</v>
      </c>
      <c r="R222" s="215">
        <f t="shared" si="147"/>
        <v>0</v>
      </c>
      <c r="S222" s="216">
        <f t="shared" si="148"/>
        <v>0</v>
      </c>
      <c r="U222" s="219"/>
      <c r="V222" s="220"/>
      <c r="W222" s="220"/>
    </row>
    <row r="223" spans="2:23" x14ac:dyDescent="0.3">
      <c r="B223" s="205"/>
      <c r="C223" s="206"/>
      <c r="D223" s="206"/>
      <c r="E223" s="423"/>
      <c r="F223" s="333"/>
      <c r="G223" s="209"/>
      <c r="H223" s="218"/>
      <c r="I223" s="218">
        <f t="shared" si="144"/>
        <v>0</v>
      </c>
      <c r="J223" s="218"/>
      <c r="K223" s="211">
        <f t="shared" si="149"/>
        <v>0</v>
      </c>
      <c r="L223" s="208"/>
      <c r="M223" s="432"/>
      <c r="N223" s="213"/>
      <c r="O223" s="212"/>
      <c r="P223" s="214">
        <f t="shared" si="145"/>
        <v>0</v>
      </c>
      <c r="Q223" s="215">
        <f t="shared" si="146"/>
        <v>0</v>
      </c>
      <c r="R223" s="215">
        <f t="shared" si="147"/>
        <v>0</v>
      </c>
      <c r="S223" s="216">
        <f t="shared" si="148"/>
        <v>0</v>
      </c>
      <c r="U223" s="219"/>
      <c r="V223" s="220"/>
      <c r="W223" s="220"/>
    </row>
    <row r="224" spans="2:23" x14ac:dyDescent="0.3">
      <c r="B224" s="205"/>
      <c r="C224" s="206"/>
      <c r="D224" s="206"/>
      <c r="E224" s="423"/>
      <c r="F224" s="333"/>
      <c r="G224" s="209"/>
      <c r="H224" s="218"/>
      <c r="I224" s="218">
        <f t="shared" si="144"/>
        <v>0</v>
      </c>
      <c r="J224" s="218"/>
      <c r="K224" s="211">
        <f t="shared" si="149"/>
        <v>0</v>
      </c>
      <c r="L224" s="208"/>
      <c r="M224" s="432"/>
      <c r="N224" s="213"/>
      <c r="O224" s="212"/>
      <c r="P224" s="214">
        <f t="shared" si="145"/>
        <v>0</v>
      </c>
      <c r="Q224" s="215">
        <f t="shared" si="146"/>
        <v>0</v>
      </c>
      <c r="R224" s="215">
        <f t="shared" si="147"/>
        <v>0</v>
      </c>
      <c r="S224" s="216">
        <f t="shared" si="148"/>
        <v>0</v>
      </c>
      <c r="U224" s="219"/>
      <c r="V224" s="220"/>
      <c r="W224" s="220"/>
    </row>
    <row r="225" spans="2:23" x14ac:dyDescent="0.3">
      <c r="B225" s="205"/>
      <c r="C225" s="206"/>
      <c r="D225" s="206"/>
      <c r="E225" s="423"/>
      <c r="F225" s="333"/>
      <c r="G225" s="209"/>
      <c r="H225" s="218"/>
      <c r="I225" s="218">
        <f t="shared" si="144"/>
        <v>0</v>
      </c>
      <c r="J225" s="218"/>
      <c r="K225" s="211">
        <f t="shared" si="149"/>
        <v>0</v>
      </c>
      <c r="L225" s="208"/>
      <c r="M225" s="432"/>
      <c r="N225" s="213"/>
      <c r="O225" s="212"/>
      <c r="P225" s="214">
        <f t="shared" si="145"/>
        <v>0</v>
      </c>
      <c r="Q225" s="215">
        <f t="shared" si="146"/>
        <v>0</v>
      </c>
      <c r="R225" s="215">
        <f t="shared" si="147"/>
        <v>0</v>
      </c>
      <c r="S225" s="216">
        <f t="shared" si="148"/>
        <v>0</v>
      </c>
      <c r="U225" s="219"/>
      <c r="V225" s="220"/>
      <c r="W225" s="220"/>
    </row>
    <row r="226" spans="2:23" x14ac:dyDescent="0.3">
      <c r="B226" s="205"/>
      <c r="C226" s="206"/>
      <c r="D226" s="206"/>
      <c r="E226" s="423"/>
      <c r="F226" s="333"/>
      <c r="G226" s="209"/>
      <c r="H226" s="218"/>
      <c r="I226" s="218">
        <f t="shared" si="144"/>
        <v>0</v>
      </c>
      <c r="J226" s="218"/>
      <c r="K226" s="211">
        <f t="shared" si="149"/>
        <v>0</v>
      </c>
      <c r="L226" s="208"/>
      <c r="M226" s="432"/>
      <c r="N226" s="213"/>
      <c r="O226" s="212"/>
      <c r="P226" s="214">
        <f t="shared" si="145"/>
        <v>0</v>
      </c>
      <c r="Q226" s="215">
        <f t="shared" si="146"/>
        <v>0</v>
      </c>
      <c r="R226" s="215">
        <f t="shared" si="147"/>
        <v>0</v>
      </c>
      <c r="S226" s="216">
        <f t="shared" si="148"/>
        <v>0</v>
      </c>
      <c r="U226" s="219"/>
      <c r="V226" s="220"/>
      <c r="W226" s="220"/>
    </row>
    <row r="227" spans="2:23" x14ac:dyDescent="0.3">
      <c r="B227" s="205"/>
      <c r="C227" s="206"/>
      <c r="D227" s="206"/>
      <c r="E227" s="423"/>
      <c r="F227" s="333"/>
      <c r="G227" s="209"/>
      <c r="H227" s="218"/>
      <c r="I227" s="218">
        <f t="shared" si="144"/>
        <v>0</v>
      </c>
      <c r="J227" s="218"/>
      <c r="K227" s="211">
        <f t="shared" si="149"/>
        <v>0</v>
      </c>
      <c r="L227" s="208"/>
      <c r="M227" s="432"/>
      <c r="N227" s="213"/>
      <c r="O227" s="212"/>
      <c r="P227" s="214">
        <f t="shared" si="145"/>
        <v>0</v>
      </c>
      <c r="Q227" s="215">
        <f t="shared" si="146"/>
        <v>0</v>
      </c>
      <c r="R227" s="215">
        <f t="shared" si="147"/>
        <v>0</v>
      </c>
      <c r="S227" s="216">
        <f t="shared" si="148"/>
        <v>0</v>
      </c>
      <c r="U227" s="219"/>
      <c r="V227" s="220"/>
      <c r="W227" s="220"/>
    </row>
    <row r="228" spans="2:23" x14ac:dyDescent="0.3">
      <c r="B228" s="205"/>
      <c r="C228" s="206"/>
      <c r="D228" s="206"/>
      <c r="E228" s="423"/>
      <c r="F228" s="333"/>
      <c r="G228" s="209"/>
      <c r="H228" s="218"/>
      <c r="I228" s="218">
        <f t="shared" si="144"/>
        <v>0</v>
      </c>
      <c r="J228" s="218"/>
      <c r="K228" s="211">
        <f t="shared" si="149"/>
        <v>0</v>
      </c>
      <c r="L228" s="208"/>
      <c r="M228" s="432"/>
      <c r="N228" s="213"/>
      <c r="O228" s="212"/>
      <c r="P228" s="214">
        <f t="shared" si="145"/>
        <v>0</v>
      </c>
      <c r="Q228" s="215">
        <f t="shared" si="146"/>
        <v>0</v>
      </c>
      <c r="R228" s="215">
        <f t="shared" si="147"/>
        <v>0</v>
      </c>
      <c r="S228" s="216">
        <f t="shared" si="148"/>
        <v>0</v>
      </c>
      <c r="U228" s="219"/>
      <c r="V228" s="220"/>
      <c r="W228" s="220"/>
    </row>
    <row r="229" spans="2:23" x14ac:dyDescent="0.3">
      <c r="B229" s="205"/>
      <c r="C229" s="206"/>
      <c r="D229" s="206"/>
      <c r="E229" s="423"/>
      <c r="F229" s="333"/>
      <c r="G229" s="209"/>
      <c r="H229" s="218"/>
      <c r="I229" s="218">
        <f t="shared" si="144"/>
        <v>0</v>
      </c>
      <c r="J229" s="218"/>
      <c r="K229" s="211">
        <f t="shared" si="149"/>
        <v>0</v>
      </c>
      <c r="L229" s="208"/>
      <c r="M229" s="432"/>
      <c r="N229" s="213"/>
      <c r="O229" s="212"/>
      <c r="P229" s="214">
        <f t="shared" si="145"/>
        <v>0</v>
      </c>
      <c r="Q229" s="215">
        <f t="shared" si="146"/>
        <v>0</v>
      </c>
      <c r="R229" s="215">
        <f t="shared" si="147"/>
        <v>0</v>
      </c>
      <c r="S229" s="216">
        <f t="shared" si="148"/>
        <v>0</v>
      </c>
      <c r="U229" s="219"/>
      <c r="V229" s="220"/>
      <c r="W229" s="220"/>
    </row>
    <row r="230" spans="2:23" x14ac:dyDescent="0.3">
      <c r="B230" s="205"/>
      <c r="C230" s="206"/>
      <c r="D230" s="206"/>
      <c r="E230" s="423"/>
      <c r="F230" s="333"/>
      <c r="G230" s="209"/>
      <c r="H230" s="218"/>
      <c r="I230" s="218">
        <f t="shared" si="144"/>
        <v>0</v>
      </c>
      <c r="J230" s="218"/>
      <c r="K230" s="211">
        <f t="shared" si="149"/>
        <v>0</v>
      </c>
      <c r="L230" s="208"/>
      <c r="M230" s="432"/>
      <c r="N230" s="213"/>
      <c r="O230" s="212"/>
      <c r="P230" s="214">
        <f t="shared" si="145"/>
        <v>0</v>
      </c>
      <c r="Q230" s="215">
        <f t="shared" si="146"/>
        <v>0</v>
      </c>
      <c r="R230" s="215">
        <f t="shared" si="147"/>
        <v>0</v>
      </c>
      <c r="S230" s="216">
        <f t="shared" si="148"/>
        <v>0</v>
      </c>
      <c r="U230" s="219"/>
      <c r="V230" s="220"/>
      <c r="W230" s="220"/>
    </row>
    <row r="231" spans="2:23" x14ac:dyDescent="0.3">
      <c r="B231" s="205"/>
      <c r="C231" s="206"/>
      <c r="D231" s="206"/>
      <c r="E231" s="423"/>
      <c r="F231" s="333"/>
      <c r="G231" s="209"/>
      <c r="H231" s="218"/>
      <c r="I231" s="218">
        <f t="shared" si="144"/>
        <v>0</v>
      </c>
      <c r="J231" s="218"/>
      <c r="K231" s="211">
        <f t="shared" si="149"/>
        <v>0</v>
      </c>
      <c r="L231" s="208"/>
      <c r="M231" s="432"/>
      <c r="N231" s="213"/>
      <c r="O231" s="212"/>
      <c r="P231" s="214">
        <f t="shared" si="145"/>
        <v>0</v>
      </c>
      <c r="Q231" s="215">
        <f t="shared" si="146"/>
        <v>0</v>
      </c>
      <c r="R231" s="215">
        <f t="shared" si="147"/>
        <v>0</v>
      </c>
      <c r="S231" s="216">
        <f t="shared" si="148"/>
        <v>0</v>
      </c>
      <c r="U231" s="219"/>
      <c r="V231" s="220"/>
      <c r="W231" s="220"/>
    </row>
    <row r="232" spans="2:23" x14ac:dyDescent="0.3">
      <c r="B232" s="205"/>
      <c r="C232" s="206"/>
      <c r="D232" s="206"/>
      <c r="E232" s="423"/>
      <c r="F232" s="333"/>
      <c r="G232" s="209"/>
      <c r="H232" s="218"/>
      <c r="I232" s="218">
        <f t="shared" si="144"/>
        <v>0</v>
      </c>
      <c r="J232" s="218"/>
      <c r="K232" s="211">
        <f t="shared" si="149"/>
        <v>0</v>
      </c>
      <c r="L232" s="208"/>
      <c r="M232" s="432"/>
      <c r="N232" s="213"/>
      <c r="O232" s="212"/>
      <c r="P232" s="214">
        <f t="shared" si="145"/>
        <v>0</v>
      </c>
      <c r="Q232" s="215">
        <f t="shared" si="146"/>
        <v>0</v>
      </c>
      <c r="R232" s="215">
        <f t="shared" si="147"/>
        <v>0</v>
      </c>
      <c r="S232" s="216">
        <f t="shared" si="148"/>
        <v>0</v>
      </c>
      <c r="U232" s="219"/>
      <c r="V232" s="220"/>
      <c r="W232" s="220"/>
    </row>
    <row r="233" spans="2:23" x14ac:dyDescent="0.3">
      <c r="B233" s="205"/>
      <c r="C233" s="206"/>
      <c r="D233" s="206"/>
      <c r="E233" s="423"/>
      <c r="F233" s="333"/>
      <c r="G233" s="209"/>
      <c r="H233" s="218"/>
      <c r="I233" s="218">
        <f t="shared" si="144"/>
        <v>0</v>
      </c>
      <c r="J233" s="218"/>
      <c r="K233" s="211">
        <f t="shared" si="149"/>
        <v>0</v>
      </c>
      <c r="L233" s="208"/>
      <c r="M233" s="432"/>
      <c r="N233" s="213"/>
      <c r="O233" s="212"/>
      <c r="P233" s="214">
        <f t="shared" si="145"/>
        <v>0</v>
      </c>
      <c r="Q233" s="215">
        <f t="shared" si="146"/>
        <v>0</v>
      </c>
      <c r="R233" s="215">
        <f t="shared" si="147"/>
        <v>0</v>
      </c>
      <c r="S233" s="216">
        <f t="shared" si="148"/>
        <v>0</v>
      </c>
      <c r="U233" s="219"/>
      <c r="V233" s="220"/>
      <c r="W233" s="220"/>
    </row>
    <row r="234" spans="2:23" x14ac:dyDescent="0.3">
      <c r="B234" s="205"/>
      <c r="C234" s="206"/>
      <c r="D234" s="206"/>
      <c r="E234" s="423"/>
      <c r="F234" s="333"/>
      <c r="G234" s="209"/>
      <c r="H234" s="218"/>
      <c r="I234" s="218">
        <f t="shared" si="144"/>
        <v>0</v>
      </c>
      <c r="J234" s="218"/>
      <c r="K234" s="211">
        <f t="shared" si="149"/>
        <v>0</v>
      </c>
      <c r="L234" s="208"/>
      <c r="M234" s="432"/>
      <c r="N234" s="213"/>
      <c r="O234" s="212"/>
      <c r="P234" s="214">
        <f t="shared" si="145"/>
        <v>0</v>
      </c>
      <c r="Q234" s="215">
        <f t="shared" si="146"/>
        <v>0</v>
      </c>
      <c r="R234" s="215">
        <f t="shared" si="147"/>
        <v>0</v>
      </c>
      <c r="S234" s="216">
        <f t="shared" si="148"/>
        <v>0</v>
      </c>
      <c r="U234" s="219"/>
      <c r="V234" s="220"/>
      <c r="W234" s="220"/>
    </row>
    <row r="235" spans="2:23" x14ac:dyDescent="0.3">
      <c r="B235" s="205"/>
      <c r="C235" s="206"/>
      <c r="D235" s="206"/>
      <c r="E235" s="423"/>
      <c r="F235" s="333"/>
      <c r="G235" s="209"/>
      <c r="H235" s="218"/>
      <c r="I235" s="218">
        <f t="shared" si="144"/>
        <v>0</v>
      </c>
      <c r="J235" s="218"/>
      <c r="K235" s="211">
        <f t="shared" si="149"/>
        <v>0</v>
      </c>
      <c r="L235" s="208"/>
      <c r="M235" s="432"/>
      <c r="N235" s="213"/>
      <c r="O235" s="212"/>
      <c r="P235" s="214">
        <f t="shared" si="145"/>
        <v>0</v>
      </c>
      <c r="Q235" s="215">
        <f t="shared" si="146"/>
        <v>0</v>
      </c>
      <c r="R235" s="215">
        <f t="shared" si="147"/>
        <v>0</v>
      </c>
      <c r="S235" s="216">
        <f t="shared" si="148"/>
        <v>0</v>
      </c>
      <c r="U235" s="219"/>
      <c r="V235" s="220"/>
      <c r="W235" s="220"/>
    </row>
    <row r="236" spans="2:23" x14ac:dyDescent="0.3">
      <c r="B236" s="205"/>
      <c r="C236" s="206"/>
      <c r="D236" s="206"/>
      <c r="E236" s="423"/>
      <c r="F236" s="333"/>
      <c r="G236" s="209"/>
      <c r="H236" s="218"/>
      <c r="I236" s="218">
        <f t="shared" si="144"/>
        <v>0</v>
      </c>
      <c r="J236" s="218"/>
      <c r="K236" s="211">
        <f t="shared" si="149"/>
        <v>0</v>
      </c>
      <c r="L236" s="208"/>
      <c r="M236" s="432"/>
      <c r="N236" s="213"/>
      <c r="O236" s="212"/>
      <c r="P236" s="214">
        <f t="shared" si="145"/>
        <v>0</v>
      </c>
      <c r="Q236" s="215">
        <f t="shared" si="146"/>
        <v>0</v>
      </c>
      <c r="R236" s="215">
        <f t="shared" si="147"/>
        <v>0</v>
      </c>
      <c r="S236" s="216">
        <f t="shared" si="148"/>
        <v>0</v>
      </c>
      <c r="U236" s="219"/>
      <c r="V236" s="220"/>
      <c r="W236" s="220"/>
    </row>
    <row r="237" spans="2:23" x14ac:dyDescent="0.3">
      <c r="B237" s="205"/>
      <c r="C237" s="206"/>
      <c r="D237" s="206"/>
      <c r="E237" s="423"/>
      <c r="F237" s="333"/>
      <c r="G237" s="209"/>
      <c r="H237" s="218"/>
      <c r="I237" s="218">
        <f t="shared" si="144"/>
        <v>0</v>
      </c>
      <c r="J237" s="218"/>
      <c r="K237" s="211">
        <f t="shared" si="149"/>
        <v>0</v>
      </c>
      <c r="L237" s="208"/>
      <c r="M237" s="432"/>
      <c r="N237" s="213"/>
      <c r="O237" s="212"/>
      <c r="P237" s="214">
        <f t="shared" si="145"/>
        <v>0</v>
      </c>
      <c r="Q237" s="215">
        <f t="shared" si="146"/>
        <v>0</v>
      </c>
      <c r="R237" s="215">
        <f t="shared" si="147"/>
        <v>0</v>
      </c>
      <c r="S237" s="216">
        <f t="shared" si="148"/>
        <v>0</v>
      </c>
      <c r="U237" s="219"/>
      <c r="V237" s="220"/>
      <c r="W237" s="220"/>
    </row>
    <row r="238" spans="2:23" x14ac:dyDescent="0.3">
      <c r="B238" s="205"/>
      <c r="C238" s="206"/>
      <c r="D238" s="206"/>
      <c r="E238" s="423"/>
      <c r="F238" s="333"/>
      <c r="G238" s="209"/>
      <c r="H238" s="218"/>
      <c r="I238" s="218">
        <f t="shared" si="144"/>
        <v>0</v>
      </c>
      <c r="J238" s="218"/>
      <c r="K238" s="211">
        <f t="shared" si="149"/>
        <v>0</v>
      </c>
      <c r="L238" s="208"/>
      <c r="M238" s="432"/>
      <c r="N238" s="213"/>
      <c r="O238" s="212"/>
      <c r="P238" s="214">
        <f t="shared" si="145"/>
        <v>0</v>
      </c>
      <c r="Q238" s="215">
        <f t="shared" si="146"/>
        <v>0</v>
      </c>
      <c r="R238" s="215">
        <f t="shared" si="147"/>
        <v>0</v>
      </c>
      <c r="S238" s="216">
        <f t="shared" si="148"/>
        <v>0</v>
      </c>
      <c r="U238" s="219"/>
      <c r="V238" s="220"/>
      <c r="W238" s="220"/>
    </row>
    <row r="239" spans="2:23" x14ac:dyDescent="0.3">
      <c r="B239" s="205"/>
      <c r="C239" s="206"/>
      <c r="D239" s="206"/>
      <c r="E239" s="423"/>
      <c r="F239" s="333"/>
      <c r="G239" s="209"/>
      <c r="H239" s="218"/>
      <c r="I239" s="218">
        <f t="shared" si="144"/>
        <v>0</v>
      </c>
      <c r="J239" s="218"/>
      <c r="K239" s="211">
        <f t="shared" si="149"/>
        <v>0</v>
      </c>
      <c r="L239" s="208"/>
      <c r="M239" s="432"/>
      <c r="N239" s="213"/>
      <c r="O239" s="212"/>
      <c r="P239" s="214">
        <f t="shared" si="145"/>
        <v>0</v>
      </c>
      <c r="Q239" s="215">
        <f t="shared" si="146"/>
        <v>0</v>
      </c>
      <c r="R239" s="215">
        <f t="shared" si="147"/>
        <v>0</v>
      </c>
      <c r="S239" s="216">
        <f t="shared" si="148"/>
        <v>0</v>
      </c>
      <c r="U239" s="219"/>
      <c r="V239" s="220"/>
      <c r="W239" s="220"/>
    </row>
    <row r="240" spans="2:23" x14ac:dyDescent="0.3">
      <c r="B240" s="205"/>
      <c r="C240" s="206"/>
      <c r="D240" s="206"/>
      <c r="E240" s="423"/>
      <c r="F240" s="333"/>
      <c r="G240" s="209"/>
      <c r="H240" s="218"/>
      <c r="I240" s="218">
        <f t="shared" si="144"/>
        <v>0</v>
      </c>
      <c r="J240" s="218"/>
      <c r="K240" s="211">
        <f t="shared" si="149"/>
        <v>0</v>
      </c>
      <c r="L240" s="208"/>
      <c r="M240" s="432"/>
      <c r="N240" s="213"/>
      <c r="O240" s="212"/>
      <c r="P240" s="214">
        <f t="shared" si="145"/>
        <v>0</v>
      </c>
      <c r="Q240" s="215">
        <f t="shared" si="146"/>
        <v>0</v>
      </c>
      <c r="R240" s="215">
        <f t="shared" si="147"/>
        <v>0</v>
      </c>
      <c r="S240" s="216">
        <f t="shared" si="148"/>
        <v>0</v>
      </c>
      <c r="U240" s="219"/>
      <c r="V240" s="220"/>
      <c r="W240" s="220"/>
    </row>
    <row r="241" spans="2:23" x14ac:dyDescent="0.3">
      <c r="B241" s="205"/>
      <c r="C241" s="206"/>
      <c r="D241" s="206"/>
      <c r="E241" s="423"/>
      <c r="F241" s="333"/>
      <c r="G241" s="209"/>
      <c r="H241" s="218"/>
      <c r="I241" s="218">
        <f t="shared" si="144"/>
        <v>0</v>
      </c>
      <c r="J241" s="218"/>
      <c r="K241" s="211">
        <f t="shared" si="149"/>
        <v>0</v>
      </c>
      <c r="L241" s="208"/>
      <c r="M241" s="432"/>
      <c r="N241" s="213"/>
      <c r="O241" s="212"/>
      <c r="P241" s="214">
        <f t="shared" si="145"/>
        <v>0</v>
      </c>
      <c r="Q241" s="215">
        <f t="shared" si="146"/>
        <v>0</v>
      </c>
      <c r="R241" s="215">
        <f t="shared" si="147"/>
        <v>0</v>
      </c>
      <c r="S241" s="216">
        <f t="shared" si="148"/>
        <v>0</v>
      </c>
      <c r="U241" s="219"/>
      <c r="V241" s="220"/>
      <c r="W241" s="220"/>
    </row>
    <row r="242" spans="2:23" x14ac:dyDescent="0.3">
      <c r="B242" s="205"/>
      <c r="C242" s="206"/>
      <c r="D242" s="206"/>
      <c r="E242" s="423"/>
      <c r="F242" s="333"/>
      <c r="G242" s="209"/>
      <c r="H242" s="218"/>
      <c r="I242" s="218">
        <f t="shared" si="144"/>
        <v>0</v>
      </c>
      <c r="J242" s="218"/>
      <c r="K242" s="211">
        <f t="shared" si="149"/>
        <v>0</v>
      </c>
      <c r="L242" s="208"/>
      <c r="M242" s="432"/>
      <c r="N242" s="213"/>
      <c r="O242" s="212"/>
      <c r="P242" s="214">
        <f t="shared" si="145"/>
        <v>0</v>
      </c>
      <c r="Q242" s="215">
        <f t="shared" si="146"/>
        <v>0</v>
      </c>
      <c r="R242" s="215">
        <f t="shared" si="147"/>
        <v>0</v>
      </c>
      <c r="S242" s="216">
        <f t="shared" si="148"/>
        <v>0</v>
      </c>
      <c r="U242" s="219"/>
      <c r="V242" s="220"/>
      <c r="W242" s="220"/>
    </row>
    <row r="243" spans="2:23" x14ac:dyDescent="0.3">
      <c r="B243" s="205"/>
      <c r="C243" s="206"/>
      <c r="D243" s="206"/>
      <c r="E243" s="423"/>
      <c r="F243" s="333"/>
      <c r="G243" s="209"/>
      <c r="H243" s="218"/>
      <c r="I243" s="218">
        <f t="shared" si="144"/>
        <v>0</v>
      </c>
      <c r="J243" s="218"/>
      <c r="K243" s="211">
        <f t="shared" si="149"/>
        <v>0</v>
      </c>
      <c r="L243" s="208"/>
      <c r="M243" s="432"/>
      <c r="N243" s="213"/>
      <c r="O243" s="212"/>
      <c r="P243" s="214">
        <f t="shared" si="145"/>
        <v>0</v>
      </c>
      <c r="Q243" s="215">
        <f t="shared" si="146"/>
        <v>0</v>
      </c>
      <c r="R243" s="215">
        <f t="shared" si="147"/>
        <v>0</v>
      </c>
      <c r="S243" s="216">
        <f t="shared" si="148"/>
        <v>0</v>
      </c>
      <c r="U243" s="219"/>
      <c r="V243" s="220"/>
      <c r="W243" s="220"/>
    </row>
    <row r="244" spans="2:23" x14ac:dyDescent="0.3">
      <c r="B244" s="205"/>
      <c r="C244" s="206"/>
      <c r="D244" s="206"/>
      <c r="E244" s="423"/>
      <c r="F244" s="333"/>
      <c r="G244" s="209"/>
      <c r="H244" s="218"/>
      <c r="I244" s="218">
        <f t="shared" si="144"/>
        <v>0</v>
      </c>
      <c r="J244" s="218"/>
      <c r="K244" s="211">
        <f t="shared" si="149"/>
        <v>0</v>
      </c>
      <c r="L244" s="208"/>
      <c r="M244" s="432"/>
      <c r="N244" s="213"/>
      <c r="O244" s="212"/>
      <c r="P244" s="214">
        <f t="shared" si="145"/>
        <v>0</v>
      </c>
      <c r="Q244" s="215">
        <f t="shared" si="146"/>
        <v>0</v>
      </c>
      <c r="R244" s="215">
        <f t="shared" si="147"/>
        <v>0</v>
      </c>
      <c r="S244" s="216">
        <f t="shared" si="148"/>
        <v>0</v>
      </c>
      <c r="U244" s="219"/>
      <c r="V244" s="220"/>
      <c r="W244" s="220"/>
    </row>
    <row r="245" spans="2:23" x14ac:dyDescent="0.3">
      <c r="B245" s="205"/>
      <c r="C245" s="206"/>
      <c r="D245" s="206"/>
      <c r="E245" s="423"/>
      <c r="F245" s="333"/>
      <c r="G245" s="209"/>
      <c r="H245" s="218"/>
      <c r="I245" s="218">
        <f t="shared" si="144"/>
        <v>0</v>
      </c>
      <c r="J245" s="218"/>
      <c r="K245" s="211">
        <f t="shared" si="149"/>
        <v>0</v>
      </c>
      <c r="L245" s="208"/>
      <c r="M245" s="432"/>
      <c r="N245" s="213"/>
      <c r="O245" s="212"/>
      <c r="P245" s="214">
        <f t="shared" si="145"/>
        <v>0</v>
      </c>
      <c r="Q245" s="215">
        <f t="shared" si="146"/>
        <v>0</v>
      </c>
      <c r="R245" s="215">
        <f t="shared" si="147"/>
        <v>0</v>
      </c>
      <c r="S245" s="216">
        <f t="shared" si="148"/>
        <v>0</v>
      </c>
      <c r="U245" s="219"/>
      <c r="V245" s="220"/>
      <c r="W245" s="220"/>
    </row>
    <row r="246" spans="2:23" x14ac:dyDescent="0.3">
      <c r="B246" s="205"/>
      <c r="C246" s="206"/>
      <c r="D246" s="206"/>
      <c r="E246" s="423"/>
      <c r="F246" s="333"/>
      <c r="G246" s="209"/>
      <c r="H246" s="218"/>
      <c r="I246" s="218">
        <f t="shared" si="144"/>
        <v>0</v>
      </c>
      <c r="J246" s="218"/>
      <c r="K246" s="211">
        <f t="shared" si="149"/>
        <v>0</v>
      </c>
      <c r="L246" s="208"/>
      <c r="M246" s="432"/>
      <c r="N246" s="213"/>
      <c r="O246" s="212"/>
      <c r="P246" s="214">
        <f t="shared" si="145"/>
        <v>0</v>
      </c>
      <c r="Q246" s="215">
        <f t="shared" si="146"/>
        <v>0</v>
      </c>
      <c r="R246" s="215">
        <f t="shared" si="147"/>
        <v>0</v>
      </c>
      <c r="S246" s="216">
        <f t="shared" si="148"/>
        <v>0</v>
      </c>
      <c r="U246" s="219"/>
      <c r="V246" s="220"/>
      <c r="W246" s="220"/>
    </row>
    <row r="247" spans="2:23" x14ac:dyDescent="0.3">
      <c r="B247" s="205"/>
      <c r="C247" s="206"/>
      <c r="D247" s="206"/>
      <c r="E247" s="423"/>
      <c r="F247" s="333"/>
      <c r="G247" s="209"/>
      <c r="H247" s="218"/>
      <c r="I247" s="218">
        <f t="shared" si="144"/>
        <v>0</v>
      </c>
      <c r="J247" s="218"/>
      <c r="K247" s="211">
        <f t="shared" si="149"/>
        <v>0</v>
      </c>
      <c r="L247" s="208"/>
      <c r="M247" s="432"/>
      <c r="N247" s="213"/>
      <c r="O247" s="212"/>
      <c r="P247" s="214">
        <f t="shared" si="145"/>
        <v>0</v>
      </c>
      <c r="Q247" s="215">
        <f t="shared" si="146"/>
        <v>0</v>
      </c>
      <c r="R247" s="215">
        <f t="shared" si="147"/>
        <v>0</v>
      </c>
      <c r="S247" s="216">
        <f t="shared" si="148"/>
        <v>0</v>
      </c>
      <c r="U247" s="219"/>
      <c r="V247" s="220"/>
      <c r="W247" s="220"/>
    </row>
    <row r="248" spans="2:23" x14ac:dyDescent="0.3">
      <c r="B248" s="205"/>
      <c r="C248" s="206"/>
      <c r="D248" s="206"/>
      <c r="E248" s="423"/>
      <c r="F248" s="333"/>
      <c r="G248" s="209"/>
      <c r="H248" s="218"/>
      <c r="I248" s="218">
        <f t="shared" si="144"/>
        <v>0</v>
      </c>
      <c r="J248" s="218"/>
      <c r="K248" s="211">
        <f t="shared" si="149"/>
        <v>0</v>
      </c>
      <c r="L248" s="208"/>
      <c r="M248" s="432"/>
      <c r="N248" s="213"/>
      <c r="O248" s="212"/>
      <c r="P248" s="214">
        <f t="shared" si="145"/>
        <v>0</v>
      </c>
      <c r="Q248" s="215">
        <f t="shared" si="146"/>
        <v>0</v>
      </c>
      <c r="R248" s="215">
        <f t="shared" si="147"/>
        <v>0</v>
      </c>
      <c r="S248" s="216">
        <f t="shared" si="148"/>
        <v>0</v>
      </c>
      <c r="U248" s="219"/>
      <c r="V248" s="220"/>
      <c r="W248" s="220"/>
    </row>
    <row r="249" spans="2:23" x14ac:dyDescent="0.3">
      <c r="B249" s="205"/>
      <c r="C249" s="206"/>
      <c r="D249" s="206"/>
      <c r="E249" s="423"/>
      <c r="F249" s="333"/>
      <c r="G249" s="209"/>
      <c r="H249" s="218"/>
      <c r="I249" s="218">
        <f t="shared" si="144"/>
        <v>0</v>
      </c>
      <c r="J249" s="218"/>
      <c r="K249" s="211">
        <f t="shared" si="149"/>
        <v>0</v>
      </c>
      <c r="L249" s="208"/>
      <c r="M249" s="432"/>
      <c r="N249" s="213"/>
      <c r="O249" s="212"/>
      <c r="P249" s="214">
        <f t="shared" si="145"/>
        <v>0</v>
      </c>
      <c r="Q249" s="215">
        <f t="shared" si="146"/>
        <v>0</v>
      </c>
      <c r="R249" s="215">
        <f t="shared" si="147"/>
        <v>0</v>
      </c>
      <c r="S249" s="216">
        <f t="shared" si="148"/>
        <v>0</v>
      </c>
      <c r="U249" s="219"/>
      <c r="V249" s="220"/>
      <c r="W249" s="220"/>
    </row>
    <row r="250" spans="2:23" x14ac:dyDescent="0.3">
      <c r="B250" s="205"/>
      <c r="C250" s="206"/>
      <c r="D250" s="206"/>
      <c r="E250" s="423"/>
      <c r="F250" s="333"/>
      <c r="G250" s="209"/>
      <c r="H250" s="218"/>
      <c r="I250" s="218">
        <f t="shared" si="144"/>
        <v>0</v>
      </c>
      <c r="J250" s="218"/>
      <c r="K250" s="211">
        <f t="shared" si="149"/>
        <v>0</v>
      </c>
      <c r="L250" s="208"/>
      <c r="M250" s="432"/>
      <c r="N250" s="213"/>
      <c r="O250" s="212"/>
      <c r="P250" s="214">
        <f t="shared" si="145"/>
        <v>0</v>
      </c>
      <c r="Q250" s="215">
        <f t="shared" si="146"/>
        <v>0</v>
      </c>
      <c r="R250" s="215">
        <f t="shared" si="147"/>
        <v>0</v>
      </c>
      <c r="S250" s="216">
        <f t="shared" si="148"/>
        <v>0</v>
      </c>
      <c r="U250" s="219"/>
      <c r="V250" s="220"/>
      <c r="W250" s="220"/>
    </row>
    <row r="251" spans="2:23" x14ac:dyDescent="0.3">
      <c r="B251" s="205"/>
      <c r="C251" s="206"/>
      <c r="D251" s="206"/>
      <c r="E251" s="423"/>
      <c r="F251" s="333"/>
      <c r="G251" s="209"/>
      <c r="H251" s="218"/>
      <c r="I251" s="218">
        <f t="shared" si="144"/>
        <v>0</v>
      </c>
      <c r="J251" s="218"/>
      <c r="K251" s="211">
        <f t="shared" ref="K251:K282" si="150">+H251*I251</f>
        <v>0</v>
      </c>
      <c r="L251" s="208"/>
      <c r="M251" s="432"/>
      <c r="N251" s="213"/>
      <c r="O251" s="212"/>
      <c r="P251" s="214">
        <f t="shared" si="145"/>
        <v>0</v>
      </c>
      <c r="Q251" s="215">
        <f t="shared" si="146"/>
        <v>0</v>
      </c>
      <c r="R251" s="215">
        <f t="shared" si="147"/>
        <v>0</v>
      </c>
      <c r="S251" s="216">
        <f t="shared" si="148"/>
        <v>0</v>
      </c>
      <c r="U251" s="219"/>
      <c r="V251" s="220"/>
      <c r="W251" s="220"/>
    </row>
    <row r="252" spans="2:23" x14ac:dyDescent="0.3">
      <c r="B252" s="205"/>
      <c r="C252" s="206"/>
      <c r="D252" s="206"/>
      <c r="E252" s="423"/>
      <c r="F252" s="333"/>
      <c r="G252" s="209"/>
      <c r="H252" s="218"/>
      <c r="I252" s="218">
        <f t="shared" si="144"/>
        <v>0</v>
      </c>
      <c r="J252" s="218"/>
      <c r="K252" s="211">
        <f t="shared" si="150"/>
        <v>0</v>
      </c>
      <c r="L252" s="208"/>
      <c r="M252" s="432"/>
      <c r="N252" s="213"/>
      <c r="O252" s="212"/>
      <c r="P252" s="214">
        <f t="shared" si="145"/>
        <v>0</v>
      </c>
      <c r="Q252" s="215">
        <f t="shared" si="146"/>
        <v>0</v>
      </c>
      <c r="R252" s="215">
        <f t="shared" si="147"/>
        <v>0</v>
      </c>
      <c r="S252" s="216">
        <f t="shared" si="148"/>
        <v>0</v>
      </c>
      <c r="U252" s="219"/>
      <c r="V252" s="220"/>
      <c r="W252" s="220"/>
    </row>
    <row r="253" spans="2:23" x14ac:dyDescent="0.3">
      <c r="B253" s="205"/>
      <c r="C253" s="206"/>
      <c r="D253" s="206"/>
      <c r="E253" s="423"/>
      <c r="F253" s="333"/>
      <c r="G253" s="209"/>
      <c r="H253" s="218"/>
      <c r="I253" s="218">
        <f t="shared" si="144"/>
        <v>0</v>
      </c>
      <c r="J253" s="218"/>
      <c r="K253" s="211">
        <f t="shared" si="150"/>
        <v>0</v>
      </c>
      <c r="L253" s="208"/>
      <c r="M253" s="432"/>
      <c r="N253" s="213"/>
      <c r="O253" s="212"/>
      <c r="P253" s="214">
        <f t="shared" si="145"/>
        <v>0</v>
      </c>
      <c r="Q253" s="215">
        <f t="shared" si="146"/>
        <v>0</v>
      </c>
      <c r="R253" s="215">
        <f t="shared" si="147"/>
        <v>0</v>
      </c>
      <c r="S253" s="216">
        <f t="shared" si="148"/>
        <v>0</v>
      </c>
      <c r="U253" s="219"/>
      <c r="V253" s="220"/>
      <c r="W253" s="220"/>
    </row>
    <row r="254" spans="2:23" x14ac:dyDescent="0.3">
      <c r="B254" s="205"/>
      <c r="C254" s="206"/>
      <c r="D254" s="206"/>
      <c r="E254" s="423"/>
      <c r="F254" s="333"/>
      <c r="G254" s="209"/>
      <c r="H254" s="218"/>
      <c r="I254" s="218">
        <f t="shared" si="144"/>
        <v>0</v>
      </c>
      <c r="J254" s="218"/>
      <c r="K254" s="211">
        <f t="shared" si="150"/>
        <v>0</v>
      </c>
      <c r="L254" s="208"/>
      <c r="M254" s="432"/>
      <c r="N254" s="213"/>
      <c r="O254" s="212"/>
      <c r="P254" s="214">
        <f t="shared" si="145"/>
        <v>0</v>
      </c>
      <c r="Q254" s="215">
        <f t="shared" si="146"/>
        <v>0</v>
      </c>
      <c r="R254" s="215">
        <f t="shared" si="147"/>
        <v>0</v>
      </c>
      <c r="S254" s="216">
        <f t="shared" si="148"/>
        <v>0</v>
      </c>
      <c r="U254" s="219"/>
      <c r="V254" s="220"/>
      <c r="W254" s="220"/>
    </row>
    <row r="255" spans="2:23" x14ac:dyDescent="0.3">
      <c r="B255" s="205"/>
      <c r="C255" s="206"/>
      <c r="D255" s="206"/>
      <c r="E255" s="423"/>
      <c r="F255" s="333"/>
      <c r="G255" s="209"/>
      <c r="H255" s="218"/>
      <c r="I255" s="218">
        <f t="shared" si="144"/>
        <v>0</v>
      </c>
      <c r="J255" s="218"/>
      <c r="K255" s="211">
        <f t="shared" si="150"/>
        <v>0</v>
      </c>
      <c r="L255" s="208"/>
      <c r="M255" s="432"/>
      <c r="N255" s="213"/>
      <c r="O255" s="212"/>
      <c r="P255" s="214">
        <f t="shared" si="145"/>
        <v>0</v>
      </c>
      <c r="Q255" s="215">
        <f t="shared" si="146"/>
        <v>0</v>
      </c>
      <c r="R255" s="215">
        <f t="shared" si="147"/>
        <v>0</v>
      </c>
      <c r="S255" s="216">
        <f t="shared" si="148"/>
        <v>0</v>
      </c>
      <c r="U255" s="219"/>
      <c r="V255" s="220"/>
      <c r="W255" s="220"/>
    </row>
    <row r="256" spans="2:23" x14ac:dyDescent="0.3">
      <c r="B256" s="205"/>
      <c r="C256" s="206"/>
      <c r="D256" s="206"/>
      <c r="E256" s="423"/>
      <c r="F256" s="333"/>
      <c r="G256" s="209"/>
      <c r="H256" s="218"/>
      <c r="I256" s="218">
        <f t="shared" si="144"/>
        <v>0</v>
      </c>
      <c r="J256" s="218"/>
      <c r="K256" s="211">
        <f t="shared" si="150"/>
        <v>0</v>
      </c>
      <c r="L256" s="208"/>
      <c r="M256" s="432"/>
      <c r="N256" s="213"/>
      <c r="O256" s="212"/>
      <c r="P256" s="214">
        <f t="shared" si="145"/>
        <v>0</v>
      </c>
      <c r="Q256" s="215">
        <f t="shared" si="146"/>
        <v>0</v>
      </c>
      <c r="R256" s="215">
        <f t="shared" si="147"/>
        <v>0</v>
      </c>
      <c r="S256" s="216">
        <f t="shared" si="148"/>
        <v>0</v>
      </c>
      <c r="U256" s="219"/>
      <c r="V256" s="220"/>
      <c r="W256" s="220"/>
    </row>
    <row r="257" spans="2:23" x14ac:dyDescent="0.3">
      <c r="B257" s="205"/>
      <c r="C257" s="206"/>
      <c r="D257" s="206"/>
      <c r="E257" s="423"/>
      <c r="F257" s="333"/>
      <c r="G257" s="209"/>
      <c r="H257" s="218"/>
      <c r="I257" s="218">
        <f t="shared" si="144"/>
        <v>0</v>
      </c>
      <c r="J257" s="218"/>
      <c r="K257" s="211">
        <f t="shared" si="150"/>
        <v>0</v>
      </c>
      <c r="L257" s="208"/>
      <c r="M257" s="432"/>
      <c r="N257" s="213"/>
      <c r="O257" s="212"/>
      <c r="P257" s="214">
        <f t="shared" si="145"/>
        <v>0</v>
      </c>
      <c r="Q257" s="215">
        <f t="shared" si="146"/>
        <v>0</v>
      </c>
      <c r="R257" s="215">
        <f t="shared" si="147"/>
        <v>0</v>
      </c>
      <c r="S257" s="216">
        <f t="shared" si="148"/>
        <v>0</v>
      </c>
      <c r="U257" s="219"/>
      <c r="V257" s="220"/>
      <c r="W257" s="220"/>
    </row>
    <row r="258" spans="2:23" x14ac:dyDescent="0.3">
      <c r="B258" s="205"/>
      <c r="C258" s="206"/>
      <c r="D258" s="206"/>
      <c r="E258" s="423"/>
      <c r="F258" s="333"/>
      <c r="G258" s="209"/>
      <c r="H258" s="218"/>
      <c r="I258" s="218">
        <f t="shared" si="144"/>
        <v>0</v>
      </c>
      <c r="J258" s="218"/>
      <c r="K258" s="211">
        <f t="shared" si="150"/>
        <v>0</v>
      </c>
      <c r="L258" s="208"/>
      <c r="M258" s="432"/>
      <c r="N258" s="213"/>
      <c r="O258" s="212"/>
      <c r="P258" s="214">
        <f t="shared" si="145"/>
        <v>0</v>
      </c>
      <c r="Q258" s="215">
        <f t="shared" si="146"/>
        <v>0</v>
      </c>
      <c r="R258" s="215">
        <f t="shared" si="147"/>
        <v>0</v>
      </c>
      <c r="S258" s="216">
        <f t="shared" si="148"/>
        <v>0</v>
      </c>
      <c r="U258" s="219"/>
      <c r="V258" s="220"/>
      <c r="W258" s="220"/>
    </row>
    <row r="259" spans="2:23" x14ac:dyDescent="0.3">
      <c r="B259" s="205"/>
      <c r="C259" s="206"/>
      <c r="D259" s="206"/>
      <c r="E259" s="423"/>
      <c r="F259" s="333"/>
      <c r="G259" s="209"/>
      <c r="H259" s="218"/>
      <c r="I259" s="218">
        <f t="shared" ref="I259:I322" si="151">+M259</f>
        <v>0</v>
      </c>
      <c r="J259" s="218"/>
      <c r="K259" s="211">
        <f t="shared" si="150"/>
        <v>0</v>
      </c>
      <c r="L259" s="208"/>
      <c r="M259" s="432"/>
      <c r="N259" s="213"/>
      <c r="O259" s="212"/>
      <c r="P259" s="214">
        <f t="shared" ref="P259:P322" si="152">SUM(Q259:S259)</f>
        <v>0</v>
      </c>
      <c r="Q259" s="215">
        <f t="shared" ref="Q259:Q322" si="153">IF(M259&gt;0,1,0)</f>
        <v>0</v>
      </c>
      <c r="R259" s="215">
        <f t="shared" ref="R259:R322" si="154">IF(N259&gt;0,1,0)</f>
        <v>0</v>
      </c>
      <c r="S259" s="216">
        <f t="shared" ref="S259:S322" si="155">IF(O259&gt;0,1,0)</f>
        <v>0</v>
      </c>
      <c r="U259" s="219"/>
      <c r="V259" s="220"/>
      <c r="W259" s="220"/>
    </row>
    <row r="260" spans="2:23" x14ac:dyDescent="0.3">
      <c r="B260" s="205"/>
      <c r="C260" s="206"/>
      <c r="D260" s="206"/>
      <c r="E260" s="423"/>
      <c r="F260" s="333"/>
      <c r="G260" s="209"/>
      <c r="H260" s="218"/>
      <c r="I260" s="218">
        <f t="shared" si="151"/>
        <v>0</v>
      </c>
      <c r="J260" s="218"/>
      <c r="K260" s="211">
        <f t="shared" si="150"/>
        <v>0</v>
      </c>
      <c r="L260" s="208"/>
      <c r="M260" s="432"/>
      <c r="N260" s="213"/>
      <c r="O260" s="212"/>
      <c r="P260" s="214">
        <f t="shared" si="152"/>
        <v>0</v>
      </c>
      <c r="Q260" s="215">
        <f t="shared" si="153"/>
        <v>0</v>
      </c>
      <c r="R260" s="215">
        <f t="shared" si="154"/>
        <v>0</v>
      </c>
      <c r="S260" s="216">
        <f t="shared" si="155"/>
        <v>0</v>
      </c>
      <c r="U260" s="219"/>
      <c r="V260" s="220"/>
      <c r="W260" s="220"/>
    </row>
    <row r="261" spans="2:23" x14ac:dyDescent="0.3">
      <c r="B261" s="205"/>
      <c r="C261" s="206"/>
      <c r="D261" s="206"/>
      <c r="E261" s="423"/>
      <c r="F261" s="333"/>
      <c r="G261" s="209"/>
      <c r="H261" s="218"/>
      <c r="I261" s="218">
        <f t="shared" si="151"/>
        <v>0</v>
      </c>
      <c r="J261" s="218"/>
      <c r="K261" s="211">
        <f t="shared" si="150"/>
        <v>0</v>
      </c>
      <c r="L261" s="208"/>
      <c r="M261" s="432"/>
      <c r="N261" s="213"/>
      <c r="O261" s="212"/>
      <c r="P261" s="214">
        <f t="shared" si="152"/>
        <v>0</v>
      </c>
      <c r="Q261" s="215">
        <f t="shared" si="153"/>
        <v>0</v>
      </c>
      <c r="R261" s="215">
        <f t="shared" si="154"/>
        <v>0</v>
      </c>
      <c r="S261" s="216">
        <f t="shared" si="155"/>
        <v>0</v>
      </c>
      <c r="U261" s="219"/>
      <c r="V261" s="220"/>
      <c r="W261" s="220"/>
    </row>
    <row r="262" spans="2:23" x14ac:dyDescent="0.3">
      <c r="B262" s="205"/>
      <c r="C262" s="206"/>
      <c r="D262" s="206"/>
      <c r="E262" s="423"/>
      <c r="F262" s="333"/>
      <c r="G262" s="209"/>
      <c r="H262" s="218"/>
      <c r="I262" s="218">
        <f t="shared" si="151"/>
        <v>0</v>
      </c>
      <c r="J262" s="218"/>
      <c r="K262" s="211">
        <f t="shared" si="150"/>
        <v>0</v>
      </c>
      <c r="L262" s="208"/>
      <c r="M262" s="432"/>
      <c r="N262" s="213"/>
      <c r="O262" s="212"/>
      <c r="P262" s="214">
        <f t="shared" si="152"/>
        <v>0</v>
      </c>
      <c r="Q262" s="215">
        <f t="shared" si="153"/>
        <v>0</v>
      </c>
      <c r="R262" s="215">
        <f t="shared" si="154"/>
        <v>0</v>
      </c>
      <c r="S262" s="216">
        <f t="shared" si="155"/>
        <v>0</v>
      </c>
      <c r="U262" s="219"/>
      <c r="V262" s="220"/>
      <c r="W262" s="220"/>
    </row>
    <row r="263" spans="2:23" x14ac:dyDescent="0.3">
      <c r="B263" s="205"/>
      <c r="C263" s="206"/>
      <c r="D263" s="206"/>
      <c r="E263" s="423"/>
      <c r="F263" s="333"/>
      <c r="G263" s="209"/>
      <c r="H263" s="218"/>
      <c r="I263" s="218">
        <f t="shared" si="151"/>
        <v>0</v>
      </c>
      <c r="J263" s="218"/>
      <c r="K263" s="211">
        <f t="shared" si="150"/>
        <v>0</v>
      </c>
      <c r="L263" s="208"/>
      <c r="M263" s="432"/>
      <c r="N263" s="213"/>
      <c r="O263" s="212"/>
      <c r="P263" s="214">
        <f t="shared" si="152"/>
        <v>0</v>
      </c>
      <c r="Q263" s="215">
        <f t="shared" si="153"/>
        <v>0</v>
      </c>
      <c r="R263" s="215">
        <f t="shared" si="154"/>
        <v>0</v>
      </c>
      <c r="S263" s="216">
        <f t="shared" si="155"/>
        <v>0</v>
      </c>
      <c r="U263" s="219"/>
      <c r="V263" s="220"/>
      <c r="W263" s="220"/>
    </row>
    <row r="264" spans="2:23" x14ac:dyDescent="0.3">
      <c r="B264" s="205"/>
      <c r="C264" s="206"/>
      <c r="D264" s="206"/>
      <c r="E264" s="423"/>
      <c r="F264" s="333"/>
      <c r="G264" s="209"/>
      <c r="H264" s="218"/>
      <c r="I264" s="218">
        <f t="shared" si="151"/>
        <v>0</v>
      </c>
      <c r="J264" s="218"/>
      <c r="K264" s="211">
        <f t="shared" si="150"/>
        <v>0</v>
      </c>
      <c r="L264" s="208"/>
      <c r="M264" s="432"/>
      <c r="N264" s="213"/>
      <c r="O264" s="212"/>
      <c r="P264" s="214">
        <f t="shared" si="152"/>
        <v>0</v>
      </c>
      <c r="Q264" s="215">
        <f t="shared" si="153"/>
        <v>0</v>
      </c>
      <c r="R264" s="215">
        <f t="shared" si="154"/>
        <v>0</v>
      </c>
      <c r="S264" s="216">
        <f t="shared" si="155"/>
        <v>0</v>
      </c>
      <c r="U264" s="219"/>
      <c r="V264" s="220"/>
      <c r="W264" s="220"/>
    </row>
    <row r="265" spans="2:23" x14ac:dyDescent="0.3">
      <c r="B265" s="205"/>
      <c r="C265" s="206"/>
      <c r="D265" s="206"/>
      <c r="E265" s="423"/>
      <c r="F265" s="333"/>
      <c r="G265" s="209"/>
      <c r="H265" s="218"/>
      <c r="I265" s="218">
        <f t="shared" si="151"/>
        <v>0</v>
      </c>
      <c r="J265" s="218"/>
      <c r="K265" s="211">
        <f t="shared" si="150"/>
        <v>0</v>
      </c>
      <c r="L265" s="208"/>
      <c r="M265" s="432"/>
      <c r="N265" s="213"/>
      <c r="O265" s="212"/>
      <c r="P265" s="214">
        <f t="shared" si="152"/>
        <v>0</v>
      </c>
      <c r="Q265" s="215">
        <f t="shared" si="153"/>
        <v>0</v>
      </c>
      <c r="R265" s="215">
        <f t="shared" si="154"/>
        <v>0</v>
      </c>
      <c r="S265" s="216">
        <f t="shared" si="155"/>
        <v>0</v>
      </c>
      <c r="U265" s="219"/>
      <c r="V265" s="220"/>
      <c r="W265" s="220"/>
    </row>
    <row r="266" spans="2:23" x14ac:dyDescent="0.3">
      <c r="B266" s="205"/>
      <c r="C266" s="206"/>
      <c r="D266" s="206"/>
      <c r="E266" s="423"/>
      <c r="F266" s="333"/>
      <c r="G266" s="209"/>
      <c r="H266" s="218"/>
      <c r="I266" s="218">
        <f t="shared" si="151"/>
        <v>0</v>
      </c>
      <c r="J266" s="218"/>
      <c r="K266" s="211">
        <f t="shared" si="150"/>
        <v>0</v>
      </c>
      <c r="L266" s="208"/>
      <c r="M266" s="432"/>
      <c r="N266" s="213"/>
      <c r="O266" s="212"/>
      <c r="P266" s="214">
        <f t="shared" si="152"/>
        <v>0</v>
      </c>
      <c r="Q266" s="215">
        <f t="shared" si="153"/>
        <v>0</v>
      </c>
      <c r="R266" s="215">
        <f t="shared" si="154"/>
        <v>0</v>
      </c>
      <c r="S266" s="216">
        <f t="shared" si="155"/>
        <v>0</v>
      </c>
      <c r="U266" s="219"/>
      <c r="V266" s="220"/>
      <c r="W266" s="220"/>
    </row>
    <row r="267" spans="2:23" x14ac:dyDescent="0.3">
      <c r="B267" s="205"/>
      <c r="C267" s="206"/>
      <c r="D267" s="206"/>
      <c r="E267" s="423"/>
      <c r="F267" s="333"/>
      <c r="G267" s="209"/>
      <c r="H267" s="218"/>
      <c r="I267" s="218">
        <f t="shared" si="151"/>
        <v>0</v>
      </c>
      <c r="J267" s="218"/>
      <c r="K267" s="211">
        <f t="shared" si="150"/>
        <v>0</v>
      </c>
      <c r="L267" s="208"/>
      <c r="M267" s="432"/>
      <c r="N267" s="213"/>
      <c r="O267" s="212"/>
      <c r="P267" s="214">
        <f t="shared" si="152"/>
        <v>0</v>
      </c>
      <c r="Q267" s="215">
        <f t="shared" si="153"/>
        <v>0</v>
      </c>
      <c r="R267" s="215">
        <f t="shared" si="154"/>
        <v>0</v>
      </c>
      <c r="S267" s="216">
        <f t="shared" si="155"/>
        <v>0</v>
      </c>
      <c r="U267" s="219"/>
      <c r="V267" s="220"/>
      <c r="W267" s="220"/>
    </row>
    <row r="268" spans="2:23" x14ac:dyDescent="0.3">
      <c r="B268" s="205"/>
      <c r="C268" s="206"/>
      <c r="D268" s="206"/>
      <c r="E268" s="423"/>
      <c r="F268" s="333"/>
      <c r="G268" s="209"/>
      <c r="H268" s="218"/>
      <c r="I268" s="218">
        <f t="shared" si="151"/>
        <v>0</v>
      </c>
      <c r="J268" s="218"/>
      <c r="K268" s="211">
        <f t="shared" si="150"/>
        <v>0</v>
      </c>
      <c r="L268" s="208"/>
      <c r="M268" s="432"/>
      <c r="N268" s="213"/>
      <c r="O268" s="212"/>
      <c r="P268" s="214">
        <f t="shared" si="152"/>
        <v>0</v>
      </c>
      <c r="Q268" s="215">
        <f t="shared" si="153"/>
        <v>0</v>
      </c>
      <c r="R268" s="215">
        <f t="shared" si="154"/>
        <v>0</v>
      </c>
      <c r="S268" s="216">
        <f t="shared" si="155"/>
        <v>0</v>
      </c>
      <c r="U268" s="219"/>
      <c r="V268" s="220"/>
      <c r="W268" s="220"/>
    </row>
    <row r="269" spans="2:23" x14ac:dyDescent="0.3">
      <c r="B269" s="205"/>
      <c r="C269" s="206"/>
      <c r="D269" s="206"/>
      <c r="E269" s="423"/>
      <c r="F269" s="333"/>
      <c r="G269" s="209"/>
      <c r="H269" s="218"/>
      <c r="I269" s="218">
        <f t="shared" si="151"/>
        <v>0</v>
      </c>
      <c r="J269" s="218"/>
      <c r="K269" s="211">
        <f t="shared" si="150"/>
        <v>0</v>
      </c>
      <c r="L269" s="208"/>
      <c r="M269" s="432"/>
      <c r="N269" s="213"/>
      <c r="O269" s="212"/>
      <c r="P269" s="214">
        <f t="shared" si="152"/>
        <v>0</v>
      </c>
      <c r="Q269" s="215">
        <f t="shared" si="153"/>
        <v>0</v>
      </c>
      <c r="R269" s="215">
        <f t="shared" si="154"/>
        <v>0</v>
      </c>
      <c r="S269" s="216">
        <f t="shared" si="155"/>
        <v>0</v>
      </c>
      <c r="U269" s="219"/>
      <c r="V269" s="220"/>
      <c r="W269" s="220"/>
    </row>
    <row r="270" spans="2:23" x14ac:dyDescent="0.3">
      <c r="B270" s="205"/>
      <c r="C270" s="206"/>
      <c r="D270" s="206"/>
      <c r="E270" s="423"/>
      <c r="F270" s="333"/>
      <c r="G270" s="209"/>
      <c r="H270" s="218"/>
      <c r="I270" s="218">
        <f t="shared" si="151"/>
        <v>0</v>
      </c>
      <c r="J270" s="218"/>
      <c r="K270" s="211">
        <f t="shared" si="150"/>
        <v>0</v>
      </c>
      <c r="L270" s="208"/>
      <c r="M270" s="432"/>
      <c r="N270" s="213"/>
      <c r="O270" s="212"/>
      <c r="P270" s="214">
        <f t="shared" si="152"/>
        <v>0</v>
      </c>
      <c r="Q270" s="215">
        <f t="shared" si="153"/>
        <v>0</v>
      </c>
      <c r="R270" s="215">
        <f t="shared" si="154"/>
        <v>0</v>
      </c>
      <c r="S270" s="216">
        <f t="shared" si="155"/>
        <v>0</v>
      </c>
      <c r="U270" s="219"/>
      <c r="V270" s="220"/>
      <c r="W270" s="220"/>
    </row>
    <row r="271" spans="2:23" x14ac:dyDescent="0.3">
      <c r="B271" s="205"/>
      <c r="C271" s="206"/>
      <c r="D271" s="206"/>
      <c r="E271" s="423"/>
      <c r="F271" s="333"/>
      <c r="G271" s="209"/>
      <c r="H271" s="218"/>
      <c r="I271" s="218">
        <f t="shared" si="151"/>
        <v>0</v>
      </c>
      <c r="J271" s="218"/>
      <c r="K271" s="211">
        <f t="shared" si="150"/>
        <v>0</v>
      </c>
      <c r="L271" s="208"/>
      <c r="M271" s="432"/>
      <c r="N271" s="213"/>
      <c r="O271" s="212"/>
      <c r="P271" s="214">
        <f t="shared" si="152"/>
        <v>0</v>
      </c>
      <c r="Q271" s="215">
        <f t="shared" si="153"/>
        <v>0</v>
      </c>
      <c r="R271" s="215">
        <f t="shared" si="154"/>
        <v>0</v>
      </c>
      <c r="S271" s="216">
        <f t="shared" si="155"/>
        <v>0</v>
      </c>
      <c r="U271" s="219"/>
      <c r="V271" s="220"/>
      <c r="W271" s="220"/>
    </row>
    <row r="272" spans="2:23" x14ac:dyDescent="0.3">
      <c r="B272" s="205"/>
      <c r="C272" s="206"/>
      <c r="D272" s="206"/>
      <c r="E272" s="423"/>
      <c r="F272" s="333"/>
      <c r="G272" s="209"/>
      <c r="H272" s="218"/>
      <c r="I272" s="218">
        <f t="shared" si="151"/>
        <v>0</v>
      </c>
      <c r="J272" s="218"/>
      <c r="K272" s="211">
        <f t="shared" si="150"/>
        <v>0</v>
      </c>
      <c r="L272" s="208"/>
      <c r="M272" s="432"/>
      <c r="N272" s="213"/>
      <c r="O272" s="212"/>
      <c r="P272" s="214">
        <f t="shared" si="152"/>
        <v>0</v>
      </c>
      <c r="Q272" s="215">
        <f t="shared" si="153"/>
        <v>0</v>
      </c>
      <c r="R272" s="215">
        <f t="shared" si="154"/>
        <v>0</v>
      </c>
      <c r="S272" s="216">
        <f t="shared" si="155"/>
        <v>0</v>
      </c>
      <c r="U272" s="219"/>
      <c r="V272" s="220"/>
      <c r="W272" s="220"/>
    </row>
    <row r="273" spans="2:23" x14ac:dyDescent="0.3">
      <c r="B273" s="205"/>
      <c r="C273" s="206"/>
      <c r="D273" s="206"/>
      <c r="E273" s="423"/>
      <c r="F273" s="333"/>
      <c r="G273" s="209"/>
      <c r="H273" s="218"/>
      <c r="I273" s="218">
        <f t="shared" si="151"/>
        <v>0</v>
      </c>
      <c r="J273" s="218"/>
      <c r="K273" s="211">
        <f t="shared" si="150"/>
        <v>0</v>
      </c>
      <c r="L273" s="208"/>
      <c r="M273" s="432"/>
      <c r="N273" s="213"/>
      <c r="O273" s="212"/>
      <c r="P273" s="214">
        <f t="shared" si="152"/>
        <v>0</v>
      </c>
      <c r="Q273" s="215">
        <f t="shared" si="153"/>
        <v>0</v>
      </c>
      <c r="R273" s="215">
        <f t="shared" si="154"/>
        <v>0</v>
      </c>
      <c r="S273" s="216">
        <f t="shared" si="155"/>
        <v>0</v>
      </c>
      <c r="U273" s="219"/>
      <c r="V273" s="220"/>
      <c r="W273" s="220"/>
    </row>
    <row r="274" spans="2:23" x14ac:dyDescent="0.3">
      <c r="B274" s="205"/>
      <c r="C274" s="206"/>
      <c r="D274" s="206"/>
      <c r="E274" s="423"/>
      <c r="F274" s="333"/>
      <c r="G274" s="209"/>
      <c r="H274" s="218"/>
      <c r="I274" s="218">
        <f t="shared" si="151"/>
        <v>0</v>
      </c>
      <c r="J274" s="218"/>
      <c r="K274" s="211">
        <f t="shared" si="150"/>
        <v>0</v>
      </c>
      <c r="L274" s="208"/>
      <c r="M274" s="432"/>
      <c r="N274" s="213"/>
      <c r="O274" s="212"/>
      <c r="P274" s="214">
        <f t="shared" si="152"/>
        <v>0</v>
      </c>
      <c r="Q274" s="215">
        <f t="shared" si="153"/>
        <v>0</v>
      </c>
      <c r="R274" s="215">
        <f t="shared" si="154"/>
        <v>0</v>
      </c>
      <c r="S274" s="216">
        <f t="shared" si="155"/>
        <v>0</v>
      </c>
      <c r="U274" s="219"/>
      <c r="V274" s="220"/>
      <c r="W274" s="220"/>
    </row>
    <row r="275" spans="2:23" x14ac:dyDescent="0.3">
      <c r="B275" s="205"/>
      <c r="C275" s="206"/>
      <c r="D275" s="206"/>
      <c r="E275" s="423"/>
      <c r="F275" s="333"/>
      <c r="G275" s="209"/>
      <c r="H275" s="218"/>
      <c r="I275" s="218">
        <f t="shared" si="151"/>
        <v>0</v>
      </c>
      <c r="J275" s="218"/>
      <c r="K275" s="211">
        <f t="shared" si="150"/>
        <v>0</v>
      </c>
      <c r="L275" s="208"/>
      <c r="M275" s="432"/>
      <c r="N275" s="213"/>
      <c r="O275" s="212"/>
      <c r="P275" s="214">
        <f t="shared" si="152"/>
        <v>0</v>
      </c>
      <c r="Q275" s="215">
        <f t="shared" si="153"/>
        <v>0</v>
      </c>
      <c r="R275" s="215">
        <f t="shared" si="154"/>
        <v>0</v>
      </c>
      <c r="S275" s="216">
        <f t="shared" si="155"/>
        <v>0</v>
      </c>
      <c r="U275" s="219"/>
      <c r="V275" s="220"/>
      <c r="W275" s="220"/>
    </row>
    <row r="276" spans="2:23" x14ac:dyDescent="0.3">
      <c r="B276" s="205"/>
      <c r="C276" s="206"/>
      <c r="D276" s="206"/>
      <c r="E276" s="423"/>
      <c r="F276" s="333"/>
      <c r="G276" s="209"/>
      <c r="H276" s="218"/>
      <c r="I276" s="218">
        <f t="shared" si="151"/>
        <v>0</v>
      </c>
      <c r="J276" s="218"/>
      <c r="K276" s="211">
        <f t="shared" si="150"/>
        <v>0</v>
      </c>
      <c r="L276" s="208"/>
      <c r="M276" s="432"/>
      <c r="N276" s="213"/>
      <c r="O276" s="212"/>
      <c r="P276" s="214">
        <f t="shared" si="152"/>
        <v>0</v>
      </c>
      <c r="Q276" s="215">
        <f t="shared" si="153"/>
        <v>0</v>
      </c>
      <c r="R276" s="215">
        <f t="shared" si="154"/>
        <v>0</v>
      </c>
      <c r="S276" s="216">
        <f t="shared" si="155"/>
        <v>0</v>
      </c>
      <c r="U276" s="219"/>
      <c r="V276" s="220"/>
      <c r="W276" s="220"/>
    </row>
    <row r="277" spans="2:23" x14ac:dyDescent="0.3">
      <c r="B277" s="205"/>
      <c r="C277" s="206"/>
      <c r="D277" s="206"/>
      <c r="E277" s="423"/>
      <c r="F277" s="333"/>
      <c r="G277" s="209"/>
      <c r="H277" s="218"/>
      <c r="I277" s="218">
        <f t="shared" si="151"/>
        <v>0</v>
      </c>
      <c r="J277" s="218"/>
      <c r="K277" s="211">
        <f t="shared" si="150"/>
        <v>0</v>
      </c>
      <c r="L277" s="208"/>
      <c r="M277" s="432"/>
      <c r="N277" s="213"/>
      <c r="O277" s="212"/>
      <c r="P277" s="214">
        <f t="shared" si="152"/>
        <v>0</v>
      </c>
      <c r="Q277" s="215">
        <f t="shared" si="153"/>
        <v>0</v>
      </c>
      <c r="R277" s="215">
        <f t="shared" si="154"/>
        <v>0</v>
      </c>
      <c r="S277" s="216">
        <f t="shared" si="155"/>
        <v>0</v>
      </c>
      <c r="U277" s="219"/>
      <c r="V277" s="220"/>
      <c r="W277" s="220"/>
    </row>
    <row r="278" spans="2:23" x14ac:dyDescent="0.3">
      <c r="B278" s="205"/>
      <c r="C278" s="206"/>
      <c r="D278" s="206"/>
      <c r="E278" s="423"/>
      <c r="F278" s="333"/>
      <c r="G278" s="209"/>
      <c r="H278" s="218"/>
      <c r="I278" s="218">
        <f t="shared" si="151"/>
        <v>0</v>
      </c>
      <c r="J278" s="218"/>
      <c r="K278" s="211">
        <f t="shared" si="150"/>
        <v>0</v>
      </c>
      <c r="L278" s="208"/>
      <c r="M278" s="432"/>
      <c r="N278" s="213"/>
      <c r="O278" s="212"/>
      <c r="P278" s="214">
        <f t="shared" si="152"/>
        <v>0</v>
      </c>
      <c r="Q278" s="215">
        <f t="shared" si="153"/>
        <v>0</v>
      </c>
      <c r="R278" s="215">
        <f t="shared" si="154"/>
        <v>0</v>
      </c>
      <c r="S278" s="216">
        <f t="shared" si="155"/>
        <v>0</v>
      </c>
      <c r="U278" s="219"/>
      <c r="V278" s="220"/>
      <c r="W278" s="220"/>
    </row>
    <row r="279" spans="2:23" x14ac:dyDescent="0.3">
      <c r="B279" s="205"/>
      <c r="C279" s="206"/>
      <c r="D279" s="206"/>
      <c r="E279" s="423"/>
      <c r="F279" s="333"/>
      <c r="G279" s="209"/>
      <c r="H279" s="218"/>
      <c r="I279" s="218">
        <f t="shared" si="151"/>
        <v>0</v>
      </c>
      <c r="J279" s="218"/>
      <c r="K279" s="211">
        <f t="shared" si="150"/>
        <v>0</v>
      </c>
      <c r="L279" s="208"/>
      <c r="M279" s="432"/>
      <c r="N279" s="213"/>
      <c r="O279" s="212"/>
      <c r="P279" s="214">
        <f t="shared" si="152"/>
        <v>0</v>
      </c>
      <c r="Q279" s="215">
        <f t="shared" si="153"/>
        <v>0</v>
      </c>
      <c r="R279" s="215">
        <f t="shared" si="154"/>
        <v>0</v>
      </c>
      <c r="S279" s="216">
        <f t="shared" si="155"/>
        <v>0</v>
      </c>
      <c r="U279" s="219"/>
      <c r="V279" s="220"/>
      <c r="W279" s="220"/>
    </row>
    <row r="280" spans="2:23" x14ac:dyDescent="0.3">
      <c r="B280" s="205"/>
      <c r="C280" s="206"/>
      <c r="D280" s="206"/>
      <c r="E280" s="423"/>
      <c r="F280" s="333"/>
      <c r="G280" s="209"/>
      <c r="H280" s="218"/>
      <c r="I280" s="218">
        <f t="shared" si="151"/>
        <v>0</v>
      </c>
      <c r="J280" s="218"/>
      <c r="K280" s="211">
        <f t="shared" si="150"/>
        <v>0</v>
      </c>
      <c r="L280" s="208"/>
      <c r="M280" s="432"/>
      <c r="N280" s="213"/>
      <c r="O280" s="212"/>
      <c r="P280" s="214">
        <f t="shared" si="152"/>
        <v>0</v>
      </c>
      <c r="Q280" s="215">
        <f t="shared" si="153"/>
        <v>0</v>
      </c>
      <c r="R280" s="215">
        <f t="shared" si="154"/>
        <v>0</v>
      </c>
      <c r="S280" s="216">
        <f t="shared" si="155"/>
        <v>0</v>
      </c>
      <c r="U280" s="219"/>
      <c r="V280" s="220"/>
      <c r="W280" s="220"/>
    </row>
    <row r="281" spans="2:23" x14ac:dyDescent="0.3">
      <c r="B281" s="205"/>
      <c r="C281" s="206"/>
      <c r="D281" s="206"/>
      <c r="E281" s="423"/>
      <c r="F281" s="333"/>
      <c r="G281" s="209"/>
      <c r="H281" s="218"/>
      <c r="I281" s="218">
        <f t="shared" si="151"/>
        <v>0</v>
      </c>
      <c r="J281" s="218"/>
      <c r="K281" s="211">
        <f t="shared" si="150"/>
        <v>0</v>
      </c>
      <c r="L281" s="208"/>
      <c r="M281" s="432"/>
      <c r="N281" s="213"/>
      <c r="O281" s="212"/>
      <c r="P281" s="214">
        <f t="shared" si="152"/>
        <v>0</v>
      </c>
      <c r="Q281" s="215">
        <f t="shared" si="153"/>
        <v>0</v>
      </c>
      <c r="R281" s="215">
        <f t="shared" si="154"/>
        <v>0</v>
      </c>
      <c r="S281" s="216">
        <f t="shared" si="155"/>
        <v>0</v>
      </c>
      <c r="U281" s="219"/>
      <c r="V281" s="220"/>
      <c r="W281" s="220"/>
    </row>
    <row r="282" spans="2:23" x14ac:dyDescent="0.3">
      <c r="B282" s="205"/>
      <c r="C282" s="206"/>
      <c r="D282" s="206"/>
      <c r="E282" s="423"/>
      <c r="F282" s="333"/>
      <c r="G282" s="209"/>
      <c r="H282" s="218"/>
      <c r="I282" s="218">
        <f t="shared" si="151"/>
        <v>0</v>
      </c>
      <c r="J282" s="218"/>
      <c r="K282" s="211">
        <f t="shared" si="150"/>
        <v>0</v>
      </c>
      <c r="L282" s="208"/>
      <c r="M282" s="432"/>
      <c r="N282" s="213"/>
      <c r="O282" s="212"/>
      <c r="P282" s="214">
        <f t="shared" si="152"/>
        <v>0</v>
      </c>
      <c r="Q282" s="215">
        <f t="shared" si="153"/>
        <v>0</v>
      </c>
      <c r="R282" s="215">
        <f t="shared" si="154"/>
        <v>0</v>
      </c>
      <c r="S282" s="216">
        <f t="shared" si="155"/>
        <v>0</v>
      </c>
      <c r="U282" s="219"/>
      <c r="V282" s="220"/>
      <c r="W282" s="220"/>
    </row>
    <row r="283" spans="2:23" x14ac:dyDescent="0.3">
      <c r="B283" s="205"/>
      <c r="C283" s="206"/>
      <c r="D283" s="206"/>
      <c r="E283" s="423"/>
      <c r="F283" s="333"/>
      <c r="G283" s="209"/>
      <c r="H283" s="218"/>
      <c r="I283" s="218">
        <f t="shared" si="151"/>
        <v>0</v>
      </c>
      <c r="J283" s="218"/>
      <c r="K283" s="211">
        <f t="shared" ref="K283:K314" si="156">+H283*I283</f>
        <v>0</v>
      </c>
      <c r="L283" s="208"/>
      <c r="M283" s="432"/>
      <c r="N283" s="213"/>
      <c r="O283" s="212"/>
      <c r="P283" s="214">
        <f t="shared" si="152"/>
        <v>0</v>
      </c>
      <c r="Q283" s="215">
        <f t="shared" si="153"/>
        <v>0</v>
      </c>
      <c r="R283" s="215">
        <f t="shared" si="154"/>
        <v>0</v>
      </c>
      <c r="S283" s="216">
        <f t="shared" si="155"/>
        <v>0</v>
      </c>
      <c r="U283" s="219"/>
      <c r="V283" s="220"/>
      <c r="W283" s="220"/>
    </row>
    <row r="284" spans="2:23" x14ac:dyDescent="0.3">
      <c r="B284" s="205"/>
      <c r="C284" s="206"/>
      <c r="D284" s="206"/>
      <c r="E284" s="423"/>
      <c r="F284" s="333"/>
      <c r="G284" s="209"/>
      <c r="H284" s="218"/>
      <c r="I284" s="218">
        <f t="shared" si="151"/>
        <v>0</v>
      </c>
      <c r="J284" s="218"/>
      <c r="K284" s="211">
        <f t="shared" si="156"/>
        <v>0</v>
      </c>
      <c r="L284" s="208"/>
      <c r="M284" s="432"/>
      <c r="N284" s="213"/>
      <c r="O284" s="212"/>
      <c r="P284" s="214">
        <f t="shared" si="152"/>
        <v>0</v>
      </c>
      <c r="Q284" s="215">
        <f t="shared" si="153"/>
        <v>0</v>
      </c>
      <c r="R284" s="215">
        <f t="shared" si="154"/>
        <v>0</v>
      </c>
      <c r="S284" s="216">
        <f t="shared" si="155"/>
        <v>0</v>
      </c>
      <c r="U284" s="219"/>
      <c r="V284" s="220"/>
      <c r="W284" s="220"/>
    </row>
    <row r="285" spans="2:23" x14ac:dyDescent="0.3">
      <c r="B285" s="205"/>
      <c r="C285" s="206"/>
      <c r="D285" s="206"/>
      <c r="E285" s="423"/>
      <c r="F285" s="333"/>
      <c r="G285" s="209"/>
      <c r="H285" s="218"/>
      <c r="I285" s="218">
        <f t="shared" si="151"/>
        <v>0</v>
      </c>
      <c r="J285" s="218"/>
      <c r="K285" s="211">
        <f t="shared" si="156"/>
        <v>0</v>
      </c>
      <c r="L285" s="208"/>
      <c r="M285" s="432"/>
      <c r="N285" s="213"/>
      <c r="O285" s="212"/>
      <c r="P285" s="214">
        <f t="shared" si="152"/>
        <v>0</v>
      </c>
      <c r="Q285" s="215">
        <f t="shared" si="153"/>
        <v>0</v>
      </c>
      <c r="R285" s="215">
        <f t="shared" si="154"/>
        <v>0</v>
      </c>
      <c r="S285" s="216">
        <f t="shared" si="155"/>
        <v>0</v>
      </c>
      <c r="U285" s="219"/>
      <c r="V285" s="220"/>
      <c r="W285" s="220"/>
    </row>
    <row r="286" spans="2:23" x14ac:dyDescent="0.3">
      <c r="B286" s="205"/>
      <c r="C286" s="206"/>
      <c r="D286" s="206"/>
      <c r="E286" s="423"/>
      <c r="F286" s="333"/>
      <c r="G286" s="209"/>
      <c r="H286" s="218"/>
      <c r="I286" s="218">
        <f t="shared" si="151"/>
        <v>0</v>
      </c>
      <c r="J286" s="218"/>
      <c r="K286" s="211">
        <f t="shared" si="156"/>
        <v>0</v>
      </c>
      <c r="L286" s="208"/>
      <c r="M286" s="432"/>
      <c r="N286" s="213"/>
      <c r="O286" s="212"/>
      <c r="P286" s="214">
        <f t="shared" si="152"/>
        <v>0</v>
      </c>
      <c r="Q286" s="215">
        <f t="shared" si="153"/>
        <v>0</v>
      </c>
      <c r="R286" s="215">
        <f t="shared" si="154"/>
        <v>0</v>
      </c>
      <c r="S286" s="216">
        <f t="shared" si="155"/>
        <v>0</v>
      </c>
      <c r="U286" s="219"/>
      <c r="V286" s="220"/>
      <c r="W286" s="220"/>
    </row>
    <row r="287" spans="2:23" x14ac:dyDescent="0.3">
      <c r="B287" s="205"/>
      <c r="C287" s="206"/>
      <c r="D287" s="206"/>
      <c r="E287" s="423"/>
      <c r="F287" s="333"/>
      <c r="G287" s="209"/>
      <c r="H287" s="218"/>
      <c r="I287" s="218">
        <f t="shared" si="151"/>
        <v>0</v>
      </c>
      <c r="J287" s="218"/>
      <c r="K287" s="211">
        <f t="shared" si="156"/>
        <v>0</v>
      </c>
      <c r="L287" s="208"/>
      <c r="M287" s="432"/>
      <c r="N287" s="213"/>
      <c r="O287" s="212"/>
      <c r="P287" s="214">
        <f t="shared" si="152"/>
        <v>0</v>
      </c>
      <c r="Q287" s="215">
        <f t="shared" si="153"/>
        <v>0</v>
      </c>
      <c r="R287" s="215">
        <f t="shared" si="154"/>
        <v>0</v>
      </c>
      <c r="S287" s="216">
        <f t="shared" si="155"/>
        <v>0</v>
      </c>
      <c r="U287" s="219"/>
      <c r="V287" s="220"/>
      <c r="W287" s="220"/>
    </row>
    <row r="288" spans="2:23" x14ac:dyDescent="0.3">
      <c r="B288" s="205"/>
      <c r="C288" s="206"/>
      <c r="D288" s="206"/>
      <c r="E288" s="423"/>
      <c r="F288" s="333"/>
      <c r="G288" s="209"/>
      <c r="H288" s="218"/>
      <c r="I288" s="218">
        <f t="shared" si="151"/>
        <v>0</v>
      </c>
      <c r="J288" s="218"/>
      <c r="K288" s="211">
        <f t="shared" si="156"/>
        <v>0</v>
      </c>
      <c r="L288" s="208"/>
      <c r="M288" s="432"/>
      <c r="N288" s="213"/>
      <c r="O288" s="212"/>
      <c r="P288" s="214">
        <f t="shared" si="152"/>
        <v>0</v>
      </c>
      <c r="Q288" s="215">
        <f t="shared" si="153"/>
        <v>0</v>
      </c>
      <c r="R288" s="215">
        <f t="shared" si="154"/>
        <v>0</v>
      </c>
      <c r="S288" s="216">
        <f t="shared" si="155"/>
        <v>0</v>
      </c>
      <c r="U288" s="219"/>
      <c r="V288" s="220"/>
      <c r="W288" s="220"/>
    </row>
    <row r="289" spans="2:23" x14ac:dyDescent="0.3">
      <c r="B289" s="205"/>
      <c r="C289" s="206"/>
      <c r="D289" s="206"/>
      <c r="E289" s="423"/>
      <c r="F289" s="333"/>
      <c r="G289" s="209"/>
      <c r="H289" s="218"/>
      <c r="I289" s="218">
        <f t="shared" si="151"/>
        <v>0</v>
      </c>
      <c r="J289" s="218"/>
      <c r="K289" s="211">
        <f t="shared" si="156"/>
        <v>0</v>
      </c>
      <c r="L289" s="208"/>
      <c r="M289" s="432"/>
      <c r="N289" s="213"/>
      <c r="O289" s="212"/>
      <c r="P289" s="214">
        <f t="shared" si="152"/>
        <v>0</v>
      </c>
      <c r="Q289" s="215">
        <f t="shared" si="153"/>
        <v>0</v>
      </c>
      <c r="R289" s="215">
        <f t="shared" si="154"/>
        <v>0</v>
      </c>
      <c r="S289" s="216">
        <f t="shared" si="155"/>
        <v>0</v>
      </c>
      <c r="U289" s="219"/>
      <c r="V289" s="220"/>
      <c r="W289" s="220"/>
    </row>
    <row r="290" spans="2:23" x14ac:dyDescent="0.3">
      <c r="B290" s="205"/>
      <c r="C290" s="206"/>
      <c r="D290" s="206"/>
      <c r="E290" s="423"/>
      <c r="F290" s="333"/>
      <c r="G290" s="209"/>
      <c r="H290" s="218"/>
      <c r="I290" s="218">
        <f t="shared" si="151"/>
        <v>0</v>
      </c>
      <c r="J290" s="218"/>
      <c r="K290" s="211">
        <f t="shared" si="156"/>
        <v>0</v>
      </c>
      <c r="L290" s="208"/>
      <c r="M290" s="432"/>
      <c r="N290" s="213"/>
      <c r="O290" s="212"/>
      <c r="P290" s="214">
        <f t="shared" si="152"/>
        <v>0</v>
      </c>
      <c r="Q290" s="215">
        <f t="shared" si="153"/>
        <v>0</v>
      </c>
      <c r="R290" s="215">
        <f t="shared" si="154"/>
        <v>0</v>
      </c>
      <c r="S290" s="216">
        <f t="shared" si="155"/>
        <v>0</v>
      </c>
      <c r="U290" s="219"/>
      <c r="V290" s="220"/>
      <c r="W290" s="220"/>
    </row>
    <row r="291" spans="2:23" x14ac:dyDescent="0.3">
      <c r="B291" s="205"/>
      <c r="C291" s="206"/>
      <c r="D291" s="206"/>
      <c r="E291" s="423"/>
      <c r="F291" s="333"/>
      <c r="G291" s="209"/>
      <c r="H291" s="218"/>
      <c r="I291" s="218">
        <f t="shared" si="151"/>
        <v>0</v>
      </c>
      <c r="J291" s="218"/>
      <c r="K291" s="211">
        <f t="shared" si="156"/>
        <v>0</v>
      </c>
      <c r="L291" s="208"/>
      <c r="M291" s="432"/>
      <c r="N291" s="213"/>
      <c r="O291" s="212"/>
      <c r="P291" s="214">
        <f t="shared" si="152"/>
        <v>0</v>
      </c>
      <c r="Q291" s="215">
        <f t="shared" si="153"/>
        <v>0</v>
      </c>
      <c r="R291" s="215">
        <f t="shared" si="154"/>
        <v>0</v>
      </c>
      <c r="S291" s="216">
        <f t="shared" si="155"/>
        <v>0</v>
      </c>
      <c r="U291" s="219"/>
      <c r="V291" s="220"/>
      <c r="W291" s="220"/>
    </row>
    <row r="292" spans="2:23" x14ac:dyDescent="0.3">
      <c r="B292" s="205"/>
      <c r="C292" s="206"/>
      <c r="D292" s="206"/>
      <c r="E292" s="423"/>
      <c r="F292" s="333"/>
      <c r="G292" s="209"/>
      <c r="H292" s="218"/>
      <c r="I292" s="218">
        <f t="shared" si="151"/>
        <v>0</v>
      </c>
      <c r="J292" s="218"/>
      <c r="K292" s="211">
        <f t="shared" si="156"/>
        <v>0</v>
      </c>
      <c r="L292" s="208"/>
      <c r="M292" s="432"/>
      <c r="N292" s="213"/>
      <c r="O292" s="212"/>
      <c r="P292" s="214">
        <f t="shared" si="152"/>
        <v>0</v>
      </c>
      <c r="Q292" s="215">
        <f t="shared" si="153"/>
        <v>0</v>
      </c>
      <c r="R292" s="215">
        <f t="shared" si="154"/>
        <v>0</v>
      </c>
      <c r="S292" s="216">
        <f t="shared" si="155"/>
        <v>0</v>
      </c>
      <c r="U292" s="219"/>
      <c r="V292" s="220"/>
      <c r="W292" s="220"/>
    </row>
    <row r="293" spans="2:23" x14ac:dyDescent="0.3">
      <c r="B293" s="205"/>
      <c r="C293" s="206"/>
      <c r="D293" s="206"/>
      <c r="E293" s="423"/>
      <c r="F293" s="333"/>
      <c r="G293" s="209"/>
      <c r="H293" s="218"/>
      <c r="I293" s="218">
        <f t="shared" si="151"/>
        <v>0</v>
      </c>
      <c r="J293" s="218"/>
      <c r="K293" s="211">
        <f t="shared" si="156"/>
        <v>0</v>
      </c>
      <c r="L293" s="208"/>
      <c r="M293" s="432"/>
      <c r="N293" s="213"/>
      <c r="O293" s="212"/>
      <c r="P293" s="214">
        <f t="shared" si="152"/>
        <v>0</v>
      </c>
      <c r="Q293" s="215">
        <f t="shared" si="153"/>
        <v>0</v>
      </c>
      <c r="R293" s="215">
        <f t="shared" si="154"/>
        <v>0</v>
      </c>
      <c r="S293" s="216">
        <f t="shared" si="155"/>
        <v>0</v>
      </c>
      <c r="U293" s="219"/>
      <c r="V293" s="220"/>
      <c r="W293" s="220"/>
    </row>
    <row r="294" spans="2:23" x14ac:dyDescent="0.3">
      <c r="B294" s="205"/>
      <c r="C294" s="206"/>
      <c r="D294" s="206"/>
      <c r="E294" s="423"/>
      <c r="F294" s="333"/>
      <c r="G294" s="209"/>
      <c r="H294" s="218"/>
      <c r="I294" s="218">
        <f t="shared" si="151"/>
        <v>0</v>
      </c>
      <c r="J294" s="218"/>
      <c r="K294" s="211">
        <f t="shared" si="156"/>
        <v>0</v>
      </c>
      <c r="L294" s="208"/>
      <c r="M294" s="432"/>
      <c r="N294" s="213"/>
      <c r="O294" s="212"/>
      <c r="P294" s="214">
        <f t="shared" si="152"/>
        <v>0</v>
      </c>
      <c r="Q294" s="215">
        <f t="shared" si="153"/>
        <v>0</v>
      </c>
      <c r="R294" s="215">
        <f t="shared" si="154"/>
        <v>0</v>
      </c>
      <c r="S294" s="216">
        <f t="shared" si="155"/>
        <v>0</v>
      </c>
      <c r="U294" s="219"/>
      <c r="V294" s="220"/>
      <c r="W294" s="220"/>
    </row>
    <row r="295" spans="2:23" x14ac:dyDescent="0.3">
      <c r="B295" s="205"/>
      <c r="C295" s="206"/>
      <c r="D295" s="206"/>
      <c r="E295" s="423"/>
      <c r="F295" s="333"/>
      <c r="G295" s="209"/>
      <c r="H295" s="218"/>
      <c r="I295" s="218">
        <f t="shared" si="151"/>
        <v>0</v>
      </c>
      <c r="J295" s="218"/>
      <c r="K295" s="211">
        <f t="shared" si="156"/>
        <v>0</v>
      </c>
      <c r="L295" s="208"/>
      <c r="M295" s="432"/>
      <c r="N295" s="213"/>
      <c r="O295" s="212"/>
      <c r="P295" s="214">
        <f t="shared" si="152"/>
        <v>0</v>
      </c>
      <c r="Q295" s="215">
        <f t="shared" si="153"/>
        <v>0</v>
      </c>
      <c r="R295" s="215">
        <f t="shared" si="154"/>
        <v>0</v>
      </c>
      <c r="S295" s="216">
        <f t="shared" si="155"/>
        <v>0</v>
      </c>
      <c r="U295" s="219"/>
      <c r="V295" s="220"/>
      <c r="W295" s="220"/>
    </row>
    <row r="296" spans="2:23" x14ac:dyDescent="0.3">
      <c r="B296" s="205"/>
      <c r="C296" s="206"/>
      <c r="D296" s="206"/>
      <c r="E296" s="423"/>
      <c r="F296" s="333"/>
      <c r="G296" s="209"/>
      <c r="H296" s="218"/>
      <c r="I296" s="218">
        <f t="shared" si="151"/>
        <v>0</v>
      </c>
      <c r="J296" s="218"/>
      <c r="K296" s="211">
        <f t="shared" si="156"/>
        <v>0</v>
      </c>
      <c r="L296" s="208"/>
      <c r="M296" s="432"/>
      <c r="N296" s="213"/>
      <c r="O296" s="212"/>
      <c r="P296" s="214">
        <f t="shared" si="152"/>
        <v>0</v>
      </c>
      <c r="Q296" s="215">
        <f t="shared" si="153"/>
        <v>0</v>
      </c>
      <c r="R296" s="215">
        <f t="shared" si="154"/>
        <v>0</v>
      </c>
      <c r="S296" s="216">
        <f t="shared" si="155"/>
        <v>0</v>
      </c>
      <c r="U296" s="219"/>
      <c r="V296" s="220"/>
      <c r="W296" s="220"/>
    </row>
    <row r="297" spans="2:23" x14ac:dyDescent="0.3">
      <c r="B297" s="205"/>
      <c r="C297" s="206"/>
      <c r="D297" s="206"/>
      <c r="E297" s="423"/>
      <c r="F297" s="333"/>
      <c r="G297" s="209"/>
      <c r="H297" s="218"/>
      <c r="I297" s="218">
        <f t="shared" si="151"/>
        <v>0</v>
      </c>
      <c r="J297" s="218"/>
      <c r="K297" s="211">
        <f t="shared" si="156"/>
        <v>0</v>
      </c>
      <c r="L297" s="208"/>
      <c r="M297" s="432"/>
      <c r="N297" s="213"/>
      <c r="O297" s="212"/>
      <c r="P297" s="214">
        <f t="shared" si="152"/>
        <v>0</v>
      </c>
      <c r="Q297" s="215">
        <f t="shared" si="153"/>
        <v>0</v>
      </c>
      <c r="R297" s="215">
        <f t="shared" si="154"/>
        <v>0</v>
      </c>
      <c r="S297" s="216">
        <f t="shared" si="155"/>
        <v>0</v>
      </c>
      <c r="U297" s="219"/>
      <c r="V297" s="220"/>
      <c r="W297" s="220"/>
    </row>
    <row r="298" spans="2:23" x14ac:dyDescent="0.3">
      <c r="B298" s="205"/>
      <c r="C298" s="206"/>
      <c r="D298" s="206"/>
      <c r="E298" s="423"/>
      <c r="F298" s="333"/>
      <c r="G298" s="209"/>
      <c r="H298" s="218"/>
      <c r="I298" s="218">
        <f t="shared" si="151"/>
        <v>0</v>
      </c>
      <c r="J298" s="218"/>
      <c r="K298" s="211">
        <f t="shared" si="156"/>
        <v>0</v>
      </c>
      <c r="L298" s="208"/>
      <c r="M298" s="432"/>
      <c r="N298" s="213"/>
      <c r="O298" s="212"/>
      <c r="P298" s="214">
        <f t="shared" si="152"/>
        <v>0</v>
      </c>
      <c r="Q298" s="215">
        <f t="shared" si="153"/>
        <v>0</v>
      </c>
      <c r="R298" s="215">
        <f t="shared" si="154"/>
        <v>0</v>
      </c>
      <c r="S298" s="216">
        <f t="shared" si="155"/>
        <v>0</v>
      </c>
      <c r="U298" s="219"/>
      <c r="V298" s="220"/>
      <c r="W298" s="220"/>
    </row>
    <row r="299" spans="2:23" x14ac:dyDescent="0.3">
      <c r="B299" s="205"/>
      <c r="C299" s="206"/>
      <c r="D299" s="206"/>
      <c r="E299" s="423"/>
      <c r="F299" s="333"/>
      <c r="G299" s="209"/>
      <c r="H299" s="218"/>
      <c r="I299" s="218">
        <f t="shared" si="151"/>
        <v>0</v>
      </c>
      <c r="J299" s="218"/>
      <c r="K299" s="211">
        <f t="shared" si="156"/>
        <v>0</v>
      </c>
      <c r="L299" s="208"/>
      <c r="M299" s="432"/>
      <c r="N299" s="213"/>
      <c r="O299" s="212"/>
      <c r="P299" s="214">
        <f t="shared" si="152"/>
        <v>0</v>
      </c>
      <c r="Q299" s="215">
        <f t="shared" si="153"/>
        <v>0</v>
      </c>
      <c r="R299" s="215">
        <f t="shared" si="154"/>
        <v>0</v>
      </c>
      <c r="S299" s="216">
        <f t="shared" si="155"/>
        <v>0</v>
      </c>
      <c r="U299" s="219"/>
      <c r="V299" s="220"/>
      <c r="W299" s="220"/>
    </row>
    <row r="300" spans="2:23" x14ac:dyDescent="0.3">
      <c r="B300" s="205"/>
      <c r="C300" s="206"/>
      <c r="D300" s="206"/>
      <c r="E300" s="423"/>
      <c r="F300" s="333"/>
      <c r="G300" s="209"/>
      <c r="H300" s="218"/>
      <c r="I300" s="218">
        <f t="shared" si="151"/>
        <v>0</v>
      </c>
      <c r="J300" s="218"/>
      <c r="K300" s="211">
        <f t="shared" si="156"/>
        <v>0</v>
      </c>
      <c r="L300" s="208"/>
      <c r="M300" s="432"/>
      <c r="N300" s="213"/>
      <c r="O300" s="212"/>
      <c r="P300" s="214">
        <f t="shared" si="152"/>
        <v>0</v>
      </c>
      <c r="Q300" s="215">
        <f t="shared" si="153"/>
        <v>0</v>
      </c>
      <c r="R300" s="215">
        <f t="shared" si="154"/>
        <v>0</v>
      </c>
      <c r="S300" s="216">
        <f t="shared" si="155"/>
        <v>0</v>
      </c>
      <c r="U300" s="219"/>
      <c r="V300" s="220"/>
      <c r="W300" s="220"/>
    </row>
    <row r="301" spans="2:23" x14ac:dyDescent="0.3">
      <c r="B301" s="205"/>
      <c r="C301" s="206"/>
      <c r="D301" s="206"/>
      <c r="E301" s="423"/>
      <c r="F301" s="333"/>
      <c r="G301" s="209"/>
      <c r="H301" s="218"/>
      <c r="I301" s="218">
        <f t="shared" si="151"/>
        <v>0</v>
      </c>
      <c r="J301" s="218"/>
      <c r="K301" s="211">
        <f t="shared" si="156"/>
        <v>0</v>
      </c>
      <c r="L301" s="208"/>
      <c r="M301" s="432"/>
      <c r="N301" s="213"/>
      <c r="O301" s="212"/>
      <c r="P301" s="214">
        <f t="shared" si="152"/>
        <v>0</v>
      </c>
      <c r="Q301" s="215">
        <f t="shared" si="153"/>
        <v>0</v>
      </c>
      <c r="R301" s="215">
        <f t="shared" si="154"/>
        <v>0</v>
      </c>
      <c r="S301" s="216">
        <f t="shared" si="155"/>
        <v>0</v>
      </c>
      <c r="U301" s="219"/>
      <c r="V301" s="220"/>
      <c r="W301" s="220"/>
    </row>
    <row r="302" spans="2:23" x14ac:dyDescent="0.3">
      <c r="B302" s="205"/>
      <c r="C302" s="206"/>
      <c r="D302" s="206"/>
      <c r="E302" s="423"/>
      <c r="F302" s="333"/>
      <c r="G302" s="209"/>
      <c r="H302" s="218"/>
      <c r="I302" s="218">
        <f t="shared" si="151"/>
        <v>0</v>
      </c>
      <c r="J302" s="218"/>
      <c r="K302" s="211">
        <f t="shared" si="156"/>
        <v>0</v>
      </c>
      <c r="L302" s="208"/>
      <c r="M302" s="432"/>
      <c r="N302" s="213"/>
      <c r="O302" s="212"/>
      <c r="P302" s="214">
        <f t="shared" si="152"/>
        <v>0</v>
      </c>
      <c r="Q302" s="215">
        <f t="shared" si="153"/>
        <v>0</v>
      </c>
      <c r="R302" s="215">
        <f t="shared" si="154"/>
        <v>0</v>
      </c>
      <c r="S302" s="216">
        <f t="shared" si="155"/>
        <v>0</v>
      </c>
      <c r="U302" s="219"/>
      <c r="V302" s="220"/>
      <c r="W302" s="220"/>
    </row>
    <row r="303" spans="2:23" x14ac:dyDescent="0.3">
      <c r="B303" s="205"/>
      <c r="C303" s="206"/>
      <c r="D303" s="206"/>
      <c r="E303" s="423"/>
      <c r="F303" s="333"/>
      <c r="G303" s="209"/>
      <c r="H303" s="218"/>
      <c r="I303" s="218">
        <f t="shared" si="151"/>
        <v>0</v>
      </c>
      <c r="J303" s="218"/>
      <c r="K303" s="211">
        <f t="shared" si="156"/>
        <v>0</v>
      </c>
      <c r="L303" s="208"/>
      <c r="M303" s="432"/>
      <c r="N303" s="213"/>
      <c r="O303" s="212"/>
      <c r="P303" s="214">
        <f t="shared" si="152"/>
        <v>0</v>
      </c>
      <c r="Q303" s="215">
        <f t="shared" si="153"/>
        <v>0</v>
      </c>
      <c r="R303" s="215">
        <f t="shared" si="154"/>
        <v>0</v>
      </c>
      <c r="S303" s="216">
        <f t="shared" si="155"/>
        <v>0</v>
      </c>
      <c r="U303" s="219"/>
      <c r="V303" s="220"/>
      <c r="W303" s="220"/>
    </row>
    <row r="304" spans="2:23" x14ac:dyDescent="0.3">
      <c r="B304" s="205"/>
      <c r="C304" s="206"/>
      <c r="D304" s="206"/>
      <c r="E304" s="423"/>
      <c r="F304" s="333"/>
      <c r="G304" s="209"/>
      <c r="H304" s="218"/>
      <c r="I304" s="218">
        <f t="shared" si="151"/>
        <v>0</v>
      </c>
      <c r="J304" s="218"/>
      <c r="K304" s="211">
        <f t="shared" si="156"/>
        <v>0</v>
      </c>
      <c r="L304" s="208"/>
      <c r="M304" s="432"/>
      <c r="N304" s="213"/>
      <c r="O304" s="212"/>
      <c r="P304" s="214">
        <f t="shared" si="152"/>
        <v>0</v>
      </c>
      <c r="Q304" s="215">
        <f t="shared" si="153"/>
        <v>0</v>
      </c>
      <c r="R304" s="215">
        <f t="shared" si="154"/>
        <v>0</v>
      </c>
      <c r="S304" s="216">
        <f t="shared" si="155"/>
        <v>0</v>
      </c>
      <c r="U304" s="219"/>
      <c r="V304" s="220"/>
      <c r="W304" s="220"/>
    </row>
    <row r="305" spans="2:23" x14ac:dyDescent="0.3">
      <c r="B305" s="205"/>
      <c r="C305" s="206"/>
      <c r="D305" s="206"/>
      <c r="E305" s="423"/>
      <c r="F305" s="333"/>
      <c r="G305" s="209"/>
      <c r="H305" s="218"/>
      <c r="I305" s="218">
        <f t="shared" si="151"/>
        <v>0</v>
      </c>
      <c r="J305" s="218"/>
      <c r="K305" s="211">
        <f t="shared" si="156"/>
        <v>0</v>
      </c>
      <c r="L305" s="208"/>
      <c r="M305" s="432"/>
      <c r="N305" s="213"/>
      <c r="O305" s="212"/>
      <c r="P305" s="214">
        <f t="shared" si="152"/>
        <v>0</v>
      </c>
      <c r="Q305" s="215">
        <f t="shared" si="153"/>
        <v>0</v>
      </c>
      <c r="R305" s="215">
        <f t="shared" si="154"/>
        <v>0</v>
      </c>
      <c r="S305" s="216">
        <f t="shared" si="155"/>
        <v>0</v>
      </c>
      <c r="U305" s="219"/>
      <c r="V305" s="220"/>
      <c r="W305" s="220"/>
    </row>
    <row r="306" spans="2:23" x14ac:dyDescent="0.3">
      <c r="B306" s="205"/>
      <c r="C306" s="206"/>
      <c r="D306" s="206"/>
      <c r="E306" s="423"/>
      <c r="F306" s="333"/>
      <c r="G306" s="209"/>
      <c r="H306" s="218"/>
      <c r="I306" s="218">
        <f t="shared" si="151"/>
        <v>0</v>
      </c>
      <c r="J306" s="218"/>
      <c r="K306" s="211">
        <f t="shared" si="156"/>
        <v>0</v>
      </c>
      <c r="L306" s="208"/>
      <c r="M306" s="432"/>
      <c r="N306" s="213"/>
      <c r="O306" s="212"/>
      <c r="P306" s="214">
        <f t="shared" si="152"/>
        <v>0</v>
      </c>
      <c r="Q306" s="215">
        <f t="shared" si="153"/>
        <v>0</v>
      </c>
      <c r="R306" s="215">
        <f t="shared" si="154"/>
        <v>0</v>
      </c>
      <c r="S306" s="216">
        <f t="shared" si="155"/>
        <v>0</v>
      </c>
      <c r="U306" s="219"/>
      <c r="V306" s="220"/>
      <c r="W306" s="220"/>
    </row>
    <row r="307" spans="2:23" x14ac:dyDescent="0.3">
      <c r="B307" s="205"/>
      <c r="C307" s="206"/>
      <c r="D307" s="206"/>
      <c r="E307" s="423"/>
      <c r="F307" s="333"/>
      <c r="G307" s="209"/>
      <c r="H307" s="218"/>
      <c r="I307" s="218">
        <f t="shared" si="151"/>
        <v>0</v>
      </c>
      <c r="J307" s="218"/>
      <c r="K307" s="211">
        <f t="shared" si="156"/>
        <v>0</v>
      </c>
      <c r="L307" s="208"/>
      <c r="M307" s="432"/>
      <c r="N307" s="213"/>
      <c r="O307" s="212"/>
      <c r="P307" s="214">
        <f t="shared" si="152"/>
        <v>0</v>
      </c>
      <c r="Q307" s="215">
        <f t="shared" si="153"/>
        <v>0</v>
      </c>
      <c r="R307" s="215">
        <f t="shared" si="154"/>
        <v>0</v>
      </c>
      <c r="S307" s="216">
        <f t="shared" si="155"/>
        <v>0</v>
      </c>
      <c r="U307" s="219"/>
      <c r="V307" s="220"/>
      <c r="W307" s="220"/>
    </row>
    <row r="308" spans="2:23" x14ac:dyDescent="0.3">
      <c r="B308" s="205"/>
      <c r="C308" s="206"/>
      <c r="D308" s="206"/>
      <c r="E308" s="423"/>
      <c r="F308" s="333"/>
      <c r="G308" s="209"/>
      <c r="H308" s="218"/>
      <c r="I308" s="218">
        <f t="shared" si="151"/>
        <v>0</v>
      </c>
      <c r="J308" s="218"/>
      <c r="K308" s="211">
        <f t="shared" si="156"/>
        <v>0</v>
      </c>
      <c r="L308" s="208"/>
      <c r="M308" s="432"/>
      <c r="N308" s="213"/>
      <c r="O308" s="212"/>
      <c r="P308" s="214">
        <f t="shared" si="152"/>
        <v>0</v>
      </c>
      <c r="Q308" s="215">
        <f t="shared" si="153"/>
        <v>0</v>
      </c>
      <c r="R308" s="215">
        <f t="shared" si="154"/>
        <v>0</v>
      </c>
      <c r="S308" s="216">
        <f t="shared" si="155"/>
        <v>0</v>
      </c>
      <c r="U308" s="219"/>
      <c r="V308" s="220"/>
      <c r="W308" s="220"/>
    </row>
    <row r="309" spans="2:23" x14ac:dyDescent="0.3">
      <c r="B309" s="205"/>
      <c r="C309" s="206"/>
      <c r="D309" s="206"/>
      <c r="E309" s="423"/>
      <c r="F309" s="333"/>
      <c r="G309" s="209"/>
      <c r="H309" s="218"/>
      <c r="I309" s="218">
        <f t="shared" si="151"/>
        <v>0</v>
      </c>
      <c r="J309" s="218"/>
      <c r="K309" s="211">
        <f t="shared" si="156"/>
        <v>0</v>
      </c>
      <c r="L309" s="208"/>
      <c r="M309" s="432"/>
      <c r="N309" s="213"/>
      <c r="O309" s="212"/>
      <c r="P309" s="214">
        <f t="shared" si="152"/>
        <v>0</v>
      </c>
      <c r="Q309" s="215">
        <f t="shared" si="153"/>
        <v>0</v>
      </c>
      <c r="R309" s="215">
        <f t="shared" si="154"/>
        <v>0</v>
      </c>
      <c r="S309" s="216">
        <f t="shared" si="155"/>
        <v>0</v>
      </c>
      <c r="U309" s="219"/>
      <c r="V309" s="220"/>
      <c r="W309" s="220"/>
    </row>
    <row r="310" spans="2:23" x14ac:dyDescent="0.3">
      <c r="B310" s="205"/>
      <c r="C310" s="206"/>
      <c r="D310" s="206"/>
      <c r="E310" s="423"/>
      <c r="F310" s="333"/>
      <c r="G310" s="209"/>
      <c r="H310" s="218"/>
      <c r="I310" s="218">
        <f t="shared" si="151"/>
        <v>0</v>
      </c>
      <c r="J310" s="218"/>
      <c r="K310" s="211">
        <f t="shared" si="156"/>
        <v>0</v>
      </c>
      <c r="L310" s="208"/>
      <c r="M310" s="432"/>
      <c r="N310" s="213"/>
      <c r="O310" s="212"/>
      <c r="P310" s="214">
        <f t="shared" si="152"/>
        <v>0</v>
      </c>
      <c r="Q310" s="215">
        <f t="shared" si="153"/>
        <v>0</v>
      </c>
      <c r="R310" s="215">
        <f t="shared" si="154"/>
        <v>0</v>
      </c>
      <c r="S310" s="216">
        <f t="shared" si="155"/>
        <v>0</v>
      </c>
      <c r="U310" s="219"/>
      <c r="V310" s="220"/>
      <c r="W310" s="220"/>
    </row>
    <row r="311" spans="2:23" x14ac:dyDescent="0.3">
      <c r="B311" s="205"/>
      <c r="C311" s="206"/>
      <c r="D311" s="206"/>
      <c r="E311" s="423"/>
      <c r="F311" s="333"/>
      <c r="G311" s="209"/>
      <c r="H311" s="218"/>
      <c r="I311" s="218">
        <f t="shared" si="151"/>
        <v>0</v>
      </c>
      <c r="J311" s="218"/>
      <c r="K311" s="211">
        <f t="shared" si="156"/>
        <v>0</v>
      </c>
      <c r="L311" s="208"/>
      <c r="M311" s="432"/>
      <c r="N311" s="213"/>
      <c r="O311" s="212"/>
      <c r="P311" s="214">
        <f t="shared" si="152"/>
        <v>0</v>
      </c>
      <c r="Q311" s="215">
        <f t="shared" si="153"/>
        <v>0</v>
      </c>
      <c r="R311" s="215">
        <f t="shared" si="154"/>
        <v>0</v>
      </c>
      <c r="S311" s="216">
        <f t="shared" si="155"/>
        <v>0</v>
      </c>
      <c r="U311" s="219"/>
      <c r="V311" s="220"/>
      <c r="W311" s="220"/>
    </row>
    <row r="312" spans="2:23" x14ac:dyDescent="0.3">
      <c r="B312" s="205"/>
      <c r="C312" s="206"/>
      <c r="D312" s="206"/>
      <c r="E312" s="423"/>
      <c r="F312" s="333"/>
      <c r="G312" s="209"/>
      <c r="H312" s="218"/>
      <c r="I312" s="218">
        <f t="shared" si="151"/>
        <v>0</v>
      </c>
      <c r="J312" s="218"/>
      <c r="K312" s="211">
        <f t="shared" si="156"/>
        <v>0</v>
      </c>
      <c r="L312" s="208"/>
      <c r="M312" s="432"/>
      <c r="N312" s="213"/>
      <c r="O312" s="212"/>
      <c r="P312" s="214">
        <f t="shared" si="152"/>
        <v>0</v>
      </c>
      <c r="Q312" s="215">
        <f t="shared" si="153"/>
        <v>0</v>
      </c>
      <c r="R312" s="215">
        <f t="shared" si="154"/>
        <v>0</v>
      </c>
      <c r="S312" s="216">
        <f t="shared" si="155"/>
        <v>0</v>
      </c>
      <c r="U312" s="219"/>
      <c r="V312" s="220"/>
      <c r="W312" s="220"/>
    </row>
    <row r="313" spans="2:23" x14ac:dyDescent="0.3">
      <c r="B313" s="205"/>
      <c r="C313" s="206"/>
      <c r="D313" s="206"/>
      <c r="E313" s="423"/>
      <c r="F313" s="333"/>
      <c r="G313" s="209"/>
      <c r="H313" s="218"/>
      <c r="I313" s="218">
        <f t="shared" si="151"/>
        <v>0</v>
      </c>
      <c r="J313" s="218"/>
      <c r="K313" s="211">
        <f t="shared" si="156"/>
        <v>0</v>
      </c>
      <c r="L313" s="208"/>
      <c r="M313" s="432"/>
      <c r="N313" s="213"/>
      <c r="O313" s="212"/>
      <c r="P313" s="214">
        <f t="shared" si="152"/>
        <v>0</v>
      </c>
      <c r="Q313" s="215">
        <f t="shared" si="153"/>
        <v>0</v>
      </c>
      <c r="R313" s="215">
        <f t="shared" si="154"/>
        <v>0</v>
      </c>
      <c r="S313" s="216">
        <f t="shared" si="155"/>
        <v>0</v>
      </c>
      <c r="U313" s="219"/>
      <c r="V313" s="220"/>
      <c r="W313" s="220"/>
    </row>
    <row r="314" spans="2:23" x14ac:dyDescent="0.3">
      <c r="B314" s="205"/>
      <c r="C314" s="206"/>
      <c r="D314" s="206"/>
      <c r="E314" s="423"/>
      <c r="F314" s="333"/>
      <c r="G314" s="209"/>
      <c r="H314" s="218"/>
      <c r="I314" s="218">
        <f t="shared" si="151"/>
        <v>0</v>
      </c>
      <c r="J314" s="218"/>
      <c r="K314" s="211">
        <f t="shared" si="156"/>
        <v>0</v>
      </c>
      <c r="L314" s="208"/>
      <c r="M314" s="432"/>
      <c r="N314" s="213"/>
      <c r="O314" s="212"/>
      <c r="P314" s="214">
        <f t="shared" si="152"/>
        <v>0</v>
      </c>
      <c r="Q314" s="215">
        <f t="shared" si="153"/>
        <v>0</v>
      </c>
      <c r="R314" s="215">
        <f t="shared" si="154"/>
        <v>0</v>
      </c>
      <c r="S314" s="216">
        <f t="shared" si="155"/>
        <v>0</v>
      </c>
      <c r="U314" s="219"/>
      <c r="V314" s="220"/>
      <c r="W314" s="220"/>
    </row>
    <row r="315" spans="2:23" x14ac:dyDescent="0.3">
      <c r="B315" s="205"/>
      <c r="C315" s="206"/>
      <c r="D315" s="206"/>
      <c r="E315" s="423"/>
      <c r="F315" s="333"/>
      <c r="G315" s="209"/>
      <c r="H315" s="218"/>
      <c r="I315" s="218">
        <f t="shared" si="151"/>
        <v>0</v>
      </c>
      <c r="J315" s="218"/>
      <c r="K315" s="211">
        <f t="shared" ref="K315:K346" si="157">+H315*I315</f>
        <v>0</v>
      </c>
      <c r="L315" s="208"/>
      <c r="M315" s="432"/>
      <c r="N315" s="213"/>
      <c r="O315" s="212"/>
      <c r="P315" s="214">
        <f t="shared" si="152"/>
        <v>0</v>
      </c>
      <c r="Q315" s="215">
        <f t="shared" si="153"/>
        <v>0</v>
      </c>
      <c r="R315" s="215">
        <f t="shared" si="154"/>
        <v>0</v>
      </c>
      <c r="S315" s="216">
        <f t="shared" si="155"/>
        <v>0</v>
      </c>
      <c r="U315" s="219"/>
      <c r="V315" s="220"/>
      <c r="W315" s="220"/>
    </row>
    <row r="316" spans="2:23" x14ac:dyDescent="0.3">
      <c r="B316" s="205"/>
      <c r="C316" s="206"/>
      <c r="D316" s="206"/>
      <c r="E316" s="423"/>
      <c r="F316" s="333"/>
      <c r="G316" s="209"/>
      <c r="H316" s="218"/>
      <c r="I316" s="218">
        <f t="shared" si="151"/>
        <v>0</v>
      </c>
      <c r="J316" s="218"/>
      <c r="K316" s="211">
        <f t="shared" si="157"/>
        <v>0</v>
      </c>
      <c r="L316" s="208"/>
      <c r="M316" s="432"/>
      <c r="N316" s="213"/>
      <c r="O316" s="212"/>
      <c r="P316" s="214">
        <f t="shared" si="152"/>
        <v>0</v>
      </c>
      <c r="Q316" s="215">
        <f t="shared" si="153"/>
        <v>0</v>
      </c>
      <c r="R316" s="215">
        <f t="shared" si="154"/>
        <v>0</v>
      </c>
      <c r="S316" s="216">
        <f t="shared" si="155"/>
        <v>0</v>
      </c>
      <c r="U316" s="219"/>
      <c r="V316" s="220"/>
      <c r="W316" s="220"/>
    </row>
    <row r="317" spans="2:23" x14ac:dyDescent="0.3">
      <c r="B317" s="205"/>
      <c r="C317" s="206"/>
      <c r="D317" s="206"/>
      <c r="E317" s="423"/>
      <c r="F317" s="333"/>
      <c r="G317" s="209"/>
      <c r="H317" s="218"/>
      <c r="I317" s="218">
        <f t="shared" si="151"/>
        <v>0</v>
      </c>
      <c r="J317" s="218"/>
      <c r="K317" s="211">
        <f t="shared" si="157"/>
        <v>0</v>
      </c>
      <c r="L317" s="208"/>
      <c r="M317" s="432"/>
      <c r="N317" s="213"/>
      <c r="O317" s="212"/>
      <c r="P317" s="214">
        <f t="shared" si="152"/>
        <v>0</v>
      </c>
      <c r="Q317" s="215">
        <f t="shared" si="153"/>
        <v>0</v>
      </c>
      <c r="R317" s="215">
        <f t="shared" si="154"/>
        <v>0</v>
      </c>
      <c r="S317" s="216">
        <f t="shared" si="155"/>
        <v>0</v>
      </c>
      <c r="U317" s="219"/>
      <c r="V317" s="220"/>
      <c r="W317" s="220"/>
    </row>
    <row r="318" spans="2:23" x14ac:dyDescent="0.3">
      <c r="B318" s="205"/>
      <c r="C318" s="206"/>
      <c r="D318" s="206"/>
      <c r="E318" s="423"/>
      <c r="F318" s="333"/>
      <c r="G318" s="209"/>
      <c r="H318" s="218"/>
      <c r="I318" s="218">
        <f t="shared" si="151"/>
        <v>0</v>
      </c>
      <c r="J318" s="218"/>
      <c r="K318" s="211">
        <f t="shared" si="157"/>
        <v>0</v>
      </c>
      <c r="L318" s="208"/>
      <c r="M318" s="432"/>
      <c r="N318" s="213"/>
      <c r="O318" s="212"/>
      <c r="P318" s="214">
        <f t="shared" si="152"/>
        <v>0</v>
      </c>
      <c r="Q318" s="215">
        <f t="shared" si="153"/>
        <v>0</v>
      </c>
      <c r="R318" s="215">
        <f t="shared" si="154"/>
        <v>0</v>
      </c>
      <c r="S318" s="216">
        <f t="shared" si="155"/>
        <v>0</v>
      </c>
      <c r="U318" s="219"/>
      <c r="V318" s="220"/>
      <c r="W318" s="220"/>
    </row>
    <row r="319" spans="2:23" x14ac:dyDescent="0.3">
      <c r="B319" s="205"/>
      <c r="C319" s="206"/>
      <c r="D319" s="206"/>
      <c r="E319" s="423"/>
      <c r="F319" s="333"/>
      <c r="G319" s="209"/>
      <c r="H319" s="218"/>
      <c r="I319" s="218">
        <f t="shared" si="151"/>
        <v>0</v>
      </c>
      <c r="J319" s="218"/>
      <c r="K319" s="211">
        <f t="shared" si="157"/>
        <v>0</v>
      </c>
      <c r="L319" s="208"/>
      <c r="M319" s="432"/>
      <c r="N319" s="213"/>
      <c r="O319" s="212"/>
      <c r="P319" s="214">
        <f t="shared" si="152"/>
        <v>0</v>
      </c>
      <c r="Q319" s="215">
        <f t="shared" si="153"/>
        <v>0</v>
      </c>
      <c r="R319" s="215">
        <f t="shared" si="154"/>
        <v>0</v>
      </c>
      <c r="S319" s="216">
        <f t="shared" si="155"/>
        <v>0</v>
      </c>
      <c r="U319" s="219"/>
      <c r="V319" s="220"/>
      <c r="W319" s="220"/>
    </row>
    <row r="320" spans="2:23" x14ac:dyDescent="0.3">
      <c r="B320" s="205"/>
      <c r="C320" s="206"/>
      <c r="D320" s="206"/>
      <c r="E320" s="423"/>
      <c r="F320" s="333"/>
      <c r="G320" s="209"/>
      <c r="H320" s="218"/>
      <c r="I320" s="218">
        <f t="shared" si="151"/>
        <v>0</v>
      </c>
      <c r="J320" s="218"/>
      <c r="K320" s="211">
        <f t="shared" si="157"/>
        <v>0</v>
      </c>
      <c r="L320" s="208"/>
      <c r="M320" s="432"/>
      <c r="N320" s="213"/>
      <c r="O320" s="212"/>
      <c r="P320" s="214">
        <f t="shared" si="152"/>
        <v>0</v>
      </c>
      <c r="Q320" s="215">
        <f t="shared" si="153"/>
        <v>0</v>
      </c>
      <c r="R320" s="215">
        <f t="shared" si="154"/>
        <v>0</v>
      </c>
      <c r="S320" s="216">
        <f t="shared" si="155"/>
        <v>0</v>
      </c>
      <c r="U320" s="219"/>
      <c r="V320" s="220"/>
      <c r="W320" s="220"/>
    </row>
    <row r="321" spans="2:23" x14ac:dyDescent="0.3">
      <c r="B321" s="205"/>
      <c r="C321" s="206"/>
      <c r="D321" s="206"/>
      <c r="E321" s="423"/>
      <c r="F321" s="333"/>
      <c r="G321" s="209"/>
      <c r="H321" s="218"/>
      <c r="I321" s="218">
        <f t="shared" si="151"/>
        <v>0</v>
      </c>
      <c r="J321" s="218"/>
      <c r="K321" s="211">
        <f t="shared" si="157"/>
        <v>0</v>
      </c>
      <c r="L321" s="208"/>
      <c r="M321" s="432"/>
      <c r="N321" s="213"/>
      <c r="O321" s="212"/>
      <c r="P321" s="214">
        <f t="shared" si="152"/>
        <v>0</v>
      </c>
      <c r="Q321" s="215">
        <f t="shared" si="153"/>
        <v>0</v>
      </c>
      <c r="R321" s="215">
        <f t="shared" si="154"/>
        <v>0</v>
      </c>
      <c r="S321" s="216">
        <f t="shared" si="155"/>
        <v>0</v>
      </c>
      <c r="U321" s="219"/>
      <c r="V321" s="220"/>
      <c r="W321" s="220"/>
    </row>
    <row r="322" spans="2:23" x14ac:dyDescent="0.3">
      <c r="B322" s="205"/>
      <c r="C322" s="206"/>
      <c r="D322" s="206"/>
      <c r="E322" s="423"/>
      <c r="F322" s="333"/>
      <c r="G322" s="209"/>
      <c r="H322" s="218"/>
      <c r="I322" s="218">
        <f t="shared" si="151"/>
        <v>0</v>
      </c>
      <c r="J322" s="218"/>
      <c r="K322" s="211">
        <f t="shared" si="157"/>
        <v>0</v>
      </c>
      <c r="L322" s="208"/>
      <c r="M322" s="432"/>
      <c r="N322" s="213"/>
      <c r="O322" s="212"/>
      <c r="P322" s="214">
        <f t="shared" si="152"/>
        <v>0</v>
      </c>
      <c r="Q322" s="215">
        <f t="shared" si="153"/>
        <v>0</v>
      </c>
      <c r="R322" s="215">
        <f t="shared" si="154"/>
        <v>0</v>
      </c>
      <c r="S322" s="216">
        <f t="shared" si="155"/>
        <v>0</v>
      </c>
      <c r="U322" s="219"/>
      <c r="V322" s="220"/>
      <c r="W322" s="220"/>
    </row>
    <row r="323" spans="2:23" x14ac:dyDescent="0.3">
      <c r="B323" s="205"/>
      <c r="C323" s="206"/>
      <c r="D323" s="206"/>
      <c r="E323" s="423"/>
      <c r="F323" s="333"/>
      <c r="G323" s="209"/>
      <c r="H323" s="218"/>
      <c r="I323" s="218">
        <f t="shared" ref="I323:I354" si="158">+M323</f>
        <v>0</v>
      </c>
      <c r="J323" s="218"/>
      <c r="K323" s="211">
        <f t="shared" si="157"/>
        <v>0</v>
      </c>
      <c r="L323" s="208"/>
      <c r="M323" s="432"/>
      <c r="N323" s="213"/>
      <c r="O323" s="212"/>
      <c r="P323" s="214">
        <f t="shared" ref="P323:P354" si="159">SUM(Q323:S323)</f>
        <v>0</v>
      </c>
      <c r="Q323" s="215">
        <f t="shared" ref="Q323:Q354" si="160">IF(M323&gt;0,1,0)</f>
        <v>0</v>
      </c>
      <c r="R323" s="215">
        <f t="shared" ref="R323:R354" si="161">IF(N323&gt;0,1,0)</f>
        <v>0</v>
      </c>
      <c r="S323" s="216">
        <f t="shared" ref="S323:S354" si="162">IF(O323&gt;0,1,0)</f>
        <v>0</v>
      </c>
      <c r="U323" s="219"/>
      <c r="V323" s="220"/>
      <c r="W323" s="220"/>
    </row>
    <row r="324" spans="2:23" x14ac:dyDescent="0.3">
      <c r="B324" s="205"/>
      <c r="C324" s="206"/>
      <c r="D324" s="206"/>
      <c r="E324" s="423"/>
      <c r="F324" s="333"/>
      <c r="G324" s="209"/>
      <c r="H324" s="218"/>
      <c r="I324" s="218">
        <f t="shared" si="158"/>
        <v>0</v>
      </c>
      <c r="J324" s="218"/>
      <c r="K324" s="211">
        <f t="shared" si="157"/>
        <v>0</v>
      </c>
      <c r="L324" s="208"/>
      <c r="M324" s="432"/>
      <c r="N324" s="213"/>
      <c r="O324" s="212"/>
      <c r="P324" s="214">
        <f t="shared" si="159"/>
        <v>0</v>
      </c>
      <c r="Q324" s="215">
        <f t="shared" si="160"/>
        <v>0</v>
      </c>
      <c r="R324" s="215">
        <f t="shared" si="161"/>
        <v>0</v>
      </c>
      <c r="S324" s="216">
        <f t="shared" si="162"/>
        <v>0</v>
      </c>
      <c r="U324" s="219"/>
      <c r="V324" s="220"/>
      <c r="W324" s="220"/>
    </row>
    <row r="325" spans="2:23" x14ac:dyDescent="0.3">
      <c r="B325" s="205"/>
      <c r="C325" s="206"/>
      <c r="D325" s="206"/>
      <c r="E325" s="423"/>
      <c r="F325" s="333"/>
      <c r="G325" s="209"/>
      <c r="H325" s="218"/>
      <c r="I325" s="218">
        <f t="shared" si="158"/>
        <v>0</v>
      </c>
      <c r="J325" s="218"/>
      <c r="K325" s="211">
        <f t="shared" si="157"/>
        <v>0</v>
      </c>
      <c r="L325" s="208"/>
      <c r="M325" s="432"/>
      <c r="N325" s="213"/>
      <c r="O325" s="212"/>
      <c r="P325" s="214">
        <f t="shared" si="159"/>
        <v>0</v>
      </c>
      <c r="Q325" s="215">
        <f t="shared" si="160"/>
        <v>0</v>
      </c>
      <c r="R325" s="215">
        <f t="shared" si="161"/>
        <v>0</v>
      </c>
      <c r="S325" s="216">
        <f t="shared" si="162"/>
        <v>0</v>
      </c>
      <c r="U325" s="219"/>
      <c r="V325" s="220"/>
      <c r="W325" s="220"/>
    </row>
    <row r="326" spans="2:23" x14ac:dyDescent="0.3">
      <c r="B326" s="205"/>
      <c r="C326" s="206"/>
      <c r="D326" s="206"/>
      <c r="E326" s="423"/>
      <c r="F326" s="333"/>
      <c r="G326" s="209"/>
      <c r="H326" s="218"/>
      <c r="I326" s="218">
        <f t="shared" si="158"/>
        <v>0</v>
      </c>
      <c r="J326" s="218"/>
      <c r="K326" s="211">
        <f t="shared" si="157"/>
        <v>0</v>
      </c>
      <c r="L326" s="208"/>
      <c r="M326" s="432"/>
      <c r="N326" s="213"/>
      <c r="O326" s="212"/>
      <c r="P326" s="214">
        <f t="shared" si="159"/>
        <v>0</v>
      </c>
      <c r="Q326" s="215">
        <f t="shared" si="160"/>
        <v>0</v>
      </c>
      <c r="R326" s="215">
        <f t="shared" si="161"/>
        <v>0</v>
      </c>
      <c r="S326" s="216">
        <f t="shared" si="162"/>
        <v>0</v>
      </c>
      <c r="U326" s="219"/>
      <c r="V326" s="220"/>
      <c r="W326" s="220"/>
    </row>
    <row r="327" spans="2:23" x14ac:dyDescent="0.3">
      <c r="B327" s="205"/>
      <c r="C327" s="206"/>
      <c r="D327" s="206"/>
      <c r="E327" s="423"/>
      <c r="F327" s="333"/>
      <c r="G327" s="209"/>
      <c r="H327" s="218"/>
      <c r="I327" s="218">
        <f t="shared" si="158"/>
        <v>0</v>
      </c>
      <c r="J327" s="218"/>
      <c r="K327" s="211">
        <f t="shared" si="157"/>
        <v>0</v>
      </c>
      <c r="L327" s="208"/>
      <c r="M327" s="432"/>
      <c r="N327" s="213"/>
      <c r="O327" s="212"/>
      <c r="P327" s="214">
        <f t="shared" si="159"/>
        <v>0</v>
      </c>
      <c r="Q327" s="215">
        <f t="shared" si="160"/>
        <v>0</v>
      </c>
      <c r="R327" s="215">
        <f t="shared" si="161"/>
        <v>0</v>
      </c>
      <c r="S327" s="216">
        <f t="shared" si="162"/>
        <v>0</v>
      </c>
      <c r="U327" s="219"/>
      <c r="V327" s="220"/>
      <c r="W327" s="220"/>
    </row>
    <row r="328" spans="2:23" x14ac:dyDescent="0.3">
      <c r="B328" s="205"/>
      <c r="C328" s="206"/>
      <c r="D328" s="206"/>
      <c r="E328" s="423"/>
      <c r="F328" s="333"/>
      <c r="G328" s="209"/>
      <c r="H328" s="218"/>
      <c r="I328" s="218">
        <f t="shared" si="158"/>
        <v>0</v>
      </c>
      <c r="J328" s="218"/>
      <c r="K328" s="211">
        <f t="shared" si="157"/>
        <v>0</v>
      </c>
      <c r="L328" s="208"/>
      <c r="M328" s="432"/>
      <c r="N328" s="213"/>
      <c r="O328" s="212"/>
      <c r="P328" s="214">
        <f t="shared" si="159"/>
        <v>0</v>
      </c>
      <c r="Q328" s="215">
        <f t="shared" si="160"/>
        <v>0</v>
      </c>
      <c r="R328" s="215">
        <f t="shared" si="161"/>
        <v>0</v>
      </c>
      <c r="S328" s="216">
        <f t="shared" si="162"/>
        <v>0</v>
      </c>
      <c r="U328" s="219"/>
      <c r="V328" s="220"/>
      <c r="W328" s="220"/>
    </row>
    <row r="329" spans="2:23" x14ac:dyDescent="0.3">
      <c r="B329" s="205"/>
      <c r="C329" s="206"/>
      <c r="D329" s="206"/>
      <c r="E329" s="423"/>
      <c r="F329" s="333"/>
      <c r="G329" s="209"/>
      <c r="H329" s="218"/>
      <c r="I329" s="218">
        <f t="shared" si="158"/>
        <v>0</v>
      </c>
      <c r="J329" s="218"/>
      <c r="K329" s="211">
        <f t="shared" si="157"/>
        <v>0</v>
      </c>
      <c r="L329" s="208"/>
      <c r="M329" s="432"/>
      <c r="N329" s="213"/>
      <c r="O329" s="212"/>
      <c r="P329" s="214">
        <f t="shared" si="159"/>
        <v>0</v>
      </c>
      <c r="Q329" s="215">
        <f t="shared" si="160"/>
        <v>0</v>
      </c>
      <c r="R329" s="215">
        <f t="shared" si="161"/>
        <v>0</v>
      </c>
      <c r="S329" s="216">
        <f t="shared" si="162"/>
        <v>0</v>
      </c>
      <c r="U329" s="219"/>
      <c r="V329" s="220"/>
      <c r="W329" s="220"/>
    </row>
    <row r="330" spans="2:23" x14ac:dyDescent="0.3">
      <c r="B330" s="205"/>
      <c r="C330" s="206"/>
      <c r="D330" s="206"/>
      <c r="E330" s="423"/>
      <c r="F330" s="333"/>
      <c r="G330" s="209"/>
      <c r="H330" s="218"/>
      <c r="I330" s="218">
        <f t="shared" si="158"/>
        <v>0</v>
      </c>
      <c r="J330" s="218"/>
      <c r="K330" s="211">
        <f t="shared" si="157"/>
        <v>0</v>
      </c>
      <c r="L330" s="208"/>
      <c r="M330" s="432"/>
      <c r="N330" s="213"/>
      <c r="O330" s="212"/>
      <c r="P330" s="214">
        <f t="shared" si="159"/>
        <v>0</v>
      </c>
      <c r="Q330" s="215">
        <f t="shared" si="160"/>
        <v>0</v>
      </c>
      <c r="R330" s="215">
        <f t="shared" si="161"/>
        <v>0</v>
      </c>
      <c r="S330" s="216">
        <f t="shared" si="162"/>
        <v>0</v>
      </c>
      <c r="U330" s="219"/>
      <c r="V330" s="220"/>
      <c r="W330" s="220"/>
    </row>
    <row r="331" spans="2:23" x14ac:dyDescent="0.3">
      <c r="B331" s="205"/>
      <c r="C331" s="206"/>
      <c r="D331" s="206"/>
      <c r="E331" s="423"/>
      <c r="F331" s="333"/>
      <c r="G331" s="209"/>
      <c r="H331" s="218"/>
      <c r="I331" s="218">
        <f t="shared" si="158"/>
        <v>0</v>
      </c>
      <c r="J331" s="218"/>
      <c r="K331" s="211">
        <f t="shared" si="157"/>
        <v>0</v>
      </c>
      <c r="L331" s="208"/>
      <c r="M331" s="432"/>
      <c r="N331" s="213"/>
      <c r="O331" s="212"/>
      <c r="P331" s="214">
        <f t="shared" si="159"/>
        <v>0</v>
      </c>
      <c r="Q331" s="215">
        <f t="shared" si="160"/>
        <v>0</v>
      </c>
      <c r="R331" s="215">
        <f t="shared" si="161"/>
        <v>0</v>
      </c>
      <c r="S331" s="216">
        <f t="shared" si="162"/>
        <v>0</v>
      </c>
      <c r="U331" s="219"/>
      <c r="V331" s="220"/>
      <c r="W331" s="220"/>
    </row>
    <row r="332" spans="2:23" x14ac:dyDescent="0.3">
      <c r="B332" s="205"/>
      <c r="C332" s="206"/>
      <c r="D332" s="206"/>
      <c r="E332" s="423"/>
      <c r="F332" s="333"/>
      <c r="G332" s="209"/>
      <c r="H332" s="218"/>
      <c r="I332" s="218">
        <f t="shared" si="158"/>
        <v>0</v>
      </c>
      <c r="J332" s="218"/>
      <c r="K332" s="211">
        <f t="shared" si="157"/>
        <v>0</v>
      </c>
      <c r="L332" s="208"/>
      <c r="M332" s="432"/>
      <c r="N332" s="213"/>
      <c r="O332" s="212"/>
      <c r="P332" s="214">
        <f t="shared" si="159"/>
        <v>0</v>
      </c>
      <c r="Q332" s="215">
        <f t="shared" si="160"/>
        <v>0</v>
      </c>
      <c r="R332" s="215">
        <f t="shared" si="161"/>
        <v>0</v>
      </c>
      <c r="S332" s="216">
        <f t="shared" si="162"/>
        <v>0</v>
      </c>
      <c r="U332" s="219"/>
      <c r="V332" s="220"/>
      <c r="W332" s="220"/>
    </row>
    <row r="333" spans="2:23" x14ac:dyDescent="0.3">
      <c r="B333" s="205"/>
      <c r="C333" s="206"/>
      <c r="D333" s="206"/>
      <c r="E333" s="423"/>
      <c r="F333" s="333"/>
      <c r="G333" s="209"/>
      <c r="H333" s="218"/>
      <c r="I333" s="218">
        <f t="shared" si="158"/>
        <v>0</v>
      </c>
      <c r="J333" s="218"/>
      <c r="K333" s="211">
        <f t="shared" si="157"/>
        <v>0</v>
      </c>
      <c r="L333" s="208"/>
      <c r="M333" s="432"/>
      <c r="N333" s="213"/>
      <c r="O333" s="212"/>
      <c r="P333" s="214">
        <f t="shared" si="159"/>
        <v>0</v>
      </c>
      <c r="Q333" s="215">
        <f t="shared" si="160"/>
        <v>0</v>
      </c>
      <c r="R333" s="215">
        <f t="shared" si="161"/>
        <v>0</v>
      </c>
      <c r="S333" s="216">
        <f t="shared" si="162"/>
        <v>0</v>
      </c>
      <c r="U333" s="219"/>
      <c r="V333" s="220"/>
      <c r="W333" s="220"/>
    </row>
    <row r="334" spans="2:23" x14ac:dyDescent="0.3">
      <c r="B334" s="205"/>
      <c r="C334" s="206"/>
      <c r="D334" s="206"/>
      <c r="E334" s="423"/>
      <c r="F334" s="333"/>
      <c r="G334" s="209"/>
      <c r="H334" s="218"/>
      <c r="I334" s="218">
        <f t="shared" si="158"/>
        <v>0</v>
      </c>
      <c r="J334" s="218"/>
      <c r="K334" s="211">
        <f t="shared" si="157"/>
        <v>0</v>
      </c>
      <c r="L334" s="208"/>
      <c r="M334" s="432"/>
      <c r="N334" s="213"/>
      <c r="O334" s="212"/>
      <c r="P334" s="214">
        <f t="shared" si="159"/>
        <v>0</v>
      </c>
      <c r="Q334" s="215">
        <f t="shared" si="160"/>
        <v>0</v>
      </c>
      <c r="R334" s="215">
        <f t="shared" si="161"/>
        <v>0</v>
      </c>
      <c r="S334" s="216">
        <f t="shared" si="162"/>
        <v>0</v>
      </c>
      <c r="U334" s="219"/>
      <c r="V334" s="220"/>
      <c r="W334" s="220"/>
    </row>
    <row r="335" spans="2:23" x14ac:dyDescent="0.3">
      <c r="B335" s="205"/>
      <c r="C335" s="206"/>
      <c r="D335" s="206"/>
      <c r="E335" s="423"/>
      <c r="F335" s="333"/>
      <c r="G335" s="209"/>
      <c r="H335" s="218"/>
      <c r="I335" s="218">
        <f t="shared" si="158"/>
        <v>0</v>
      </c>
      <c r="J335" s="218"/>
      <c r="K335" s="211">
        <f t="shared" si="157"/>
        <v>0</v>
      </c>
      <c r="L335" s="208"/>
      <c r="M335" s="432"/>
      <c r="N335" s="213"/>
      <c r="O335" s="212"/>
      <c r="P335" s="214">
        <f t="shared" si="159"/>
        <v>0</v>
      </c>
      <c r="Q335" s="215">
        <f t="shared" si="160"/>
        <v>0</v>
      </c>
      <c r="R335" s="215">
        <f t="shared" si="161"/>
        <v>0</v>
      </c>
      <c r="S335" s="216">
        <f t="shared" si="162"/>
        <v>0</v>
      </c>
      <c r="U335" s="219"/>
      <c r="V335" s="220"/>
      <c r="W335" s="220"/>
    </row>
    <row r="336" spans="2:23" x14ac:dyDescent="0.3">
      <c r="B336" s="205"/>
      <c r="C336" s="206"/>
      <c r="D336" s="206"/>
      <c r="E336" s="423"/>
      <c r="F336" s="333"/>
      <c r="G336" s="209"/>
      <c r="H336" s="218"/>
      <c r="I336" s="218">
        <f t="shared" si="158"/>
        <v>0</v>
      </c>
      <c r="J336" s="218"/>
      <c r="K336" s="211">
        <f t="shared" si="157"/>
        <v>0</v>
      </c>
      <c r="L336" s="208"/>
      <c r="M336" s="432"/>
      <c r="N336" s="213"/>
      <c r="O336" s="212"/>
      <c r="P336" s="214">
        <f t="shared" si="159"/>
        <v>0</v>
      </c>
      <c r="Q336" s="215">
        <f t="shared" si="160"/>
        <v>0</v>
      </c>
      <c r="R336" s="215">
        <f t="shared" si="161"/>
        <v>0</v>
      </c>
      <c r="S336" s="216">
        <f t="shared" si="162"/>
        <v>0</v>
      </c>
      <c r="U336" s="219"/>
      <c r="V336" s="220"/>
      <c r="W336" s="220"/>
    </row>
    <row r="337" spans="2:23" x14ac:dyDescent="0.3">
      <c r="B337" s="205"/>
      <c r="C337" s="206"/>
      <c r="D337" s="206"/>
      <c r="E337" s="423"/>
      <c r="F337" s="333"/>
      <c r="G337" s="209"/>
      <c r="H337" s="218"/>
      <c r="I337" s="218">
        <f t="shared" si="158"/>
        <v>0</v>
      </c>
      <c r="J337" s="218"/>
      <c r="K337" s="211">
        <f t="shared" si="157"/>
        <v>0</v>
      </c>
      <c r="L337" s="208"/>
      <c r="M337" s="432"/>
      <c r="N337" s="213"/>
      <c r="O337" s="212"/>
      <c r="P337" s="214">
        <f t="shared" si="159"/>
        <v>0</v>
      </c>
      <c r="Q337" s="215">
        <f t="shared" si="160"/>
        <v>0</v>
      </c>
      <c r="R337" s="215">
        <f t="shared" si="161"/>
        <v>0</v>
      </c>
      <c r="S337" s="216">
        <f t="shared" si="162"/>
        <v>0</v>
      </c>
      <c r="U337" s="219"/>
      <c r="V337" s="220"/>
      <c r="W337" s="220"/>
    </row>
    <row r="338" spans="2:23" x14ac:dyDescent="0.3">
      <c r="B338" s="205"/>
      <c r="C338" s="206"/>
      <c r="D338" s="206"/>
      <c r="E338" s="423"/>
      <c r="F338" s="333"/>
      <c r="G338" s="209"/>
      <c r="H338" s="218"/>
      <c r="I338" s="218">
        <f t="shared" si="158"/>
        <v>0</v>
      </c>
      <c r="J338" s="218"/>
      <c r="K338" s="211">
        <f t="shared" si="157"/>
        <v>0</v>
      </c>
      <c r="L338" s="208"/>
      <c r="M338" s="432"/>
      <c r="N338" s="213"/>
      <c r="O338" s="212"/>
      <c r="P338" s="214">
        <f t="shared" si="159"/>
        <v>0</v>
      </c>
      <c r="Q338" s="215">
        <f t="shared" si="160"/>
        <v>0</v>
      </c>
      <c r="R338" s="215">
        <f t="shared" si="161"/>
        <v>0</v>
      </c>
      <c r="S338" s="216">
        <f t="shared" si="162"/>
        <v>0</v>
      </c>
      <c r="U338" s="219"/>
      <c r="V338" s="220"/>
      <c r="W338" s="220"/>
    </row>
    <row r="339" spans="2:23" x14ac:dyDescent="0.3">
      <c r="B339" s="205"/>
      <c r="C339" s="206"/>
      <c r="D339" s="206"/>
      <c r="E339" s="423"/>
      <c r="F339" s="333"/>
      <c r="G339" s="209"/>
      <c r="H339" s="218"/>
      <c r="I339" s="218">
        <f t="shared" si="158"/>
        <v>0</v>
      </c>
      <c r="J339" s="218"/>
      <c r="K339" s="211">
        <f t="shared" si="157"/>
        <v>0</v>
      </c>
      <c r="L339" s="208"/>
      <c r="M339" s="432"/>
      <c r="N339" s="213"/>
      <c r="O339" s="212"/>
      <c r="P339" s="214">
        <f t="shared" si="159"/>
        <v>0</v>
      </c>
      <c r="Q339" s="215">
        <f t="shared" si="160"/>
        <v>0</v>
      </c>
      <c r="R339" s="215">
        <f t="shared" si="161"/>
        <v>0</v>
      </c>
      <c r="S339" s="216">
        <f t="shared" si="162"/>
        <v>0</v>
      </c>
      <c r="U339" s="219"/>
      <c r="V339" s="220"/>
      <c r="W339" s="220"/>
    </row>
    <row r="340" spans="2:23" x14ac:dyDescent="0.3">
      <c r="B340" s="205"/>
      <c r="C340" s="206"/>
      <c r="D340" s="206"/>
      <c r="E340" s="423"/>
      <c r="F340" s="333"/>
      <c r="G340" s="209"/>
      <c r="H340" s="218"/>
      <c r="I340" s="218">
        <f t="shared" si="158"/>
        <v>0</v>
      </c>
      <c r="J340" s="218"/>
      <c r="K340" s="211">
        <f t="shared" si="157"/>
        <v>0</v>
      </c>
      <c r="L340" s="208"/>
      <c r="M340" s="432"/>
      <c r="N340" s="213"/>
      <c r="O340" s="212"/>
      <c r="P340" s="214">
        <f t="shared" si="159"/>
        <v>0</v>
      </c>
      <c r="Q340" s="215">
        <f t="shared" si="160"/>
        <v>0</v>
      </c>
      <c r="R340" s="215">
        <f t="shared" si="161"/>
        <v>0</v>
      </c>
      <c r="S340" s="216">
        <f t="shared" si="162"/>
        <v>0</v>
      </c>
      <c r="U340" s="219"/>
      <c r="V340" s="220"/>
      <c r="W340" s="220"/>
    </row>
    <row r="341" spans="2:23" x14ac:dyDescent="0.3">
      <c r="B341" s="205"/>
      <c r="C341" s="206"/>
      <c r="D341" s="206"/>
      <c r="E341" s="423"/>
      <c r="F341" s="333"/>
      <c r="G341" s="209"/>
      <c r="H341" s="218"/>
      <c r="I341" s="218">
        <f t="shared" si="158"/>
        <v>0</v>
      </c>
      <c r="J341" s="218"/>
      <c r="K341" s="211">
        <f t="shared" si="157"/>
        <v>0</v>
      </c>
      <c r="L341" s="208"/>
      <c r="M341" s="432"/>
      <c r="N341" s="213"/>
      <c r="O341" s="212"/>
      <c r="P341" s="214">
        <f t="shared" si="159"/>
        <v>0</v>
      </c>
      <c r="Q341" s="215">
        <f t="shared" si="160"/>
        <v>0</v>
      </c>
      <c r="R341" s="215">
        <f t="shared" si="161"/>
        <v>0</v>
      </c>
      <c r="S341" s="216">
        <f t="shared" si="162"/>
        <v>0</v>
      </c>
      <c r="U341" s="219"/>
      <c r="V341" s="220"/>
      <c r="W341" s="220"/>
    </row>
    <row r="342" spans="2:23" x14ac:dyDescent="0.3">
      <c r="B342" s="205"/>
      <c r="C342" s="206"/>
      <c r="D342" s="206"/>
      <c r="E342" s="423"/>
      <c r="F342" s="333"/>
      <c r="G342" s="209"/>
      <c r="H342" s="218"/>
      <c r="I342" s="218">
        <f t="shared" si="158"/>
        <v>0</v>
      </c>
      <c r="J342" s="218"/>
      <c r="K342" s="211">
        <f t="shared" si="157"/>
        <v>0</v>
      </c>
      <c r="L342" s="208"/>
      <c r="M342" s="432"/>
      <c r="N342" s="213"/>
      <c r="O342" s="212"/>
      <c r="P342" s="214">
        <f t="shared" si="159"/>
        <v>0</v>
      </c>
      <c r="Q342" s="215">
        <f t="shared" si="160"/>
        <v>0</v>
      </c>
      <c r="R342" s="215">
        <f t="shared" si="161"/>
        <v>0</v>
      </c>
      <c r="S342" s="216">
        <f t="shared" si="162"/>
        <v>0</v>
      </c>
      <c r="U342" s="219"/>
      <c r="V342" s="220"/>
      <c r="W342" s="220"/>
    </row>
    <row r="343" spans="2:23" x14ac:dyDescent="0.3">
      <c r="B343" s="205"/>
      <c r="C343" s="206"/>
      <c r="D343" s="206"/>
      <c r="E343" s="423"/>
      <c r="F343" s="333"/>
      <c r="G343" s="209"/>
      <c r="H343" s="218"/>
      <c r="I343" s="218">
        <f t="shared" si="158"/>
        <v>0</v>
      </c>
      <c r="J343" s="218"/>
      <c r="K343" s="211">
        <f t="shared" si="157"/>
        <v>0</v>
      </c>
      <c r="L343" s="208"/>
      <c r="M343" s="432"/>
      <c r="N343" s="213"/>
      <c r="O343" s="212"/>
      <c r="P343" s="214">
        <f t="shared" si="159"/>
        <v>0</v>
      </c>
      <c r="Q343" s="215">
        <f t="shared" si="160"/>
        <v>0</v>
      </c>
      <c r="R343" s="215">
        <f t="shared" si="161"/>
        <v>0</v>
      </c>
      <c r="S343" s="216">
        <f t="shared" si="162"/>
        <v>0</v>
      </c>
      <c r="U343" s="219"/>
      <c r="V343" s="220"/>
      <c r="W343" s="220"/>
    </row>
    <row r="344" spans="2:23" x14ac:dyDescent="0.3">
      <c r="B344" s="205"/>
      <c r="C344" s="206"/>
      <c r="D344" s="206"/>
      <c r="E344" s="423"/>
      <c r="F344" s="333"/>
      <c r="G344" s="209"/>
      <c r="H344" s="218"/>
      <c r="I344" s="218">
        <f t="shared" si="158"/>
        <v>0</v>
      </c>
      <c r="J344" s="218"/>
      <c r="K344" s="211">
        <f t="shared" si="157"/>
        <v>0</v>
      </c>
      <c r="L344" s="208"/>
      <c r="M344" s="432"/>
      <c r="N344" s="213"/>
      <c r="O344" s="212"/>
      <c r="P344" s="214">
        <f t="shared" si="159"/>
        <v>0</v>
      </c>
      <c r="Q344" s="215">
        <f t="shared" si="160"/>
        <v>0</v>
      </c>
      <c r="R344" s="215">
        <f t="shared" si="161"/>
        <v>0</v>
      </c>
      <c r="S344" s="216">
        <f t="shared" si="162"/>
        <v>0</v>
      </c>
      <c r="U344" s="219"/>
      <c r="V344" s="220"/>
      <c r="W344" s="220"/>
    </row>
    <row r="345" spans="2:23" x14ac:dyDescent="0.3">
      <c r="B345" s="205"/>
      <c r="C345" s="206"/>
      <c r="D345" s="206"/>
      <c r="E345" s="423"/>
      <c r="F345" s="333"/>
      <c r="G345" s="209"/>
      <c r="H345" s="218"/>
      <c r="I345" s="218">
        <f t="shared" si="158"/>
        <v>0</v>
      </c>
      <c r="J345" s="218"/>
      <c r="K345" s="211">
        <f t="shared" si="157"/>
        <v>0</v>
      </c>
      <c r="L345" s="208"/>
      <c r="M345" s="432"/>
      <c r="N345" s="213"/>
      <c r="O345" s="212"/>
      <c r="P345" s="214">
        <f t="shared" si="159"/>
        <v>0</v>
      </c>
      <c r="Q345" s="215">
        <f t="shared" si="160"/>
        <v>0</v>
      </c>
      <c r="R345" s="215">
        <f t="shared" si="161"/>
        <v>0</v>
      </c>
      <c r="S345" s="216">
        <f t="shared" si="162"/>
        <v>0</v>
      </c>
      <c r="U345" s="219"/>
      <c r="V345" s="220"/>
      <c r="W345" s="220"/>
    </row>
    <row r="346" spans="2:23" x14ac:dyDescent="0.3">
      <c r="B346" s="205"/>
      <c r="C346" s="206"/>
      <c r="D346" s="206"/>
      <c r="E346" s="423"/>
      <c r="F346" s="333"/>
      <c r="G346" s="209"/>
      <c r="H346" s="218"/>
      <c r="I346" s="218">
        <f t="shared" si="158"/>
        <v>0</v>
      </c>
      <c r="J346" s="218"/>
      <c r="K346" s="211">
        <f t="shared" si="157"/>
        <v>0</v>
      </c>
      <c r="L346" s="208"/>
      <c r="M346" s="432"/>
      <c r="N346" s="213"/>
      <c r="O346" s="212"/>
      <c r="P346" s="214">
        <f t="shared" si="159"/>
        <v>0</v>
      </c>
      <c r="Q346" s="215">
        <f t="shared" si="160"/>
        <v>0</v>
      </c>
      <c r="R346" s="215">
        <f t="shared" si="161"/>
        <v>0</v>
      </c>
      <c r="S346" s="216">
        <f t="shared" si="162"/>
        <v>0</v>
      </c>
      <c r="U346" s="219"/>
      <c r="V346" s="220"/>
      <c r="W346" s="220"/>
    </row>
    <row r="347" spans="2:23" x14ac:dyDescent="0.3">
      <c r="B347" s="205"/>
      <c r="C347" s="206"/>
      <c r="D347" s="206"/>
      <c r="E347" s="423"/>
      <c r="F347" s="333"/>
      <c r="G347" s="209"/>
      <c r="H347" s="218"/>
      <c r="I347" s="218">
        <f t="shared" si="158"/>
        <v>0</v>
      </c>
      <c r="J347" s="218"/>
      <c r="K347" s="211">
        <f t="shared" ref="K347:K354" si="163">+H347*I347</f>
        <v>0</v>
      </c>
      <c r="L347" s="208"/>
      <c r="M347" s="432"/>
      <c r="N347" s="213"/>
      <c r="O347" s="212"/>
      <c r="P347" s="214">
        <f t="shared" si="159"/>
        <v>0</v>
      </c>
      <c r="Q347" s="215">
        <f t="shared" si="160"/>
        <v>0</v>
      </c>
      <c r="R347" s="215">
        <f t="shared" si="161"/>
        <v>0</v>
      </c>
      <c r="S347" s="216">
        <f t="shared" si="162"/>
        <v>0</v>
      </c>
      <c r="U347" s="219"/>
      <c r="V347" s="220"/>
      <c r="W347" s="220"/>
    </row>
    <row r="348" spans="2:23" x14ac:dyDescent="0.3">
      <c r="B348" s="205"/>
      <c r="C348" s="206"/>
      <c r="D348" s="206"/>
      <c r="E348" s="423"/>
      <c r="F348" s="333"/>
      <c r="G348" s="209"/>
      <c r="H348" s="218"/>
      <c r="I348" s="218">
        <f t="shared" si="158"/>
        <v>0</v>
      </c>
      <c r="J348" s="218"/>
      <c r="K348" s="211">
        <f t="shared" si="163"/>
        <v>0</v>
      </c>
      <c r="L348" s="208"/>
      <c r="M348" s="432"/>
      <c r="N348" s="213"/>
      <c r="O348" s="212"/>
      <c r="P348" s="214">
        <f t="shared" si="159"/>
        <v>0</v>
      </c>
      <c r="Q348" s="215">
        <f t="shared" si="160"/>
        <v>0</v>
      </c>
      <c r="R348" s="215">
        <f t="shared" si="161"/>
        <v>0</v>
      </c>
      <c r="S348" s="216">
        <f t="shared" si="162"/>
        <v>0</v>
      </c>
      <c r="U348" s="219"/>
      <c r="V348" s="220"/>
      <c r="W348" s="220"/>
    </row>
    <row r="349" spans="2:23" x14ac:dyDescent="0.3">
      <c r="B349" s="205"/>
      <c r="C349" s="206"/>
      <c r="D349" s="206"/>
      <c r="E349" s="423"/>
      <c r="F349" s="333"/>
      <c r="G349" s="209"/>
      <c r="H349" s="218"/>
      <c r="I349" s="218">
        <f t="shared" si="158"/>
        <v>0</v>
      </c>
      <c r="J349" s="218"/>
      <c r="K349" s="211">
        <f t="shared" si="163"/>
        <v>0</v>
      </c>
      <c r="L349" s="208"/>
      <c r="M349" s="432"/>
      <c r="N349" s="213"/>
      <c r="O349" s="212"/>
      <c r="P349" s="214">
        <f t="shared" si="159"/>
        <v>0</v>
      </c>
      <c r="Q349" s="215">
        <f t="shared" si="160"/>
        <v>0</v>
      </c>
      <c r="R349" s="215">
        <f t="shared" si="161"/>
        <v>0</v>
      </c>
      <c r="S349" s="216">
        <f t="shared" si="162"/>
        <v>0</v>
      </c>
      <c r="U349" s="219"/>
      <c r="V349" s="220"/>
      <c r="W349" s="220"/>
    </row>
    <row r="350" spans="2:23" x14ac:dyDescent="0.3">
      <c r="B350" s="205"/>
      <c r="C350" s="206"/>
      <c r="D350" s="206"/>
      <c r="E350" s="423"/>
      <c r="F350" s="333"/>
      <c r="G350" s="209"/>
      <c r="H350" s="218"/>
      <c r="I350" s="218">
        <f t="shared" si="158"/>
        <v>0</v>
      </c>
      <c r="J350" s="218"/>
      <c r="K350" s="211">
        <f t="shared" si="163"/>
        <v>0</v>
      </c>
      <c r="L350" s="208"/>
      <c r="M350" s="432"/>
      <c r="N350" s="213"/>
      <c r="O350" s="212"/>
      <c r="P350" s="214">
        <f t="shared" si="159"/>
        <v>0</v>
      </c>
      <c r="Q350" s="215">
        <f t="shared" si="160"/>
        <v>0</v>
      </c>
      <c r="R350" s="215">
        <f t="shared" si="161"/>
        <v>0</v>
      </c>
      <c r="S350" s="216">
        <f t="shared" si="162"/>
        <v>0</v>
      </c>
      <c r="U350" s="219"/>
      <c r="V350" s="220"/>
      <c r="W350" s="220"/>
    </row>
    <row r="351" spans="2:23" x14ac:dyDescent="0.3">
      <c r="B351" s="205"/>
      <c r="C351" s="206"/>
      <c r="D351" s="206"/>
      <c r="E351" s="423"/>
      <c r="F351" s="333"/>
      <c r="G351" s="209"/>
      <c r="H351" s="218"/>
      <c r="I351" s="218">
        <f t="shared" si="158"/>
        <v>0</v>
      </c>
      <c r="J351" s="218"/>
      <c r="K351" s="211">
        <f t="shared" si="163"/>
        <v>0</v>
      </c>
      <c r="L351" s="208"/>
      <c r="M351" s="432"/>
      <c r="N351" s="213"/>
      <c r="O351" s="212"/>
      <c r="P351" s="214">
        <f t="shared" si="159"/>
        <v>0</v>
      </c>
      <c r="Q351" s="215">
        <f t="shared" si="160"/>
        <v>0</v>
      </c>
      <c r="R351" s="215">
        <f t="shared" si="161"/>
        <v>0</v>
      </c>
      <c r="S351" s="216">
        <f t="shared" si="162"/>
        <v>0</v>
      </c>
      <c r="U351" s="219"/>
      <c r="V351" s="220"/>
      <c r="W351" s="220"/>
    </row>
    <row r="352" spans="2:23" x14ac:dyDescent="0.3">
      <c r="B352" s="205"/>
      <c r="C352" s="206"/>
      <c r="D352" s="206"/>
      <c r="E352" s="423"/>
      <c r="F352" s="333"/>
      <c r="G352" s="209"/>
      <c r="H352" s="218"/>
      <c r="I352" s="218">
        <f t="shared" si="158"/>
        <v>0</v>
      </c>
      <c r="J352" s="218"/>
      <c r="K352" s="211">
        <f t="shared" si="163"/>
        <v>0</v>
      </c>
      <c r="L352" s="208"/>
      <c r="M352" s="432"/>
      <c r="N352" s="213"/>
      <c r="O352" s="212"/>
      <c r="P352" s="214">
        <f t="shared" si="159"/>
        <v>0</v>
      </c>
      <c r="Q352" s="215">
        <f t="shared" si="160"/>
        <v>0</v>
      </c>
      <c r="R352" s="215">
        <f t="shared" si="161"/>
        <v>0</v>
      </c>
      <c r="S352" s="216">
        <f t="shared" si="162"/>
        <v>0</v>
      </c>
      <c r="U352" s="219"/>
      <c r="V352" s="220"/>
      <c r="W352" s="220"/>
    </row>
    <row r="353" spans="2:23" x14ac:dyDescent="0.3">
      <c r="B353" s="205"/>
      <c r="C353" s="206"/>
      <c r="D353" s="206"/>
      <c r="E353" s="423"/>
      <c r="F353" s="333"/>
      <c r="G353" s="209"/>
      <c r="H353" s="218"/>
      <c r="I353" s="218">
        <f t="shared" si="158"/>
        <v>0</v>
      </c>
      <c r="J353" s="218"/>
      <c r="K353" s="211">
        <f t="shared" si="163"/>
        <v>0</v>
      </c>
      <c r="L353" s="208"/>
      <c r="M353" s="432"/>
      <c r="N353" s="213"/>
      <c r="O353" s="212"/>
      <c r="P353" s="214">
        <f t="shared" si="159"/>
        <v>0</v>
      </c>
      <c r="Q353" s="215">
        <f t="shared" si="160"/>
        <v>0</v>
      </c>
      <c r="R353" s="215">
        <f t="shared" si="161"/>
        <v>0</v>
      </c>
      <c r="S353" s="216">
        <f t="shared" si="162"/>
        <v>0</v>
      </c>
      <c r="U353" s="219"/>
      <c r="V353" s="220"/>
      <c r="W353" s="220"/>
    </row>
    <row r="354" spans="2:23" x14ac:dyDescent="0.3">
      <c r="B354" s="205"/>
      <c r="C354" s="206"/>
      <c r="D354" s="206"/>
      <c r="E354" s="423"/>
      <c r="F354" s="333"/>
      <c r="G354" s="209"/>
      <c r="H354" s="218"/>
      <c r="I354" s="218">
        <f t="shared" si="158"/>
        <v>0</v>
      </c>
      <c r="J354" s="218"/>
      <c r="K354" s="211">
        <f t="shared" si="163"/>
        <v>0</v>
      </c>
      <c r="L354" s="208"/>
      <c r="M354" s="432"/>
      <c r="N354" s="213"/>
      <c r="O354" s="212"/>
      <c r="P354" s="214">
        <f t="shared" si="159"/>
        <v>0</v>
      </c>
      <c r="Q354" s="215">
        <f t="shared" si="160"/>
        <v>0</v>
      </c>
      <c r="R354" s="215">
        <f t="shared" si="161"/>
        <v>0</v>
      </c>
      <c r="S354" s="216">
        <f t="shared" si="162"/>
        <v>0</v>
      </c>
      <c r="U354" s="219"/>
      <c r="V354" s="220"/>
      <c r="W354" s="220"/>
    </row>
  </sheetData>
  <mergeCells count="3">
    <mergeCell ref="M2:O2"/>
    <mergeCell ref="P2:S2"/>
    <mergeCell ref="C1:K1"/>
  </mergeCells>
  <phoneticPr fontId="8" type="noConversion"/>
  <pageMargins left="0.51181102362204722" right="0.51181102362204722" top="0.78740157480314965" bottom="0.78740157480314965" header="0.31496062992125984" footer="0.31496062992125984"/>
  <pageSetup paperSize="9" scale="64"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1E5D9-7CA9-4D41-91A1-9D7CD6E2BF4C}">
  <sheetPr>
    <tabColor rgb="FF92D050"/>
    <pageSetUpPr fitToPage="1"/>
  </sheetPr>
  <dimension ref="A1:Q1279"/>
  <sheetViews>
    <sheetView showGridLines="0" zoomScale="85" zoomScaleNormal="85" zoomScaleSheetLayoutView="85" workbookViewId="0">
      <pane xSplit="5" ySplit="5" topLeftCell="F1260" activePane="bottomRight" state="frozen"/>
      <selection activeCell="G14" sqref="G14"/>
      <selection pane="topRight" activeCell="G14" sqref="G14"/>
      <selection pane="bottomLeft" activeCell="G14" sqref="G14"/>
      <selection pane="bottomRight" activeCell="N1269" sqref="N1269"/>
    </sheetView>
  </sheetViews>
  <sheetFormatPr defaultColWidth="9.109375" defaultRowHeight="16.8" x14ac:dyDescent="0.4"/>
  <cols>
    <col min="1" max="1" width="16" style="174" bestFit="1" customWidth="1"/>
    <col min="2" max="2" width="9.109375" style="174"/>
    <col min="3" max="3" width="68.88671875" style="174" customWidth="1"/>
    <col min="4" max="4" width="38.6640625" style="174" customWidth="1"/>
    <col min="5" max="5" width="9.109375" style="174"/>
    <col min="6" max="6" width="14.33203125" style="174" customWidth="1"/>
    <col min="7" max="7" width="9.109375" style="174"/>
    <col min="8" max="8" width="14" style="174" bestFit="1" customWidth="1"/>
    <col min="9" max="9" width="9.44140625" style="174" bestFit="1" customWidth="1"/>
    <col min="10" max="10" width="11.33203125" style="174" bestFit="1" customWidth="1"/>
    <col min="11" max="11" width="9.44140625" style="174" bestFit="1" customWidth="1"/>
    <col min="12" max="12" width="11.33203125" style="174" bestFit="1" customWidth="1"/>
    <col min="13" max="13" width="9.109375" style="174"/>
    <col min="14" max="14" width="18" style="174" bestFit="1" customWidth="1"/>
    <col min="15" max="15" width="12.5546875" style="174" customWidth="1"/>
    <col min="16" max="16384" width="9.109375" style="174"/>
  </cols>
  <sheetData>
    <row r="1" spans="1:17" ht="15" customHeight="1" x14ac:dyDescent="0.4">
      <c r="A1" s="385"/>
      <c r="B1" s="385"/>
      <c r="C1" s="385" t="s">
        <v>411</v>
      </c>
      <c r="D1" s="385" t="s">
        <v>412</v>
      </c>
      <c r="E1" s="598" t="s">
        <v>1027</v>
      </c>
      <c r="F1" s="598"/>
      <c r="G1" s="598"/>
      <c r="H1" s="598" t="s">
        <v>1028</v>
      </c>
      <c r="I1" s="598"/>
      <c r="J1" s="598"/>
      <c r="K1" s="599"/>
      <c r="L1" s="599"/>
      <c r="M1" s="599"/>
      <c r="N1" s="599"/>
      <c r="O1" s="599"/>
      <c r="P1" s="173"/>
      <c r="Q1" s="173"/>
    </row>
    <row r="2" spans="1:17" ht="37.200000000000003" customHeight="1" x14ac:dyDescent="0.4">
      <c r="A2" s="398"/>
      <c r="B2" s="398"/>
      <c r="C2" s="398" t="s">
        <v>5901</v>
      </c>
      <c r="D2" s="398" t="s">
        <v>8392</v>
      </c>
      <c r="E2" s="600" t="s">
        <v>2254</v>
      </c>
      <c r="F2" s="600"/>
      <c r="G2" s="600"/>
      <c r="H2" s="600" t="s">
        <v>3765</v>
      </c>
      <c r="I2" s="600"/>
      <c r="J2" s="600"/>
      <c r="K2" s="599"/>
      <c r="L2" s="599"/>
      <c r="M2" s="599"/>
      <c r="N2" s="599"/>
      <c r="O2" s="599"/>
      <c r="P2" s="173"/>
      <c r="Q2" s="173"/>
    </row>
    <row r="3" spans="1:17" ht="15" customHeight="1" x14ac:dyDescent="0.4">
      <c r="A3" s="601" t="s">
        <v>5268</v>
      </c>
      <c r="B3" s="599"/>
      <c r="C3" s="599"/>
      <c r="D3" s="599"/>
      <c r="E3" s="599"/>
      <c r="F3" s="599"/>
      <c r="G3" s="599"/>
      <c r="H3" s="599"/>
      <c r="I3" s="599"/>
      <c r="J3" s="599"/>
      <c r="K3" s="599"/>
      <c r="L3" s="599"/>
      <c r="M3" s="599"/>
      <c r="N3" s="599"/>
      <c r="O3" s="599"/>
      <c r="P3" s="173"/>
      <c r="Q3" s="173"/>
    </row>
    <row r="4" spans="1:17" ht="15" customHeight="1" x14ac:dyDescent="0.4">
      <c r="A4" s="602" t="s">
        <v>413</v>
      </c>
      <c r="B4" s="596" t="s">
        <v>414</v>
      </c>
      <c r="C4" s="596" t="s">
        <v>415</v>
      </c>
      <c r="D4" s="597" t="s">
        <v>1029</v>
      </c>
      <c r="E4" s="597" t="s">
        <v>416</v>
      </c>
      <c r="F4" s="384" t="s">
        <v>1552</v>
      </c>
      <c r="G4" s="597"/>
      <c r="H4" s="384" t="s">
        <v>6115</v>
      </c>
      <c r="I4" s="597"/>
      <c r="J4" s="384" t="s">
        <v>1032</v>
      </c>
      <c r="K4" s="384"/>
      <c r="L4" s="602"/>
      <c r="M4" s="602" t="s">
        <v>4010</v>
      </c>
      <c r="N4" s="602" t="s">
        <v>4011</v>
      </c>
      <c r="O4" s="602" t="s">
        <v>4012</v>
      </c>
      <c r="P4" s="173"/>
      <c r="Q4" s="173"/>
    </row>
    <row r="5" spans="1:17" ht="27.6" x14ac:dyDescent="0.4">
      <c r="A5" s="602"/>
      <c r="B5" s="596"/>
      <c r="C5" s="596"/>
      <c r="D5" s="596"/>
      <c r="E5" s="597"/>
      <c r="F5" s="384" t="s">
        <v>4013</v>
      </c>
      <c r="G5" s="384" t="s">
        <v>4014</v>
      </c>
      <c r="H5" s="384" t="s">
        <v>4013</v>
      </c>
      <c r="I5" s="384" t="s">
        <v>4014</v>
      </c>
      <c r="J5" s="384" t="s">
        <v>4013</v>
      </c>
      <c r="K5" s="384" t="s">
        <v>4014</v>
      </c>
      <c r="L5" s="384" t="s">
        <v>4015</v>
      </c>
      <c r="M5" s="602"/>
      <c r="N5" s="602"/>
      <c r="O5" s="602"/>
      <c r="P5" s="175"/>
      <c r="Q5" s="175"/>
    </row>
    <row r="6" spans="1:17" ht="38.25" customHeight="1" x14ac:dyDescent="0.4">
      <c r="A6" s="388" t="s">
        <v>1535</v>
      </c>
      <c r="B6" s="386" t="s">
        <v>5902</v>
      </c>
      <c r="C6" s="386" t="s">
        <v>756</v>
      </c>
      <c r="D6" s="386" t="s">
        <v>1039</v>
      </c>
      <c r="E6" s="387" t="s">
        <v>757</v>
      </c>
      <c r="F6" s="388" t="s">
        <v>5269</v>
      </c>
      <c r="G6" s="388" t="s">
        <v>781</v>
      </c>
      <c r="H6" s="388" t="s">
        <v>6116</v>
      </c>
      <c r="I6" s="388" t="s">
        <v>781</v>
      </c>
      <c r="J6" s="388" t="s">
        <v>6116</v>
      </c>
      <c r="K6" s="388" t="s">
        <v>781</v>
      </c>
      <c r="L6" s="389">
        <v>43853.17</v>
      </c>
      <c r="M6" s="388" t="s">
        <v>8624</v>
      </c>
      <c r="N6" s="389">
        <v>43853.17</v>
      </c>
      <c r="O6" s="388" t="s">
        <v>8624</v>
      </c>
      <c r="P6" s="173"/>
      <c r="Q6" s="173"/>
    </row>
    <row r="7" spans="1:17" ht="26.4" x14ac:dyDescent="0.4">
      <c r="A7" s="388" t="s">
        <v>3217</v>
      </c>
      <c r="B7" s="386" t="s">
        <v>2616</v>
      </c>
      <c r="C7" s="386" t="s">
        <v>3218</v>
      </c>
      <c r="D7" s="386" t="s">
        <v>1053</v>
      </c>
      <c r="E7" s="387" t="s">
        <v>6</v>
      </c>
      <c r="F7" s="388" t="s">
        <v>5270</v>
      </c>
      <c r="G7" s="388" t="s">
        <v>781</v>
      </c>
      <c r="H7" s="388" t="s">
        <v>6117</v>
      </c>
      <c r="I7" s="388" t="s">
        <v>781</v>
      </c>
      <c r="J7" s="388" t="s">
        <v>6118</v>
      </c>
      <c r="K7" s="388" t="s">
        <v>781</v>
      </c>
      <c r="L7" s="389">
        <v>37429.919999999998</v>
      </c>
      <c r="M7" s="388" t="s">
        <v>8625</v>
      </c>
      <c r="N7" s="389">
        <v>81283.09</v>
      </c>
      <c r="O7" s="388" t="s">
        <v>8626</v>
      </c>
      <c r="P7" s="173"/>
      <c r="Q7" s="173"/>
    </row>
    <row r="8" spans="1:17" x14ac:dyDescent="0.4">
      <c r="A8" s="388" t="s">
        <v>1148</v>
      </c>
      <c r="B8" s="386" t="s">
        <v>408</v>
      </c>
      <c r="C8" s="386" t="s">
        <v>1149</v>
      </c>
      <c r="D8" s="386" t="s">
        <v>1039</v>
      </c>
      <c r="E8" s="387" t="s">
        <v>4</v>
      </c>
      <c r="F8" s="388" t="s">
        <v>5269</v>
      </c>
      <c r="G8" s="388" t="s">
        <v>781</v>
      </c>
      <c r="H8" s="388" t="s">
        <v>6119</v>
      </c>
      <c r="I8" s="388" t="s">
        <v>781</v>
      </c>
      <c r="J8" s="388" t="s">
        <v>6119</v>
      </c>
      <c r="K8" s="388" t="s">
        <v>781</v>
      </c>
      <c r="L8" s="389">
        <v>31250</v>
      </c>
      <c r="M8" s="388" t="s">
        <v>8627</v>
      </c>
      <c r="N8" s="389">
        <v>112533.09</v>
      </c>
      <c r="O8" s="388" t="s">
        <v>8628</v>
      </c>
      <c r="P8" s="173"/>
      <c r="Q8" s="173"/>
    </row>
    <row r="9" spans="1:17" x14ac:dyDescent="0.4">
      <c r="A9" s="388" t="s">
        <v>4016</v>
      </c>
      <c r="B9" s="386" t="s">
        <v>395</v>
      </c>
      <c r="C9" s="386" t="s">
        <v>4017</v>
      </c>
      <c r="D9" s="386" t="s">
        <v>1053</v>
      </c>
      <c r="E9" s="387" t="s">
        <v>10</v>
      </c>
      <c r="F9" s="388" t="s">
        <v>5269</v>
      </c>
      <c r="G9" s="388" t="s">
        <v>781</v>
      </c>
      <c r="H9" s="388" t="s">
        <v>6120</v>
      </c>
      <c r="I9" s="388" t="s">
        <v>781</v>
      </c>
      <c r="J9" s="388" t="s">
        <v>6120</v>
      </c>
      <c r="K9" s="388" t="s">
        <v>781</v>
      </c>
      <c r="L9" s="389">
        <v>27549.86</v>
      </c>
      <c r="M9" s="388" t="s">
        <v>8629</v>
      </c>
      <c r="N9" s="389">
        <v>140082.95000000001</v>
      </c>
      <c r="O9" s="388" t="s">
        <v>8630</v>
      </c>
      <c r="P9" s="173"/>
      <c r="Q9" s="173"/>
    </row>
    <row r="10" spans="1:17" ht="25.5" customHeight="1" x14ac:dyDescent="0.4">
      <c r="A10" s="388" t="s">
        <v>8631</v>
      </c>
      <c r="B10" s="386" t="s">
        <v>439</v>
      </c>
      <c r="C10" s="386" t="s">
        <v>8632</v>
      </c>
      <c r="D10" s="386" t="s">
        <v>1053</v>
      </c>
      <c r="E10" s="387" t="s">
        <v>6</v>
      </c>
      <c r="F10" s="388" t="s">
        <v>5269</v>
      </c>
      <c r="G10" s="388" t="s">
        <v>781</v>
      </c>
      <c r="H10" s="388" t="s">
        <v>8633</v>
      </c>
      <c r="I10" s="388" t="s">
        <v>781</v>
      </c>
      <c r="J10" s="388" t="s">
        <v>8633</v>
      </c>
      <c r="K10" s="388" t="s">
        <v>781</v>
      </c>
      <c r="L10" s="389">
        <v>23951.34</v>
      </c>
      <c r="M10" s="388" t="s">
        <v>8634</v>
      </c>
      <c r="N10" s="389">
        <v>164034.29</v>
      </c>
      <c r="O10" s="388" t="s">
        <v>8635</v>
      </c>
      <c r="P10" s="173"/>
      <c r="Q10" s="173"/>
    </row>
    <row r="11" spans="1:17" ht="25.5" customHeight="1" x14ac:dyDescent="0.4">
      <c r="A11" s="388" t="s">
        <v>3238</v>
      </c>
      <c r="B11" s="386" t="s">
        <v>575</v>
      </c>
      <c r="C11" s="386" t="s">
        <v>3239</v>
      </c>
      <c r="D11" s="386" t="s">
        <v>1323</v>
      </c>
      <c r="E11" s="387" t="s">
        <v>4</v>
      </c>
      <c r="F11" s="388" t="s">
        <v>5269</v>
      </c>
      <c r="G11" s="388" t="s">
        <v>781</v>
      </c>
      <c r="H11" s="388" t="s">
        <v>5271</v>
      </c>
      <c r="I11" s="388" t="s">
        <v>781</v>
      </c>
      <c r="J11" s="388" t="s">
        <v>5271</v>
      </c>
      <c r="K11" s="388" t="s">
        <v>781</v>
      </c>
      <c r="L11" s="389">
        <v>21576.400000000001</v>
      </c>
      <c r="M11" s="388" t="s">
        <v>8636</v>
      </c>
      <c r="N11" s="389">
        <v>185610.69</v>
      </c>
      <c r="O11" s="388" t="s">
        <v>8637</v>
      </c>
      <c r="P11" s="173"/>
      <c r="Q11" s="173"/>
    </row>
    <row r="12" spans="1:17" ht="25.5" customHeight="1" x14ac:dyDescent="0.4">
      <c r="A12" s="388" t="s">
        <v>3177</v>
      </c>
      <c r="B12" s="386" t="s">
        <v>575</v>
      </c>
      <c r="C12" s="386" t="s">
        <v>2640</v>
      </c>
      <c r="D12" s="386" t="s">
        <v>1039</v>
      </c>
      <c r="E12" s="387" t="s">
        <v>4</v>
      </c>
      <c r="F12" s="388" t="s">
        <v>5292</v>
      </c>
      <c r="G12" s="388" t="s">
        <v>781</v>
      </c>
      <c r="H12" s="388" t="s">
        <v>8638</v>
      </c>
      <c r="I12" s="388" t="s">
        <v>781</v>
      </c>
      <c r="J12" s="388" t="s">
        <v>8639</v>
      </c>
      <c r="K12" s="388" t="s">
        <v>781</v>
      </c>
      <c r="L12" s="389">
        <v>12635.91</v>
      </c>
      <c r="M12" s="388" t="s">
        <v>8640</v>
      </c>
      <c r="N12" s="389">
        <v>198246.6</v>
      </c>
      <c r="O12" s="388" t="s">
        <v>8641</v>
      </c>
      <c r="P12" s="173"/>
      <c r="Q12" s="173"/>
    </row>
    <row r="13" spans="1:17" x14ac:dyDescent="0.4">
      <c r="A13" s="388" t="s">
        <v>4018</v>
      </c>
      <c r="B13" s="386" t="s">
        <v>395</v>
      </c>
      <c r="C13" s="386" t="s">
        <v>4019</v>
      </c>
      <c r="D13" s="386" t="s">
        <v>1053</v>
      </c>
      <c r="E13" s="387" t="s">
        <v>10</v>
      </c>
      <c r="F13" s="388" t="s">
        <v>5269</v>
      </c>
      <c r="G13" s="388" t="s">
        <v>781</v>
      </c>
      <c r="H13" s="388" t="s">
        <v>6121</v>
      </c>
      <c r="I13" s="388" t="s">
        <v>781</v>
      </c>
      <c r="J13" s="388" t="s">
        <v>6121</v>
      </c>
      <c r="K13" s="388" t="s">
        <v>781</v>
      </c>
      <c r="L13" s="389">
        <v>12031.26</v>
      </c>
      <c r="M13" s="388" t="s">
        <v>8642</v>
      </c>
      <c r="N13" s="389">
        <v>210277.86</v>
      </c>
      <c r="O13" s="388" t="s">
        <v>8643</v>
      </c>
      <c r="P13" s="173"/>
      <c r="Q13" s="173"/>
    </row>
    <row r="14" spans="1:17" ht="26.4" x14ac:dyDescent="0.4">
      <c r="A14" s="388" t="s">
        <v>2567</v>
      </c>
      <c r="B14" s="386" t="s">
        <v>575</v>
      </c>
      <c r="C14" s="386" t="s">
        <v>1840</v>
      </c>
      <c r="D14" s="386" t="s">
        <v>1039</v>
      </c>
      <c r="E14" s="387" t="s">
        <v>4</v>
      </c>
      <c r="F14" s="388" t="s">
        <v>5269</v>
      </c>
      <c r="G14" s="388" t="s">
        <v>781</v>
      </c>
      <c r="H14" s="388" t="s">
        <v>8644</v>
      </c>
      <c r="I14" s="388" t="s">
        <v>781</v>
      </c>
      <c r="J14" s="388" t="s">
        <v>8644</v>
      </c>
      <c r="K14" s="388" t="s">
        <v>781</v>
      </c>
      <c r="L14" s="389">
        <v>9040.7000000000007</v>
      </c>
      <c r="M14" s="388" t="s">
        <v>8645</v>
      </c>
      <c r="N14" s="389">
        <v>219318.56</v>
      </c>
      <c r="O14" s="388" t="s">
        <v>8646</v>
      </c>
      <c r="P14" s="173"/>
      <c r="Q14" s="173"/>
    </row>
    <row r="15" spans="1:17" ht="25.5" customHeight="1" x14ac:dyDescent="0.4">
      <c r="A15" s="388" t="s">
        <v>4022</v>
      </c>
      <c r="B15" s="386" t="s">
        <v>395</v>
      </c>
      <c r="C15" s="386" t="s">
        <v>4023</v>
      </c>
      <c r="D15" s="386" t="s">
        <v>1053</v>
      </c>
      <c r="E15" s="387" t="s">
        <v>10</v>
      </c>
      <c r="F15" s="388" t="s">
        <v>5269</v>
      </c>
      <c r="G15" s="388" t="s">
        <v>781</v>
      </c>
      <c r="H15" s="388" t="s">
        <v>6123</v>
      </c>
      <c r="I15" s="388" t="s">
        <v>781</v>
      </c>
      <c r="J15" s="388" t="s">
        <v>6123</v>
      </c>
      <c r="K15" s="388" t="s">
        <v>781</v>
      </c>
      <c r="L15" s="389">
        <v>8756.49</v>
      </c>
      <c r="M15" s="388" t="s">
        <v>8647</v>
      </c>
      <c r="N15" s="389">
        <v>228075.05</v>
      </c>
      <c r="O15" s="388" t="s">
        <v>8648</v>
      </c>
      <c r="P15" s="173"/>
      <c r="Q15" s="173"/>
    </row>
    <row r="16" spans="1:17" ht="25.5" customHeight="1" x14ac:dyDescent="0.4">
      <c r="A16" s="388" t="s">
        <v>6124</v>
      </c>
      <c r="B16" s="386" t="s">
        <v>395</v>
      </c>
      <c r="C16" s="386" t="s">
        <v>6125</v>
      </c>
      <c r="D16" s="386" t="s">
        <v>6126</v>
      </c>
      <c r="E16" s="387" t="s">
        <v>10</v>
      </c>
      <c r="F16" s="388" t="s">
        <v>5334</v>
      </c>
      <c r="G16" s="388" t="s">
        <v>781</v>
      </c>
      <c r="H16" s="388" t="s">
        <v>6127</v>
      </c>
      <c r="I16" s="388" t="s">
        <v>781</v>
      </c>
      <c r="J16" s="388" t="s">
        <v>6128</v>
      </c>
      <c r="K16" s="388" t="s">
        <v>781</v>
      </c>
      <c r="L16" s="389">
        <v>8060.6</v>
      </c>
      <c r="M16" s="388" t="s">
        <v>8649</v>
      </c>
      <c r="N16" s="389">
        <v>236135.65</v>
      </c>
      <c r="O16" s="388" t="s">
        <v>8650</v>
      </c>
      <c r="P16" s="173"/>
      <c r="Q16" s="173"/>
    </row>
    <row r="17" spans="1:15" ht="25.5" customHeight="1" x14ac:dyDescent="0.4">
      <c r="A17" s="388" t="s">
        <v>4026</v>
      </c>
      <c r="B17" s="386" t="s">
        <v>395</v>
      </c>
      <c r="C17" s="386" t="s">
        <v>4027</v>
      </c>
      <c r="D17" s="386" t="s">
        <v>1053</v>
      </c>
      <c r="E17" s="387" t="s">
        <v>10</v>
      </c>
      <c r="F17" s="388" t="s">
        <v>5273</v>
      </c>
      <c r="G17" s="388" t="s">
        <v>781</v>
      </c>
      <c r="H17" s="388" t="s">
        <v>6129</v>
      </c>
      <c r="I17" s="388" t="s">
        <v>781</v>
      </c>
      <c r="J17" s="388" t="s">
        <v>6130</v>
      </c>
      <c r="K17" s="388" t="s">
        <v>781</v>
      </c>
      <c r="L17" s="389">
        <v>7968.62</v>
      </c>
      <c r="M17" s="388" t="s">
        <v>8651</v>
      </c>
      <c r="N17" s="389">
        <v>244104.27</v>
      </c>
      <c r="O17" s="388" t="s">
        <v>8652</v>
      </c>
    </row>
    <row r="18" spans="1:15" ht="25.5" customHeight="1" x14ac:dyDescent="0.4">
      <c r="A18" s="388" t="s">
        <v>3221</v>
      </c>
      <c r="B18" s="386" t="s">
        <v>575</v>
      </c>
      <c r="C18" s="386" t="s">
        <v>3222</v>
      </c>
      <c r="D18" s="386" t="s">
        <v>1323</v>
      </c>
      <c r="E18" s="387" t="s">
        <v>4</v>
      </c>
      <c r="F18" s="388" t="s">
        <v>5269</v>
      </c>
      <c r="G18" s="388" t="s">
        <v>781</v>
      </c>
      <c r="H18" s="388" t="s">
        <v>5272</v>
      </c>
      <c r="I18" s="388" t="s">
        <v>781</v>
      </c>
      <c r="J18" s="388" t="s">
        <v>5272</v>
      </c>
      <c r="K18" s="388" t="s">
        <v>781</v>
      </c>
      <c r="L18" s="389">
        <v>7595</v>
      </c>
      <c r="M18" s="388" t="s">
        <v>8653</v>
      </c>
      <c r="N18" s="389">
        <v>251699.27</v>
      </c>
      <c r="O18" s="388" t="s">
        <v>8654</v>
      </c>
    </row>
    <row r="19" spans="1:15" ht="25.5" customHeight="1" x14ac:dyDescent="0.4">
      <c r="A19" s="388" t="s">
        <v>4024</v>
      </c>
      <c r="B19" s="386" t="s">
        <v>395</v>
      </c>
      <c r="C19" s="386" t="s">
        <v>4025</v>
      </c>
      <c r="D19" s="386" t="s">
        <v>1053</v>
      </c>
      <c r="E19" s="387" t="s">
        <v>10</v>
      </c>
      <c r="F19" s="388" t="s">
        <v>5269</v>
      </c>
      <c r="G19" s="388" t="s">
        <v>781</v>
      </c>
      <c r="H19" s="388" t="s">
        <v>6131</v>
      </c>
      <c r="I19" s="388" t="s">
        <v>781</v>
      </c>
      <c r="J19" s="388" t="s">
        <v>6131</v>
      </c>
      <c r="K19" s="388" t="s">
        <v>781</v>
      </c>
      <c r="L19" s="389">
        <v>7045.58</v>
      </c>
      <c r="M19" s="388" t="s">
        <v>8655</v>
      </c>
      <c r="N19" s="389">
        <v>258744.85</v>
      </c>
      <c r="O19" s="388" t="s">
        <v>8656</v>
      </c>
    </row>
    <row r="20" spans="1:15" x14ac:dyDescent="0.4">
      <c r="A20" s="388" t="s">
        <v>3175</v>
      </c>
      <c r="B20" s="386" t="s">
        <v>575</v>
      </c>
      <c r="C20" s="386" t="s">
        <v>3176</v>
      </c>
      <c r="D20" s="386" t="s">
        <v>1039</v>
      </c>
      <c r="E20" s="387" t="s">
        <v>4</v>
      </c>
      <c r="F20" s="388" t="s">
        <v>5269</v>
      </c>
      <c r="G20" s="388" t="s">
        <v>781</v>
      </c>
      <c r="H20" s="388" t="s">
        <v>8657</v>
      </c>
      <c r="I20" s="388" t="s">
        <v>781</v>
      </c>
      <c r="J20" s="388" t="s">
        <v>8657</v>
      </c>
      <c r="K20" s="388" t="s">
        <v>781</v>
      </c>
      <c r="L20" s="389">
        <v>6542.99</v>
      </c>
      <c r="M20" s="388" t="s">
        <v>6132</v>
      </c>
      <c r="N20" s="389">
        <v>265287.84000000003</v>
      </c>
      <c r="O20" s="388" t="s">
        <v>8658</v>
      </c>
    </row>
    <row r="21" spans="1:15" x14ac:dyDescent="0.4">
      <c r="A21" s="388" t="s">
        <v>4031</v>
      </c>
      <c r="B21" s="386" t="s">
        <v>395</v>
      </c>
      <c r="C21" s="386" t="s">
        <v>4032</v>
      </c>
      <c r="D21" s="386" t="s">
        <v>1053</v>
      </c>
      <c r="E21" s="387" t="s">
        <v>10</v>
      </c>
      <c r="F21" s="388" t="s">
        <v>5269</v>
      </c>
      <c r="G21" s="388" t="s">
        <v>781</v>
      </c>
      <c r="H21" s="388" t="s">
        <v>6133</v>
      </c>
      <c r="I21" s="388" t="s">
        <v>781</v>
      </c>
      <c r="J21" s="388" t="s">
        <v>6133</v>
      </c>
      <c r="K21" s="388" t="s">
        <v>781</v>
      </c>
      <c r="L21" s="389">
        <v>6169.85</v>
      </c>
      <c r="M21" s="388" t="s">
        <v>8659</v>
      </c>
      <c r="N21" s="389">
        <v>271457.69</v>
      </c>
      <c r="O21" s="388" t="s">
        <v>8660</v>
      </c>
    </row>
    <row r="22" spans="1:15" x14ac:dyDescent="0.4">
      <c r="A22" s="388" t="s">
        <v>3027</v>
      </c>
      <c r="B22" s="386" t="s">
        <v>2616</v>
      </c>
      <c r="C22" s="386" t="s">
        <v>3028</v>
      </c>
      <c r="D22" s="386" t="s">
        <v>1053</v>
      </c>
      <c r="E22" s="387" t="s">
        <v>6</v>
      </c>
      <c r="F22" s="388" t="s">
        <v>5270</v>
      </c>
      <c r="G22" s="388" t="s">
        <v>781</v>
      </c>
      <c r="H22" s="388" t="s">
        <v>6134</v>
      </c>
      <c r="I22" s="388" t="s">
        <v>781</v>
      </c>
      <c r="J22" s="388" t="s">
        <v>6135</v>
      </c>
      <c r="K22" s="388" t="s">
        <v>781</v>
      </c>
      <c r="L22" s="389">
        <v>5836.16</v>
      </c>
      <c r="M22" s="388" t="s">
        <v>6137</v>
      </c>
      <c r="N22" s="389">
        <v>277293.84999999998</v>
      </c>
      <c r="O22" s="388" t="s">
        <v>8661</v>
      </c>
    </row>
    <row r="23" spans="1:15" ht="25.5" customHeight="1" x14ac:dyDescent="0.4">
      <c r="A23" s="388" t="s">
        <v>3233</v>
      </c>
      <c r="B23" s="386" t="s">
        <v>575</v>
      </c>
      <c r="C23" s="386" t="s">
        <v>3234</v>
      </c>
      <c r="D23" s="386" t="s">
        <v>1323</v>
      </c>
      <c r="E23" s="387" t="s">
        <v>4</v>
      </c>
      <c r="F23" s="388" t="s">
        <v>5273</v>
      </c>
      <c r="G23" s="388" t="s">
        <v>781</v>
      </c>
      <c r="H23" s="388" t="s">
        <v>5274</v>
      </c>
      <c r="I23" s="388" t="s">
        <v>781</v>
      </c>
      <c r="J23" s="388" t="s">
        <v>5275</v>
      </c>
      <c r="K23" s="388" t="s">
        <v>781</v>
      </c>
      <c r="L23" s="389">
        <v>5702</v>
      </c>
      <c r="M23" s="388" t="s">
        <v>8662</v>
      </c>
      <c r="N23" s="389">
        <v>282995.84999999998</v>
      </c>
      <c r="O23" s="388" t="s">
        <v>8663</v>
      </c>
    </row>
    <row r="24" spans="1:15" ht="25.5" customHeight="1" x14ac:dyDescent="0.4">
      <c r="A24" s="388" t="s">
        <v>3128</v>
      </c>
      <c r="B24" s="386" t="s">
        <v>420</v>
      </c>
      <c r="C24" s="386" t="s">
        <v>3129</v>
      </c>
      <c r="D24" s="386" t="s">
        <v>1039</v>
      </c>
      <c r="E24" s="387" t="s">
        <v>422</v>
      </c>
      <c r="F24" s="388" t="s">
        <v>5284</v>
      </c>
      <c r="G24" s="388" t="s">
        <v>781</v>
      </c>
      <c r="H24" s="388" t="s">
        <v>5287</v>
      </c>
      <c r="I24" s="388" t="s">
        <v>781</v>
      </c>
      <c r="J24" s="388" t="s">
        <v>6136</v>
      </c>
      <c r="K24" s="388" t="s">
        <v>781</v>
      </c>
      <c r="L24" s="389">
        <v>5550</v>
      </c>
      <c r="M24" s="388" t="s">
        <v>8664</v>
      </c>
      <c r="N24" s="389">
        <v>288545.84999999998</v>
      </c>
      <c r="O24" s="388" t="s">
        <v>8665</v>
      </c>
    </row>
    <row r="25" spans="1:15" x14ac:dyDescent="0.4">
      <c r="A25" s="388" t="s">
        <v>3214</v>
      </c>
      <c r="B25" s="386" t="s">
        <v>408</v>
      </c>
      <c r="C25" s="386" t="s">
        <v>3215</v>
      </c>
      <c r="D25" s="386" t="s">
        <v>1039</v>
      </c>
      <c r="E25" s="387" t="s">
        <v>4</v>
      </c>
      <c r="F25" s="388" t="s">
        <v>5273</v>
      </c>
      <c r="G25" s="388" t="s">
        <v>781</v>
      </c>
      <c r="H25" s="388" t="s">
        <v>6138</v>
      </c>
      <c r="I25" s="388" t="s">
        <v>781</v>
      </c>
      <c r="J25" s="388" t="s">
        <v>6139</v>
      </c>
      <c r="K25" s="388" t="s">
        <v>781</v>
      </c>
      <c r="L25" s="389">
        <v>5198.88</v>
      </c>
      <c r="M25" s="388" t="s">
        <v>8666</v>
      </c>
      <c r="N25" s="389">
        <v>293744.73</v>
      </c>
      <c r="O25" s="388" t="s">
        <v>8667</v>
      </c>
    </row>
    <row r="26" spans="1:15" x14ac:dyDescent="0.4">
      <c r="A26" s="388" t="s">
        <v>4037</v>
      </c>
      <c r="B26" s="386" t="s">
        <v>395</v>
      </c>
      <c r="C26" s="386" t="s">
        <v>4038</v>
      </c>
      <c r="D26" s="386" t="s">
        <v>1053</v>
      </c>
      <c r="E26" s="387" t="s">
        <v>10</v>
      </c>
      <c r="F26" s="388" t="s">
        <v>5269</v>
      </c>
      <c r="G26" s="388" t="s">
        <v>781</v>
      </c>
      <c r="H26" s="388" t="s">
        <v>6140</v>
      </c>
      <c r="I26" s="388" t="s">
        <v>781</v>
      </c>
      <c r="J26" s="388" t="s">
        <v>6140</v>
      </c>
      <c r="K26" s="388" t="s">
        <v>781</v>
      </c>
      <c r="L26" s="389">
        <v>5042.63</v>
      </c>
      <c r="M26" s="388" t="s">
        <v>8668</v>
      </c>
      <c r="N26" s="389">
        <v>298787.36</v>
      </c>
      <c r="O26" s="388" t="s">
        <v>8669</v>
      </c>
    </row>
    <row r="27" spans="1:15" x14ac:dyDescent="0.4">
      <c r="A27" s="388" t="s">
        <v>4028</v>
      </c>
      <c r="B27" s="386" t="s">
        <v>395</v>
      </c>
      <c r="C27" s="386" t="s">
        <v>4029</v>
      </c>
      <c r="D27" s="386" t="s">
        <v>4030</v>
      </c>
      <c r="E27" s="387" t="s">
        <v>6</v>
      </c>
      <c r="F27" s="388" t="s">
        <v>8670</v>
      </c>
      <c r="G27" s="388" t="s">
        <v>781</v>
      </c>
      <c r="H27" s="388" t="s">
        <v>5637</v>
      </c>
      <c r="I27" s="388" t="s">
        <v>781</v>
      </c>
      <c r="J27" s="388" t="s">
        <v>8671</v>
      </c>
      <c r="K27" s="388" t="s">
        <v>781</v>
      </c>
      <c r="L27" s="389">
        <v>5000.3646303380001</v>
      </c>
      <c r="M27" s="388" t="s">
        <v>8672</v>
      </c>
      <c r="N27" s="389">
        <v>303787.72463030001</v>
      </c>
      <c r="O27" s="388" t="s">
        <v>8673</v>
      </c>
    </row>
    <row r="28" spans="1:15" x14ac:dyDescent="0.4">
      <c r="A28" s="388" t="s">
        <v>3223</v>
      </c>
      <c r="B28" s="386" t="s">
        <v>575</v>
      </c>
      <c r="C28" s="386" t="s">
        <v>3224</v>
      </c>
      <c r="D28" s="386" t="s">
        <v>1323</v>
      </c>
      <c r="E28" s="387" t="s">
        <v>422</v>
      </c>
      <c r="F28" s="388" t="s">
        <v>5273</v>
      </c>
      <c r="G28" s="388" t="s">
        <v>781</v>
      </c>
      <c r="H28" s="388" t="s">
        <v>8674</v>
      </c>
      <c r="I28" s="388" t="s">
        <v>781</v>
      </c>
      <c r="J28" s="388" t="s">
        <v>8675</v>
      </c>
      <c r="K28" s="388" t="s">
        <v>781</v>
      </c>
      <c r="L28" s="389">
        <v>4907.5200000000004</v>
      </c>
      <c r="M28" s="388" t="s">
        <v>8676</v>
      </c>
      <c r="N28" s="389">
        <v>308695.24463029997</v>
      </c>
      <c r="O28" s="388" t="s">
        <v>8677</v>
      </c>
    </row>
    <row r="29" spans="1:15" x14ac:dyDescent="0.4">
      <c r="A29" s="388" t="s">
        <v>4041</v>
      </c>
      <c r="B29" s="386" t="s">
        <v>395</v>
      </c>
      <c r="C29" s="386" t="s">
        <v>4042</v>
      </c>
      <c r="D29" s="386" t="s">
        <v>1053</v>
      </c>
      <c r="E29" s="387" t="s">
        <v>6</v>
      </c>
      <c r="F29" s="388" t="s">
        <v>8678</v>
      </c>
      <c r="G29" s="388" t="s">
        <v>781</v>
      </c>
      <c r="H29" s="388" t="s">
        <v>6150</v>
      </c>
      <c r="I29" s="388" t="s">
        <v>781</v>
      </c>
      <c r="J29" s="388" t="s">
        <v>8679</v>
      </c>
      <c r="K29" s="388" t="s">
        <v>781</v>
      </c>
      <c r="L29" s="389">
        <v>4735.1901726189999</v>
      </c>
      <c r="M29" s="388" t="s">
        <v>8680</v>
      </c>
      <c r="N29" s="389">
        <v>313430.43480290001</v>
      </c>
      <c r="O29" s="388" t="s">
        <v>8681</v>
      </c>
    </row>
    <row r="30" spans="1:15" ht="25.5" customHeight="1" x14ac:dyDescent="0.4">
      <c r="A30" s="388" t="s">
        <v>4039</v>
      </c>
      <c r="B30" s="386" t="s">
        <v>395</v>
      </c>
      <c r="C30" s="386" t="s">
        <v>4040</v>
      </c>
      <c r="D30" s="386" t="s">
        <v>1053</v>
      </c>
      <c r="E30" s="387" t="s">
        <v>10</v>
      </c>
      <c r="F30" s="388" t="s">
        <v>5269</v>
      </c>
      <c r="G30" s="388" t="s">
        <v>781</v>
      </c>
      <c r="H30" s="388" t="s">
        <v>6141</v>
      </c>
      <c r="I30" s="388" t="s">
        <v>781</v>
      </c>
      <c r="J30" s="388" t="s">
        <v>6141</v>
      </c>
      <c r="K30" s="388" t="s">
        <v>781</v>
      </c>
      <c r="L30" s="389">
        <v>4589.3999999999996</v>
      </c>
      <c r="M30" s="388" t="s">
        <v>8682</v>
      </c>
      <c r="N30" s="389">
        <v>318019.83480289998</v>
      </c>
      <c r="O30" s="388" t="s">
        <v>8683</v>
      </c>
    </row>
    <row r="31" spans="1:15" ht="25.5" customHeight="1" x14ac:dyDescent="0.4">
      <c r="A31" s="388" t="s">
        <v>6142</v>
      </c>
      <c r="B31" s="386" t="s">
        <v>395</v>
      </c>
      <c r="C31" s="386" t="s">
        <v>6143</v>
      </c>
      <c r="D31" s="386" t="s">
        <v>1039</v>
      </c>
      <c r="E31" s="387" t="s">
        <v>7</v>
      </c>
      <c r="F31" s="388" t="s">
        <v>6144</v>
      </c>
      <c r="G31" s="388" t="s">
        <v>781</v>
      </c>
      <c r="H31" s="388" t="s">
        <v>6145</v>
      </c>
      <c r="I31" s="388" t="s">
        <v>781</v>
      </c>
      <c r="J31" s="388" t="s">
        <v>6146</v>
      </c>
      <c r="K31" s="388" t="s">
        <v>781</v>
      </c>
      <c r="L31" s="389">
        <v>4200.768</v>
      </c>
      <c r="M31" s="388" t="s">
        <v>8684</v>
      </c>
      <c r="N31" s="389">
        <v>322220.60280290002</v>
      </c>
      <c r="O31" s="388" t="s">
        <v>8685</v>
      </c>
    </row>
    <row r="32" spans="1:15" ht="25.5" customHeight="1" x14ac:dyDescent="0.4">
      <c r="A32" s="388" t="s">
        <v>1074</v>
      </c>
      <c r="B32" s="386" t="s">
        <v>395</v>
      </c>
      <c r="C32" s="386" t="s">
        <v>404</v>
      </c>
      <c r="D32" s="386" t="s">
        <v>1053</v>
      </c>
      <c r="E32" s="387" t="s">
        <v>6</v>
      </c>
      <c r="F32" s="388" t="s">
        <v>6147</v>
      </c>
      <c r="G32" s="388" t="s">
        <v>781</v>
      </c>
      <c r="H32" s="388" t="s">
        <v>6148</v>
      </c>
      <c r="I32" s="388" t="s">
        <v>781</v>
      </c>
      <c r="J32" s="388" t="s">
        <v>6149</v>
      </c>
      <c r="K32" s="388" t="s">
        <v>781</v>
      </c>
      <c r="L32" s="389">
        <v>4159.1848008480001</v>
      </c>
      <c r="M32" s="388" t="s">
        <v>8684</v>
      </c>
      <c r="N32" s="389">
        <v>326379.78760370001</v>
      </c>
      <c r="O32" s="388" t="s">
        <v>8686</v>
      </c>
    </row>
    <row r="33" spans="1:15" ht="25.5" customHeight="1" x14ac:dyDescent="0.4">
      <c r="A33" s="388" t="s">
        <v>1398</v>
      </c>
      <c r="B33" s="386" t="s">
        <v>420</v>
      </c>
      <c r="C33" s="386" t="s">
        <v>1399</v>
      </c>
      <c r="D33" s="386" t="s">
        <v>1039</v>
      </c>
      <c r="E33" s="387" t="s">
        <v>422</v>
      </c>
      <c r="F33" s="388" t="s">
        <v>5290</v>
      </c>
      <c r="G33" s="388" t="s">
        <v>781</v>
      </c>
      <c r="H33" s="388" t="s">
        <v>6151</v>
      </c>
      <c r="I33" s="388" t="s">
        <v>781</v>
      </c>
      <c r="J33" s="388" t="s">
        <v>6152</v>
      </c>
      <c r="K33" s="388" t="s">
        <v>781</v>
      </c>
      <c r="L33" s="389">
        <v>3816.25</v>
      </c>
      <c r="M33" s="388" t="s">
        <v>6155</v>
      </c>
      <c r="N33" s="389">
        <v>330196.03760370001</v>
      </c>
      <c r="O33" s="388" t="s">
        <v>8687</v>
      </c>
    </row>
    <row r="34" spans="1:15" x14ac:dyDescent="0.4">
      <c r="A34" s="388" t="s">
        <v>4045</v>
      </c>
      <c r="B34" s="386" t="s">
        <v>395</v>
      </c>
      <c r="C34" s="386" t="s">
        <v>4046</v>
      </c>
      <c r="D34" s="386" t="s">
        <v>1053</v>
      </c>
      <c r="E34" s="387" t="s">
        <v>6</v>
      </c>
      <c r="F34" s="388" t="s">
        <v>8688</v>
      </c>
      <c r="G34" s="388" t="s">
        <v>781</v>
      </c>
      <c r="H34" s="388" t="s">
        <v>6154</v>
      </c>
      <c r="I34" s="388" t="s">
        <v>781</v>
      </c>
      <c r="J34" s="388" t="s">
        <v>8689</v>
      </c>
      <c r="K34" s="388" t="s">
        <v>781</v>
      </c>
      <c r="L34" s="389">
        <v>3808.9110978449999</v>
      </c>
      <c r="M34" s="388" t="s">
        <v>6155</v>
      </c>
      <c r="N34" s="389">
        <v>334004.94870150002</v>
      </c>
      <c r="O34" s="388" t="s">
        <v>8690</v>
      </c>
    </row>
    <row r="35" spans="1:15" ht="25.5" customHeight="1" x14ac:dyDescent="0.4">
      <c r="A35" s="388" t="s">
        <v>3185</v>
      </c>
      <c r="B35" s="386" t="s">
        <v>575</v>
      </c>
      <c r="C35" s="386" t="s">
        <v>2639</v>
      </c>
      <c r="D35" s="386" t="s">
        <v>1039</v>
      </c>
      <c r="E35" s="387" t="s">
        <v>4</v>
      </c>
      <c r="F35" s="388" t="s">
        <v>5269</v>
      </c>
      <c r="G35" s="388" t="s">
        <v>781</v>
      </c>
      <c r="H35" s="388" t="s">
        <v>8691</v>
      </c>
      <c r="I35" s="388" t="s">
        <v>781</v>
      </c>
      <c r="J35" s="388" t="s">
        <v>8691</v>
      </c>
      <c r="K35" s="388" t="s">
        <v>781</v>
      </c>
      <c r="L35" s="389">
        <v>3663.49</v>
      </c>
      <c r="M35" s="388" t="s">
        <v>8692</v>
      </c>
      <c r="N35" s="389">
        <v>337668.43870150001</v>
      </c>
      <c r="O35" s="388" t="s">
        <v>8693</v>
      </c>
    </row>
    <row r="36" spans="1:15" x14ac:dyDescent="0.4">
      <c r="A36" s="388" t="s">
        <v>1075</v>
      </c>
      <c r="B36" s="386" t="s">
        <v>395</v>
      </c>
      <c r="C36" s="386" t="s">
        <v>8694</v>
      </c>
      <c r="D36" s="386" t="s">
        <v>1053</v>
      </c>
      <c r="E36" s="387" t="s">
        <v>6</v>
      </c>
      <c r="F36" s="388" t="s">
        <v>8695</v>
      </c>
      <c r="G36" s="388" t="s">
        <v>781</v>
      </c>
      <c r="H36" s="388" t="s">
        <v>6153</v>
      </c>
      <c r="I36" s="388" t="s">
        <v>781</v>
      </c>
      <c r="J36" s="388" t="s">
        <v>8696</v>
      </c>
      <c r="K36" s="388" t="s">
        <v>781</v>
      </c>
      <c r="L36" s="389">
        <v>3597.2316162540001</v>
      </c>
      <c r="M36" s="388" t="s">
        <v>8697</v>
      </c>
      <c r="N36" s="389">
        <v>341265.67031780002</v>
      </c>
      <c r="O36" s="388" t="s">
        <v>8698</v>
      </c>
    </row>
    <row r="37" spans="1:15" ht="25.5" customHeight="1" x14ac:dyDescent="0.4">
      <c r="A37" s="388" t="s">
        <v>1614</v>
      </c>
      <c r="B37" s="386" t="s">
        <v>5902</v>
      </c>
      <c r="C37" s="386" t="s">
        <v>1615</v>
      </c>
      <c r="D37" s="386" t="s">
        <v>1039</v>
      </c>
      <c r="E37" s="387" t="s">
        <v>713</v>
      </c>
      <c r="F37" s="388" t="s">
        <v>8699</v>
      </c>
      <c r="G37" s="388" t="s">
        <v>781</v>
      </c>
      <c r="H37" s="388" t="s">
        <v>6195</v>
      </c>
      <c r="I37" s="388" t="s">
        <v>781</v>
      </c>
      <c r="J37" s="388" t="s">
        <v>8700</v>
      </c>
      <c r="K37" s="388" t="s">
        <v>781</v>
      </c>
      <c r="L37" s="389">
        <v>3119.3035</v>
      </c>
      <c r="M37" s="388" t="s">
        <v>8701</v>
      </c>
      <c r="N37" s="389">
        <v>344384.9738178</v>
      </c>
      <c r="O37" s="388" t="s">
        <v>8702</v>
      </c>
    </row>
    <row r="38" spans="1:15" ht="25.5" customHeight="1" x14ac:dyDescent="0.4">
      <c r="A38" s="388" t="s">
        <v>3088</v>
      </c>
      <c r="B38" s="386" t="s">
        <v>408</v>
      </c>
      <c r="C38" s="386" t="s">
        <v>3089</v>
      </c>
      <c r="D38" s="386" t="s">
        <v>1039</v>
      </c>
      <c r="E38" s="387" t="s">
        <v>7</v>
      </c>
      <c r="F38" s="388" t="s">
        <v>5294</v>
      </c>
      <c r="G38" s="388" t="s">
        <v>781</v>
      </c>
      <c r="H38" s="388" t="s">
        <v>5497</v>
      </c>
      <c r="I38" s="388" t="s">
        <v>781</v>
      </c>
      <c r="J38" s="388" t="s">
        <v>6156</v>
      </c>
      <c r="K38" s="388" t="s">
        <v>781</v>
      </c>
      <c r="L38" s="389">
        <v>2921.85</v>
      </c>
      <c r="M38" s="388" t="s">
        <v>4047</v>
      </c>
      <c r="N38" s="389">
        <v>347306.82381779997</v>
      </c>
      <c r="O38" s="388" t="s">
        <v>8703</v>
      </c>
    </row>
    <row r="39" spans="1:15" ht="25.5" customHeight="1" x14ac:dyDescent="0.4">
      <c r="A39" s="388" t="s">
        <v>1349</v>
      </c>
      <c r="B39" s="386" t="s">
        <v>395</v>
      </c>
      <c r="C39" s="386" t="s">
        <v>267</v>
      </c>
      <c r="D39" s="386" t="s">
        <v>1039</v>
      </c>
      <c r="E39" s="387" t="s">
        <v>4</v>
      </c>
      <c r="F39" s="388" t="s">
        <v>5273</v>
      </c>
      <c r="G39" s="388" t="s">
        <v>781</v>
      </c>
      <c r="H39" s="388" t="s">
        <v>6157</v>
      </c>
      <c r="I39" s="388" t="s">
        <v>781</v>
      </c>
      <c r="J39" s="388" t="s">
        <v>6158</v>
      </c>
      <c r="K39" s="388" t="s">
        <v>781</v>
      </c>
      <c r="L39" s="389">
        <v>2910.88</v>
      </c>
      <c r="M39" s="388" t="s">
        <v>4047</v>
      </c>
      <c r="N39" s="389">
        <v>350217.70381779998</v>
      </c>
      <c r="O39" s="388" t="s">
        <v>8704</v>
      </c>
    </row>
    <row r="40" spans="1:15" x14ac:dyDescent="0.4">
      <c r="A40" s="388" t="s">
        <v>4035</v>
      </c>
      <c r="B40" s="386" t="s">
        <v>395</v>
      </c>
      <c r="C40" s="386" t="s">
        <v>4036</v>
      </c>
      <c r="D40" s="386" t="s">
        <v>1053</v>
      </c>
      <c r="E40" s="387" t="s">
        <v>6</v>
      </c>
      <c r="F40" s="388" t="s">
        <v>6159</v>
      </c>
      <c r="G40" s="388" t="s">
        <v>781</v>
      </c>
      <c r="H40" s="388" t="s">
        <v>6154</v>
      </c>
      <c r="I40" s="388" t="s">
        <v>781</v>
      </c>
      <c r="J40" s="388" t="s">
        <v>6160</v>
      </c>
      <c r="K40" s="388" t="s">
        <v>781</v>
      </c>
      <c r="L40" s="389">
        <v>2873.5565343660001</v>
      </c>
      <c r="M40" s="388" t="s">
        <v>6165</v>
      </c>
      <c r="N40" s="389">
        <v>353091.26035220001</v>
      </c>
      <c r="O40" s="388" t="s">
        <v>8705</v>
      </c>
    </row>
    <row r="41" spans="1:15" ht="26.4" x14ac:dyDescent="0.4">
      <c r="A41" s="388" t="s">
        <v>3254</v>
      </c>
      <c r="B41" s="386" t="s">
        <v>2616</v>
      </c>
      <c r="C41" s="386" t="s">
        <v>3255</v>
      </c>
      <c r="D41" s="386" t="s">
        <v>1317</v>
      </c>
      <c r="E41" s="387" t="s">
        <v>4</v>
      </c>
      <c r="F41" s="388" t="s">
        <v>5269</v>
      </c>
      <c r="G41" s="388" t="s">
        <v>781</v>
      </c>
      <c r="H41" s="388" t="s">
        <v>6161</v>
      </c>
      <c r="I41" s="388" t="s">
        <v>781</v>
      </c>
      <c r="J41" s="388" t="s">
        <v>6161</v>
      </c>
      <c r="K41" s="388" t="s">
        <v>781</v>
      </c>
      <c r="L41" s="389">
        <v>2855.71</v>
      </c>
      <c r="M41" s="388" t="s">
        <v>6165</v>
      </c>
      <c r="N41" s="389">
        <v>355946.97035219998</v>
      </c>
      <c r="O41" s="388" t="s">
        <v>8706</v>
      </c>
    </row>
    <row r="42" spans="1:15" x14ac:dyDescent="0.4">
      <c r="A42" s="388" t="s">
        <v>6167</v>
      </c>
      <c r="B42" s="386" t="s">
        <v>408</v>
      </c>
      <c r="C42" s="386" t="s">
        <v>1466</v>
      </c>
      <c r="D42" s="386" t="s">
        <v>1053</v>
      </c>
      <c r="E42" s="387" t="s">
        <v>6</v>
      </c>
      <c r="F42" s="388" t="s">
        <v>8707</v>
      </c>
      <c r="G42" s="388" t="s">
        <v>781</v>
      </c>
      <c r="H42" s="388" t="s">
        <v>6168</v>
      </c>
      <c r="I42" s="388" t="s">
        <v>781</v>
      </c>
      <c r="J42" s="388" t="s">
        <v>8708</v>
      </c>
      <c r="K42" s="388" t="s">
        <v>781</v>
      </c>
      <c r="L42" s="389">
        <v>2796.6873599999999</v>
      </c>
      <c r="M42" s="388" t="s">
        <v>4048</v>
      </c>
      <c r="N42" s="389">
        <v>358743.65771220002</v>
      </c>
      <c r="O42" s="388" t="s">
        <v>8709</v>
      </c>
    </row>
    <row r="43" spans="1:15" ht="26.4" x14ac:dyDescent="0.4">
      <c r="A43" s="388" t="s">
        <v>3126</v>
      </c>
      <c r="B43" s="386" t="s">
        <v>420</v>
      </c>
      <c r="C43" s="386" t="s">
        <v>3127</v>
      </c>
      <c r="D43" s="386" t="s">
        <v>1039</v>
      </c>
      <c r="E43" s="387" t="s">
        <v>422</v>
      </c>
      <c r="F43" s="388" t="s">
        <v>5273</v>
      </c>
      <c r="G43" s="388" t="s">
        <v>781</v>
      </c>
      <c r="H43" s="388" t="s">
        <v>8710</v>
      </c>
      <c r="I43" s="388" t="s">
        <v>781</v>
      </c>
      <c r="J43" s="388" t="s">
        <v>8711</v>
      </c>
      <c r="K43" s="388" t="s">
        <v>781</v>
      </c>
      <c r="L43" s="389">
        <v>2793.1</v>
      </c>
      <c r="M43" s="388" t="s">
        <v>4048</v>
      </c>
      <c r="N43" s="389">
        <v>361536.75771219999</v>
      </c>
      <c r="O43" s="388" t="s">
        <v>8712</v>
      </c>
    </row>
    <row r="44" spans="1:15" ht="26.4" x14ac:dyDescent="0.4">
      <c r="A44" s="388" t="s">
        <v>2351</v>
      </c>
      <c r="B44" s="386" t="s">
        <v>395</v>
      </c>
      <c r="C44" s="386" t="s">
        <v>264</v>
      </c>
      <c r="D44" s="386" t="s">
        <v>1039</v>
      </c>
      <c r="E44" s="387" t="s">
        <v>675</v>
      </c>
      <c r="F44" s="388" t="s">
        <v>5280</v>
      </c>
      <c r="G44" s="388" t="s">
        <v>781</v>
      </c>
      <c r="H44" s="388" t="s">
        <v>6162</v>
      </c>
      <c r="I44" s="388" t="s">
        <v>781</v>
      </c>
      <c r="J44" s="388" t="s">
        <v>6163</v>
      </c>
      <c r="K44" s="388" t="s">
        <v>781</v>
      </c>
      <c r="L44" s="389">
        <v>2769.7856999999999</v>
      </c>
      <c r="M44" s="388" t="s">
        <v>4048</v>
      </c>
      <c r="N44" s="389">
        <v>364306.5434122</v>
      </c>
      <c r="O44" s="388" t="s">
        <v>8713</v>
      </c>
    </row>
    <row r="45" spans="1:15" ht="38.25" customHeight="1" x14ac:dyDescent="0.4">
      <c r="A45" s="388" t="s">
        <v>4043</v>
      </c>
      <c r="B45" s="386" t="s">
        <v>395</v>
      </c>
      <c r="C45" s="386" t="s">
        <v>4044</v>
      </c>
      <c r="D45" s="386" t="s">
        <v>1039</v>
      </c>
      <c r="E45" s="387" t="s">
        <v>4</v>
      </c>
      <c r="F45" s="388" t="s">
        <v>5269</v>
      </c>
      <c r="G45" s="388" t="s">
        <v>781</v>
      </c>
      <c r="H45" s="388" t="s">
        <v>6164</v>
      </c>
      <c r="I45" s="388" t="s">
        <v>781</v>
      </c>
      <c r="J45" s="388" t="s">
        <v>6164</v>
      </c>
      <c r="K45" s="388" t="s">
        <v>781</v>
      </c>
      <c r="L45" s="389">
        <v>2731.77</v>
      </c>
      <c r="M45" s="388" t="s">
        <v>4049</v>
      </c>
      <c r="N45" s="389">
        <v>367038.31341220002</v>
      </c>
      <c r="O45" s="388" t="s">
        <v>8714</v>
      </c>
    </row>
    <row r="46" spans="1:15" ht="52.8" x14ac:dyDescent="0.4">
      <c r="A46" s="388" t="s">
        <v>1483</v>
      </c>
      <c r="B46" s="386" t="s">
        <v>420</v>
      </c>
      <c r="C46" s="386" t="s">
        <v>711</v>
      </c>
      <c r="D46" s="386" t="s">
        <v>1039</v>
      </c>
      <c r="E46" s="387" t="s">
        <v>422</v>
      </c>
      <c r="F46" s="388" t="s">
        <v>5269</v>
      </c>
      <c r="G46" s="388" t="s">
        <v>781</v>
      </c>
      <c r="H46" s="388" t="s">
        <v>6166</v>
      </c>
      <c r="I46" s="388" t="s">
        <v>781</v>
      </c>
      <c r="J46" s="388" t="s">
        <v>6166</v>
      </c>
      <c r="K46" s="388" t="s">
        <v>781</v>
      </c>
      <c r="L46" s="389">
        <v>2728.75</v>
      </c>
      <c r="M46" s="388" t="s">
        <v>4049</v>
      </c>
      <c r="N46" s="389">
        <v>369767.06341220002</v>
      </c>
      <c r="O46" s="388" t="s">
        <v>8715</v>
      </c>
    </row>
    <row r="47" spans="1:15" ht="26.4" x14ac:dyDescent="0.4">
      <c r="A47" s="388" t="s">
        <v>6169</v>
      </c>
      <c r="B47" s="386" t="s">
        <v>395</v>
      </c>
      <c r="C47" s="386" t="s">
        <v>6170</v>
      </c>
      <c r="D47" s="386" t="s">
        <v>6126</v>
      </c>
      <c r="E47" s="387" t="s">
        <v>10</v>
      </c>
      <c r="F47" s="388" t="s">
        <v>5292</v>
      </c>
      <c r="G47" s="388" t="s">
        <v>781</v>
      </c>
      <c r="H47" s="388" t="s">
        <v>6171</v>
      </c>
      <c r="I47" s="388" t="s">
        <v>781</v>
      </c>
      <c r="J47" s="388" t="s">
        <v>6172</v>
      </c>
      <c r="K47" s="388" t="s">
        <v>781</v>
      </c>
      <c r="L47" s="389">
        <v>2605.5</v>
      </c>
      <c r="M47" s="388" t="s">
        <v>6179</v>
      </c>
      <c r="N47" s="389">
        <v>372372.56341220002</v>
      </c>
      <c r="O47" s="388" t="s">
        <v>8716</v>
      </c>
    </row>
    <row r="48" spans="1:15" x14ac:dyDescent="0.4">
      <c r="A48" s="388" t="s">
        <v>3227</v>
      </c>
      <c r="B48" s="386" t="s">
        <v>575</v>
      </c>
      <c r="C48" s="386" t="s">
        <v>3228</v>
      </c>
      <c r="D48" s="386" t="s">
        <v>1323</v>
      </c>
      <c r="E48" s="387" t="s">
        <v>422</v>
      </c>
      <c r="F48" s="388" t="s">
        <v>5269</v>
      </c>
      <c r="G48" s="388" t="s">
        <v>781</v>
      </c>
      <c r="H48" s="388" t="s">
        <v>8717</v>
      </c>
      <c r="I48" s="388" t="s">
        <v>781</v>
      </c>
      <c r="J48" s="388" t="s">
        <v>8717</v>
      </c>
      <c r="K48" s="388" t="s">
        <v>781</v>
      </c>
      <c r="L48" s="389">
        <v>2580.6799999999998</v>
      </c>
      <c r="M48" s="388" t="s">
        <v>4052</v>
      </c>
      <c r="N48" s="389">
        <v>374953.24341220001</v>
      </c>
      <c r="O48" s="388" t="s">
        <v>8718</v>
      </c>
    </row>
    <row r="49" spans="1:15" ht="26.4" x14ac:dyDescent="0.4">
      <c r="A49" s="388" t="s">
        <v>8719</v>
      </c>
      <c r="B49" s="386" t="s">
        <v>5902</v>
      </c>
      <c r="C49" s="386" t="s">
        <v>8720</v>
      </c>
      <c r="D49" s="386" t="s">
        <v>1039</v>
      </c>
      <c r="E49" s="387" t="s">
        <v>4</v>
      </c>
      <c r="F49" s="388" t="s">
        <v>5269</v>
      </c>
      <c r="G49" s="388" t="s">
        <v>781</v>
      </c>
      <c r="H49" s="388" t="s">
        <v>8721</v>
      </c>
      <c r="I49" s="388" t="s">
        <v>781</v>
      </c>
      <c r="J49" s="388" t="s">
        <v>8721</v>
      </c>
      <c r="K49" s="388" t="s">
        <v>781</v>
      </c>
      <c r="L49" s="389">
        <v>2574.59</v>
      </c>
      <c r="M49" s="388" t="s">
        <v>4052</v>
      </c>
      <c r="N49" s="389">
        <v>377527.83341219998</v>
      </c>
      <c r="O49" s="388" t="s">
        <v>8722</v>
      </c>
    </row>
    <row r="50" spans="1:15" ht="38.25" customHeight="1" x14ac:dyDescent="0.4">
      <c r="A50" s="388" t="s">
        <v>1410</v>
      </c>
      <c r="B50" s="386" t="s">
        <v>408</v>
      </c>
      <c r="C50" s="386" t="s">
        <v>1411</v>
      </c>
      <c r="D50" s="386" t="s">
        <v>1039</v>
      </c>
      <c r="E50" s="387" t="s">
        <v>675</v>
      </c>
      <c r="F50" s="388" t="s">
        <v>5276</v>
      </c>
      <c r="G50" s="388" t="s">
        <v>781</v>
      </c>
      <c r="H50" s="388" t="s">
        <v>6173</v>
      </c>
      <c r="I50" s="388" t="s">
        <v>781</v>
      </c>
      <c r="J50" s="388" t="s">
        <v>6174</v>
      </c>
      <c r="K50" s="388" t="s">
        <v>781</v>
      </c>
      <c r="L50" s="389">
        <v>2567.8094000000001</v>
      </c>
      <c r="M50" s="388" t="s">
        <v>4052</v>
      </c>
      <c r="N50" s="389">
        <v>380095.64281220001</v>
      </c>
      <c r="O50" s="388" t="s">
        <v>8723</v>
      </c>
    </row>
    <row r="51" spans="1:15" ht="38.25" customHeight="1" x14ac:dyDescent="0.4">
      <c r="A51" s="388" t="s">
        <v>1184</v>
      </c>
      <c r="B51" s="386" t="s">
        <v>395</v>
      </c>
      <c r="C51" s="386" t="s">
        <v>405</v>
      </c>
      <c r="D51" s="386" t="s">
        <v>1053</v>
      </c>
      <c r="E51" s="387" t="s">
        <v>6</v>
      </c>
      <c r="F51" s="388" t="s">
        <v>6175</v>
      </c>
      <c r="G51" s="388" t="s">
        <v>781</v>
      </c>
      <c r="H51" s="388" t="s">
        <v>6176</v>
      </c>
      <c r="I51" s="388" t="s">
        <v>781</v>
      </c>
      <c r="J51" s="388" t="s">
        <v>6177</v>
      </c>
      <c r="K51" s="388" t="s">
        <v>781</v>
      </c>
      <c r="L51" s="389">
        <v>2542.0230799719998</v>
      </c>
      <c r="M51" s="388" t="s">
        <v>4052</v>
      </c>
      <c r="N51" s="389">
        <v>382637.66589220002</v>
      </c>
      <c r="O51" s="388" t="s">
        <v>8724</v>
      </c>
    </row>
    <row r="52" spans="1:15" ht="25.5" customHeight="1" x14ac:dyDescent="0.4">
      <c r="A52" s="388" t="s">
        <v>1467</v>
      </c>
      <c r="B52" s="386" t="s">
        <v>5902</v>
      </c>
      <c r="C52" s="386" t="s">
        <v>1468</v>
      </c>
      <c r="D52" s="386" t="s">
        <v>1053</v>
      </c>
      <c r="E52" s="387" t="s">
        <v>6</v>
      </c>
      <c r="F52" s="388" t="s">
        <v>8725</v>
      </c>
      <c r="G52" s="388" t="s">
        <v>781</v>
      </c>
      <c r="H52" s="388" t="s">
        <v>6194</v>
      </c>
      <c r="I52" s="388" t="s">
        <v>781</v>
      </c>
      <c r="J52" s="388" t="s">
        <v>8726</v>
      </c>
      <c r="K52" s="388" t="s">
        <v>781</v>
      </c>
      <c r="L52" s="389">
        <v>2501.7222449999999</v>
      </c>
      <c r="M52" s="388" t="s">
        <v>4053</v>
      </c>
      <c r="N52" s="389">
        <v>385139.38813719997</v>
      </c>
      <c r="O52" s="388" t="s">
        <v>8727</v>
      </c>
    </row>
    <row r="53" spans="1:15" x14ac:dyDescent="0.4">
      <c r="A53" s="388" t="s">
        <v>1304</v>
      </c>
      <c r="B53" s="386" t="s">
        <v>395</v>
      </c>
      <c r="C53" s="386" t="s">
        <v>251</v>
      </c>
      <c r="D53" s="386" t="s">
        <v>1039</v>
      </c>
      <c r="E53" s="387" t="s">
        <v>3</v>
      </c>
      <c r="F53" s="388" t="s">
        <v>8728</v>
      </c>
      <c r="G53" s="388" t="s">
        <v>781</v>
      </c>
      <c r="H53" s="388" t="s">
        <v>5732</v>
      </c>
      <c r="I53" s="388" t="s">
        <v>781</v>
      </c>
      <c r="J53" s="388" t="s">
        <v>8729</v>
      </c>
      <c r="K53" s="388" t="s">
        <v>781</v>
      </c>
      <c r="L53" s="389">
        <v>2414.207987496</v>
      </c>
      <c r="M53" s="388" t="s">
        <v>8730</v>
      </c>
      <c r="N53" s="389">
        <v>387553.59612469998</v>
      </c>
      <c r="O53" s="388" t="s">
        <v>8731</v>
      </c>
    </row>
    <row r="54" spans="1:15" ht="25.5" customHeight="1" x14ac:dyDescent="0.4">
      <c r="A54" s="388" t="s">
        <v>1536</v>
      </c>
      <c r="B54" s="386" t="s">
        <v>5902</v>
      </c>
      <c r="C54" s="386" t="s">
        <v>1537</v>
      </c>
      <c r="D54" s="386" t="s">
        <v>1039</v>
      </c>
      <c r="E54" s="387" t="s">
        <v>713</v>
      </c>
      <c r="F54" s="388" t="s">
        <v>5286</v>
      </c>
      <c r="G54" s="388" t="s">
        <v>781</v>
      </c>
      <c r="H54" s="388" t="s">
        <v>6181</v>
      </c>
      <c r="I54" s="388" t="s">
        <v>781</v>
      </c>
      <c r="J54" s="388" t="s">
        <v>6182</v>
      </c>
      <c r="K54" s="388" t="s">
        <v>781</v>
      </c>
      <c r="L54" s="389">
        <v>2393.6788000000001</v>
      </c>
      <c r="M54" s="388" t="s">
        <v>4056</v>
      </c>
      <c r="N54" s="389">
        <v>389947.27492469997</v>
      </c>
      <c r="O54" s="388" t="s">
        <v>8732</v>
      </c>
    </row>
    <row r="55" spans="1:15" ht="25.5" customHeight="1" x14ac:dyDescent="0.4">
      <c r="A55" s="388" t="s">
        <v>4057</v>
      </c>
      <c r="B55" s="386" t="s">
        <v>395</v>
      </c>
      <c r="C55" s="386" t="s">
        <v>4058</v>
      </c>
      <c r="D55" s="386" t="s">
        <v>1053</v>
      </c>
      <c r="E55" s="387" t="s">
        <v>10</v>
      </c>
      <c r="F55" s="388" t="s">
        <v>5269</v>
      </c>
      <c r="G55" s="388" t="s">
        <v>781</v>
      </c>
      <c r="H55" s="388" t="s">
        <v>6184</v>
      </c>
      <c r="I55" s="388" t="s">
        <v>781</v>
      </c>
      <c r="J55" s="388" t="s">
        <v>6184</v>
      </c>
      <c r="K55" s="388" t="s">
        <v>781</v>
      </c>
      <c r="L55" s="389">
        <v>2269.33</v>
      </c>
      <c r="M55" s="388" t="s">
        <v>4059</v>
      </c>
      <c r="N55" s="389">
        <v>392216.60492469999</v>
      </c>
      <c r="O55" s="388" t="s">
        <v>8733</v>
      </c>
    </row>
    <row r="56" spans="1:15" ht="25.5" customHeight="1" x14ac:dyDescent="0.4">
      <c r="A56" s="388" t="s">
        <v>3153</v>
      </c>
      <c r="B56" s="386" t="s">
        <v>5902</v>
      </c>
      <c r="C56" s="386" t="s">
        <v>3154</v>
      </c>
      <c r="D56" s="386" t="s">
        <v>1039</v>
      </c>
      <c r="E56" s="387" t="s">
        <v>4</v>
      </c>
      <c r="F56" s="388" t="s">
        <v>5285</v>
      </c>
      <c r="G56" s="388" t="s">
        <v>781</v>
      </c>
      <c r="H56" s="388" t="s">
        <v>6185</v>
      </c>
      <c r="I56" s="388" t="s">
        <v>781</v>
      </c>
      <c r="J56" s="388" t="s">
        <v>6186</v>
      </c>
      <c r="K56" s="388" t="s">
        <v>781</v>
      </c>
      <c r="L56" s="389">
        <v>2236</v>
      </c>
      <c r="M56" s="388" t="s">
        <v>8734</v>
      </c>
      <c r="N56" s="389">
        <v>394452.60492469999</v>
      </c>
      <c r="O56" s="388" t="s">
        <v>8735</v>
      </c>
    </row>
    <row r="57" spans="1:15" x14ac:dyDescent="0.4">
      <c r="A57" s="388" t="s">
        <v>1482</v>
      </c>
      <c r="B57" s="386" t="s">
        <v>395</v>
      </c>
      <c r="C57" s="386" t="s">
        <v>406</v>
      </c>
      <c r="D57" s="386" t="s">
        <v>1053</v>
      </c>
      <c r="E57" s="387" t="s">
        <v>6</v>
      </c>
      <c r="F57" s="388" t="s">
        <v>8736</v>
      </c>
      <c r="G57" s="388" t="s">
        <v>781</v>
      </c>
      <c r="H57" s="388" t="s">
        <v>6180</v>
      </c>
      <c r="I57" s="388" t="s">
        <v>781</v>
      </c>
      <c r="J57" s="388" t="s">
        <v>8737</v>
      </c>
      <c r="K57" s="388" t="s">
        <v>781</v>
      </c>
      <c r="L57" s="389">
        <v>2227.2797027820002</v>
      </c>
      <c r="M57" s="388" t="s">
        <v>8734</v>
      </c>
      <c r="N57" s="389">
        <v>396679.88462750003</v>
      </c>
      <c r="O57" s="388" t="s">
        <v>8738</v>
      </c>
    </row>
    <row r="58" spans="1:15" ht="25.5" customHeight="1" x14ac:dyDescent="0.4">
      <c r="A58" s="388" t="s">
        <v>3289</v>
      </c>
      <c r="B58" s="386" t="s">
        <v>5902</v>
      </c>
      <c r="C58" s="386" t="s">
        <v>3290</v>
      </c>
      <c r="D58" s="386" t="s">
        <v>1039</v>
      </c>
      <c r="E58" s="387" t="s">
        <v>4</v>
      </c>
      <c r="F58" s="388" t="s">
        <v>5282</v>
      </c>
      <c r="G58" s="388" t="s">
        <v>781</v>
      </c>
      <c r="H58" s="388" t="s">
        <v>6187</v>
      </c>
      <c r="I58" s="388" t="s">
        <v>781</v>
      </c>
      <c r="J58" s="388" t="s">
        <v>6188</v>
      </c>
      <c r="K58" s="388" t="s">
        <v>781</v>
      </c>
      <c r="L58" s="389">
        <v>2225.2545</v>
      </c>
      <c r="M58" s="388" t="s">
        <v>8734</v>
      </c>
      <c r="N58" s="389">
        <v>398905.13912750001</v>
      </c>
      <c r="O58" s="388" t="s">
        <v>8739</v>
      </c>
    </row>
    <row r="59" spans="1:15" ht="25.5" customHeight="1" x14ac:dyDescent="0.4">
      <c r="A59" s="388" t="s">
        <v>1549</v>
      </c>
      <c r="B59" s="386" t="s">
        <v>395</v>
      </c>
      <c r="C59" s="386" t="s">
        <v>403</v>
      </c>
      <c r="D59" s="386" t="s">
        <v>1053</v>
      </c>
      <c r="E59" s="387" t="s">
        <v>6</v>
      </c>
      <c r="F59" s="388" t="s">
        <v>6189</v>
      </c>
      <c r="G59" s="388" t="s">
        <v>781</v>
      </c>
      <c r="H59" s="388" t="s">
        <v>6190</v>
      </c>
      <c r="I59" s="388" t="s">
        <v>781</v>
      </c>
      <c r="J59" s="388" t="s">
        <v>6191</v>
      </c>
      <c r="K59" s="388" t="s">
        <v>781</v>
      </c>
      <c r="L59" s="389">
        <v>2205.7941003149999</v>
      </c>
      <c r="M59" s="388" t="s">
        <v>8734</v>
      </c>
      <c r="N59" s="389">
        <v>401110.93322780001</v>
      </c>
      <c r="O59" s="388" t="s">
        <v>8740</v>
      </c>
    </row>
    <row r="60" spans="1:15" x14ac:dyDescent="0.4">
      <c r="A60" s="388" t="s">
        <v>2382</v>
      </c>
      <c r="B60" s="386" t="s">
        <v>575</v>
      </c>
      <c r="C60" s="386" t="s">
        <v>2383</v>
      </c>
      <c r="D60" s="386" t="s">
        <v>2381</v>
      </c>
      <c r="E60" s="387" t="s">
        <v>422</v>
      </c>
      <c r="F60" s="388" t="s">
        <v>5269</v>
      </c>
      <c r="G60" s="388" t="s">
        <v>781</v>
      </c>
      <c r="H60" s="388" t="s">
        <v>8741</v>
      </c>
      <c r="I60" s="388" t="s">
        <v>781</v>
      </c>
      <c r="J60" s="388" t="s">
        <v>8741</v>
      </c>
      <c r="K60" s="388" t="s">
        <v>781</v>
      </c>
      <c r="L60" s="389">
        <v>2200</v>
      </c>
      <c r="M60" s="388" t="s">
        <v>8734</v>
      </c>
      <c r="N60" s="389">
        <v>403310.93322780001</v>
      </c>
      <c r="O60" s="388" t="s">
        <v>8742</v>
      </c>
    </row>
    <row r="61" spans="1:15" ht="26.4" x14ac:dyDescent="0.4">
      <c r="A61" s="388" t="s">
        <v>3236</v>
      </c>
      <c r="B61" s="386" t="s">
        <v>575</v>
      </c>
      <c r="C61" s="386" t="s">
        <v>3237</v>
      </c>
      <c r="D61" s="386" t="s">
        <v>1039</v>
      </c>
      <c r="E61" s="387" t="s">
        <v>422</v>
      </c>
      <c r="F61" s="388" t="s">
        <v>5269</v>
      </c>
      <c r="G61" s="388" t="s">
        <v>781</v>
      </c>
      <c r="H61" s="388" t="s">
        <v>5283</v>
      </c>
      <c r="I61" s="388" t="s">
        <v>781</v>
      </c>
      <c r="J61" s="388" t="s">
        <v>5283</v>
      </c>
      <c r="K61" s="388" t="s">
        <v>781</v>
      </c>
      <c r="L61" s="389">
        <v>2150</v>
      </c>
      <c r="M61" s="388" t="s">
        <v>4060</v>
      </c>
      <c r="N61" s="389">
        <v>405460.93322780001</v>
      </c>
      <c r="O61" s="388" t="s">
        <v>8743</v>
      </c>
    </row>
    <row r="62" spans="1:15" x14ac:dyDescent="0.4">
      <c r="A62" s="388" t="s">
        <v>4061</v>
      </c>
      <c r="B62" s="386" t="s">
        <v>395</v>
      </c>
      <c r="C62" s="386" t="s">
        <v>4062</v>
      </c>
      <c r="D62" s="386" t="s">
        <v>1039</v>
      </c>
      <c r="E62" s="387" t="s">
        <v>10</v>
      </c>
      <c r="F62" s="388" t="s">
        <v>5334</v>
      </c>
      <c r="G62" s="388" t="s">
        <v>781</v>
      </c>
      <c r="H62" s="388" t="s">
        <v>6183</v>
      </c>
      <c r="I62" s="388" t="s">
        <v>781</v>
      </c>
      <c r="J62" s="388" t="s">
        <v>8744</v>
      </c>
      <c r="K62" s="388" t="s">
        <v>781</v>
      </c>
      <c r="L62" s="389">
        <v>2101.4</v>
      </c>
      <c r="M62" s="388" t="s">
        <v>8745</v>
      </c>
      <c r="N62" s="389">
        <v>407562.33322779997</v>
      </c>
      <c r="O62" s="388" t="s">
        <v>8746</v>
      </c>
    </row>
    <row r="63" spans="1:15" ht="26.4" x14ac:dyDescent="0.4">
      <c r="A63" s="388" t="s">
        <v>4073</v>
      </c>
      <c r="B63" s="386" t="s">
        <v>395</v>
      </c>
      <c r="C63" s="386" t="s">
        <v>4074</v>
      </c>
      <c r="D63" s="386" t="s">
        <v>1039</v>
      </c>
      <c r="E63" s="387" t="s">
        <v>4</v>
      </c>
      <c r="F63" s="388" t="s">
        <v>5269</v>
      </c>
      <c r="G63" s="388" t="s">
        <v>781</v>
      </c>
      <c r="H63" s="388" t="s">
        <v>6192</v>
      </c>
      <c r="I63" s="388" t="s">
        <v>781</v>
      </c>
      <c r="J63" s="388" t="s">
        <v>6192</v>
      </c>
      <c r="K63" s="388" t="s">
        <v>781</v>
      </c>
      <c r="L63" s="389">
        <v>2076.0500000000002</v>
      </c>
      <c r="M63" s="388" t="s">
        <v>8745</v>
      </c>
      <c r="N63" s="389">
        <v>409638.38322780002</v>
      </c>
      <c r="O63" s="388" t="s">
        <v>8747</v>
      </c>
    </row>
    <row r="64" spans="1:15" x14ac:dyDescent="0.4">
      <c r="A64" s="388" t="s">
        <v>1154</v>
      </c>
      <c r="B64" s="386" t="s">
        <v>408</v>
      </c>
      <c r="C64" s="386" t="s">
        <v>1155</v>
      </c>
      <c r="D64" s="386" t="s">
        <v>1039</v>
      </c>
      <c r="E64" s="387" t="s">
        <v>4</v>
      </c>
      <c r="F64" s="388" t="s">
        <v>5269</v>
      </c>
      <c r="G64" s="388" t="s">
        <v>781</v>
      </c>
      <c r="H64" s="388" t="s">
        <v>6193</v>
      </c>
      <c r="I64" s="388" t="s">
        <v>781</v>
      </c>
      <c r="J64" s="388" t="s">
        <v>6193</v>
      </c>
      <c r="K64" s="388" t="s">
        <v>781</v>
      </c>
      <c r="L64" s="389">
        <v>1969.68</v>
      </c>
      <c r="M64" s="388" t="s">
        <v>4065</v>
      </c>
      <c r="N64" s="389">
        <v>411608.06322780001</v>
      </c>
      <c r="O64" s="388" t="s">
        <v>8748</v>
      </c>
    </row>
    <row r="65" spans="1:15" x14ac:dyDescent="0.4">
      <c r="A65" s="388" t="s">
        <v>6196</v>
      </c>
      <c r="B65" s="386" t="s">
        <v>408</v>
      </c>
      <c r="C65" s="386" t="s">
        <v>1139</v>
      </c>
      <c r="D65" s="386" t="s">
        <v>1053</v>
      </c>
      <c r="E65" s="387" t="s">
        <v>6</v>
      </c>
      <c r="F65" s="388" t="s">
        <v>6197</v>
      </c>
      <c r="G65" s="388" t="s">
        <v>781</v>
      </c>
      <c r="H65" s="388" t="s">
        <v>5329</v>
      </c>
      <c r="I65" s="388" t="s">
        <v>781</v>
      </c>
      <c r="J65" s="388" t="s">
        <v>6198</v>
      </c>
      <c r="K65" s="388" t="s">
        <v>781</v>
      </c>
      <c r="L65" s="389">
        <v>1806.6727900000001</v>
      </c>
      <c r="M65" s="388" t="s">
        <v>5297</v>
      </c>
      <c r="N65" s="389">
        <v>413414.73601779999</v>
      </c>
      <c r="O65" s="388" t="s">
        <v>8749</v>
      </c>
    </row>
    <row r="66" spans="1:15" ht="38.25" customHeight="1" x14ac:dyDescent="0.4">
      <c r="A66" s="388" t="s">
        <v>4066</v>
      </c>
      <c r="B66" s="386" t="s">
        <v>395</v>
      </c>
      <c r="C66" s="386" t="s">
        <v>4067</v>
      </c>
      <c r="D66" s="386" t="s">
        <v>2381</v>
      </c>
      <c r="E66" s="387" t="s">
        <v>6</v>
      </c>
      <c r="F66" s="388" t="s">
        <v>8750</v>
      </c>
      <c r="G66" s="388" t="s">
        <v>781</v>
      </c>
      <c r="H66" s="388" t="s">
        <v>5414</v>
      </c>
      <c r="I66" s="388" t="s">
        <v>781</v>
      </c>
      <c r="J66" s="388" t="s">
        <v>8751</v>
      </c>
      <c r="K66" s="388" t="s">
        <v>781</v>
      </c>
      <c r="L66" s="389">
        <v>1799.2940418119999</v>
      </c>
      <c r="M66" s="388" t="s">
        <v>5297</v>
      </c>
      <c r="N66" s="389">
        <v>415214.03005960002</v>
      </c>
      <c r="O66" s="388" t="s">
        <v>8752</v>
      </c>
    </row>
    <row r="67" spans="1:15" ht="38.25" customHeight="1" x14ac:dyDescent="0.4">
      <c r="A67" s="388" t="s">
        <v>6199</v>
      </c>
      <c r="B67" s="386" t="s">
        <v>420</v>
      </c>
      <c r="C67" s="386" t="s">
        <v>6200</v>
      </c>
      <c r="D67" s="386" t="s">
        <v>1053</v>
      </c>
      <c r="E67" s="387" t="s">
        <v>1070</v>
      </c>
      <c r="F67" s="388" t="s">
        <v>6201</v>
      </c>
      <c r="G67" s="388" t="s">
        <v>781</v>
      </c>
      <c r="H67" s="388" t="s">
        <v>6202</v>
      </c>
      <c r="I67" s="388" t="s">
        <v>781</v>
      </c>
      <c r="J67" s="388" t="s">
        <v>6203</v>
      </c>
      <c r="K67" s="388" t="s">
        <v>781</v>
      </c>
      <c r="L67" s="389">
        <v>1755.1007999999999</v>
      </c>
      <c r="M67" s="388" t="s">
        <v>4068</v>
      </c>
      <c r="N67" s="389">
        <v>416969.13085959997</v>
      </c>
      <c r="O67" s="388" t="s">
        <v>8753</v>
      </c>
    </row>
    <row r="68" spans="1:15" ht="25.5" customHeight="1" x14ac:dyDescent="0.4">
      <c r="A68" s="388" t="s">
        <v>4054</v>
      </c>
      <c r="B68" s="386" t="s">
        <v>395</v>
      </c>
      <c r="C68" s="386" t="s">
        <v>4055</v>
      </c>
      <c r="D68" s="386" t="s">
        <v>1053</v>
      </c>
      <c r="E68" s="387" t="s">
        <v>6</v>
      </c>
      <c r="F68" s="388" t="s">
        <v>6204</v>
      </c>
      <c r="G68" s="388" t="s">
        <v>781</v>
      </c>
      <c r="H68" s="388" t="s">
        <v>6154</v>
      </c>
      <c r="I68" s="388" t="s">
        <v>781</v>
      </c>
      <c r="J68" s="388" t="s">
        <v>6205</v>
      </c>
      <c r="K68" s="388" t="s">
        <v>781</v>
      </c>
      <c r="L68" s="389">
        <v>1751.4758615759999</v>
      </c>
      <c r="M68" s="388" t="s">
        <v>4068</v>
      </c>
      <c r="N68" s="389">
        <v>418720.60672119999</v>
      </c>
      <c r="O68" s="388" t="s">
        <v>8754</v>
      </c>
    </row>
    <row r="69" spans="1:15" ht="38.25" customHeight="1" x14ac:dyDescent="0.4">
      <c r="A69" s="388" t="s">
        <v>6207</v>
      </c>
      <c r="B69" s="386" t="s">
        <v>408</v>
      </c>
      <c r="C69" s="386" t="s">
        <v>1093</v>
      </c>
      <c r="D69" s="386" t="s">
        <v>1053</v>
      </c>
      <c r="E69" s="387" t="s">
        <v>6</v>
      </c>
      <c r="F69" s="388" t="s">
        <v>6208</v>
      </c>
      <c r="G69" s="388" t="s">
        <v>781</v>
      </c>
      <c r="H69" s="388" t="s">
        <v>6209</v>
      </c>
      <c r="I69" s="388" t="s">
        <v>781</v>
      </c>
      <c r="J69" s="388" t="s">
        <v>6210</v>
      </c>
      <c r="K69" s="388" t="s">
        <v>781</v>
      </c>
      <c r="L69" s="389">
        <v>1633.9935599999999</v>
      </c>
      <c r="M69" s="388" t="s">
        <v>4071</v>
      </c>
      <c r="N69" s="389">
        <v>420354.60028120002</v>
      </c>
      <c r="O69" s="388" t="s">
        <v>8755</v>
      </c>
    </row>
    <row r="70" spans="1:15" ht="38.25" customHeight="1" x14ac:dyDescent="0.4">
      <c r="A70" s="388" t="s">
        <v>6211</v>
      </c>
      <c r="B70" s="386" t="s">
        <v>395</v>
      </c>
      <c r="C70" s="386" t="s">
        <v>6212</v>
      </c>
      <c r="D70" s="386" t="s">
        <v>1039</v>
      </c>
      <c r="E70" s="387" t="s">
        <v>7</v>
      </c>
      <c r="F70" s="388" t="s">
        <v>6213</v>
      </c>
      <c r="G70" s="388" t="s">
        <v>781</v>
      </c>
      <c r="H70" s="388" t="s">
        <v>6214</v>
      </c>
      <c r="I70" s="388" t="s">
        <v>781</v>
      </c>
      <c r="J70" s="388" t="s">
        <v>6215</v>
      </c>
      <c r="K70" s="388" t="s">
        <v>781</v>
      </c>
      <c r="L70" s="389">
        <v>1625.78592</v>
      </c>
      <c r="M70" s="388" t="s">
        <v>4071</v>
      </c>
      <c r="N70" s="389">
        <v>421980.38620120002</v>
      </c>
      <c r="O70" s="388" t="s">
        <v>8756</v>
      </c>
    </row>
    <row r="71" spans="1:15" x14ac:dyDescent="0.4">
      <c r="A71" s="388" t="s">
        <v>3225</v>
      </c>
      <c r="B71" s="386" t="s">
        <v>575</v>
      </c>
      <c r="C71" s="386" t="s">
        <v>3226</v>
      </c>
      <c r="D71" s="386" t="s">
        <v>1323</v>
      </c>
      <c r="E71" s="387" t="s">
        <v>4</v>
      </c>
      <c r="F71" s="388" t="s">
        <v>5285</v>
      </c>
      <c r="G71" s="388" t="s">
        <v>781</v>
      </c>
      <c r="H71" s="388" t="s">
        <v>8757</v>
      </c>
      <c r="I71" s="388" t="s">
        <v>781</v>
      </c>
      <c r="J71" s="388" t="s">
        <v>8758</v>
      </c>
      <c r="K71" s="388" t="s">
        <v>781</v>
      </c>
      <c r="L71" s="389">
        <v>1624.16</v>
      </c>
      <c r="M71" s="388" t="s">
        <v>4071</v>
      </c>
      <c r="N71" s="389">
        <v>423604.54620119999</v>
      </c>
      <c r="O71" s="388" t="s">
        <v>8759</v>
      </c>
    </row>
    <row r="72" spans="1:15" ht="25.5" customHeight="1" x14ac:dyDescent="0.4">
      <c r="A72" s="388" t="s">
        <v>3113</v>
      </c>
      <c r="B72" s="386" t="s">
        <v>395</v>
      </c>
      <c r="C72" s="386" t="s">
        <v>3114</v>
      </c>
      <c r="D72" s="386" t="s">
        <v>1039</v>
      </c>
      <c r="E72" s="387" t="s">
        <v>4</v>
      </c>
      <c r="F72" s="388" t="s">
        <v>5273</v>
      </c>
      <c r="G72" s="388" t="s">
        <v>781</v>
      </c>
      <c r="H72" s="388" t="s">
        <v>6216</v>
      </c>
      <c r="I72" s="388" t="s">
        <v>781</v>
      </c>
      <c r="J72" s="388" t="s">
        <v>6217</v>
      </c>
      <c r="K72" s="388" t="s">
        <v>781</v>
      </c>
      <c r="L72" s="389">
        <v>1577.2</v>
      </c>
      <c r="M72" s="388" t="s">
        <v>4072</v>
      </c>
      <c r="N72" s="389">
        <v>425181.7462012</v>
      </c>
      <c r="O72" s="388" t="s">
        <v>6206</v>
      </c>
    </row>
    <row r="73" spans="1:15" ht="26.4" x14ac:dyDescent="0.4">
      <c r="A73" s="388" t="s">
        <v>1469</v>
      </c>
      <c r="B73" s="386" t="s">
        <v>5902</v>
      </c>
      <c r="C73" s="386" t="s">
        <v>1470</v>
      </c>
      <c r="D73" s="386" t="s">
        <v>1053</v>
      </c>
      <c r="E73" s="387" t="s">
        <v>6</v>
      </c>
      <c r="F73" s="388" t="s">
        <v>8760</v>
      </c>
      <c r="G73" s="388" t="s">
        <v>781</v>
      </c>
      <c r="H73" s="388" t="s">
        <v>6250</v>
      </c>
      <c r="I73" s="388" t="s">
        <v>781</v>
      </c>
      <c r="J73" s="388" t="s">
        <v>8761</v>
      </c>
      <c r="K73" s="388" t="s">
        <v>781</v>
      </c>
      <c r="L73" s="389">
        <v>1559.94632</v>
      </c>
      <c r="M73" s="388" t="s">
        <v>4072</v>
      </c>
      <c r="N73" s="389">
        <v>426741.69252119999</v>
      </c>
      <c r="O73" s="388" t="s">
        <v>8762</v>
      </c>
    </row>
    <row r="74" spans="1:15" ht="38.25" customHeight="1" x14ac:dyDescent="0.4">
      <c r="A74" s="388" t="s">
        <v>2337</v>
      </c>
      <c r="B74" s="386" t="s">
        <v>408</v>
      </c>
      <c r="C74" s="386" t="s">
        <v>2338</v>
      </c>
      <c r="D74" s="386" t="s">
        <v>1039</v>
      </c>
      <c r="E74" s="387" t="s">
        <v>4</v>
      </c>
      <c r="F74" s="388" t="s">
        <v>5269</v>
      </c>
      <c r="G74" s="388" t="s">
        <v>781</v>
      </c>
      <c r="H74" s="388" t="s">
        <v>6218</v>
      </c>
      <c r="I74" s="388" t="s">
        <v>781</v>
      </c>
      <c r="J74" s="388" t="s">
        <v>6218</v>
      </c>
      <c r="K74" s="388" t="s">
        <v>781</v>
      </c>
      <c r="L74" s="389">
        <v>1520.59</v>
      </c>
      <c r="M74" s="388" t="s">
        <v>4077</v>
      </c>
      <c r="N74" s="389">
        <v>428262.28252120002</v>
      </c>
      <c r="O74" s="388" t="s">
        <v>8763</v>
      </c>
    </row>
    <row r="75" spans="1:15" ht="38.25" customHeight="1" x14ac:dyDescent="0.4">
      <c r="A75" s="388" t="s">
        <v>2477</v>
      </c>
      <c r="B75" s="386" t="s">
        <v>5902</v>
      </c>
      <c r="C75" s="386" t="s">
        <v>2478</v>
      </c>
      <c r="D75" s="386" t="s">
        <v>1039</v>
      </c>
      <c r="E75" s="387" t="s">
        <v>4</v>
      </c>
      <c r="F75" s="388" t="s">
        <v>5296</v>
      </c>
      <c r="G75" s="388" t="s">
        <v>781</v>
      </c>
      <c r="H75" s="388" t="s">
        <v>6219</v>
      </c>
      <c r="I75" s="388" t="s">
        <v>781</v>
      </c>
      <c r="J75" s="388" t="s">
        <v>6220</v>
      </c>
      <c r="K75" s="388" t="s">
        <v>781</v>
      </c>
      <c r="L75" s="389">
        <v>1516.6179999999999</v>
      </c>
      <c r="M75" s="388" t="s">
        <v>4077</v>
      </c>
      <c r="N75" s="389">
        <v>429778.90052119998</v>
      </c>
      <c r="O75" s="388" t="s">
        <v>8764</v>
      </c>
    </row>
    <row r="76" spans="1:15" ht="52.8" x14ac:dyDescent="0.4">
      <c r="A76" s="388" t="s">
        <v>1480</v>
      </c>
      <c r="B76" s="386" t="s">
        <v>420</v>
      </c>
      <c r="C76" s="386" t="s">
        <v>709</v>
      </c>
      <c r="D76" s="386" t="s">
        <v>1039</v>
      </c>
      <c r="E76" s="387" t="s">
        <v>422</v>
      </c>
      <c r="F76" s="388" t="s">
        <v>5269</v>
      </c>
      <c r="G76" s="388" t="s">
        <v>781</v>
      </c>
      <c r="H76" s="388" t="s">
        <v>6221</v>
      </c>
      <c r="I76" s="388" t="s">
        <v>781</v>
      </c>
      <c r="J76" s="388" t="s">
        <v>6221</v>
      </c>
      <c r="K76" s="388" t="s">
        <v>781</v>
      </c>
      <c r="L76" s="389">
        <v>1491.86</v>
      </c>
      <c r="M76" s="388" t="s">
        <v>4077</v>
      </c>
      <c r="N76" s="389">
        <v>431270.76052120002</v>
      </c>
      <c r="O76" s="388" t="s">
        <v>8765</v>
      </c>
    </row>
    <row r="77" spans="1:15" ht="26.4" x14ac:dyDescent="0.4">
      <c r="A77" s="388" t="s">
        <v>3283</v>
      </c>
      <c r="B77" s="386" t="s">
        <v>5902</v>
      </c>
      <c r="C77" s="386" t="s">
        <v>3284</v>
      </c>
      <c r="D77" s="386" t="s">
        <v>1039</v>
      </c>
      <c r="E77" s="387" t="s">
        <v>4</v>
      </c>
      <c r="F77" s="388" t="s">
        <v>5298</v>
      </c>
      <c r="G77" s="388" t="s">
        <v>781</v>
      </c>
      <c r="H77" s="388" t="s">
        <v>6222</v>
      </c>
      <c r="I77" s="388" t="s">
        <v>781</v>
      </c>
      <c r="J77" s="388" t="s">
        <v>6223</v>
      </c>
      <c r="K77" s="388" t="s">
        <v>781</v>
      </c>
      <c r="L77" s="389">
        <v>1469.0468000000001</v>
      </c>
      <c r="M77" s="388" t="s">
        <v>4082</v>
      </c>
      <c r="N77" s="389">
        <v>432739.80732119997</v>
      </c>
      <c r="O77" s="388" t="s">
        <v>8766</v>
      </c>
    </row>
    <row r="78" spans="1:15" ht="26.4" x14ac:dyDescent="0.4">
      <c r="A78" s="388" t="s">
        <v>1051</v>
      </c>
      <c r="B78" s="386" t="s">
        <v>5902</v>
      </c>
      <c r="C78" s="386" t="s">
        <v>1052</v>
      </c>
      <c r="D78" s="386" t="s">
        <v>1053</v>
      </c>
      <c r="E78" s="387" t="s">
        <v>6</v>
      </c>
      <c r="F78" s="388" t="s">
        <v>5300</v>
      </c>
      <c r="G78" s="388" t="s">
        <v>781</v>
      </c>
      <c r="H78" s="388" t="s">
        <v>6224</v>
      </c>
      <c r="I78" s="388" t="s">
        <v>781</v>
      </c>
      <c r="J78" s="388" t="s">
        <v>6225</v>
      </c>
      <c r="K78" s="388" t="s">
        <v>781</v>
      </c>
      <c r="L78" s="389">
        <v>1460.36016</v>
      </c>
      <c r="M78" s="388" t="s">
        <v>4082</v>
      </c>
      <c r="N78" s="389">
        <v>434200.16748120001</v>
      </c>
      <c r="O78" s="388" t="s">
        <v>8767</v>
      </c>
    </row>
    <row r="79" spans="1:15" ht="25.5" customHeight="1" x14ac:dyDescent="0.4">
      <c r="A79" s="388" t="s">
        <v>1633</v>
      </c>
      <c r="B79" s="386" t="s">
        <v>5902</v>
      </c>
      <c r="C79" s="386" t="s">
        <v>1634</v>
      </c>
      <c r="D79" s="386" t="s">
        <v>1039</v>
      </c>
      <c r="E79" s="387" t="s">
        <v>853</v>
      </c>
      <c r="F79" s="388" t="s">
        <v>5269</v>
      </c>
      <c r="G79" s="388" t="s">
        <v>781</v>
      </c>
      <c r="H79" s="388" t="s">
        <v>6226</v>
      </c>
      <c r="I79" s="388" t="s">
        <v>781</v>
      </c>
      <c r="J79" s="388" t="s">
        <v>6226</v>
      </c>
      <c r="K79" s="388" t="s">
        <v>781</v>
      </c>
      <c r="L79" s="389">
        <v>1433.14</v>
      </c>
      <c r="M79" s="388" t="s">
        <v>4082</v>
      </c>
      <c r="N79" s="389">
        <v>435633.30748120003</v>
      </c>
      <c r="O79" s="388" t="s">
        <v>8768</v>
      </c>
    </row>
    <row r="80" spans="1:15" ht="26.4" x14ac:dyDescent="0.4">
      <c r="A80" s="388" t="s">
        <v>8769</v>
      </c>
      <c r="B80" s="386" t="s">
        <v>5902</v>
      </c>
      <c r="C80" s="386" t="s">
        <v>8770</v>
      </c>
      <c r="D80" s="386" t="s">
        <v>1039</v>
      </c>
      <c r="E80" s="387" t="s">
        <v>4</v>
      </c>
      <c r="F80" s="388" t="s">
        <v>5269</v>
      </c>
      <c r="G80" s="388" t="s">
        <v>781</v>
      </c>
      <c r="H80" s="388" t="s">
        <v>8771</v>
      </c>
      <c r="I80" s="388" t="s">
        <v>781</v>
      </c>
      <c r="J80" s="388" t="s">
        <v>8771</v>
      </c>
      <c r="K80" s="388" t="s">
        <v>781</v>
      </c>
      <c r="L80" s="389">
        <v>1422.4</v>
      </c>
      <c r="M80" s="388" t="s">
        <v>4083</v>
      </c>
      <c r="N80" s="389">
        <v>437055.70748119999</v>
      </c>
      <c r="O80" s="388" t="s">
        <v>8772</v>
      </c>
    </row>
    <row r="81" spans="1:15" ht="39.6" x14ac:dyDescent="0.4">
      <c r="A81" s="388" t="s">
        <v>4091</v>
      </c>
      <c r="B81" s="386" t="s">
        <v>395</v>
      </c>
      <c r="C81" s="386" t="s">
        <v>4092</v>
      </c>
      <c r="D81" s="386" t="s">
        <v>1039</v>
      </c>
      <c r="E81" s="387" t="s">
        <v>675</v>
      </c>
      <c r="F81" s="388" t="s">
        <v>5269</v>
      </c>
      <c r="G81" s="388" t="s">
        <v>781</v>
      </c>
      <c r="H81" s="388" t="s">
        <v>6227</v>
      </c>
      <c r="I81" s="388" t="s">
        <v>781</v>
      </c>
      <c r="J81" s="388" t="s">
        <v>6227</v>
      </c>
      <c r="K81" s="388" t="s">
        <v>781</v>
      </c>
      <c r="L81" s="389">
        <v>1394.19</v>
      </c>
      <c r="M81" s="388" t="s">
        <v>4083</v>
      </c>
      <c r="N81" s="389">
        <v>438449.89748119999</v>
      </c>
      <c r="O81" s="388" t="s">
        <v>8773</v>
      </c>
    </row>
    <row r="82" spans="1:15" ht="39.6" x14ac:dyDescent="0.4">
      <c r="A82" s="388" t="s">
        <v>1635</v>
      </c>
      <c r="B82" s="386" t="s">
        <v>5902</v>
      </c>
      <c r="C82" s="386" t="s">
        <v>1636</v>
      </c>
      <c r="D82" s="386" t="s">
        <v>1039</v>
      </c>
      <c r="E82" s="387" t="s">
        <v>853</v>
      </c>
      <c r="F82" s="388" t="s">
        <v>5269</v>
      </c>
      <c r="G82" s="388" t="s">
        <v>781</v>
      </c>
      <c r="H82" s="388" t="s">
        <v>6229</v>
      </c>
      <c r="I82" s="388" t="s">
        <v>781</v>
      </c>
      <c r="J82" s="388" t="s">
        <v>6229</v>
      </c>
      <c r="K82" s="388" t="s">
        <v>781</v>
      </c>
      <c r="L82" s="389">
        <v>1376.53</v>
      </c>
      <c r="M82" s="388" t="s">
        <v>4083</v>
      </c>
      <c r="N82" s="389">
        <v>439826.42748120002</v>
      </c>
      <c r="O82" s="388" t="s">
        <v>8774</v>
      </c>
    </row>
    <row r="83" spans="1:15" ht="38.25" customHeight="1" x14ac:dyDescent="0.4">
      <c r="A83" s="388" t="s">
        <v>2461</v>
      </c>
      <c r="B83" s="386" t="s">
        <v>5902</v>
      </c>
      <c r="C83" s="386" t="s">
        <v>2462</v>
      </c>
      <c r="D83" s="386" t="s">
        <v>1039</v>
      </c>
      <c r="E83" s="387" t="s">
        <v>4</v>
      </c>
      <c r="F83" s="388" t="s">
        <v>5284</v>
      </c>
      <c r="G83" s="388" t="s">
        <v>781</v>
      </c>
      <c r="H83" s="388" t="s">
        <v>6230</v>
      </c>
      <c r="I83" s="388" t="s">
        <v>781</v>
      </c>
      <c r="J83" s="388" t="s">
        <v>6231</v>
      </c>
      <c r="K83" s="388" t="s">
        <v>781</v>
      </c>
      <c r="L83" s="389">
        <v>1371.84</v>
      </c>
      <c r="M83" s="388" t="s">
        <v>4083</v>
      </c>
      <c r="N83" s="389">
        <v>441198.26748119999</v>
      </c>
      <c r="O83" s="388" t="s">
        <v>8775</v>
      </c>
    </row>
    <row r="84" spans="1:15" ht="26.4" x14ac:dyDescent="0.4">
      <c r="A84" s="388" t="s">
        <v>4050</v>
      </c>
      <c r="B84" s="386" t="s">
        <v>395</v>
      </c>
      <c r="C84" s="386" t="s">
        <v>4051</v>
      </c>
      <c r="D84" s="386" t="s">
        <v>1039</v>
      </c>
      <c r="E84" s="387" t="s">
        <v>4</v>
      </c>
      <c r="F84" s="388" t="s">
        <v>5284</v>
      </c>
      <c r="G84" s="388" t="s">
        <v>781</v>
      </c>
      <c r="H84" s="388" t="s">
        <v>6233</v>
      </c>
      <c r="I84" s="388" t="s">
        <v>781</v>
      </c>
      <c r="J84" s="388" t="s">
        <v>6234</v>
      </c>
      <c r="K84" s="388" t="s">
        <v>781</v>
      </c>
      <c r="L84" s="389">
        <v>1364.43</v>
      </c>
      <c r="M84" s="388" t="s">
        <v>4084</v>
      </c>
      <c r="N84" s="389">
        <v>442562.69748119998</v>
      </c>
      <c r="O84" s="388" t="s">
        <v>6228</v>
      </c>
    </row>
    <row r="85" spans="1:15" ht="25.5" customHeight="1" x14ac:dyDescent="0.4">
      <c r="A85" s="388" t="s">
        <v>4078</v>
      </c>
      <c r="B85" s="386" t="s">
        <v>395</v>
      </c>
      <c r="C85" s="386" t="s">
        <v>4079</v>
      </c>
      <c r="D85" s="386" t="s">
        <v>4030</v>
      </c>
      <c r="E85" s="387" t="s">
        <v>6</v>
      </c>
      <c r="F85" s="388" t="s">
        <v>8670</v>
      </c>
      <c r="G85" s="388" t="s">
        <v>781</v>
      </c>
      <c r="H85" s="388" t="s">
        <v>5721</v>
      </c>
      <c r="I85" s="388" t="s">
        <v>781</v>
      </c>
      <c r="J85" s="388" t="s">
        <v>8776</v>
      </c>
      <c r="K85" s="388" t="s">
        <v>781</v>
      </c>
      <c r="L85" s="389">
        <v>1307.6267338749999</v>
      </c>
      <c r="M85" s="388" t="s">
        <v>4087</v>
      </c>
      <c r="N85" s="389">
        <v>443870.32421509997</v>
      </c>
      <c r="O85" s="388" t="s">
        <v>8777</v>
      </c>
    </row>
    <row r="86" spans="1:15" ht="38.25" customHeight="1" x14ac:dyDescent="0.4">
      <c r="A86" s="388" t="s">
        <v>6235</v>
      </c>
      <c r="B86" s="386" t="s">
        <v>408</v>
      </c>
      <c r="C86" s="386" t="s">
        <v>6236</v>
      </c>
      <c r="D86" s="386" t="s">
        <v>1053</v>
      </c>
      <c r="E86" s="387" t="s">
        <v>6</v>
      </c>
      <c r="F86" s="388" t="s">
        <v>6237</v>
      </c>
      <c r="G86" s="388" t="s">
        <v>781</v>
      </c>
      <c r="H86" s="388" t="s">
        <v>6238</v>
      </c>
      <c r="I86" s="388" t="s">
        <v>781</v>
      </c>
      <c r="J86" s="388" t="s">
        <v>6239</v>
      </c>
      <c r="K86" s="388" t="s">
        <v>781</v>
      </c>
      <c r="L86" s="389">
        <v>1274.7010499999999</v>
      </c>
      <c r="M86" s="388" t="s">
        <v>4087</v>
      </c>
      <c r="N86" s="389">
        <v>445145.0252651</v>
      </c>
      <c r="O86" s="388" t="s">
        <v>8778</v>
      </c>
    </row>
    <row r="87" spans="1:15" x14ac:dyDescent="0.4">
      <c r="A87" s="388" t="s">
        <v>4069</v>
      </c>
      <c r="B87" s="386" t="s">
        <v>395</v>
      </c>
      <c r="C87" s="386" t="s">
        <v>4070</v>
      </c>
      <c r="D87" s="386" t="s">
        <v>1039</v>
      </c>
      <c r="E87" s="387" t="s">
        <v>4</v>
      </c>
      <c r="F87" s="388" t="s">
        <v>5299</v>
      </c>
      <c r="G87" s="388" t="s">
        <v>781</v>
      </c>
      <c r="H87" s="388" t="s">
        <v>6240</v>
      </c>
      <c r="I87" s="388" t="s">
        <v>781</v>
      </c>
      <c r="J87" s="388" t="s">
        <v>6241</v>
      </c>
      <c r="K87" s="388" t="s">
        <v>781</v>
      </c>
      <c r="L87" s="389">
        <v>1247.06</v>
      </c>
      <c r="M87" s="388" t="s">
        <v>4088</v>
      </c>
      <c r="N87" s="389">
        <v>446392.0852651</v>
      </c>
      <c r="O87" s="388" t="s">
        <v>8779</v>
      </c>
    </row>
    <row r="88" spans="1:15" x14ac:dyDescent="0.4">
      <c r="A88" s="388" t="s">
        <v>6290</v>
      </c>
      <c r="B88" s="386" t="s">
        <v>408</v>
      </c>
      <c r="C88" s="386" t="s">
        <v>6291</v>
      </c>
      <c r="D88" s="386" t="s">
        <v>1053</v>
      </c>
      <c r="E88" s="387" t="s">
        <v>6</v>
      </c>
      <c r="F88" s="388" t="s">
        <v>8780</v>
      </c>
      <c r="G88" s="388" t="s">
        <v>781</v>
      </c>
      <c r="H88" s="388" t="s">
        <v>6209</v>
      </c>
      <c r="I88" s="388" t="s">
        <v>781</v>
      </c>
      <c r="J88" s="388" t="s">
        <v>8781</v>
      </c>
      <c r="K88" s="388" t="s">
        <v>781</v>
      </c>
      <c r="L88" s="389">
        <v>1224.27477</v>
      </c>
      <c r="M88" s="388" t="s">
        <v>4088</v>
      </c>
      <c r="N88" s="389">
        <v>447616.36003510002</v>
      </c>
      <c r="O88" s="388" t="s">
        <v>8782</v>
      </c>
    </row>
    <row r="89" spans="1:15" ht="26.4" x14ac:dyDescent="0.4">
      <c r="A89" s="388" t="s">
        <v>3285</v>
      </c>
      <c r="B89" s="386" t="s">
        <v>408</v>
      </c>
      <c r="C89" s="386" t="s">
        <v>3286</v>
      </c>
      <c r="D89" s="386" t="s">
        <v>1039</v>
      </c>
      <c r="E89" s="387" t="s">
        <v>7</v>
      </c>
      <c r="F89" s="388" t="s">
        <v>5269</v>
      </c>
      <c r="G89" s="388" t="s">
        <v>781</v>
      </c>
      <c r="H89" s="388" t="s">
        <v>6242</v>
      </c>
      <c r="I89" s="388" t="s">
        <v>781</v>
      </c>
      <c r="J89" s="388" t="s">
        <v>6242</v>
      </c>
      <c r="K89" s="388" t="s">
        <v>781</v>
      </c>
      <c r="L89" s="389">
        <v>1217</v>
      </c>
      <c r="M89" s="388" t="s">
        <v>4088</v>
      </c>
      <c r="N89" s="389">
        <v>448833.36003510002</v>
      </c>
      <c r="O89" s="388" t="s">
        <v>8783</v>
      </c>
    </row>
    <row r="90" spans="1:15" ht="39.6" x14ac:dyDescent="0.4">
      <c r="A90" s="388" t="s">
        <v>4020</v>
      </c>
      <c r="B90" s="386" t="s">
        <v>395</v>
      </c>
      <c r="C90" s="386" t="s">
        <v>4021</v>
      </c>
      <c r="D90" s="386" t="s">
        <v>1039</v>
      </c>
      <c r="E90" s="387" t="s">
        <v>4</v>
      </c>
      <c r="F90" s="388" t="s">
        <v>8784</v>
      </c>
      <c r="G90" s="388" t="s">
        <v>781</v>
      </c>
      <c r="H90" s="388" t="s">
        <v>6122</v>
      </c>
      <c r="I90" s="388" t="s">
        <v>781</v>
      </c>
      <c r="J90" s="388" t="s">
        <v>8785</v>
      </c>
      <c r="K90" s="388" t="s">
        <v>781</v>
      </c>
      <c r="L90" s="389">
        <v>1172.7729019999999</v>
      </c>
      <c r="M90" s="388" t="s">
        <v>4089</v>
      </c>
      <c r="N90" s="389">
        <v>450006.13293710002</v>
      </c>
      <c r="O90" s="388" t="s">
        <v>8786</v>
      </c>
    </row>
    <row r="91" spans="1:15" x14ac:dyDescent="0.4">
      <c r="A91" s="388" t="s">
        <v>1439</v>
      </c>
      <c r="B91" s="386" t="s">
        <v>408</v>
      </c>
      <c r="C91" s="386" t="s">
        <v>1440</v>
      </c>
      <c r="D91" s="386" t="s">
        <v>1039</v>
      </c>
      <c r="E91" s="387" t="s">
        <v>7</v>
      </c>
      <c r="F91" s="388" t="s">
        <v>8787</v>
      </c>
      <c r="G91" s="388" t="s">
        <v>781</v>
      </c>
      <c r="H91" s="388" t="s">
        <v>5547</v>
      </c>
      <c r="I91" s="388" t="s">
        <v>781</v>
      </c>
      <c r="J91" s="388" t="s">
        <v>8788</v>
      </c>
      <c r="K91" s="388" t="s">
        <v>781</v>
      </c>
      <c r="L91" s="389">
        <v>1169.7631200000001</v>
      </c>
      <c r="M91" s="388" t="s">
        <v>4089</v>
      </c>
      <c r="N91" s="389">
        <v>451175.89605709998</v>
      </c>
      <c r="O91" s="388" t="s">
        <v>8789</v>
      </c>
    </row>
    <row r="92" spans="1:15" ht="38.25" customHeight="1" x14ac:dyDescent="0.4">
      <c r="A92" s="388" t="s">
        <v>3231</v>
      </c>
      <c r="B92" s="386" t="s">
        <v>575</v>
      </c>
      <c r="C92" s="386" t="s">
        <v>3232</v>
      </c>
      <c r="D92" s="386" t="s">
        <v>1323</v>
      </c>
      <c r="E92" s="387" t="s">
        <v>4</v>
      </c>
      <c r="F92" s="388" t="s">
        <v>5269</v>
      </c>
      <c r="G92" s="388" t="s">
        <v>781</v>
      </c>
      <c r="H92" s="388" t="s">
        <v>5301</v>
      </c>
      <c r="I92" s="388" t="s">
        <v>781</v>
      </c>
      <c r="J92" s="388" t="s">
        <v>5301</v>
      </c>
      <c r="K92" s="388" t="s">
        <v>781</v>
      </c>
      <c r="L92" s="389">
        <v>1163</v>
      </c>
      <c r="M92" s="388" t="s">
        <v>4089</v>
      </c>
      <c r="N92" s="389">
        <v>452338.89605709998</v>
      </c>
      <c r="O92" s="388" t="s">
        <v>8790</v>
      </c>
    </row>
    <row r="93" spans="1:15" x14ac:dyDescent="0.4">
      <c r="A93" s="388" t="s">
        <v>4085</v>
      </c>
      <c r="B93" s="386" t="s">
        <v>395</v>
      </c>
      <c r="C93" s="386" t="s">
        <v>4086</v>
      </c>
      <c r="D93" s="386" t="s">
        <v>1039</v>
      </c>
      <c r="E93" s="387" t="s">
        <v>4</v>
      </c>
      <c r="F93" s="388" t="s">
        <v>5269</v>
      </c>
      <c r="G93" s="388" t="s">
        <v>781</v>
      </c>
      <c r="H93" s="388" t="s">
        <v>6244</v>
      </c>
      <c r="I93" s="388" t="s">
        <v>781</v>
      </c>
      <c r="J93" s="388" t="s">
        <v>6244</v>
      </c>
      <c r="K93" s="388" t="s">
        <v>781</v>
      </c>
      <c r="L93" s="389">
        <v>1149.42</v>
      </c>
      <c r="M93" s="388" t="s">
        <v>4089</v>
      </c>
      <c r="N93" s="389">
        <v>453488.31605710002</v>
      </c>
      <c r="O93" s="388" t="s">
        <v>8791</v>
      </c>
    </row>
    <row r="94" spans="1:15" x14ac:dyDescent="0.4">
      <c r="A94" s="388" t="s">
        <v>1603</v>
      </c>
      <c r="B94" s="386" t="s">
        <v>408</v>
      </c>
      <c r="C94" s="386" t="s">
        <v>1604</v>
      </c>
      <c r="D94" s="386" t="s">
        <v>1039</v>
      </c>
      <c r="E94" s="387" t="s">
        <v>4</v>
      </c>
      <c r="F94" s="388" t="s">
        <v>5269</v>
      </c>
      <c r="G94" s="388" t="s">
        <v>781</v>
      </c>
      <c r="H94" s="388" t="s">
        <v>6245</v>
      </c>
      <c r="I94" s="388" t="s">
        <v>781</v>
      </c>
      <c r="J94" s="388" t="s">
        <v>6245</v>
      </c>
      <c r="K94" s="388" t="s">
        <v>781</v>
      </c>
      <c r="L94" s="389">
        <v>1125.96</v>
      </c>
      <c r="M94" s="388" t="s">
        <v>4090</v>
      </c>
      <c r="N94" s="389">
        <v>454614.27605709998</v>
      </c>
      <c r="O94" s="388" t="s">
        <v>8792</v>
      </c>
    </row>
    <row r="95" spans="1:15" ht="39.6" x14ac:dyDescent="0.4">
      <c r="A95" s="388" t="s">
        <v>1150</v>
      </c>
      <c r="B95" s="386" t="s">
        <v>408</v>
      </c>
      <c r="C95" s="386" t="s">
        <v>1151</v>
      </c>
      <c r="D95" s="386" t="s">
        <v>1039</v>
      </c>
      <c r="E95" s="387" t="s">
        <v>4</v>
      </c>
      <c r="F95" s="388" t="s">
        <v>5269</v>
      </c>
      <c r="G95" s="388" t="s">
        <v>781</v>
      </c>
      <c r="H95" s="388" t="s">
        <v>6246</v>
      </c>
      <c r="I95" s="388" t="s">
        <v>781</v>
      </c>
      <c r="J95" s="388" t="s">
        <v>6246</v>
      </c>
      <c r="K95" s="388" t="s">
        <v>781</v>
      </c>
      <c r="L95" s="389">
        <v>1125</v>
      </c>
      <c r="M95" s="388" t="s">
        <v>4090</v>
      </c>
      <c r="N95" s="389">
        <v>455739.27605709998</v>
      </c>
      <c r="O95" s="388" t="s">
        <v>8793</v>
      </c>
    </row>
    <row r="96" spans="1:15" x14ac:dyDescent="0.4">
      <c r="A96" s="388" t="s">
        <v>2586</v>
      </c>
      <c r="B96" s="386" t="s">
        <v>575</v>
      </c>
      <c r="C96" s="386" t="s">
        <v>2090</v>
      </c>
      <c r="D96" s="386" t="s">
        <v>1039</v>
      </c>
      <c r="E96" s="387" t="s">
        <v>422</v>
      </c>
      <c r="F96" s="388" t="s">
        <v>5269</v>
      </c>
      <c r="G96" s="388" t="s">
        <v>781</v>
      </c>
      <c r="H96" s="388" t="s">
        <v>5302</v>
      </c>
      <c r="I96" s="388" t="s">
        <v>781</v>
      </c>
      <c r="J96" s="388" t="s">
        <v>5302</v>
      </c>
      <c r="K96" s="388" t="s">
        <v>781</v>
      </c>
      <c r="L96" s="389">
        <v>1098.5</v>
      </c>
      <c r="M96" s="388" t="s">
        <v>4090</v>
      </c>
      <c r="N96" s="389">
        <v>456837.77605709998</v>
      </c>
      <c r="O96" s="388" t="s">
        <v>8794</v>
      </c>
    </row>
    <row r="97" spans="1:15" ht="26.4" x14ac:dyDescent="0.4">
      <c r="A97" s="388" t="s">
        <v>4152</v>
      </c>
      <c r="B97" s="386" t="s">
        <v>395</v>
      </c>
      <c r="C97" s="386" t="s">
        <v>4153</v>
      </c>
      <c r="D97" s="386" t="s">
        <v>1039</v>
      </c>
      <c r="E97" s="387" t="s">
        <v>4</v>
      </c>
      <c r="F97" s="388" t="s">
        <v>5269</v>
      </c>
      <c r="G97" s="388" t="s">
        <v>781</v>
      </c>
      <c r="H97" s="388" t="s">
        <v>6247</v>
      </c>
      <c r="I97" s="388" t="s">
        <v>781</v>
      </c>
      <c r="J97" s="388" t="s">
        <v>6247</v>
      </c>
      <c r="K97" s="388" t="s">
        <v>781</v>
      </c>
      <c r="L97" s="389">
        <v>1093.1300000000001</v>
      </c>
      <c r="M97" s="388" t="s">
        <v>4090</v>
      </c>
      <c r="N97" s="389">
        <v>457930.90605709999</v>
      </c>
      <c r="O97" s="388" t="s">
        <v>8795</v>
      </c>
    </row>
    <row r="98" spans="1:15" x14ac:dyDescent="0.4">
      <c r="A98" s="388" t="s">
        <v>3208</v>
      </c>
      <c r="B98" s="386" t="s">
        <v>408</v>
      </c>
      <c r="C98" s="386" t="s">
        <v>3209</v>
      </c>
      <c r="D98" s="386" t="s">
        <v>1039</v>
      </c>
      <c r="E98" s="387" t="s">
        <v>675</v>
      </c>
      <c r="F98" s="388" t="s">
        <v>5273</v>
      </c>
      <c r="G98" s="388" t="s">
        <v>781</v>
      </c>
      <c r="H98" s="388" t="s">
        <v>6248</v>
      </c>
      <c r="I98" s="388" t="s">
        <v>781</v>
      </c>
      <c r="J98" s="388" t="s">
        <v>6249</v>
      </c>
      <c r="K98" s="388" t="s">
        <v>781</v>
      </c>
      <c r="L98" s="389">
        <v>1090</v>
      </c>
      <c r="M98" s="388" t="s">
        <v>4090</v>
      </c>
      <c r="N98" s="389">
        <v>459020.90605709999</v>
      </c>
      <c r="O98" s="388" t="s">
        <v>8796</v>
      </c>
    </row>
    <row r="99" spans="1:15" x14ac:dyDescent="0.4">
      <c r="A99" s="388" t="s">
        <v>4132</v>
      </c>
      <c r="B99" s="386" t="s">
        <v>395</v>
      </c>
      <c r="C99" s="386" t="s">
        <v>4133</v>
      </c>
      <c r="D99" s="386" t="s">
        <v>1039</v>
      </c>
      <c r="E99" s="387" t="s">
        <v>675</v>
      </c>
      <c r="F99" s="388" t="s">
        <v>8797</v>
      </c>
      <c r="G99" s="388" t="s">
        <v>781</v>
      </c>
      <c r="H99" s="388" t="s">
        <v>6330</v>
      </c>
      <c r="I99" s="388" t="s">
        <v>781</v>
      </c>
      <c r="J99" s="388" t="s">
        <v>8798</v>
      </c>
      <c r="K99" s="388" t="s">
        <v>781</v>
      </c>
      <c r="L99" s="389">
        <v>1083.17328</v>
      </c>
      <c r="M99" s="388" t="s">
        <v>4090</v>
      </c>
      <c r="N99" s="389">
        <v>460104.07933709997</v>
      </c>
      <c r="O99" s="388" t="s">
        <v>8799</v>
      </c>
    </row>
    <row r="100" spans="1:15" ht="26.4" x14ac:dyDescent="0.4">
      <c r="A100" s="388" t="s">
        <v>6251</v>
      </c>
      <c r="B100" s="386" t="s">
        <v>420</v>
      </c>
      <c r="C100" s="386" t="s">
        <v>6252</v>
      </c>
      <c r="D100" s="386" t="s">
        <v>1053</v>
      </c>
      <c r="E100" s="387" t="s">
        <v>1070</v>
      </c>
      <c r="F100" s="388" t="s">
        <v>6253</v>
      </c>
      <c r="G100" s="388" t="s">
        <v>781</v>
      </c>
      <c r="H100" s="388" t="s">
        <v>6254</v>
      </c>
      <c r="I100" s="388" t="s">
        <v>781</v>
      </c>
      <c r="J100" s="388" t="s">
        <v>6255</v>
      </c>
      <c r="K100" s="388" t="s">
        <v>781</v>
      </c>
      <c r="L100" s="389">
        <v>1066.4307291059999</v>
      </c>
      <c r="M100" s="388" t="s">
        <v>4093</v>
      </c>
      <c r="N100" s="389">
        <v>461170.51006619999</v>
      </c>
      <c r="O100" s="388" t="s">
        <v>8800</v>
      </c>
    </row>
    <row r="101" spans="1:15" x14ac:dyDescent="0.4">
      <c r="A101" s="388" t="s">
        <v>3080</v>
      </c>
      <c r="B101" s="386" t="s">
        <v>408</v>
      </c>
      <c r="C101" s="386" t="s">
        <v>3081</v>
      </c>
      <c r="D101" s="386" t="s">
        <v>1039</v>
      </c>
      <c r="E101" s="387" t="s">
        <v>4</v>
      </c>
      <c r="F101" s="388" t="s">
        <v>5269</v>
      </c>
      <c r="G101" s="388" t="s">
        <v>781</v>
      </c>
      <c r="H101" s="388" t="s">
        <v>6256</v>
      </c>
      <c r="I101" s="388" t="s">
        <v>781</v>
      </c>
      <c r="J101" s="388" t="s">
        <v>6256</v>
      </c>
      <c r="K101" s="388" t="s">
        <v>781</v>
      </c>
      <c r="L101" s="389">
        <v>1053.26</v>
      </c>
      <c r="M101" s="388" t="s">
        <v>4093</v>
      </c>
      <c r="N101" s="389">
        <v>462223.7700662</v>
      </c>
      <c r="O101" s="388" t="s">
        <v>8801</v>
      </c>
    </row>
    <row r="102" spans="1:15" ht="38.25" customHeight="1" x14ac:dyDescent="0.4">
      <c r="A102" s="388" t="s">
        <v>2384</v>
      </c>
      <c r="B102" s="386" t="s">
        <v>575</v>
      </c>
      <c r="C102" s="386" t="s">
        <v>2385</v>
      </c>
      <c r="D102" s="386" t="s">
        <v>2386</v>
      </c>
      <c r="E102" s="387" t="s">
        <v>422</v>
      </c>
      <c r="F102" s="388" t="s">
        <v>5269</v>
      </c>
      <c r="G102" s="388" t="s">
        <v>781</v>
      </c>
      <c r="H102" s="388" t="s">
        <v>5303</v>
      </c>
      <c r="I102" s="388" t="s">
        <v>781</v>
      </c>
      <c r="J102" s="388" t="s">
        <v>5303</v>
      </c>
      <c r="K102" s="388" t="s">
        <v>781</v>
      </c>
      <c r="L102" s="389">
        <v>1037.5</v>
      </c>
      <c r="M102" s="388" t="s">
        <v>4093</v>
      </c>
      <c r="N102" s="389">
        <v>463261.2700662</v>
      </c>
      <c r="O102" s="388" t="s">
        <v>8802</v>
      </c>
    </row>
    <row r="103" spans="1:15" x14ac:dyDescent="0.4">
      <c r="A103" s="388" t="s">
        <v>1312</v>
      </c>
      <c r="B103" s="386" t="s">
        <v>575</v>
      </c>
      <c r="C103" s="386" t="s">
        <v>1313</v>
      </c>
      <c r="D103" s="386" t="s">
        <v>1039</v>
      </c>
      <c r="E103" s="387" t="s">
        <v>422</v>
      </c>
      <c r="F103" s="388" t="s">
        <v>5269</v>
      </c>
      <c r="G103" s="388" t="s">
        <v>781</v>
      </c>
      <c r="H103" s="388" t="s">
        <v>8803</v>
      </c>
      <c r="I103" s="388" t="s">
        <v>781</v>
      </c>
      <c r="J103" s="388" t="s">
        <v>8803</v>
      </c>
      <c r="K103" s="388" t="s">
        <v>781</v>
      </c>
      <c r="L103" s="389">
        <v>1029</v>
      </c>
      <c r="M103" s="388" t="s">
        <v>4093</v>
      </c>
      <c r="N103" s="389">
        <v>464290.2700662</v>
      </c>
      <c r="O103" s="388" t="s">
        <v>8804</v>
      </c>
    </row>
    <row r="104" spans="1:15" x14ac:dyDescent="0.4">
      <c r="A104" s="392" t="s">
        <v>3279</v>
      </c>
      <c r="B104" s="390" t="s">
        <v>420</v>
      </c>
      <c r="C104" s="390" t="s">
        <v>3280</v>
      </c>
      <c r="D104" s="390" t="s">
        <v>1039</v>
      </c>
      <c r="E104" s="391" t="s">
        <v>422</v>
      </c>
      <c r="F104" s="392" t="s">
        <v>5269</v>
      </c>
      <c r="G104" s="392" t="s">
        <v>781</v>
      </c>
      <c r="H104" s="392" t="s">
        <v>6257</v>
      </c>
      <c r="I104" s="392" t="s">
        <v>781</v>
      </c>
      <c r="J104" s="392" t="s">
        <v>6257</v>
      </c>
      <c r="K104" s="392" t="s">
        <v>781</v>
      </c>
      <c r="L104" s="393">
        <v>999.9</v>
      </c>
      <c r="M104" s="392" t="s">
        <v>4096</v>
      </c>
      <c r="N104" s="393">
        <v>465290.17006620002</v>
      </c>
      <c r="O104" s="392" t="s">
        <v>8805</v>
      </c>
    </row>
    <row r="105" spans="1:15" ht="25.5" customHeight="1" x14ac:dyDescent="0.4">
      <c r="A105" s="392" t="s">
        <v>6285</v>
      </c>
      <c r="B105" s="390" t="s">
        <v>408</v>
      </c>
      <c r="C105" s="390" t="s">
        <v>1566</v>
      </c>
      <c r="D105" s="390" t="s">
        <v>1053</v>
      </c>
      <c r="E105" s="391" t="s">
        <v>6</v>
      </c>
      <c r="F105" s="392" t="s">
        <v>8806</v>
      </c>
      <c r="G105" s="392" t="s">
        <v>781</v>
      </c>
      <c r="H105" s="392" t="s">
        <v>5329</v>
      </c>
      <c r="I105" s="392" t="s">
        <v>781</v>
      </c>
      <c r="J105" s="392" t="s">
        <v>8807</v>
      </c>
      <c r="K105" s="392" t="s">
        <v>781</v>
      </c>
      <c r="L105" s="393">
        <v>998.94771000000003</v>
      </c>
      <c r="M105" s="392" t="s">
        <v>4096</v>
      </c>
      <c r="N105" s="393">
        <v>466289.1177762</v>
      </c>
      <c r="O105" s="392" t="s">
        <v>8808</v>
      </c>
    </row>
    <row r="106" spans="1:15" ht="39.6" x14ac:dyDescent="0.4">
      <c r="A106" s="392" t="s">
        <v>2394</v>
      </c>
      <c r="B106" s="390" t="s">
        <v>5902</v>
      </c>
      <c r="C106" s="390" t="s">
        <v>2395</v>
      </c>
      <c r="D106" s="390" t="s">
        <v>1039</v>
      </c>
      <c r="E106" s="391" t="s">
        <v>853</v>
      </c>
      <c r="F106" s="392" t="s">
        <v>5269</v>
      </c>
      <c r="G106" s="392" t="s">
        <v>781</v>
      </c>
      <c r="H106" s="392" t="s">
        <v>6258</v>
      </c>
      <c r="I106" s="392" t="s">
        <v>781</v>
      </c>
      <c r="J106" s="392" t="s">
        <v>6258</v>
      </c>
      <c r="K106" s="392" t="s">
        <v>781</v>
      </c>
      <c r="L106" s="393">
        <v>986.51</v>
      </c>
      <c r="M106" s="392" t="s">
        <v>4096</v>
      </c>
      <c r="N106" s="393">
        <v>467275.62777620001</v>
      </c>
      <c r="O106" s="392" t="s">
        <v>8809</v>
      </c>
    </row>
    <row r="107" spans="1:15" x14ac:dyDescent="0.4">
      <c r="A107" s="392" t="s">
        <v>2379</v>
      </c>
      <c r="B107" s="390" t="s">
        <v>575</v>
      </c>
      <c r="C107" s="390" t="s">
        <v>2380</v>
      </c>
      <c r="D107" s="390" t="s">
        <v>2381</v>
      </c>
      <c r="E107" s="391" t="s">
        <v>422</v>
      </c>
      <c r="F107" s="392" t="s">
        <v>5269</v>
      </c>
      <c r="G107" s="392" t="s">
        <v>781</v>
      </c>
      <c r="H107" s="392" t="s">
        <v>8810</v>
      </c>
      <c r="I107" s="392" t="s">
        <v>781</v>
      </c>
      <c r="J107" s="392" t="s">
        <v>8810</v>
      </c>
      <c r="K107" s="392" t="s">
        <v>781</v>
      </c>
      <c r="L107" s="393">
        <v>980</v>
      </c>
      <c r="M107" s="392" t="s">
        <v>4096</v>
      </c>
      <c r="N107" s="393">
        <v>468255.62777620001</v>
      </c>
      <c r="O107" s="392" t="s">
        <v>8811</v>
      </c>
    </row>
    <row r="108" spans="1:15" x14ac:dyDescent="0.4">
      <c r="A108" s="392" t="s">
        <v>1437</v>
      </c>
      <c r="B108" s="390" t="s">
        <v>408</v>
      </c>
      <c r="C108" s="390" t="s">
        <v>1438</v>
      </c>
      <c r="D108" s="390" t="s">
        <v>1039</v>
      </c>
      <c r="E108" s="391" t="s">
        <v>4</v>
      </c>
      <c r="F108" s="392" t="s">
        <v>5305</v>
      </c>
      <c r="G108" s="392" t="s">
        <v>781</v>
      </c>
      <c r="H108" s="392" t="s">
        <v>6286</v>
      </c>
      <c r="I108" s="392" t="s">
        <v>781</v>
      </c>
      <c r="J108" s="392" t="s">
        <v>8812</v>
      </c>
      <c r="K108" s="392" t="s">
        <v>781</v>
      </c>
      <c r="L108" s="393">
        <v>959.6</v>
      </c>
      <c r="M108" s="392" t="s">
        <v>4096</v>
      </c>
      <c r="N108" s="393">
        <v>469215.22777619999</v>
      </c>
      <c r="O108" s="392" t="s">
        <v>8813</v>
      </c>
    </row>
    <row r="109" spans="1:15" ht="26.4" x14ac:dyDescent="0.4">
      <c r="A109" s="392" t="s">
        <v>1054</v>
      </c>
      <c r="B109" s="390" t="s">
        <v>5902</v>
      </c>
      <c r="C109" s="390" t="s">
        <v>1055</v>
      </c>
      <c r="D109" s="390" t="s">
        <v>1053</v>
      </c>
      <c r="E109" s="391" t="s">
        <v>6</v>
      </c>
      <c r="F109" s="392" t="s">
        <v>5308</v>
      </c>
      <c r="G109" s="392" t="s">
        <v>781</v>
      </c>
      <c r="H109" s="392" t="s">
        <v>6194</v>
      </c>
      <c r="I109" s="392" t="s">
        <v>781</v>
      </c>
      <c r="J109" s="392" t="s">
        <v>6260</v>
      </c>
      <c r="K109" s="392" t="s">
        <v>781</v>
      </c>
      <c r="L109" s="393">
        <v>947.91539999999998</v>
      </c>
      <c r="M109" s="392" t="s">
        <v>4103</v>
      </c>
      <c r="N109" s="393">
        <v>470163.14317619998</v>
      </c>
      <c r="O109" s="392" t="s">
        <v>8814</v>
      </c>
    </row>
    <row r="110" spans="1:15" ht="25.5" customHeight="1" x14ac:dyDescent="0.4">
      <c r="A110" s="392" t="s">
        <v>6261</v>
      </c>
      <c r="B110" s="390" t="s">
        <v>439</v>
      </c>
      <c r="C110" s="390" t="s">
        <v>3096</v>
      </c>
      <c r="D110" s="390" t="s">
        <v>1039</v>
      </c>
      <c r="E110" s="391" t="s">
        <v>422</v>
      </c>
      <c r="F110" s="392" t="s">
        <v>5269</v>
      </c>
      <c r="G110" s="392" t="s">
        <v>781</v>
      </c>
      <c r="H110" s="392" t="s">
        <v>6262</v>
      </c>
      <c r="I110" s="392" t="s">
        <v>781</v>
      </c>
      <c r="J110" s="392" t="s">
        <v>6262</v>
      </c>
      <c r="K110" s="392" t="s">
        <v>781</v>
      </c>
      <c r="L110" s="393">
        <v>934.47</v>
      </c>
      <c r="M110" s="392" t="s">
        <v>4103</v>
      </c>
      <c r="N110" s="393">
        <v>471097.61317620002</v>
      </c>
      <c r="O110" s="392" t="s">
        <v>8815</v>
      </c>
    </row>
    <row r="111" spans="1:15" ht="26.4" x14ac:dyDescent="0.4">
      <c r="A111" s="392" t="s">
        <v>8816</v>
      </c>
      <c r="B111" s="390" t="s">
        <v>5902</v>
      </c>
      <c r="C111" s="390" t="s">
        <v>8817</v>
      </c>
      <c r="D111" s="390" t="s">
        <v>1039</v>
      </c>
      <c r="E111" s="391" t="s">
        <v>3</v>
      </c>
      <c r="F111" s="392" t="s">
        <v>8818</v>
      </c>
      <c r="G111" s="392" t="s">
        <v>781</v>
      </c>
      <c r="H111" s="392" t="s">
        <v>8819</v>
      </c>
      <c r="I111" s="392" t="s">
        <v>781</v>
      </c>
      <c r="J111" s="392" t="s">
        <v>8820</v>
      </c>
      <c r="K111" s="392" t="s">
        <v>781</v>
      </c>
      <c r="L111" s="393">
        <v>925.91200000000003</v>
      </c>
      <c r="M111" s="392" t="s">
        <v>4103</v>
      </c>
      <c r="N111" s="393">
        <v>472023.52517620003</v>
      </c>
      <c r="O111" s="392" t="s">
        <v>8821</v>
      </c>
    </row>
    <row r="112" spans="1:15" ht="26.4" x14ac:dyDescent="0.4">
      <c r="A112" s="392" t="s">
        <v>6263</v>
      </c>
      <c r="B112" s="390" t="s">
        <v>5902</v>
      </c>
      <c r="C112" s="390" t="s">
        <v>6264</v>
      </c>
      <c r="D112" s="390" t="s">
        <v>1039</v>
      </c>
      <c r="E112" s="391" t="s">
        <v>11</v>
      </c>
      <c r="F112" s="392" t="s">
        <v>5269</v>
      </c>
      <c r="G112" s="392" t="s">
        <v>781</v>
      </c>
      <c r="H112" s="392" t="s">
        <v>6265</v>
      </c>
      <c r="I112" s="392" t="s">
        <v>781</v>
      </c>
      <c r="J112" s="392" t="s">
        <v>6265</v>
      </c>
      <c r="K112" s="392" t="s">
        <v>781</v>
      </c>
      <c r="L112" s="393">
        <v>922.99</v>
      </c>
      <c r="M112" s="392" t="s">
        <v>4103</v>
      </c>
      <c r="N112" s="393">
        <v>472946.51517620002</v>
      </c>
      <c r="O112" s="392" t="s">
        <v>6259</v>
      </c>
    </row>
    <row r="113" spans="1:15" x14ac:dyDescent="0.4">
      <c r="A113" s="392" t="s">
        <v>3229</v>
      </c>
      <c r="B113" s="390" t="s">
        <v>575</v>
      </c>
      <c r="C113" s="390" t="s">
        <v>3230</v>
      </c>
      <c r="D113" s="390" t="s">
        <v>1323</v>
      </c>
      <c r="E113" s="391" t="s">
        <v>4</v>
      </c>
      <c r="F113" s="392" t="s">
        <v>5305</v>
      </c>
      <c r="G113" s="392" t="s">
        <v>781</v>
      </c>
      <c r="H113" s="392" t="s">
        <v>8822</v>
      </c>
      <c r="I113" s="392" t="s">
        <v>781</v>
      </c>
      <c r="J113" s="392" t="s">
        <v>8823</v>
      </c>
      <c r="K113" s="392" t="s">
        <v>781</v>
      </c>
      <c r="L113" s="393">
        <v>911.24</v>
      </c>
      <c r="M113" s="392" t="s">
        <v>4103</v>
      </c>
      <c r="N113" s="393">
        <v>473857.75517620001</v>
      </c>
      <c r="O113" s="392" t="s">
        <v>8824</v>
      </c>
    </row>
    <row r="114" spans="1:15" ht="26.4" x14ac:dyDescent="0.4">
      <c r="A114" s="392" t="s">
        <v>1637</v>
      </c>
      <c r="B114" s="390" t="s">
        <v>5902</v>
      </c>
      <c r="C114" s="390" t="s">
        <v>1638</v>
      </c>
      <c r="D114" s="390" t="s">
        <v>1039</v>
      </c>
      <c r="E114" s="391" t="s">
        <v>853</v>
      </c>
      <c r="F114" s="392" t="s">
        <v>5269</v>
      </c>
      <c r="G114" s="392" t="s">
        <v>781</v>
      </c>
      <c r="H114" s="392" t="s">
        <v>6266</v>
      </c>
      <c r="I114" s="392" t="s">
        <v>781</v>
      </c>
      <c r="J114" s="392" t="s">
        <v>6266</v>
      </c>
      <c r="K114" s="392" t="s">
        <v>781</v>
      </c>
      <c r="L114" s="393">
        <v>906.77</v>
      </c>
      <c r="M114" s="392" t="s">
        <v>4103</v>
      </c>
      <c r="N114" s="393">
        <v>474764.52517620003</v>
      </c>
      <c r="O114" s="392" t="s">
        <v>8825</v>
      </c>
    </row>
    <row r="115" spans="1:15" x14ac:dyDescent="0.4">
      <c r="A115" s="392" t="s">
        <v>2312</v>
      </c>
      <c r="B115" s="390" t="s">
        <v>575</v>
      </c>
      <c r="C115" s="390" t="s">
        <v>1705</v>
      </c>
      <c r="D115" s="390" t="s">
        <v>1039</v>
      </c>
      <c r="E115" s="391" t="s">
        <v>422</v>
      </c>
      <c r="F115" s="392" t="s">
        <v>5269</v>
      </c>
      <c r="G115" s="392" t="s">
        <v>781</v>
      </c>
      <c r="H115" s="392" t="s">
        <v>8826</v>
      </c>
      <c r="I115" s="392" t="s">
        <v>781</v>
      </c>
      <c r="J115" s="392" t="s">
        <v>8826</v>
      </c>
      <c r="K115" s="392" t="s">
        <v>781</v>
      </c>
      <c r="L115" s="393">
        <v>895</v>
      </c>
      <c r="M115" s="392" t="s">
        <v>4104</v>
      </c>
      <c r="N115" s="393">
        <v>475659.52517620003</v>
      </c>
      <c r="O115" s="392" t="s">
        <v>8827</v>
      </c>
    </row>
    <row r="116" spans="1:15" x14ac:dyDescent="0.4">
      <c r="A116" s="392" t="s">
        <v>1404</v>
      </c>
      <c r="B116" s="390" t="s">
        <v>408</v>
      </c>
      <c r="C116" s="390" t="s">
        <v>1405</v>
      </c>
      <c r="D116" s="390" t="s">
        <v>1039</v>
      </c>
      <c r="E116" s="391" t="s">
        <v>7</v>
      </c>
      <c r="F116" s="392" t="s">
        <v>5281</v>
      </c>
      <c r="G116" s="392" t="s">
        <v>781</v>
      </c>
      <c r="H116" s="392" t="s">
        <v>6267</v>
      </c>
      <c r="I116" s="392" t="s">
        <v>781</v>
      </c>
      <c r="J116" s="392" t="s">
        <v>6268</v>
      </c>
      <c r="K116" s="392" t="s">
        <v>781</v>
      </c>
      <c r="L116" s="393">
        <v>879.35249999999996</v>
      </c>
      <c r="M116" s="392" t="s">
        <v>4104</v>
      </c>
      <c r="N116" s="393">
        <v>476538.87767620001</v>
      </c>
      <c r="O116" s="392" t="s">
        <v>8828</v>
      </c>
    </row>
    <row r="117" spans="1:15" ht="38.25" customHeight="1" x14ac:dyDescent="0.4">
      <c r="A117" s="392" t="s">
        <v>3210</v>
      </c>
      <c r="B117" s="390" t="s">
        <v>408</v>
      </c>
      <c r="C117" s="390" t="s">
        <v>3211</v>
      </c>
      <c r="D117" s="390" t="s">
        <v>1039</v>
      </c>
      <c r="E117" s="391" t="s">
        <v>675</v>
      </c>
      <c r="F117" s="392" t="s">
        <v>5284</v>
      </c>
      <c r="G117" s="392" t="s">
        <v>781</v>
      </c>
      <c r="H117" s="392" t="s">
        <v>6269</v>
      </c>
      <c r="I117" s="392" t="s">
        <v>781</v>
      </c>
      <c r="J117" s="392" t="s">
        <v>6270</v>
      </c>
      <c r="K117" s="392" t="s">
        <v>781</v>
      </c>
      <c r="L117" s="393">
        <v>862.5</v>
      </c>
      <c r="M117" s="392" t="s">
        <v>4104</v>
      </c>
      <c r="N117" s="393">
        <v>477401.37767620001</v>
      </c>
      <c r="O117" s="392" t="s">
        <v>8829</v>
      </c>
    </row>
    <row r="118" spans="1:15" ht="26.4" x14ac:dyDescent="0.4">
      <c r="A118" s="392" t="s">
        <v>1475</v>
      </c>
      <c r="B118" s="390" t="s">
        <v>5902</v>
      </c>
      <c r="C118" s="390" t="s">
        <v>1476</v>
      </c>
      <c r="D118" s="390" t="s">
        <v>1039</v>
      </c>
      <c r="E118" s="391" t="s">
        <v>675</v>
      </c>
      <c r="F118" s="392" t="s">
        <v>5269</v>
      </c>
      <c r="G118" s="392" t="s">
        <v>781</v>
      </c>
      <c r="H118" s="392" t="s">
        <v>6271</v>
      </c>
      <c r="I118" s="392" t="s">
        <v>781</v>
      </c>
      <c r="J118" s="392" t="s">
        <v>6271</v>
      </c>
      <c r="K118" s="392" t="s">
        <v>781</v>
      </c>
      <c r="L118" s="393">
        <v>858.82</v>
      </c>
      <c r="M118" s="392" t="s">
        <v>4104</v>
      </c>
      <c r="N118" s="393">
        <v>478260.19767620001</v>
      </c>
      <c r="O118" s="392" t="s">
        <v>8830</v>
      </c>
    </row>
    <row r="119" spans="1:15" ht="25.5" customHeight="1" x14ac:dyDescent="0.4">
      <c r="A119" s="392" t="s">
        <v>2574</v>
      </c>
      <c r="B119" s="390" t="s">
        <v>395</v>
      </c>
      <c r="C119" s="390" t="s">
        <v>252</v>
      </c>
      <c r="D119" s="390" t="s">
        <v>1039</v>
      </c>
      <c r="E119" s="391" t="s">
        <v>713</v>
      </c>
      <c r="F119" s="392" t="s">
        <v>6272</v>
      </c>
      <c r="G119" s="392" t="s">
        <v>781</v>
      </c>
      <c r="H119" s="392" t="s">
        <v>6273</v>
      </c>
      <c r="I119" s="392" t="s">
        <v>781</v>
      </c>
      <c r="J119" s="392" t="s">
        <v>6274</v>
      </c>
      <c r="K119" s="392" t="s">
        <v>781</v>
      </c>
      <c r="L119" s="393">
        <v>858.33500000000004</v>
      </c>
      <c r="M119" s="392" t="s">
        <v>4104</v>
      </c>
      <c r="N119" s="393">
        <v>479118.53267619997</v>
      </c>
      <c r="O119" s="392" t="s">
        <v>8831</v>
      </c>
    </row>
    <row r="120" spans="1:15" ht="38.25" customHeight="1" x14ac:dyDescent="0.4">
      <c r="A120" s="392" t="s">
        <v>1401</v>
      </c>
      <c r="B120" s="390" t="s">
        <v>5902</v>
      </c>
      <c r="C120" s="390" t="s">
        <v>1402</v>
      </c>
      <c r="D120" s="390" t="s">
        <v>1039</v>
      </c>
      <c r="E120" s="391" t="s">
        <v>675</v>
      </c>
      <c r="F120" s="392" t="s">
        <v>5269</v>
      </c>
      <c r="G120" s="392" t="s">
        <v>781</v>
      </c>
      <c r="H120" s="392" t="s">
        <v>6275</v>
      </c>
      <c r="I120" s="392" t="s">
        <v>781</v>
      </c>
      <c r="J120" s="392" t="s">
        <v>6275</v>
      </c>
      <c r="K120" s="392" t="s">
        <v>781</v>
      </c>
      <c r="L120" s="393">
        <v>839.86</v>
      </c>
      <c r="M120" s="392" t="s">
        <v>4105</v>
      </c>
      <c r="N120" s="393">
        <v>479958.39267620002</v>
      </c>
      <c r="O120" s="392" t="s">
        <v>8832</v>
      </c>
    </row>
    <row r="121" spans="1:15" x14ac:dyDescent="0.4">
      <c r="A121" s="392" t="s">
        <v>2536</v>
      </c>
      <c r="B121" s="390" t="s">
        <v>575</v>
      </c>
      <c r="C121" s="390" t="s">
        <v>2537</v>
      </c>
      <c r="D121" s="390" t="s">
        <v>1039</v>
      </c>
      <c r="E121" s="391" t="s">
        <v>4</v>
      </c>
      <c r="F121" s="392" t="s">
        <v>5269</v>
      </c>
      <c r="G121" s="392" t="s">
        <v>781</v>
      </c>
      <c r="H121" s="392" t="s">
        <v>8833</v>
      </c>
      <c r="I121" s="392" t="s">
        <v>781</v>
      </c>
      <c r="J121" s="392" t="s">
        <v>8833</v>
      </c>
      <c r="K121" s="392" t="s">
        <v>781</v>
      </c>
      <c r="L121" s="393">
        <v>795.6</v>
      </c>
      <c r="M121" s="392" t="s">
        <v>4105</v>
      </c>
      <c r="N121" s="393">
        <v>480753.9926762</v>
      </c>
      <c r="O121" s="392" t="s">
        <v>8834</v>
      </c>
    </row>
    <row r="122" spans="1:15" ht="26.4" x14ac:dyDescent="0.4">
      <c r="A122" s="392" t="s">
        <v>4166</v>
      </c>
      <c r="B122" s="390" t="s">
        <v>395</v>
      </c>
      <c r="C122" s="390" t="s">
        <v>4167</v>
      </c>
      <c r="D122" s="390" t="s">
        <v>1039</v>
      </c>
      <c r="E122" s="391" t="s">
        <v>4</v>
      </c>
      <c r="F122" s="392" t="s">
        <v>5269</v>
      </c>
      <c r="G122" s="392" t="s">
        <v>781</v>
      </c>
      <c r="H122" s="392" t="s">
        <v>6276</v>
      </c>
      <c r="I122" s="392" t="s">
        <v>781</v>
      </c>
      <c r="J122" s="392" t="s">
        <v>6276</v>
      </c>
      <c r="K122" s="392" t="s">
        <v>781</v>
      </c>
      <c r="L122" s="393">
        <v>791.43</v>
      </c>
      <c r="M122" s="392" t="s">
        <v>4105</v>
      </c>
      <c r="N122" s="393">
        <v>481545.42267619999</v>
      </c>
      <c r="O122" s="392" t="s">
        <v>8835</v>
      </c>
    </row>
    <row r="123" spans="1:15" ht="38.25" customHeight="1" x14ac:dyDescent="0.4">
      <c r="A123" s="392" t="s">
        <v>1303</v>
      </c>
      <c r="B123" s="390" t="s">
        <v>395</v>
      </c>
      <c r="C123" s="390" t="s">
        <v>239</v>
      </c>
      <c r="D123" s="390" t="s">
        <v>1039</v>
      </c>
      <c r="E123" s="391" t="s">
        <v>713</v>
      </c>
      <c r="F123" s="392" t="s">
        <v>8836</v>
      </c>
      <c r="G123" s="392" t="s">
        <v>781</v>
      </c>
      <c r="H123" s="392" t="s">
        <v>6277</v>
      </c>
      <c r="I123" s="392" t="s">
        <v>781</v>
      </c>
      <c r="J123" s="392" t="s">
        <v>8837</v>
      </c>
      <c r="K123" s="392" t="s">
        <v>781</v>
      </c>
      <c r="L123" s="393">
        <v>777.27296850000005</v>
      </c>
      <c r="M123" s="392" t="s">
        <v>4108</v>
      </c>
      <c r="N123" s="393">
        <v>482322.69564470003</v>
      </c>
      <c r="O123" s="392" t="s">
        <v>8838</v>
      </c>
    </row>
    <row r="124" spans="1:15" ht="26.4" x14ac:dyDescent="0.4">
      <c r="A124" s="392" t="s">
        <v>4080</v>
      </c>
      <c r="B124" s="390" t="s">
        <v>395</v>
      </c>
      <c r="C124" s="390" t="s">
        <v>4081</v>
      </c>
      <c r="D124" s="390" t="s">
        <v>1039</v>
      </c>
      <c r="E124" s="391" t="s">
        <v>4</v>
      </c>
      <c r="F124" s="392" t="s">
        <v>5269</v>
      </c>
      <c r="G124" s="392" t="s">
        <v>781</v>
      </c>
      <c r="H124" s="392" t="s">
        <v>6278</v>
      </c>
      <c r="I124" s="392" t="s">
        <v>781</v>
      </c>
      <c r="J124" s="392" t="s">
        <v>6278</v>
      </c>
      <c r="K124" s="392" t="s">
        <v>781</v>
      </c>
      <c r="L124" s="393">
        <v>765.35</v>
      </c>
      <c r="M124" s="392" t="s">
        <v>4108</v>
      </c>
      <c r="N124" s="393">
        <v>483088.0456447</v>
      </c>
      <c r="O124" s="392" t="s">
        <v>8839</v>
      </c>
    </row>
    <row r="125" spans="1:15" ht="26.4" x14ac:dyDescent="0.4">
      <c r="A125" s="392" t="s">
        <v>4168</v>
      </c>
      <c r="B125" s="390" t="s">
        <v>395</v>
      </c>
      <c r="C125" s="390" t="s">
        <v>4169</v>
      </c>
      <c r="D125" s="390" t="s">
        <v>1039</v>
      </c>
      <c r="E125" s="391" t="s">
        <v>4</v>
      </c>
      <c r="F125" s="392" t="s">
        <v>5269</v>
      </c>
      <c r="G125" s="392" t="s">
        <v>781</v>
      </c>
      <c r="H125" s="392" t="s">
        <v>6279</v>
      </c>
      <c r="I125" s="392" t="s">
        <v>781</v>
      </c>
      <c r="J125" s="392" t="s">
        <v>6279</v>
      </c>
      <c r="K125" s="392" t="s">
        <v>781</v>
      </c>
      <c r="L125" s="393">
        <v>755.53</v>
      </c>
      <c r="M125" s="392" t="s">
        <v>4108</v>
      </c>
      <c r="N125" s="393">
        <v>483843.57564469997</v>
      </c>
      <c r="O125" s="392" t="s">
        <v>8840</v>
      </c>
    </row>
    <row r="126" spans="1:15" x14ac:dyDescent="0.4">
      <c r="A126" s="392" t="s">
        <v>1593</v>
      </c>
      <c r="B126" s="390" t="s">
        <v>408</v>
      </c>
      <c r="C126" s="390" t="s">
        <v>1594</v>
      </c>
      <c r="D126" s="390" t="s">
        <v>1039</v>
      </c>
      <c r="E126" s="391" t="s">
        <v>3</v>
      </c>
      <c r="F126" s="392" t="s">
        <v>5307</v>
      </c>
      <c r="G126" s="392" t="s">
        <v>781</v>
      </c>
      <c r="H126" s="392" t="s">
        <v>6280</v>
      </c>
      <c r="I126" s="392" t="s">
        <v>781</v>
      </c>
      <c r="J126" s="392" t="s">
        <v>5311</v>
      </c>
      <c r="K126" s="392" t="s">
        <v>781</v>
      </c>
      <c r="L126" s="393">
        <v>754</v>
      </c>
      <c r="M126" s="392" t="s">
        <v>4108</v>
      </c>
      <c r="N126" s="393">
        <v>484597.57564469997</v>
      </c>
      <c r="O126" s="392" t="s">
        <v>8841</v>
      </c>
    </row>
    <row r="127" spans="1:15" ht="38.25" customHeight="1" x14ac:dyDescent="0.4">
      <c r="A127" s="392" t="s">
        <v>6281</v>
      </c>
      <c r="B127" s="390" t="s">
        <v>408</v>
      </c>
      <c r="C127" s="390" t="s">
        <v>6282</v>
      </c>
      <c r="D127" s="390" t="s">
        <v>1039</v>
      </c>
      <c r="E127" s="391" t="s">
        <v>4</v>
      </c>
      <c r="F127" s="392" t="s">
        <v>5269</v>
      </c>
      <c r="G127" s="392" t="s">
        <v>781</v>
      </c>
      <c r="H127" s="392" t="s">
        <v>6283</v>
      </c>
      <c r="I127" s="392" t="s">
        <v>781</v>
      </c>
      <c r="J127" s="392" t="s">
        <v>6283</v>
      </c>
      <c r="K127" s="392" t="s">
        <v>781</v>
      </c>
      <c r="L127" s="393">
        <v>750.15</v>
      </c>
      <c r="M127" s="392" t="s">
        <v>4108</v>
      </c>
      <c r="N127" s="393">
        <v>485347.7256447</v>
      </c>
      <c r="O127" s="392" t="s">
        <v>8842</v>
      </c>
    </row>
    <row r="128" spans="1:15" x14ac:dyDescent="0.4">
      <c r="A128" s="392" t="s">
        <v>1286</v>
      </c>
      <c r="B128" s="390" t="s">
        <v>408</v>
      </c>
      <c r="C128" s="390" t="s">
        <v>573</v>
      </c>
      <c r="D128" s="390" t="s">
        <v>1039</v>
      </c>
      <c r="E128" s="391" t="s">
        <v>4</v>
      </c>
      <c r="F128" s="392" t="s">
        <v>5269</v>
      </c>
      <c r="G128" s="392" t="s">
        <v>781</v>
      </c>
      <c r="H128" s="392" t="s">
        <v>6284</v>
      </c>
      <c r="I128" s="392" t="s">
        <v>781</v>
      </c>
      <c r="J128" s="392" t="s">
        <v>6284</v>
      </c>
      <c r="K128" s="392" t="s">
        <v>781</v>
      </c>
      <c r="L128" s="393">
        <v>727.05</v>
      </c>
      <c r="M128" s="392" t="s">
        <v>4108</v>
      </c>
      <c r="N128" s="393">
        <v>486074.77564469998</v>
      </c>
      <c r="O128" s="392" t="s">
        <v>8843</v>
      </c>
    </row>
    <row r="129" spans="1:15" ht="38.25" customHeight="1" x14ac:dyDescent="0.4">
      <c r="A129" s="392" t="s">
        <v>1453</v>
      </c>
      <c r="B129" s="390" t="s">
        <v>408</v>
      </c>
      <c r="C129" s="390" t="s">
        <v>1454</v>
      </c>
      <c r="D129" s="390" t="s">
        <v>1039</v>
      </c>
      <c r="E129" s="391" t="s">
        <v>3</v>
      </c>
      <c r="F129" s="392" t="s">
        <v>8844</v>
      </c>
      <c r="G129" s="392" t="s">
        <v>781</v>
      </c>
      <c r="H129" s="392" t="s">
        <v>7562</v>
      </c>
      <c r="I129" s="392" t="s">
        <v>781</v>
      </c>
      <c r="J129" s="392" t="s">
        <v>8845</v>
      </c>
      <c r="K129" s="392" t="s">
        <v>781</v>
      </c>
      <c r="L129" s="393">
        <v>710.0675</v>
      </c>
      <c r="M129" s="392" t="s">
        <v>4109</v>
      </c>
      <c r="N129" s="393">
        <v>486784.84314469999</v>
      </c>
      <c r="O129" s="392" t="s">
        <v>8846</v>
      </c>
    </row>
    <row r="130" spans="1:15" ht="25.5" customHeight="1" x14ac:dyDescent="0.4">
      <c r="A130" s="392" t="s">
        <v>4099</v>
      </c>
      <c r="B130" s="390" t="s">
        <v>395</v>
      </c>
      <c r="C130" s="390" t="s">
        <v>4100</v>
      </c>
      <c r="D130" s="390" t="s">
        <v>1039</v>
      </c>
      <c r="E130" s="391" t="s">
        <v>4</v>
      </c>
      <c r="F130" s="392" t="s">
        <v>5310</v>
      </c>
      <c r="G130" s="392" t="s">
        <v>781</v>
      </c>
      <c r="H130" s="392" t="s">
        <v>6287</v>
      </c>
      <c r="I130" s="392" t="s">
        <v>781</v>
      </c>
      <c r="J130" s="392" t="s">
        <v>6288</v>
      </c>
      <c r="K130" s="392" t="s">
        <v>781</v>
      </c>
      <c r="L130" s="393">
        <v>708.16</v>
      </c>
      <c r="M130" s="392" t="s">
        <v>4109</v>
      </c>
      <c r="N130" s="393">
        <v>487493.00314470002</v>
      </c>
      <c r="O130" s="392" t="s">
        <v>8847</v>
      </c>
    </row>
    <row r="131" spans="1:15" x14ac:dyDescent="0.4">
      <c r="A131" s="392" t="s">
        <v>2581</v>
      </c>
      <c r="B131" s="390" t="s">
        <v>575</v>
      </c>
      <c r="C131" s="390" t="s">
        <v>2080</v>
      </c>
      <c r="D131" s="390" t="s">
        <v>1039</v>
      </c>
      <c r="E131" s="391" t="s">
        <v>422</v>
      </c>
      <c r="F131" s="392" t="s">
        <v>5269</v>
      </c>
      <c r="G131" s="392" t="s">
        <v>781</v>
      </c>
      <c r="H131" s="392" t="s">
        <v>8848</v>
      </c>
      <c r="I131" s="392" t="s">
        <v>781</v>
      </c>
      <c r="J131" s="392" t="s">
        <v>8848</v>
      </c>
      <c r="K131" s="392" t="s">
        <v>781</v>
      </c>
      <c r="L131" s="393">
        <v>685.83</v>
      </c>
      <c r="M131" s="392" t="s">
        <v>4109</v>
      </c>
      <c r="N131" s="393">
        <v>488178.83314469998</v>
      </c>
      <c r="O131" s="392" t="s">
        <v>8849</v>
      </c>
    </row>
    <row r="132" spans="1:15" ht="39.6" x14ac:dyDescent="0.4">
      <c r="A132" s="392" t="s">
        <v>1601</v>
      </c>
      <c r="B132" s="390" t="s">
        <v>5902</v>
      </c>
      <c r="C132" s="390" t="s">
        <v>1602</v>
      </c>
      <c r="D132" s="390" t="s">
        <v>1039</v>
      </c>
      <c r="E132" s="391" t="s">
        <v>7</v>
      </c>
      <c r="F132" s="392" t="s">
        <v>5269</v>
      </c>
      <c r="G132" s="392" t="s">
        <v>781</v>
      </c>
      <c r="H132" s="392" t="s">
        <v>6289</v>
      </c>
      <c r="I132" s="392" t="s">
        <v>781</v>
      </c>
      <c r="J132" s="392" t="s">
        <v>6289</v>
      </c>
      <c r="K132" s="392" t="s">
        <v>781</v>
      </c>
      <c r="L132" s="393">
        <v>675.89</v>
      </c>
      <c r="M132" s="392" t="s">
        <v>4109</v>
      </c>
      <c r="N132" s="393">
        <v>488854.72314469999</v>
      </c>
      <c r="O132" s="392" t="s">
        <v>8850</v>
      </c>
    </row>
    <row r="133" spans="1:15" x14ac:dyDescent="0.4">
      <c r="A133" s="392" t="s">
        <v>3212</v>
      </c>
      <c r="B133" s="390" t="s">
        <v>408</v>
      </c>
      <c r="C133" s="390" t="s">
        <v>3213</v>
      </c>
      <c r="D133" s="390" t="s">
        <v>1039</v>
      </c>
      <c r="E133" s="391" t="s">
        <v>4</v>
      </c>
      <c r="F133" s="392" t="s">
        <v>5273</v>
      </c>
      <c r="G133" s="392" t="s">
        <v>781</v>
      </c>
      <c r="H133" s="392" t="s">
        <v>6292</v>
      </c>
      <c r="I133" s="392" t="s">
        <v>781</v>
      </c>
      <c r="J133" s="392" t="s">
        <v>6293</v>
      </c>
      <c r="K133" s="392" t="s">
        <v>781</v>
      </c>
      <c r="L133" s="393">
        <v>672.5</v>
      </c>
      <c r="M133" s="392" t="s">
        <v>4109</v>
      </c>
      <c r="N133" s="393">
        <v>489527.22314469999</v>
      </c>
      <c r="O133" s="392" t="s">
        <v>8851</v>
      </c>
    </row>
    <row r="134" spans="1:15" ht="38.25" customHeight="1" x14ac:dyDescent="0.4">
      <c r="A134" s="392" t="s">
        <v>1471</v>
      </c>
      <c r="B134" s="390" t="s">
        <v>5902</v>
      </c>
      <c r="C134" s="390" t="s">
        <v>1472</v>
      </c>
      <c r="D134" s="390" t="s">
        <v>1039</v>
      </c>
      <c r="E134" s="391" t="s">
        <v>3</v>
      </c>
      <c r="F134" s="392" t="s">
        <v>8852</v>
      </c>
      <c r="G134" s="392" t="s">
        <v>781</v>
      </c>
      <c r="H134" s="392" t="s">
        <v>6305</v>
      </c>
      <c r="I134" s="392" t="s">
        <v>781</v>
      </c>
      <c r="J134" s="392" t="s">
        <v>8853</v>
      </c>
      <c r="K134" s="392" t="s">
        <v>781</v>
      </c>
      <c r="L134" s="393">
        <v>666.91686100000004</v>
      </c>
      <c r="M134" s="392" t="s">
        <v>4112</v>
      </c>
      <c r="N134" s="393">
        <v>490194.1400057</v>
      </c>
      <c r="O134" s="392" t="s">
        <v>8854</v>
      </c>
    </row>
    <row r="135" spans="1:15" ht="25.5" customHeight="1" x14ac:dyDescent="0.4">
      <c r="A135" s="392" t="s">
        <v>2339</v>
      </c>
      <c r="B135" s="390" t="s">
        <v>408</v>
      </c>
      <c r="C135" s="390" t="s">
        <v>2340</v>
      </c>
      <c r="D135" s="390" t="s">
        <v>1039</v>
      </c>
      <c r="E135" s="391" t="s">
        <v>4</v>
      </c>
      <c r="F135" s="392" t="s">
        <v>5269</v>
      </c>
      <c r="G135" s="392" t="s">
        <v>781</v>
      </c>
      <c r="H135" s="392" t="s">
        <v>6294</v>
      </c>
      <c r="I135" s="392" t="s">
        <v>781</v>
      </c>
      <c r="J135" s="392" t="s">
        <v>6294</v>
      </c>
      <c r="K135" s="392" t="s">
        <v>781</v>
      </c>
      <c r="L135" s="393">
        <v>664.9</v>
      </c>
      <c r="M135" s="392" t="s">
        <v>4112</v>
      </c>
      <c r="N135" s="393">
        <v>490859.04000570002</v>
      </c>
      <c r="O135" s="392" t="s">
        <v>8855</v>
      </c>
    </row>
    <row r="136" spans="1:15" ht="25.5" customHeight="1" x14ac:dyDescent="0.4">
      <c r="A136" s="392" t="s">
        <v>6295</v>
      </c>
      <c r="B136" s="390" t="s">
        <v>420</v>
      </c>
      <c r="C136" s="390" t="s">
        <v>6296</v>
      </c>
      <c r="D136" s="390" t="s">
        <v>1053</v>
      </c>
      <c r="E136" s="391" t="s">
        <v>1070</v>
      </c>
      <c r="F136" s="392" t="s">
        <v>6297</v>
      </c>
      <c r="G136" s="392" t="s">
        <v>781</v>
      </c>
      <c r="H136" s="392" t="s">
        <v>6202</v>
      </c>
      <c r="I136" s="392" t="s">
        <v>781</v>
      </c>
      <c r="J136" s="392" t="s">
        <v>6298</v>
      </c>
      <c r="K136" s="392" t="s">
        <v>781</v>
      </c>
      <c r="L136" s="393">
        <v>660.53499999999997</v>
      </c>
      <c r="M136" s="392" t="s">
        <v>4112</v>
      </c>
      <c r="N136" s="393">
        <v>491519.5750057</v>
      </c>
      <c r="O136" s="392" t="s">
        <v>8856</v>
      </c>
    </row>
    <row r="137" spans="1:15" ht="39.6" x14ac:dyDescent="0.4">
      <c r="A137" s="392" t="s">
        <v>1345</v>
      </c>
      <c r="B137" s="390" t="s">
        <v>395</v>
      </c>
      <c r="C137" s="390" t="s">
        <v>276</v>
      </c>
      <c r="D137" s="390" t="s">
        <v>1039</v>
      </c>
      <c r="E137" s="391" t="s">
        <v>4</v>
      </c>
      <c r="F137" s="392" t="s">
        <v>5284</v>
      </c>
      <c r="G137" s="392" t="s">
        <v>781</v>
      </c>
      <c r="H137" s="392" t="s">
        <v>5306</v>
      </c>
      <c r="I137" s="392" t="s">
        <v>781</v>
      </c>
      <c r="J137" s="392" t="s">
        <v>6299</v>
      </c>
      <c r="K137" s="392" t="s">
        <v>781</v>
      </c>
      <c r="L137" s="393">
        <v>654</v>
      </c>
      <c r="M137" s="392" t="s">
        <v>4112</v>
      </c>
      <c r="N137" s="393">
        <v>492173.5750057</v>
      </c>
      <c r="O137" s="392" t="s">
        <v>8857</v>
      </c>
    </row>
    <row r="138" spans="1:15" x14ac:dyDescent="0.4">
      <c r="A138" s="392" t="s">
        <v>6301</v>
      </c>
      <c r="B138" s="390" t="s">
        <v>408</v>
      </c>
      <c r="C138" s="390" t="s">
        <v>6302</v>
      </c>
      <c r="D138" s="390" t="s">
        <v>1053</v>
      </c>
      <c r="E138" s="391" t="s">
        <v>6</v>
      </c>
      <c r="F138" s="392" t="s">
        <v>6303</v>
      </c>
      <c r="G138" s="392" t="s">
        <v>781</v>
      </c>
      <c r="H138" s="392" t="s">
        <v>5329</v>
      </c>
      <c r="I138" s="392" t="s">
        <v>781</v>
      </c>
      <c r="J138" s="392" t="s">
        <v>6304</v>
      </c>
      <c r="K138" s="392" t="s">
        <v>781</v>
      </c>
      <c r="L138" s="393">
        <v>648.39088000000004</v>
      </c>
      <c r="M138" s="392" t="s">
        <v>4112</v>
      </c>
      <c r="N138" s="393">
        <v>492821.96588570002</v>
      </c>
      <c r="O138" s="392" t="s">
        <v>8858</v>
      </c>
    </row>
    <row r="139" spans="1:15" ht="26.4" x14ac:dyDescent="0.4">
      <c r="A139" s="392" t="s">
        <v>8859</v>
      </c>
      <c r="B139" s="390" t="s">
        <v>5902</v>
      </c>
      <c r="C139" s="390" t="s">
        <v>8860</v>
      </c>
      <c r="D139" s="390" t="s">
        <v>1039</v>
      </c>
      <c r="E139" s="391" t="s">
        <v>3</v>
      </c>
      <c r="F139" s="392" t="s">
        <v>8861</v>
      </c>
      <c r="G139" s="392" t="s">
        <v>781</v>
      </c>
      <c r="H139" s="392" t="s">
        <v>8862</v>
      </c>
      <c r="I139" s="392" t="s">
        <v>781</v>
      </c>
      <c r="J139" s="392" t="s">
        <v>8863</v>
      </c>
      <c r="K139" s="392" t="s">
        <v>781</v>
      </c>
      <c r="L139" s="393">
        <v>646.88</v>
      </c>
      <c r="M139" s="392" t="s">
        <v>4112</v>
      </c>
      <c r="N139" s="393">
        <v>493468.84588570002</v>
      </c>
      <c r="O139" s="392" t="s">
        <v>8864</v>
      </c>
    </row>
    <row r="140" spans="1:15" ht="39.6" x14ac:dyDescent="0.4">
      <c r="A140" s="392" t="s">
        <v>1307</v>
      </c>
      <c r="B140" s="390" t="s">
        <v>395</v>
      </c>
      <c r="C140" s="390" t="s">
        <v>407</v>
      </c>
      <c r="D140" s="390" t="s">
        <v>1039</v>
      </c>
      <c r="E140" s="391" t="s">
        <v>4</v>
      </c>
      <c r="F140" s="392" t="s">
        <v>5269</v>
      </c>
      <c r="G140" s="392" t="s">
        <v>781</v>
      </c>
      <c r="H140" s="392" t="s">
        <v>6306</v>
      </c>
      <c r="I140" s="392" t="s">
        <v>781</v>
      </c>
      <c r="J140" s="392" t="s">
        <v>6306</v>
      </c>
      <c r="K140" s="392" t="s">
        <v>781</v>
      </c>
      <c r="L140" s="393">
        <v>645.46</v>
      </c>
      <c r="M140" s="392" t="s">
        <v>4112</v>
      </c>
      <c r="N140" s="393">
        <v>494114.30588569999</v>
      </c>
      <c r="O140" s="392" t="s">
        <v>8865</v>
      </c>
    </row>
    <row r="141" spans="1:15" ht="39.6" x14ac:dyDescent="0.4">
      <c r="A141" s="392" t="s">
        <v>4123</v>
      </c>
      <c r="B141" s="390" t="s">
        <v>395</v>
      </c>
      <c r="C141" s="390" t="s">
        <v>4124</v>
      </c>
      <c r="D141" s="390" t="s">
        <v>1039</v>
      </c>
      <c r="E141" s="391" t="s">
        <v>713</v>
      </c>
      <c r="F141" s="392" t="s">
        <v>5320</v>
      </c>
      <c r="G141" s="392" t="s">
        <v>781</v>
      </c>
      <c r="H141" s="392" t="s">
        <v>6307</v>
      </c>
      <c r="I141" s="392" t="s">
        <v>781</v>
      </c>
      <c r="J141" s="392" t="s">
        <v>6308</v>
      </c>
      <c r="K141" s="392" t="s">
        <v>781</v>
      </c>
      <c r="L141" s="393">
        <v>645.02059999999994</v>
      </c>
      <c r="M141" s="392" t="s">
        <v>4112</v>
      </c>
      <c r="N141" s="393">
        <v>494759.32648569997</v>
      </c>
      <c r="O141" s="392" t="s">
        <v>8866</v>
      </c>
    </row>
    <row r="142" spans="1:15" ht="26.4" x14ac:dyDescent="0.4">
      <c r="A142" s="392" t="s">
        <v>2527</v>
      </c>
      <c r="B142" s="390" t="s">
        <v>5902</v>
      </c>
      <c r="C142" s="390" t="s">
        <v>2528</v>
      </c>
      <c r="D142" s="390" t="s">
        <v>1039</v>
      </c>
      <c r="E142" s="391" t="s">
        <v>4</v>
      </c>
      <c r="F142" s="392" t="s">
        <v>5269</v>
      </c>
      <c r="G142" s="392" t="s">
        <v>781</v>
      </c>
      <c r="H142" s="392" t="s">
        <v>6309</v>
      </c>
      <c r="I142" s="392" t="s">
        <v>781</v>
      </c>
      <c r="J142" s="392" t="s">
        <v>6309</v>
      </c>
      <c r="K142" s="392" t="s">
        <v>781</v>
      </c>
      <c r="L142" s="393">
        <v>627.65</v>
      </c>
      <c r="M142" s="392" t="s">
        <v>4112</v>
      </c>
      <c r="N142" s="393">
        <v>495386.9764857</v>
      </c>
      <c r="O142" s="392" t="s">
        <v>8867</v>
      </c>
    </row>
    <row r="143" spans="1:15" ht="26.4" x14ac:dyDescent="0.4">
      <c r="A143" s="392" t="s">
        <v>3042</v>
      </c>
      <c r="B143" s="390" t="s">
        <v>408</v>
      </c>
      <c r="C143" s="390" t="s">
        <v>3043</v>
      </c>
      <c r="D143" s="390" t="s">
        <v>1039</v>
      </c>
      <c r="E143" s="391" t="s">
        <v>4</v>
      </c>
      <c r="F143" s="392" t="s">
        <v>5269</v>
      </c>
      <c r="G143" s="392" t="s">
        <v>781</v>
      </c>
      <c r="H143" s="392" t="s">
        <v>6310</v>
      </c>
      <c r="I143" s="392" t="s">
        <v>781</v>
      </c>
      <c r="J143" s="392" t="s">
        <v>6310</v>
      </c>
      <c r="K143" s="392" t="s">
        <v>781</v>
      </c>
      <c r="L143" s="393">
        <v>619.38</v>
      </c>
      <c r="M143" s="392" t="s">
        <v>4112</v>
      </c>
      <c r="N143" s="393">
        <v>496006.3564857</v>
      </c>
      <c r="O143" s="392" t="s">
        <v>8868</v>
      </c>
    </row>
    <row r="144" spans="1:15" x14ac:dyDescent="0.4">
      <c r="A144" s="392" t="s">
        <v>4106</v>
      </c>
      <c r="B144" s="390" t="s">
        <v>395</v>
      </c>
      <c r="C144" s="390" t="s">
        <v>4107</v>
      </c>
      <c r="D144" s="390" t="s">
        <v>1039</v>
      </c>
      <c r="E144" s="391" t="s">
        <v>4</v>
      </c>
      <c r="F144" s="392" t="s">
        <v>5269</v>
      </c>
      <c r="G144" s="392" t="s">
        <v>781</v>
      </c>
      <c r="H144" s="392" t="s">
        <v>6311</v>
      </c>
      <c r="I144" s="392" t="s">
        <v>781</v>
      </c>
      <c r="J144" s="392" t="s">
        <v>6311</v>
      </c>
      <c r="K144" s="392" t="s">
        <v>781</v>
      </c>
      <c r="L144" s="393">
        <v>618.19000000000005</v>
      </c>
      <c r="M144" s="392" t="s">
        <v>4112</v>
      </c>
      <c r="N144" s="393">
        <v>496624.5464857</v>
      </c>
      <c r="O144" s="392" t="s">
        <v>8869</v>
      </c>
    </row>
    <row r="145" spans="1:15" ht="26.4" x14ac:dyDescent="0.4">
      <c r="A145" s="392" t="s">
        <v>4129</v>
      </c>
      <c r="B145" s="390" t="s">
        <v>395</v>
      </c>
      <c r="C145" s="390" t="s">
        <v>4130</v>
      </c>
      <c r="D145" s="390" t="s">
        <v>1317</v>
      </c>
      <c r="E145" s="391" t="s">
        <v>6</v>
      </c>
      <c r="F145" s="392" t="s">
        <v>8870</v>
      </c>
      <c r="G145" s="392" t="s">
        <v>781</v>
      </c>
      <c r="H145" s="392" t="s">
        <v>6326</v>
      </c>
      <c r="I145" s="392" t="s">
        <v>781</v>
      </c>
      <c r="J145" s="392" t="s">
        <v>8871</v>
      </c>
      <c r="K145" s="392" t="s">
        <v>781</v>
      </c>
      <c r="L145" s="393">
        <v>614.97932832000004</v>
      </c>
      <c r="M145" s="392" t="s">
        <v>4112</v>
      </c>
      <c r="N145" s="393">
        <v>497239.52581399999</v>
      </c>
      <c r="O145" s="392" t="s">
        <v>6300</v>
      </c>
    </row>
    <row r="146" spans="1:15" x14ac:dyDescent="0.4">
      <c r="A146" s="392" t="s">
        <v>3167</v>
      </c>
      <c r="B146" s="390" t="s">
        <v>575</v>
      </c>
      <c r="C146" s="390" t="s">
        <v>2658</v>
      </c>
      <c r="D146" s="390" t="s">
        <v>1039</v>
      </c>
      <c r="E146" s="391" t="s">
        <v>4</v>
      </c>
      <c r="F146" s="392" t="s">
        <v>5269</v>
      </c>
      <c r="G146" s="392" t="s">
        <v>781</v>
      </c>
      <c r="H146" s="392" t="s">
        <v>8872</v>
      </c>
      <c r="I146" s="392" t="s">
        <v>781</v>
      </c>
      <c r="J146" s="392" t="s">
        <v>8872</v>
      </c>
      <c r="K146" s="392" t="s">
        <v>781</v>
      </c>
      <c r="L146" s="393">
        <v>605.04</v>
      </c>
      <c r="M146" s="392" t="s">
        <v>4115</v>
      </c>
      <c r="N146" s="393">
        <v>497844.56581399997</v>
      </c>
      <c r="O146" s="392" t="s">
        <v>8873</v>
      </c>
    </row>
    <row r="147" spans="1:15" ht="25.5" customHeight="1" x14ac:dyDescent="0.4">
      <c r="A147" s="392" t="s">
        <v>3202</v>
      </c>
      <c r="B147" s="390" t="s">
        <v>408</v>
      </c>
      <c r="C147" s="390" t="s">
        <v>3203</v>
      </c>
      <c r="D147" s="390" t="s">
        <v>1039</v>
      </c>
      <c r="E147" s="391" t="s">
        <v>4</v>
      </c>
      <c r="F147" s="392" t="s">
        <v>5305</v>
      </c>
      <c r="G147" s="392" t="s">
        <v>781</v>
      </c>
      <c r="H147" s="392" t="s">
        <v>6313</v>
      </c>
      <c r="I147" s="392" t="s">
        <v>781</v>
      </c>
      <c r="J147" s="392" t="s">
        <v>6314</v>
      </c>
      <c r="K147" s="392" t="s">
        <v>781</v>
      </c>
      <c r="L147" s="393">
        <v>598</v>
      </c>
      <c r="M147" s="392" t="s">
        <v>4115</v>
      </c>
      <c r="N147" s="393">
        <v>498442.56581399997</v>
      </c>
      <c r="O147" s="392" t="s">
        <v>8874</v>
      </c>
    </row>
    <row r="148" spans="1:15" x14ac:dyDescent="0.4">
      <c r="A148" s="392" t="s">
        <v>2579</v>
      </c>
      <c r="B148" s="390" t="s">
        <v>575</v>
      </c>
      <c r="C148" s="390" t="s">
        <v>2580</v>
      </c>
      <c r="D148" s="390" t="s">
        <v>1039</v>
      </c>
      <c r="E148" s="391" t="s">
        <v>422</v>
      </c>
      <c r="F148" s="392" t="s">
        <v>5269</v>
      </c>
      <c r="G148" s="392" t="s">
        <v>781</v>
      </c>
      <c r="H148" s="392" t="s">
        <v>8875</v>
      </c>
      <c r="I148" s="392" t="s">
        <v>781</v>
      </c>
      <c r="J148" s="392" t="s">
        <v>8875</v>
      </c>
      <c r="K148" s="392" t="s">
        <v>781</v>
      </c>
      <c r="L148" s="393">
        <v>597.99</v>
      </c>
      <c r="M148" s="392" t="s">
        <v>4115</v>
      </c>
      <c r="N148" s="393">
        <v>499040.55581400002</v>
      </c>
      <c r="O148" s="392" t="s">
        <v>8876</v>
      </c>
    </row>
    <row r="149" spans="1:15" x14ac:dyDescent="0.4">
      <c r="A149" s="392" t="s">
        <v>1441</v>
      </c>
      <c r="B149" s="390" t="s">
        <v>408</v>
      </c>
      <c r="C149" s="390" t="s">
        <v>1442</v>
      </c>
      <c r="D149" s="390" t="s">
        <v>1039</v>
      </c>
      <c r="E149" s="391" t="s">
        <v>4</v>
      </c>
      <c r="F149" s="392" t="s">
        <v>5352</v>
      </c>
      <c r="G149" s="392" t="s">
        <v>781</v>
      </c>
      <c r="H149" s="392" t="s">
        <v>6323</v>
      </c>
      <c r="I149" s="392" t="s">
        <v>781</v>
      </c>
      <c r="J149" s="392" t="s">
        <v>8877</v>
      </c>
      <c r="K149" s="392" t="s">
        <v>781</v>
      </c>
      <c r="L149" s="393">
        <v>596.4</v>
      </c>
      <c r="M149" s="392" t="s">
        <v>4115</v>
      </c>
      <c r="N149" s="393">
        <v>499636.95581399999</v>
      </c>
      <c r="O149" s="392" t="s">
        <v>8878</v>
      </c>
    </row>
    <row r="150" spans="1:15" ht="26.4" x14ac:dyDescent="0.4">
      <c r="A150" s="392" t="s">
        <v>1481</v>
      </c>
      <c r="B150" s="390" t="s">
        <v>395</v>
      </c>
      <c r="C150" s="390" t="s">
        <v>271</v>
      </c>
      <c r="D150" s="390" t="s">
        <v>1039</v>
      </c>
      <c r="E150" s="391" t="s">
        <v>713</v>
      </c>
      <c r="F150" s="392" t="s">
        <v>6315</v>
      </c>
      <c r="G150" s="392" t="s">
        <v>781</v>
      </c>
      <c r="H150" s="392" t="s">
        <v>6316</v>
      </c>
      <c r="I150" s="392" t="s">
        <v>781</v>
      </c>
      <c r="J150" s="392" t="s">
        <v>6317</v>
      </c>
      <c r="K150" s="392" t="s">
        <v>781</v>
      </c>
      <c r="L150" s="393">
        <v>593.46747235600003</v>
      </c>
      <c r="M150" s="392" t="s">
        <v>4115</v>
      </c>
      <c r="N150" s="393">
        <v>500230.42328639998</v>
      </c>
      <c r="O150" s="392" t="s">
        <v>8879</v>
      </c>
    </row>
    <row r="151" spans="1:15" x14ac:dyDescent="0.4">
      <c r="A151" s="392" t="s">
        <v>3198</v>
      </c>
      <c r="B151" s="390" t="s">
        <v>408</v>
      </c>
      <c r="C151" s="390" t="s">
        <v>3199</v>
      </c>
      <c r="D151" s="390" t="s">
        <v>1039</v>
      </c>
      <c r="E151" s="391" t="s">
        <v>4</v>
      </c>
      <c r="F151" s="392" t="s">
        <v>5273</v>
      </c>
      <c r="G151" s="392" t="s">
        <v>781</v>
      </c>
      <c r="H151" s="392" t="s">
        <v>6318</v>
      </c>
      <c r="I151" s="392" t="s">
        <v>781</v>
      </c>
      <c r="J151" s="392" t="s">
        <v>6319</v>
      </c>
      <c r="K151" s="392" t="s">
        <v>781</v>
      </c>
      <c r="L151" s="393">
        <v>590</v>
      </c>
      <c r="M151" s="392" t="s">
        <v>4115</v>
      </c>
      <c r="N151" s="393">
        <v>500820.42328639998</v>
      </c>
      <c r="O151" s="392" t="s">
        <v>8880</v>
      </c>
    </row>
    <row r="152" spans="1:15" ht="26.4" x14ac:dyDescent="0.4">
      <c r="A152" s="392" t="s">
        <v>4110</v>
      </c>
      <c r="B152" s="390" t="s">
        <v>395</v>
      </c>
      <c r="C152" s="390" t="s">
        <v>4111</v>
      </c>
      <c r="D152" s="390" t="s">
        <v>1317</v>
      </c>
      <c r="E152" s="391" t="s">
        <v>10</v>
      </c>
      <c r="F152" s="392" t="s">
        <v>5305</v>
      </c>
      <c r="G152" s="392" t="s">
        <v>781</v>
      </c>
      <c r="H152" s="392" t="s">
        <v>6320</v>
      </c>
      <c r="I152" s="392" t="s">
        <v>781</v>
      </c>
      <c r="J152" s="392" t="s">
        <v>6321</v>
      </c>
      <c r="K152" s="392" t="s">
        <v>781</v>
      </c>
      <c r="L152" s="393">
        <v>587.79999999999995</v>
      </c>
      <c r="M152" s="392" t="s">
        <v>4115</v>
      </c>
      <c r="N152" s="393">
        <v>501408.22328640003</v>
      </c>
      <c r="O152" s="392" t="s">
        <v>8881</v>
      </c>
    </row>
    <row r="153" spans="1:15" x14ac:dyDescent="0.4">
      <c r="A153" s="392" t="s">
        <v>3200</v>
      </c>
      <c r="B153" s="390" t="s">
        <v>408</v>
      </c>
      <c r="C153" s="390" t="s">
        <v>3201</v>
      </c>
      <c r="D153" s="390" t="s">
        <v>1039</v>
      </c>
      <c r="E153" s="391" t="s">
        <v>4</v>
      </c>
      <c r="F153" s="392" t="s">
        <v>5273</v>
      </c>
      <c r="G153" s="392" t="s">
        <v>781</v>
      </c>
      <c r="H153" s="392" t="s">
        <v>6269</v>
      </c>
      <c r="I153" s="392" t="s">
        <v>781</v>
      </c>
      <c r="J153" s="392" t="s">
        <v>6322</v>
      </c>
      <c r="K153" s="392" t="s">
        <v>781</v>
      </c>
      <c r="L153" s="393">
        <v>575</v>
      </c>
      <c r="M153" s="392" t="s">
        <v>4115</v>
      </c>
      <c r="N153" s="393">
        <v>501983.22328640003</v>
      </c>
      <c r="O153" s="392" t="s">
        <v>8882</v>
      </c>
    </row>
    <row r="154" spans="1:15" x14ac:dyDescent="0.4">
      <c r="A154" s="392" t="s">
        <v>6327</v>
      </c>
      <c r="B154" s="390" t="s">
        <v>408</v>
      </c>
      <c r="C154" s="390" t="s">
        <v>6328</v>
      </c>
      <c r="D154" s="390" t="s">
        <v>1053</v>
      </c>
      <c r="E154" s="391" t="s">
        <v>6</v>
      </c>
      <c r="F154" s="392" t="s">
        <v>8883</v>
      </c>
      <c r="G154" s="392" t="s">
        <v>781</v>
      </c>
      <c r="H154" s="392" t="s">
        <v>6238</v>
      </c>
      <c r="I154" s="392" t="s">
        <v>781</v>
      </c>
      <c r="J154" s="392" t="s">
        <v>8884</v>
      </c>
      <c r="K154" s="392" t="s">
        <v>781</v>
      </c>
      <c r="L154" s="393">
        <v>571.96124999999995</v>
      </c>
      <c r="M154" s="392" t="s">
        <v>4115</v>
      </c>
      <c r="N154" s="393">
        <v>502555.18453640002</v>
      </c>
      <c r="O154" s="392" t="s">
        <v>6312</v>
      </c>
    </row>
    <row r="155" spans="1:15" ht="26.4" x14ac:dyDescent="0.4">
      <c r="A155" s="392" t="s">
        <v>3155</v>
      </c>
      <c r="B155" s="390" t="s">
        <v>5902</v>
      </c>
      <c r="C155" s="390" t="s">
        <v>3156</v>
      </c>
      <c r="D155" s="390" t="s">
        <v>1039</v>
      </c>
      <c r="E155" s="391" t="s">
        <v>4</v>
      </c>
      <c r="F155" s="392" t="s">
        <v>5273</v>
      </c>
      <c r="G155" s="392" t="s">
        <v>781</v>
      </c>
      <c r="H155" s="392" t="s">
        <v>6324</v>
      </c>
      <c r="I155" s="392" t="s">
        <v>781</v>
      </c>
      <c r="J155" s="392" t="s">
        <v>6325</v>
      </c>
      <c r="K155" s="392" t="s">
        <v>781</v>
      </c>
      <c r="L155" s="393">
        <v>566.38</v>
      </c>
      <c r="M155" s="392" t="s">
        <v>4115</v>
      </c>
      <c r="N155" s="393">
        <v>503121.56453640002</v>
      </c>
      <c r="O155" s="392" t="s">
        <v>8885</v>
      </c>
    </row>
    <row r="156" spans="1:15" ht="25.5" customHeight="1" x14ac:dyDescent="0.4">
      <c r="A156" s="392" t="s">
        <v>3086</v>
      </c>
      <c r="B156" s="390" t="s">
        <v>408</v>
      </c>
      <c r="C156" s="390" t="s">
        <v>3087</v>
      </c>
      <c r="D156" s="390" t="s">
        <v>1039</v>
      </c>
      <c r="E156" s="391" t="s">
        <v>7</v>
      </c>
      <c r="F156" s="392" t="s">
        <v>5304</v>
      </c>
      <c r="G156" s="392" t="s">
        <v>781</v>
      </c>
      <c r="H156" s="392" t="s">
        <v>6332</v>
      </c>
      <c r="I156" s="392" t="s">
        <v>781</v>
      </c>
      <c r="J156" s="392" t="s">
        <v>6333</v>
      </c>
      <c r="K156" s="392" t="s">
        <v>781</v>
      </c>
      <c r="L156" s="393">
        <v>532.61</v>
      </c>
      <c r="M156" s="392" t="s">
        <v>4122</v>
      </c>
      <c r="N156" s="393">
        <v>503654.17453640001</v>
      </c>
      <c r="O156" s="392" t="s">
        <v>8886</v>
      </c>
    </row>
    <row r="157" spans="1:15" ht="39.6" x14ac:dyDescent="0.4">
      <c r="A157" s="392" t="s">
        <v>6334</v>
      </c>
      <c r="B157" s="390" t="s">
        <v>395</v>
      </c>
      <c r="C157" s="390" t="s">
        <v>6335</v>
      </c>
      <c r="D157" s="390" t="s">
        <v>1039</v>
      </c>
      <c r="E157" s="391" t="s">
        <v>675</v>
      </c>
      <c r="F157" s="392" t="s">
        <v>6336</v>
      </c>
      <c r="G157" s="392" t="s">
        <v>781</v>
      </c>
      <c r="H157" s="392" t="s">
        <v>6337</v>
      </c>
      <c r="I157" s="392" t="s">
        <v>781</v>
      </c>
      <c r="J157" s="392" t="s">
        <v>6338</v>
      </c>
      <c r="K157" s="392" t="s">
        <v>781</v>
      </c>
      <c r="L157" s="393">
        <v>529.38900000000001</v>
      </c>
      <c r="M157" s="392" t="s">
        <v>4122</v>
      </c>
      <c r="N157" s="393">
        <v>504183.56353639998</v>
      </c>
      <c r="O157" s="392" t="s">
        <v>8887</v>
      </c>
    </row>
    <row r="158" spans="1:15" x14ac:dyDescent="0.4">
      <c r="A158" s="392" t="s">
        <v>3078</v>
      </c>
      <c r="B158" s="390" t="s">
        <v>408</v>
      </c>
      <c r="C158" s="390" t="s">
        <v>3079</v>
      </c>
      <c r="D158" s="390" t="s">
        <v>1039</v>
      </c>
      <c r="E158" s="391" t="s">
        <v>4</v>
      </c>
      <c r="F158" s="392" t="s">
        <v>5269</v>
      </c>
      <c r="G158" s="392" t="s">
        <v>781</v>
      </c>
      <c r="H158" s="392" t="s">
        <v>6340</v>
      </c>
      <c r="I158" s="392" t="s">
        <v>781</v>
      </c>
      <c r="J158" s="392" t="s">
        <v>6340</v>
      </c>
      <c r="K158" s="392" t="s">
        <v>781</v>
      </c>
      <c r="L158" s="393">
        <v>525.35</v>
      </c>
      <c r="M158" s="392" t="s">
        <v>4122</v>
      </c>
      <c r="N158" s="393">
        <v>504708.91353640001</v>
      </c>
      <c r="O158" s="392" t="s">
        <v>8888</v>
      </c>
    </row>
    <row r="159" spans="1:15" ht="26.4" x14ac:dyDescent="0.4">
      <c r="A159" s="392" t="s">
        <v>4097</v>
      </c>
      <c r="B159" s="390" t="s">
        <v>395</v>
      </c>
      <c r="C159" s="390" t="s">
        <v>4098</v>
      </c>
      <c r="D159" s="390" t="s">
        <v>1039</v>
      </c>
      <c r="E159" s="391" t="s">
        <v>4</v>
      </c>
      <c r="F159" s="392" t="s">
        <v>5269</v>
      </c>
      <c r="G159" s="392" t="s">
        <v>781</v>
      </c>
      <c r="H159" s="392" t="s">
        <v>6341</v>
      </c>
      <c r="I159" s="392" t="s">
        <v>781</v>
      </c>
      <c r="J159" s="392" t="s">
        <v>6341</v>
      </c>
      <c r="K159" s="392" t="s">
        <v>781</v>
      </c>
      <c r="L159" s="393">
        <v>521.59</v>
      </c>
      <c r="M159" s="392" t="s">
        <v>4122</v>
      </c>
      <c r="N159" s="393">
        <v>505230.50353639998</v>
      </c>
      <c r="O159" s="392" t="s">
        <v>8889</v>
      </c>
    </row>
    <row r="160" spans="1:15" ht="25.5" customHeight="1" x14ac:dyDescent="0.4">
      <c r="A160" s="392" t="s">
        <v>1347</v>
      </c>
      <c r="B160" s="390" t="s">
        <v>395</v>
      </c>
      <c r="C160" s="390" t="s">
        <v>260</v>
      </c>
      <c r="D160" s="390" t="s">
        <v>1039</v>
      </c>
      <c r="E160" s="391" t="s">
        <v>4</v>
      </c>
      <c r="F160" s="392" t="s">
        <v>5273</v>
      </c>
      <c r="G160" s="392" t="s">
        <v>781</v>
      </c>
      <c r="H160" s="392" t="s">
        <v>6342</v>
      </c>
      <c r="I160" s="392" t="s">
        <v>781</v>
      </c>
      <c r="J160" s="392" t="s">
        <v>6343</v>
      </c>
      <c r="K160" s="392" t="s">
        <v>781</v>
      </c>
      <c r="L160" s="393">
        <v>512.02</v>
      </c>
      <c r="M160" s="392" t="s">
        <v>4122</v>
      </c>
      <c r="N160" s="393">
        <v>505742.5235364</v>
      </c>
      <c r="O160" s="392" t="s">
        <v>8890</v>
      </c>
    </row>
    <row r="161" spans="1:15" ht="26.4" x14ac:dyDescent="0.4">
      <c r="A161" s="392" t="s">
        <v>4125</v>
      </c>
      <c r="B161" s="390" t="s">
        <v>395</v>
      </c>
      <c r="C161" s="390" t="s">
        <v>4126</v>
      </c>
      <c r="D161" s="390" t="s">
        <v>1317</v>
      </c>
      <c r="E161" s="391" t="s">
        <v>10</v>
      </c>
      <c r="F161" s="392" t="s">
        <v>5273</v>
      </c>
      <c r="G161" s="392" t="s">
        <v>781</v>
      </c>
      <c r="H161" s="392" t="s">
        <v>6344</v>
      </c>
      <c r="I161" s="392" t="s">
        <v>781</v>
      </c>
      <c r="J161" s="392" t="s">
        <v>6345</v>
      </c>
      <c r="K161" s="392" t="s">
        <v>781</v>
      </c>
      <c r="L161" s="393">
        <v>501.52</v>
      </c>
      <c r="M161" s="392" t="s">
        <v>4122</v>
      </c>
      <c r="N161" s="393">
        <v>506244.04353640002</v>
      </c>
      <c r="O161" s="392" t="s">
        <v>8891</v>
      </c>
    </row>
    <row r="162" spans="1:15" x14ac:dyDescent="0.4">
      <c r="A162" s="392" t="s">
        <v>2578</v>
      </c>
      <c r="B162" s="390" t="s">
        <v>575</v>
      </c>
      <c r="C162" s="390" t="s">
        <v>2083</v>
      </c>
      <c r="D162" s="390" t="s">
        <v>1039</v>
      </c>
      <c r="E162" s="391" t="s">
        <v>422</v>
      </c>
      <c r="F162" s="392" t="s">
        <v>5269</v>
      </c>
      <c r="G162" s="392" t="s">
        <v>781</v>
      </c>
      <c r="H162" s="392" t="s">
        <v>8892</v>
      </c>
      <c r="I162" s="392" t="s">
        <v>781</v>
      </c>
      <c r="J162" s="392" t="s">
        <v>8892</v>
      </c>
      <c r="K162" s="392" t="s">
        <v>781</v>
      </c>
      <c r="L162" s="393">
        <v>499.99</v>
      </c>
      <c r="M162" s="392" t="s">
        <v>4122</v>
      </c>
      <c r="N162" s="393">
        <v>506744.03353640001</v>
      </c>
      <c r="O162" s="392" t="s">
        <v>8893</v>
      </c>
    </row>
    <row r="163" spans="1:15" ht="26.4" x14ac:dyDescent="0.4">
      <c r="A163" s="392" t="s">
        <v>2359</v>
      </c>
      <c r="B163" s="390" t="s">
        <v>5902</v>
      </c>
      <c r="C163" s="390" t="s">
        <v>2360</v>
      </c>
      <c r="D163" s="390" t="s">
        <v>1039</v>
      </c>
      <c r="E163" s="391" t="s">
        <v>4</v>
      </c>
      <c r="F163" s="392" t="s">
        <v>5269</v>
      </c>
      <c r="G163" s="392" t="s">
        <v>781</v>
      </c>
      <c r="H163" s="392" t="s">
        <v>6346</v>
      </c>
      <c r="I163" s="392" t="s">
        <v>781</v>
      </c>
      <c r="J163" s="392" t="s">
        <v>6346</v>
      </c>
      <c r="K163" s="392" t="s">
        <v>781</v>
      </c>
      <c r="L163" s="393">
        <v>474.52</v>
      </c>
      <c r="M163" s="392" t="s">
        <v>4134</v>
      </c>
      <c r="N163" s="393">
        <v>507218.55353640002</v>
      </c>
      <c r="O163" s="392" t="s">
        <v>8894</v>
      </c>
    </row>
    <row r="164" spans="1:15" ht="52.8" x14ac:dyDescent="0.4">
      <c r="A164" s="392" t="s">
        <v>1351</v>
      </c>
      <c r="B164" s="390" t="s">
        <v>395</v>
      </c>
      <c r="C164" s="390" t="s">
        <v>248</v>
      </c>
      <c r="D164" s="390" t="s">
        <v>1039</v>
      </c>
      <c r="E164" s="391" t="s">
        <v>4</v>
      </c>
      <c r="F164" s="392" t="s">
        <v>5269</v>
      </c>
      <c r="G164" s="392" t="s">
        <v>781</v>
      </c>
      <c r="H164" s="392" t="s">
        <v>6347</v>
      </c>
      <c r="I164" s="392" t="s">
        <v>781</v>
      </c>
      <c r="J164" s="392" t="s">
        <v>6347</v>
      </c>
      <c r="K164" s="392" t="s">
        <v>781</v>
      </c>
      <c r="L164" s="393">
        <v>462.98</v>
      </c>
      <c r="M164" s="392" t="s">
        <v>4134</v>
      </c>
      <c r="N164" s="393">
        <v>507681.53353640001</v>
      </c>
      <c r="O164" s="392" t="s">
        <v>8895</v>
      </c>
    </row>
    <row r="165" spans="1:15" x14ac:dyDescent="0.4">
      <c r="A165" s="392" t="s">
        <v>1408</v>
      </c>
      <c r="B165" s="390" t="s">
        <v>408</v>
      </c>
      <c r="C165" s="390" t="s">
        <v>1409</v>
      </c>
      <c r="D165" s="390" t="s">
        <v>1039</v>
      </c>
      <c r="E165" s="391" t="s">
        <v>4</v>
      </c>
      <c r="F165" s="392" t="s">
        <v>5364</v>
      </c>
      <c r="G165" s="392" t="s">
        <v>781</v>
      </c>
      <c r="H165" s="392" t="s">
        <v>6348</v>
      </c>
      <c r="I165" s="392" t="s">
        <v>781</v>
      </c>
      <c r="J165" s="392" t="s">
        <v>6349</v>
      </c>
      <c r="K165" s="392" t="s">
        <v>781</v>
      </c>
      <c r="L165" s="393">
        <v>461.1</v>
      </c>
      <c r="M165" s="392" t="s">
        <v>4134</v>
      </c>
      <c r="N165" s="393">
        <v>508142.63353639998</v>
      </c>
      <c r="O165" s="392" t="s">
        <v>8896</v>
      </c>
    </row>
    <row r="166" spans="1:15" ht="52.8" x14ac:dyDescent="0.4">
      <c r="A166" s="392" t="s">
        <v>1348</v>
      </c>
      <c r="B166" s="390" t="s">
        <v>395</v>
      </c>
      <c r="C166" s="390" t="s">
        <v>247</v>
      </c>
      <c r="D166" s="390" t="s">
        <v>1039</v>
      </c>
      <c r="E166" s="391" t="s">
        <v>4</v>
      </c>
      <c r="F166" s="392" t="s">
        <v>5269</v>
      </c>
      <c r="G166" s="392" t="s">
        <v>781</v>
      </c>
      <c r="H166" s="392" t="s">
        <v>6350</v>
      </c>
      <c r="I166" s="392" t="s">
        <v>781</v>
      </c>
      <c r="J166" s="392" t="s">
        <v>6350</v>
      </c>
      <c r="K166" s="392" t="s">
        <v>781</v>
      </c>
      <c r="L166" s="393">
        <v>457.59</v>
      </c>
      <c r="M166" s="392" t="s">
        <v>4134</v>
      </c>
      <c r="N166" s="393">
        <v>508600.22353640001</v>
      </c>
      <c r="O166" s="392" t="s">
        <v>6329</v>
      </c>
    </row>
    <row r="167" spans="1:15" x14ac:dyDescent="0.4">
      <c r="A167" s="392" t="s">
        <v>8897</v>
      </c>
      <c r="B167" s="390" t="s">
        <v>490</v>
      </c>
      <c r="C167" s="390" t="s">
        <v>8898</v>
      </c>
      <c r="D167" s="390" t="s">
        <v>1039</v>
      </c>
      <c r="E167" s="391" t="s">
        <v>7</v>
      </c>
      <c r="F167" s="392" t="s">
        <v>5269</v>
      </c>
      <c r="G167" s="392" t="s">
        <v>781</v>
      </c>
      <c r="H167" s="392" t="s">
        <v>8899</v>
      </c>
      <c r="I167" s="392" t="s">
        <v>781</v>
      </c>
      <c r="J167" s="392" t="s">
        <v>8899</v>
      </c>
      <c r="K167" s="392" t="s">
        <v>781</v>
      </c>
      <c r="L167" s="393">
        <v>456.24</v>
      </c>
      <c r="M167" s="392" t="s">
        <v>4134</v>
      </c>
      <c r="N167" s="393">
        <v>509056.4635364</v>
      </c>
      <c r="O167" s="392" t="s">
        <v>8900</v>
      </c>
    </row>
    <row r="168" spans="1:15" ht="26.4" x14ac:dyDescent="0.4">
      <c r="A168" s="392" t="s">
        <v>4075</v>
      </c>
      <c r="B168" s="390" t="s">
        <v>395</v>
      </c>
      <c r="C168" s="390" t="s">
        <v>4076</v>
      </c>
      <c r="D168" s="390" t="s">
        <v>1039</v>
      </c>
      <c r="E168" s="391" t="s">
        <v>4</v>
      </c>
      <c r="F168" s="392" t="s">
        <v>8901</v>
      </c>
      <c r="G168" s="392" t="s">
        <v>781</v>
      </c>
      <c r="H168" s="392" t="s">
        <v>6232</v>
      </c>
      <c r="I168" s="392" t="s">
        <v>781</v>
      </c>
      <c r="J168" s="392" t="s">
        <v>8902</v>
      </c>
      <c r="K168" s="392" t="s">
        <v>781</v>
      </c>
      <c r="L168" s="393">
        <v>454.833665</v>
      </c>
      <c r="M168" s="392" t="s">
        <v>4134</v>
      </c>
      <c r="N168" s="393">
        <v>509511.29720139998</v>
      </c>
      <c r="O168" s="392" t="s">
        <v>8903</v>
      </c>
    </row>
    <row r="169" spans="1:15" ht="52.8" x14ac:dyDescent="0.4">
      <c r="A169" s="392" t="s">
        <v>2576</v>
      </c>
      <c r="B169" s="390" t="s">
        <v>575</v>
      </c>
      <c r="C169" s="390" t="s">
        <v>2070</v>
      </c>
      <c r="D169" s="390" t="s">
        <v>1039</v>
      </c>
      <c r="E169" s="391" t="s">
        <v>4</v>
      </c>
      <c r="F169" s="392" t="s">
        <v>5269</v>
      </c>
      <c r="G169" s="392" t="s">
        <v>781</v>
      </c>
      <c r="H169" s="392" t="s">
        <v>8904</v>
      </c>
      <c r="I169" s="392" t="s">
        <v>781</v>
      </c>
      <c r="J169" s="392" t="s">
        <v>8904</v>
      </c>
      <c r="K169" s="392" t="s">
        <v>781</v>
      </c>
      <c r="L169" s="393">
        <v>451.22</v>
      </c>
      <c r="M169" s="392" t="s">
        <v>4134</v>
      </c>
      <c r="N169" s="393">
        <v>509962.51720140001</v>
      </c>
      <c r="O169" s="392" t="s">
        <v>8905</v>
      </c>
    </row>
    <row r="170" spans="1:15" x14ac:dyDescent="0.4">
      <c r="A170" s="392" t="s">
        <v>4118</v>
      </c>
      <c r="B170" s="390" t="s">
        <v>395</v>
      </c>
      <c r="C170" s="390" t="s">
        <v>4119</v>
      </c>
      <c r="D170" s="390" t="s">
        <v>1039</v>
      </c>
      <c r="E170" s="391" t="s">
        <v>7</v>
      </c>
      <c r="F170" s="392" t="s">
        <v>5318</v>
      </c>
      <c r="G170" s="392" t="s">
        <v>781</v>
      </c>
      <c r="H170" s="392" t="s">
        <v>6351</v>
      </c>
      <c r="I170" s="392" t="s">
        <v>781</v>
      </c>
      <c r="J170" s="392" t="s">
        <v>6352</v>
      </c>
      <c r="K170" s="392" t="s">
        <v>781</v>
      </c>
      <c r="L170" s="393">
        <v>449.00099999999998</v>
      </c>
      <c r="M170" s="392" t="s">
        <v>4134</v>
      </c>
      <c r="N170" s="393">
        <v>510411.5182014</v>
      </c>
      <c r="O170" s="392" t="s">
        <v>8906</v>
      </c>
    </row>
    <row r="171" spans="1:15" x14ac:dyDescent="0.4">
      <c r="A171" s="392" t="s">
        <v>6354</v>
      </c>
      <c r="B171" s="390" t="s">
        <v>408</v>
      </c>
      <c r="C171" s="390" t="s">
        <v>6355</v>
      </c>
      <c r="D171" s="390" t="s">
        <v>1053</v>
      </c>
      <c r="E171" s="391" t="s">
        <v>6</v>
      </c>
      <c r="F171" s="392" t="s">
        <v>6356</v>
      </c>
      <c r="G171" s="392" t="s">
        <v>781</v>
      </c>
      <c r="H171" s="392" t="s">
        <v>6238</v>
      </c>
      <c r="I171" s="392" t="s">
        <v>781</v>
      </c>
      <c r="J171" s="392" t="s">
        <v>6357</v>
      </c>
      <c r="K171" s="392" t="s">
        <v>781</v>
      </c>
      <c r="L171" s="393">
        <v>439.99200000000002</v>
      </c>
      <c r="M171" s="392" t="s">
        <v>4134</v>
      </c>
      <c r="N171" s="393">
        <v>510851.51020139997</v>
      </c>
      <c r="O171" s="392" t="s">
        <v>6339</v>
      </c>
    </row>
    <row r="172" spans="1:15" ht="25.5" customHeight="1" x14ac:dyDescent="0.4">
      <c r="A172" s="392" t="s">
        <v>8907</v>
      </c>
      <c r="B172" s="390" t="s">
        <v>5902</v>
      </c>
      <c r="C172" s="390" t="s">
        <v>8908</v>
      </c>
      <c r="D172" s="390" t="s">
        <v>1053</v>
      </c>
      <c r="E172" s="391" t="s">
        <v>6</v>
      </c>
      <c r="F172" s="392" t="s">
        <v>8909</v>
      </c>
      <c r="G172" s="392" t="s">
        <v>781</v>
      </c>
      <c r="H172" s="392" t="s">
        <v>6250</v>
      </c>
      <c r="I172" s="392" t="s">
        <v>781</v>
      </c>
      <c r="J172" s="392" t="s">
        <v>8910</v>
      </c>
      <c r="K172" s="392" t="s">
        <v>781</v>
      </c>
      <c r="L172" s="393">
        <v>439.14431999999999</v>
      </c>
      <c r="M172" s="392" t="s">
        <v>4134</v>
      </c>
      <c r="N172" s="393">
        <v>511290.65452139999</v>
      </c>
      <c r="O172" s="392" t="s">
        <v>8911</v>
      </c>
    </row>
    <row r="173" spans="1:15" ht="25.5" customHeight="1" x14ac:dyDescent="0.4">
      <c r="A173" s="392" t="s">
        <v>6358</v>
      </c>
      <c r="B173" s="390" t="s">
        <v>420</v>
      </c>
      <c r="C173" s="390" t="s">
        <v>6359</v>
      </c>
      <c r="D173" s="390" t="s">
        <v>1039</v>
      </c>
      <c r="E173" s="391" t="s">
        <v>422</v>
      </c>
      <c r="F173" s="392" t="s">
        <v>5269</v>
      </c>
      <c r="G173" s="392" t="s">
        <v>781</v>
      </c>
      <c r="H173" s="392" t="s">
        <v>6360</v>
      </c>
      <c r="I173" s="392" t="s">
        <v>781</v>
      </c>
      <c r="J173" s="392" t="s">
        <v>6360</v>
      </c>
      <c r="K173" s="392" t="s">
        <v>781</v>
      </c>
      <c r="L173" s="393">
        <v>436.53</v>
      </c>
      <c r="M173" s="392" t="s">
        <v>4134</v>
      </c>
      <c r="N173" s="393">
        <v>511727.18452140002</v>
      </c>
      <c r="O173" s="392" t="s">
        <v>8912</v>
      </c>
    </row>
    <row r="174" spans="1:15" x14ac:dyDescent="0.4">
      <c r="A174" s="392" t="s">
        <v>4164</v>
      </c>
      <c r="B174" s="390" t="s">
        <v>420</v>
      </c>
      <c r="C174" s="390" t="s">
        <v>4165</v>
      </c>
      <c r="D174" s="390" t="s">
        <v>1053</v>
      </c>
      <c r="E174" s="391" t="s">
        <v>2627</v>
      </c>
      <c r="F174" s="392" t="s">
        <v>6361</v>
      </c>
      <c r="G174" s="392" t="s">
        <v>781</v>
      </c>
      <c r="H174" s="392" t="s">
        <v>6362</v>
      </c>
      <c r="I174" s="392" t="s">
        <v>781</v>
      </c>
      <c r="J174" s="392" t="s">
        <v>6363</v>
      </c>
      <c r="K174" s="392" t="s">
        <v>781</v>
      </c>
      <c r="L174" s="393">
        <v>433.55209500000001</v>
      </c>
      <c r="M174" s="392" t="s">
        <v>4145</v>
      </c>
      <c r="N174" s="393">
        <v>512160.73661640001</v>
      </c>
      <c r="O174" s="392" t="s">
        <v>8913</v>
      </c>
    </row>
    <row r="175" spans="1:15" ht="26.4" x14ac:dyDescent="0.4">
      <c r="A175" s="392" t="s">
        <v>4141</v>
      </c>
      <c r="B175" s="390" t="s">
        <v>395</v>
      </c>
      <c r="C175" s="390" t="s">
        <v>4142</v>
      </c>
      <c r="D175" s="390" t="s">
        <v>1317</v>
      </c>
      <c r="E175" s="391" t="s">
        <v>4</v>
      </c>
      <c r="F175" s="392" t="s">
        <v>6364</v>
      </c>
      <c r="G175" s="392" t="s">
        <v>781</v>
      </c>
      <c r="H175" s="392" t="s">
        <v>6365</v>
      </c>
      <c r="I175" s="392" t="s">
        <v>781</v>
      </c>
      <c r="J175" s="392" t="s">
        <v>6366</v>
      </c>
      <c r="K175" s="392" t="s">
        <v>781</v>
      </c>
      <c r="L175" s="393">
        <v>433.19016569199999</v>
      </c>
      <c r="M175" s="392" t="s">
        <v>4145</v>
      </c>
      <c r="N175" s="393">
        <v>512593.9267821</v>
      </c>
      <c r="O175" s="392" t="s">
        <v>8914</v>
      </c>
    </row>
    <row r="176" spans="1:15" ht="52.8" x14ac:dyDescent="0.4">
      <c r="A176" s="392" t="s">
        <v>2575</v>
      </c>
      <c r="B176" s="390" t="s">
        <v>575</v>
      </c>
      <c r="C176" s="390" t="s">
        <v>2068</v>
      </c>
      <c r="D176" s="390" t="s">
        <v>1039</v>
      </c>
      <c r="E176" s="391" t="s">
        <v>4</v>
      </c>
      <c r="F176" s="392" t="s">
        <v>5269</v>
      </c>
      <c r="G176" s="392" t="s">
        <v>781</v>
      </c>
      <c r="H176" s="392" t="s">
        <v>8915</v>
      </c>
      <c r="I176" s="392" t="s">
        <v>781</v>
      </c>
      <c r="J176" s="392" t="s">
        <v>8915</v>
      </c>
      <c r="K176" s="392" t="s">
        <v>781</v>
      </c>
      <c r="L176" s="393">
        <v>431.37</v>
      </c>
      <c r="M176" s="392" t="s">
        <v>4145</v>
      </c>
      <c r="N176" s="393">
        <v>513025.29678209999</v>
      </c>
      <c r="O176" s="392" t="s">
        <v>5845</v>
      </c>
    </row>
    <row r="177" spans="1:15" ht="26.4" x14ac:dyDescent="0.4">
      <c r="A177" s="392" t="s">
        <v>4120</v>
      </c>
      <c r="B177" s="390" t="s">
        <v>395</v>
      </c>
      <c r="C177" s="390" t="s">
        <v>4121</v>
      </c>
      <c r="D177" s="390" t="s">
        <v>1039</v>
      </c>
      <c r="E177" s="391" t="s">
        <v>4</v>
      </c>
      <c r="F177" s="392" t="s">
        <v>5269</v>
      </c>
      <c r="G177" s="392" t="s">
        <v>781</v>
      </c>
      <c r="H177" s="392" t="s">
        <v>6367</v>
      </c>
      <c r="I177" s="392" t="s">
        <v>781</v>
      </c>
      <c r="J177" s="392" t="s">
        <v>6367</v>
      </c>
      <c r="K177" s="392" t="s">
        <v>781</v>
      </c>
      <c r="L177" s="393">
        <v>429.54</v>
      </c>
      <c r="M177" s="392" t="s">
        <v>4145</v>
      </c>
      <c r="N177" s="393">
        <v>513454.83678210003</v>
      </c>
      <c r="O177" s="392" t="s">
        <v>8916</v>
      </c>
    </row>
    <row r="178" spans="1:15" ht="25.5" customHeight="1" x14ac:dyDescent="0.4">
      <c r="A178" s="392" t="s">
        <v>651</v>
      </c>
      <c r="B178" s="390" t="s">
        <v>420</v>
      </c>
      <c r="C178" s="390" t="s">
        <v>1389</v>
      </c>
      <c r="D178" s="390" t="s">
        <v>1053</v>
      </c>
      <c r="E178" s="391" t="s">
        <v>1070</v>
      </c>
      <c r="F178" s="392" t="s">
        <v>5331</v>
      </c>
      <c r="G178" s="392" t="s">
        <v>781</v>
      </c>
      <c r="H178" s="392" t="s">
        <v>6202</v>
      </c>
      <c r="I178" s="392" t="s">
        <v>781</v>
      </c>
      <c r="J178" s="392" t="s">
        <v>6369</v>
      </c>
      <c r="K178" s="392" t="s">
        <v>781</v>
      </c>
      <c r="L178" s="393">
        <v>429.45</v>
      </c>
      <c r="M178" s="392" t="s">
        <v>4145</v>
      </c>
      <c r="N178" s="393">
        <v>513884.28678209998</v>
      </c>
      <c r="O178" s="392" t="s">
        <v>8917</v>
      </c>
    </row>
    <row r="179" spans="1:15" x14ac:dyDescent="0.4">
      <c r="A179" s="392" t="s">
        <v>2293</v>
      </c>
      <c r="B179" s="390" t="s">
        <v>395</v>
      </c>
      <c r="C179" s="390" t="s">
        <v>292</v>
      </c>
      <c r="D179" s="390" t="s">
        <v>1039</v>
      </c>
      <c r="E179" s="391" t="s">
        <v>675</v>
      </c>
      <c r="F179" s="392" t="s">
        <v>5269</v>
      </c>
      <c r="G179" s="392" t="s">
        <v>781</v>
      </c>
      <c r="H179" s="392" t="s">
        <v>6178</v>
      </c>
      <c r="I179" s="392" t="s">
        <v>781</v>
      </c>
      <c r="J179" s="392" t="s">
        <v>6178</v>
      </c>
      <c r="K179" s="392" t="s">
        <v>781</v>
      </c>
      <c r="L179" s="393">
        <v>422.67</v>
      </c>
      <c r="M179" s="392" t="s">
        <v>4145</v>
      </c>
      <c r="N179" s="393">
        <v>514306.95678210002</v>
      </c>
      <c r="O179" s="392" t="s">
        <v>8918</v>
      </c>
    </row>
    <row r="180" spans="1:15" ht="25.5" customHeight="1" x14ac:dyDescent="0.4">
      <c r="A180" s="392" t="s">
        <v>1457</v>
      </c>
      <c r="B180" s="390" t="s">
        <v>408</v>
      </c>
      <c r="C180" s="390" t="s">
        <v>1458</v>
      </c>
      <c r="D180" s="390" t="s">
        <v>1039</v>
      </c>
      <c r="E180" s="391" t="s">
        <v>675</v>
      </c>
      <c r="F180" s="392" t="s">
        <v>8919</v>
      </c>
      <c r="G180" s="392" t="s">
        <v>781</v>
      </c>
      <c r="H180" s="392" t="s">
        <v>6395</v>
      </c>
      <c r="I180" s="392" t="s">
        <v>781</v>
      </c>
      <c r="J180" s="392" t="s">
        <v>8920</v>
      </c>
      <c r="K180" s="392" t="s">
        <v>781</v>
      </c>
      <c r="L180" s="393">
        <v>408.5</v>
      </c>
      <c r="M180" s="392" t="s">
        <v>4145</v>
      </c>
      <c r="N180" s="393">
        <v>514715.45678210002</v>
      </c>
      <c r="O180" s="392" t="s">
        <v>8921</v>
      </c>
    </row>
    <row r="181" spans="1:15" ht="26.4" x14ac:dyDescent="0.4">
      <c r="A181" s="392" t="s">
        <v>2495</v>
      </c>
      <c r="B181" s="390" t="s">
        <v>395</v>
      </c>
      <c r="C181" s="390" t="s">
        <v>306</v>
      </c>
      <c r="D181" s="390" t="s">
        <v>1039</v>
      </c>
      <c r="E181" s="391" t="s">
        <v>7</v>
      </c>
      <c r="F181" s="392" t="s">
        <v>6370</v>
      </c>
      <c r="G181" s="392" t="s">
        <v>781</v>
      </c>
      <c r="H181" s="392" t="s">
        <v>6371</v>
      </c>
      <c r="I181" s="392" t="s">
        <v>781</v>
      </c>
      <c r="J181" s="392" t="s">
        <v>6372</v>
      </c>
      <c r="K181" s="392" t="s">
        <v>781</v>
      </c>
      <c r="L181" s="393">
        <v>407.68117394400002</v>
      </c>
      <c r="M181" s="392" t="s">
        <v>4145</v>
      </c>
      <c r="N181" s="393">
        <v>515123.13795599999</v>
      </c>
      <c r="O181" s="392" t="s">
        <v>8922</v>
      </c>
    </row>
    <row r="182" spans="1:15" ht="26.4" x14ac:dyDescent="0.4">
      <c r="A182" s="392" t="s">
        <v>3291</v>
      </c>
      <c r="B182" s="390" t="s">
        <v>5902</v>
      </c>
      <c r="C182" s="390" t="s">
        <v>3292</v>
      </c>
      <c r="D182" s="390" t="s">
        <v>1039</v>
      </c>
      <c r="E182" s="391" t="s">
        <v>6</v>
      </c>
      <c r="F182" s="392" t="s">
        <v>8923</v>
      </c>
      <c r="G182" s="392" t="s">
        <v>781</v>
      </c>
      <c r="H182" s="392" t="s">
        <v>6464</v>
      </c>
      <c r="I182" s="392" t="s">
        <v>781</v>
      </c>
      <c r="J182" s="392" t="s">
        <v>8924</v>
      </c>
      <c r="K182" s="392" t="s">
        <v>781</v>
      </c>
      <c r="L182" s="393">
        <v>406.94400000000002</v>
      </c>
      <c r="M182" s="392" t="s">
        <v>4145</v>
      </c>
      <c r="N182" s="393">
        <v>515530.08195600001</v>
      </c>
      <c r="O182" s="392" t="s">
        <v>8925</v>
      </c>
    </row>
    <row r="183" spans="1:15" ht="26.4" x14ac:dyDescent="0.4">
      <c r="A183" s="392" t="s">
        <v>8926</v>
      </c>
      <c r="B183" s="390" t="s">
        <v>5902</v>
      </c>
      <c r="C183" s="390" t="s">
        <v>8927</v>
      </c>
      <c r="D183" s="390" t="s">
        <v>1039</v>
      </c>
      <c r="E183" s="391" t="s">
        <v>6</v>
      </c>
      <c r="F183" s="392" t="s">
        <v>7013</v>
      </c>
      <c r="G183" s="392" t="s">
        <v>781</v>
      </c>
      <c r="H183" s="392" t="s">
        <v>8928</v>
      </c>
      <c r="I183" s="392" t="s">
        <v>781</v>
      </c>
      <c r="J183" s="392" t="s">
        <v>8929</v>
      </c>
      <c r="K183" s="392" t="s">
        <v>781</v>
      </c>
      <c r="L183" s="393">
        <v>406.84800000000001</v>
      </c>
      <c r="M183" s="392" t="s">
        <v>4145</v>
      </c>
      <c r="N183" s="393">
        <v>515936.92995600001</v>
      </c>
      <c r="O183" s="392" t="s">
        <v>8930</v>
      </c>
    </row>
    <row r="184" spans="1:15" ht="26.4" x14ac:dyDescent="0.4">
      <c r="A184" s="392" t="s">
        <v>8931</v>
      </c>
      <c r="B184" s="390" t="s">
        <v>439</v>
      </c>
      <c r="C184" s="390" t="s">
        <v>8932</v>
      </c>
      <c r="D184" s="390" t="s">
        <v>1039</v>
      </c>
      <c r="E184" s="391" t="s">
        <v>2627</v>
      </c>
      <c r="F184" s="392" t="s">
        <v>5269</v>
      </c>
      <c r="G184" s="392" t="s">
        <v>781</v>
      </c>
      <c r="H184" s="392" t="s">
        <v>8933</v>
      </c>
      <c r="I184" s="392" t="s">
        <v>781</v>
      </c>
      <c r="J184" s="392" t="s">
        <v>8933</v>
      </c>
      <c r="K184" s="392" t="s">
        <v>781</v>
      </c>
      <c r="L184" s="393">
        <v>402.54</v>
      </c>
      <c r="M184" s="392" t="s">
        <v>4145</v>
      </c>
      <c r="N184" s="393">
        <v>516339.46995599999</v>
      </c>
      <c r="O184" s="392" t="s">
        <v>6353</v>
      </c>
    </row>
    <row r="185" spans="1:15" x14ac:dyDescent="0.4">
      <c r="A185" s="392" t="s">
        <v>1225</v>
      </c>
      <c r="B185" s="390" t="s">
        <v>420</v>
      </c>
      <c r="C185" s="390" t="s">
        <v>1226</v>
      </c>
      <c r="D185" s="390" t="s">
        <v>1039</v>
      </c>
      <c r="E185" s="391" t="s">
        <v>422</v>
      </c>
      <c r="F185" s="392" t="s">
        <v>5273</v>
      </c>
      <c r="G185" s="392" t="s">
        <v>781</v>
      </c>
      <c r="H185" s="392" t="s">
        <v>5321</v>
      </c>
      <c r="I185" s="392" t="s">
        <v>781</v>
      </c>
      <c r="J185" s="392" t="s">
        <v>5322</v>
      </c>
      <c r="K185" s="392" t="s">
        <v>781</v>
      </c>
      <c r="L185" s="393">
        <v>400</v>
      </c>
      <c r="M185" s="392" t="s">
        <v>4145</v>
      </c>
      <c r="N185" s="393">
        <v>516739.46995599999</v>
      </c>
      <c r="O185" s="392" t="s">
        <v>8934</v>
      </c>
    </row>
    <row r="186" spans="1:15" x14ac:dyDescent="0.4">
      <c r="A186" s="392" t="s">
        <v>3190</v>
      </c>
      <c r="B186" s="390" t="s">
        <v>575</v>
      </c>
      <c r="C186" s="390" t="s">
        <v>3191</v>
      </c>
      <c r="D186" s="390" t="s">
        <v>1039</v>
      </c>
      <c r="E186" s="391" t="s">
        <v>4</v>
      </c>
      <c r="F186" s="392" t="s">
        <v>5273</v>
      </c>
      <c r="G186" s="392" t="s">
        <v>781</v>
      </c>
      <c r="H186" s="392" t="s">
        <v>5321</v>
      </c>
      <c r="I186" s="392" t="s">
        <v>781</v>
      </c>
      <c r="J186" s="392" t="s">
        <v>5322</v>
      </c>
      <c r="K186" s="392" t="s">
        <v>781</v>
      </c>
      <c r="L186" s="393">
        <v>400</v>
      </c>
      <c r="M186" s="392" t="s">
        <v>4145</v>
      </c>
      <c r="N186" s="393">
        <v>517139.46995599999</v>
      </c>
      <c r="O186" s="392" t="s">
        <v>8935</v>
      </c>
    </row>
    <row r="187" spans="1:15" ht="25.5" customHeight="1" x14ac:dyDescent="0.4">
      <c r="A187" s="392" t="s">
        <v>4247</v>
      </c>
      <c r="B187" s="390" t="s">
        <v>395</v>
      </c>
      <c r="C187" s="390" t="s">
        <v>4248</v>
      </c>
      <c r="D187" s="390" t="s">
        <v>1039</v>
      </c>
      <c r="E187" s="391" t="s">
        <v>4</v>
      </c>
      <c r="F187" s="392" t="s">
        <v>5269</v>
      </c>
      <c r="G187" s="392" t="s">
        <v>781</v>
      </c>
      <c r="H187" s="392" t="s">
        <v>6373</v>
      </c>
      <c r="I187" s="392" t="s">
        <v>781</v>
      </c>
      <c r="J187" s="392" t="s">
        <v>6373</v>
      </c>
      <c r="K187" s="392" t="s">
        <v>781</v>
      </c>
      <c r="L187" s="393">
        <v>395.03</v>
      </c>
      <c r="M187" s="392" t="s">
        <v>4145</v>
      </c>
      <c r="N187" s="393">
        <v>517534.49995600001</v>
      </c>
      <c r="O187" s="392" t="s">
        <v>8936</v>
      </c>
    </row>
    <row r="188" spans="1:15" ht="26.4" x14ac:dyDescent="0.4">
      <c r="A188" s="392" t="s">
        <v>1473</v>
      </c>
      <c r="B188" s="390" t="s">
        <v>5902</v>
      </c>
      <c r="C188" s="390" t="s">
        <v>1474</v>
      </c>
      <c r="D188" s="390" t="s">
        <v>1039</v>
      </c>
      <c r="E188" s="391" t="s">
        <v>713</v>
      </c>
      <c r="F188" s="392" t="s">
        <v>8937</v>
      </c>
      <c r="G188" s="392" t="s">
        <v>781</v>
      </c>
      <c r="H188" s="392" t="s">
        <v>6383</v>
      </c>
      <c r="I188" s="392" t="s">
        <v>781</v>
      </c>
      <c r="J188" s="392" t="s">
        <v>8938</v>
      </c>
      <c r="K188" s="392" t="s">
        <v>781</v>
      </c>
      <c r="L188" s="393">
        <v>392.51942400000001</v>
      </c>
      <c r="M188" s="392" t="s">
        <v>4145</v>
      </c>
      <c r="N188" s="393">
        <v>517927.01938000001</v>
      </c>
      <c r="O188" s="392" t="s">
        <v>8939</v>
      </c>
    </row>
    <row r="189" spans="1:15" ht="38.25" customHeight="1" x14ac:dyDescent="0.4">
      <c r="A189" s="392" t="s">
        <v>3145</v>
      </c>
      <c r="B189" s="390" t="s">
        <v>420</v>
      </c>
      <c r="C189" s="390" t="s">
        <v>3146</v>
      </c>
      <c r="D189" s="390" t="s">
        <v>1039</v>
      </c>
      <c r="E189" s="391" t="s">
        <v>422</v>
      </c>
      <c r="F189" s="392" t="s">
        <v>5273</v>
      </c>
      <c r="G189" s="392" t="s">
        <v>781</v>
      </c>
      <c r="H189" s="392" t="s">
        <v>6374</v>
      </c>
      <c r="I189" s="392" t="s">
        <v>781</v>
      </c>
      <c r="J189" s="392" t="s">
        <v>6375</v>
      </c>
      <c r="K189" s="392" t="s">
        <v>781</v>
      </c>
      <c r="L189" s="393">
        <v>390.88</v>
      </c>
      <c r="M189" s="392" t="s">
        <v>4145</v>
      </c>
      <c r="N189" s="393">
        <v>518317.89938000002</v>
      </c>
      <c r="O189" s="392" t="s">
        <v>8940</v>
      </c>
    </row>
    <row r="190" spans="1:15" x14ac:dyDescent="0.4">
      <c r="A190" s="392" t="s">
        <v>798</v>
      </c>
      <c r="B190" s="390" t="s">
        <v>420</v>
      </c>
      <c r="C190" s="390" t="s">
        <v>4131</v>
      </c>
      <c r="D190" s="390" t="s">
        <v>1039</v>
      </c>
      <c r="E190" s="391" t="s">
        <v>422</v>
      </c>
      <c r="F190" s="392" t="s">
        <v>5325</v>
      </c>
      <c r="G190" s="392" t="s">
        <v>781</v>
      </c>
      <c r="H190" s="392" t="s">
        <v>5326</v>
      </c>
      <c r="I190" s="392" t="s">
        <v>781</v>
      </c>
      <c r="J190" s="392" t="s">
        <v>5327</v>
      </c>
      <c r="K190" s="392" t="s">
        <v>781</v>
      </c>
      <c r="L190" s="393">
        <v>389.49262240000002</v>
      </c>
      <c r="M190" s="392" t="s">
        <v>4145</v>
      </c>
      <c r="N190" s="393">
        <v>518707.39200240001</v>
      </c>
      <c r="O190" s="392" t="s">
        <v>8941</v>
      </c>
    </row>
    <row r="191" spans="1:15" ht="39.6" x14ac:dyDescent="0.4">
      <c r="A191" s="392" t="s">
        <v>4101</v>
      </c>
      <c r="B191" s="390" t="s">
        <v>395</v>
      </c>
      <c r="C191" s="390" t="s">
        <v>4102</v>
      </c>
      <c r="D191" s="390" t="s">
        <v>1039</v>
      </c>
      <c r="E191" s="391" t="s">
        <v>7</v>
      </c>
      <c r="F191" s="392" t="s">
        <v>8942</v>
      </c>
      <c r="G191" s="392" t="s">
        <v>781</v>
      </c>
      <c r="H191" s="392" t="s">
        <v>6243</v>
      </c>
      <c r="I191" s="392" t="s">
        <v>781</v>
      </c>
      <c r="J191" s="392" t="s">
        <v>8943</v>
      </c>
      <c r="K191" s="392" t="s">
        <v>781</v>
      </c>
      <c r="L191" s="393">
        <v>383.96492000000001</v>
      </c>
      <c r="M191" s="392" t="s">
        <v>4145</v>
      </c>
      <c r="N191" s="393">
        <v>519091.35692240001</v>
      </c>
      <c r="O191" s="392" t="s">
        <v>6368</v>
      </c>
    </row>
    <row r="192" spans="1:15" ht="26.4" x14ac:dyDescent="0.4">
      <c r="A192" s="392" t="s">
        <v>4116</v>
      </c>
      <c r="B192" s="390" t="s">
        <v>395</v>
      </c>
      <c r="C192" s="390" t="s">
        <v>4117</v>
      </c>
      <c r="D192" s="390" t="s">
        <v>1317</v>
      </c>
      <c r="E192" s="391" t="s">
        <v>6</v>
      </c>
      <c r="F192" s="392" t="s">
        <v>6376</v>
      </c>
      <c r="G192" s="392" t="s">
        <v>781</v>
      </c>
      <c r="H192" s="392" t="s">
        <v>6377</v>
      </c>
      <c r="I192" s="392" t="s">
        <v>781</v>
      </c>
      <c r="J192" s="392" t="s">
        <v>6378</v>
      </c>
      <c r="K192" s="392" t="s">
        <v>781</v>
      </c>
      <c r="L192" s="393">
        <v>383.12677472000001</v>
      </c>
      <c r="M192" s="392" t="s">
        <v>4145</v>
      </c>
      <c r="N192" s="393">
        <v>519474.48369710002</v>
      </c>
      <c r="O192" s="392" t="s">
        <v>8944</v>
      </c>
    </row>
    <row r="193" spans="1:15" ht="38.25" customHeight="1" x14ac:dyDescent="0.4">
      <c r="A193" s="392" t="s">
        <v>4127</v>
      </c>
      <c r="B193" s="390" t="s">
        <v>395</v>
      </c>
      <c r="C193" s="390" t="s">
        <v>4128</v>
      </c>
      <c r="D193" s="390" t="s">
        <v>1039</v>
      </c>
      <c r="E193" s="391" t="s">
        <v>4</v>
      </c>
      <c r="F193" s="392" t="s">
        <v>5305</v>
      </c>
      <c r="G193" s="392" t="s">
        <v>781</v>
      </c>
      <c r="H193" s="392" t="s">
        <v>6380</v>
      </c>
      <c r="I193" s="392" t="s">
        <v>781</v>
      </c>
      <c r="J193" s="392" t="s">
        <v>6381</v>
      </c>
      <c r="K193" s="392" t="s">
        <v>781</v>
      </c>
      <c r="L193" s="393">
        <v>378.32</v>
      </c>
      <c r="M193" s="392" t="s">
        <v>4145</v>
      </c>
      <c r="N193" s="393">
        <v>519852.80369710003</v>
      </c>
      <c r="O193" s="392" t="s">
        <v>8945</v>
      </c>
    </row>
    <row r="194" spans="1:15" x14ac:dyDescent="0.4">
      <c r="A194" s="392" t="s">
        <v>2911</v>
      </c>
      <c r="B194" s="390" t="s">
        <v>420</v>
      </c>
      <c r="C194" s="390" t="s">
        <v>3144</v>
      </c>
      <c r="D194" s="390" t="s">
        <v>1039</v>
      </c>
      <c r="E194" s="391" t="s">
        <v>422</v>
      </c>
      <c r="F194" s="392" t="s">
        <v>5273</v>
      </c>
      <c r="G194" s="392" t="s">
        <v>781</v>
      </c>
      <c r="H194" s="392" t="s">
        <v>8946</v>
      </c>
      <c r="I194" s="392" t="s">
        <v>781</v>
      </c>
      <c r="J194" s="392" t="s">
        <v>8947</v>
      </c>
      <c r="K194" s="392" t="s">
        <v>781</v>
      </c>
      <c r="L194" s="393">
        <v>377.18</v>
      </c>
      <c r="M194" s="392" t="s">
        <v>4154</v>
      </c>
      <c r="N194" s="393">
        <v>520229.98369710002</v>
      </c>
      <c r="O194" s="392" t="s">
        <v>8948</v>
      </c>
    </row>
    <row r="195" spans="1:15" x14ac:dyDescent="0.4">
      <c r="A195" s="392" t="s">
        <v>1237</v>
      </c>
      <c r="B195" s="390" t="s">
        <v>408</v>
      </c>
      <c r="C195" s="390" t="s">
        <v>528</v>
      </c>
      <c r="D195" s="390" t="s">
        <v>1039</v>
      </c>
      <c r="E195" s="391" t="s">
        <v>4</v>
      </c>
      <c r="F195" s="392" t="s">
        <v>5269</v>
      </c>
      <c r="G195" s="392" t="s">
        <v>781</v>
      </c>
      <c r="H195" s="392" t="s">
        <v>6385</v>
      </c>
      <c r="I195" s="392" t="s">
        <v>781</v>
      </c>
      <c r="J195" s="392" t="s">
        <v>6385</v>
      </c>
      <c r="K195" s="392" t="s">
        <v>781</v>
      </c>
      <c r="L195" s="393">
        <v>377</v>
      </c>
      <c r="M195" s="392" t="s">
        <v>4154</v>
      </c>
      <c r="N195" s="393">
        <v>520606.98369710002</v>
      </c>
      <c r="O195" s="392" t="s">
        <v>8949</v>
      </c>
    </row>
    <row r="196" spans="1:15" x14ac:dyDescent="0.4">
      <c r="A196" s="392" t="s">
        <v>3068</v>
      </c>
      <c r="B196" s="390" t="s">
        <v>408</v>
      </c>
      <c r="C196" s="390" t="s">
        <v>3069</v>
      </c>
      <c r="D196" s="390" t="s">
        <v>1039</v>
      </c>
      <c r="E196" s="391" t="s">
        <v>4</v>
      </c>
      <c r="F196" s="392" t="s">
        <v>5277</v>
      </c>
      <c r="G196" s="392" t="s">
        <v>781</v>
      </c>
      <c r="H196" s="392" t="s">
        <v>5554</v>
      </c>
      <c r="I196" s="392" t="s">
        <v>781</v>
      </c>
      <c r="J196" s="392" t="s">
        <v>6386</v>
      </c>
      <c r="K196" s="392" t="s">
        <v>781</v>
      </c>
      <c r="L196" s="393">
        <v>371.69</v>
      </c>
      <c r="M196" s="392" t="s">
        <v>4154</v>
      </c>
      <c r="N196" s="393">
        <v>520978.67369710002</v>
      </c>
      <c r="O196" s="392" t="s">
        <v>8950</v>
      </c>
    </row>
    <row r="197" spans="1:15" ht="25.5" customHeight="1" x14ac:dyDescent="0.4">
      <c r="A197" s="392" t="s">
        <v>6387</v>
      </c>
      <c r="B197" s="390" t="s">
        <v>408</v>
      </c>
      <c r="C197" s="390" t="s">
        <v>6388</v>
      </c>
      <c r="D197" s="390" t="s">
        <v>1053</v>
      </c>
      <c r="E197" s="391" t="s">
        <v>6</v>
      </c>
      <c r="F197" s="392" t="s">
        <v>6389</v>
      </c>
      <c r="G197" s="392" t="s">
        <v>781</v>
      </c>
      <c r="H197" s="392" t="s">
        <v>6238</v>
      </c>
      <c r="I197" s="392" t="s">
        <v>781</v>
      </c>
      <c r="J197" s="392" t="s">
        <v>6390</v>
      </c>
      <c r="K197" s="392" t="s">
        <v>781</v>
      </c>
      <c r="L197" s="393">
        <v>370.59120000000001</v>
      </c>
      <c r="M197" s="392" t="s">
        <v>4154</v>
      </c>
      <c r="N197" s="393">
        <v>521349.26489709999</v>
      </c>
      <c r="O197" s="392" t="s">
        <v>8951</v>
      </c>
    </row>
    <row r="198" spans="1:15" ht="25.5" customHeight="1" x14ac:dyDescent="0.4">
      <c r="A198" s="392" t="s">
        <v>3111</v>
      </c>
      <c r="B198" s="390" t="s">
        <v>408</v>
      </c>
      <c r="C198" s="390" t="s">
        <v>3112</v>
      </c>
      <c r="D198" s="390" t="s">
        <v>1039</v>
      </c>
      <c r="E198" s="391" t="s">
        <v>4</v>
      </c>
      <c r="F198" s="392" t="s">
        <v>5269</v>
      </c>
      <c r="G198" s="392" t="s">
        <v>781</v>
      </c>
      <c r="H198" s="392" t="s">
        <v>6391</v>
      </c>
      <c r="I198" s="392" t="s">
        <v>781</v>
      </c>
      <c r="J198" s="392" t="s">
        <v>6391</v>
      </c>
      <c r="K198" s="392" t="s">
        <v>781</v>
      </c>
      <c r="L198" s="393">
        <v>370</v>
      </c>
      <c r="M198" s="392" t="s">
        <v>4154</v>
      </c>
      <c r="N198" s="393">
        <v>521719.26489709999</v>
      </c>
      <c r="O198" s="392" t="s">
        <v>8952</v>
      </c>
    </row>
    <row r="199" spans="1:15" x14ac:dyDescent="0.4">
      <c r="A199" s="392" t="s">
        <v>3170</v>
      </c>
      <c r="B199" s="390" t="s">
        <v>575</v>
      </c>
      <c r="C199" s="390" t="s">
        <v>2734</v>
      </c>
      <c r="D199" s="390" t="s">
        <v>1039</v>
      </c>
      <c r="E199" s="391" t="s">
        <v>4</v>
      </c>
      <c r="F199" s="392" t="s">
        <v>5273</v>
      </c>
      <c r="G199" s="392" t="s">
        <v>781</v>
      </c>
      <c r="H199" s="392" t="s">
        <v>5293</v>
      </c>
      <c r="I199" s="392" t="s">
        <v>781</v>
      </c>
      <c r="J199" s="392" t="s">
        <v>6391</v>
      </c>
      <c r="K199" s="392" t="s">
        <v>781</v>
      </c>
      <c r="L199" s="393">
        <v>370</v>
      </c>
      <c r="M199" s="392" t="s">
        <v>4154</v>
      </c>
      <c r="N199" s="393">
        <v>522089.26489709999</v>
      </c>
      <c r="O199" s="392" t="s">
        <v>8953</v>
      </c>
    </row>
    <row r="200" spans="1:15" ht="25.5" customHeight="1" x14ac:dyDescent="0.4">
      <c r="A200" s="392" t="s">
        <v>4181</v>
      </c>
      <c r="B200" s="390" t="s">
        <v>420</v>
      </c>
      <c r="C200" s="390" t="s">
        <v>4182</v>
      </c>
      <c r="D200" s="390" t="s">
        <v>1053</v>
      </c>
      <c r="E200" s="391" t="s">
        <v>2627</v>
      </c>
      <c r="F200" s="392" t="s">
        <v>6392</v>
      </c>
      <c r="G200" s="392" t="s">
        <v>781</v>
      </c>
      <c r="H200" s="392" t="s">
        <v>6393</v>
      </c>
      <c r="I200" s="392" t="s">
        <v>781</v>
      </c>
      <c r="J200" s="392" t="s">
        <v>6394</v>
      </c>
      <c r="K200" s="392" t="s">
        <v>781</v>
      </c>
      <c r="L200" s="393">
        <v>368.18372499999998</v>
      </c>
      <c r="M200" s="392" t="s">
        <v>4154</v>
      </c>
      <c r="N200" s="393">
        <v>522457.4486221</v>
      </c>
      <c r="O200" s="392" t="s">
        <v>6379</v>
      </c>
    </row>
    <row r="201" spans="1:15" ht="26.4" x14ac:dyDescent="0.4">
      <c r="A201" s="392" t="s">
        <v>4137</v>
      </c>
      <c r="B201" s="390" t="s">
        <v>395</v>
      </c>
      <c r="C201" s="390" t="s">
        <v>4138</v>
      </c>
      <c r="D201" s="390" t="s">
        <v>1317</v>
      </c>
      <c r="E201" s="391" t="s">
        <v>10</v>
      </c>
      <c r="F201" s="392" t="s">
        <v>5273</v>
      </c>
      <c r="G201" s="392" t="s">
        <v>781</v>
      </c>
      <c r="H201" s="392" t="s">
        <v>6331</v>
      </c>
      <c r="I201" s="392" t="s">
        <v>781</v>
      </c>
      <c r="J201" s="392" t="s">
        <v>8954</v>
      </c>
      <c r="K201" s="392" t="s">
        <v>781</v>
      </c>
      <c r="L201" s="393">
        <v>361.04</v>
      </c>
      <c r="M201" s="392" t="s">
        <v>4154</v>
      </c>
      <c r="N201" s="393">
        <v>522818.48862209998</v>
      </c>
      <c r="O201" s="392" t="s">
        <v>6382</v>
      </c>
    </row>
    <row r="202" spans="1:15" x14ac:dyDescent="0.4">
      <c r="A202" s="392" t="s">
        <v>2482</v>
      </c>
      <c r="B202" s="390" t="s">
        <v>395</v>
      </c>
      <c r="C202" s="390" t="s">
        <v>290</v>
      </c>
      <c r="D202" s="390" t="s">
        <v>1039</v>
      </c>
      <c r="E202" s="391" t="s">
        <v>7</v>
      </c>
      <c r="F202" s="392" t="s">
        <v>5323</v>
      </c>
      <c r="G202" s="392" t="s">
        <v>781</v>
      </c>
      <c r="H202" s="392" t="s">
        <v>6397</v>
      </c>
      <c r="I202" s="392" t="s">
        <v>781</v>
      </c>
      <c r="J202" s="392" t="s">
        <v>6398</v>
      </c>
      <c r="K202" s="392" t="s">
        <v>781</v>
      </c>
      <c r="L202" s="393">
        <v>360.79050000000001</v>
      </c>
      <c r="M202" s="392" t="s">
        <v>4154</v>
      </c>
      <c r="N202" s="393">
        <v>523179.27912209998</v>
      </c>
      <c r="O202" s="392" t="s">
        <v>6384</v>
      </c>
    </row>
    <row r="203" spans="1:15" x14ac:dyDescent="0.4">
      <c r="A203" s="392" t="s">
        <v>1455</v>
      </c>
      <c r="B203" s="390" t="s">
        <v>408</v>
      </c>
      <c r="C203" s="390" t="s">
        <v>1456</v>
      </c>
      <c r="D203" s="390" t="s">
        <v>1039</v>
      </c>
      <c r="E203" s="391" t="s">
        <v>4</v>
      </c>
      <c r="F203" s="392" t="s">
        <v>5273</v>
      </c>
      <c r="G203" s="392" t="s">
        <v>781</v>
      </c>
      <c r="H203" s="392" t="s">
        <v>5623</v>
      </c>
      <c r="I203" s="392" t="s">
        <v>781</v>
      </c>
      <c r="J203" s="392" t="s">
        <v>6399</v>
      </c>
      <c r="K203" s="392" t="s">
        <v>781</v>
      </c>
      <c r="L203" s="393">
        <v>359.8</v>
      </c>
      <c r="M203" s="392" t="s">
        <v>4154</v>
      </c>
      <c r="N203" s="393">
        <v>523539.07912210003</v>
      </c>
      <c r="O203" s="392" t="s">
        <v>8955</v>
      </c>
    </row>
    <row r="204" spans="1:15" ht="26.4" x14ac:dyDescent="0.4">
      <c r="A204" s="392" t="s">
        <v>2283</v>
      </c>
      <c r="B204" s="390" t="s">
        <v>395</v>
      </c>
      <c r="C204" s="390" t="s">
        <v>270</v>
      </c>
      <c r="D204" s="390" t="s">
        <v>1039</v>
      </c>
      <c r="E204" s="391" t="s">
        <v>713</v>
      </c>
      <c r="F204" s="392" t="s">
        <v>6400</v>
      </c>
      <c r="G204" s="392" t="s">
        <v>781</v>
      </c>
      <c r="H204" s="392" t="s">
        <v>6348</v>
      </c>
      <c r="I204" s="392" t="s">
        <v>781</v>
      </c>
      <c r="J204" s="392" t="s">
        <v>6401</v>
      </c>
      <c r="K204" s="392" t="s">
        <v>781</v>
      </c>
      <c r="L204" s="393">
        <v>350.81858579999999</v>
      </c>
      <c r="M204" s="392" t="s">
        <v>4154</v>
      </c>
      <c r="N204" s="393">
        <v>523889.89770789997</v>
      </c>
      <c r="O204" s="392" t="s">
        <v>8956</v>
      </c>
    </row>
    <row r="205" spans="1:15" x14ac:dyDescent="0.4">
      <c r="A205" s="392" t="s">
        <v>2583</v>
      </c>
      <c r="B205" s="390" t="s">
        <v>575</v>
      </c>
      <c r="C205" s="390" t="s">
        <v>2081</v>
      </c>
      <c r="D205" s="390" t="s">
        <v>1039</v>
      </c>
      <c r="E205" s="391" t="s">
        <v>422</v>
      </c>
      <c r="F205" s="392" t="s">
        <v>5269</v>
      </c>
      <c r="G205" s="392" t="s">
        <v>781</v>
      </c>
      <c r="H205" s="392" t="s">
        <v>8957</v>
      </c>
      <c r="I205" s="392" t="s">
        <v>781</v>
      </c>
      <c r="J205" s="392" t="s">
        <v>8957</v>
      </c>
      <c r="K205" s="392" t="s">
        <v>781</v>
      </c>
      <c r="L205" s="393">
        <v>350.78</v>
      </c>
      <c r="M205" s="392" t="s">
        <v>4154</v>
      </c>
      <c r="N205" s="393">
        <v>524240.6777079</v>
      </c>
      <c r="O205" s="392" t="s">
        <v>8958</v>
      </c>
    </row>
    <row r="206" spans="1:15" ht="26.4" x14ac:dyDescent="0.4">
      <c r="A206" s="392" t="s">
        <v>1264</v>
      </c>
      <c r="B206" s="390" t="s">
        <v>420</v>
      </c>
      <c r="C206" s="390" t="s">
        <v>1265</v>
      </c>
      <c r="D206" s="390" t="s">
        <v>1039</v>
      </c>
      <c r="E206" s="391" t="s">
        <v>422</v>
      </c>
      <c r="F206" s="392" t="s">
        <v>5269</v>
      </c>
      <c r="G206" s="392" t="s">
        <v>781</v>
      </c>
      <c r="H206" s="392" t="s">
        <v>6402</v>
      </c>
      <c r="I206" s="392" t="s">
        <v>781</v>
      </c>
      <c r="J206" s="392" t="s">
        <v>6402</v>
      </c>
      <c r="K206" s="392" t="s">
        <v>781</v>
      </c>
      <c r="L206" s="393">
        <v>349.75</v>
      </c>
      <c r="M206" s="392" t="s">
        <v>4154</v>
      </c>
      <c r="N206" s="393">
        <v>524590.42770789994</v>
      </c>
      <c r="O206" s="392" t="s">
        <v>8959</v>
      </c>
    </row>
    <row r="207" spans="1:15" ht="26.4" x14ac:dyDescent="0.4">
      <c r="A207" s="392" t="s">
        <v>4185</v>
      </c>
      <c r="B207" s="390" t="s">
        <v>395</v>
      </c>
      <c r="C207" s="390" t="s">
        <v>4186</v>
      </c>
      <c r="D207" s="390" t="s">
        <v>1039</v>
      </c>
      <c r="E207" s="391" t="s">
        <v>4</v>
      </c>
      <c r="F207" s="392" t="s">
        <v>5269</v>
      </c>
      <c r="G207" s="392" t="s">
        <v>781</v>
      </c>
      <c r="H207" s="392" t="s">
        <v>6403</v>
      </c>
      <c r="I207" s="392" t="s">
        <v>781</v>
      </c>
      <c r="J207" s="392" t="s">
        <v>6403</v>
      </c>
      <c r="K207" s="392" t="s">
        <v>781</v>
      </c>
      <c r="L207" s="393">
        <v>340.05</v>
      </c>
      <c r="M207" s="392" t="s">
        <v>4154</v>
      </c>
      <c r="N207" s="393">
        <v>524930.47770789999</v>
      </c>
      <c r="O207" s="392" t="s">
        <v>8960</v>
      </c>
    </row>
    <row r="208" spans="1:15" x14ac:dyDescent="0.4">
      <c r="A208" s="392" t="s">
        <v>4158</v>
      </c>
      <c r="B208" s="390" t="s">
        <v>395</v>
      </c>
      <c r="C208" s="390" t="s">
        <v>4159</v>
      </c>
      <c r="D208" s="390" t="s">
        <v>1053</v>
      </c>
      <c r="E208" s="391" t="s">
        <v>6</v>
      </c>
      <c r="F208" s="392" t="s">
        <v>8961</v>
      </c>
      <c r="G208" s="392" t="s">
        <v>781</v>
      </c>
      <c r="H208" s="392" t="s">
        <v>6404</v>
      </c>
      <c r="I208" s="392" t="s">
        <v>781</v>
      </c>
      <c r="J208" s="392" t="s">
        <v>8962</v>
      </c>
      <c r="K208" s="392" t="s">
        <v>781</v>
      </c>
      <c r="L208" s="393">
        <v>339.28195891199999</v>
      </c>
      <c r="M208" s="392" t="s">
        <v>4154</v>
      </c>
      <c r="N208" s="393">
        <v>525269.75966680003</v>
      </c>
      <c r="O208" s="392" t="s">
        <v>8963</v>
      </c>
    </row>
    <row r="209" spans="1:15" x14ac:dyDescent="0.4">
      <c r="A209" s="392" t="s">
        <v>6405</v>
      </c>
      <c r="B209" s="390" t="s">
        <v>408</v>
      </c>
      <c r="C209" s="390" t="s">
        <v>6406</v>
      </c>
      <c r="D209" s="390" t="s">
        <v>1053</v>
      </c>
      <c r="E209" s="391" t="s">
        <v>6</v>
      </c>
      <c r="F209" s="392" t="s">
        <v>6407</v>
      </c>
      <c r="G209" s="392" t="s">
        <v>781</v>
      </c>
      <c r="H209" s="392" t="s">
        <v>6408</v>
      </c>
      <c r="I209" s="392" t="s">
        <v>781</v>
      </c>
      <c r="J209" s="392" t="s">
        <v>6409</v>
      </c>
      <c r="K209" s="392" t="s">
        <v>781</v>
      </c>
      <c r="L209" s="393">
        <v>328.60032000000001</v>
      </c>
      <c r="M209" s="392" t="s">
        <v>4154</v>
      </c>
      <c r="N209" s="393">
        <v>525598.3599868</v>
      </c>
      <c r="O209" s="392" t="s">
        <v>8964</v>
      </c>
    </row>
    <row r="210" spans="1:15" ht="26.4" x14ac:dyDescent="0.4">
      <c r="A210" s="392" t="s">
        <v>2362</v>
      </c>
      <c r="B210" s="390" t="s">
        <v>420</v>
      </c>
      <c r="C210" s="390" t="s">
        <v>1754</v>
      </c>
      <c r="D210" s="390" t="s">
        <v>1039</v>
      </c>
      <c r="E210" s="391" t="s">
        <v>422</v>
      </c>
      <c r="F210" s="392" t="s">
        <v>5269</v>
      </c>
      <c r="G210" s="392" t="s">
        <v>781</v>
      </c>
      <c r="H210" s="392" t="s">
        <v>6410</v>
      </c>
      <c r="I210" s="392" t="s">
        <v>781</v>
      </c>
      <c r="J210" s="392" t="s">
        <v>6410</v>
      </c>
      <c r="K210" s="392" t="s">
        <v>781</v>
      </c>
      <c r="L210" s="393">
        <v>328.57</v>
      </c>
      <c r="M210" s="392" t="s">
        <v>4154</v>
      </c>
      <c r="N210" s="393">
        <v>525926.92998679995</v>
      </c>
      <c r="O210" s="392" t="s">
        <v>6396</v>
      </c>
    </row>
    <row r="211" spans="1:15" ht="26.4" x14ac:dyDescent="0.4">
      <c r="A211" s="392" t="s">
        <v>3158</v>
      </c>
      <c r="B211" s="390" t="s">
        <v>408</v>
      </c>
      <c r="C211" s="390" t="s">
        <v>3159</v>
      </c>
      <c r="D211" s="390" t="s">
        <v>1039</v>
      </c>
      <c r="E211" s="391" t="s">
        <v>4</v>
      </c>
      <c r="F211" s="392" t="s">
        <v>5269</v>
      </c>
      <c r="G211" s="392" t="s">
        <v>781</v>
      </c>
      <c r="H211" s="392" t="s">
        <v>6412</v>
      </c>
      <c r="I211" s="392" t="s">
        <v>781</v>
      </c>
      <c r="J211" s="392" t="s">
        <v>6412</v>
      </c>
      <c r="K211" s="392" t="s">
        <v>781</v>
      </c>
      <c r="L211" s="393">
        <v>325.8</v>
      </c>
      <c r="M211" s="392" t="s">
        <v>4154</v>
      </c>
      <c r="N211" s="393">
        <v>526252.7299868</v>
      </c>
      <c r="O211" s="392" t="s">
        <v>8965</v>
      </c>
    </row>
    <row r="212" spans="1:15" x14ac:dyDescent="0.4">
      <c r="A212" s="392" t="s">
        <v>3178</v>
      </c>
      <c r="B212" s="390" t="s">
        <v>575</v>
      </c>
      <c r="C212" s="390" t="s">
        <v>2651</v>
      </c>
      <c r="D212" s="390" t="s">
        <v>1039</v>
      </c>
      <c r="E212" s="391" t="s">
        <v>4</v>
      </c>
      <c r="F212" s="392" t="s">
        <v>5290</v>
      </c>
      <c r="G212" s="392" t="s">
        <v>781</v>
      </c>
      <c r="H212" s="392" t="s">
        <v>8966</v>
      </c>
      <c r="I212" s="392" t="s">
        <v>781</v>
      </c>
      <c r="J212" s="392" t="s">
        <v>8967</v>
      </c>
      <c r="K212" s="392" t="s">
        <v>781</v>
      </c>
      <c r="L212" s="393">
        <v>325</v>
      </c>
      <c r="M212" s="392" t="s">
        <v>4154</v>
      </c>
      <c r="N212" s="393">
        <v>526577.7299868</v>
      </c>
      <c r="O212" s="392" t="s">
        <v>8968</v>
      </c>
    </row>
    <row r="213" spans="1:15" ht="38.25" customHeight="1" x14ac:dyDescent="0.4">
      <c r="A213" s="392" t="s">
        <v>3135</v>
      </c>
      <c r="B213" s="390" t="s">
        <v>2661</v>
      </c>
      <c r="C213" s="390" t="s">
        <v>3136</v>
      </c>
      <c r="D213" s="390" t="s">
        <v>1039</v>
      </c>
      <c r="E213" s="391" t="s">
        <v>486</v>
      </c>
      <c r="F213" s="392" t="s">
        <v>5269</v>
      </c>
      <c r="G213" s="392" t="s">
        <v>781</v>
      </c>
      <c r="H213" s="392" t="s">
        <v>6414</v>
      </c>
      <c r="I213" s="392" t="s">
        <v>781</v>
      </c>
      <c r="J213" s="392" t="s">
        <v>6414</v>
      </c>
      <c r="K213" s="392" t="s">
        <v>781</v>
      </c>
      <c r="L213" s="393">
        <v>322.83999999999997</v>
      </c>
      <c r="M213" s="392" t="s">
        <v>4154</v>
      </c>
      <c r="N213" s="393">
        <v>526900.56998679996</v>
      </c>
      <c r="O213" s="392" t="s">
        <v>8969</v>
      </c>
    </row>
    <row r="214" spans="1:15" ht="26.4" x14ac:dyDescent="0.4">
      <c r="A214" s="392" t="s">
        <v>4139</v>
      </c>
      <c r="B214" s="390" t="s">
        <v>395</v>
      </c>
      <c r="C214" s="390" t="s">
        <v>4140</v>
      </c>
      <c r="D214" s="390" t="s">
        <v>1039</v>
      </c>
      <c r="E214" s="391" t="s">
        <v>7</v>
      </c>
      <c r="F214" s="392" t="s">
        <v>5328</v>
      </c>
      <c r="G214" s="392" t="s">
        <v>781</v>
      </c>
      <c r="H214" s="392" t="s">
        <v>6415</v>
      </c>
      <c r="I214" s="392" t="s">
        <v>781</v>
      </c>
      <c r="J214" s="392" t="s">
        <v>6416</v>
      </c>
      <c r="K214" s="392" t="s">
        <v>781</v>
      </c>
      <c r="L214" s="393">
        <v>321.47399999999999</v>
      </c>
      <c r="M214" s="392" t="s">
        <v>4154</v>
      </c>
      <c r="N214" s="393">
        <v>527222.04398680001</v>
      </c>
      <c r="O214" s="392" t="s">
        <v>8970</v>
      </c>
    </row>
    <row r="215" spans="1:15" x14ac:dyDescent="0.4">
      <c r="A215" s="392" t="s">
        <v>2345</v>
      </c>
      <c r="B215" s="390" t="s">
        <v>408</v>
      </c>
      <c r="C215" s="390" t="s">
        <v>2346</v>
      </c>
      <c r="D215" s="390" t="s">
        <v>1039</v>
      </c>
      <c r="E215" s="391" t="s">
        <v>675</v>
      </c>
      <c r="F215" s="392" t="s">
        <v>5269</v>
      </c>
      <c r="G215" s="392" t="s">
        <v>781</v>
      </c>
      <c r="H215" s="392" t="s">
        <v>5313</v>
      </c>
      <c r="I215" s="392" t="s">
        <v>781</v>
      </c>
      <c r="J215" s="392" t="s">
        <v>5313</v>
      </c>
      <c r="K215" s="392" t="s">
        <v>781</v>
      </c>
      <c r="L215" s="393">
        <v>320</v>
      </c>
      <c r="M215" s="392" t="s">
        <v>4154</v>
      </c>
      <c r="N215" s="393">
        <v>527542.04398680001</v>
      </c>
      <c r="O215" s="392" t="s">
        <v>8971</v>
      </c>
    </row>
    <row r="216" spans="1:15" x14ac:dyDescent="0.4">
      <c r="A216" s="392" t="s">
        <v>3188</v>
      </c>
      <c r="B216" s="390" t="s">
        <v>575</v>
      </c>
      <c r="C216" s="390" t="s">
        <v>3189</v>
      </c>
      <c r="D216" s="390" t="s">
        <v>1039</v>
      </c>
      <c r="E216" s="391" t="s">
        <v>4</v>
      </c>
      <c r="F216" s="392" t="s">
        <v>5269</v>
      </c>
      <c r="G216" s="392" t="s">
        <v>781</v>
      </c>
      <c r="H216" s="392" t="s">
        <v>8972</v>
      </c>
      <c r="I216" s="392" t="s">
        <v>781</v>
      </c>
      <c r="J216" s="392" t="s">
        <v>8972</v>
      </c>
      <c r="K216" s="392" t="s">
        <v>781</v>
      </c>
      <c r="L216" s="393">
        <v>319.36</v>
      </c>
      <c r="M216" s="392" t="s">
        <v>4155</v>
      </c>
      <c r="N216" s="393">
        <v>527861.4039868</v>
      </c>
      <c r="O216" s="392" t="s">
        <v>8973</v>
      </c>
    </row>
    <row r="217" spans="1:15" ht="26.4" x14ac:dyDescent="0.4">
      <c r="A217" s="392" t="s">
        <v>8974</v>
      </c>
      <c r="B217" s="390" t="s">
        <v>5902</v>
      </c>
      <c r="C217" s="390" t="s">
        <v>8975</v>
      </c>
      <c r="D217" s="390" t="s">
        <v>1039</v>
      </c>
      <c r="E217" s="391" t="s">
        <v>675</v>
      </c>
      <c r="F217" s="392" t="s">
        <v>8976</v>
      </c>
      <c r="G217" s="392" t="s">
        <v>781</v>
      </c>
      <c r="H217" s="392" t="s">
        <v>8977</v>
      </c>
      <c r="I217" s="392" t="s">
        <v>781</v>
      </c>
      <c r="J217" s="392" t="s">
        <v>8978</v>
      </c>
      <c r="K217" s="392" t="s">
        <v>781</v>
      </c>
      <c r="L217" s="393">
        <v>314.76900000000001</v>
      </c>
      <c r="M217" s="392" t="s">
        <v>4155</v>
      </c>
      <c r="N217" s="393">
        <v>528176.17298679997</v>
      </c>
      <c r="O217" s="392" t="s">
        <v>8979</v>
      </c>
    </row>
    <row r="218" spans="1:15" ht="26.4" x14ac:dyDescent="0.4">
      <c r="A218" s="392" t="s">
        <v>4160</v>
      </c>
      <c r="B218" s="390" t="s">
        <v>395</v>
      </c>
      <c r="C218" s="390" t="s">
        <v>4161</v>
      </c>
      <c r="D218" s="390" t="s">
        <v>1039</v>
      </c>
      <c r="E218" s="391" t="s">
        <v>7</v>
      </c>
      <c r="F218" s="392" t="s">
        <v>6418</v>
      </c>
      <c r="G218" s="392" t="s">
        <v>781</v>
      </c>
      <c r="H218" s="392" t="s">
        <v>6419</v>
      </c>
      <c r="I218" s="392" t="s">
        <v>781</v>
      </c>
      <c r="J218" s="392" t="s">
        <v>6420</v>
      </c>
      <c r="K218" s="392" t="s">
        <v>781</v>
      </c>
      <c r="L218" s="393">
        <v>311.63640500000002</v>
      </c>
      <c r="M218" s="392" t="s">
        <v>4155</v>
      </c>
      <c r="N218" s="393">
        <v>528487.80939179996</v>
      </c>
      <c r="O218" s="392" t="s">
        <v>8980</v>
      </c>
    </row>
    <row r="219" spans="1:15" ht="26.4" x14ac:dyDescent="0.4">
      <c r="A219" s="392" t="s">
        <v>4143</v>
      </c>
      <c r="B219" s="390" t="s">
        <v>395</v>
      </c>
      <c r="C219" s="390" t="s">
        <v>4144</v>
      </c>
      <c r="D219" s="390" t="s">
        <v>1039</v>
      </c>
      <c r="E219" s="391" t="s">
        <v>4</v>
      </c>
      <c r="F219" s="392" t="s">
        <v>5269</v>
      </c>
      <c r="G219" s="392" t="s">
        <v>781</v>
      </c>
      <c r="H219" s="392" t="s">
        <v>6421</v>
      </c>
      <c r="I219" s="392" t="s">
        <v>781</v>
      </c>
      <c r="J219" s="392" t="s">
        <v>6421</v>
      </c>
      <c r="K219" s="392" t="s">
        <v>781</v>
      </c>
      <c r="L219" s="393">
        <v>301.56</v>
      </c>
      <c r="M219" s="392" t="s">
        <v>4155</v>
      </c>
      <c r="N219" s="393">
        <v>528789.36939180002</v>
      </c>
      <c r="O219" s="392" t="s">
        <v>6411</v>
      </c>
    </row>
    <row r="220" spans="1:15" x14ac:dyDescent="0.4">
      <c r="A220" s="392" t="s">
        <v>3169</v>
      </c>
      <c r="B220" s="390" t="s">
        <v>575</v>
      </c>
      <c r="C220" s="390" t="s">
        <v>2648</v>
      </c>
      <c r="D220" s="390" t="s">
        <v>1039</v>
      </c>
      <c r="E220" s="391" t="s">
        <v>4</v>
      </c>
      <c r="F220" s="392" t="s">
        <v>5273</v>
      </c>
      <c r="G220" s="392" t="s">
        <v>781</v>
      </c>
      <c r="H220" s="392" t="s">
        <v>8981</v>
      </c>
      <c r="I220" s="392" t="s">
        <v>781</v>
      </c>
      <c r="J220" s="392" t="s">
        <v>8982</v>
      </c>
      <c r="K220" s="392" t="s">
        <v>781</v>
      </c>
      <c r="L220" s="393">
        <v>296.72000000000003</v>
      </c>
      <c r="M220" s="392" t="s">
        <v>4155</v>
      </c>
      <c r="N220" s="393">
        <v>529086.08939179999</v>
      </c>
      <c r="O220" s="392" t="s">
        <v>8983</v>
      </c>
    </row>
    <row r="221" spans="1:15" x14ac:dyDescent="0.4">
      <c r="A221" s="392" t="s">
        <v>1595</v>
      </c>
      <c r="B221" s="390" t="s">
        <v>408</v>
      </c>
      <c r="C221" s="390" t="s">
        <v>1596</v>
      </c>
      <c r="D221" s="390" t="s">
        <v>1039</v>
      </c>
      <c r="E221" s="391" t="s">
        <v>4</v>
      </c>
      <c r="F221" s="392" t="s">
        <v>5269</v>
      </c>
      <c r="G221" s="392" t="s">
        <v>781</v>
      </c>
      <c r="H221" s="392" t="s">
        <v>6422</v>
      </c>
      <c r="I221" s="392" t="s">
        <v>781</v>
      </c>
      <c r="J221" s="392" t="s">
        <v>6422</v>
      </c>
      <c r="K221" s="392" t="s">
        <v>781</v>
      </c>
      <c r="L221" s="393">
        <v>295.89999999999998</v>
      </c>
      <c r="M221" s="392" t="s">
        <v>4155</v>
      </c>
      <c r="N221" s="393">
        <v>529381.98939180002</v>
      </c>
      <c r="O221" s="392" t="s">
        <v>8984</v>
      </c>
    </row>
    <row r="222" spans="1:15" x14ac:dyDescent="0.4">
      <c r="A222" s="392" t="s">
        <v>4150</v>
      </c>
      <c r="B222" s="390" t="s">
        <v>395</v>
      </c>
      <c r="C222" s="390" t="s">
        <v>4151</v>
      </c>
      <c r="D222" s="390" t="s">
        <v>1039</v>
      </c>
      <c r="E222" s="391" t="s">
        <v>4</v>
      </c>
      <c r="F222" s="392" t="s">
        <v>5269</v>
      </c>
      <c r="G222" s="392" t="s">
        <v>781</v>
      </c>
      <c r="H222" s="392" t="s">
        <v>6423</v>
      </c>
      <c r="I222" s="392" t="s">
        <v>781</v>
      </c>
      <c r="J222" s="392" t="s">
        <v>6423</v>
      </c>
      <c r="K222" s="392" t="s">
        <v>781</v>
      </c>
      <c r="L222" s="393">
        <v>295.77</v>
      </c>
      <c r="M222" s="392" t="s">
        <v>4155</v>
      </c>
      <c r="N222" s="393">
        <v>529677.75939180003</v>
      </c>
      <c r="O222" s="392" t="s">
        <v>8985</v>
      </c>
    </row>
    <row r="223" spans="1:15" ht="26.4" x14ac:dyDescent="0.4">
      <c r="A223" s="392" t="s">
        <v>4162</v>
      </c>
      <c r="B223" s="390" t="s">
        <v>395</v>
      </c>
      <c r="C223" s="390" t="s">
        <v>4163</v>
      </c>
      <c r="D223" s="390" t="s">
        <v>1317</v>
      </c>
      <c r="E223" s="391" t="s">
        <v>10</v>
      </c>
      <c r="F223" s="392" t="s">
        <v>5273</v>
      </c>
      <c r="G223" s="392" t="s">
        <v>781</v>
      </c>
      <c r="H223" s="392" t="s">
        <v>6320</v>
      </c>
      <c r="I223" s="392" t="s">
        <v>781</v>
      </c>
      <c r="J223" s="392" t="s">
        <v>6424</v>
      </c>
      <c r="K223" s="392" t="s">
        <v>781</v>
      </c>
      <c r="L223" s="393">
        <v>293.89999999999998</v>
      </c>
      <c r="M223" s="392" t="s">
        <v>4155</v>
      </c>
      <c r="N223" s="393">
        <v>529971.65939180006</v>
      </c>
      <c r="O223" s="392" t="s">
        <v>8986</v>
      </c>
    </row>
    <row r="224" spans="1:15" ht="26.4" x14ac:dyDescent="0.4">
      <c r="A224" s="392" t="s">
        <v>4135</v>
      </c>
      <c r="B224" s="390" t="s">
        <v>395</v>
      </c>
      <c r="C224" s="390" t="s">
        <v>4136</v>
      </c>
      <c r="D224" s="390" t="s">
        <v>1039</v>
      </c>
      <c r="E224" s="391" t="s">
        <v>4</v>
      </c>
      <c r="F224" s="392" t="s">
        <v>5269</v>
      </c>
      <c r="G224" s="392" t="s">
        <v>781</v>
      </c>
      <c r="H224" s="392" t="s">
        <v>6425</v>
      </c>
      <c r="I224" s="392" t="s">
        <v>781</v>
      </c>
      <c r="J224" s="392" t="s">
        <v>6425</v>
      </c>
      <c r="K224" s="392" t="s">
        <v>781</v>
      </c>
      <c r="L224" s="393">
        <v>290.57</v>
      </c>
      <c r="M224" s="392" t="s">
        <v>4155</v>
      </c>
      <c r="N224" s="393">
        <v>530262.22939180001</v>
      </c>
      <c r="O224" s="392" t="s">
        <v>8987</v>
      </c>
    </row>
    <row r="225" spans="1:15" x14ac:dyDescent="0.4">
      <c r="A225" s="392" t="s">
        <v>3036</v>
      </c>
      <c r="B225" s="390" t="s">
        <v>408</v>
      </c>
      <c r="C225" s="390" t="s">
        <v>3037</v>
      </c>
      <c r="D225" s="390" t="s">
        <v>1039</v>
      </c>
      <c r="E225" s="391" t="s">
        <v>4</v>
      </c>
      <c r="F225" s="392" t="s">
        <v>5269</v>
      </c>
      <c r="G225" s="392" t="s">
        <v>781</v>
      </c>
      <c r="H225" s="392" t="s">
        <v>6426</v>
      </c>
      <c r="I225" s="392" t="s">
        <v>781</v>
      </c>
      <c r="J225" s="392" t="s">
        <v>6426</v>
      </c>
      <c r="K225" s="392" t="s">
        <v>781</v>
      </c>
      <c r="L225" s="393">
        <v>289</v>
      </c>
      <c r="M225" s="392" t="s">
        <v>4155</v>
      </c>
      <c r="N225" s="393">
        <v>530551.22939180001</v>
      </c>
      <c r="O225" s="392" t="s">
        <v>8988</v>
      </c>
    </row>
    <row r="226" spans="1:15" ht="26.4" x14ac:dyDescent="0.4">
      <c r="A226" s="392" t="s">
        <v>8989</v>
      </c>
      <c r="B226" s="390" t="s">
        <v>5902</v>
      </c>
      <c r="C226" s="390" t="s">
        <v>8990</v>
      </c>
      <c r="D226" s="390" t="s">
        <v>1053</v>
      </c>
      <c r="E226" s="391" t="s">
        <v>6</v>
      </c>
      <c r="F226" s="392" t="s">
        <v>8991</v>
      </c>
      <c r="G226" s="392" t="s">
        <v>781</v>
      </c>
      <c r="H226" s="392" t="s">
        <v>6194</v>
      </c>
      <c r="I226" s="392" t="s">
        <v>781</v>
      </c>
      <c r="J226" s="392" t="s">
        <v>8992</v>
      </c>
      <c r="K226" s="392" t="s">
        <v>781</v>
      </c>
      <c r="L226" s="393">
        <v>288.78035999999997</v>
      </c>
      <c r="M226" s="392" t="s">
        <v>4155</v>
      </c>
      <c r="N226" s="393">
        <v>530840.00975179998</v>
      </c>
      <c r="O226" s="392" t="s">
        <v>6417</v>
      </c>
    </row>
    <row r="227" spans="1:15" ht="26.4" x14ac:dyDescent="0.4">
      <c r="A227" s="392" t="s">
        <v>1492</v>
      </c>
      <c r="B227" s="390" t="s">
        <v>5902</v>
      </c>
      <c r="C227" s="390" t="s">
        <v>1493</v>
      </c>
      <c r="D227" s="390" t="s">
        <v>1039</v>
      </c>
      <c r="E227" s="391" t="s">
        <v>675</v>
      </c>
      <c r="F227" s="392" t="s">
        <v>5269</v>
      </c>
      <c r="G227" s="392" t="s">
        <v>781</v>
      </c>
      <c r="H227" s="392" t="s">
        <v>6427</v>
      </c>
      <c r="I227" s="392" t="s">
        <v>781</v>
      </c>
      <c r="J227" s="392" t="s">
        <v>6427</v>
      </c>
      <c r="K227" s="392" t="s">
        <v>781</v>
      </c>
      <c r="L227" s="393">
        <v>288.16000000000003</v>
      </c>
      <c r="M227" s="392" t="s">
        <v>4155</v>
      </c>
      <c r="N227" s="393">
        <v>531128.16975180001</v>
      </c>
      <c r="O227" s="392" t="s">
        <v>8993</v>
      </c>
    </row>
    <row r="228" spans="1:15" x14ac:dyDescent="0.4">
      <c r="A228" s="392" t="s">
        <v>3196</v>
      </c>
      <c r="B228" s="390" t="s">
        <v>408</v>
      </c>
      <c r="C228" s="390" t="s">
        <v>3197</v>
      </c>
      <c r="D228" s="390" t="s">
        <v>1039</v>
      </c>
      <c r="E228" s="391" t="s">
        <v>4</v>
      </c>
      <c r="F228" s="392" t="s">
        <v>5269</v>
      </c>
      <c r="G228" s="392" t="s">
        <v>781</v>
      </c>
      <c r="H228" s="392" t="s">
        <v>6269</v>
      </c>
      <c r="I228" s="392" t="s">
        <v>781</v>
      </c>
      <c r="J228" s="392" t="s">
        <v>6269</v>
      </c>
      <c r="K228" s="392" t="s">
        <v>781</v>
      </c>
      <c r="L228" s="393">
        <v>287.5</v>
      </c>
      <c r="M228" s="392" t="s">
        <v>4155</v>
      </c>
      <c r="N228" s="393">
        <v>531415.66975180001</v>
      </c>
      <c r="O228" s="392" t="s">
        <v>8994</v>
      </c>
    </row>
    <row r="229" spans="1:15" x14ac:dyDescent="0.4">
      <c r="A229" s="392" t="s">
        <v>2309</v>
      </c>
      <c r="B229" s="390" t="s">
        <v>575</v>
      </c>
      <c r="C229" s="390" t="s">
        <v>1701</v>
      </c>
      <c r="D229" s="390" t="s">
        <v>1039</v>
      </c>
      <c r="E229" s="391" t="s">
        <v>422</v>
      </c>
      <c r="F229" s="392" t="s">
        <v>5269</v>
      </c>
      <c r="G229" s="392" t="s">
        <v>781</v>
      </c>
      <c r="H229" s="392" t="s">
        <v>8995</v>
      </c>
      <c r="I229" s="392" t="s">
        <v>781</v>
      </c>
      <c r="J229" s="392" t="s">
        <v>8995</v>
      </c>
      <c r="K229" s="392" t="s">
        <v>781</v>
      </c>
      <c r="L229" s="393">
        <v>286.19</v>
      </c>
      <c r="M229" s="392" t="s">
        <v>4155</v>
      </c>
      <c r="N229" s="393">
        <v>531701.85975179996</v>
      </c>
      <c r="O229" s="392" t="s">
        <v>8996</v>
      </c>
    </row>
    <row r="230" spans="1:15" x14ac:dyDescent="0.4">
      <c r="A230" s="392" t="s">
        <v>3193</v>
      </c>
      <c r="B230" s="390" t="s">
        <v>575</v>
      </c>
      <c r="C230" s="390" t="s">
        <v>2636</v>
      </c>
      <c r="D230" s="390" t="s">
        <v>1039</v>
      </c>
      <c r="E230" s="391" t="s">
        <v>4</v>
      </c>
      <c r="F230" s="392" t="s">
        <v>5269</v>
      </c>
      <c r="G230" s="392" t="s">
        <v>781</v>
      </c>
      <c r="H230" s="392" t="s">
        <v>8997</v>
      </c>
      <c r="I230" s="392" t="s">
        <v>781</v>
      </c>
      <c r="J230" s="392" t="s">
        <v>8997</v>
      </c>
      <c r="K230" s="392" t="s">
        <v>781</v>
      </c>
      <c r="L230" s="393">
        <v>280</v>
      </c>
      <c r="M230" s="392" t="s">
        <v>4155</v>
      </c>
      <c r="N230" s="393">
        <v>531981.85975179996</v>
      </c>
      <c r="O230" s="392" t="s">
        <v>8998</v>
      </c>
    </row>
    <row r="231" spans="1:15" x14ac:dyDescent="0.4">
      <c r="A231" s="392" t="s">
        <v>1449</v>
      </c>
      <c r="B231" s="390" t="s">
        <v>408</v>
      </c>
      <c r="C231" s="390" t="s">
        <v>1450</v>
      </c>
      <c r="D231" s="390" t="s">
        <v>1039</v>
      </c>
      <c r="E231" s="391" t="s">
        <v>7</v>
      </c>
      <c r="F231" s="392" t="s">
        <v>5352</v>
      </c>
      <c r="G231" s="392" t="s">
        <v>781</v>
      </c>
      <c r="H231" s="392" t="s">
        <v>5402</v>
      </c>
      <c r="I231" s="392" t="s">
        <v>781</v>
      </c>
      <c r="J231" s="392" t="s">
        <v>6428</v>
      </c>
      <c r="K231" s="392" t="s">
        <v>781</v>
      </c>
      <c r="L231" s="393">
        <v>278.166</v>
      </c>
      <c r="M231" s="392" t="s">
        <v>4155</v>
      </c>
      <c r="N231" s="393">
        <v>532260.02575180004</v>
      </c>
      <c r="O231" s="392" t="s">
        <v>8999</v>
      </c>
    </row>
    <row r="232" spans="1:15" x14ac:dyDescent="0.4">
      <c r="A232" s="392" t="s">
        <v>9000</v>
      </c>
      <c r="B232" s="390" t="s">
        <v>408</v>
      </c>
      <c r="C232" s="390" t="s">
        <v>9001</v>
      </c>
      <c r="D232" s="390" t="s">
        <v>1039</v>
      </c>
      <c r="E232" s="391" t="s">
        <v>4</v>
      </c>
      <c r="F232" s="392" t="s">
        <v>5273</v>
      </c>
      <c r="G232" s="392" t="s">
        <v>781</v>
      </c>
      <c r="H232" s="392" t="s">
        <v>9002</v>
      </c>
      <c r="I232" s="392" t="s">
        <v>781</v>
      </c>
      <c r="J232" s="392" t="s">
        <v>9003</v>
      </c>
      <c r="K232" s="392" t="s">
        <v>781</v>
      </c>
      <c r="L232" s="393">
        <v>278</v>
      </c>
      <c r="M232" s="392" t="s">
        <v>4155</v>
      </c>
      <c r="N232" s="393">
        <v>532538.02575180004</v>
      </c>
      <c r="O232" s="392" t="s">
        <v>9004</v>
      </c>
    </row>
    <row r="233" spans="1:15" ht="26.4" x14ac:dyDescent="0.4">
      <c r="A233" s="392" t="s">
        <v>3124</v>
      </c>
      <c r="B233" s="390" t="s">
        <v>420</v>
      </c>
      <c r="C233" s="390" t="s">
        <v>2676</v>
      </c>
      <c r="D233" s="390" t="s">
        <v>1039</v>
      </c>
      <c r="E233" s="391" t="s">
        <v>422</v>
      </c>
      <c r="F233" s="392" t="s">
        <v>5273</v>
      </c>
      <c r="G233" s="392" t="s">
        <v>781</v>
      </c>
      <c r="H233" s="392" t="s">
        <v>9005</v>
      </c>
      <c r="I233" s="392" t="s">
        <v>781</v>
      </c>
      <c r="J233" s="392" t="s">
        <v>9006</v>
      </c>
      <c r="K233" s="392" t="s">
        <v>781</v>
      </c>
      <c r="L233" s="393">
        <v>277.45999999999998</v>
      </c>
      <c r="M233" s="392" t="s">
        <v>4155</v>
      </c>
      <c r="N233" s="393">
        <v>532815.48575180001</v>
      </c>
      <c r="O233" s="392" t="s">
        <v>9007</v>
      </c>
    </row>
    <row r="234" spans="1:15" ht="26.4" x14ac:dyDescent="0.4">
      <c r="A234" s="392" t="s">
        <v>6430</v>
      </c>
      <c r="B234" s="390" t="s">
        <v>420</v>
      </c>
      <c r="C234" s="390" t="s">
        <v>6431</v>
      </c>
      <c r="D234" s="390" t="s">
        <v>1039</v>
      </c>
      <c r="E234" s="391" t="s">
        <v>422</v>
      </c>
      <c r="F234" s="392" t="s">
        <v>5269</v>
      </c>
      <c r="G234" s="392" t="s">
        <v>781</v>
      </c>
      <c r="H234" s="392" t="s">
        <v>6432</v>
      </c>
      <c r="I234" s="392" t="s">
        <v>781</v>
      </c>
      <c r="J234" s="392" t="s">
        <v>6432</v>
      </c>
      <c r="K234" s="392" t="s">
        <v>781</v>
      </c>
      <c r="L234" s="393">
        <v>269.95999999999998</v>
      </c>
      <c r="M234" s="392" t="s">
        <v>4155</v>
      </c>
      <c r="N234" s="393">
        <v>533085.44575179997</v>
      </c>
      <c r="O234" s="392" t="s">
        <v>9008</v>
      </c>
    </row>
    <row r="235" spans="1:15" x14ac:dyDescent="0.4">
      <c r="A235" s="392" t="s">
        <v>9009</v>
      </c>
      <c r="B235" s="390" t="s">
        <v>439</v>
      </c>
      <c r="C235" s="390" t="s">
        <v>9010</v>
      </c>
      <c r="D235" s="390" t="s">
        <v>1039</v>
      </c>
      <c r="E235" s="391" t="s">
        <v>2627</v>
      </c>
      <c r="F235" s="392" t="s">
        <v>5269</v>
      </c>
      <c r="G235" s="392" t="s">
        <v>781</v>
      </c>
      <c r="H235" s="392" t="s">
        <v>9011</v>
      </c>
      <c r="I235" s="392" t="s">
        <v>781</v>
      </c>
      <c r="J235" s="392" t="s">
        <v>9011</v>
      </c>
      <c r="K235" s="392" t="s">
        <v>781</v>
      </c>
      <c r="L235" s="393">
        <v>262.29000000000002</v>
      </c>
      <c r="M235" s="392" t="s">
        <v>4155</v>
      </c>
      <c r="N235" s="393">
        <v>533347.73575180001</v>
      </c>
      <c r="O235" s="392" t="s">
        <v>9012</v>
      </c>
    </row>
    <row r="236" spans="1:15" x14ac:dyDescent="0.4">
      <c r="A236" s="392" t="s">
        <v>6434</v>
      </c>
      <c r="B236" s="390" t="s">
        <v>408</v>
      </c>
      <c r="C236" s="390" t="s">
        <v>6435</v>
      </c>
      <c r="D236" s="390" t="s">
        <v>1053</v>
      </c>
      <c r="E236" s="391" t="s">
        <v>6</v>
      </c>
      <c r="F236" s="392" t="s">
        <v>6436</v>
      </c>
      <c r="G236" s="392" t="s">
        <v>781</v>
      </c>
      <c r="H236" s="392" t="s">
        <v>6238</v>
      </c>
      <c r="I236" s="392" t="s">
        <v>781</v>
      </c>
      <c r="J236" s="392" t="s">
        <v>6437</v>
      </c>
      <c r="K236" s="392" t="s">
        <v>781</v>
      </c>
      <c r="L236" s="393">
        <v>259.17570000000001</v>
      </c>
      <c r="M236" s="392" t="s">
        <v>4178</v>
      </c>
      <c r="N236" s="393">
        <v>533606.91145180003</v>
      </c>
      <c r="O236" s="392" t="s">
        <v>9013</v>
      </c>
    </row>
    <row r="237" spans="1:15" x14ac:dyDescent="0.4">
      <c r="A237" s="392" t="s">
        <v>3204</v>
      </c>
      <c r="B237" s="390" t="s">
        <v>408</v>
      </c>
      <c r="C237" s="390" t="s">
        <v>3205</v>
      </c>
      <c r="D237" s="390" t="s">
        <v>1039</v>
      </c>
      <c r="E237" s="391" t="s">
        <v>4</v>
      </c>
      <c r="F237" s="392" t="s">
        <v>5285</v>
      </c>
      <c r="G237" s="392" t="s">
        <v>781</v>
      </c>
      <c r="H237" s="392" t="s">
        <v>6438</v>
      </c>
      <c r="I237" s="392" t="s">
        <v>781</v>
      </c>
      <c r="J237" s="392" t="s">
        <v>6439</v>
      </c>
      <c r="K237" s="392" t="s">
        <v>781</v>
      </c>
      <c r="L237" s="393">
        <v>258</v>
      </c>
      <c r="M237" s="392" t="s">
        <v>4178</v>
      </c>
      <c r="N237" s="393">
        <v>533864.91145180003</v>
      </c>
      <c r="O237" s="392" t="s">
        <v>9014</v>
      </c>
    </row>
    <row r="238" spans="1:15" ht="26.4" x14ac:dyDescent="0.4">
      <c r="A238" s="392" t="s">
        <v>4146</v>
      </c>
      <c r="B238" s="390" t="s">
        <v>395</v>
      </c>
      <c r="C238" s="390" t="s">
        <v>4147</v>
      </c>
      <c r="D238" s="390" t="s">
        <v>1317</v>
      </c>
      <c r="E238" s="391" t="s">
        <v>6</v>
      </c>
      <c r="F238" s="392" t="s">
        <v>9015</v>
      </c>
      <c r="G238" s="392" t="s">
        <v>781</v>
      </c>
      <c r="H238" s="392" t="s">
        <v>5468</v>
      </c>
      <c r="I238" s="392" t="s">
        <v>781</v>
      </c>
      <c r="J238" s="392" t="s">
        <v>9016</v>
      </c>
      <c r="K238" s="392" t="s">
        <v>781</v>
      </c>
      <c r="L238" s="393">
        <v>253.34616215200001</v>
      </c>
      <c r="M238" s="392" t="s">
        <v>4178</v>
      </c>
      <c r="N238" s="393">
        <v>534118.257614</v>
      </c>
      <c r="O238" s="392" t="s">
        <v>9017</v>
      </c>
    </row>
    <row r="239" spans="1:15" ht="26.4" x14ac:dyDescent="0.4">
      <c r="A239" s="392" t="s">
        <v>4285</v>
      </c>
      <c r="B239" s="390" t="s">
        <v>395</v>
      </c>
      <c r="C239" s="390" t="s">
        <v>4286</v>
      </c>
      <c r="D239" s="390" t="s">
        <v>1039</v>
      </c>
      <c r="E239" s="391" t="s">
        <v>675</v>
      </c>
      <c r="F239" s="392" t="s">
        <v>9018</v>
      </c>
      <c r="G239" s="392" t="s">
        <v>781</v>
      </c>
      <c r="H239" s="392" t="s">
        <v>5633</v>
      </c>
      <c r="I239" s="392" t="s">
        <v>781</v>
      </c>
      <c r="J239" s="392" t="s">
        <v>9019</v>
      </c>
      <c r="K239" s="392" t="s">
        <v>781</v>
      </c>
      <c r="L239" s="393">
        <v>252.34092000000001</v>
      </c>
      <c r="M239" s="392" t="s">
        <v>4178</v>
      </c>
      <c r="N239" s="393">
        <v>534370.59853399999</v>
      </c>
      <c r="O239" s="392" t="s">
        <v>9020</v>
      </c>
    </row>
    <row r="240" spans="1:15" x14ac:dyDescent="0.4">
      <c r="A240" s="392" t="s">
        <v>4176</v>
      </c>
      <c r="B240" s="390" t="s">
        <v>420</v>
      </c>
      <c r="C240" s="390" t="s">
        <v>4177</v>
      </c>
      <c r="D240" s="390" t="s">
        <v>1039</v>
      </c>
      <c r="E240" s="391" t="s">
        <v>422</v>
      </c>
      <c r="F240" s="392" t="s">
        <v>5342</v>
      </c>
      <c r="G240" s="392" t="s">
        <v>781</v>
      </c>
      <c r="H240" s="392" t="s">
        <v>6440</v>
      </c>
      <c r="I240" s="392" t="s">
        <v>781</v>
      </c>
      <c r="J240" s="392" t="s">
        <v>6441</v>
      </c>
      <c r="K240" s="392" t="s">
        <v>781</v>
      </c>
      <c r="L240" s="393">
        <v>252.10984049999999</v>
      </c>
      <c r="M240" s="392" t="s">
        <v>4178</v>
      </c>
      <c r="N240" s="393">
        <v>534622.70837450004</v>
      </c>
      <c r="O240" s="392" t="s">
        <v>9021</v>
      </c>
    </row>
    <row r="241" spans="1:15" ht="26.4" x14ac:dyDescent="0.4">
      <c r="A241" s="392" t="s">
        <v>1631</v>
      </c>
      <c r="B241" s="390" t="s">
        <v>5902</v>
      </c>
      <c r="C241" s="390" t="s">
        <v>1632</v>
      </c>
      <c r="D241" s="390" t="s">
        <v>1053</v>
      </c>
      <c r="E241" s="391" t="s">
        <v>6</v>
      </c>
      <c r="F241" s="392" t="s">
        <v>6442</v>
      </c>
      <c r="G241" s="392" t="s">
        <v>781</v>
      </c>
      <c r="H241" s="392" t="s">
        <v>6194</v>
      </c>
      <c r="I241" s="392" t="s">
        <v>781</v>
      </c>
      <c r="J241" s="392" t="s">
        <v>6443</v>
      </c>
      <c r="K241" s="392" t="s">
        <v>781</v>
      </c>
      <c r="L241" s="393">
        <v>247.53899999999999</v>
      </c>
      <c r="M241" s="392" t="s">
        <v>4178</v>
      </c>
      <c r="N241" s="393">
        <v>534870.24737450003</v>
      </c>
      <c r="O241" s="392" t="s">
        <v>9022</v>
      </c>
    </row>
    <row r="242" spans="1:15" x14ac:dyDescent="0.4">
      <c r="A242" s="392" t="s">
        <v>3082</v>
      </c>
      <c r="B242" s="390" t="s">
        <v>408</v>
      </c>
      <c r="C242" s="390" t="s">
        <v>3083</v>
      </c>
      <c r="D242" s="390" t="s">
        <v>1039</v>
      </c>
      <c r="E242" s="391" t="s">
        <v>4</v>
      </c>
      <c r="F242" s="392" t="s">
        <v>5269</v>
      </c>
      <c r="G242" s="392" t="s">
        <v>781</v>
      </c>
      <c r="H242" s="392" t="s">
        <v>6444</v>
      </c>
      <c r="I242" s="392" t="s">
        <v>781</v>
      </c>
      <c r="J242" s="392" t="s">
        <v>6444</v>
      </c>
      <c r="K242" s="392" t="s">
        <v>781</v>
      </c>
      <c r="L242" s="393">
        <v>246.8</v>
      </c>
      <c r="M242" s="392" t="s">
        <v>4178</v>
      </c>
      <c r="N242" s="393">
        <v>535117.04737449996</v>
      </c>
      <c r="O242" s="392" t="s">
        <v>6429</v>
      </c>
    </row>
    <row r="243" spans="1:15" x14ac:dyDescent="0.4">
      <c r="A243" s="392" t="s">
        <v>4183</v>
      </c>
      <c r="B243" s="390" t="s">
        <v>395</v>
      </c>
      <c r="C243" s="390" t="s">
        <v>4184</v>
      </c>
      <c r="D243" s="390" t="s">
        <v>1039</v>
      </c>
      <c r="E243" s="391" t="s">
        <v>4</v>
      </c>
      <c r="F243" s="392" t="s">
        <v>5269</v>
      </c>
      <c r="G243" s="392" t="s">
        <v>781</v>
      </c>
      <c r="H243" s="392" t="s">
        <v>6447</v>
      </c>
      <c r="I243" s="392" t="s">
        <v>781</v>
      </c>
      <c r="J243" s="392" t="s">
        <v>6447</v>
      </c>
      <c r="K243" s="392" t="s">
        <v>781</v>
      </c>
      <c r="L243" s="393">
        <v>245.28</v>
      </c>
      <c r="M243" s="392" t="s">
        <v>4178</v>
      </c>
      <c r="N243" s="393">
        <v>535362.32737449999</v>
      </c>
      <c r="O243" s="392" t="s">
        <v>9023</v>
      </c>
    </row>
    <row r="244" spans="1:15" x14ac:dyDescent="0.4">
      <c r="A244" s="392" t="s">
        <v>6536</v>
      </c>
      <c r="B244" s="390" t="s">
        <v>408</v>
      </c>
      <c r="C244" s="390" t="s">
        <v>1464</v>
      </c>
      <c r="D244" s="390" t="s">
        <v>1053</v>
      </c>
      <c r="E244" s="391" t="s">
        <v>6</v>
      </c>
      <c r="F244" s="392" t="s">
        <v>9024</v>
      </c>
      <c r="G244" s="392" t="s">
        <v>781</v>
      </c>
      <c r="H244" s="392" t="s">
        <v>6238</v>
      </c>
      <c r="I244" s="392" t="s">
        <v>781</v>
      </c>
      <c r="J244" s="392" t="s">
        <v>9025</v>
      </c>
      <c r="K244" s="392" t="s">
        <v>781</v>
      </c>
      <c r="L244" s="393">
        <v>241.11675</v>
      </c>
      <c r="M244" s="392" t="s">
        <v>4178</v>
      </c>
      <c r="N244" s="393">
        <v>535603.44412450003</v>
      </c>
      <c r="O244" s="392" t="s">
        <v>9026</v>
      </c>
    </row>
    <row r="245" spans="1:15" ht="26.4" x14ac:dyDescent="0.4">
      <c r="A245" s="392" t="s">
        <v>3252</v>
      </c>
      <c r="B245" s="390" t="s">
        <v>2616</v>
      </c>
      <c r="C245" s="390" t="s">
        <v>3253</v>
      </c>
      <c r="D245" s="390" t="s">
        <v>1039</v>
      </c>
      <c r="E245" s="391" t="s">
        <v>4</v>
      </c>
      <c r="F245" s="392" t="s">
        <v>5348</v>
      </c>
      <c r="G245" s="392" t="s">
        <v>781</v>
      </c>
      <c r="H245" s="392" t="s">
        <v>6448</v>
      </c>
      <c r="I245" s="392" t="s">
        <v>781</v>
      </c>
      <c r="J245" s="392" t="s">
        <v>6449</v>
      </c>
      <c r="K245" s="392" t="s">
        <v>781</v>
      </c>
      <c r="L245" s="393">
        <v>240.96799999999999</v>
      </c>
      <c r="M245" s="392" t="s">
        <v>4178</v>
      </c>
      <c r="N245" s="393">
        <v>535844.41212450003</v>
      </c>
      <c r="O245" s="392" t="s">
        <v>9027</v>
      </c>
    </row>
    <row r="246" spans="1:15" ht="26.4" x14ac:dyDescent="0.4">
      <c r="A246" s="392" t="s">
        <v>3173</v>
      </c>
      <c r="B246" s="390" t="s">
        <v>5902</v>
      </c>
      <c r="C246" s="390" t="s">
        <v>3174</v>
      </c>
      <c r="D246" s="390" t="s">
        <v>1053</v>
      </c>
      <c r="E246" s="391" t="s">
        <v>6</v>
      </c>
      <c r="F246" s="392" t="s">
        <v>5340</v>
      </c>
      <c r="G246" s="392" t="s">
        <v>781</v>
      </c>
      <c r="H246" s="392" t="s">
        <v>6450</v>
      </c>
      <c r="I246" s="392" t="s">
        <v>781</v>
      </c>
      <c r="J246" s="392" t="s">
        <v>6451</v>
      </c>
      <c r="K246" s="392" t="s">
        <v>781</v>
      </c>
      <c r="L246" s="393">
        <v>240.84258</v>
      </c>
      <c r="M246" s="392" t="s">
        <v>4178</v>
      </c>
      <c r="N246" s="393">
        <v>536085.25470449997</v>
      </c>
      <c r="O246" s="392" t="s">
        <v>9028</v>
      </c>
    </row>
    <row r="247" spans="1:15" ht="26.4" x14ac:dyDescent="0.4">
      <c r="A247" s="392" t="s">
        <v>7295</v>
      </c>
      <c r="B247" s="390" t="s">
        <v>5902</v>
      </c>
      <c r="C247" s="390" t="s">
        <v>7296</v>
      </c>
      <c r="D247" s="390" t="s">
        <v>1053</v>
      </c>
      <c r="E247" s="391" t="s">
        <v>6</v>
      </c>
      <c r="F247" s="392" t="s">
        <v>9029</v>
      </c>
      <c r="G247" s="392" t="s">
        <v>781</v>
      </c>
      <c r="H247" s="392" t="s">
        <v>6194</v>
      </c>
      <c r="I247" s="392" t="s">
        <v>781</v>
      </c>
      <c r="J247" s="392" t="s">
        <v>9030</v>
      </c>
      <c r="K247" s="392" t="s">
        <v>781</v>
      </c>
      <c r="L247" s="393">
        <v>238.67982900000001</v>
      </c>
      <c r="M247" s="392" t="s">
        <v>4178</v>
      </c>
      <c r="N247" s="393">
        <v>536323.9345335</v>
      </c>
      <c r="O247" s="392" t="s">
        <v>9031</v>
      </c>
    </row>
    <row r="248" spans="1:15" ht="26.4" x14ac:dyDescent="0.4">
      <c r="A248" s="392" t="s">
        <v>2593</v>
      </c>
      <c r="B248" s="390" t="s">
        <v>575</v>
      </c>
      <c r="C248" s="390" t="s">
        <v>2103</v>
      </c>
      <c r="D248" s="390" t="s">
        <v>1039</v>
      </c>
      <c r="E248" s="391" t="s">
        <v>422</v>
      </c>
      <c r="F248" s="392" t="s">
        <v>5269</v>
      </c>
      <c r="G248" s="392" t="s">
        <v>781</v>
      </c>
      <c r="H248" s="392" t="s">
        <v>9032</v>
      </c>
      <c r="I248" s="392" t="s">
        <v>781</v>
      </c>
      <c r="J248" s="392" t="s">
        <v>9032</v>
      </c>
      <c r="K248" s="392" t="s">
        <v>781</v>
      </c>
      <c r="L248" s="393">
        <v>235.86</v>
      </c>
      <c r="M248" s="392" t="s">
        <v>4178</v>
      </c>
      <c r="N248" s="393">
        <v>536559.79453349998</v>
      </c>
      <c r="O248" s="392" t="s">
        <v>9033</v>
      </c>
    </row>
    <row r="249" spans="1:15" x14ac:dyDescent="0.4">
      <c r="A249" s="392" t="s">
        <v>2483</v>
      </c>
      <c r="B249" s="390" t="s">
        <v>395</v>
      </c>
      <c r="C249" s="390" t="s">
        <v>289</v>
      </c>
      <c r="D249" s="390" t="s">
        <v>1039</v>
      </c>
      <c r="E249" s="391" t="s">
        <v>7</v>
      </c>
      <c r="F249" s="392" t="s">
        <v>5323</v>
      </c>
      <c r="G249" s="392" t="s">
        <v>781</v>
      </c>
      <c r="H249" s="392" t="s">
        <v>6453</v>
      </c>
      <c r="I249" s="392" t="s">
        <v>781</v>
      </c>
      <c r="J249" s="392" t="s">
        <v>6454</v>
      </c>
      <c r="K249" s="392" t="s">
        <v>781</v>
      </c>
      <c r="L249" s="393">
        <v>234.40199999999999</v>
      </c>
      <c r="M249" s="392" t="s">
        <v>4178</v>
      </c>
      <c r="N249" s="393">
        <v>536794.19653349998</v>
      </c>
      <c r="O249" s="392" t="s">
        <v>5339</v>
      </c>
    </row>
    <row r="250" spans="1:15" x14ac:dyDescent="0.4">
      <c r="A250" s="392" t="s">
        <v>1235</v>
      </c>
      <c r="B250" s="390" t="s">
        <v>408</v>
      </c>
      <c r="C250" s="390" t="s">
        <v>1236</v>
      </c>
      <c r="D250" s="390" t="s">
        <v>1039</v>
      </c>
      <c r="E250" s="391" t="s">
        <v>4</v>
      </c>
      <c r="F250" s="392" t="s">
        <v>5269</v>
      </c>
      <c r="G250" s="392" t="s">
        <v>781</v>
      </c>
      <c r="H250" s="392" t="s">
        <v>6456</v>
      </c>
      <c r="I250" s="392" t="s">
        <v>781</v>
      </c>
      <c r="J250" s="392" t="s">
        <v>6456</v>
      </c>
      <c r="K250" s="392" t="s">
        <v>781</v>
      </c>
      <c r="L250" s="393">
        <v>233.99</v>
      </c>
      <c r="M250" s="392" t="s">
        <v>4178</v>
      </c>
      <c r="N250" s="393">
        <v>537028.18653349997</v>
      </c>
      <c r="O250" s="392" t="s">
        <v>5846</v>
      </c>
    </row>
    <row r="251" spans="1:15" ht="26.4" x14ac:dyDescent="0.4">
      <c r="A251" s="392" t="s">
        <v>2490</v>
      </c>
      <c r="B251" s="390" t="s">
        <v>5902</v>
      </c>
      <c r="C251" s="390" t="s">
        <v>2491</v>
      </c>
      <c r="D251" s="390" t="s">
        <v>1039</v>
      </c>
      <c r="E251" s="391" t="s">
        <v>4</v>
      </c>
      <c r="F251" s="392" t="s">
        <v>5269</v>
      </c>
      <c r="G251" s="392" t="s">
        <v>781</v>
      </c>
      <c r="H251" s="392" t="s">
        <v>6458</v>
      </c>
      <c r="I251" s="392" t="s">
        <v>781</v>
      </c>
      <c r="J251" s="392" t="s">
        <v>6458</v>
      </c>
      <c r="K251" s="392" t="s">
        <v>781</v>
      </c>
      <c r="L251" s="393">
        <v>232.98</v>
      </c>
      <c r="M251" s="392" t="s">
        <v>4178</v>
      </c>
      <c r="N251" s="393">
        <v>537261.16653349996</v>
      </c>
      <c r="O251" s="392" t="s">
        <v>9034</v>
      </c>
    </row>
    <row r="252" spans="1:15" ht="26.4" x14ac:dyDescent="0.4">
      <c r="A252" s="392" t="s">
        <v>2329</v>
      </c>
      <c r="B252" s="390" t="s">
        <v>575</v>
      </c>
      <c r="C252" s="390" t="s">
        <v>1721</v>
      </c>
      <c r="D252" s="390" t="s">
        <v>1039</v>
      </c>
      <c r="E252" s="391" t="s">
        <v>675</v>
      </c>
      <c r="F252" s="392" t="s">
        <v>5368</v>
      </c>
      <c r="G252" s="392" t="s">
        <v>781</v>
      </c>
      <c r="H252" s="392" t="s">
        <v>9035</v>
      </c>
      <c r="I252" s="392" t="s">
        <v>781</v>
      </c>
      <c r="J252" s="392" t="s">
        <v>9036</v>
      </c>
      <c r="K252" s="392" t="s">
        <v>781</v>
      </c>
      <c r="L252" s="393">
        <v>232.3115</v>
      </c>
      <c r="M252" s="392" t="s">
        <v>4178</v>
      </c>
      <c r="N252" s="393">
        <v>537493.47803350003</v>
      </c>
      <c r="O252" s="392" t="s">
        <v>9037</v>
      </c>
    </row>
    <row r="253" spans="1:15" ht="26.4" x14ac:dyDescent="0.4">
      <c r="A253" s="392" t="s">
        <v>2330</v>
      </c>
      <c r="B253" s="390" t="s">
        <v>575</v>
      </c>
      <c r="C253" s="390" t="s">
        <v>1723</v>
      </c>
      <c r="D253" s="390" t="s">
        <v>1039</v>
      </c>
      <c r="E253" s="391" t="s">
        <v>675</v>
      </c>
      <c r="F253" s="392" t="s">
        <v>5368</v>
      </c>
      <c r="G253" s="392" t="s">
        <v>781</v>
      </c>
      <c r="H253" s="392" t="s">
        <v>9035</v>
      </c>
      <c r="I253" s="392" t="s">
        <v>781</v>
      </c>
      <c r="J253" s="392" t="s">
        <v>9036</v>
      </c>
      <c r="K253" s="392" t="s">
        <v>781</v>
      </c>
      <c r="L253" s="393">
        <v>232.3115</v>
      </c>
      <c r="M253" s="392" t="s">
        <v>4178</v>
      </c>
      <c r="N253" s="393">
        <v>537725.78953349998</v>
      </c>
      <c r="O253" s="392" t="s">
        <v>9038</v>
      </c>
    </row>
    <row r="254" spans="1:15" ht="26.4" x14ac:dyDescent="0.4">
      <c r="A254" s="392" t="s">
        <v>2541</v>
      </c>
      <c r="B254" s="390" t="s">
        <v>395</v>
      </c>
      <c r="C254" s="390" t="s">
        <v>265</v>
      </c>
      <c r="D254" s="390" t="s">
        <v>1039</v>
      </c>
      <c r="E254" s="391" t="s">
        <v>4</v>
      </c>
      <c r="F254" s="392" t="s">
        <v>5269</v>
      </c>
      <c r="G254" s="392" t="s">
        <v>781</v>
      </c>
      <c r="H254" s="392" t="s">
        <v>6460</v>
      </c>
      <c r="I254" s="392" t="s">
        <v>781</v>
      </c>
      <c r="J254" s="392" t="s">
        <v>6460</v>
      </c>
      <c r="K254" s="392" t="s">
        <v>781</v>
      </c>
      <c r="L254" s="393">
        <v>230.52</v>
      </c>
      <c r="M254" s="392" t="s">
        <v>4178</v>
      </c>
      <c r="N254" s="393">
        <v>537956.3095335</v>
      </c>
      <c r="O254" s="392" t="s">
        <v>9039</v>
      </c>
    </row>
    <row r="255" spans="1:15" ht="26.4" x14ac:dyDescent="0.4">
      <c r="A255" s="392" t="s">
        <v>1616</v>
      </c>
      <c r="B255" s="390" t="s">
        <v>5902</v>
      </c>
      <c r="C255" s="390" t="s">
        <v>1617</v>
      </c>
      <c r="D255" s="390" t="s">
        <v>1053</v>
      </c>
      <c r="E255" s="391" t="s">
        <v>6</v>
      </c>
      <c r="F255" s="392" t="s">
        <v>9040</v>
      </c>
      <c r="G255" s="392" t="s">
        <v>781</v>
      </c>
      <c r="H255" s="392" t="s">
        <v>6250</v>
      </c>
      <c r="I255" s="392" t="s">
        <v>781</v>
      </c>
      <c r="J255" s="392" t="s">
        <v>9041</v>
      </c>
      <c r="K255" s="392" t="s">
        <v>781</v>
      </c>
      <c r="L255" s="393">
        <v>230.14446000000001</v>
      </c>
      <c r="M255" s="392" t="s">
        <v>4178</v>
      </c>
      <c r="N255" s="393">
        <v>538186.45399349998</v>
      </c>
      <c r="O255" s="392" t="s">
        <v>9042</v>
      </c>
    </row>
    <row r="256" spans="1:15" x14ac:dyDescent="0.4">
      <c r="A256" s="392" t="s">
        <v>3092</v>
      </c>
      <c r="B256" s="390" t="s">
        <v>408</v>
      </c>
      <c r="C256" s="390" t="s">
        <v>3093</v>
      </c>
      <c r="D256" s="390" t="s">
        <v>1039</v>
      </c>
      <c r="E256" s="391" t="s">
        <v>4</v>
      </c>
      <c r="F256" s="392" t="s">
        <v>5269</v>
      </c>
      <c r="G256" s="392" t="s">
        <v>781</v>
      </c>
      <c r="H256" s="392" t="s">
        <v>6462</v>
      </c>
      <c r="I256" s="392" t="s">
        <v>781</v>
      </c>
      <c r="J256" s="392" t="s">
        <v>6462</v>
      </c>
      <c r="K256" s="392" t="s">
        <v>781</v>
      </c>
      <c r="L256" s="393">
        <v>229.9</v>
      </c>
      <c r="M256" s="392" t="s">
        <v>4178</v>
      </c>
      <c r="N256" s="393">
        <v>538416.3539935</v>
      </c>
      <c r="O256" s="392" t="s">
        <v>9043</v>
      </c>
    </row>
    <row r="257" spans="1:15" ht="26.4" x14ac:dyDescent="0.4">
      <c r="A257" s="392" t="s">
        <v>1241</v>
      </c>
      <c r="B257" s="390" t="s">
        <v>420</v>
      </c>
      <c r="C257" s="390" t="s">
        <v>531</v>
      </c>
      <c r="D257" s="390" t="s">
        <v>1039</v>
      </c>
      <c r="E257" s="391" t="s">
        <v>422</v>
      </c>
      <c r="F257" s="392" t="s">
        <v>5269</v>
      </c>
      <c r="G257" s="392" t="s">
        <v>781</v>
      </c>
      <c r="H257" s="392" t="s">
        <v>6463</v>
      </c>
      <c r="I257" s="392" t="s">
        <v>781</v>
      </c>
      <c r="J257" s="392" t="s">
        <v>6463</v>
      </c>
      <c r="K257" s="392" t="s">
        <v>781</v>
      </c>
      <c r="L257" s="393">
        <v>227.45</v>
      </c>
      <c r="M257" s="392" t="s">
        <v>4178</v>
      </c>
      <c r="N257" s="393">
        <v>538643.80399349995</v>
      </c>
      <c r="O257" s="392" t="s">
        <v>9044</v>
      </c>
    </row>
    <row r="258" spans="1:15" x14ac:dyDescent="0.4">
      <c r="A258" s="392" t="s">
        <v>2310</v>
      </c>
      <c r="B258" s="390" t="s">
        <v>575</v>
      </c>
      <c r="C258" s="390" t="s">
        <v>2311</v>
      </c>
      <c r="D258" s="390" t="s">
        <v>1039</v>
      </c>
      <c r="E258" s="391" t="s">
        <v>422</v>
      </c>
      <c r="F258" s="392" t="s">
        <v>5269</v>
      </c>
      <c r="G258" s="392" t="s">
        <v>781</v>
      </c>
      <c r="H258" s="392" t="s">
        <v>9045</v>
      </c>
      <c r="I258" s="392" t="s">
        <v>781</v>
      </c>
      <c r="J258" s="392" t="s">
        <v>9045</v>
      </c>
      <c r="K258" s="392" t="s">
        <v>781</v>
      </c>
      <c r="L258" s="393">
        <v>225.22</v>
      </c>
      <c r="M258" s="392" t="s">
        <v>4178</v>
      </c>
      <c r="N258" s="393">
        <v>538869.02399350004</v>
      </c>
      <c r="O258" s="392" t="s">
        <v>5847</v>
      </c>
    </row>
    <row r="259" spans="1:15" ht="26.4" x14ac:dyDescent="0.4">
      <c r="A259" s="392" t="s">
        <v>6445</v>
      </c>
      <c r="B259" s="390" t="s">
        <v>420</v>
      </c>
      <c r="C259" s="390" t="s">
        <v>6446</v>
      </c>
      <c r="D259" s="390" t="s">
        <v>1039</v>
      </c>
      <c r="E259" s="391" t="s">
        <v>422</v>
      </c>
      <c r="F259" s="392" t="s">
        <v>5269</v>
      </c>
      <c r="G259" s="392" t="s">
        <v>781</v>
      </c>
      <c r="H259" s="392" t="s">
        <v>9046</v>
      </c>
      <c r="I259" s="392" t="s">
        <v>781</v>
      </c>
      <c r="J259" s="392" t="s">
        <v>9046</v>
      </c>
      <c r="K259" s="392" t="s">
        <v>781</v>
      </c>
      <c r="L259" s="393">
        <v>224.45</v>
      </c>
      <c r="M259" s="392" t="s">
        <v>4178</v>
      </c>
      <c r="N259" s="393">
        <v>539093.4739935</v>
      </c>
      <c r="O259" s="392" t="s">
        <v>6455</v>
      </c>
    </row>
    <row r="260" spans="1:15" ht="26.4" x14ac:dyDescent="0.4">
      <c r="A260" s="392" t="s">
        <v>2282</v>
      </c>
      <c r="B260" s="390" t="s">
        <v>395</v>
      </c>
      <c r="C260" s="390" t="s">
        <v>238</v>
      </c>
      <c r="D260" s="390" t="s">
        <v>1039</v>
      </c>
      <c r="E260" s="391" t="s">
        <v>713</v>
      </c>
      <c r="F260" s="392" t="s">
        <v>6465</v>
      </c>
      <c r="G260" s="392" t="s">
        <v>781</v>
      </c>
      <c r="H260" s="392" t="s">
        <v>6466</v>
      </c>
      <c r="I260" s="392" t="s">
        <v>781</v>
      </c>
      <c r="J260" s="392" t="s">
        <v>6467</v>
      </c>
      <c r="K260" s="392" t="s">
        <v>781</v>
      </c>
      <c r="L260" s="393">
        <v>224.078393143</v>
      </c>
      <c r="M260" s="392" t="s">
        <v>4178</v>
      </c>
      <c r="N260" s="393">
        <v>539317.55238659994</v>
      </c>
      <c r="O260" s="392" t="s">
        <v>6457</v>
      </c>
    </row>
    <row r="261" spans="1:15" ht="26.4" x14ac:dyDescent="0.4">
      <c r="A261" s="392" t="s">
        <v>3256</v>
      </c>
      <c r="B261" s="390" t="s">
        <v>5902</v>
      </c>
      <c r="C261" s="390" t="s">
        <v>3257</v>
      </c>
      <c r="D261" s="390" t="s">
        <v>1053</v>
      </c>
      <c r="E261" s="391" t="s">
        <v>6</v>
      </c>
      <c r="F261" s="392" t="s">
        <v>5269</v>
      </c>
      <c r="G261" s="392" t="s">
        <v>781</v>
      </c>
      <c r="H261" s="392" t="s">
        <v>6468</v>
      </c>
      <c r="I261" s="392" t="s">
        <v>781</v>
      </c>
      <c r="J261" s="392" t="s">
        <v>6468</v>
      </c>
      <c r="K261" s="392" t="s">
        <v>781</v>
      </c>
      <c r="L261" s="393">
        <v>223.96</v>
      </c>
      <c r="M261" s="392" t="s">
        <v>4178</v>
      </c>
      <c r="N261" s="393">
        <v>539541.51238660002</v>
      </c>
      <c r="O261" s="392" t="s">
        <v>6459</v>
      </c>
    </row>
    <row r="262" spans="1:15" x14ac:dyDescent="0.4">
      <c r="A262" s="392" t="s">
        <v>3258</v>
      </c>
      <c r="B262" s="390" t="s">
        <v>575</v>
      </c>
      <c r="C262" s="390" t="s">
        <v>2908</v>
      </c>
      <c r="D262" s="390" t="s">
        <v>1323</v>
      </c>
      <c r="E262" s="391" t="s">
        <v>4</v>
      </c>
      <c r="F262" s="392" t="s">
        <v>5269</v>
      </c>
      <c r="G262" s="392" t="s">
        <v>781</v>
      </c>
      <c r="H262" s="392" t="s">
        <v>5336</v>
      </c>
      <c r="I262" s="392" t="s">
        <v>781</v>
      </c>
      <c r="J262" s="392" t="s">
        <v>5336</v>
      </c>
      <c r="K262" s="392" t="s">
        <v>781</v>
      </c>
      <c r="L262" s="393">
        <v>222.45</v>
      </c>
      <c r="M262" s="392" t="s">
        <v>4178</v>
      </c>
      <c r="N262" s="393">
        <v>539763.96238659997</v>
      </c>
      <c r="O262" s="392" t="s">
        <v>6461</v>
      </c>
    </row>
    <row r="263" spans="1:15" ht="26.4" x14ac:dyDescent="0.4">
      <c r="A263" s="392" t="s">
        <v>4172</v>
      </c>
      <c r="B263" s="390" t="s">
        <v>395</v>
      </c>
      <c r="C263" s="390" t="s">
        <v>4173</v>
      </c>
      <c r="D263" s="390" t="s">
        <v>1317</v>
      </c>
      <c r="E263" s="391" t="s">
        <v>6</v>
      </c>
      <c r="F263" s="392" t="s">
        <v>6469</v>
      </c>
      <c r="G263" s="392" t="s">
        <v>781</v>
      </c>
      <c r="H263" s="392" t="s">
        <v>5511</v>
      </c>
      <c r="I263" s="392" t="s">
        <v>781</v>
      </c>
      <c r="J263" s="392" t="s">
        <v>6470</v>
      </c>
      <c r="K263" s="392" t="s">
        <v>781</v>
      </c>
      <c r="L263" s="393">
        <v>221.97697178799999</v>
      </c>
      <c r="M263" s="392" t="s">
        <v>4178</v>
      </c>
      <c r="N263" s="393">
        <v>539985.93935839995</v>
      </c>
      <c r="O263" s="392" t="s">
        <v>9047</v>
      </c>
    </row>
    <row r="264" spans="1:15" ht="26.4" x14ac:dyDescent="0.4">
      <c r="A264" s="392" t="s">
        <v>2356</v>
      </c>
      <c r="B264" s="390" t="s">
        <v>575</v>
      </c>
      <c r="C264" s="390" t="s">
        <v>1746</v>
      </c>
      <c r="D264" s="390" t="s">
        <v>1039</v>
      </c>
      <c r="E264" s="391" t="s">
        <v>422</v>
      </c>
      <c r="F264" s="392" t="s">
        <v>5269</v>
      </c>
      <c r="G264" s="392" t="s">
        <v>781</v>
      </c>
      <c r="H264" s="392" t="s">
        <v>9048</v>
      </c>
      <c r="I264" s="392" t="s">
        <v>781</v>
      </c>
      <c r="J264" s="392" t="s">
        <v>9048</v>
      </c>
      <c r="K264" s="392" t="s">
        <v>781</v>
      </c>
      <c r="L264" s="393">
        <v>221.95</v>
      </c>
      <c r="M264" s="392" t="s">
        <v>4178</v>
      </c>
      <c r="N264" s="393">
        <v>540207.88935840002</v>
      </c>
      <c r="O264" s="392" t="s">
        <v>9049</v>
      </c>
    </row>
    <row r="265" spans="1:15" ht="26.4" x14ac:dyDescent="0.4">
      <c r="A265" s="392" t="s">
        <v>1625</v>
      </c>
      <c r="B265" s="390" t="s">
        <v>5902</v>
      </c>
      <c r="C265" s="390" t="s">
        <v>1626</v>
      </c>
      <c r="D265" s="390" t="s">
        <v>1039</v>
      </c>
      <c r="E265" s="391" t="s">
        <v>675</v>
      </c>
      <c r="F265" s="392" t="s">
        <v>5273</v>
      </c>
      <c r="G265" s="392" t="s">
        <v>781</v>
      </c>
      <c r="H265" s="392" t="s">
        <v>6645</v>
      </c>
      <c r="I265" s="392" t="s">
        <v>781</v>
      </c>
      <c r="J265" s="392" t="s">
        <v>9050</v>
      </c>
      <c r="K265" s="392" t="s">
        <v>781</v>
      </c>
      <c r="L265" s="393">
        <v>221.44</v>
      </c>
      <c r="M265" s="392" t="s">
        <v>4178</v>
      </c>
      <c r="N265" s="393">
        <v>540429.32935839996</v>
      </c>
      <c r="O265" s="392" t="s">
        <v>9051</v>
      </c>
    </row>
    <row r="266" spans="1:15" x14ac:dyDescent="0.4">
      <c r="A266" s="392" t="s">
        <v>3076</v>
      </c>
      <c r="B266" s="390" t="s">
        <v>408</v>
      </c>
      <c r="C266" s="390" t="s">
        <v>3077</v>
      </c>
      <c r="D266" s="390" t="s">
        <v>1039</v>
      </c>
      <c r="E266" s="391" t="s">
        <v>4</v>
      </c>
      <c r="F266" s="392" t="s">
        <v>5291</v>
      </c>
      <c r="G266" s="392" t="s">
        <v>781</v>
      </c>
      <c r="H266" s="392" t="s">
        <v>6471</v>
      </c>
      <c r="I266" s="392" t="s">
        <v>781</v>
      </c>
      <c r="J266" s="392" t="s">
        <v>6472</v>
      </c>
      <c r="K266" s="392" t="s">
        <v>781</v>
      </c>
      <c r="L266" s="393">
        <v>220.22</v>
      </c>
      <c r="M266" s="392" t="s">
        <v>4178</v>
      </c>
      <c r="N266" s="393">
        <v>540649.54935840005</v>
      </c>
      <c r="O266" s="392" t="s">
        <v>9052</v>
      </c>
    </row>
    <row r="267" spans="1:15" x14ac:dyDescent="0.4">
      <c r="A267" s="392" t="s">
        <v>3074</v>
      </c>
      <c r="B267" s="390" t="s">
        <v>408</v>
      </c>
      <c r="C267" s="390" t="s">
        <v>3075</v>
      </c>
      <c r="D267" s="390" t="s">
        <v>1039</v>
      </c>
      <c r="E267" s="391" t="s">
        <v>4</v>
      </c>
      <c r="F267" s="392" t="s">
        <v>5269</v>
      </c>
      <c r="G267" s="392" t="s">
        <v>781</v>
      </c>
      <c r="H267" s="392" t="s">
        <v>6474</v>
      </c>
      <c r="I267" s="392" t="s">
        <v>781</v>
      </c>
      <c r="J267" s="392" t="s">
        <v>6474</v>
      </c>
      <c r="K267" s="392" t="s">
        <v>781</v>
      </c>
      <c r="L267" s="393">
        <v>218.4</v>
      </c>
      <c r="M267" s="392" t="s">
        <v>4178</v>
      </c>
      <c r="N267" s="393">
        <v>540867.94935839996</v>
      </c>
      <c r="O267" s="392" t="s">
        <v>9053</v>
      </c>
    </row>
    <row r="268" spans="1:15" x14ac:dyDescent="0.4">
      <c r="A268" s="392" t="s">
        <v>3281</v>
      </c>
      <c r="B268" s="390" t="s">
        <v>395</v>
      </c>
      <c r="C268" s="390" t="s">
        <v>3282</v>
      </c>
      <c r="D268" s="390" t="s">
        <v>1039</v>
      </c>
      <c r="E268" s="391" t="s">
        <v>4</v>
      </c>
      <c r="F268" s="392" t="s">
        <v>5269</v>
      </c>
      <c r="G268" s="392" t="s">
        <v>781</v>
      </c>
      <c r="H268" s="392" t="s">
        <v>6476</v>
      </c>
      <c r="I268" s="392" t="s">
        <v>781</v>
      </c>
      <c r="J268" s="392" t="s">
        <v>6476</v>
      </c>
      <c r="K268" s="392" t="s">
        <v>781</v>
      </c>
      <c r="L268" s="393">
        <v>217.7</v>
      </c>
      <c r="M268" s="392" t="s">
        <v>4178</v>
      </c>
      <c r="N268" s="393">
        <v>541085.64935840003</v>
      </c>
      <c r="O268" s="392" t="s">
        <v>9054</v>
      </c>
    </row>
    <row r="269" spans="1:15" ht="26.4" x14ac:dyDescent="0.4">
      <c r="A269" s="392" t="s">
        <v>9055</v>
      </c>
      <c r="B269" s="390" t="s">
        <v>5902</v>
      </c>
      <c r="C269" s="390" t="s">
        <v>9056</v>
      </c>
      <c r="D269" s="390" t="s">
        <v>1039</v>
      </c>
      <c r="E269" s="391" t="s">
        <v>6</v>
      </c>
      <c r="F269" s="392" t="s">
        <v>5542</v>
      </c>
      <c r="G269" s="392" t="s">
        <v>781</v>
      </c>
      <c r="H269" s="392" t="s">
        <v>9057</v>
      </c>
      <c r="I269" s="392" t="s">
        <v>781</v>
      </c>
      <c r="J269" s="392" t="s">
        <v>9058</v>
      </c>
      <c r="K269" s="392" t="s">
        <v>781</v>
      </c>
      <c r="L269" s="393">
        <v>217.3836</v>
      </c>
      <c r="M269" s="392" t="s">
        <v>4178</v>
      </c>
      <c r="N269" s="393">
        <v>541303.03295839997</v>
      </c>
      <c r="O269" s="392" t="s">
        <v>9059</v>
      </c>
    </row>
    <row r="270" spans="1:15" ht="26.4" x14ac:dyDescent="0.4">
      <c r="A270" s="392" t="s">
        <v>3021</v>
      </c>
      <c r="B270" s="390" t="s">
        <v>395</v>
      </c>
      <c r="C270" s="390" t="s">
        <v>3022</v>
      </c>
      <c r="D270" s="390" t="s">
        <v>1039</v>
      </c>
      <c r="E270" s="391" t="s">
        <v>7</v>
      </c>
      <c r="F270" s="392" t="s">
        <v>5335</v>
      </c>
      <c r="G270" s="392" t="s">
        <v>781</v>
      </c>
      <c r="H270" s="392" t="s">
        <v>6478</v>
      </c>
      <c r="I270" s="392" t="s">
        <v>781</v>
      </c>
      <c r="J270" s="392" t="s">
        <v>6479</v>
      </c>
      <c r="K270" s="392" t="s">
        <v>781</v>
      </c>
      <c r="L270" s="393">
        <v>212.69788800000001</v>
      </c>
      <c r="M270" s="392" t="s">
        <v>4178</v>
      </c>
      <c r="N270" s="393">
        <v>541515.73084640002</v>
      </c>
      <c r="O270" s="392" t="s">
        <v>9060</v>
      </c>
    </row>
    <row r="271" spans="1:15" ht="26.4" x14ac:dyDescent="0.4">
      <c r="A271" s="392" t="s">
        <v>6480</v>
      </c>
      <c r="B271" s="390" t="s">
        <v>420</v>
      </c>
      <c r="C271" s="390" t="s">
        <v>6481</v>
      </c>
      <c r="D271" s="390" t="s">
        <v>1053</v>
      </c>
      <c r="E271" s="391" t="s">
        <v>1070</v>
      </c>
      <c r="F271" s="392" t="s">
        <v>6482</v>
      </c>
      <c r="G271" s="392" t="s">
        <v>781</v>
      </c>
      <c r="H271" s="392" t="s">
        <v>6202</v>
      </c>
      <c r="I271" s="392" t="s">
        <v>781</v>
      </c>
      <c r="J271" s="392" t="s">
        <v>6483</v>
      </c>
      <c r="K271" s="392" t="s">
        <v>781</v>
      </c>
      <c r="L271" s="393">
        <v>210.83949999999999</v>
      </c>
      <c r="M271" s="392" t="s">
        <v>4178</v>
      </c>
      <c r="N271" s="393">
        <v>541726.57034640003</v>
      </c>
      <c r="O271" s="392" t="s">
        <v>9061</v>
      </c>
    </row>
    <row r="272" spans="1:15" ht="26.4" x14ac:dyDescent="0.4">
      <c r="A272" s="392" t="s">
        <v>6484</v>
      </c>
      <c r="B272" s="390" t="s">
        <v>575</v>
      </c>
      <c r="C272" s="390" t="s">
        <v>6114</v>
      </c>
      <c r="D272" s="390" t="s">
        <v>1039</v>
      </c>
      <c r="E272" s="391" t="s">
        <v>675</v>
      </c>
      <c r="F272" s="392" t="s">
        <v>5323</v>
      </c>
      <c r="G272" s="392" t="s">
        <v>781</v>
      </c>
      <c r="H272" s="392" t="s">
        <v>5321</v>
      </c>
      <c r="I272" s="392" t="s">
        <v>781</v>
      </c>
      <c r="J272" s="392" t="s">
        <v>5338</v>
      </c>
      <c r="K272" s="392" t="s">
        <v>781</v>
      </c>
      <c r="L272" s="393">
        <v>210</v>
      </c>
      <c r="M272" s="392" t="s">
        <v>4178</v>
      </c>
      <c r="N272" s="393">
        <v>541936.57034640003</v>
      </c>
      <c r="O272" s="392" t="s">
        <v>6473</v>
      </c>
    </row>
    <row r="273" spans="1:15" ht="26.4" x14ac:dyDescent="0.4">
      <c r="A273" s="392" t="s">
        <v>9062</v>
      </c>
      <c r="B273" s="390" t="s">
        <v>408</v>
      </c>
      <c r="C273" s="390" t="s">
        <v>9063</v>
      </c>
      <c r="D273" s="390" t="s">
        <v>1039</v>
      </c>
      <c r="E273" s="391" t="s">
        <v>4</v>
      </c>
      <c r="F273" s="392" t="s">
        <v>5273</v>
      </c>
      <c r="G273" s="392" t="s">
        <v>781</v>
      </c>
      <c r="H273" s="392" t="s">
        <v>9064</v>
      </c>
      <c r="I273" s="392" t="s">
        <v>781</v>
      </c>
      <c r="J273" s="392" t="s">
        <v>9065</v>
      </c>
      <c r="K273" s="392" t="s">
        <v>781</v>
      </c>
      <c r="L273" s="393">
        <v>209.8</v>
      </c>
      <c r="M273" s="392" t="s">
        <v>4178</v>
      </c>
      <c r="N273" s="393">
        <v>542146.37034639996</v>
      </c>
      <c r="O273" s="392" t="s">
        <v>6475</v>
      </c>
    </row>
    <row r="274" spans="1:15" x14ac:dyDescent="0.4">
      <c r="A274" s="392" t="s">
        <v>1488</v>
      </c>
      <c r="B274" s="390" t="s">
        <v>408</v>
      </c>
      <c r="C274" s="390" t="s">
        <v>1489</v>
      </c>
      <c r="D274" s="390" t="s">
        <v>1039</v>
      </c>
      <c r="E274" s="391" t="s">
        <v>675</v>
      </c>
      <c r="F274" s="392" t="s">
        <v>5380</v>
      </c>
      <c r="G274" s="392" t="s">
        <v>781</v>
      </c>
      <c r="H274" s="392" t="s">
        <v>6485</v>
      </c>
      <c r="I274" s="392" t="s">
        <v>781</v>
      </c>
      <c r="J274" s="392" t="s">
        <v>6486</v>
      </c>
      <c r="K274" s="392" t="s">
        <v>781</v>
      </c>
      <c r="L274" s="393">
        <v>209.495</v>
      </c>
      <c r="M274" s="392" t="s">
        <v>4178</v>
      </c>
      <c r="N274" s="393">
        <v>542355.86534639995</v>
      </c>
      <c r="O274" s="392" t="s">
        <v>9066</v>
      </c>
    </row>
    <row r="275" spans="1:15" ht="26.4" x14ac:dyDescent="0.4">
      <c r="A275" s="392" t="s">
        <v>4148</v>
      </c>
      <c r="B275" s="390" t="s">
        <v>395</v>
      </c>
      <c r="C275" s="390" t="s">
        <v>4149</v>
      </c>
      <c r="D275" s="390" t="s">
        <v>1317</v>
      </c>
      <c r="E275" s="391" t="s">
        <v>6</v>
      </c>
      <c r="F275" s="392" t="s">
        <v>6376</v>
      </c>
      <c r="G275" s="392" t="s">
        <v>781</v>
      </c>
      <c r="H275" s="392" t="s">
        <v>5645</v>
      </c>
      <c r="I275" s="392" t="s">
        <v>781</v>
      </c>
      <c r="J275" s="392" t="s">
        <v>6487</v>
      </c>
      <c r="K275" s="392" t="s">
        <v>781</v>
      </c>
      <c r="L275" s="393">
        <v>205.930641412</v>
      </c>
      <c r="M275" s="392" t="s">
        <v>4178</v>
      </c>
      <c r="N275" s="393">
        <v>542561.7959878</v>
      </c>
      <c r="O275" s="392" t="s">
        <v>6477</v>
      </c>
    </row>
    <row r="276" spans="1:15" ht="26.4" x14ac:dyDescent="0.4">
      <c r="A276" s="392" t="s">
        <v>1242</v>
      </c>
      <c r="B276" s="390" t="s">
        <v>5902</v>
      </c>
      <c r="C276" s="390" t="s">
        <v>1243</v>
      </c>
      <c r="D276" s="390" t="s">
        <v>1039</v>
      </c>
      <c r="E276" s="391" t="s">
        <v>7</v>
      </c>
      <c r="F276" s="392" t="s">
        <v>5333</v>
      </c>
      <c r="G276" s="392" t="s">
        <v>781</v>
      </c>
      <c r="H276" s="392" t="s">
        <v>6488</v>
      </c>
      <c r="I276" s="392" t="s">
        <v>781</v>
      </c>
      <c r="J276" s="392" t="s">
        <v>6489</v>
      </c>
      <c r="K276" s="392" t="s">
        <v>781</v>
      </c>
      <c r="L276" s="393">
        <v>204.98400000000001</v>
      </c>
      <c r="M276" s="392" t="s">
        <v>4178</v>
      </c>
      <c r="N276" s="393">
        <v>542766.77998780005</v>
      </c>
      <c r="O276" s="392" t="s">
        <v>9067</v>
      </c>
    </row>
    <row r="277" spans="1:15" ht="39.6" x14ac:dyDescent="0.4">
      <c r="A277" s="392" t="s">
        <v>3132</v>
      </c>
      <c r="B277" s="390" t="s">
        <v>395</v>
      </c>
      <c r="C277" s="390" t="s">
        <v>3133</v>
      </c>
      <c r="D277" s="390" t="s">
        <v>1039</v>
      </c>
      <c r="E277" s="391" t="s">
        <v>4</v>
      </c>
      <c r="F277" s="392" t="s">
        <v>5269</v>
      </c>
      <c r="G277" s="392" t="s">
        <v>781</v>
      </c>
      <c r="H277" s="392" t="s">
        <v>6491</v>
      </c>
      <c r="I277" s="392" t="s">
        <v>781</v>
      </c>
      <c r="J277" s="392" t="s">
        <v>6491</v>
      </c>
      <c r="K277" s="392" t="s">
        <v>781</v>
      </c>
      <c r="L277" s="393">
        <v>204.34</v>
      </c>
      <c r="M277" s="392" t="s">
        <v>4178</v>
      </c>
      <c r="N277" s="393">
        <v>542971.11998780002</v>
      </c>
      <c r="O277" s="392" t="s">
        <v>9068</v>
      </c>
    </row>
    <row r="278" spans="1:15" ht="26.4" x14ac:dyDescent="0.4">
      <c r="A278" s="392" t="s">
        <v>6492</v>
      </c>
      <c r="B278" s="390" t="s">
        <v>420</v>
      </c>
      <c r="C278" s="390" t="s">
        <v>6493</v>
      </c>
      <c r="D278" s="390" t="s">
        <v>1039</v>
      </c>
      <c r="E278" s="391" t="s">
        <v>422</v>
      </c>
      <c r="F278" s="392" t="s">
        <v>5269</v>
      </c>
      <c r="G278" s="392" t="s">
        <v>781</v>
      </c>
      <c r="H278" s="392" t="s">
        <v>6494</v>
      </c>
      <c r="I278" s="392" t="s">
        <v>781</v>
      </c>
      <c r="J278" s="392" t="s">
        <v>6494</v>
      </c>
      <c r="K278" s="392" t="s">
        <v>781</v>
      </c>
      <c r="L278" s="393">
        <v>204.14</v>
      </c>
      <c r="M278" s="392" t="s">
        <v>4178</v>
      </c>
      <c r="N278" s="393">
        <v>543175.25998780003</v>
      </c>
      <c r="O278" s="392" t="s">
        <v>9069</v>
      </c>
    </row>
    <row r="279" spans="1:15" ht="26.4" x14ac:dyDescent="0.4">
      <c r="A279" s="392" t="s">
        <v>1360</v>
      </c>
      <c r="B279" s="390" t="s">
        <v>5902</v>
      </c>
      <c r="C279" s="390" t="s">
        <v>1361</v>
      </c>
      <c r="D279" s="390" t="s">
        <v>1053</v>
      </c>
      <c r="E279" s="391" t="s">
        <v>6</v>
      </c>
      <c r="F279" s="392" t="s">
        <v>5347</v>
      </c>
      <c r="G279" s="392" t="s">
        <v>781</v>
      </c>
      <c r="H279" s="392" t="s">
        <v>6224</v>
      </c>
      <c r="I279" s="392" t="s">
        <v>781</v>
      </c>
      <c r="J279" s="392" t="s">
        <v>6496</v>
      </c>
      <c r="K279" s="392" t="s">
        <v>781</v>
      </c>
      <c r="L279" s="393">
        <v>204.01920000000001</v>
      </c>
      <c r="M279" s="392" t="s">
        <v>4178</v>
      </c>
      <c r="N279" s="393">
        <v>543379.27918780001</v>
      </c>
      <c r="O279" s="392" t="s">
        <v>9070</v>
      </c>
    </row>
    <row r="280" spans="1:15" ht="26.4" x14ac:dyDescent="0.4">
      <c r="A280" s="392" t="s">
        <v>6498</v>
      </c>
      <c r="B280" s="390" t="s">
        <v>439</v>
      </c>
      <c r="C280" s="390" t="s">
        <v>2518</v>
      </c>
      <c r="D280" s="390" t="s">
        <v>1039</v>
      </c>
      <c r="E280" s="391" t="s">
        <v>422</v>
      </c>
      <c r="F280" s="392" t="s">
        <v>5290</v>
      </c>
      <c r="G280" s="392" t="s">
        <v>781</v>
      </c>
      <c r="H280" s="392" t="s">
        <v>6499</v>
      </c>
      <c r="I280" s="392" t="s">
        <v>781</v>
      </c>
      <c r="J280" s="392" t="s">
        <v>6500</v>
      </c>
      <c r="K280" s="392" t="s">
        <v>781</v>
      </c>
      <c r="L280" s="393">
        <v>203.35</v>
      </c>
      <c r="M280" s="392" t="s">
        <v>4197</v>
      </c>
      <c r="N280" s="393">
        <v>543582.62918779999</v>
      </c>
      <c r="O280" s="392" t="s">
        <v>9071</v>
      </c>
    </row>
    <row r="281" spans="1:15" x14ac:dyDescent="0.4">
      <c r="A281" s="392" t="s">
        <v>4202</v>
      </c>
      <c r="B281" s="390" t="s">
        <v>395</v>
      </c>
      <c r="C281" s="390" t="s">
        <v>4203</v>
      </c>
      <c r="D281" s="390" t="s">
        <v>1039</v>
      </c>
      <c r="E281" s="391" t="s">
        <v>4</v>
      </c>
      <c r="F281" s="392" t="s">
        <v>5269</v>
      </c>
      <c r="G281" s="392" t="s">
        <v>781</v>
      </c>
      <c r="H281" s="392" t="s">
        <v>6502</v>
      </c>
      <c r="I281" s="392" t="s">
        <v>781</v>
      </c>
      <c r="J281" s="392" t="s">
        <v>6502</v>
      </c>
      <c r="K281" s="392" t="s">
        <v>781</v>
      </c>
      <c r="L281" s="393">
        <v>202.6</v>
      </c>
      <c r="M281" s="392" t="s">
        <v>4197</v>
      </c>
      <c r="N281" s="393">
        <v>543785.22918779997</v>
      </c>
      <c r="O281" s="392" t="s">
        <v>9072</v>
      </c>
    </row>
    <row r="282" spans="1:15" x14ac:dyDescent="0.4">
      <c r="A282" s="392" t="s">
        <v>4234</v>
      </c>
      <c r="B282" s="390" t="s">
        <v>395</v>
      </c>
      <c r="C282" s="390" t="s">
        <v>4235</v>
      </c>
      <c r="D282" s="390" t="s">
        <v>1053</v>
      </c>
      <c r="E282" s="391" t="s">
        <v>6</v>
      </c>
      <c r="F282" s="392" t="s">
        <v>9073</v>
      </c>
      <c r="G282" s="392" t="s">
        <v>781</v>
      </c>
      <c r="H282" s="392" t="s">
        <v>6552</v>
      </c>
      <c r="I282" s="392" t="s">
        <v>781</v>
      </c>
      <c r="J282" s="392" t="s">
        <v>9074</v>
      </c>
      <c r="K282" s="392" t="s">
        <v>781</v>
      </c>
      <c r="L282" s="393">
        <v>201.66629956200001</v>
      </c>
      <c r="M282" s="392" t="s">
        <v>4197</v>
      </c>
      <c r="N282" s="393">
        <v>543986.8954874</v>
      </c>
      <c r="O282" s="392" t="s">
        <v>9075</v>
      </c>
    </row>
    <row r="283" spans="1:15" x14ac:dyDescent="0.4">
      <c r="A283" s="392" t="s">
        <v>4195</v>
      </c>
      <c r="B283" s="390" t="s">
        <v>395</v>
      </c>
      <c r="C283" s="390" t="s">
        <v>4196</v>
      </c>
      <c r="D283" s="390" t="s">
        <v>1053</v>
      </c>
      <c r="E283" s="391" t="s">
        <v>6</v>
      </c>
      <c r="F283" s="392" t="s">
        <v>6505</v>
      </c>
      <c r="G283" s="392" t="s">
        <v>781</v>
      </c>
      <c r="H283" s="392" t="s">
        <v>6154</v>
      </c>
      <c r="I283" s="392" t="s">
        <v>781</v>
      </c>
      <c r="J283" s="392" t="s">
        <v>6506</v>
      </c>
      <c r="K283" s="392" t="s">
        <v>781</v>
      </c>
      <c r="L283" s="393">
        <v>200.515794822</v>
      </c>
      <c r="M283" s="392" t="s">
        <v>4197</v>
      </c>
      <c r="N283" s="393">
        <v>544187.41128220002</v>
      </c>
      <c r="O283" s="392" t="s">
        <v>9076</v>
      </c>
    </row>
    <row r="284" spans="1:15" x14ac:dyDescent="0.4">
      <c r="A284" s="392" t="s">
        <v>1336</v>
      </c>
      <c r="B284" s="390" t="s">
        <v>575</v>
      </c>
      <c r="C284" s="390" t="s">
        <v>580</v>
      </c>
      <c r="D284" s="390" t="s">
        <v>1039</v>
      </c>
      <c r="E284" s="391" t="s">
        <v>422</v>
      </c>
      <c r="F284" s="392" t="s">
        <v>5269</v>
      </c>
      <c r="G284" s="392" t="s">
        <v>781</v>
      </c>
      <c r="H284" s="392" t="s">
        <v>5321</v>
      </c>
      <c r="I284" s="392" t="s">
        <v>781</v>
      </c>
      <c r="J284" s="392" t="s">
        <v>5321</v>
      </c>
      <c r="K284" s="392" t="s">
        <v>781</v>
      </c>
      <c r="L284" s="393">
        <v>200</v>
      </c>
      <c r="M284" s="392" t="s">
        <v>4197</v>
      </c>
      <c r="N284" s="393">
        <v>544387.41128220002</v>
      </c>
      <c r="O284" s="392" t="s">
        <v>6490</v>
      </c>
    </row>
    <row r="285" spans="1:15" x14ac:dyDescent="0.4">
      <c r="A285" s="392" t="s">
        <v>3192</v>
      </c>
      <c r="B285" s="390" t="s">
        <v>575</v>
      </c>
      <c r="C285" s="390" t="s">
        <v>2654</v>
      </c>
      <c r="D285" s="390" t="s">
        <v>1039</v>
      </c>
      <c r="E285" s="391" t="s">
        <v>4</v>
      </c>
      <c r="F285" s="392" t="s">
        <v>5269</v>
      </c>
      <c r="G285" s="392" t="s">
        <v>781</v>
      </c>
      <c r="H285" s="392" t="s">
        <v>5321</v>
      </c>
      <c r="I285" s="392" t="s">
        <v>781</v>
      </c>
      <c r="J285" s="392" t="s">
        <v>5321</v>
      </c>
      <c r="K285" s="392" t="s">
        <v>781</v>
      </c>
      <c r="L285" s="393">
        <v>200</v>
      </c>
      <c r="M285" s="392" t="s">
        <v>4197</v>
      </c>
      <c r="N285" s="393">
        <v>544587.41128220002</v>
      </c>
      <c r="O285" s="392" t="s">
        <v>9077</v>
      </c>
    </row>
    <row r="286" spans="1:15" x14ac:dyDescent="0.4">
      <c r="A286" s="392" t="s">
        <v>2390</v>
      </c>
      <c r="B286" s="390" t="s">
        <v>575</v>
      </c>
      <c r="C286" s="390" t="s">
        <v>2391</v>
      </c>
      <c r="D286" s="390" t="s">
        <v>1039</v>
      </c>
      <c r="E286" s="391" t="s">
        <v>4</v>
      </c>
      <c r="F286" s="392" t="s">
        <v>5269</v>
      </c>
      <c r="G286" s="392" t="s">
        <v>781</v>
      </c>
      <c r="H286" s="392" t="s">
        <v>9078</v>
      </c>
      <c r="I286" s="392" t="s">
        <v>781</v>
      </c>
      <c r="J286" s="392" t="s">
        <v>9078</v>
      </c>
      <c r="K286" s="392" t="s">
        <v>781</v>
      </c>
      <c r="L286" s="393">
        <v>198.87</v>
      </c>
      <c r="M286" s="392" t="s">
        <v>4197</v>
      </c>
      <c r="N286" s="393">
        <v>544786.28128220001</v>
      </c>
      <c r="O286" s="392" t="s">
        <v>6495</v>
      </c>
    </row>
    <row r="287" spans="1:15" x14ac:dyDescent="0.4">
      <c r="A287" s="392" t="s">
        <v>2392</v>
      </c>
      <c r="B287" s="390" t="s">
        <v>575</v>
      </c>
      <c r="C287" s="390" t="s">
        <v>2393</v>
      </c>
      <c r="D287" s="390" t="s">
        <v>1039</v>
      </c>
      <c r="E287" s="391" t="s">
        <v>4</v>
      </c>
      <c r="F287" s="392" t="s">
        <v>5269</v>
      </c>
      <c r="G287" s="392" t="s">
        <v>781</v>
      </c>
      <c r="H287" s="392" t="s">
        <v>9078</v>
      </c>
      <c r="I287" s="392" t="s">
        <v>781</v>
      </c>
      <c r="J287" s="392" t="s">
        <v>9078</v>
      </c>
      <c r="K287" s="392" t="s">
        <v>781</v>
      </c>
      <c r="L287" s="393">
        <v>198.87</v>
      </c>
      <c r="M287" s="392" t="s">
        <v>4197</v>
      </c>
      <c r="N287" s="393">
        <v>544985.15128220001</v>
      </c>
      <c r="O287" s="392" t="s">
        <v>6497</v>
      </c>
    </row>
    <row r="288" spans="1:15" x14ac:dyDescent="0.4">
      <c r="A288" s="392" t="s">
        <v>3050</v>
      </c>
      <c r="B288" s="390" t="s">
        <v>408</v>
      </c>
      <c r="C288" s="390" t="s">
        <v>3051</v>
      </c>
      <c r="D288" s="390" t="s">
        <v>1039</v>
      </c>
      <c r="E288" s="391" t="s">
        <v>4</v>
      </c>
      <c r="F288" s="392" t="s">
        <v>5305</v>
      </c>
      <c r="G288" s="392" t="s">
        <v>781</v>
      </c>
      <c r="H288" s="392" t="s">
        <v>6507</v>
      </c>
      <c r="I288" s="392" t="s">
        <v>781</v>
      </c>
      <c r="J288" s="392" t="s">
        <v>6508</v>
      </c>
      <c r="K288" s="392" t="s">
        <v>781</v>
      </c>
      <c r="L288" s="393">
        <v>196.88</v>
      </c>
      <c r="M288" s="392" t="s">
        <v>4197</v>
      </c>
      <c r="N288" s="393">
        <v>545182.03128220001</v>
      </c>
      <c r="O288" s="392" t="s">
        <v>6501</v>
      </c>
    </row>
    <row r="289" spans="1:15" ht="39.6" x14ac:dyDescent="0.4">
      <c r="A289" s="392" t="s">
        <v>1210</v>
      </c>
      <c r="B289" s="390" t="s">
        <v>5902</v>
      </c>
      <c r="C289" s="390" t="s">
        <v>1211</v>
      </c>
      <c r="D289" s="390" t="s">
        <v>1039</v>
      </c>
      <c r="E289" s="391" t="s">
        <v>7</v>
      </c>
      <c r="F289" s="392" t="s">
        <v>5345</v>
      </c>
      <c r="G289" s="392" t="s">
        <v>781</v>
      </c>
      <c r="H289" s="392" t="s">
        <v>6509</v>
      </c>
      <c r="I289" s="392" t="s">
        <v>781</v>
      </c>
      <c r="J289" s="392" t="s">
        <v>6510</v>
      </c>
      <c r="K289" s="392" t="s">
        <v>781</v>
      </c>
      <c r="L289" s="393">
        <v>195.88079999999999</v>
      </c>
      <c r="M289" s="392" t="s">
        <v>4197</v>
      </c>
      <c r="N289" s="393">
        <v>545377.91208220006</v>
      </c>
      <c r="O289" s="392" t="s">
        <v>9079</v>
      </c>
    </row>
    <row r="290" spans="1:15" x14ac:dyDescent="0.4">
      <c r="A290" s="392" t="s">
        <v>3168</v>
      </c>
      <c r="B290" s="390" t="s">
        <v>575</v>
      </c>
      <c r="C290" s="390" t="s">
        <v>2647</v>
      </c>
      <c r="D290" s="390" t="s">
        <v>1039</v>
      </c>
      <c r="E290" s="391" t="s">
        <v>4</v>
      </c>
      <c r="F290" s="392" t="s">
        <v>5269</v>
      </c>
      <c r="G290" s="392" t="s">
        <v>781</v>
      </c>
      <c r="H290" s="392" t="s">
        <v>9080</v>
      </c>
      <c r="I290" s="392" t="s">
        <v>781</v>
      </c>
      <c r="J290" s="392" t="s">
        <v>9080</v>
      </c>
      <c r="K290" s="392" t="s">
        <v>781</v>
      </c>
      <c r="L290" s="393">
        <v>195.57</v>
      </c>
      <c r="M290" s="392" t="s">
        <v>4197</v>
      </c>
      <c r="N290" s="393">
        <v>545573.4820822</v>
      </c>
      <c r="O290" s="392" t="s">
        <v>6504</v>
      </c>
    </row>
    <row r="291" spans="1:15" ht="26.4" x14ac:dyDescent="0.4">
      <c r="A291" s="392" t="s">
        <v>9081</v>
      </c>
      <c r="B291" s="390" t="s">
        <v>408</v>
      </c>
      <c r="C291" s="390" t="s">
        <v>9082</v>
      </c>
      <c r="D291" s="390" t="s">
        <v>1039</v>
      </c>
      <c r="E291" s="391" t="s">
        <v>4</v>
      </c>
      <c r="F291" s="392" t="s">
        <v>5273</v>
      </c>
      <c r="G291" s="392" t="s">
        <v>781</v>
      </c>
      <c r="H291" s="392" t="s">
        <v>9083</v>
      </c>
      <c r="I291" s="392" t="s">
        <v>781</v>
      </c>
      <c r="J291" s="392" t="s">
        <v>9084</v>
      </c>
      <c r="K291" s="392" t="s">
        <v>781</v>
      </c>
      <c r="L291" s="393">
        <v>195.36</v>
      </c>
      <c r="M291" s="392" t="s">
        <v>4197</v>
      </c>
      <c r="N291" s="393">
        <v>545768.84208219999</v>
      </c>
      <c r="O291" s="392" t="s">
        <v>9085</v>
      </c>
    </row>
    <row r="292" spans="1:15" ht="26.4" x14ac:dyDescent="0.4">
      <c r="A292" s="392" t="s">
        <v>4179</v>
      </c>
      <c r="B292" s="390" t="s">
        <v>395</v>
      </c>
      <c r="C292" s="390" t="s">
        <v>4180</v>
      </c>
      <c r="D292" s="390" t="s">
        <v>1039</v>
      </c>
      <c r="E292" s="391" t="s">
        <v>4</v>
      </c>
      <c r="F292" s="392" t="s">
        <v>5269</v>
      </c>
      <c r="G292" s="392" t="s">
        <v>781</v>
      </c>
      <c r="H292" s="392" t="s">
        <v>6511</v>
      </c>
      <c r="I292" s="392" t="s">
        <v>781</v>
      </c>
      <c r="J292" s="392" t="s">
        <v>6511</v>
      </c>
      <c r="K292" s="392" t="s">
        <v>781</v>
      </c>
      <c r="L292" s="393">
        <v>194.86</v>
      </c>
      <c r="M292" s="392" t="s">
        <v>4197</v>
      </c>
      <c r="N292" s="393">
        <v>545963.70208219998</v>
      </c>
      <c r="O292" s="392" t="s">
        <v>9086</v>
      </c>
    </row>
    <row r="293" spans="1:15" ht="39.6" x14ac:dyDescent="0.4">
      <c r="A293" s="392" t="s">
        <v>4156</v>
      </c>
      <c r="B293" s="390" t="s">
        <v>395</v>
      </c>
      <c r="C293" s="390" t="s">
        <v>4157</v>
      </c>
      <c r="D293" s="390" t="s">
        <v>1039</v>
      </c>
      <c r="E293" s="391" t="s">
        <v>4</v>
      </c>
      <c r="F293" s="392" t="s">
        <v>5334</v>
      </c>
      <c r="G293" s="392" t="s">
        <v>781</v>
      </c>
      <c r="H293" s="392" t="s">
        <v>6512</v>
      </c>
      <c r="I293" s="392" t="s">
        <v>781</v>
      </c>
      <c r="J293" s="392" t="s">
        <v>6513</v>
      </c>
      <c r="K293" s="392" t="s">
        <v>781</v>
      </c>
      <c r="L293" s="393">
        <v>193.3</v>
      </c>
      <c r="M293" s="392" t="s">
        <v>4197</v>
      </c>
      <c r="N293" s="393">
        <v>546157.00208220002</v>
      </c>
      <c r="O293" s="392" t="s">
        <v>9087</v>
      </c>
    </row>
    <row r="294" spans="1:15" ht="26.4" x14ac:dyDescent="0.4">
      <c r="A294" s="392" t="s">
        <v>4170</v>
      </c>
      <c r="B294" s="390" t="s">
        <v>395</v>
      </c>
      <c r="C294" s="390" t="s">
        <v>4171</v>
      </c>
      <c r="D294" s="390" t="s">
        <v>1039</v>
      </c>
      <c r="E294" s="391" t="s">
        <v>4</v>
      </c>
      <c r="F294" s="392" t="s">
        <v>5337</v>
      </c>
      <c r="G294" s="392" t="s">
        <v>781</v>
      </c>
      <c r="H294" s="392" t="s">
        <v>6514</v>
      </c>
      <c r="I294" s="392" t="s">
        <v>781</v>
      </c>
      <c r="J294" s="392" t="s">
        <v>6515</v>
      </c>
      <c r="K294" s="392" t="s">
        <v>781</v>
      </c>
      <c r="L294" s="393">
        <v>192.85</v>
      </c>
      <c r="M294" s="392" t="s">
        <v>4197</v>
      </c>
      <c r="N294" s="393">
        <v>546349.8520822</v>
      </c>
      <c r="O294" s="392" t="s">
        <v>9088</v>
      </c>
    </row>
    <row r="295" spans="1:15" x14ac:dyDescent="0.4">
      <c r="A295" s="392" t="s">
        <v>4238</v>
      </c>
      <c r="B295" s="390" t="s">
        <v>395</v>
      </c>
      <c r="C295" s="390" t="s">
        <v>4239</v>
      </c>
      <c r="D295" s="390" t="s">
        <v>1053</v>
      </c>
      <c r="E295" s="391" t="s">
        <v>6</v>
      </c>
      <c r="F295" s="392" t="s">
        <v>6516</v>
      </c>
      <c r="G295" s="392" t="s">
        <v>781</v>
      </c>
      <c r="H295" s="392" t="s">
        <v>6517</v>
      </c>
      <c r="I295" s="392" t="s">
        <v>781</v>
      </c>
      <c r="J295" s="392" t="s">
        <v>6509</v>
      </c>
      <c r="K295" s="392" t="s">
        <v>781</v>
      </c>
      <c r="L295" s="393">
        <v>192.03720524799999</v>
      </c>
      <c r="M295" s="392" t="s">
        <v>4197</v>
      </c>
      <c r="N295" s="393">
        <v>546541.88928739994</v>
      </c>
      <c r="O295" s="392" t="s">
        <v>9089</v>
      </c>
    </row>
    <row r="296" spans="1:15" x14ac:dyDescent="0.4">
      <c r="A296" s="392" t="s">
        <v>1356</v>
      </c>
      <c r="B296" s="390" t="s">
        <v>408</v>
      </c>
      <c r="C296" s="390" t="s">
        <v>1357</v>
      </c>
      <c r="D296" s="390" t="s">
        <v>1039</v>
      </c>
      <c r="E296" s="391" t="s">
        <v>4</v>
      </c>
      <c r="F296" s="392" t="s">
        <v>5269</v>
      </c>
      <c r="G296" s="392" t="s">
        <v>781</v>
      </c>
      <c r="H296" s="392" t="s">
        <v>5344</v>
      </c>
      <c r="I296" s="392" t="s">
        <v>781</v>
      </c>
      <c r="J296" s="392" t="s">
        <v>5344</v>
      </c>
      <c r="K296" s="392" t="s">
        <v>781</v>
      </c>
      <c r="L296" s="393">
        <v>190.96</v>
      </c>
      <c r="M296" s="392" t="s">
        <v>4197</v>
      </c>
      <c r="N296" s="393">
        <v>546732.84928740002</v>
      </c>
      <c r="O296" s="392" t="s">
        <v>9090</v>
      </c>
    </row>
    <row r="297" spans="1:15" ht="26.4" x14ac:dyDescent="0.4">
      <c r="A297" s="392" t="s">
        <v>4371</v>
      </c>
      <c r="B297" s="390" t="s">
        <v>395</v>
      </c>
      <c r="C297" s="390" t="s">
        <v>4372</v>
      </c>
      <c r="D297" s="390" t="s">
        <v>1039</v>
      </c>
      <c r="E297" s="391" t="s">
        <v>4</v>
      </c>
      <c r="F297" s="392" t="s">
        <v>5269</v>
      </c>
      <c r="G297" s="392" t="s">
        <v>781</v>
      </c>
      <c r="H297" s="392" t="s">
        <v>6518</v>
      </c>
      <c r="I297" s="392" t="s">
        <v>781</v>
      </c>
      <c r="J297" s="392" t="s">
        <v>6518</v>
      </c>
      <c r="K297" s="392" t="s">
        <v>781</v>
      </c>
      <c r="L297" s="393">
        <v>190.79</v>
      </c>
      <c r="M297" s="392" t="s">
        <v>4197</v>
      </c>
      <c r="N297" s="393">
        <v>546923.63928739994</v>
      </c>
      <c r="O297" s="392" t="s">
        <v>9091</v>
      </c>
    </row>
    <row r="298" spans="1:15" x14ac:dyDescent="0.4">
      <c r="A298" s="392" t="s">
        <v>4193</v>
      </c>
      <c r="B298" s="390" t="s">
        <v>395</v>
      </c>
      <c r="C298" s="390" t="s">
        <v>4194</v>
      </c>
      <c r="D298" s="390" t="s">
        <v>1053</v>
      </c>
      <c r="E298" s="391" t="s">
        <v>6</v>
      </c>
      <c r="F298" s="392" t="s">
        <v>6519</v>
      </c>
      <c r="G298" s="392" t="s">
        <v>781</v>
      </c>
      <c r="H298" s="392" t="s">
        <v>6520</v>
      </c>
      <c r="I298" s="392" t="s">
        <v>781</v>
      </c>
      <c r="J298" s="392" t="s">
        <v>6521</v>
      </c>
      <c r="K298" s="392" t="s">
        <v>781</v>
      </c>
      <c r="L298" s="393">
        <v>190.625595089</v>
      </c>
      <c r="M298" s="392" t="s">
        <v>4197</v>
      </c>
      <c r="N298" s="393">
        <v>547114.26488250005</v>
      </c>
      <c r="O298" s="392" t="s">
        <v>9092</v>
      </c>
    </row>
    <row r="299" spans="1:15" x14ac:dyDescent="0.4">
      <c r="A299" s="392" t="s">
        <v>3186</v>
      </c>
      <c r="B299" s="390" t="s">
        <v>575</v>
      </c>
      <c r="C299" s="390" t="s">
        <v>2657</v>
      </c>
      <c r="D299" s="390" t="s">
        <v>1039</v>
      </c>
      <c r="E299" s="391" t="s">
        <v>4</v>
      </c>
      <c r="F299" s="392" t="s">
        <v>5269</v>
      </c>
      <c r="G299" s="392" t="s">
        <v>781</v>
      </c>
      <c r="H299" s="392" t="s">
        <v>9093</v>
      </c>
      <c r="I299" s="392" t="s">
        <v>781</v>
      </c>
      <c r="J299" s="392" t="s">
        <v>9093</v>
      </c>
      <c r="K299" s="392" t="s">
        <v>781</v>
      </c>
      <c r="L299" s="393">
        <v>190</v>
      </c>
      <c r="M299" s="392" t="s">
        <v>4197</v>
      </c>
      <c r="N299" s="393">
        <v>547304.26488250005</v>
      </c>
      <c r="O299" s="392" t="s">
        <v>9094</v>
      </c>
    </row>
    <row r="300" spans="1:15" x14ac:dyDescent="0.4">
      <c r="A300" s="392" t="s">
        <v>2582</v>
      </c>
      <c r="B300" s="390" t="s">
        <v>575</v>
      </c>
      <c r="C300" s="390" t="s">
        <v>1873</v>
      </c>
      <c r="D300" s="390" t="s">
        <v>1039</v>
      </c>
      <c r="E300" s="391" t="s">
        <v>422</v>
      </c>
      <c r="F300" s="392" t="s">
        <v>5269</v>
      </c>
      <c r="G300" s="392" t="s">
        <v>781</v>
      </c>
      <c r="H300" s="392" t="s">
        <v>9095</v>
      </c>
      <c r="I300" s="392" t="s">
        <v>781</v>
      </c>
      <c r="J300" s="392" t="s">
        <v>9095</v>
      </c>
      <c r="K300" s="392" t="s">
        <v>781</v>
      </c>
      <c r="L300" s="393">
        <v>189.52</v>
      </c>
      <c r="M300" s="392" t="s">
        <v>4197</v>
      </c>
      <c r="N300" s="393">
        <v>547493.78488249995</v>
      </c>
      <c r="O300" s="392" t="s">
        <v>9096</v>
      </c>
    </row>
    <row r="301" spans="1:15" ht="26.4" x14ac:dyDescent="0.4">
      <c r="A301" s="392" t="s">
        <v>1136</v>
      </c>
      <c r="B301" s="390" t="s">
        <v>5902</v>
      </c>
      <c r="C301" s="390" t="s">
        <v>1137</v>
      </c>
      <c r="D301" s="390" t="s">
        <v>1039</v>
      </c>
      <c r="E301" s="391" t="s">
        <v>4</v>
      </c>
      <c r="F301" s="392" t="s">
        <v>5269</v>
      </c>
      <c r="G301" s="392" t="s">
        <v>781</v>
      </c>
      <c r="H301" s="392" t="s">
        <v>6523</v>
      </c>
      <c r="I301" s="392" t="s">
        <v>781</v>
      </c>
      <c r="J301" s="392" t="s">
        <v>6523</v>
      </c>
      <c r="K301" s="392" t="s">
        <v>781</v>
      </c>
      <c r="L301" s="393">
        <v>188.26</v>
      </c>
      <c r="M301" s="392" t="s">
        <v>4197</v>
      </c>
      <c r="N301" s="393">
        <v>547682.04488249996</v>
      </c>
      <c r="O301" s="392" t="s">
        <v>9097</v>
      </c>
    </row>
    <row r="302" spans="1:15" x14ac:dyDescent="0.4">
      <c r="A302" s="392" t="s">
        <v>1459</v>
      </c>
      <c r="B302" s="390" t="s">
        <v>408</v>
      </c>
      <c r="C302" s="390" t="s">
        <v>1460</v>
      </c>
      <c r="D302" s="390" t="s">
        <v>1039</v>
      </c>
      <c r="E302" s="391" t="s">
        <v>4</v>
      </c>
      <c r="F302" s="392" t="s">
        <v>5269</v>
      </c>
      <c r="G302" s="392" t="s">
        <v>781</v>
      </c>
      <c r="H302" s="392" t="s">
        <v>5315</v>
      </c>
      <c r="I302" s="392" t="s">
        <v>781</v>
      </c>
      <c r="J302" s="392" t="s">
        <v>5315</v>
      </c>
      <c r="K302" s="392" t="s">
        <v>781</v>
      </c>
      <c r="L302" s="393">
        <v>188</v>
      </c>
      <c r="M302" s="392" t="s">
        <v>4197</v>
      </c>
      <c r="N302" s="393">
        <v>547870.04488249996</v>
      </c>
      <c r="O302" s="392" t="s">
        <v>6522</v>
      </c>
    </row>
    <row r="303" spans="1:15" x14ac:dyDescent="0.4">
      <c r="A303" s="392" t="s">
        <v>1279</v>
      </c>
      <c r="B303" s="390" t="s">
        <v>408</v>
      </c>
      <c r="C303" s="390" t="s">
        <v>1280</v>
      </c>
      <c r="D303" s="390" t="s">
        <v>1039</v>
      </c>
      <c r="E303" s="391" t="s">
        <v>4</v>
      </c>
      <c r="F303" s="392" t="s">
        <v>5269</v>
      </c>
      <c r="G303" s="392" t="s">
        <v>781</v>
      </c>
      <c r="H303" s="392" t="s">
        <v>6524</v>
      </c>
      <c r="I303" s="392" t="s">
        <v>781</v>
      </c>
      <c r="J303" s="392" t="s">
        <v>6524</v>
      </c>
      <c r="K303" s="392" t="s">
        <v>781</v>
      </c>
      <c r="L303" s="393">
        <v>186.38</v>
      </c>
      <c r="M303" s="392" t="s">
        <v>4197</v>
      </c>
      <c r="N303" s="393">
        <v>548056.42488249997</v>
      </c>
      <c r="O303" s="392" t="s">
        <v>5848</v>
      </c>
    </row>
    <row r="304" spans="1:15" x14ac:dyDescent="0.4">
      <c r="A304" s="392" t="s">
        <v>3104</v>
      </c>
      <c r="B304" s="390" t="s">
        <v>408</v>
      </c>
      <c r="C304" s="390" t="s">
        <v>3105</v>
      </c>
      <c r="D304" s="390" t="s">
        <v>1039</v>
      </c>
      <c r="E304" s="391" t="s">
        <v>3</v>
      </c>
      <c r="F304" s="392" t="s">
        <v>5332</v>
      </c>
      <c r="G304" s="392" t="s">
        <v>781</v>
      </c>
      <c r="H304" s="392" t="s">
        <v>6526</v>
      </c>
      <c r="I304" s="392" t="s">
        <v>781</v>
      </c>
      <c r="J304" s="392" t="s">
        <v>6527</v>
      </c>
      <c r="K304" s="392" t="s">
        <v>781</v>
      </c>
      <c r="L304" s="393">
        <v>185.90940000000001</v>
      </c>
      <c r="M304" s="392" t="s">
        <v>4197</v>
      </c>
      <c r="N304" s="393">
        <v>548242.33428249997</v>
      </c>
      <c r="O304" s="392" t="s">
        <v>9098</v>
      </c>
    </row>
    <row r="305" spans="1:15" x14ac:dyDescent="0.4">
      <c r="A305" s="392" t="s">
        <v>1156</v>
      </c>
      <c r="B305" s="390" t="s">
        <v>408</v>
      </c>
      <c r="C305" s="390" t="s">
        <v>1157</v>
      </c>
      <c r="D305" s="390" t="s">
        <v>1039</v>
      </c>
      <c r="E305" s="391" t="s">
        <v>4</v>
      </c>
      <c r="F305" s="392" t="s">
        <v>5269</v>
      </c>
      <c r="G305" s="392" t="s">
        <v>781</v>
      </c>
      <c r="H305" s="392" t="s">
        <v>6529</v>
      </c>
      <c r="I305" s="392" t="s">
        <v>781</v>
      </c>
      <c r="J305" s="392" t="s">
        <v>6529</v>
      </c>
      <c r="K305" s="392" t="s">
        <v>781</v>
      </c>
      <c r="L305" s="393">
        <v>185.15</v>
      </c>
      <c r="M305" s="392" t="s">
        <v>4197</v>
      </c>
      <c r="N305" s="393">
        <v>548427.48428249999</v>
      </c>
      <c r="O305" s="392" t="s">
        <v>6525</v>
      </c>
    </row>
    <row r="306" spans="1:15" x14ac:dyDescent="0.4">
      <c r="A306" s="392" t="s">
        <v>4208</v>
      </c>
      <c r="B306" s="390" t="s">
        <v>395</v>
      </c>
      <c r="C306" s="390" t="s">
        <v>4209</v>
      </c>
      <c r="D306" s="390" t="s">
        <v>1053</v>
      </c>
      <c r="E306" s="391" t="s">
        <v>6</v>
      </c>
      <c r="F306" s="392" t="s">
        <v>9099</v>
      </c>
      <c r="G306" s="392" t="s">
        <v>781</v>
      </c>
      <c r="H306" s="392" t="s">
        <v>5498</v>
      </c>
      <c r="I306" s="392" t="s">
        <v>781</v>
      </c>
      <c r="J306" s="392" t="s">
        <v>9100</v>
      </c>
      <c r="K306" s="392" t="s">
        <v>781</v>
      </c>
      <c r="L306" s="393">
        <v>185.04523854199999</v>
      </c>
      <c r="M306" s="392" t="s">
        <v>4197</v>
      </c>
      <c r="N306" s="393">
        <v>548612.52952099999</v>
      </c>
      <c r="O306" s="392" t="s">
        <v>6528</v>
      </c>
    </row>
    <row r="307" spans="1:15" x14ac:dyDescent="0.4">
      <c r="A307" s="392" t="s">
        <v>4222</v>
      </c>
      <c r="B307" s="390" t="s">
        <v>395</v>
      </c>
      <c r="C307" s="390" t="s">
        <v>4223</v>
      </c>
      <c r="D307" s="390" t="s">
        <v>1039</v>
      </c>
      <c r="E307" s="391" t="s">
        <v>10</v>
      </c>
      <c r="F307" s="392" t="s">
        <v>5334</v>
      </c>
      <c r="G307" s="392" t="s">
        <v>781</v>
      </c>
      <c r="H307" s="392" t="s">
        <v>6503</v>
      </c>
      <c r="I307" s="392" t="s">
        <v>781</v>
      </c>
      <c r="J307" s="392" t="s">
        <v>9101</v>
      </c>
      <c r="K307" s="392" t="s">
        <v>781</v>
      </c>
      <c r="L307" s="393">
        <v>182.8</v>
      </c>
      <c r="M307" s="392" t="s">
        <v>4197</v>
      </c>
      <c r="N307" s="393">
        <v>548795.32952100004</v>
      </c>
      <c r="O307" s="392" t="s">
        <v>6530</v>
      </c>
    </row>
    <row r="308" spans="1:15" ht="26.4" x14ac:dyDescent="0.4">
      <c r="A308" s="392" t="s">
        <v>2267</v>
      </c>
      <c r="B308" s="390" t="s">
        <v>5902</v>
      </c>
      <c r="C308" s="390" t="s">
        <v>2268</v>
      </c>
      <c r="D308" s="390" t="s">
        <v>1039</v>
      </c>
      <c r="E308" s="391" t="s">
        <v>4</v>
      </c>
      <c r="F308" s="392" t="s">
        <v>5269</v>
      </c>
      <c r="G308" s="392" t="s">
        <v>781</v>
      </c>
      <c r="H308" s="392" t="s">
        <v>6531</v>
      </c>
      <c r="I308" s="392" t="s">
        <v>781</v>
      </c>
      <c r="J308" s="392" t="s">
        <v>6531</v>
      </c>
      <c r="K308" s="392" t="s">
        <v>781</v>
      </c>
      <c r="L308" s="393">
        <v>181.31</v>
      </c>
      <c r="M308" s="392" t="s">
        <v>4197</v>
      </c>
      <c r="N308" s="393">
        <v>548976.63952099998</v>
      </c>
      <c r="O308" s="392" t="s">
        <v>9102</v>
      </c>
    </row>
    <row r="309" spans="1:15" x14ac:dyDescent="0.4">
      <c r="A309" s="392" t="s">
        <v>2591</v>
      </c>
      <c r="B309" s="390" t="s">
        <v>408</v>
      </c>
      <c r="C309" s="390" t="s">
        <v>2592</v>
      </c>
      <c r="D309" s="390" t="s">
        <v>1039</v>
      </c>
      <c r="E309" s="391" t="s">
        <v>4</v>
      </c>
      <c r="F309" s="392" t="s">
        <v>5269</v>
      </c>
      <c r="G309" s="392" t="s">
        <v>781</v>
      </c>
      <c r="H309" s="392" t="s">
        <v>5623</v>
      </c>
      <c r="I309" s="392" t="s">
        <v>781</v>
      </c>
      <c r="J309" s="392" t="s">
        <v>5623</v>
      </c>
      <c r="K309" s="392" t="s">
        <v>781</v>
      </c>
      <c r="L309" s="393">
        <v>179.9</v>
      </c>
      <c r="M309" s="392" t="s">
        <v>4197</v>
      </c>
      <c r="N309" s="393">
        <v>549156.539521</v>
      </c>
      <c r="O309" s="392" t="s">
        <v>9103</v>
      </c>
    </row>
    <row r="310" spans="1:15" ht="26.4" x14ac:dyDescent="0.4">
      <c r="A310" s="392" t="s">
        <v>2331</v>
      </c>
      <c r="B310" s="390" t="s">
        <v>5902</v>
      </c>
      <c r="C310" s="390" t="s">
        <v>2332</v>
      </c>
      <c r="D310" s="390" t="s">
        <v>1053</v>
      </c>
      <c r="E310" s="391" t="s">
        <v>6</v>
      </c>
      <c r="F310" s="392" t="s">
        <v>9104</v>
      </c>
      <c r="G310" s="392" t="s">
        <v>781</v>
      </c>
      <c r="H310" s="392" t="s">
        <v>6710</v>
      </c>
      <c r="I310" s="392" t="s">
        <v>781</v>
      </c>
      <c r="J310" s="392" t="s">
        <v>9105</v>
      </c>
      <c r="K310" s="392" t="s">
        <v>781</v>
      </c>
      <c r="L310" s="393">
        <v>178.76745</v>
      </c>
      <c r="M310" s="392" t="s">
        <v>4197</v>
      </c>
      <c r="N310" s="393">
        <v>549335.30697100004</v>
      </c>
      <c r="O310" s="392" t="s">
        <v>9106</v>
      </c>
    </row>
    <row r="311" spans="1:15" x14ac:dyDescent="0.4">
      <c r="A311" s="392" t="s">
        <v>1506</v>
      </c>
      <c r="B311" s="390" t="s">
        <v>408</v>
      </c>
      <c r="C311" s="390" t="s">
        <v>384</v>
      </c>
      <c r="D311" s="390" t="s">
        <v>1039</v>
      </c>
      <c r="E311" s="391" t="s">
        <v>4</v>
      </c>
      <c r="F311" s="392" t="s">
        <v>5269</v>
      </c>
      <c r="G311" s="392" t="s">
        <v>781</v>
      </c>
      <c r="H311" s="392" t="s">
        <v>6532</v>
      </c>
      <c r="I311" s="392" t="s">
        <v>781</v>
      </c>
      <c r="J311" s="392" t="s">
        <v>6532</v>
      </c>
      <c r="K311" s="392" t="s">
        <v>781</v>
      </c>
      <c r="L311" s="393">
        <v>176.97</v>
      </c>
      <c r="M311" s="392" t="s">
        <v>4197</v>
      </c>
      <c r="N311" s="393">
        <v>549512.27697100001</v>
      </c>
      <c r="O311" s="392" t="s">
        <v>9107</v>
      </c>
    </row>
    <row r="312" spans="1:15" x14ac:dyDescent="0.4">
      <c r="A312" s="392" t="s">
        <v>9108</v>
      </c>
      <c r="B312" s="390" t="s">
        <v>408</v>
      </c>
      <c r="C312" s="390" t="s">
        <v>9109</v>
      </c>
      <c r="D312" s="390" t="s">
        <v>1039</v>
      </c>
      <c r="E312" s="391" t="s">
        <v>675</v>
      </c>
      <c r="F312" s="392" t="s">
        <v>5323</v>
      </c>
      <c r="G312" s="392" t="s">
        <v>781</v>
      </c>
      <c r="H312" s="392" t="s">
        <v>9110</v>
      </c>
      <c r="I312" s="392" t="s">
        <v>781</v>
      </c>
      <c r="J312" s="392" t="s">
        <v>9111</v>
      </c>
      <c r="K312" s="392" t="s">
        <v>781</v>
      </c>
      <c r="L312" s="393">
        <v>173.25</v>
      </c>
      <c r="M312" s="392" t="s">
        <v>4197</v>
      </c>
      <c r="N312" s="393">
        <v>549685.52697100001</v>
      </c>
      <c r="O312" s="392" t="s">
        <v>9112</v>
      </c>
    </row>
    <row r="313" spans="1:15" x14ac:dyDescent="0.4">
      <c r="A313" s="392" t="s">
        <v>1285</v>
      </c>
      <c r="B313" s="390" t="s">
        <v>408</v>
      </c>
      <c r="C313" s="390" t="s">
        <v>572</v>
      </c>
      <c r="D313" s="390" t="s">
        <v>1039</v>
      </c>
      <c r="E313" s="391" t="s">
        <v>4</v>
      </c>
      <c r="F313" s="392" t="s">
        <v>5269</v>
      </c>
      <c r="G313" s="392" t="s">
        <v>781</v>
      </c>
      <c r="H313" s="392" t="s">
        <v>6533</v>
      </c>
      <c r="I313" s="392" t="s">
        <v>781</v>
      </c>
      <c r="J313" s="392" t="s">
        <v>6533</v>
      </c>
      <c r="K313" s="392" t="s">
        <v>781</v>
      </c>
      <c r="L313" s="393">
        <v>172.45</v>
      </c>
      <c r="M313" s="392" t="s">
        <v>4197</v>
      </c>
      <c r="N313" s="393">
        <v>549857.97697099997</v>
      </c>
      <c r="O313" s="392" t="s">
        <v>9113</v>
      </c>
    </row>
    <row r="314" spans="1:15" ht="26.4" x14ac:dyDescent="0.4">
      <c r="A314" s="392" t="s">
        <v>2363</v>
      </c>
      <c r="B314" s="390" t="s">
        <v>5902</v>
      </c>
      <c r="C314" s="390" t="s">
        <v>2364</v>
      </c>
      <c r="D314" s="390" t="s">
        <v>1039</v>
      </c>
      <c r="E314" s="391" t="s">
        <v>4</v>
      </c>
      <c r="F314" s="392" t="s">
        <v>5269</v>
      </c>
      <c r="G314" s="392" t="s">
        <v>781</v>
      </c>
      <c r="H314" s="392" t="s">
        <v>6534</v>
      </c>
      <c r="I314" s="392" t="s">
        <v>781</v>
      </c>
      <c r="J314" s="392" t="s">
        <v>6534</v>
      </c>
      <c r="K314" s="392" t="s">
        <v>781</v>
      </c>
      <c r="L314" s="393">
        <v>172.31</v>
      </c>
      <c r="M314" s="392" t="s">
        <v>4197</v>
      </c>
      <c r="N314" s="393">
        <v>550030.28697100002</v>
      </c>
      <c r="O314" s="392" t="s">
        <v>9114</v>
      </c>
    </row>
    <row r="315" spans="1:15" x14ac:dyDescent="0.4">
      <c r="A315" s="392" t="s">
        <v>3098</v>
      </c>
      <c r="B315" s="390" t="s">
        <v>408</v>
      </c>
      <c r="C315" s="390" t="s">
        <v>3099</v>
      </c>
      <c r="D315" s="390" t="s">
        <v>1039</v>
      </c>
      <c r="E315" s="391" t="s">
        <v>10</v>
      </c>
      <c r="F315" s="392" t="s">
        <v>5269</v>
      </c>
      <c r="G315" s="392" t="s">
        <v>781</v>
      </c>
      <c r="H315" s="392" t="s">
        <v>6535</v>
      </c>
      <c r="I315" s="392" t="s">
        <v>781</v>
      </c>
      <c r="J315" s="392" t="s">
        <v>6535</v>
      </c>
      <c r="K315" s="392" t="s">
        <v>781</v>
      </c>
      <c r="L315" s="393">
        <v>170</v>
      </c>
      <c r="M315" s="392" t="s">
        <v>4197</v>
      </c>
      <c r="N315" s="393">
        <v>550200.28697100002</v>
      </c>
      <c r="O315" s="392" t="s">
        <v>9115</v>
      </c>
    </row>
    <row r="316" spans="1:15" ht="26.4" x14ac:dyDescent="0.4">
      <c r="A316" s="392" t="s">
        <v>6537</v>
      </c>
      <c r="B316" s="390" t="s">
        <v>395</v>
      </c>
      <c r="C316" s="390" t="s">
        <v>6538</v>
      </c>
      <c r="D316" s="390" t="s">
        <v>1039</v>
      </c>
      <c r="E316" s="391" t="s">
        <v>7</v>
      </c>
      <c r="F316" s="392" t="s">
        <v>6539</v>
      </c>
      <c r="G316" s="392" t="s">
        <v>781</v>
      </c>
      <c r="H316" s="392" t="s">
        <v>6540</v>
      </c>
      <c r="I316" s="392" t="s">
        <v>781</v>
      </c>
      <c r="J316" s="392" t="s">
        <v>6541</v>
      </c>
      <c r="K316" s="392" t="s">
        <v>781</v>
      </c>
      <c r="L316" s="393">
        <v>168.04515212000001</v>
      </c>
      <c r="M316" s="392" t="s">
        <v>4197</v>
      </c>
      <c r="N316" s="393">
        <v>550368.33212309994</v>
      </c>
      <c r="O316" s="392" t="s">
        <v>9116</v>
      </c>
    </row>
    <row r="317" spans="1:15" ht="26.4" x14ac:dyDescent="0.4">
      <c r="A317" s="392" t="s">
        <v>1499</v>
      </c>
      <c r="B317" s="390" t="s">
        <v>5902</v>
      </c>
      <c r="C317" s="390" t="s">
        <v>1500</v>
      </c>
      <c r="D317" s="390" t="s">
        <v>1039</v>
      </c>
      <c r="E317" s="391" t="s">
        <v>4</v>
      </c>
      <c r="F317" s="392" t="s">
        <v>5269</v>
      </c>
      <c r="G317" s="392" t="s">
        <v>781</v>
      </c>
      <c r="H317" s="392" t="s">
        <v>6542</v>
      </c>
      <c r="I317" s="392" t="s">
        <v>781</v>
      </c>
      <c r="J317" s="392" t="s">
        <v>6542</v>
      </c>
      <c r="K317" s="392" t="s">
        <v>781</v>
      </c>
      <c r="L317" s="393">
        <v>167.18</v>
      </c>
      <c r="M317" s="392" t="s">
        <v>4197</v>
      </c>
      <c r="N317" s="393">
        <v>550535.51212309999</v>
      </c>
      <c r="O317" s="392" t="s">
        <v>9117</v>
      </c>
    </row>
    <row r="318" spans="1:15" ht="26.4" x14ac:dyDescent="0.4">
      <c r="A318" s="392" t="s">
        <v>6544</v>
      </c>
      <c r="B318" s="390" t="s">
        <v>439</v>
      </c>
      <c r="C318" s="390" t="s">
        <v>2533</v>
      </c>
      <c r="D318" s="390" t="s">
        <v>1039</v>
      </c>
      <c r="E318" s="391" t="s">
        <v>422</v>
      </c>
      <c r="F318" s="392" t="s">
        <v>5269</v>
      </c>
      <c r="G318" s="392" t="s">
        <v>781</v>
      </c>
      <c r="H318" s="392" t="s">
        <v>6545</v>
      </c>
      <c r="I318" s="392" t="s">
        <v>781</v>
      </c>
      <c r="J318" s="392" t="s">
        <v>6545</v>
      </c>
      <c r="K318" s="392" t="s">
        <v>781</v>
      </c>
      <c r="L318" s="393">
        <v>159.9</v>
      </c>
      <c r="M318" s="392" t="s">
        <v>4197</v>
      </c>
      <c r="N318" s="393">
        <v>550695.41212310002</v>
      </c>
      <c r="O318" s="392" t="s">
        <v>9118</v>
      </c>
    </row>
    <row r="319" spans="1:15" x14ac:dyDescent="0.4">
      <c r="A319" s="392" t="s">
        <v>3183</v>
      </c>
      <c r="B319" s="390" t="s">
        <v>408</v>
      </c>
      <c r="C319" s="390" t="s">
        <v>3184</v>
      </c>
      <c r="D319" s="390" t="s">
        <v>1039</v>
      </c>
      <c r="E319" s="391" t="s">
        <v>4</v>
      </c>
      <c r="F319" s="392" t="s">
        <v>5273</v>
      </c>
      <c r="G319" s="392" t="s">
        <v>781</v>
      </c>
      <c r="H319" s="392" t="s">
        <v>6546</v>
      </c>
      <c r="I319" s="392" t="s">
        <v>781</v>
      </c>
      <c r="J319" s="392" t="s">
        <v>6547</v>
      </c>
      <c r="K319" s="392" t="s">
        <v>781</v>
      </c>
      <c r="L319" s="393">
        <v>159.86000000000001</v>
      </c>
      <c r="M319" s="392" t="s">
        <v>4197</v>
      </c>
      <c r="N319" s="393">
        <v>550855.2721231</v>
      </c>
      <c r="O319" s="392" t="s">
        <v>9119</v>
      </c>
    </row>
    <row r="320" spans="1:15" x14ac:dyDescent="0.4">
      <c r="A320" s="392" t="s">
        <v>4226</v>
      </c>
      <c r="B320" s="390" t="s">
        <v>395</v>
      </c>
      <c r="C320" s="390" t="s">
        <v>4227</v>
      </c>
      <c r="D320" s="390" t="s">
        <v>1039</v>
      </c>
      <c r="E320" s="391" t="s">
        <v>4</v>
      </c>
      <c r="F320" s="392" t="s">
        <v>5269</v>
      </c>
      <c r="G320" s="392" t="s">
        <v>781</v>
      </c>
      <c r="H320" s="392" t="s">
        <v>6548</v>
      </c>
      <c r="I320" s="392" t="s">
        <v>781</v>
      </c>
      <c r="J320" s="392" t="s">
        <v>6548</v>
      </c>
      <c r="K320" s="392" t="s">
        <v>781</v>
      </c>
      <c r="L320" s="393">
        <v>158.38</v>
      </c>
      <c r="M320" s="392" t="s">
        <v>4197</v>
      </c>
      <c r="N320" s="393">
        <v>551013.65212310001</v>
      </c>
      <c r="O320" s="392" t="s">
        <v>5851</v>
      </c>
    </row>
    <row r="321" spans="1:15" ht="26.4" x14ac:dyDescent="0.4">
      <c r="A321" s="392" t="s">
        <v>4332</v>
      </c>
      <c r="B321" s="390" t="s">
        <v>395</v>
      </c>
      <c r="C321" s="390" t="s">
        <v>4333</v>
      </c>
      <c r="D321" s="390" t="s">
        <v>1039</v>
      </c>
      <c r="E321" s="391" t="s">
        <v>7</v>
      </c>
      <c r="F321" s="392" t="s">
        <v>9120</v>
      </c>
      <c r="G321" s="392" t="s">
        <v>781</v>
      </c>
      <c r="H321" s="392" t="s">
        <v>6974</v>
      </c>
      <c r="I321" s="392" t="s">
        <v>781</v>
      </c>
      <c r="J321" s="392" t="s">
        <v>9121</v>
      </c>
      <c r="K321" s="392" t="s">
        <v>781</v>
      </c>
      <c r="L321" s="393">
        <v>157.72601599999999</v>
      </c>
      <c r="M321" s="392" t="s">
        <v>4197</v>
      </c>
      <c r="N321" s="393">
        <v>551171.37813910004</v>
      </c>
      <c r="O321" s="392" t="s">
        <v>5852</v>
      </c>
    </row>
    <row r="322" spans="1:15" x14ac:dyDescent="0.4">
      <c r="A322" s="392" t="s">
        <v>3060</v>
      </c>
      <c r="B322" s="390" t="s">
        <v>408</v>
      </c>
      <c r="C322" s="390" t="s">
        <v>3061</v>
      </c>
      <c r="D322" s="390" t="s">
        <v>1039</v>
      </c>
      <c r="E322" s="391" t="s">
        <v>4</v>
      </c>
      <c r="F322" s="392" t="s">
        <v>5284</v>
      </c>
      <c r="G322" s="392" t="s">
        <v>781</v>
      </c>
      <c r="H322" s="392" t="s">
        <v>5791</v>
      </c>
      <c r="I322" s="392" t="s">
        <v>781</v>
      </c>
      <c r="J322" s="392" t="s">
        <v>6549</v>
      </c>
      <c r="K322" s="392" t="s">
        <v>781</v>
      </c>
      <c r="L322" s="393">
        <v>157.32</v>
      </c>
      <c r="M322" s="392" t="s">
        <v>4197</v>
      </c>
      <c r="N322" s="393">
        <v>551328.69813909999</v>
      </c>
      <c r="O322" s="392" t="s">
        <v>6543</v>
      </c>
    </row>
    <row r="323" spans="1:15" ht="26.4" x14ac:dyDescent="0.4">
      <c r="A323" s="392" t="s">
        <v>2398</v>
      </c>
      <c r="B323" s="390" t="s">
        <v>5902</v>
      </c>
      <c r="C323" s="390" t="s">
        <v>2399</v>
      </c>
      <c r="D323" s="390" t="s">
        <v>1039</v>
      </c>
      <c r="E323" s="391" t="s">
        <v>7</v>
      </c>
      <c r="F323" s="392" t="s">
        <v>9122</v>
      </c>
      <c r="G323" s="392" t="s">
        <v>781</v>
      </c>
      <c r="H323" s="392" t="s">
        <v>5704</v>
      </c>
      <c r="I323" s="392" t="s">
        <v>781</v>
      </c>
      <c r="J323" s="392" t="s">
        <v>9123</v>
      </c>
      <c r="K323" s="392" t="s">
        <v>781</v>
      </c>
      <c r="L323" s="393">
        <v>157.27160000000001</v>
      </c>
      <c r="M323" s="392" t="s">
        <v>4197</v>
      </c>
      <c r="N323" s="393">
        <v>551485.96973909996</v>
      </c>
      <c r="O323" s="392" t="s">
        <v>9124</v>
      </c>
    </row>
    <row r="324" spans="1:15" x14ac:dyDescent="0.4">
      <c r="A324" s="392" t="s">
        <v>1193</v>
      </c>
      <c r="B324" s="390" t="s">
        <v>490</v>
      </c>
      <c r="C324" s="390" t="s">
        <v>1093</v>
      </c>
      <c r="D324" s="390" t="s">
        <v>1053</v>
      </c>
      <c r="E324" s="391" t="s">
        <v>6</v>
      </c>
      <c r="F324" s="392" t="s">
        <v>5360</v>
      </c>
      <c r="G324" s="392" t="s">
        <v>781</v>
      </c>
      <c r="H324" s="392" t="s">
        <v>6550</v>
      </c>
      <c r="I324" s="392" t="s">
        <v>781</v>
      </c>
      <c r="J324" s="392" t="s">
        <v>6551</v>
      </c>
      <c r="K324" s="392" t="s">
        <v>781</v>
      </c>
      <c r="L324" s="393">
        <v>156.708</v>
      </c>
      <c r="M324" s="392" t="s">
        <v>4197</v>
      </c>
      <c r="N324" s="393">
        <v>551642.67773909995</v>
      </c>
      <c r="O324" s="392" t="s">
        <v>5358</v>
      </c>
    </row>
    <row r="325" spans="1:15" ht="26.4" x14ac:dyDescent="0.4">
      <c r="A325" s="392" t="s">
        <v>7655</v>
      </c>
      <c r="B325" s="390" t="s">
        <v>5902</v>
      </c>
      <c r="C325" s="390" t="s">
        <v>7656</v>
      </c>
      <c r="D325" s="390" t="s">
        <v>1039</v>
      </c>
      <c r="E325" s="391" t="s">
        <v>3</v>
      </c>
      <c r="F325" s="392" t="s">
        <v>9125</v>
      </c>
      <c r="G325" s="392" t="s">
        <v>781</v>
      </c>
      <c r="H325" s="392" t="s">
        <v>7657</v>
      </c>
      <c r="I325" s="392" t="s">
        <v>781</v>
      </c>
      <c r="J325" s="392" t="s">
        <v>9126</v>
      </c>
      <c r="K325" s="392" t="s">
        <v>781</v>
      </c>
      <c r="L325" s="393">
        <v>155.85292799999999</v>
      </c>
      <c r="M325" s="392" t="s">
        <v>4197</v>
      </c>
      <c r="N325" s="393">
        <v>551798.53066709999</v>
      </c>
      <c r="O325" s="392" t="s">
        <v>5853</v>
      </c>
    </row>
    <row r="326" spans="1:15" x14ac:dyDescent="0.4">
      <c r="A326" s="392" t="s">
        <v>4231</v>
      </c>
      <c r="B326" s="390" t="s">
        <v>395</v>
      </c>
      <c r="C326" s="390" t="s">
        <v>4232</v>
      </c>
      <c r="D326" s="390" t="s">
        <v>1053</v>
      </c>
      <c r="E326" s="391" t="s">
        <v>6</v>
      </c>
      <c r="F326" s="392" t="s">
        <v>9127</v>
      </c>
      <c r="G326" s="392" t="s">
        <v>781</v>
      </c>
      <c r="H326" s="392" t="s">
        <v>5309</v>
      </c>
      <c r="I326" s="392" t="s">
        <v>781</v>
      </c>
      <c r="J326" s="392" t="s">
        <v>9128</v>
      </c>
      <c r="K326" s="392" t="s">
        <v>781</v>
      </c>
      <c r="L326" s="393">
        <v>152.678438024</v>
      </c>
      <c r="M326" s="392" t="s">
        <v>4197</v>
      </c>
      <c r="N326" s="393">
        <v>551951.20910510002</v>
      </c>
      <c r="O326" s="392" t="s">
        <v>9129</v>
      </c>
    </row>
    <row r="327" spans="1:15" ht="26.4" x14ac:dyDescent="0.4">
      <c r="A327" s="392" t="s">
        <v>2287</v>
      </c>
      <c r="B327" s="390" t="s">
        <v>5902</v>
      </c>
      <c r="C327" s="390" t="s">
        <v>2288</v>
      </c>
      <c r="D327" s="390" t="s">
        <v>1039</v>
      </c>
      <c r="E327" s="391" t="s">
        <v>4</v>
      </c>
      <c r="F327" s="392" t="s">
        <v>5337</v>
      </c>
      <c r="G327" s="392" t="s">
        <v>781</v>
      </c>
      <c r="H327" s="392" t="s">
        <v>6553</v>
      </c>
      <c r="I327" s="392" t="s">
        <v>781</v>
      </c>
      <c r="J327" s="392" t="s">
        <v>6554</v>
      </c>
      <c r="K327" s="392" t="s">
        <v>781</v>
      </c>
      <c r="L327" s="393">
        <v>152.53</v>
      </c>
      <c r="M327" s="392" t="s">
        <v>4197</v>
      </c>
      <c r="N327" s="393">
        <v>552103.73910510004</v>
      </c>
      <c r="O327" s="392" t="s">
        <v>9130</v>
      </c>
    </row>
    <row r="328" spans="1:15" ht="26.4" x14ac:dyDescent="0.4">
      <c r="A328" s="392" t="s">
        <v>4218</v>
      </c>
      <c r="B328" s="390" t="s">
        <v>395</v>
      </c>
      <c r="C328" s="390" t="s">
        <v>4219</v>
      </c>
      <c r="D328" s="390" t="s">
        <v>1317</v>
      </c>
      <c r="E328" s="391" t="s">
        <v>6</v>
      </c>
      <c r="F328" s="392" t="s">
        <v>9131</v>
      </c>
      <c r="G328" s="392" t="s">
        <v>781</v>
      </c>
      <c r="H328" s="392" t="s">
        <v>5705</v>
      </c>
      <c r="I328" s="392" t="s">
        <v>781</v>
      </c>
      <c r="J328" s="392" t="s">
        <v>9132</v>
      </c>
      <c r="K328" s="392" t="s">
        <v>781</v>
      </c>
      <c r="L328" s="393">
        <v>151.460869167</v>
      </c>
      <c r="M328" s="392" t="s">
        <v>4197</v>
      </c>
      <c r="N328" s="393">
        <v>552255.19997429999</v>
      </c>
      <c r="O328" s="392" t="s">
        <v>9133</v>
      </c>
    </row>
    <row r="329" spans="1:15" x14ac:dyDescent="0.4">
      <c r="A329" s="396" t="s">
        <v>1575</v>
      </c>
      <c r="B329" s="394" t="s">
        <v>490</v>
      </c>
      <c r="C329" s="394" t="s">
        <v>1576</v>
      </c>
      <c r="D329" s="394" t="s">
        <v>1039</v>
      </c>
      <c r="E329" s="395" t="s">
        <v>675</v>
      </c>
      <c r="F329" s="396" t="s">
        <v>5269</v>
      </c>
      <c r="G329" s="396" t="s">
        <v>781</v>
      </c>
      <c r="H329" s="396" t="s">
        <v>9134</v>
      </c>
      <c r="I329" s="396" t="s">
        <v>781</v>
      </c>
      <c r="J329" s="396" t="s">
        <v>9134</v>
      </c>
      <c r="K329" s="396" t="s">
        <v>781</v>
      </c>
      <c r="L329" s="397">
        <v>150.53</v>
      </c>
      <c r="M329" s="396" t="s">
        <v>4197</v>
      </c>
      <c r="N329" s="397">
        <v>552405.72997430002</v>
      </c>
      <c r="O329" s="396" t="s">
        <v>9135</v>
      </c>
    </row>
    <row r="330" spans="1:15" ht="26.4" x14ac:dyDescent="0.4">
      <c r="A330" s="396" t="s">
        <v>1344</v>
      </c>
      <c r="B330" s="394" t="s">
        <v>395</v>
      </c>
      <c r="C330" s="394" t="s">
        <v>232</v>
      </c>
      <c r="D330" s="394" t="s">
        <v>1039</v>
      </c>
      <c r="E330" s="395" t="s">
        <v>4</v>
      </c>
      <c r="F330" s="396" t="s">
        <v>5273</v>
      </c>
      <c r="G330" s="396" t="s">
        <v>781</v>
      </c>
      <c r="H330" s="396" t="s">
        <v>6556</v>
      </c>
      <c r="I330" s="396" t="s">
        <v>781</v>
      </c>
      <c r="J330" s="396" t="s">
        <v>6557</v>
      </c>
      <c r="K330" s="396" t="s">
        <v>781</v>
      </c>
      <c r="L330" s="397">
        <v>149.47999999999999</v>
      </c>
      <c r="M330" s="396" t="s">
        <v>4197</v>
      </c>
      <c r="N330" s="397">
        <v>552555.2099743</v>
      </c>
      <c r="O330" s="396" t="s">
        <v>9136</v>
      </c>
    </row>
    <row r="331" spans="1:15" ht="26.4" x14ac:dyDescent="0.4">
      <c r="A331" s="396" t="s">
        <v>9137</v>
      </c>
      <c r="B331" s="394" t="s">
        <v>439</v>
      </c>
      <c r="C331" s="394" t="s">
        <v>9138</v>
      </c>
      <c r="D331" s="394" t="s">
        <v>1039</v>
      </c>
      <c r="E331" s="395" t="s">
        <v>2627</v>
      </c>
      <c r="F331" s="396" t="s">
        <v>5269</v>
      </c>
      <c r="G331" s="396" t="s">
        <v>781</v>
      </c>
      <c r="H331" s="396" t="s">
        <v>9139</v>
      </c>
      <c r="I331" s="396" t="s">
        <v>781</v>
      </c>
      <c r="J331" s="396" t="s">
        <v>9139</v>
      </c>
      <c r="K331" s="396" t="s">
        <v>781</v>
      </c>
      <c r="L331" s="397">
        <v>149.43</v>
      </c>
      <c r="M331" s="396" t="s">
        <v>4197</v>
      </c>
      <c r="N331" s="397">
        <v>552704.63997430005</v>
      </c>
      <c r="O331" s="396" t="s">
        <v>9140</v>
      </c>
    </row>
    <row r="332" spans="1:15" ht="26.4" x14ac:dyDescent="0.4">
      <c r="A332" s="396" t="s">
        <v>4174</v>
      </c>
      <c r="B332" s="394" t="s">
        <v>395</v>
      </c>
      <c r="C332" s="394" t="s">
        <v>4175</v>
      </c>
      <c r="D332" s="394" t="s">
        <v>1039</v>
      </c>
      <c r="E332" s="395" t="s">
        <v>4</v>
      </c>
      <c r="F332" s="396" t="s">
        <v>5269</v>
      </c>
      <c r="G332" s="396" t="s">
        <v>781</v>
      </c>
      <c r="H332" s="396" t="s">
        <v>6558</v>
      </c>
      <c r="I332" s="396" t="s">
        <v>781</v>
      </c>
      <c r="J332" s="396" t="s">
        <v>6558</v>
      </c>
      <c r="K332" s="396" t="s">
        <v>781</v>
      </c>
      <c r="L332" s="397">
        <v>149.13999999999999</v>
      </c>
      <c r="M332" s="396" t="s">
        <v>4197</v>
      </c>
      <c r="N332" s="397">
        <v>552853.77997429995</v>
      </c>
      <c r="O332" s="396" t="s">
        <v>9141</v>
      </c>
    </row>
    <row r="333" spans="1:15" ht="26.4" x14ac:dyDescent="0.4">
      <c r="A333" s="396" t="s">
        <v>2355</v>
      </c>
      <c r="B333" s="394" t="s">
        <v>575</v>
      </c>
      <c r="C333" s="394" t="s">
        <v>1744</v>
      </c>
      <c r="D333" s="394" t="s">
        <v>1039</v>
      </c>
      <c r="E333" s="395" t="s">
        <v>422</v>
      </c>
      <c r="F333" s="396" t="s">
        <v>5269</v>
      </c>
      <c r="G333" s="396" t="s">
        <v>781</v>
      </c>
      <c r="H333" s="396" t="s">
        <v>9142</v>
      </c>
      <c r="I333" s="396" t="s">
        <v>781</v>
      </c>
      <c r="J333" s="396" t="s">
        <v>9142</v>
      </c>
      <c r="K333" s="396" t="s">
        <v>781</v>
      </c>
      <c r="L333" s="397">
        <v>146</v>
      </c>
      <c r="M333" s="396" t="s">
        <v>4197</v>
      </c>
      <c r="N333" s="397">
        <v>552999.77997429995</v>
      </c>
      <c r="O333" s="396" t="s">
        <v>6555</v>
      </c>
    </row>
    <row r="334" spans="1:15" x14ac:dyDescent="0.4">
      <c r="A334" s="396" t="s">
        <v>1354</v>
      </c>
      <c r="B334" s="394" t="s">
        <v>408</v>
      </c>
      <c r="C334" s="394" t="s">
        <v>1355</v>
      </c>
      <c r="D334" s="394" t="s">
        <v>1039</v>
      </c>
      <c r="E334" s="395" t="s">
        <v>4</v>
      </c>
      <c r="F334" s="396" t="s">
        <v>5269</v>
      </c>
      <c r="G334" s="396" t="s">
        <v>781</v>
      </c>
      <c r="H334" s="396" t="s">
        <v>5351</v>
      </c>
      <c r="I334" s="396" t="s">
        <v>781</v>
      </c>
      <c r="J334" s="396" t="s">
        <v>5351</v>
      </c>
      <c r="K334" s="396" t="s">
        <v>781</v>
      </c>
      <c r="L334" s="397">
        <v>145.97999999999999</v>
      </c>
      <c r="M334" s="396" t="s">
        <v>4197</v>
      </c>
      <c r="N334" s="397">
        <v>553145.75997430005</v>
      </c>
      <c r="O334" s="396" t="s">
        <v>9143</v>
      </c>
    </row>
    <row r="335" spans="1:15" ht="26.4" x14ac:dyDescent="0.4">
      <c r="A335" s="396" t="s">
        <v>1162</v>
      </c>
      <c r="B335" s="394" t="s">
        <v>5902</v>
      </c>
      <c r="C335" s="394" t="s">
        <v>1163</v>
      </c>
      <c r="D335" s="394" t="s">
        <v>1039</v>
      </c>
      <c r="E335" s="395" t="s">
        <v>4</v>
      </c>
      <c r="F335" s="396" t="s">
        <v>5269</v>
      </c>
      <c r="G335" s="396" t="s">
        <v>781</v>
      </c>
      <c r="H335" s="396" t="s">
        <v>6561</v>
      </c>
      <c r="I335" s="396" t="s">
        <v>781</v>
      </c>
      <c r="J335" s="396" t="s">
        <v>6561</v>
      </c>
      <c r="K335" s="396" t="s">
        <v>781</v>
      </c>
      <c r="L335" s="397">
        <v>145.81</v>
      </c>
      <c r="M335" s="396" t="s">
        <v>4197</v>
      </c>
      <c r="N335" s="397">
        <v>553291.56997429999</v>
      </c>
      <c r="O335" s="396" t="s">
        <v>6559</v>
      </c>
    </row>
    <row r="336" spans="1:15" x14ac:dyDescent="0.4">
      <c r="A336" s="396" t="s">
        <v>1518</v>
      </c>
      <c r="B336" s="394" t="s">
        <v>395</v>
      </c>
      <c r="C336" s="394" t="s">
        <v>401</v>
      </c>
      <c r="D336" s="394" t="s">
        <v>1053</v>
      </c>
      <c r="E336" s="395" t="s">
        <v>6</v>
      </c>
      <c r="F336" s="396" t="s">
        <v>9144</v>
      </c>
      <c r="G336" s="396" t="s">
        <v>781</v>
      </c>
      <c r="H336" s="396" t="s">
        <v>6661</v>
      </c>
      <c r="I336" s="396" t="s">
        <v>781</v>
      </c>
      <c r="J336" s="396" t="s">
        <v>9145</v>
      </c>
      <c r="K336" s="396" t="s">
        <v>781</v>
      </c>
      <c r="L336" s="397">
        <v>145.58804882999999</v>
      </c>
      <c r="M336" s="396" t="s">
        <v>4197</v>
      </c>
      <c r="N336" s="397">
        <v>553437.1580231</v>
      </c>
      <c r="O336" s="396" t="s">
        <v>6560</v>
      </c>
    </row>
    <row r="337" spans="1:15" ht="26.4" x14ac:dyDescent="0.4">
      <c r="A337" s="396" t="s">
        <v>2577</v>
      </c>
      <c r="B337" s="394" t="s">
        <v>395</v>
      </c>
      <c r="C337" s="394" t="s">
        <v>235</v>
      </c>
      <c r="D337" s="394" t="s">
        <v>1039</v>
      </c>
      <c r="E337" s="395" t="s">
        <v>4</v>
      </c>
      <c r="F337" s="396" t="s">
        <v>5460</v>
      </c>
      <c r="G337" s="396" t="s">
        <v>781</v>
      </c>
      <c r="H337" s="396" t="s">
        <v>6562</v>
      </c>
      <c r="I337" s="396" t="s">
        <v>781</v>
      </c>
      <c r="J337" s="396" t="s">
        <v>6563</v>
      </c>
      <c r="K337" s="396" t="s">
        <v>781</v>
      </c>
      <c r="L337" s="397">
        <v>145.56</v>
      </c>
      <c r="M337" s="396" t="s">
        <v>4197</v>
      </c>
      <c r="N337" s="397">
        <v>553582.71802310005</v>
      </c>
      <c r="O337" s="396" t="s">
        <v>5363</v>
      </c>
    </row>
    <row r="338" spans="1:15" x14ac:dyDescent="0.4">
      <c r="A338" s="396" t="s">
        <v>3058</v>
      </c>
      <c r="B338" s="394" t="s">
        <v>408</v>
      </c>
      <c r="C338" s="394" t="s">
        <v>3059</v>
      </c>
      <c r="D338" s="394" t="s">
        <v>1039</v>
      </c>
      <c r="E338" s="395" t="s">
        <v>7</v>
      </c>
      <c r="F338" s="396" t="s">
        <v>5373</v>
      </c>
      <c r="G338" s="396" t="s">
        <v>781</v>
      </c>
      <c r="H338" s="396" t="s">
        <v>6565</v>
      </c>
      <c r="I338" s="396" t="s">
        <v>781</v>
      </c>
      <c r="J338" s="396" t="s">
        <v>6566</v>
      </c>
      <c r="K338" s="396" t="s">
        <v>781</v>
      </c>
      <c r="L338" s="397">
        <v>145.26</v>
      </c>
      <c r="M338" s="396" t="s">
        <v>4246</v>
      </c>
      <c r="N338" s="397">
        <v>553727.97802309995</v>
      </c>
      <c r="O338" s="396" t="s">
        <v>6564</v>
      </c>
    </row>
    <row r="339" spans="1:15" ht="26.4" x14ac:dyDescent="0.4">
      <c r="A339" s="396" t="s">
        <v>2296</v>
      </c>
      <c r="B339" s="394" t="s">
        <v>575</v>
      </c>
      <c r="C339" s="394" t="s">
        <v>1682</v>
      </c>
      <c r="D339" s="394" t="s">
        <v>1039</v>
      </c>
      <c r="E339" s="395" t="s">
        <v>437</v>
      </c>
      <c r="F339" s="396" t="s">
        <v>5323</v>
      </c>
      <c r="G339" s="396" t="s">
        <v>781</v>
      </c>
      <c r="H339" s="396" t="s">
        <v>6573</v>
      </c>
      <c r="I339" s="396" t="s">
        <v>781</v>
      </c>
      <c r="J339" s="396" t="s">
        <v>9146</v>
      </c>
      <c r="K339" s="396" t="s">
        <v>781</v>
      </c>
      <c r="L339" s="397">
        <v>145.131</v>
      </c>
      <c r="M339" s="396" t="s">
        <v>4246</v>
      </c>
      <c r="N339" s="397">
        <v>553873.1090231</v>
      </c>
      <c r="O339" s="396" t="s">
        <v>9147</v>
      </c>
    </row>
    <row r="340" spans="1:15" ht="26.4" x14ac:dyDescent="0.4">
      <c r="A340" s="396" t="s">
        <v>4189</v>
      </c>
      <c r="B340" s="394" t="s">
        <v>395</v>
      </c>
      <c r="C340" s="394" t="s">
        <v>4190</v>
      </c>
      <c r="D340" s="394" t="s">
        <v>1039</v>
      </c>
      <c r="E340" s="395" t="s">
        <v>4</v>
      </c>
      <c r="F340" s="396" t="s">
        <v>5269</v>
      </c>
      <c r="G340" s="396" t="s">
        <v>781</v>
      </c>
      <c r="H340" s="396" t="s">
        <v>6567</v>
      </c>
      <c r="I340" s="396" t="s">
        <v>781</v>
      </c>
      <c r="J340" s="396" t="s">
        <v>6567</v>
      </c>
      <c r="K340" s="396" t="s">
        <v>781</v>
      </c>
      <c r="L340" s="397">
        <v>142.55000000000001</v>
      </c>
      <c r="M340" s="396" t="s">
        <v>4246</v>
      </c>
      <c r="N340" s="397">
        <v>554015.65902310004</v>
      </c>
      <c r="O340" s="396" t="s">
        <v>5854</v>
      </c>
    </row>
    <row r="341" spans="1:15" x14ac:dyDescent="0.4">
      <c r="A341" s="396" t="s">
        <v>4187</v>
      </c>
      <c r="B341" s="394" t="s">
        <v>395</v>
      </c>
      <c r="C341" s="394" t="s">
        <v>4188</v>
      </c>
      <c r="D341" s="394" t="s">
        <v>1053</v>
      </c>
      <c r="E341" s="395" t="s">
        <v>6</v>
      </c>
      <c r="F341" s="396" t="s">
        <v>6568</v>
      </c>
      <c r="G341" s="396" t="s">
        <v>781</v>
      </c>
      <c r="H341" s="396" t="s">
        <v>6569</v>
      </c>
      <c r="I341" s="396" t="s">
        <v>781</v>
      </c>
      <c r="J341" s="396" t="s">
        <v>6570</v>
      </c>
      <c r="K341" s="396" t="s">
        <v>781</v>
      </c>
      <c r="L341" s="397">
        <v>140.05000491600001</v>
      </c>
      <c r="M341" s="396" t="s">
        <v>4246</v>
      </c>
      <c r="N341" s="397">
        <v>554155.70902800001</v>
      </c>
      <c r="O341" s="396" t="s">
        <v>9148</v>
      </c>
    </row>
    <row r="342" spans="1:15" x14ac:dyDescent="0.4">
      <c r="A342" s="396" t="s">
        <v>2540</v>
      </c>
      <c r="B342" s="394" t="s">
        <v>408</v>
      </c>
      <c r="C342" s="394" t="s">
        <v>1969</v>
      </c>
      <c r="D342" s="394" t="s">
        <v>1039</v>
      </c>
      <c r="E342" s="395" t="s">
        <v>4</v>
      </c>
      <c r="F342" s="396" t="s">
        <v>5269</v>
      </c>
      <c r="G342" s="396" t="s">
        <v>781</v>
      </c>
      <c r="H342" s="396" t="s">
        <v>6571</v>
      </c>
      <c r="I342" s="396" t="s">
        <v>781</v>
      </c>
      <c r="J342" s="396" t="s">
        <v>6571</v>
      </c>
      <c r="K342" s="396" t="s">
        <v>781</v>
      </c>
      <c r="L342" s="397">
        <v>139.9</v>
      </c>
      <c r="M342" s="396" t="s">
        <v>4246</v>
      </c>
      <c r="N342" s="397">
        <v>554295.60902800004</v>
      </c>
      <c r="O342" s="396" t="s">
        <v>4230</v>
      </c>
    </row>
    <row r="343" spans="1:15" x14ac:dyDescent="0.4">
      <c r="A343" s="396" t="s">
        <v>4214</v>
      </c>
      <c r="B343" s="394" t="s">
        <v>420</v>
      </c>
      <c r="C343" s="394" t="s">
        <v>4215</v>
      </c>
      <c r="D343" s="394" t="s">
        <v>2381</v>
      </c>
      <c r="E343" s="395" t="s">
        <v>422</v>
      </c>
      <c r="F343" s="396" t="s">
        <v>5325</v>
      </c>
      <c r="G343" s="396" t="s">
        <v>781</v>
      </c>
      <c r="H343" s="396" t="s">
        <v>5354</v>
      </c>
      <c r="I343" s="396" t="s">
        <v>781</v>
      </c>
      <c r="J343" s="396" t="s">
        <v>5355</v>
      </c>
      <c r="K343" s="396" t="s">
        <v>781</v>
      </c>
      <c r="L343" s="397">
        <v>139.10450800000001</v>
      </c>
      <c r="M343" s="396" t="s">
        <v>4246</v>
      </c>
      <c r="N343" s="397">
        <v>554434.713536</v>
      </c>
      <c r="O343" s="396" t="s">
        <v>9149</v>
      </c>
    </row>
    <row r="344" spans="1:15" x14ac:dyDescent="0.4">
      <c r="A344" s="396" t="s">
        <v>1191</v>
      </c>
      <c r="B344" s="394" t="s">
        <v>490</v>
      </c>
      <c r="C344" s="394" t="s">
        <v>1192</v>
      </c>
      <c r="D344" s="394" t="s">
        <v>1053</v>
      </c>
      <c r="E344" s="395" t="s">
        <v>6</v>
      </c>
      <c r="F344" s="396" t="s">
        <v>5360</v>
      </c>
      <c r="G344" s="396" t="s">
        <v>781</v>
      </c>
      <c r="H344" s="396" t="s">
        <v>5489</v>
      </c>
      <c r="I344" s="396" t="s">
        <v>781</v>
      </c>
      <c r="J344" s="396" t="s">
        <v>6572</v>
      </c>
      <c r="K344" s="396" t="s">
        <v>781</v>
      </c>
      <c r="L344" s="397">
        <v>138.24</v>
      </c>
      <c r="M344" s="396" t="s">
        <v>4246</v>
      </c>
      <c r="N344" s="397">
        <v>554572.95353599999</v>
      </c>
      <c r="O344" s="396" t="s">
        <v>4233</v>
      </c>
    </row>
    <row r="345" spans="1:15" x14ac:dyDescent="0.4">
      <c r="A345" s="396" t="s">
        <v>3030</v>
      </c>
      <c r="B345" s="394" t="s">
        <v>408</v>
      </c>
      <c r="C345" s="394" t="s">
        <v>3031</v>
      </c>
      <c r="D345" s="394" t="s">
        <v>1039</v>
      </c>
      <c r="E345" s="395" t="s">
        <v>4</v>
      </c>
      <c r="F345" s="396" t="s">
        <v>5269</v>
      </c>
      <c r="G345" s="396" t="s">
        <v>781</v>
      </c>
      <c r="H345" s="396" t="s">
        <v>6573</v>
      </c>
      <c r="I345" s="396" t="s">
        <v>781</v>
      </c>
      <c r="J345" s="396" t="s">
        <v>6573</v>
      </c>
      <c r="K345" s="396" t="s">
        <v>781</v>
      </c>
      <c r="L345" s="397">
        <v>138.22</v>
      </c>
      <c r="M345" s="396" t="s">
        <v>4246</v>
      </c>
      <c r="N345" s="397">
        <v>554711.17353599996</v>
      </c>
      <c r="O345" s="396" t="s">
        <v>9150</v>
      </c>
    </row>
    <row r="346" spans="1:15" x14ac:dyDescent="0.4">
      <c r="A346" s="396" t="s">
        <v>1293</v>
      </c>
      <c r="B346" s="394" t="s">
        <v>408</v>
      </c>
      <c r="C346" s="394" t="s">
        <v>1294</v>
      </c>
      <c r="D346" s="394" t="s">
        <v>1039</v>
      </c>
      <c r="E346" s="395" t="s">
        <v>7</v>
      </c>
      <c r="F346" s="396" t="s">
        <v>5350</v>
      </c>
      <c r="G346" s="396" t="s">
        <v>781</v>
      </c>
      <c r="H346" s="396" t="s">
        <v>6574</v>
      </c>
      <c r="I346" s="396" t="s">
        <v>781</v>
      </c>
      <c r="J346" s="396" t="s">
        <v>6575</v>
      </c>
      <c r="K346" s="396" t="s">
        <v>781</v>
      </c>
      <c r="L346" s="397">
        <v>137.81263999999999</v>
      </c>
      <c r="M346" s="396" t="s">
        <v>4246</v>
      </c>
      <c r="N346" s="397">
        <v>554848.98617599998</v>
      </c>
      <c r="O346" s="396" t="s">
        <v>9151</v>
      </c>
    </row>
    <row r="347" spans="1:15" x14ac:dyDescent="0.4">
      <c r="A347" s="396" t="s">
        <v>4204</v>
      </c>
      <c r="B347" s="394" t="s">
        <v>395</v>
      </c>
      <c r="C347" s="394" t="s">
        <v>4205</v>
      </c>
      <c r="D347" s="394" t="s">
        <v>1039</v>
      </c>
      <c r="E347" s="395" t="s">
        <v>4</v>
      </c>
      <c r="F347" s="396" t="s">
        <v>5269</v>
      </c>
      <c r="G347" s="396" t="s">
        <v>781</v>
      </c>
      <c r="H347" s="396" t="s">
        <v>6576</v>
      </c>
      <c r="I347" s="396" t="s">
        <v>781</v>
      </c>
      <c r="J347" s="396" t="s">
        <v>6576</v>
      </c>
      <c r="K347" s="396" t="s">
        <v>781</v>
      </c>
      <c r="L347" s="397">
        <v>136.97</v>
      </c>
      <c r="M347" s="396" t="s">
        <v>4246</v>
      </c>
      <c r="N347" s="397">
        <v>554985.95617599995</v>
      </c>
      <c r="O347" s="396" t="s">
        <v>9152</v>
      </c>
    </row>
    <row r="348" spans="1:15" ht="26.4" x14ac:dyDescent="0.4">
      <c r="A348" s="396" t="s">
        <v>4228</v>
      </c>
      <c r="B348" s="394" t="s">
        <v>395</v>
      </c>
      <c r="C348" s="394" t="s">
        <v>4229</v>
      </c>
      <c r="D348" s="394" t="s">
        <v>1039</v>
      </c>
      <c r="E348" s="395" t="s">
        <v>675</v>
      </c>
      <c r="F348" s="396" t="s">
        <v>5361</v>
      </c>
      <c r="G348" s="396" t="s">
        <v>781</v>
      </c>
      <c r="H348" s="396" t="s">
        <v>6577</v>
      </c>
      <c r="I348" s="396" t="s">
        <v>781</v>
      </c>
      <c r="J348" s="396" t="s">
        <v>6578</v>
      </c>
      <c r="K348" s="396" t="s">
        <v>781</v>
      </c>
      <c r="L348" s="397">
        <v>135.47240531700001</v>
      </c>
      <c r="M348" s="396" t="s">
        <v>4246</v>
      </c>
      <c r="N348" s="397">
        <v>555121.42858129996</v>
      </c>
      <c r="O348" s="396" t="s">
        <v>9153</v>
      </c>
    </row>
    <row r="349" spans="1:15" ht="26.4" x14ac:dyDescent="0.4">
      <c r="A349" s="396" t="s">
        <v>6585</v>
      </c>
      <c r="B349" s="394" t="s">
        <v>420</v>
      </c>
      <c r="C349" s="394" t="s">
        <v>6586</v>
      </c>
      <c r="D349" s="394" t="s">
        <v>1039</v>
      </c>
      <c r="E349" s="395" t="s">
        <v>437</v>
      </c>
      <c r="F349" s="396" t="s">
        <v>6587</v>
      </c>
      <c r="G349" s="396" t="s">
        <v>781</v>
      </c>
      <c r="H349" s="396" t="s">
        <v>9154</v>
      </c>
      <c r="I349" s="396" t="s">
        <v>781</v>
      </c>
      <c r="J349" s="396" t="s">
        <v>9155</v>
      </c>
      <c r="K349" s="396" t="s">
        <v>781</v>
      </c>
      <c r="L349" s="397">
        <v>134.15625</v>
      </c>
      <c r="M349" s="396" t="s">
        <v>4246</v>
      </c>
      <c r="N349" s="397">
        <v>555255.58483129996</v>
      </c>
      <c r="O349" s="396" t="s">
        <v>9156</v>
      </c>
    </row>
    <row r="350" spans="1:15" x14ac:dyDescent="0.4">
      <c r="A350" s="396" t="s">
        <v>9157</v>
      </c>
      <c r="B350" s="394" t="s">
        <v>408</v>
      </c>
      <c r="C350" s="394" t="s">
        <v>9158</v>
      </c>
      <c r="D350" s="394" t="s">
        <v>1039</v>
      </c>
      <c r="E350" s="395" t="s">
        <v>675</v>
      </c>
      <c r="F350" s="396" t="s">
        <v>5380</v>
      </c>
      <c r="G350" s="396" t="s">
        <v>781</v>
      </c>
      <c r="H350" s="396" t="s">
        <v>6612</v>
      </c>
      <c r="I350" s="396" t="s">
        <v>781</v>
      </c>
      <c r="J350" s="396" t="s">
        <v>9159</v>
      </c>
      <c r="K350" s="396" t="s">
        <v>781</v>
      </c>
      <c r="L350" s="397">
        <v>130.35</v>
      </c>
      <c r="M350" s="396" t="s">
        <v>4246</v>
      </c>
      <c r="N350" s="397">
        <v>555385.93483130005</v>
      </c>
      <c r="O350" s="396" t="s">
        <v>9160</v>
      </c>
    </row>
    <row r="351" spans="1:15" ht="26.4" x14ac:dyDescent="0.4">
      <c r="A351" s="396" t="s">
        <v>1494</v>
      </c>
      <c r="B351" s="394" t="s">
        <v>5902</v>
      </c>
      <c r="C351" s="394" t="s">
        <v>1495</v>
      </c>
      <c r="D351" s="394" t="s">
        <v>1039</v>
      </c>
      <c r="E351" s="395" t="s">
        <v>675</v>
      </c>
      <c r="F351" s="396" t="s">
        <v>5269</v>
      </c>
      <c r="G351" s="396" t="s">
        <v>781</v>
      </c>
      <c r="H351" s="396" t="s">
        <v>6579</v>
      </c>
      <c r="I351" s="396" t="s">
        <v>781</v>
      </c>
      <c r="J351" s="396" t="s">
        <v>6579</v>
      </c>
      <c r="K351" s="396" t="s">
        <v>781</v>
      </c>
      <c r="L351" s="397">
        <v>129.83000000000001</v>
      </c>
      <c r="M351" s="396" t="s">
        <v>4246</v>
      </c>
      <c r="N351" s="397">
        <v>555515.76483130001</v>
      </c>
      <c r="O351" s="396" t="s">
        <v>9161</v>
      </c>
    </row>
    <row r="352" spans="1:15" x14ac:dyDescent="0.4">
      <c r="A352" s="396" t="s">
        <v>2436</v>
      </c>
      <c r="B352" s="394" t="s">
        <v>439</v>
      </c>
      <c r="C352" s="394" t="s">
        <v>2437</v>
      </c>
      <c r="D352" s="394" t="s">
        <v>1039</v>
      </c>
      <c r="E352" s="395" t="s">
        <v>422</v>
      </c>
      <c r="F352" s="396" t="s">
        <v>5269</v>
      </c>
      <c r="G352" s="396" t="s">
        <v>781</v>
      </c>
      <c r="H352" s="396" t="s">
        <v>6580</v>
      </c>
      <c r="I352" s="396" t="s">
        <v>781</v>
      </c>
      <c r="J352" s="396" t="s">
        <v>6580</v>
      </c>
      <c r="K352" s="396" t="s">
        <v>781</v>
      </c>
      <c r="L352" s="397">
        <v>128.22999999999999</v>
      </c>
      <c r="M352" s="396" t="s">
        <v>4246</v>
      </c>
      <c r="N352" s="397">
        <v>555643.99483129999</v>
      </c>
      <c r="O352" s="396" t="s">
        <v>9162</v>
      </c>
    </row>
    <row r="353" spans="1:15" ht="26.4" x14ac:dyDescent="0.4">
      <c r="A353" s="396" t="s">
        <v>4191</v>
      </c>
      <c r="B353" s="394" t="s">
        <v>395</v>
      </c>
      <c r="C353" s="394" t="s">
        <v>4192</v>
      </c>
      <c r="D353" s="394" t="s">
        <v>1039</v>
      </c>
      <c r="E353" s="395" t="s">
        <v>7</v>
      </c>
      <c r="F353" s="396" t="s">
        <v>6582</v>
      </c>
      <c r="G353" s="396" t="s">
        <v>781</v>
      </c>
      <c r="H353" s="396" t="s">
        <v>6583</v>
      </c>
      <c r="I353" s="396" t="s">
        <v>781</v>
      </c>
      <c r="J353" s="396" t="s">
        <v>6584</v>
      </c>
      <c r="K353" s="396" t="s">
        <v>781</v>
      </c>
      <c r="L353" s="397">
        <v>128.0425055</v>
      </c>
      <c r="M353" s="396" t="s">
        <v>4246</v>
      </c>
      <c r="N353" s="397">
        <v>555772.03733680001</v>
      </c>
      <c r="O353" s="396" t="s">
        <v>9163</v>
      </c>
    </row>
    <row r="354" spans="1:15" ht="26.4" x14ac:dyDescent="0.4">
      <c r="A354" s="396" t="s">
        <v>6595</v>
      </c>
      <c r="B354" s="394" t="s">
        <v>420</v>
      </c>
      <c r="C354" s="394" t="s">
        <v>6596</v>
      </c>
      <c r="D354" s="394" t="s">
        <v>1039</v>
      </c>
      <c r="E354" s="395" t="s">
        <v>437</v>
      </c>
      <c r="F354" s="396" t="s">
        <v>5384</v>
      </c>
      <c r="G354" s="396" t="s">
        <v>781</v>
      </c>
      <c r="H354" s="396" t="s">
        <v>7380</v>
      </c>
      <c r="I354" s="396" t="s">
        <v>781</v>
      </c>
      <c r="J354" s="396" t="s">
        <v>9164</v>
      </c>
      <c r="K354" s="396" t="s">
        <v>781</v>
      </c>
      <c r="L354" s="397">
        <v>127.8</v>
      </c>
      <c r="M354" s="396" t="s">
        <v>4246</v>
      </c>
      <c r="N354" s="397">
        <v>555899.83733679994</v>
      </c>
      <c r="O354" s="396" t="s">
        <v>6581</v>
      </c>
    </row>
    <row r="355" spans="1:15" ht="26.4" x14ac:dyDescent="0.4">
      <c r="A355" s="396" t="s">
        <v>4249</v>
      </c>
      <c r="B355" s="394" t="s">
        <v>395</v>
      </c>
      <c r="C355" s="394" t="s">
        <v>4250</v>
      </c>
      <c r="D355" s="394" t="s">
        <v>1039</v>
      </c>
      <c r="E355" s="395" t="s">
        <v>4</v>
      </c>
      <c r="F355" s="396" t="s">
        <v>5371</v>
      </c>
      <c r="G355" s="396" t="s">
        <v>781</v>
      </c>
      <c r="H355" s="396" t="s">
        <v>6588</v>
      </c>
      <c r="I355" s="396" t="s">
        <v>781</v>
      </c>
      <c r="J355" s="396" t="s">
        <v>6589</v>
      </c>
      <c r="K355" s="396" t="s">
        <v>781</v>
      </c>
      <c r="L355" s="397">
        <v>127.29600000000001</v>
      </c>
      <c r="M355" s="396" t="s">
        <v>4246</v>
      </c>
      <c r="N355" s="397">
        <v>556027.13333680003</v>
      </c>
      <c r="O355" s="396" t="s">
        <v>9165</v>
      </c>
    </row>
    <row r="356" spans="1:15" x14ac:dyDescent="0.4">
      <c r="A356" s="396" t="s">
        <v>3187</v>
      </c>
      <c r="B356" s="394" t="s">
        <v>575</v>
      </c>
      <c r="C356" s="394" t="s">
        <v>2748</v>
      </c>
      <c r="D356" s="394" t="s">
        <v>1039</v>
      </c>
      <c r="E356" s="395" t="s">
        <v>4</v>
      </c>
      <c r="F356" s="396" t="s">
        <v>5269</v>
      </c>
      <c r="G356" s="396" t="s">
        <v>781</v>
      </c>
      <c r="H356" s="396" t="s">
        <v>9166</v>
      </c>
      <c r="I356" s="396" t="s">
        <v>781</v>
      </c>
      <c r="J356" s="396" t="s">
        <v>9166</v>
      </c>
      <c r="K356" s="396" t="s">
        <v>781</v>
      </c>
      <c r="L356" s="397">
        <v>127.13</v>
      </c>
      <c r="M356" s="396" t="s">
        <v>4246</v>
      </c>
      <c r="N356" s="397">
        <v>556154.26333680004</v>
      </c>
      <c r="O356" s="396" t="s">
        <v>9167</v>
      </c>
    </row>
    <row r="357" spans="1:15" x14ac:dyDescent="0.4">
      <c r="A357" s="396" t="s">
        <v>1484</v>
      </c>
      <c r="B357" s="394" t="s">
        <v>408</v>
      </c>
      <c r="C357" s="394" t="s">
        <v>1485</v>
      </c>
      <c r="D357" s="394" t="s">
        <v>1039</v>
      </c>
      <c r="E357" s="395" t="s">
        <v>3</v>
      </c>
      <c r="F357" s="396" t="s">
        <v>9168</v>
      </c>
      <c r="G357" s="396" t="s">
        <v>781</v>
      </c>
      <c r="H357" s="396" t="s">
        <v>6818</v>
      </c>
      <c r="I357" s="396" t="s">
        <v>781</v>
      </c>
      <c r="J357" s="396" t="s">
        <v>9169</v>
      </c>
      <c r="K357" s="396" t="s">
        <v>781</v>
      </c>
      <c r="L357" s="397">
        <v>127.0055</v>
      </c>
      <c r="M357" s="396" t="s">
        <v>4246</v>
      </c>
      <c r="N357" s="397">
        <v>556281.26883680001</v>
      </c>
      <c r="O357" s="396" t="s">
        <v>6590</v>
      </c>
    </row>
    <row r="358" spans="1:15" ht="26.4" x14ac:dyDescent="0.4">
      <c r="A358" s="396" t="s">
        <v>4253</v>
      </c>
      <c r="B358" s="394" t="s">
        <v>395</v>
      </c>
      <c r="C358" s="394" t="s">
        <v>4254</v>
      </c>
      <c r="D358" s="394" t="s">
        <v>1039</v>
      </c>
      <c r="E358" s="395" t="s">
        <v>4</v>
      </c>
      <c r="F358" s="396" t="s">
        <v>5273</v>
      </c>
      <c r="G358" s="396" t="s">
        <v>781</v>
      </c>
      <c r="H358" s="396" t="s">
        <v>5421</v>
      </c>
      <c r="I358" s="396" t="s">
        <v>781</v>
      </c>
      <c r="J358" s="396" t="s">
        <v>6591</v>
      </c>
      <c r="K358" s="396" t="s">
        <v>781</v>
      </c>
      <c r="L358" s="397">
        <v>126</v>
      </c>
      <c r="M358" s="396" t="s">
        <v>4246</v>
      </c>
      <c r="N358" s="397">
        <v>556407.26883680001</v>
      </c>
      <c r="O358" s="396" t="s">
        <v>6592</v>
      </c>
    </row>
    <row r="359" spans="1:15" x14ac:dyDescent="0.4">
      <c r="A359" s="396" t="s">
        <v>2341</v>
      </c>
      <c r="B359" s="394" t="s">
        <v>408</v>
      </c>
      <c r="C359" s="394" t="s">
        <v>1735</v>
      </c>
      <c r="D359" s="394" t="s">
        <v>1039</v>
      </c>
      <c r="E359" s="395" t="s">
        <v>4</v>
      </c>
      <c r="F359" s="396" t="s">
        <v>5269</v>
      </c>
      <c r="G359" s="396" t="s">
        <v>781</v>
      </c>
      <c r="H359" s="396" t="s">
        <v>6593</v>
      </c>
      <c r="I359" s="396" t="s">
        <v>781</v>
      </c>
      <c r="J359" s="396" t="s">
        <v>6593</v>
      </c>
      <c r="K359" s="396" t="s">
        <v>781</v>
      </c>
      <c r="L359" s="397">
        <v>124.9</v>
      </c>
      <c r="M359" s="396" t="s">
        <v>4246</v>
      </c>
      <c r="N359" s="397">
        <v>556532.16883680003</v>
      </c>
      <c r="O359" s="396" t="s">
        <v>5370</v>
      </c>
    </row>
    <row r="360" spans="1:15" ht="26.4" x14ac:dyDescent="0.4">
      <c r="A360" s="396" t="s">
        <v>1501</v>
      </c>
      <c r="B360" s="394" t="s">
        <v>5902</v>
      </c>
      <c r="C360" s="394" t="s">
        <v>1502</v>
      </c>
      <c r="D360" s="394" t="s">
        <v>1039</v>
      </c>
      <c r="E360" s="395" t="s">
        <v>4</v>
      </c>
      <c r="F360" s="396" t="s">
        <v>5269</v>
      </c>
      <c r="G360" s="396" t="s">
        <v>781</v>
      </c>
      <c r="H360" s="396" t="s">
        <v>6594</v>
      </c>
      <c r="I360" s="396" t="s">
        <v>781</v>
      </c>
      <c r="J360" s="396" t="s">
        <v>6594</v>
      </c>
      <c r="K360" s="396" t="s">
        <v>781</v>
      </c>
      <c r="L360" s="397">
        <v>124.46</v>
      </c>
      <c r="M360" s="396" t="s">
        <v>4246</v>
      </c>
      <c r="N360" s="397">
        <v>556656.6288368</v>
      </c>
      <c r="O360" s="396" t="s">
        <v>5372</v>
      </c>
    </row>
    <row r="361" spans="1:15" ht="26.4" x14ac:dyDescent="0.4">
      <c r="A361" s="396" t="s">
        <v>1358</v>
      </c>
      <c r="B361" s="394" t="s">
        <v>5902</v>
      </c>
      <c r="C361" s="394" t="s">
        <v>1359</v>
      </c>
      <c r="D361" s="394" t="s">
        <v>1053</v>
      </c>
      <c r="E361" s="395" t="s">
        <v>6</v>
      </c>
      <c r="F361" s="396" t="s">
        <v>5376</v>
      </c>
      <c r="G361" s="396" t="s">
        <v>781</v>
      </c>
      <c r="H361" s="396" t="s">
        <v>6194</v>
      </c>
      <c r="I361" s="396" t="s">
        <v>781</v>
      </c>
      <c r="J361" s="396" t="s">
        <v>6597</v>
      </c>
      <c r="K361" s="396" t="s">
        <v>781</v>
      </c>
      <c r="L361" s="397">
        <v>123.0882</v>
      </c>
      <c r="M361" s="396" t="s">
        <v>4246</v>
      </c>
      <c r="N361" s="397">
        <v>556779.71703679999</v>
      </c>
      <c r="O361" s="396" t="s">
        <v>9170</v>
      </c>
    </row>
    <row r="362" spans="1:15" ht="26.4" x14ac:dyDescent="0.4">
      <c r="A362" s="396" t="s">
        <v>1238</v>
      </c>
      <c r="B362" s="394" t="s">
        <v>5902</v>
      </c>
      <c r="C362" s="394" t="s">
        <v>1239</v>
      </c>
      <c r="D362" s="394" t="s">
        <v>1039</v>
      </c>
      <c r="E362" s="395" t="s">
        <v>7</v>
      </c>
      <c r="F362" s="396" t="s">
        <v>5333</v>
      </c>
      <c r="G362" s="396" t="s">
        <v>781</v>
      </c>
      <c r="H362" s="396" t="s">
        <v>6598</v>
      </c>
      <c r="I362" s="396" t="s">
        <v>781</v>
      </c>
      <c r="J362" s="396" t="s">
        <v>6599</v>
      </c>
      <c r="K362" s="396" t="s">
        <v>781</v>
      </c>
      <c r="L362" s="397">
        <v>123.032</v>
      </c>
      <c r="M362" s="396" t="s">
        <v>4246</v>
      </c>
      <c r="N362" s="397">
        <v>556902.7490368</v>
      </c>
      <c r="O362" s="396" t="s">
        <v>5374</v>
      </c>
    </row>
    <row r="363" spans="1:15" x14ac:dyDescent="0.4">
      <c r="A363" s="396" t="s">
        <v>1328</v>
      </c>
      <c r="B363" s="394" t="s">
        <v>408</v>
      </c>
      <c r="C363" s="394" t="s">
        <v>1329</v>
      </c>
      <c r="D363" s="394" t="s">
        <v>1039</v>
      </c>
      <c r="E363" s="395" t="s">
        <v>4</v>
      </c>
      <c r="F363" s="396" t="s">
        <v>5319</v>
      </c>
      <c r="G363" s="396" t="s">
        <v>781</v>
      </c>
      <c r="H363" s="396" t="s">
        <v>6600</v>
      </c>
      <c r="I363" s="396" t="s">
        <v>781</v>
      </c>
      <c r="J363" s="396" t="s">
        <v>6601</v>
      </c>
      <c r="K363" s="396" t="s">
        <v>781</v>
      </c>
      <c r="L363" s="397">
        <v>122.74665760000001</v>
      </c>
      <c r="M363" s="396" t="s">
        <v>4246</v>
      </c>
      <c r="N363" s="397">
        <v>557025.49569440004</v>
      </c>
      <c r="O363" s="396" t="s">
        <v>5375</v>
      </c>
    </row>
    <row r="364" spans="1:15" ht="39.6" x14ac:dyDescent="0.4">
      <c r="A364" s="396" t="s">
        <v>4206</v>
      </c>
      <c r="B364" s="394" t="s">
        <v>395</v>
      </c>
      <c r="C364" s="394" t="s">
        <v>4207</v>
      </c>
      <c r="D364" s="394" t="s">
        <v>1039</v>
      </c>
      <c r="E364" s="395" t="s">
        <v>4</v>
      </c>
      <c r="F364" s="396" t="s">
        <v>5269</v>
      </c>
      <c r="G364" s="396" t="s">
        <v>781</v>
      </c>
      <c r="H364" s="396" t="s">
        <v>6603</v>
      </c>
      <c r="I364" s="396" t="s">
        <v>781</v>
      </c>
      <c r="J364" s="396" t="s">
        <v>6603</v>
      </c>
      <c r="K364" s="396" t="s">
        <v>781</v>
      </c>
      <c r="L364" s="397">
        <v>122.5</v>
      </c>
      <c r="M364" s="396" t="s">
        <v>4246</v>
      </c>
      <c r="N364" s="397">
        <v>557147.99569440004</v>
      </c>
      <c r="O364" s="396" t="s">
        <v>6602</v>
      </c>
    </row>
    <row r="365" spans="1:15" x14ac:dyDescent="0.4">
      <c r="A365" s="396" t="s">
        <v>4559</v>
      </c>
      <c r="B365" s="394" t="s">
        <v>395</v>
      </c>
      <c r="C365" s="394" t="s">
        <v>4560</v>
      </c>
      <c r="D365" s="394" t="s">
        <v>1053</v>
      </c>
      <c r="E365" s="395" t="s">
        <v>6</v>
      </c>
      <c r="F365" s="396" t="s">
        <v>9171</v>
      </c>
      <c r="G365" s="396" t="s">
        <v>781</v>
      </c>
      <c r="H365" s="396" t="s">
        <v>5469</v>
      </c>
      <c r="I365" s="396" t="s">
        <v>781</v>
      </c>
      <c r="J365" s="396" t="s">
        <v>9172</v>
      </c>
      <c r="K365" s="396" t="s">
        <v>781</v>
      </c>
      <c r="L365" s="397">
        <v>122.34495312</v>
      </c>
      <c r="M365" s="396" t="s">
        <v>4246</v>
      </c>
      <c r="N365" s="397">
        <v>557270.34064750001</v>
      </c>
      <c r="O365" s="396" t="s">
        <v>6604</v>
      </c>
    </row>
    <row r="366" spans="1:15" ht="26.4" x14ac:dyDescent="0.4">
      <c r="A366" s="396" t="s">
        <v>4198</v>
      </c>
      <c r="B366" s="394" t="s">
        <v>395</v>
      </c>
      <c r="C366" s="394" t="s">
        <v>4199</v>
      </c>
      <c r="D366" s="394" t="s">
        <v>1039</v>
      </c>
      <c r="E366" s="395" t="s">
        <v>4</v>
      </c>
      <c r="F366" s="396" t="s">
        <v>5269</v>
      </c>
      <c r="G366" s="396" t="s">
        <v>781</v>
      </c>
      <c r="H366" s="396" t="s">
        <v>6605</v>
      </c>
      <c r="I366" s="396" t="s">
        <v>781</v>
      </c>
      <c r="J366" s="396" t="s">
        <v>6605</v>
      </c>
      <c r="K366" s="396" t="s">
        <v>781</v>
      </c>
      <c r="L366" s="397">
        <v>122</v>
      </c>
      <c r="M366" s="396" t="s">
        <v>4246</v>
      </c>
      <c r="N366" s="397">
        <v>557392.34064750001</v>
      </c>
      <c r="O366" s="396" t="s">
        <v>9173</v>
      </c>
    </row>
    <row r="367" spans="1:15" ht="26.4" x14ac:dyDescent="0.4">
      <c r="A367" s="396" t="s">
        <v>2588</v>
      </c>
      <c r="B367" s="394" t="s">
        <v>395</v>
      </c>
      <c r="C367" s="394" t="s">
        <v>350</v>
      </c>
      <c r="D367" s="394" t="s">
        <v>1039</v>
      </c>
      <c r="E367" s="395" t="s">
        <v>4</v>
      </c>
      <c r="F367" s="396" t="s">
        <v>6606</v>
      </c>
      <c r="G367" s="396" t="s">
        <v>781</v>
      </c>
      <c r="H367" s="396" t="s">
        <v>6607</v>
      </c>
      <c r="I367" s="396" t="s">
        <v>781</v>
      </c>
      <c r="J367" s="396" t="s">
        <v>6608</v>
      </c>
      <c r="K367" s="396" t="s">
        <v>781</v>
      </c>
      <c r="L367" s="397">
        <v>121.01427</v>
      </c>
      <c r="M367" s="396" t="s">
        <v>4246</v>
      </c>
      <c r="N367" s="397">
        <v>557513.35491750005</v>
      </c>
      <c r="O367" s="396" t="s">
        <v>9174</v>
      </c>
    </row>
    <row r="368" spans="1:15" ht="26.4" x14ac:dyDescent="0.4">
      <c r="A368" s="396" t="s">
        <v>3151</v>
      </c>
      <c r="B368" s="394" t="s">
        <v>484</v>
      </c>
      <c r="C368" s="394" t="s">
        <v>3152</v>
      </c>
      <c r="D368" s="394" t="s">
        <v>1039</v>
      </c>
      <c r="E368" s="395" t="s">
        <v>422</v>
      </c>
      <c r="F368" s="396" t="s">
        <v>5269</v>
      </c>
      <c r="G368" s="396" t="s">
        <v>781</v>
      </c>
      <c r="H368" s="396" t="s">
        <v>9175</v>
      </c>
      <c r="I368" s="396" t="s">
        <v>781</v>
      </c>
      <c r="J368" s="396" t="s">
        <v>9175</v>
      </c>
      <c r="K368" s="396" t="s">
        <v>781</v>
      </c>
      <c r="L368" s="397">
        <v>120.92</v>
      </c>
      <c r="M368" s="396" t="s">
        <v>4246</v>
      </c>
      <c r="N368" s="397">
        <v>557634.27491749998</v>
      </c>
      <c r="O368" s="396" t="s">
        <v>9176</v>
      </c>
    </row>
    <row r="369" spans="1:15" x14ac:dyDescent="0.4">
      <c r="A369" s="396" t="s">
        <v>2538</v>
      </c>
      <c r="B369" s="394" t="s">
        <v>575</v>
      </c>
      <c r="C369" s="394" t="s">
        <v>2539</v>
      </c>
      <c r="D369" s="394" t="s">
        <v>1039</v>
      </c>
      <c r="E369" s="395" t="s">
        <v>4</v>
      </c>
      <c r="F369" s="396" t="s">
        <v>5269</v>
      </c>
      <c r="G369" s="396" t="s">
        <v>781</v>
      </c>
      <c r="H369" s="396" t="s">
        <v>9177</v>
      </c>
      <c r="I369" s="396" t="s">
        <v>781</v>
      </c>
      <c r="J369" s="396" t="s">
        <v>9177</v>
      </c>
      <c r="K369" s="396" t="s">
        <v>781</v>
      </c>
      <c r="L369" s="397">
        <v>120.54</v>
      </c>
      <c r="M369" s="396" t="s">
        <v>4246</v>
      </c>
      <c r="N369" s="397">
        <v>557754.81491750001</v>
      </c>
      <c r="O369" s="396" t="s">
        <v>9178</v>
      </c>
    </row>
    <row r="370" spans="1:15" ht="26.4" x14ac:dyDescent="0.4">
      <c r="A370" s="396" t="s">
        <v>6629</v>
      </c>
      <c r="B370" s="394" t="s">
        <v>420</v>
      </c>
      <c r="C370" s="394" t="s">
        <v>6630</v>
      </c>
      <c r="D370" s="394" t="s">
        <v>1039</v>
      </c>
      <c r="E370" s="395" t="s">
        <v>422</v>
      </c>
      <c r="F370" s="396" t="s">
        <v>5269</v>
      </c>
      <c r="G370" s="396" t="s">
        <v>781</v>
      </c>
      <c r="H370" s="396" t="s">
        <v>9179</v>
      </c>
      <c r="I370" s="396" t="s">
        <v>781</v>
      </c>
      <c r="J370" s="396" t="s">
        <v>9179</v>
      </c>
      <c r="K370" s="396" t="s">
        <v>781</v>
      </c>
      <c r="L370" s="397">
        <v>120.45</v>
      </c>
      <c r="M370" s="396" t="s">
        <v>4246</v>
      </c>
      <c r="N370" s="397">
        <v>557875.26491749997</v>
      </c>
      <c r="O370" s="396" t="s">
        <v>9180</v>
      </c>
    </row>
    <row r="371" spans="1:15" ht="26.4" x14ac:dyDescent="0.4">
      <c r="A371" s="396" t="s">
        <v>2354</v>
      </c>
      <c r="B371" s="394" t="s">
        <v>575</v>
      </c>
      <c r="C371" s="394" t="s">
        <v>1742</v>
      </c>
      <c r="D371" s="394" t="s">
        <v>1039</v>
      </c>
      <c r="E371" s="395" t="s">
        <v>422</v>
      </c>
      <c r="F371" s="396" t="s">
        <v>5269</v>
      </c>
      <c r="G371" s="396" t="s">
        <v>781</v>
      </c>
      <c r="H371" s="396" t="s">
        <v>5365</v>
      </c>
      <c r="I371" s="396" t="s">
        <v>781</v>
      </c>
      <c r="J371" s="396" t="s">
        <v>5365</v>
      </c>
      <c r="K371" s="396" t="s">
        <v>781</v>
      </c>
      <c r="L371" s="397">
        <v>119.98</v>
      </c>
      <c r="M371" s="396" t="s">
        <v>4246</v>
      </c>
      <c r="N371" s="397">
        <v>557995.24491749995</v>
      </c>
      <c r="O371" s="396" t="s">
        <v>9181</v>
      </c>
    </row>
    <row r="372" spans="1:15" ht="26.4" x14ac:dyDescent="0.4">
      <c r="A372" s="396" t="s">
        <v>2486</v>
      </c>
      <c r="B372" s="394" t="s">
        <v>5902</v>
      </c>
      <c r="C372" s="394" t="s">
        <v>2487</v>
      </c>
      <c r="D372" s="394" t="s">
        <v>1039</v>
      </c>
      <c r="E372" s="395" t="s">
        <v>4</v>
      </c>
      <c r="F372" s="396" t="s">
        <v>5269</v>
      </c>
      <c r="G372" s="396" t="s">
        <v>781</v>
      </c>
      <c r="H372" s="396" t="s">
        <v>6609</v>
      </c>
      <c r="I372" s="396" t="s">
        <v>781</v>
      </c>
      <c r="J372" s="396" t="s">
        <v>6609</v>
      </c>
      <c r="K372" s="396" t="s">
        <v>781</v>
      </c>
      <c r="L372" s="397">
        <v>119.89</v>
      </c>
      <c r="M372" s="396" t="s">
        <v>4246</v>
      </c>
      <c r="N372" s="397">
        <v>558115.13491749996</v>
      </c>
      <c r="O372" s="396" t="s">
        <v>9182</v>
      </c>
    </row>
    <row r="373" spans="1:15" ht="26.4" x14ac:dyDescent="0.4">
      <c r="A373" s="396" t="s">
        <v>4260</v>
      </c>
      <c r="B373" s="394" t="s">
        <v>395</v>
      </c>
      <c r="C373" s="394" t="s">
        <v>4261</v>
      </c>
      <c r="D373" s="394" t="s">
        <v>1039</v>
      </c>
      <c r="E373" s="395" t="s">
        <v>4</v>
      </c>
      <c r="F373" s="396" t="s">
        <v>5273</v>
      </c>
      <c r="G373" s="396" t="s">
        <v>781</v>
      </c>
      <c r="H373" s="396" t="s">
        <v>6610</v>
      </c>
      <c r="I373" s="396" t="s">
        <v>781</v>
      </c>
      <c r="J373" s="396" t="s">
        <v>6611</v>
      </c>
      <c r="K373" s="396" t="s">
        <v>781</v>
      </c>
      <c r="L373" s="397">
        <v>118.84</v>
      </c>
      <c r="M373" s="396" t="s">
        <v>4246</v>
      </c>
      <c r="N373" s="397">
        <v>558233.97491750005</v>
      </c>
      <c r="O373" s="396" t="s">
        <v>4255</v>
      </c>
    </row>
    <row r="374" spans="1:15" x14ac:dyDescent="0.4">
      <c r="A374" s="396" t="s">
        <v>1396</v>
      </c>
      <c r="B374" s="394" t="s">
        <v>420</v>
      </c>
      <c r="C374" s="394" t="s">
        <v>1397</v>
      </c>
      <c r="D374" s="394" t="s">
        <v>1039</v>
      </c>
      <c r="E374" s="395" t="s">
        <v>422</v>
      </c>
      <c r="F374" s="396" t="s">
        <v>5362</v>
      </c>
      <c r="G374" s="396" t="s">
        <v>781</v>
      </c>
      <c r="H374" s="396" t="s">
        <v>5657</v>
      </c>
      <c r="I374" s="396" t="s">
        <v>781</v>
      </c>
      <c r="J374" s="396" t="s">
        <v>6612</v>
      </c>
      <c r="K374" s="396" t="s">
        <v>781</v>
      </c>
      <c r="L374" s="397">
        <v>118.5</v>
      </c>
      <c r="M374" s="396" t="s">
        <v>4246</v>
      </c>
      <c r="N374" s="397">
        <v>558352.47491750005</v>
      </c>
      <c r="O374" s="396" t="s">
        <v>9183</v>
      </c>
    </row>
    <row r="375" spans="1:15" ht="26.4" x14ac:dyDescent="0.4">
      <c r="A375" s="396" t="s">
        <v>1362</v>
      </c>
      <c r="B375" s="394" t="s">
        <v>5902</v>
      </c>
      <c r="C375" s="394" t="s">
        <v>1363</v>
      </c>
      <c r="D375" s="394" t="s">
        <v>1039</v>
      </c>
      <c r="E375" s="395" t="s">
        <v>4</v>
      </c>
      <c r="F375" s="396" t="s">
        <v>5269</v>
      </c>
      <c r="G375" s="396" t="s">
        <v>781</v>
      </c>
      <c r="H375" s="396" t="s">
        <v>6613</v>
      </c>
      <c r="I375" s="396" t="s">
        <v>781</v>
      </c>
      <c r="J375" s="396" t="s">
        <v>6613</v>
      </c>
      <c r="K375" s="396" t="s">
        <v>781</v>
      </c>
      <c r="L375" s="397">
        <v>118.07</v>
      </c>
      <c r="M375" s="396" t="s">
        <v>4246</v>
      </c>
      <c r="N375" s="397">
        <v>558470.5449175</v>
      </c>
      <c r="O375" s="396" t="s">
        <v>9184</v>
      </c>
    </row>
    <row r="376" spans="1:15" ht="26.4" x14ac:dyDescent="0.4">
      <c r="A376" s="396" t="s">
        <v>4242</v>
      </c>
      <c r="B376" s="394" t="s">
        <v>395</v>
      </c>
      <c r="C376" s="394" t="s">
        <v>4243</v>
      </c>
      <c r="D376" s="394" t="s">
        <v>1039</v>
      </c>
      <c r="E376" s="395" t="s">
        <v>4</v>
      </c>
      <c r="F376" s="396" t="s">
        <v>5273</v>
      </c>
      <c r="G376" s="396" t="s">
        <v>781</v>
      </c>
      <c r="H376" s="396" t="s">
        <v>6614</v>
      </c>
      <c r="I376" s="396" t="s">
        <v>781</v>
      </c>
      <c r="J376" s="396" t="s">
        <v>6615</v>
      </c>
      <c r="K376" s="396" t="s">
        <v>781</v>
      </c>
      <c r="L376" s="397">
        <v>117.82</v>
      </c>
      <c r="M376" s="396" t="s">
        <v>4246</v>
      </c>
      <c r="N376" s="397">
        <v>558588.36491749994</v>
      </c>
      <c r="O376" s="396" t="s">
        <v>9185</v>
      </c>
    </row>
    <row r="377" spans="1:15" ht="26.4" x14ac:dyDescent="0.4">
      <c r="A377" s="396" t="s">
        <v>4224</v>
      </c>
      <c r="B377" s="394" t="s">
        <v>395</v>
      </c>
      <c r="C377" s="394" t="s">
        <v>4225</v>
      </c>
      <c r="D377" s="394" t="s">
        <v>1039</v>
      </c>
      <c r="E377" s="395" t="s">
        <v>4</v>
      </c>
      <c r="F377" s="396" t="s">
        <v>5284</v>
      </c>
      <c r="G377" s="396" t="s">
        <v>781</v>
      </c>
      <c r="H377" s="396" t="s">
        <v>6616</v>
      </c>
      <c r="I377" s="396" t="s">
        <v>781</v>
      </c>
      <c r="J377" s="396" t="s">
        <v>6617</v>
      </c>
      <c r="K377" s="396" t="s">
        <v>781</v>
      </c>
      <c r="L377" s="397">
        <v>117.3</v>
      </c>
      <c r="M377" s="396" t="s">
        <v>4246</v>
      </c>
      <c r="N377" s="397">
        <v>558705.66491749999</v>
      </c>
      <c r="O377" s="396" t="s">
        <v>9186</v>
      </c>
    </row>
    <row r="378" spans="1:15" ht="39.6" x14ac:dyDescent="0.4">
      <c r="A378" s="396" t="s">
        <v>3259</v>
      </c>
      <c r="B378" s="394" t="s">
        <v>5902</v>
      </c>
      <c r="C378" s="394" t="s">
        <v>3260</v>
      </c>
      <c r="D378" s="394" t="s">
        <v>1039</v>
      </c>
      <c r="E378" s="395" t="s">
        <v>675</v>
      </c>
      <c r="F378" s="396" t="s">
        <v>5378</v>
      </c>
      <c r="G378" s="396" t="s">
        <v>781</v>
      </c>
      <c r="H378" s="396" t="s">
        <v>6618</v>
      </c>
      <c r="I378" s="396" t="s">
        <v>781</v>
      </c>
      <c r="J378" s="396" t="s">
        <v>6619</v>
      </c>
      <c r="K378" s="396" t="s">
        <v>781</v>
      </c>
      <c r="L378" s="397">
        <v>116.702</v>
      </c>
      <c r="M378" s="396" t="s">
        <v>4246</v>
      </c>
      <c r="N378" s="397">
        <v>558822.36691750004</v>
      </c>
      <c r="O378" s="396" t="s">
        <v>9187</v>
      </c>
    </row>
    <row r="379" spans="1:15" ht="26.4" x14ac:dyDescent="0.4">
      <c r="A379" s="396" t="s">
        <v>4216</v>
      </c>
      <c r="B379" s="394" t="s">
        <v>395</v>
      </c>
      <c r="C379" s="394" t="s">
        <v>4217</v>
      </c>
      <c r="D379" s="394" t="s">
        <v>1039</v>
      </c>
      <c r="E379" s="395" t="s">
        <v>4</v>
      </c>
      <c r="F379" s="396" t="s">
        <v>5273</v>
      </c>
      <c r="G379" s="396" t="s">
        <v>781</v>
      </c>
      <c r="H379" s="396" t="s">
        <v>6620</v>
      </c>
      <c r="I379" s="396" t="s">
        <v>781</v>
      </c>
      <c r="J379" s="396" t="s">
        <v>6621</v>
      </c>
      <c r="K379" s="396" t="s">
        <v>781</v>
      </c>
      <c r="L379" s="397">
        <v>115.52</v>
      </c>
      <c r="M379" s="396" t="s">
        <v>4246</v>
      </c>
      <c r="N379" s="397">
        <v>558937.88691750006</v>
      </c>
      <c r="O379" s="396" t="s">
        <v>9188</v>
      </c>
    </row>
    <row r="380" spans="1:15" x14ac:dyDescent="0.4">
      <c r="A380" s="396" t="s">
        <v>4270</v>
      </c>
      <c r="B380" s="394" t="s">
        <v>395</v>
      </c>
      <c r="C380" s="394" t="s">
        <v>4271</v>
      </c>
      <c r="D380" s="394" t="s">
        <v>1053</v>
      </c>
      <c r="E380" s="395" t="s">
        <v>6</v>
      </c>
      <c r="F380" s="396" t="s">
        <v>6622</v>
      </c>
      <c r="G380" s="396" t="s">
        <v>781</v>
      </c>
      <c r="H380" s="396" t="s">
        <v>6623</v>
      </c>
      <c r="I380" s="396" t="s">
        <v>781</v>
      </c>
      <c r="J380" s="396" t="s">
        <v>6624</v>
      </c>
      <c r="K380" s="396" t="s">
        <v>781</v>
      </c>
      <c r="L380" s="397">
        <v>115.16054944</v>
      </c>
      <c r="M380" s="396" t="s">
        <v>4246</v>
      </c>
      <c r="N380" s="397">
        <v>559053.04746689997</v>
      </c>
      <c r="O380" s="396" t="s">
        <v>9189</v>
      </c>
    </row>
    <row r="381" spans="1:15" x14ac:dyDescent="0.4">
      <c r="A381" s="396" t="s">
        <v>6625</v>
      </c>
      <c r="B381" s="394" t="s">
        <v>439</v>
      </c>
      <c r="C381" s="394" t="s">
        <v>1093</v>
      </c>
      <c r="D381" s="394" t="s">
        <v>1053</v>
      </c>
      <c r="E381" s="395" t="s">
        <v>6</v>
      </c>
      <c r="F381" s="396" t="s">
        <v>6626</v>
      </c>
      <c r="G381" s="396" t="s">
        <v>781</v>
      </c>
      <c r="H381" s="396" t="s">
        <v>6627</v>
      </c>
      <c r="I381" s="396" t="s">
        <v>781</v>
      </c>
      <c r="J381" s="396" t="s">
        <v>6628</v>
      </c>
      <c r="K381" s="396" t="s">
        <v>781</v>
      </c>
      <c r="L381" s="397">
        <v>115.15309305</v>
      </c>
      <c r="M381" s="396" t="s">
        <v>4246</v>
      </c>
      <c r="N381" s="397">
        <v>559168.20056000003</v>
      </c>
      <c r="O381" s="396" t="s">
        <v>9190</v>
      </c>
    </row>
    <row r="382" spans="1:15" x14ac:dyDescent="0.4">
      <c r="A382" s="396" t="s">
        <v>4274</v>
      </c>
      <c r="B382" s="394" t="s">
        <v>395</v>
      </c>
      <c r="C382" s="394" t="s">
        <v>4275</v>
      </c>
      <c r="D382" s="394" t="s">
        <v>2386</v>
      </c>
      <c r="E382" s="395" t="s">
        <v>6</v>
      </c>
      <c r="F382" s="396" t="s">
        <v>8670</v>
      </c>
      <c r="G382" s="396" t="s">
        <v>781</v>
      </c>
      <c r="H382" s="396" t="s">
        <v>5781</v>
      </c>
      <c r="I382" s="396" t="s">
        <v>781</v>
      </c>
      <c r="J382" s="396" t="s">
        <v>9191</v>
      </c>
      <c r="K382" s="396" t="s">
        <v>781</v>
      </c>
      <c r="L382" s="397">
        <v>115.07115258100001</v>
      </c>
      <c r="M382" s="396" t="s">
        <v>4246</v>
      </c>
      <c r="N382" s="397">
        <v>559283.27171260002</v>
      </c>
      <c r="O382" s="396" t="s">
        <v>9192</v>
      </c>
    </row>
    <row r="383" spans="1:15" x14ac:dyDescent="0.4">
      <c r="A383" s="396" t="s">
        <v>3034</v>
      </c>
      <c r="B383" s="394" t="s">
        <v>408</v>
      </c>
      <c r="C383" s="394" t="s">
        <v>3035</v>
      </c>
      <c r="D383" s="394" t="s">
        <v>1039</v>
      </c>
      <c r="E383" s="395" t="s">
        <v>7</v>
      </c>
      <c r="F383" s="396" t="s">
        <v>5357</v>
      </c>
      <c r="G383" s="396" t="s">
        <v>781</v>
      </c>
      <c r="H383" s="396" t="s">
        <v>6631</v>
      </c>
      <c r="I383" s="396" t="s">
        <v>781</v>
      </c>
      <c r="J383" s="396" t="s">
        <v>6632</v>
      </c>
      <c r="K383" s="396" t="s">
        <v>781</v>
      </c>
      <c r="L383" s="397">
        <v>113.76</v>
      </c>
      <c r="M383" s="396" t="s">
        <v>4246</v>
      </c>
      <c r="N383" s="397">
        <v>559397.03171260003</v>
      </c>
      <c r="O383" s="396" t="s">
        <v>5855</v>
      </c>
    </row>
    <row r="384" spans="1:15" x14ac:dyDescent="0.4">
      <c r="A384" s="396" t="s">
        <v>9193</v>
      </c>
      <c r="B384" s="394" t="s">
        <v>490</v>
      </c>
      <c r="C384" s="394" t="s">
        <v>9194</v>
      </c>
      <c r="D384" s="394" t="s">
        <v>1039</v>
      </c>
      <c r="E384" s="395" t="s">
        <v>3</v>
      </c>
      <c r="F384" s="396" t="s">
        <v>9195</v>
      </c>
      <c r="G384" s="396" t="s">
        <v>781</v>
      </c>
      <c r="H384" s="396" t="s">
        <v>6305</v>
      </c>
      <c r="I384" s="396" t="s">
        <v>781</v>
      </c>
      <c r="J384" s="396" t="s">
        <v>9196</v>
      </c>
      <c r="K384" s="396" t="s">
        <v>781</v>
      </c>
      <c r="L384" s="397">
        <v>112.56</v>
      </c>
      <c r="M384" s="396" t="s">
        <v>4246</v>
      </c>
      <c r="N384" s="397">
        <v>559509.59171259997</v>
      </c>
      <c r="O384" s="396" t="s">
        <v>5856</v>
      </c>
    </row>
    <row r="385" spans="1:15" x14ac:dyDescent="0.4">
      <c r="A385" s="396" t="s">
        <v>3206</v>
      </c>
      <c r="B385" s="394" t="s">
        <v>408</v>
      </c>
      <c r="C385" s="394" t="s">
        <v>3207</v>
      </c>
      <c r="D385" s="394" t="s">
        <v>1039</v>
      </c>
      <c r="E385" s="395" t="s">
        <v>4</v>
      </c>
      <c r="F385" s="396" t="s">
        <v>5273</v>
      </c>
      <c r="G385" s="396" t="s">
        <v>781</v>
      </c>
      <c r="H385" s="396" t="s">
        <v>6633</v>
      </c>
      <c r="I385" s="396" t="s">
        <v>781</v>
      </c>
      <c r="J385" s="396" t="s">
        <v>6634</v>
      </c>
      <c r="K385" s="396" t="s">
        <v>781</v>
      </c>
      <c r="L385" s="397">
        <v>112.5</v>
      </c>
      <c r="M385" s="396" t="s">
        <v>4246</v>
      </c>
      <c r="N385" s="397">
        <v>559622.09171259997</v>
      </c>
      <c r="O385" s="396" t="s">
        <v>5857</v>
      </c>
    </row>
    <row r="386" spans="1:15" ht="26.4" x14ac:dyDescent="0.4">
      <c r="A386" s="396" t="s">
        <v>1338</v>
      </c>
      <c r="B386" s="394" t="s">
        <v>395</v>
      </c>
      <c r="C386" s="394" t="s">
        <v>345</v>
      </c>
      <c r="D386" s="394" t="s">
        <v>1039</v>
      </c>
      <c r="E386" s="395" t="s">
        <v>4</v>
      </c>
      <c r="F386" s="396" t="s">
        <v>6635</v>
      </c>
      <c r="G386" s="396" t="s">
        <v>781</v>
      </c>
      <c r="H386" s="396" t="s">
        <v>6636</v>
      </c>
      <c r="I386" s="396" t="s">
        <v>781</v>
      </c>
      <c r="J386" s="396" t="s">
        <v>6637</v>
      </c>
      <c r="K386" s="396" t="s">
        <v>781</v>
      </c>
      <c r="L386" s="397">
        <v>112.169178</v>
      </c>
      <c r="M386" s="396" t="s">
        <v>4246</v>
      </c>
      <c r="N386" s="397">
        <v>559734.26089060004</v>
      </c>
      <c r="O386" s="396" t="s">
        <v>5858</v>
      </c>
    </row>
    <row r="387" spans="1:15" ht="26.4" x14ac:dyDescent="0.4">
      <c r="A387" s="396" t="s">
        <v>3246</v>
      </c>
      <c r="B387" s="394" t="s">
        <v>2616</v>
      </c>
      <c r="C387" s="394" t="s">
        <v>3247</v>
      </c>
      <c r="D387" s="394" t="s">
        <v>1053</v>
      </c>
      <c r="E387" s="395" t="s">
        <v>6</v>
      </c>
      <c r="F387" s="396" t="s">
        <v>5290</v>
      </c>
      <c r="G387" s="396" t="s">
        <v>781</v>
      </c>
      <c r="H387" s="396" t="s">
        <v>6638</v>
      </c>
      <c r="I387" s="396" t="s">
        <v>781</v>
      </c>
      <c r="J387" s="396" t="s">
        <v>6639</v>
      </c>
      <c r="K387" s="396" t="s">
        <v>781</v>
      </c>
      <c r="L387" s="397">
        <v>111.25</v>
      </c>
      <c r="M387" s="396" t="s">
        <v>4246</v>
      </c>
      <c r="N387" s="397">
        <v>559845.51089060004</v>
      </c>
      <c r="O387" s="396" t="s">
        <v>5859</v>
      </c>
    </row>
    <row r="388" spans="1:15" x14ac:dyDescent="0.4">
      <c r="A388" s="396" t="s">
        <v>4529</v>
      </c>
      <c r="B388" s="394" t="s">
        <v>395</v>
      </c>
      <c r="C388" s="394" t="s">
        <v>4530</v>
      </c>
      <c r="D388" s="394" t="s">
        <v>1053</v>
      </c>
      <c r="E388" s="395" t="s">
        <v>6</v>
      </c>
      <c r="F388" s="396" t="s">
        <v>6640</v>
      </c>
      <c r="G388" s="396" t="s">
        <v>781</v>
      </c>
      <c r="H388" s="396" t="s">
        <v>6180</v>
      </c>
      <c r="I388" s="396" t="s">
        <v>781</v>
      </c>
      <c r="J388" s="396" t="s">
        <v>6641</v>
      </c>
      <c r="K388" s="396" t="s">
        <v>781</v>
      </c>
      <c r="L388" s="397">
        <v>109.57291529600001</v>
      </c>
      <c r="M388" s="396" t="s">
        <v>4246</v>
      </c>
      <c r="N388" s="397">
        <v>559955.08380589995</v>
      </c>
      <c r="O388" s="396" t="s">
        <v>5860</v>
      </c>
    </row>
    <row r="389" spans="1:15" ht="39.6" x14ac:dyDescent="0.4">
      <c r="A389" s="396" t="s">
        <v>4328</v>
      </c>
      <c r="B389" s="394" t="s">
        <v>395</v>
      </c>
      <c r="C389" s="394" t="s">
        <v>4329</v>
      </c>
      <c r="D389" s="394" t="s">
        <v>1039</v>
      </c>
      <c r="E389" s="395" t="s">
        <v>4</v>
      </c>
      <c r="F389" s="396" t="s">
        <v>5269</v>
      </c>
      <c r="G389" s="396" t="s">
        <v>781</v>
      </c>
      <c r="H389" s="396" t="s">
        <v>6642</v>
      </c>
      <c r="I389" s="396" t="s">
        <v>781</v>
      </c>
      <c r="J389" s="396" t="s">
        <v>6642</v>
      </c>
      <c r="K389" s="396" t="s">
        <v>781</v>
      </c>
      <c r="L389" s="397">
        <v>109.4</v>
      </c>
      <c r="M389" s="396" t="s">
        <v>4246</v>
      </c>
      <c r="N389" s="397">
        <v>560064.48380589997</v>
      </c>
      <c r="O389" s="396" t="s">
        <v>5861</v>
      </c>
    </row>
    <row r="390" spans="1:15" ht="26.4" x14ac:dyDescent="0.4">
      <c r="A390" s="396" t="s">
        <v>1533</v>
      </c>
      <c r="B390" s="394" t="s">
        <v>5902</v>
      </c>
      <c r="C390" s="394" t="s">
        <v>1534</v>
      </c>
      <c r="D390" s="394" t="s">
        <v>1039</v>
      </c>
      <c r="E390" s="395" t="s">
        <v>1530</v>
      </c>
      <c r="F390" s="396" t="s">
        <v>9197</v>
      </c>
      <c r="G390" s="396" t="s">
        <v>781</v>
      </c>
      <c r="H390" s="396" t="s">
        <v>7182</v>
      </c>
      <c r="I390" s="396" t="s">
        <v>781</v>
      </c>
      <c r="J390" s="396" t="s">
        <v>9198</v>
      </c>
      <c r="K390" s="396" t="s">
        <v>781</v>
      </c>
      <c r="L390" s="397">
        <v>108.6012685</v>
      </c>
      <c r="M390" s="396" t="s">
        <v>4246</v>
      </c>
      <c r="N390" s="397">
        <v>560173.08507439995</v>
      </c>
      <c r="O390" s="396" t="s">
        <v>5862</v>
      </c>
    </row>
    <row r="391" spans="1:15" ht="26.4" x14ac:dyDescent="0.4">
      <c r="A391" s="396" t="s">
        <v>5849</v>
      </c>
      <c r="B391" s="394" t="s">
        <v>5902</v>
      </c>
      <c r="C391" s="394" t="s">
        <v>5850</v>
      </c>
      <c r="D391" s="394" t="s">
        <v>1039</v>
      </c>
      <c r="E391" s="395" t="s">
        <v>6</v>
      </c>
      <c r="F391" s="396" t="s">
        <v>5269</v>
      </c>
      <c r="G391" s="396" t="s">
        <v>781</v>
      </c>
      <c r="H391" s="396" t="s">
        <v>6643</v>
      </c>
      <c r="I391" s="396" t="s">
        <v>781</v>
      </c>
      <c r="J391" s="396" t="s">
        <v>6643</v>
      </c>
      <c r="K391" s="396" t="s">
        <v>781</v>
      </c>
      <c r="L391" s="397">
        <v>108.37</v>
      </c>
      <c r="M391" s="396" t="s">
        <v>4246</v>
      </c>
      <c r="N391" s="397">
        <v>560281.45507439994</v>
      </c>
      <c r="O391" s="396" t="s">
        <v>5863</v>
      </c>
    </row>
    <row r="392" spans="1:15" x14ac:dyDescent="0.4">
      <c r="A392" s="396" t="s">
        <v>4210</v>
      </c>
      <c r="B392" s="394" t="s">
        <v>395</v>
      </c>
      <c r="C392" s="394" t="s">
        <v>4211</v>
      </c>
      <c r="D392" s="394" t="s">
        <v>1039</v>
      </c>
      <c r="E392" s="395" t="s">
        <v>4</v>
      </c>
      <c r="F392" s="396" t="s">
        <v>5269</v>
      </c>
      <c r="G392" s="396" t="s">
        <v>781</v>
      </c>
      <c r="H392" s="396" t="s">
        <v>6644</v>
      </c>
      <c r="I392" s="396" t="s">
        <v>781</v>
      </c>
      <c r="J392" s="396" t="s">
        <v>6644</v>
      </c>
      <c r="K392" s="396" t="s">
        <v>781</v>
      </c>
      <c r="L392" s="397">
        <v>106.91</v>
      </c>
      <c r="M392" s="396" t="s">
        <v>4246</v>
      </c>
      <c r="N392" s="397">
        <v>560388.36507439998</v>
      </c>
      <c r="O392" s="396" t="s">
        <v>5864</v>
      </c>
    </row>
    <row r="393" spans="1:15" x14ac:dyDescent="0.4">
      <c r="A393" s="396" t="s">
        <v>4113</v>
      </c>
      <c r="B393" s="394" t="s">
        <v>395</v>
      </c>
      <c r="C393" s="394" t="s">
        <v>4114</v>
      </c>
      <c r="D393" s="394" t="s">
        <v>1053</v>
      </c>
      <c r="E393" s="395" t="s">
        <v>6</v>
      </c>
      <c r="F393" s="396" t="s">
        <v>9199</v>
      </c>
      <c r="G393" s="396" t="s">
        <v>781</v>
      </c>
      <c r="H393" s="396" t="s">
        <v>6452</v>
      </c>
      <c r="I393" s="396" t="s">
        <v>781</v>
      </c>
      <c r="J393" s="396" t="s">
        <v>9200</v>
      </c>
      <c r="K393" s="396" t="s">
        <v>781</v>
      </c>
      <c r="L393" s="397">
        <v>106.44194606400001</v>
      </c>
      <c r="M393" s="396" t="s">
        <v>4246</v>
      </c>
      <c r="N393" s="397">
        <v>560494.80702049995</v>
      </c>
      <c r="O393" s="396" t="s">
        <v>9201</v>
      </c>
    </row>
    <row r="394" spans="1:15" x14ac:dyDescent="0.4">
      <c r="A394" s="396" t="s">
        <v>3064</v>
      </c>
      <c r="B394" s="394" t="s">
        <v>408</v>
      </c>
      <c r="C394" s="394" t="s">
        <v>3065</v>
      </c>
      <c r="D394" s="394" t="s">
        <v>1039</v>
      </c>
      <c r="E394" s="395" t="s">
        <v>4</v>
      </c>
      <c r="F394" s="396" t="s">
        <v>5273</v>
      </c>
      <c r="G394" s="396" t="s">
        <v>781</v>
      </c>
      <c r="H394" s="396" t="s">
        <v>6646</v>
      </c>
      <c r="I394" s="396" t="s">
        <v>781</v>
      </c>
      <c r="J394" s="396" t="s">
        <v>6647</v>
      </c>
      <c r="K394" s="396" t="s">
        <v>781</v>
      </c>
      <c r="L394" s="397">
        <v>106</v>
      </c>
      <c r="M394" s="396" t="s">
        <v>4246</v>
      </c>
      <c r="N394" s="397">
        <v>560600.80702049995</v>
      </c>
      <c r="O394" s="396" t="s">
        <v>9202</v>
      </c>
    </row>
    <row r="395" spans="1:15" ht="26.4" x14ac:dyDescent="0.4">
      <c r="A395" s="396" t="s">
        <v>1064</v>
      </c>
      <c r="B395" s="394" t="s">
        <v>5902</v>
      </c>
      <c r="C395" s="394" t="s">
        <v>1065</v>
      </c>
      <c r="D395" s="394" t="s">
        <v>1039</v>
      </c>
      <c r="E395" s="395" t="s">
        <v>4</v>
      </c>
      <c r="F395" s="396" t="s">
        <v>5305</v>
      </c>
      <c r="G395" s="396" t="s">
        <v>781</v>
      </c>
      <c r="H395" s="396" t="s">
        <v>5485</v>
      </c>
      <c r="I395" s="396" t="s">
        <v>781</v>
      </c>
      <c r="J395" s="396" t="s">
        <v>6648</v>
      </c>
      <c r="K395" s="396" t="s">
        <v>781</v>
      </c>
      <c r="L395" s="397">
        <v>105.8</v>
      </c>
      <c r="M395" s="396" t="s">
        <v>4246</v>
      </c>
      <c r="N395" s="397">
        <v>560706.6070205</v>
      </c>
      <c r="O395" s="396" t="s">
        <v>9203</v>
      </c>
    </row>
    <row r="396" spans="1:15" x14ac:dyDescent="0.4">
      <c r="A396" s="396" t="s">
        <v>6649</v>
      </c>
      <c r="B396" s="394" t="s">
        <v>420</v>
      </c>
      <c r="C396" s="394" t="s">
        <v>6650</v>
      </c>
      <c r="D396" s="394" t="s">
        <v>1317</v>
      </c>
      <c r="E396" s="395" t="s">
        <v>1070</v>
      </c>
      <c r="F396" s="396" t="s">
        <v>5285</v>
      </c>
      <c r="G396" s="396" t="s">
        <v>781</v>
      </c>
      <c r="H396" s="396" t="s">
        <v>6651</v>
      </c>
      <c r="I396" s="396" t="s">
        <v>781</v>
      </c>
      <c r="J396" s="396" t="s">
        <v>6652</v>
      </c>
      <c r="K396" s="396" t="s">
        <v>781</v>
      </c>
      <c r="L396" s="397">
        <v>105.44</v>
      </c>
      <c r="M396" s="396" t="s">
        <v>4246</v>
      </c>
      <c r="N396" s="397">
        <v>560812.04702049994</v>
      </c>
      <c r="O396" s="396" t="s">
        <v>9204</v>
      </c>
    </row>
    <row r="397" spans="1:15" x14ac:dyDescent="0.4">
      <c r="A397" s="396" t="s">
        <v>3137</v>
      </c>
      <c r="B397" s="394" t="s">
        <v>2661</v>
      </c>
      <c r="C397" s="394" t="s">
        <v>3138</v>
      </c>
      <c r="D397" s="394" t="s">
        <v>1039</v>
      </c>
      <c r="E397" s="395" t="s">
        <v>486</v>
      </c>
      <c r="F397" s="396" t="s">
        <v>5284</v>
      </c>
      <c r="G397" s="396" t="s">
        <v>781</v>
      </c>
      <c r="H397" s="396" t="s">
        <v>6653</v>
      </c>
      <c r="I397" s="396" t="s">
        <v>781</v>
      </c>
      <c r="J397" s="396" t="s">
        <v>6654</v>
      </c>
      <c r="K397" s="396" t="s">
        <v>781</v>
      </c>
      <c r="L397" s="397">
        <v>104.88</v>
      </c>
      <c r="M397" s="396" t="s">
        <v>4246</v>
      </c>
      <c r="N397" s="397">
        <v>560916.92702049995</v>
      </c>
      <c r="O397" s="396" t="s">
        <v>9205</v>
      </c>
    </row>
    <row r="398" spans="1:15" x14ac:dyDescent="0.4">
      <c r="A398" s="396" t="s">
        <v>3120</v>
      </c>
      <c r="B398" s="394" t="s">
        <v>420</v>
      </c>
      <c r="C398" s="394" t="s">
        <v>3121</v>
      </c>
      <c r="D398" s="394" t="s">
        <v>1039</v>
      </c>
      <c r="E398" s="395" t="s">
        <v>422</v>
      </c>
      <c r="F398" s="396" t="s">
        <v>5269</v>
      </c>
      <c r="G398" s="396" t="s">
        <v>781</v>
      </c>
      <c r="H398" s="396" t="s">
        <v>6655</v>
      </c>
      <c r="I398" s="396" t="s">
        <v>781</v>
      </c>
      <c r="J398" s="396" t="s">
        <v>6655</v>
      </c>
      <c r="K398" s="396" t="s">
        <v>781</v>
      </c>
      <c r="L398" s="397">
        <v>104</v>
      </c>
      <c r="M398" s="396" t="s">
        <v>4246</v>
      </c>
      <c r="N398" s="397">
        <v>561020.92702049995</v>
      </c>
      <c r="O398" s="396" t="s">
        <v>5390</v>
      </c>
    </row>
    <row r="399" spans="1:15" x14ac:dyDescent="0.4">
      <c r="A399" s="396" t="s">
        <v>1406</v>
      </c>
      <c r="B399" s="394" t="s">
        <v>408</v>
      </c>
      <c r="C399" s="394" t="s">
        <v>1407</v>
      </c>
      <c r="D399" s="394" t="s">
        <v>1039</v>
      </c>
      <c r="E399" s="395" t="s">
        <v>3</v>
      </c>
      <c r="F399" s="396" t="s">
        <v>5356</v>
      </c>
      <c r="G399" s="396" t="s">
        <v>781</v>
      </c>
      <c r="H399" s="396" t="s">
        <v>6656</v>
      </c>
      <c r="I399" s="396" t="s">
        <v>781</v>
      </c>
      <c r="J399" s="396" t="s">
        <v>6657</v>
      </c>
      <c r="K399" s="396" t="s">
        <v>781</v>
      </c>
      <c r="L399" s="397">
        <v>103.48699999999999</v>
      </c>
      <c r="M399" s="396" t="s">
        <v>4246</v>
      </c>
      <c r="N399" s="397">
        <v>561124.41402050003</v>
      </c>
      <c r="O399" s="396" t="s">
        <v>5391</v>
      </c>
    </row>
    <row r="400" spans="1:15" x14ac:dyDescent="0.4">
      <c r="A400" s="396" t="s">
        <v>4287</v>
      </c>
      <c r="B400" s="394" t="s">
        <v>395</v>
      </c>
      <c r="C400" s="394" t="s">
        <v>4288</v>
      </c>
      <c r="D400" s="394" t="s">
        <v>1039</v>
      </c>
      <c r="E400" s="395" t="s">
        <v>4</v>
      </c>
      <c r="F400" s="396" t="s">
        <v>5269</v>
      </c>
      <c r="G400" s="396" t="s">
        <v>781</v>
      </c>
      <c r="H400" s="396" t="s">
        <v>6658</v>
      </c>
      <c r="I400" s="396" t="s">
        <v>781</v>
      </c>
      <c r="J400" s="396" t="s">
        <v>6658</v>
      </c>
      <c r="K400" s="396" t="s">
        <v>781</v>
      </c>
      <c r="L400" s="397">
        <v>102.71</v>
      </c>
      <c r="M400" s="396" t="s">
        <v>4246</v>
      </c>
      <c r="N400" s="397">
        <v>561227.12402049999</v>
      </c>
      <c r="O400" s="396" t="s">
        <v>9206</v>
      </c>
    </row>
    <row r="401" spans="1:15" ht="26.4" x14ac:dyDescent="0.4">
      <c r="A401" s="396" t="s">
        <v>4212</v>
      </c>
      <c r="B401" s="394" t="s">
        <v>395</v>
      </c>
      <c r="C401" s="394" t="s">
        <v>4213</v>
      </c>
      <c r="D401" s="394" t="s">
        <v>1317</v>
      </c>
      <c r="E401" s="395" t="s">
        <v>6</v>
      </c>
      <c r="F401" s="396" t="s">
        <v>8870</v>
      </c>
      <c r="G401" s="396" t="s">
        <v>781</v>
      </c>
      <c r="H401" s="396" t="s">
        <v>5784</v>
      </c>
      <c r="I401" s="396" t="s">
        <v>781</v>
      </c>
      <c r="J401" s="396" t="s">
        <v>9207</v>
      </c>
      <c r="K401" s="396" t="s">
        <v>781</v>
      </c>
      <c r="L401" s="397">
        <v>102.49655472000001</v>
      </c>
      <c r="M401" s="396" t="s">
        <v>4246</v>
      </c>
      <c r="N401" s="397">
        <v>561329.62057519995</v>
      </c>
      <c r="O401" s="396" t="s">
        <v>9208</v>
      </c>
    </row>
    <row r="402" spans="1:15" ht="39.6" x14ac:dyDescent="0.4">
      <c r="A402" s="396" t="s">
        <v>2453</v>
      </c>
      <c r="B402" s="394" t="s">
        <v>5902</v>
      </c>
      <c r="C402" s="394" t="s">
        <v>2454</v>
      </c>
      <c r="D402" s="394" t="s">
        <v>1039</v>
      </c>
      <c r="E402" s="395" t="s">
        <v>7</v>
      </c>
      <c r="F402" s="396" t="s">
        <v>5345</v>
      </c>
      <c r="G402" s="396" t="s">
        <v>781</v>
      </c>
      <c r="H402" s="396" t="s">
        <v>6659</v>
      </c>
      <c r="I402" s="396" t="s">
        <v>781</v>
      </c>
      <c r="J402" s="396" t="s">
        <v>6660</v>
      </c>
      <c r="K402" s="396" t="s">
        <v>781</v>
      </c>
      <c r="L402" s="397">
        <v>102.357</v>
      </c>
      <c r="M402" s="396" t="s">
        <v>4246</v>
      </c>
      <c r="N402" s="397">
        <v>561431.97757520003</v>
      </c>
      <c r="O402" s="396" t="s">
        <v>5865</v>
      </c>
    </row>
    <row r="403" spans="1:15" x14ac:dyDescent="0.4">
      <c r="A403" s="396" t="s">
        <v>2327</v>
      </c>
      <c r="B403" s="394" t="s">
        <v>420</v>
      </c>
      <c r="C403" s="394" t="s">
        <v>2328</v>
      </c>
      <c r="D403" s="394" t="s">
        <v>1039</v>
      </c>
      <c r="E403" s="395" t="s">
        <v>1246</v>
      </c>
      <c r="F403" s="396" t="s">
        <v>5296</v>
      </c>
      <c r="G403" s="396" t="s">
        <v>781</v>
      </c>
      <c r="H403" s="396" t="s">
        <v>9209</v>
      </c>
      <c r="I403" s="396" t="s">
        <v>781</v>
      </c>
      <c r="J403" s="396" t="s">
        <v>9210</v>
      </c>
      <c r="K403" s="396" t="s">
        <v>781</v>
      </c>
      <c r="L403" s="397">
        <v>101.688</v>
      </c>
      <c r="M403" s="396" t="s">
        <v>4246</v>
      </c>
      <c r="N403" s="397">
        <v>561533.66557519999</v>
      </c>
      <c r="O403" s="396" t="s">
        <v>5866</v>
      </c>
    </row>
    <row r="404" spans="1:15" ht="26.4" x14ac:dyDescent="0.4">
      <c r="A404" s="396" t="s">
        <v>2353</v>
      </c>
      <c r="B404" s="394" t="s">
        <v>395</v>
      </c>
      <c r="C404" s="394" t="s">
        <v>281</v>
      </c>
      <c r="D404" s="394" t="s">
        <v>1039</v>
      </c>
      <c r="E404" s="395" t="s">
        <v>4</v>
      </c>
      <c r="F404" s="396" t="s">
        <v>5289</v>
      </c>
      <c r="G404" s="396" t="s">
        <v>781</v>
      </c>
      <c r="H404" s="396" t="s">
        <v>6662</v>
      </c>
      <c r="I404" s="396" t="s">
        <v>781</v>
      </c>
      <c r="J404" s="396" t="s">
        <v>6663</v>
      </c>
      <c r="K404" s="396" t="s">
        <v>781</v>
      </c>
      <c r="L404" s="397">
        <v>101.16</v>
      </c>
      <c r="M404" s="396" t="s">
        <v>4246</v>
      </c>
      <c r="N404" s="397">
        <v>561634.82557520003</v>
      </c>
      <c r="O404" s="396" t="s">
        <v>5867</v>
      </c>
    </row>
    <row r="405" spans="1:15" x14ac:dyDescent="0.4">
      <c r="A405" s="396" t="s">
        <v>4244</v>
      </c>
      <c r="B405" s="394" t="s">
        <v>395</v>
      </c>
      <c r="C405" s="394" t="s">
        <v>4245</v>
      </c>
      <c r="D405" s="394" t="s">
        <v>1039</v>
      </c>
      <c r="E405" s="395" t="s">
        <v>7</v>
      </c>
      <c r="F405" s="396" t="s">
        <v>6665</v>
      </c>
      <c r="G405" s="396" t="s">
        <v>781</v>
      </c>
      <c r="H405" s="396" t="s">
        <v>5642</v>
      </c>
      <c r="I405" s="396" t="s">
        <v>781</v>
      </c>
      <c r="J405" s="396" t="s">
        <v>6666</v>
      </c>
      <c r="K405" s="396" t="s">
        <v>781</v>
      </c>
      <c r="L405" s="397">
        <v>100.41801</v>
      </c>
      <c r="M405" s="396" t="s">
        <v>4246</v>
      </c>
      <c r="N405" s="397">
        <v>561735.24358520005</v>
      </c>
      <c r="O405" s="396" t="s">
        <v>5868</v>
      </c>
    </row>
    <row r="406" spans="1:15" ht="26.4" x14ac:dyDescent="0.4">
      <c r="A406" s="396" t="s">
        <v>6668</v>
      </c>
      <c r="B406" s="394" t="s">
        <v>420</v>
      </c>
      <c r="C406" s="394" t="s">
        <v>6669</v>
      </c>
      <c r="D406" s="394" t="s">
        <v>1039</v>
      </c>
      <c r="E406" s="395" t="s">
        <v>422</v>
      </c>
      <c r="F406" s="396" t="s">
        <v>5269</v>
      </c>
      <c r="G406" s="396" t="s">
        <v>781</v>
      </c>
      <c r="H406" s="396" t="s">
        <v>6670</v>
      </c>
      <c r="I406" s="396" t="s">
        <v>781</v>
      </c>
      <c r="J406" s="396" t="s">
        <v>6670</v>
      </c>
      <c r="K406" s="396" t="s">
        <v>781</v>
      </c>
      <c r="L406" s="397">
        <v>100.14</v>
      </c>
      <c r="M406" s="396" t="s">
        <v>4246</v>
      </c>
      <c r="N406" s="397">
        <v>561835.38358519995</v>
      </c>
      <c r="O406" s="396" t="s">
        <v>6664</v>
      </c>
    </row>
    <row r="407" spans="1:15" x14ac:dyDescent="0.4">
      <c r="A407" s="396" t="s">
        <v>1116</v>
      </c>
      <c r="B407" s="394" t="s">
        <v>408</v>
      </c>
      <c r="C407" s="394" t="s">
        <v>1117</v>
      </c>
      <c r="D407" s="394" t="s">
        <v>1039</v>
      </c>
      <c r="E407" s="395" t="s">
        <v>4</v>
      </c>
      <c r="F407" s="396" t="s">
        <v>5269</v>
      </c>
      <c r="G407" s="396" t="s">
        <v>781</v>
      </c>
      <c r="H407" s="396" t="s">
        <v>6671</v>
      </c>
      <c r="I407" s="396" t="s">
        <v>781</v>
      </c>
      <c r="J407" s="396" t="s">
        <v>6671</v>
      </c>
      <c r="K407" s="396" t="s">
        <v>781</v>
      </c>
      <c r="L407" s="397">
        <v>100.08</v>
      </c>
      <c r="M407" s="396" t="s">
        <v>4246</v>
      </c>
      <c r="N407" s="397">
        <v>561935.46358520002</v>
      </c>
      <c r="O407" s="396" t="s">
        <v>6667</v>
      </c>
    </row>
    <row r="408" spans="1:15" x14ac:dyDescent="0.4">
      <c r="A408" s="396" t="s">
        <v>2361</v>
      </c>
      <c r="B408" s="394" t="s">
        <v>420</v>
      </c>
      <c r="C408" s="394" t="s">
        <v>1752</v>
      </c>
      <c r="D408" s="394" t="s">
        <v>1039</v>
      </c>
      <c r="E408" s="395" t="s">
        <v>422</v>
      </c>
      <c r="F408" s="396" t="s">
        <v>5269</v>
      </c>
      <c r="G408" s="396" t="s">
        <v>781</v>
      </c>
      <c r="H408" s="396" t="s">
        <v>5449</v>
      </c>
      <c r="I408" s="396" t="s">
        <v>781</v>
      </c>
      <c r="J408" s="396" t="s">
        <v>5449</v>
      </c>
      <c r="K408" s="396" t="s">
        <v>781</v>
      </c>
      <c r="L408" s="397">
        <v>99.9</v>
      </c>
      <c r="M408" s="396" t="s">
        <v>4246</v>
      </c>
      <c r="N408" s="397">
        <v>562035.36358520004</v>
      </c>
      <c r="O408" s="396" t="s">
        <v>5869</v>
      </c>
    </row>
    <row r="409" spans="1:15" ht="26.4" x14ac:dyDescent="0.4">
      <c r="A409" s="396" t="s">
        <v>9211</v>
      </c>
      <c r="B409" s="394" t="s">
        <v>2616</v>
      </c>
      <c r="C409" s="394" t="s">
        <v>9212</v>
      </c>
      <c r="D409" s="394" t="s">
        <v>1053</v>
      </c>
      <c r="E409" s="395" t="s">
        <v>6</v>
      </c>
      <c r="F409" s="396" t="s">
        <v>9213</v>
      </c>
      <c r="G409" s="396" t="s">
        <v>781</v>
      </c>
      <c r="H409" s="396" t="s">
        <v>6699</v>
      </c>
      <c r="I409" s="396" t="s">
        <v>781</v>
      </c>
      <c r="J409" s="396" t="s">
        <v>9214</v>
      </c>
      <c r="K409" s="396" t="s">
        <v>781</v>
      </c>
      <c r="L409" s="397">
        <v>98.528000000000006</v>
      </c>
      <c r="M409" s="396" t="s">
        <v>4246</v>
      </c>
      <c r="N409" s="397">
        <v>562133.89158519998</v>
      </c>
      <c r="O409" s="396" t="s">
        <v>5870</v>
      </c>
    </row>
    <row r="410" spans="1:15" ht="26.4" x14ac:dyDescent="0.4">
      <c r="A410" s="396" t="s">
        <v>9215</v>
      </c>
      <c r="B410" s="394" t="s">
        <v>5902</v>
      </c>
      <c r="C410" s="394" t="s">
        <v>9216</v>
      </c>
      <c r="D410" s="394" t="s">
        <v>1053</v>
      </c>
      <c r="E410" s="395" t="s">
        <v>6</v>
      </c>
      <c r="F410" s="396" t="s">
        <v>5416</v>
      </c>
      <c r="G410" s="396" t="s">
        <v>781</v>
      </c>
      <c r="H410" s="396" t="s">
        <v>9217</v>
      </c>
      <c r="I410" s="396" t="s">
        <v>781</v>
      </c>
      <c r="J410" s="396" t="s">
        <v>9218</v>
      </c>
      <c r="K410" s="396" t="s">
        <v>781</v>
      </c>
      <c r="L410" s="397">
        <v>98.463999999999999</v>
      </c>
      <c r="M410" s="396" t="s">
        <v>4246</v>
      </c>
      <c r="N410" s="397">
        <v>562232.35558520001</v>
      </c>
      <c r="O410" s="396" t="s">
        <v>9219</v>
      </c>
    </row>
    <row r="411" spans="1:15" x14ac:dyDescent="0.4">
      <c r="A411" s="396" t="s">
        <v>2514</v>
      </c>
      <c r="B411" s="394" t="s">
        <v>420</v>
      </c>
      <c r="C411" s="394" t="s">
        <v>2515</v>
      </c>
      <c r="D411" s="394" t="s">
        <v>1039</v>
      </c>
      <c r="E411" s="395" t="s">
        <v>486</v>
      </c>
      <c r="F411" s="396" t="s">
        <v>5269</v>
      </c>
      <c r="G411" s="396" t="s">
        <v>781</v>
      </c>
      <c r="H411" s="396" t="s">
        <v>6672</v>
      </c>
      <c r="I411" s="396" t="s">
        <v>781</v>
      </c>
      <c r="J411" s="396" t="s">
        <v>6672</v>
      </c>
      <c r="K411" s="396" t="s">
        <v>781</v>
      </c>
      <c r="L411" s="397">
        <v>97.78</v>
      </c>
      <c r="M411" s="396" t="s">
        <v>4246</v>
      </c>
      <c r="N411" s="397">
        <v>562330.13558520004</v>
      </c>
      <c r="O411" s="396" t="s">
        <v>6673</v>
      </c>
    </row>
    <row r="412" spans="1:15" x14ac:dyDescent="0.4">
      <c r="A412" s="396" t="s">
        <v>2479</v>
      </c>
      <c r="B412" s="394" t="s">
        <v>408</v>
      </c>
      <c r="C412" s="394" t="s">
        <v>2480</v>
      </c>
      <c r="D412" s="394" t="s">
        <v>1039</v>
      </c>
      <c r="E412" s="395" t="s">
        <v>4</v>
      </c>
      <c r="F412" s="396" t="s">
        <v>5269</v>
      </c>
      <c r="G412" s="396" t="s">
        <v>781</v>
      </c>
      <c r="H412" s="396" t="s">
        <v>6674</v>
      </c>
      <c r="I412" s="396" t="s">
        <v>781</v>
      </c>
      <c r="J412" s="396" t="s">
        <v>6674</v>
      </c>
      <c r="K412" s="396" t="s">
        <v>781</v>
      </c>
      <c r="L412" s="397">
        <v>97.5</v>
      </c>
      <c r="M412" s="396" t="s">
        <v>4246</v>
      </c>
      <c r="N412" s="397">
        <v>562427.63558520004</v>
      </c>
      <c r="O412" s="396" t="s">
        <v>6675</v>
      </c>
    </row>
    <row r="413" spans="1:15" x14ac:dyDescent="0.4">
      <c r="A413" s="396" t="s">
        <v>2525</v>
      </c>
      <c r="B413" s="394" t="s">
        <v>408</v>
      </c>
      <c r="C413" s="394" t="s">
        <v>2526</v>
      </c>
      <c r="D413" s="394" t="s">
        <v>1039</v>
      </c>
      <c r="E413" s="395" t="s">
        <v>4</v>
      </c>
      <c r="F413" s="396" t="s">
        <v>5269</v>
      </c>
      <c r="G413" s="396" t="s">
        <v>781</v>
      </c>
      <c r="H413" s="396" t="s">
        <v>5379</v>
      </c>
      <c r="I413" s="396" t="s">
        <v>781</v>
      </c>
      <c r="J413" s="396" t="s">
        <v>5379</v>
      </c>
      <c r="K413" s="396" t="s">
        <v>781</v>
      </c>
      <c r="L413" s="397">
        <v>97.48</v>
      </c>
      <c r="M413" s="396" t="s">
        <v>4246</v>
      </c>
      <c r="N413" s="397">
        <v>562525.11558520002</v>
      </c>
      <c r="O413" s="396" t="s">
        <v>9220</v>
      </c>
    </row>
    <row r="414" spans="1:15" ht="26.4" x14ac:dyDescent="0.4">
      <c r="A414" s="396" t="s">
        <v>4251</v>
      </c>
      <c r="B414" s="394" t="s">
        <v>395</v>
      </c>
      <c r="C414" s="394" t="s">
        <v>4252</v>
      </c>
      <c r="D414" s="394" t="s">
        <v>1039</v>
      </c>
      <c r="E414" s="395" t="s">
        <v>4</v>
      </c>
      <c r="F414" s="396" t="s">
        <v>5269</v>
      </c>
      <c r="G414" s="396" t="s">
        <v>781</v>
      </c>
      <c r="H414" s="396" t="s">
        <v>6676</v>
      </c>
      <c r="I414" s="396" t="s">
        <v>781</v>
      </c>
      <c r="J414" s="396" t="s">
        <v>6676</v>
      </c>
      <c r="K414" s="396" t="s">
        <v>781</v>
      </c>
      <c r="L414" s="397">
        <v>97.11</v>
      </c>
      <c r="M414" s="396" t="s">
        <v>4246</v>
      </c>
      <c r="N414" s="397">
        <v>562622.22558520001</v>
      </c>
      <c r="O414" s="396" t="s">
        <v>9221</v>
      </c>
    </row>
    <row r="415" spans="1:15" x14ac:dyDescent="0.4">
      <c r="A415" s="396" t="s">
        <v>1504</v>
      </c>
      <c r="B415" s="394" t="s">
        <v>408</v>
      </c>
      <c r="C415" s="394" t="s">
        <v>1505</v>
      </c>
      <c r="D415" s="394" t="s">
        <v>1039</v>
      </c>
      <c r="E415" s="395" t="s">
        <v>4</v>
      </c>
      <c r="F415" s="396" t="s">
        <v>5269</v>
      </c>
      <c r="G415" s="396" t="s">
        <v>781</v>
      </c>
      <c r="H415" s="396" t="s">
        <v>6677</v>
      </c>
      <c r="I415" s="396" t="s">
        <v>781</v>
      </c>
      <c r="J415" s="396" t="s">
        <v>6677</v>
      </c>
      <c r="K415" s="396" t="s">
        <v>781</v>
      </c>
      <c r="L415" s="397">
        <v>97.04</v>
      </c>
      <c r="M415" s="396" t="s">
        <v>4246</v>
      </c>
      <c r="N415" s="397">
        <v>562719.26558520005</v>
      </c>
      <c r="O415" s="396" t="s">
        <v>6678</v>
      </c>
    </row>
    <row r="416" spans="1:15" x14ac:dyDescent="0.4">
      <c r="A416" s="396" t="s">
        <v>2502</v>
      </c>
      <c r="B416" s="394" t="s">
        <v>408</v>
      </c>
      <c r="C416" s="394" t="s">
        <v>2503</v>
      </c>
      <c r="D416" s="394" t="s">
        <v>1039</v>
      </c>
      <c r="E416" s="395" t="s">
        <v>4</v>
      </c>
      <c r="F416" s="396" t="s">
        <v>5269</v>
      </c>
      <c r="G416" s="396" t="s">
        <v>781</v>
      </c>
      <c r="H416" s="396" t="s">
        <v>6679</v>
      </c>
      <c r="I416" s="396" t="s">
        <v>781</v>
      </c>
      <c r="J416" s="396" t="s">
        <v>6679</v>
      </c>
      <c r="K416" s="396" t="s">
        <v>781</v>
      </c>
      <c r="L416" s="397">
        <v>96.86</v>
      </c>
      <c r="M416" s="396" t="s">
        <v>4246</v>
      </c>
      <c r="N416" s="397">
        <v>562816.12558520003</v>
      </c>
      <c r="O416" s="396" t="s">
        <v>9222</v>
      </c>
    </row>
    <row r="417" spans="1:15" x14ac:dyDescent="0.4">
      <c r="A417" s="396" t="s">
        <v>3054</v>
      </c>
      <c r="B417" s="394" t="s">
        <v>408</v>
      </c>
      <c r="C417" s="394" t="s">
        <v>3055</v>
      </c>
      <c r="D417" s="394" t="s">
        <v>1039</v>
      </c>
      <c r="E417" s="395" t="s">
        <v>7</v>
      </c>
      <c r="F417" s="396" t="s">
        <v>5289</v>
      </c>
      <c r="G417" s="396" t="s">
        <v>781</v>
      </c>
      <c r="H417" s="396" t="s">
        <v>6680</v>
      </c>
      <c r="I417" s="396" t="s">
        <v>781</v>
      </c>
      <c r="J417" s="396" t="s">
        <v>6681</v>
      </c>
      <c r="K417" s="396" t="s">
        <v>781</v>
      </c>
      <c r="L417" s="397">
        <v>96.72</v>
      </c>
      <c r="M417" s="396" t="s">
        <v>4246</v>
      </c>
      <c r="N417" s="397">
        <v>562912.8455852</v>
      </c>
      <c r="O417" s="396" t="s">
        <v>9223</v>
      </c>
    </row>
    <row r="418" spans="1:15" ht="26.4" x14ac:dyDescent="0.4">
      <c r="A418" s="396" t="s">
        <v>4496</v>
      </c>
      <c r="B418" s="394" t="s">
        <v>5902</v>
      </c>
      <c r="C418" s="394" t="s">
        <v>4497</v>
      </c>
      <c r="D418" s="394" t="s">
        <v>1039</v>
      </c>
      <c r="E418" s="395" t="s">
        <v>11</v>
      </c>
      <c r="F418" s="396" t="s">
        <v>5273</v>
      </c>
      <c r="G418" s="396" t="s">
        <v>781</v>
      </c>
      <c r="H418" s="396" t="s">
        <v>6682</v>
      </c>
      <c r="I418" s="396" t="s">
        <v>781</v>
      </c>
      <c r="J418" s="396" t="s">
        <v>6683</v>
      </c>
      <c r="K418" s="396" t="s">
        <v>781</v>
      </c>
      <c r="L418" s="397">
        <v>96.12</v>
      </c>
      <c r="M418" s="396" t="s">
        <v>4246</v>
      </c>
      <c r="N418" s="397">
        <v>563008.9655852</v>
      </c>
      <c r="O418" s="396" t="s">
        <v>9224</v>
      </c>
    </row>
    <row r="419" spans="1:15" ht="26.4" x14ac:dyDescent="0.4">
      <c r="A419" s="396" t="s">
        <v>4220</v>
      </c>
      <c r="B419" s="394" t="s">
        <v>395</v>
      </c>
      <c r="C419" s="394" t="s">
        <v>4221</v>
      </c>
      <c r="D419" s="394" t="s">
        <v>1039</v>
      </c>
      <c r="E419" s="395" t="s">
        <v>7</v>
      </c>
      <c r="F419" s="396" t="s">
        <v>6582</v>
      </c>
      <c r="G419" s="396" t="s">
        <v>781</v>
      </c>
      <c r="H419" s="396" t="s">
        <v>6684</v>
      </c>
      <c r="I419" s="396" t="s">
        <v>781</v>
      </c>
      <c r="J419" s="396" t="s">
        <v>6685</v>
      </c>
      <c r="K419" s="396" t="s">
        <v>781</v>
      </c>
      <c r="L419" s="397">
        <v>95.146291500000004</v>
      </c>
      <c r="M419" s="396" t="s">
        <v>4246</v>
      </c>
      <c r="N419" s="397">
        <v>563104.11187669996</v>
      </c>
      <c r="O419" s="396" t="s">
        <v>5871</v>
      </c>
    </row>
    <row r="420" spans="1:15" x14ac:dyDescent="0.4">
      <c r="A420" s="396" t="s">
        <v>4295</v>
      </c>
      <c r="B420" s="394" t="s">
        <v>395</v>
      </c>
      <c r="C420" s="394" t="s">
        <v>4296</v>
      </c>
      <c r="D420" s="394" t="s">
        <v>1053</v>
      </c>
      <c r="E420" s="395" t="s">
        <v>6</v>
      </c>
      <c r="F420" s="396" t="s">
        <v>6686</v>
      </c>
      <c r="G420" s="396" t="s">
        <v>781</v>
      </c>
      <c r="H420" s="396" t="s">
        <v>6687</v>
      </c>
      <c r="I420" s="396" t="s">
        <v>781</v>
      </c>
      <c r="J420" s="396" t="s">
        <v>6688</v>
      </c>
      <c r="K420" s="396" t="s">
        <v>781</v>
      </c>
      <c r="L420" s="397">
        <v>94.668164383999994</v>
      </c>
      <c r="M420" s="396" t="s">
        <v>4246</v>
      </c>
      <c r="N420" s="397">
        <v>563198.78004109999</v>
      </c>
      <c r="O420" s="396" t="s">
        <v>9225</v>
      </c>
    </row>
    <row r="421" spans="1:15" ht="26.4" x14ac:dyDescent="0.4">
      <c r="A421" s="396" t="s">
        <v>4291</v>
      </c>
      <c r="B421" s="394" t="s">
        <v>395</v>
      </c>
      <c r="C421" s="394" t="s">
        <v>4292</v>
      </c>
      <c r="D421" s="394" t="s">
        <v>1039</v>
      </c>
      <c r="E421" s="395" t="s">
        <v>7</v>
      </c>
      <c r="F421" s="396" t="s">
        <v>5352</v>
      </c>
      <c r="G421" s="396" t="s">
        <v>781</v>
      </c>
      <c r="H421" s="396" t="s">
        <v>6689</v>
      </c>
      <c r="I421" s="396" t="s">
        <v>781</v>
      </c>
      <c r="J421" s="396" t="s">
        <v>6690</v>
      </c>
      <c r="K421" s="396" t="s">
        <v>781</v>
      </c>
      <c r="L421" s="397">
        <v>94.29</v>
      </c>
      <c r="M421" s="396" t="s">
        <v>4246</v>
      </c>
      <c r="N421" s="397">
        <v>563293.07004110003</v>
      </c>
      <c r="O421" s="396" t="s">
        <v>5397</v>
      </c>
    </row>
    <row r="422" spans="1:15" ht="26.4" x14ac:dyDescent="0.4">
      <c r="A422" s="396" t="s">
        <v>4293</v>
      </c>
      <c r="B422" s="394" t="s">
        <v>395</v>
      </c>
      <c r="C422" s="394" t="s">
        <v>4294</v>
      </c>
      <c r="D422" s="394" t="s">
        <v>1039</v>
      </c>
      <c r="E422" s="395" t="s">
        <v>4</v>
      </c>
      <c r="F422" s="396" t="s">
        <v>5269</v>
      </c>
      <c r="G422" s="396" t="s">
        <v>781</v>
      </c>
      <c r="H422" s="396" t="s">
        <v>6691</v>
      </c>
      <c r="I422" s="396" t="s">
        <v>781</v>
      </c>
      <c r="J422" s="396" t="s">
        <v>6691</v>
      </c>
      <c r="K422" s="396" t="s">
        <v>781</v>
      </c>
      <c r="L422" s="397">
        <v>94.26</v>
      </c>
      <c r="M422" s="396" t="s">
        <v>4246</v>
      </c>
      <c r="N422" s="397">
        <v>563387.33004110004</v>
      </c>
      <c r="O422" s="396" t="s">
        <v>5872</v>
      </c>
    </row>
    <row r="423" spans="1:15" x14ac:dyDescent="0.4">
      <c r="A423" s="396" t="s">
        <v>6692</v>
      </c>
      <c r="B423" s="394" t="s">
        <v>408</v>
      </c>
      <c r="C423" s="394" t="s">
        <v>6693</v>
      </c>
      <c r="D423" s="394" t="s">
        <v>1039</v>
      </c>
      <c r="E423" s="395" t="s">
        <v>3</v>
      </c>
      <c r="F423" s="396" t="s">
        <v>6694</v>
      </c>
      <c r="G423" s="396" t="s">
        <v>781</v>
      </c>
      <c r="H423" s="396" t="s">
        <v>6695</v>
      </c>
      <c r="I423" s="396" t="s">
        <v>781</v>
      </c>
      <c r="J423" s="396" t="s">
        <v>6696</v>
      </c>
      <c r="K423" s="396" t="s">
        <v>781</v>
      </c>
      <c r="L423" s="397">
        <v>94.105800000000002</v>
      </c>
      <c r="M423" s="396" t="s">
        <v>4246</v>
      </c>
      <c r="N423" s="397">
        <v>563481.43584110006</v>
      </c>
      <c r="O423" s="396" t="s">
        <v>9226</v>
      </c>
    </row>
    <row r="424" spans="1:15" x14ac:dyDescent="0.4">
      <c r="A424" s="396" t="s">
        <v>1369</v>
      </c>
      <c r="B424" s="394" t="s">
        <v>408</v>
      </c>
      <c r="C424" s="394" t="s">
        <v>1370</v>
      </c>
      <c r="D424" s="394" t="s">
        <v>1039</v>
      </c>
      <c r="E424" s="395" t="s">
        <v>3</v>
      </c>
      <c r="F424" s="396" t="s">
        <v>9227</v>
      </c>
      <c r="G424" s="396" t="s">
        <v>781</v>
      </c>
      <c r="H424" s="396" t="s">
        <v>5748</v>
      </c>
      <c r="I424" s="396" t="s">
        <v>781</v>
      </c>
      <c r="J424" s="396" t="s">
        <v>9228</v>
      </c>
      <c r="K424" s="396" t="s">
        <v>781</v>
      </c>
      <c r="L424" s="397">
        <v>93.873360000000005</v>
      </c>
      <c r="M424" s="396" t="s">
        <v>4246</v>
      </c>
      <c r="N424" s="397">
        <v>563575.30920110003</v>
      </c>
      <c r="O424" s="396" t="s">
        <v>5399</v>
      </c>
    </row>
    <row r="425" spans="1:15" ht="26.4" x14ac:dyDescent="0.4">
      <c r="A425" s="396" t="s">
        <v>4256</v>
      </c>
      <c r="B425" s="394" t="s">
        <v>395</v>
      </c>
      <c r="C425" s="394" t="s">
        <v>4257</v>
      </c>
      <c r="D425" s="394" t="s">
        <v>1039</v>
      </c>
      <c r="E425" s="395" t="s">
        <v>4</v>
      </c>
      <c r="F425" s="396" t="s">
        <v>5269</v>
      </c>
      <c r="G425" s="396" t="s">
        <v>781</v>
      </c>
      <c r="H425" s="396" t="s">
        <v>5381</v>
      </c>
      <c r="I425" s="396" t="s">
        <v>781</v>
      </c>
      <c r="J425" s="396" t="s">
        <v>5381</v>
      </c>
      <c r="K425" s="396" t="s">
        <v>781</v>
      </c>
      <c r="L425" s="397">
        <v>93.11</v>
      </c>
      <c r="M425" s="396" t="s">
        <v>4246</v>
      </c>
      <c r="N425" s="397">
        <v>563668.41920110001</v>
      </c>
      <c r="O425" s="396" t="s">
        <v>5873</v>
      </c>
    </row>
    <row r="426" spans="1:15" x14ac:dyDescent="0.4">
      <c r="A426" s="396" t="s">
        <v>1392</v>
      </c>
      <c r="B426" s="394" t="s">
        <v>420</v>
      </c>
      <c r="C426" s="394" t="s">
        <v>1393</v>
      </c>
      <c r="D426" s="394" t="s">
        <v>1039</v>
      </c>
      <c r="E426" s="395" t="s">
        <v>422</v>
      </c>
      <c r="F426" s="396" t="s">
        <v>5290</v>
      </c>
      <c r="G426" s="396" t="s">
        <v>781</v>
      </c>
      <c r="H426" s="396" t="s">
        <v>5383</v>
      </c>
      <c r="I426" s="396" t="s">
        <v>781</v>
      </c>
      <c r="J426" s="396" t="s">
        <v>5382</v>
      </c>
      <c r="K426" s="396" t="s">
        <v>781</v>
      </c>
      <c r="L426" s="397">
        <v>93</v>
      </c>
      <c r="M426" s="396" t="s">
        <v>4246</v>
      </c>
      <c r="N426" s="397">
        <v>563761.41920110001</v>
      </c>
      <c r="O426" s="396" t="s">
        <v>9229</v>
      </c>
    </row>
    <row r="427" spans="1:15" x14ac:dyDescent="0.4">
      <c r="A427" s="396" t="s">
        <v>4280</v>
      </c>
      <c r="B427" s="394" t="s">
        <v>420</v>
      </c>
      <c r="C427" s="394" t="s">
        <v>4281</v>
      </c>
      <c r="D427" s="394" t="s">
        <v>1039</v>
      </c>
      <c r="E427" s="395" t="s">
        <v>422</v>
      </c>
      <c r="F427" s="396" t="s">
        <v>5393</v>
      </c>
      <c r="G427" s="396" t="s">
        <v>781</v>
      </c>
      <c r="H427" s="396" t="s">
        <v>6697</v>
      </c>
      <c r="I427" s="396" t="s">
        <v>781</v>
      </c>
      <c r="J427" s="396" t="s">
        <v>6698</v>
      </c>
      <c r="K427" s="396" t="s">
        <v>781</v>
      </c>
      <c r="L427" s="397">
        <v>92.863078650000006</v>
      </c>
      <c r="M427" s="396" t="s">
        <v>4246</v>
      </c>
      <c r="N427" s="397">
        <v>563854.28227980004</v>
      </c>
      <c r="O427" s="396" t="s">
        <v>5874</v>
      </c>
    </row>
    <row r="428" spans="1:15" ht="26.4" x14ac:dyDescent="0.4">
      <c r="A428" s="396" t="s">
        <v>3248</v>
      </c>
      <c r="B428" s="394" t="s">
        <v>2616</v>
      </c>
      <c r="C428" s="394" t="s">
        <v>3249</v>
      </c>
      <c r="D428" s="394" t="s">
        <v>1053</v>
      </c>
      <c r="E428" s="395" t="s">
        <v>6</v>
      </c>
      <c r="F428" s="396" t="s">
        <v>5284</v>
      </c>
      <c r="G428" s="396" t="s">
        <v>781</v>
      </c>
      <c r="H428" s="396" t="s">
        <v>6699</v>
      </c>
      <c r="I428" s="396" t="s">
        <v>781</v>
      </c>
      <c r="J428" s="396" t="s">
        <v>6700</v>
      </c>
      <c r="K428" s="396" t="s">
        <v>781</v>
      </c>
      <c r="L428" s="397">
        <v>92.37</v>
      </c>
      <c r="M428" s="396" t="s">
        <v>4246</v>
      </c>
      <c r="N428" s="397">
        <v>563946.65227980004</v>
      </c>
      <c r="O428" s="396" t="s">
        <v>5875</v>
      </c>
    </row>
    <row r="429" spans="1:15" x14ac:dyDescent="0.4">
      <c r="A429" s="396" t="s">
        <v>6701</v>
      </c>
      <c r="B429" s="394" t="s">
        <v>439</v>
      </c>
      <c r="C429" s="394" t="s">
        <v>1139</v>
      </c>
      <c r="D429" s="394" t="s">
        <v>1053</v>
      </c>
      <c r="E429" s="395" t="s">
        <v>6</v>
      </c>
      <c r="F429" s="396" t="s">
        <v>6702</v>
      </c>
      <c r="G429" s="396" t="s">
        <v>781</v>
      </c>
      <c r="H429" s="396" t="s">
        <v>5506</v>
      </c>
      <c r="I429" s="396" t="s">
        <v>781</v>
      </c>
      <c r="J429" s="396" t="s">
        <v>6703</v>
      </c>
      <c r="K429" s="396" t="s">
        <v>781</v>
      </c>
      <c r="L429" s="397">
        <v>91.890349999999998</v>
      </c>
      <c r="M429" s="396" t="s">
        <v>4246</v>
      </c>
      <c r="N429" s="397">
        <v>564038.54262980004</v>
      </c>
      <c r="O429" s="396" t="s">
        <v>5403</v>
      </c>
    </row>
    <row r="430" spans="1:15" ht="39.6" x14ac:dyDescent="0.4">
      <c r="A430" s="396" t="s">
        <v>4347</v>
      </c>
      <c r="B430" s="394" t="s">
        <v>395</v>
      </c>
      <c r="C430" s="394" t="s">
        <v>4348</v>
      </c>
      <c r="D430" s="394" t="s">
        <v>1039</v>
      </c>
      <c r="E430" s="395" t="s">
        <v>675</v>
      </c>
      <c r="F430" s="396" t="s">
        <v>6704</v>
      </c>
      <c r="G430" s="396" t="s">
        <v>781</v>
      </c>
      <c r="H430" s="396" t="s">
        <v>6705</v>
      </c>
      <c r="I430" s="396" t="s">
        <v>781</v>
      </c>
      <c r="J430" s="396" t="s">
        <v>6706</v>
      </c>
      <c r="K430" s="396" t="s">
        <v>781</v>
      </c>
      <c r="L430" s="397">
        <v>91.041700000000006</v>
      </c>
      <c r="M430" s="396" t="s">
        <v>4246</v>
      </c>
      <c r="N430" s="397">
        <v>564129.58432979998</v>
      </c>
      <c r="O430" s="396" t="s">
        <v>5876</v>
      </c>
    </row>
    <row r="431" spans="1:15" x14ac:dyDescent="0.4">
      <c r="A431" s="396" t="s">
        <v>2404</v>
      </c>
      <c r="B431" s="394" t="s">
        <v>575</v>
      </c>
      <c r="C431" s="394" t="s">
        <v>2405</v>
      </c>
      <c r="D431" s="394" t="s">
        <v>1039</v>
      </c>
      <c r="E431" s="395" t="s">
        <v>7</v>
      </c>
      <c r="F431" s="396" t="s">
        <v>5269</v>
      </c>
      <c r="G431" s="396" t="s">
        <v>781</v>
      </c>
      <c r="H431" s="396" t="s">
        <v>6607</v>
      </c>
      <c r="I431" s="396" t="s">
        <v>781</v>
      </c>
      <c r="J431" s="396" t="s">
        <v>6607</v>
      </c>
      <c r="K431" s="396" t="s">
        <v>781</v>
      </c>
      <c r="L431" s="397">
        <v>89.7</v>
      </c>
      <c r="M431" s="396" t="s">
        <v>4246</v>
      </c>
      <c r="N431" s="397">
        <v>564219.28432980005</v>
      </c>
      <c r="O431" s="396" t="s">
        <v>9230</v>
      </c>
    </row>
    <row r="432" spans="1:15" ht="26.4" x14ac:dyDescent="0.4">
      <c r="A432" s="396" t="s">
        <v>1629</v>
      </c>
      <c r="B432" s="394" t="s">
        <v>5902</v>
      </c>
      <c r="C432" s="394" t="s">
        <v>1630</v>
      </c>
      <c r="D432" s="394" t="s">
        <v>1039</v>
      </c>
      <c r="E432" s="395" t="s">
        <v>8</v>
      </c>
      <c r="F432" s="396" t="s">
        <v>9231</v>
      </c>
      <c r="G432" s="396" t="s">
        <v>781</v>
      </c>
      <c r="H432" s="396" t="s">
        <v>7425</v>
      </c>
      <c r="I432" s="396" t="s">
        <v>781</v>
      </c>
      <c r="J432" s="396" t="s">
        <v>9232</v>
      </c>
      <c r="K432" s="396" t="s">
        <v>781</v>
      </c>
      <c r="L432" s="397">
        <v>88.309799999999996</v>
      </c>
      <c r="M432" s="396" t="s">
        <v>4246</v>
      </c>
      <c r="N432" s="397">
        <v>564307.59412979998</v>
      </c>
      <c r="O432" s="396" t="s">
        <v>5877</v>
      </c>
    </row>
    <row r="433" spans="1:15" x14ac:dyDescent="0.4">
      <c r="A433" s="396" t="s">
        <v>2422</v>
      </c>
      <c r="B433" s="394" t="s">
        <v>408</v>
      </c>
      <c r="C433" s="394" t="s">
        <v>2423</v>
      </c>
      <c r="D433" s="394" t="s">
        <v>1039</v>
      </c>
      <c r="E433" s="395" t="s">
        <v>7</v>
      </c>
      <c r="F433" s="396" t="s">
        <v>5284</v>
      </c>
      <c r="G433" s="396" t="s">
        <v>781</v>
      </c>
      <c r="H433" s="396" t="s">
        <v>6708</v>
      </c>
      <c r="I433" s="396" t="s">
        <v>781</v>
      </c>
      <c r="J433" s="396" t="s">
        <v>6709</v>
      </c>
      <c r="K433" s="396" t="s">
        <v>781</v>
      </c>
      <c r="L433" s="397">
        <v>88.08</v>
      </c>
      <c r="M433" s="396" t="s">
        <v>4246</v>
      </c>
      <c r="N433" s="397">
        <v>564395.67412980006</v>
      </c>
      <c r="O433" s="396" t="s">
        <v>9233</v>
      </c>
    </row>
    <row r="434" spans="1:15" ht="26.4" x14ac:dyDescent="0.4">
      <c r="A434" s="396" t="s">
        <v>2564</v>
      </c>
      <c r="B434" s="394" t="s">
        <v>5902</v>
      </c>
      <c r="C434" s="394" t="s">
        <v>2565</v>
      </c>
      <c r="D434" s="394" t="s">
        <v>1039</v>
      </c>
      <c r="E434" s="395" t="s">
        <v>675</v>
      </c>
      <c r="F434" s="396" t="s">
        <v>5269</v>
      </c>
      <c r="G434" s="396" t="s">
        <v>781</v>
      </c>
      <c r="H434" s="396" t="s">
        <v>6711</v>
      </c>
      <c r="I434" s="396" t="s">
        <v>781</v>
      </c>
      <c r="J434" s="396" t="s">
        <v>6711</v>
      </c>
      <c r="K434" s="396" t="s">
        <v>781</v>
      </c>
      <c r="L434" s="397">
        <v>87.92</v>
      </c>
      <c r="M434" s="396" t="s">
        <v>4246</v>
      </c>
      <c r="N434" s="397">
        <v>564483.59412979998</v>
      </c>
      <c r="O434" s="396" t="s">
        <v>5406</v>
      </c>
    </row>
    <row r="435" spans="1:15" ht="26.4" x14ac:dyDescent="0.4">
      <c r="A435" s="396" t="s">
        <v>9234</v>
      </c>
      <c r="B435" s="394" t="s">
        <v>5902</v>
      </c>
      <c r="C435" s="394" t="s">
        <v>9235</v>
      </c>
      <c r="D435" s="394" t="s">
        <v>1039</v>
      </c>
      <c r="E435" s="395" t="s">
        <v>3</v>
      </c>
      <c r="F435" s="396" t="s">
        <v>9236</v>
      </c>
      <c r="G435" s="396" t="s">
        <v>781</v>
      </c>
      <c r="H435" s="396" t="s">
        <v>9237</v>
      </c>
      <c r="I435" s="396" t="s">
        <v>781</v>
      </c>
      <c r="J435" s="396" t="s">
        <v>9238</v>
      </c>
      <c r="K435" s="396" t="s">
        <v>781</v>
      </c>
      <c r="L435" s="397">
        <v>87.493705000000006</v>
      </c>
      <c r="M435" s="396" t="s">
        <v>4246</v>
      </c>
      <c r="N435" s="397">
        <v>564571.08783480001</v>
      </c>
      <c r="O435" s="396" t="s">
        <v>9239</v>
      </c>
    </row>
    <row r="436" spans="1:15" ht="26.4" x14ac:dyDescent="0.4">
      <c r="A436" s="396" t="s">
        <v>2410</v>
      </c>
      <c r="B436" s="394" t="s">
        <v>5902</v>
      </c>
      <c r="C436" s="394" t="s">
        <v>2411</v>
      </c>
      <c r="D436" s="394" t="s">
        <v>1039</v>
      </c>
      <c r="E436" s="395" t="s">
        <v>7</v>
      </c>
      <c r="F436" s="396" t="s">
        <v>5427</v>
      </c>
      <c r="G436" s="396" t="s">
        <v>781</v>
      </c>
      <c r="H436" s="396" t="s">
        <v>6713</v>
      </c>
      <c r="I436" s="396" t="s">
        <v>781</v>
      </c>
      <c r="J436" s="396" t="s">
        <v>5389</v>
      </c>
      <c r="K436" s="396" t="s">
        <v>781</v>
      </c>
      <c r="L436" s="397">
        <v>87.296999999999997</v>
      </c>
      <c r="M436" s="396" t="s">
        <v>4246</v>
      </c>
      <c r="N436" s="397">
        <v>564658.38483480003</v>
      </c>
      <c r="O436" s="396" t="s">
        <v>9240</v>
      </c>
    </row>
    <row r="437" spans="1:15" x14ac:dyDescent="0.4">
      <c r="A437" s="396" t="s">
        <v>4258</v>
      </c>
      <c r="B437" s="394" t="s">
        <v>395</v>
      </c>
      <c r="C437" s="394" t="s">
        <v>4259</v>
      </c>
      <c r="D437" s="394" t="s">
        <v>1039</v>
      </c>
      <c r="E437" s="395" t="s">
        <v>4</v>
      </c>
      <c r="F437" s="396" t="s">
        <v>5273</v>
      </c>
      <c r="G437" s="396" t="s">
        <v>781</v>
      </c>
      <c r="H437" s="396" t="s">
        <v>5448</v>
      </c>
      <c r="I437" s="396" t="s">
        <v>781</v>
      </c>
      <c r="J437" s="396" t="s">
        <v>6714</v>
      </c>
      <c r="K437" s="396" t="s">
        <v>781</v>
      </c>
      <c r="L437" s="397">
        <v>87.16</v>
      </c>
      <c r="M437" s="396" t="s">
        <v>4314</v>
      </c>
      <c r="N437" s="397">
        <v>564745.54483479995</v>
      </c>
      <c r="O437" s="396" t="s">
        <v>6712</v>
      </c>
    </row>
    <row r="438" spans="1:15" ht="26.4" x14ac:dyDescent="0.4">
      <c r="A438" s="396" t="s">
        <v>2412</v>
      </c>
      <c r="B438" s="394" t="s">
        <v>5902</v>
      </c>
      <c r="C438" s="394" t="s">
        <v>2413</v>
      </c>
      <c r="D438" s="394" t="s">
        <v>1039</v>
      </c>
      <c r="E438" s="395" t="s">
        <v>7</v>
      </c>
      <c r="F438" s="396" t="s">
        <v>5323</v>
      </c>
      <c r="G438" s="396" t="s">
        <v>781</v>
      </c>
      <c r="H438" s="396" t="s">
        <v>6716</v>
      </c>
      <c r="I438" s="396" t="s">
        <v>781</v>
      </c>
      <c r="J438" s="396" t="s">
        <v>6717</v>
      </c>
      <c r="K438" s="396" t="s">
        <v>781</v>
      </c>
      <c r="L438" s="397">
        <v>87.013499999999993</v>
      </c>
      <c r="M438" s="396" t="s">
        <v>4314</v>
      </c>
      <c r="N438" s="397">
        <v>564832.55833479995</v>
      </c>
      <c r="O438" s="396" t="s">
        <v>9241</v>
      </c>
    </row>
    <row r="439" spans="1:15" x14ac:dyDescent="0.4">
      <c r="A439" s="396" t="s">
        <v>4394</v>
      </c>
      <c r="B439" s="394" t="s">
        <v>395</v>
      </c>
      <c r="C439" s="394" t="s">
        <v>4395</v>
      </c>
      <c r="D439" s="394" t="s">
        <v>1053</v>
      </c>
      <c r="E439" s="395" t="s">
        <v>6</v>
      </c>
      <c r="F439" s="396" t="s">
        <v>6718</v>
      </c>
      <c r="G439" s="396" t="s">
        <v>781</v>
      </c>
      <c r="H439" s="396" t="s">
        <v>6719</v>
      </c>
      <c r="I439" s="396" t="s">
        <v>781</v>
      </c>
      <c r="J439" s="396" t="s">
        <v>6720</v>
      </c>
      <c r="K439" s="396" t="s">
        <v>781</v>
      </c>
      <c r="L439" s="397">
        <v>86.885944703999996</v>
      </c>
      <c r="M439" s="396" t="s">
        <v>4314</v>
      </c>
      <c r="N439" s="397">
        <v>564919.44427950005</v>
      </c>
      <c r="O439" s="396" t="s">
        <v>6715</v>
      </c>
    </row>
    <row r="440" spans="1:15" x14ac:dyDescent="0.4">
      <c r="A440" s="396" t="s">
        <v>1394</v>
      </c>
      <c r="B440" s="394" t="s">
        <v>420</v>
      </c>
      <c r="C440" s="394" t="s">
        <v>1395</v>
      </c>
      <c r="D440" s="394" t="s">
        <v>1039</v>
      </c>
      <c r="E440" s="395" t="s">
        <v>422</v>
      </c>
      <c r="F440" s="396" t="s">
        <v>5290</v>
      </c>
      <c r="G440" s="396" t="s">
        <v>781</v>
      </c>
      <c r="H440" s="396" t="s">
        <v>9242</v>
      </c>
      <c r="I440" s="396" t="s">
        <v>781</v>
      </c>
      <c r="J440" s="396" t="s">
        <v>9243</v>
      </c>
      <c r="K440" s="396" t="s">
        <v>781</v>
      </c>
      <c r="L440" s="397">
        <v>85.55</v>
      </c>
      <c r="M440" s="396" t="s">
        <v>4314</v>
      </c>
      <c r="N440" s="397">
        <v>565004.99427949998</v>
      </c>
      <c r="O440" s="396" t="s">
        <v>9244</v>
      </c>
    </row>
    <row r="441" spans="1:15" x14ac:dyDescent="0.4">
      <c r="A441" s="396" t="s">
        <v>4316</v>
      </c>
      <c r="B441" s="394" t="s">
        <v>395</v>
      </c>
      <c r="C441" s="394" t="s">
        <v>4317</v>
      </c>
      <c r="D441" s="394" t="s">
        <v>1039</v>
      </c>
      <c r="E441" s="395" t="s">
        <v>4</v>
      </c>
      <c r="F441" s="396" t="s">
        <v>5269</v>
      </c>
      <c r="G441" s="396" t="s">
        <v>781</v>
      </c>
      <c r="H441" s="396" t="s">
        <v>6724</v>
      </c>
      <c r="I441" s="396" t="s">
        <v>781</v>
      </c>
      <c r="J441" s="396" t="s">
        <v>6724</v>
      </c>
      <c r="K441" s="396" t="s">
        <v>781</v>
      </c>
      <c r="L441" s="397">
        <v>85.24</v>
      </c>
      <c r="M441" s="396" t="s">
        <v>4314</v>
      </c>
      <c r="N441" s="397">
        <v>565090.23427949997</v>
      </c>
      <c r="O441" s="396" t="s">
        <v>6721</v>
      </c>
    </row>
    <row r="442" spans="1:15" ht="39.6" x14ac:dyDescent="0.4">
      <c r="A442" s="396" t="s">
        <v>4310</v>
      </c>
      <c r="B442" s="394" t="s">
        <v>395</v>
      </c>
      <c r="C442" s="394" t="s">
        <v>4311</v>
      </c>
      <c r="D442" s="394" t="s">
        <v>1039</v>
      </c>
      <c r="E442" s="395" t="s">
        <v>4</v>
      </c>
      <c r="F442" s="396" t="s">
        <v>5410</v>
      </c>
      <c r="G442" s="396" t="s">
        <v>781</v>
      </c>
      <c r="H442" s="396" t="s">
        <v>6725</v>
      </c>
      <c r="I442" s="396" t="s">
        <v>781</v>
      </c>
      <c r="J442" s="396" t="s">
        <v>6726</v>
      </c>
      <c r="K442" s="396" t="s">
        <v>781</v>
      </c>
      <c r="L442" s="397">
        <v>84.955588000000006</v>
      </c>
      <c r="M442" s="396" t="s">
        <v>4314</v>
      </c>
      <c r="N442" s="397">
        <v>565175.18986749998</v>
      </c>
      <c r="O442" s="396" t="s">
        <v>9245</v>
      </c>
    </row>
    <row r="443" spans="1:15" x14ac:dyDescent="0.4">
      <c r="A443" s="396" t="s">
        <v>4266</v>
      </c>
      <c r="B443" s="394" t="s">
        <v>395</v>
      </c>
      <c r="C443" s="394" t="s">
        <v>4267</v>
      </c>
      <c r="D443" s="394" t="s">
        <v>1039</v>
      </c>
      <c r="E443" s="395" t="s">
        <v>4</v>
      </c>
      <c r="F443" s="396" t="s">
        <v>5291</v>
      </c>
      <c r="G443" s="396" t="s">
        <v>781</v>
      </c>
      <c r="H443" s="396" t="s">
        <v>5499</v>
      </c>
      <c r="I443" s="396" t="s">
        <v>781</v>
      </c>
      <c r="J443" s="396" t="s">
        <v>6728</v>
      </c>
      <c r="K443" s="396" t="s">
        <v>781</v>
      </c>
      <c r="L443" s="397">
        <v>84.92</v>
      </c>
      <c r="M443" s="396" t="s">
        <v>4314</v>
      </c>
      <c r="N443" s="397">
        <v>565260.10986750002</v>
      </c>
      <c r="O443" s="396" t="s">
        <v>6723</v>
      </c>
    </row>
    <row r="444" spans="1:15" ht="26.4" x14ac:dyDescent="0.4">
      <c r="A444" s="396" t="s">
        <v>3130</v>
      </c>
      <c r="B444" s="394" t="s">
        <v>395</v>
      </c>
      <c r="C444" s="394" t="s">
        <v>3131</v>
      </c>
      <c r="D444" s="394" t="s">
        <v>1039</v>
      </c>
      <c r="E444" s="395" t="s">
        <v>4</v>
      </c>
      <c r="F444" s="396" t="s">
        <v>5284</v>
      </c>
      <c r="G444" s="396" t="s">
        <v>781</v>
      </c>
      <c r="H444" s="396" t="s">
        <v>6729</v>
      </c>
      <c r="I444" s="396" t="s">
        <v>781</v>
      </c>
      <c r="J444" s="396" t="s">
        <v>6730</v>
      </c>
      <c r="K444" s="396" t="s">
        <v>781</v>
      </c>
      <c r="L444" s="397">
        <v>84.72</v>
      </c>
      <c r="M444" s="396" t="s">
        <v>4314</v>
      </c>
      <c r="N444" s="397">
        <v>565344.8298675</v>
      </c>
      <c r="O444" s="396" t="s">
        <v>9246</v>
      </c>
    </row>
    <row r="445" spans="1:15" ht="26.4" x14ac:dyDescent="0.4">
      <c r="A445" s="396" t="s">
        <v>1618</v>
      </c>
      <c r="B445" s="394" t="s">
        <v>5902</v>
      </c>
      <c r="C445" s="394" t="s">
        <v>1619</v>
      </c>
      <c r="D445" s="394" t="s">
        <v>1053</v>
      </c>
      <c r="E445" s="395" t="s">
        <v>6</v>
      </c>
      <c r="F445" s="396" t="s">
        <v>6732</v>
      </c>
      <c r="G445" s="396" t="s">
        <v>781</v>
      </c>
      <c r="H445" s="396" t="s">
        <v>6194</v>
      </c>
      <c r="I445" s="396" t="s">
        <v>781</v>
      </c>
      <c r="J445" s="396" t="s">
        <v>6733</v>
      </c>
      <c r="K445" s="396" t="s">
        <v>781</v>
      </c>
      <c r="L445" s="397">
        <v>84.481200000000001</v>
      </c>
      <c r="M445" s="396" t="s">
        <v>4314</v>
      </c>
      <c r="N445" s="397">
        <v>565429.31106750004</v>
      </c>
      <c r="O445" s="396" t="s">
        <v>6727</v>
      </c>
    </row>
    <row r="446" spans="1:15" x14ac:dyDescent="0.4">
      <c r="A446" s="396" t="s">
        <v>6735</v>
      </c>
      <c r="B446" s="394" t="s">
        <v>439</v>
      </c>
      <c r="C446" s="394" t="s">
        <v>4324</v>
      </c>
      <c r="D446" s="394" t="s">
        <v>1053</v>
      </c>
      <c r="E446" s="395" t="s">
        <v>6</v>
      </c>
      <c r="F446" s="396" t="s">
        <v>5412</v>
      </c>
      <c r="G446" s="396" t="s">
        <v>781</v>
      </c>
      <c r="H446" s="396" t="s">
        <v>6627</v>
      </c>
      <c r="I446" s="396" t="s">
        <v>781</v>
      </c>
      <c r="J446" s="396" t="s">
        <v>6736</v>
      </c>
      <c r="K446" s="396" t="s">
        <v>781</v>
      </c>
      <c r="L446" s="397">
        <v>83.829495690000002</v>
      </c>
      <c r="M446" s="396" t="s">
        <v>4314</v>
      </c>
      <c r="N446" s="397">
        <v>565513.1405632</v>
      </c>
      <c r="O446" s="396" t="s">
        <v>9247</v>
      </c>
    </row>
    <row r="447" spans="1:15" ht="26.4" x14ac:dyDescent="0.4">
      <c r="A447" s="396" t="s">
        <v>6737</v>
      </c>
      <c r="B447" s="394" t="s">
        <v>395</v>
      </c>
      <c r="C447" s="394" t="s">
        <v>6738</v>
      </c>
      <c r="D447" s="394" t="s">
        <v>1039</v>
      </c>
      <c r="E447" s="395" t="s">
        <v>675</v>
      </c>
      <c r="F447" s="396" t="s">
        <v>6739</v>
      </c>
      <c r="G447" s="396" t="s">
        <v>781</v>
      </c>
      <c r="H447" s="396" t="s">
        <v>6740</v>
      </c>
      <c r="I447" s="396" t="s">
        <v>781</v>
      </c>
      <c r="J447" s="396" t="s">
        <v>6741</v>
      </c>
      <c r="K447" s="396" t="s">
        <v>781</v>
      </c>
      <c r="L447" s="397">
        <v>83.641936000000001</v>
      </c>
      <c r="M447" s="396" t="s">
        <v>4314</v>
      </c>
      <c r="N447" s="397">
        <v>565596.78249919997</v>
      </c>
      <c r="O447" s="396" t="s">
        <v>6731</v>
      </c>
    </row>
    <row r="448" spans="1:15" ht="26.4" x14ac:dyDescent="0.4">
      <c r="A448" s="396" t="s">
        <v>4264</v>
      </c>
      <c r="B448" s="394" t="s">
        <v>395</v>
      </c>
      <c r="C448" s="394" t="s">
        <v>4265</v>
      </c>
      <c r="D448" s="394" t="s">
        <v>1039</v>
      </c>
      <c r="E448" s="395" t="s">
        <v>4</v>
      </c>
      <c r="F448" s="396" t="s">
        <v>5273</v>
      </c>
      <c r="G448" s="396" t="s">
        <v>781</v>
      </c>
      <c r="H448" s="396" t="s">
        <v>6743</v>
      </c>
      <c r="I448" s="396" t="s">
        <v>781</v>
      </c>
      <c r="J448" s="396" t="s">
        <v>6744</v>
      </c>
      <c r="K448" s="396" t="s">
        <v>781</v>
      </c>
      <c r="L448" s="397">
        <v>83.6</v>
      </c>
      <c r="M448" s="396" t="s">
        <v>4314</v>
      </c>
      <c r="N448" s="397">
        <v>565680.38249919994</v>
      </c>
      <c r="O448" s="396" t="s">
        <v>4309</v>
      </c>
    </row>
    <row r="449" spans="1:15" ht="26.4" x14ac:dyDescent="0.4">
      <c r="A449" s="396" t="s">
        <v>3019</v>
      </c>
      <c r="B449" s="394" t="s">
        <v>395</v>
      </c>
      <c r="C449" s="394" t="s">
        <v>3020</v>
      </c>
      <c r="D449" s="394" t="s">
        <v>1039</v>
      </c>
      <c r="E449" s="395" t="s">
        <v>7</v>
      </c>
      <c r="F449" s="396" t="s">
        <v>5386</v>
      </c>
      <c r="G449" s="396" t="s">
        <v>781</v>
      </c>
      <c r="H449" s="396" t="s">
        <v>6745</v>
      </c>
      <c r="I449" s="396" t="s">
        <v>781</v>
      </c>
      <c r="J449" s="396" t="s">
        <v>6746</v>
      </c>
      <c r="K449" s="396" t="s">
        <v>781</v>
      </c>
      <c r="L449" s="397">
        <v>83.546402</v>
      </c>
      <c r="M449" s="396" t="s">
        <v>4314</v>
      </c>
      <c r="N449" s="397">
        <v>565763.92890119995</v>
      </c>
      <c r="O449" s="396" t="s">
        <v>6734</v>
      </c>
    </row>
    <row r="450" spans="1:15" ht="26.4" x14ac:dyDescent="0.4">
      <c r="A450" s="396" t="s">
        <v>4236</v>
      </c>
      <c r="B450" s="394" t="s">
        <v>395</v>
      </c>
      <c r="C450" s="394" t="s">
        <v>4237</v>
      </c>
      <c r="D450" s="394" t="s">
        <v>1039</v>
      </c>
      <c r="E450" s="395" t="s">
        <v>4</v>
      </c>
      <c r="F450" s="396" t="s">
        <v>5269</v>
      </c>
      <c r="G450" s="396" t="s">
        <v>781</v>
      </c>
      <c r="H450" s="396" t="s">
        <v>6748</v>
      </c>
      <c r="I450" s="396" t="s">
        <v>781</v>
      </c>
      <c r="J450" s="396" t="s">
        <v>6748</v>
      </c>
      <c r="K450" s="396" t="s">
        <v>781</v>
      </c>
      <c r="L450" s="397">
        <v>82.17</v>
      </c>
      <c r="M450" s="396" t="s">
        <v>4314</v>
      </c>
      <c r="N450" s="397">
        <v>565846.09890119999</v>
      </c>
      <c r="O450" s="396" t="s">
        <v>9248</v>
      </c>
    </row>
    <row r="451" spans="1:15" x14ac:dyDescent="0.4">
      <c r="A451" s="396" t="s">
        <v>2504</v>
      </c>
      <c r="B451" s="394" t="s">
        <v>420</v>
      </c>
      <c r="C451" s="394" t="s">
        <v>2505</v>
      </c>
      <c r="D451" s="394" t="s">
        <v>1039</v>
      </c>
      <c r="E451" s="395" t="s">
        <v>422</v>
      </c>
      <c r="F451" s="396" t="s">
        <v>5269</v>
      </c>
      <c r="G451" s="396" t="s">
        <v>781</v>
      </c>
      <c r="H451" s="396" t="s">
        <v>9249</v>
      </c>
      <c r="I451" s="396" t="s">
        <v>781</v>
      </c>
      <c r="J451" s="396" t="s">
        <v>9249</v>
      </c>
      <c r="K451" s="396" t="s">
        <v>781</v>
      </c>
      <c r="L451" s="397">
        <v>82.01</v>
      </c>
      <c r="M451" s="396" t="s">
        <v>4314</v>
      </c>
      <c r="N451" s="397">
        <v>565928.1089012</v>
      </c>
      <c r="O451" s="396" t="s">
        <v>6742</v>
      </c>
    </row>
    <row r="452" spans="1:15" ht="26.4" x14ac:dyDescent="0.4">
      <c r="A452" s="396" t="s">
        <v>6749</v>
      </c>
      <c r="B452" s="394" t="s">
        <v>420</v>
      </c>
      <c r="C452" s="394" t="s">
        <v>6750</v>
      </c>
      <c r="D452" s="394" t="s">
        <v>1053</v>
      </c>
      <c r="E452" s="395" t="s">
        <v>1070</v>
      </c>
      <c r="F452" s="396" t="s">
        <v>6751</v>
      </c>
      <c r="G452" s="396" t="s">
        <v>781</v>
      </c>
      <c r="H452" s="396" t="s">
        <v>6202</v>
      </c>
      <c r="I452" s="396" t="s">
        <v>781</v>
      </c>
      <c r="J452" s="396" t="s">
        <v>6752</v>
      </c>
      <c r="K452" s="396" t="s">
        <v>781</v>
      </c>
      <c r="L452" s="397">
        <v>81.104699999999994</v>
      </c>
      <c r="M452" s="396" t="s">
        <v>4314</v>
      </c>
      <c r="N452" s="397">
        <v>566009.21360120003</v>
      </c>
      <c r="O452" s="396" t="s">
        <v>9250</v>
      </c>
    </row>
    <row r="453" spans="1:15" ht="39.6" x14ac:dyDescent="0.4">
      <c r="A453" s="396" t="s">
        <v>2414</v>
      </c>
      <c r="B453" s="394" t="s">
        <v>5902</v>
      </c>
      <c r="C453" s="394" t="s">
        <v>2415</v>
      </c>
      <c r="D453" s="394" t="s">
        <v>1039</v>
      </c>
      <c r="E453" s="395" t="s">
        <v>4</v>
      </c>
      <c r="F453" s="396" t="s">
        <v>5269</v>
      </c>
      <c r="G453" s="396" t="s">
        <v>781</v>
      </c>
      <c r="H453" s="396" t="s">
        <v>6754</v>
      </c>
      <c r="I453" s="396" t="s">
        <v>781</v>
      </c>
      <c r="J453" s="396" t="s">
        <v>6754</v>
      </c>
      <c r="K453" s="396" t="s">
        <v>781</v>
      </c>
      <c r="L453" s="397">
        <v>80.900000000000006</v>
      </c>
      <c r="M453" s="396" t="s">
        <v>4314</v>
      </c>
      <c r="N453" s="397">
        <v>566090.11360120005</v>
      </c>
      <c r="O453" s="396" t="s">
        <v>6747</v>
      </c>
    </row>
    <row r="454" spans="1:15" x14ac:dyDescent="0.4">
      <c r="A454" s="396" t="s">
        <v>1143</v>
      </c>
      <c r="B454" s="394" t="s">
        <v>408</v>
      </c>
      <c r="C454" s="394" t="s">
        <v>1144</v>
      </c>
      <c r="D454" s="394" t="s">
        <v>1039</v>
      </c>
      <c r="E454" s="395" t="s">
        <v>4</v>
      </c>
      <c r="F454" s="396" t="s">
        <v>5269</v>
      </c>
      <c r="G454" s="396" t="s">
        <v>781</v>
      </c>
      <c r="H454" s="396" t="s">
        <v>5684</v>
      </c>
      <c r="I454" s="396" t="s">
        <v>781</v>
      </c>
      <c r="J454" s="396" t="s">
        <v>5684</v>
      </c>
      <c r="K454" s="396" t="s">
        <v>781</v>
      </c>
      <c r="L454" s="397">
        <v>80</v>
      </c>
      <c r="M454" s="396" t="s">
        <v>4314</v>
      </c>
      <c r="N454" s="397">
        <v>566170.11360120005</v>
      </c>
      <c r="O454" s="396" t="s">
        <v>9251</v>
      </c>
    </row>
    <row r="455" spans="1:15" ht="26.4" x14ac:dyDescent="0.4">
      <c r="A455" s="396" t="s">
        <v>9252</v>
      </c>
      <c r="B455" s="394" t="s">
        <v>5902</v>
      </c>
      <c r="C455" s="394" t="s">
        <v>9253</v>
      </c>
      <c r="D455" s="394" t="s">
        <v>1053</v>
      </c>
      <c r="E455" s="395" t="s">
        <v>6</v>
      </c>
      <c r="F455" s="396" t="s">
        <v>9254</v>
      </c>
      <c r="G455" s="396" t="s">
        <v>781</v>
      </c>
      <c r="H455" s="396" t="s">
        <v>9255</v>
      </c>
      <c r="I455" s="396" t="s">
        <v>781</v>
      </c>
      <c r="J455" s="396" t="s">
        <v>9256</v>
      </c>
      <c r="K455" s="396" t="s">
        <v>781</v>
      </c>
      <c r="L455" s="397">
        <v>79.786000000000001</v>
      </c>
      <c r="M455" s="396" t="s">
        <v>4314</v>
      </c>
      <c r="N455" s="397">
        <v>566249.89960120001</v>
      </c>
      <c r="O455" s="396" t="s">
        <v>4315</v>
      </c>
    </row>
    <row r="456" spans="1:15" ht="26.4" x14ac:dyDescent="0.4">
      <c r="A456" s="396" t="s">
        <v>4200</v>
      </c>
      <c r="B456" s="394" t="s">
        <v>395</v>
      </c>
      <c r="C456" s="394" t="s">
        <v>4201</v>
      </c>
      <c r="D456" s="394" t="s">
        <v>1317</v>
      </c>
      <c r="E456" s="395" t="s">
        <v>6</v>
      </c>
      <c r="F456" s="396" t="s">
        <v>9015</v>
      </c>
      <c r="G456" s="396" t="s">
        <v>781</v>
      </c>
      <c r="H456" s="396" t="s">
        <v>5349</v>
      </c>
      <c r="I456" s="396" t="s">
        <v>781</v>
      </c>
      <c r="J456" s="396" t="s">
        <v>9257</v>
      </c>
      <c r="K456" s="396" t="s">
        <v>781</v>
      </c>
      <c r="L456" s="397">
        <v>79.259134528000004</v>
      </c>
      <c r="M456" s="396" t="s">
        <v>4314</v>
      </c>
      <c r="N456" s="397">
        <v>566329.15873569995</v>
      </c>
      <c r="O456" s="396" t="s">
        <v>5880</v>
      </c>
    </row>
    <row r="457" spans="1:15" x14ac:dyDescent="0.4">
      <c r="A457" s="396" t="s">
        <v>4303</v>
      </c>
      <c r="B457" s="394" t="s">
        <v>420</v>
      </c>
      <c r="C457" s="394" t="s">
        <v>4304</v>
      </c>
      <c r="D457" s="394" t="s">
        <v>1039</v>
      </c>
      <c r="E457" s="395" t="s">
        <v>422</v>
      </c>
      <c r="F457" s="396" t="s">
        <v>5407</v>
      </c>
      <c r="G457" s="396" t="s">
        <v>781</v>
      </c>
      <c r="H457" s="396" t="s">
        <v>6755</v>
      </c>
      <c r="I457" s="396" t="s">
        <v>781</v>
      </c>
      <c r="J457" s="396" t="s">
        <v>6756</v>
      </c>
      <c r="K457" s="396" t="s">
        <v>781</v>
      </c>
      <c r="L457" s="397">
        <v>79.133794488000007</v>
      </c>
      <c r="M457" s="396" t="s">
        <v>4314</v>
      </c>
      <c r="N457" s="397">
        <v>566408.29253019998</v>
      </c>
      <c r="O457" s="396" t="s">
        <v>9258</v>
      </c>
    </row>
    <row r="458" spans="1:15" ht="26.4" x14ac:dyDescent="0.4">
      <c r="A458" s="396" t="s">
        <v>4276</v>
      </c>
      <c r="B458" s="394" t="s">
        <v>395</v>
      </c>
      <c r="C458" s="394" t="s">
        <v>4277</v>
      </c>
      <c r="D458" s="394" t="s">
        <v>1039</v>
      </c>
      <c r="E458" s="395" t="s">
        <v>4</v>
      </c>
      <c r="F458" s="396" t="s">
        <v>5269</v>
      </c>
      <c r="G458" s="396" t="s">
        <v>781</v>
      </c>
      <c r="H458" s="396" t="s">
        <v>6758</v>
      </c>
      <c r="I458" s="396" t="s">
        <v>781</v>
      </c>
      <c r="J458" s="396" t="s">
        <v>6758</v>
      </c>
      <c r="K458" s="396" t="s">
        <v>781</v>
      </c>
      <c r="L458" s="397">
        <v>78.94</v>
      </c>
      <c r="M458" s="396" t="s">
        <v>4314</v>
      </c>
      <c r="N458" s="397">
        <v>566487.23253020004</v>
      </c>
      <c r="O458" s="396" t="s">
        <v>6753</v>
      </c>
    </row>
    <row r="459" spans="1:15" ht="26.4" x14ac:dyDescent="0.4">
      <c r="A459" s="396" t="s">
        <v>4262</v>
      </c>
      <c r="B459" s="394" t="s">
        <v>395</v>
      </c>
      <c r="C459" s="394" t="s">
        <v>4263</v>
      </c>
      <c r="D459" s="394" t="s">
        <v>1039</v>
      </c>
      <c r="E459" s="395" t="s">
        <v>4</v>
      </c>
      <c r="F459" s="396" t="s">
        <v>5269</v>
      </c>
      <c r="G459" s="396" t="s">
        <v>781</v>
      </c>
      <c r="H459" s="396" t="s">
        <v>6759</v>
      </c>
      <c r="I459" s="396" t="s">
        <v>781</v>
      </c>
      <c r="J459" s="396" t="s">
        <v>6759</v>
      </c>
      <c r="K459" s="396" t="s">
        <v>781</v>
      </c>
      <c r="L459" s="397">
        <v>78.83</v>
      </c>
      <c r="M459" s="396" t="s">
        <v>4314</v>
      </c>
      <c r="N459" s="397">
        <v>566566.0625302</v>
      </c>
      <c r="O459" s="396" t="s">
        <v>9259</v>
      </c>
    </row>
    <row r="460" spans="1:15" ht="26.4" x14ac:dyDescent="0.4">
      <c r="A460" s="396" t="s">
        <v>4278</v>
      </c>
      <c r="B460" s="394" t="s">
        <v>395</v>
      </c>
      <c r="C460" s="394" t="s">
        <v>4279</v>
      </c>
      <c r="D460" s="394" t="s">
        <v>1039</v>
      </c>
      <c r="E460" s="395" t="s">
        <v>4</v>
      </c>
      <c r="F460" s="396" t="s">
        <v>5273</v>
      </c>
      <c r="G460" s="396" t="s">
        <v>781</v>
      </c>
      <c r="H460" s="396" t="s">
        <v>6761</v>
      </c>
      <c r="I460" s="396" t="s">
        <v>781</v>
      </c>
      <c r="J460" s="396" t="s">
        <v>6762</v>
      </c>
      <c r="K460" s="396" t="s">
        <v>781</v>
      </c>
      <c r="L460" s="397">
        <v>78.760000000000005</v>
      </c>
      <c r="M460" s="396" t="s">
        <v>4314</v>
      </c>
      <c r="N460" s="397">
        <v>566644.82253020001</v>
      </c>
      <c r="O460" s="396" t="s">
        <v>5415</v>
      </c>
    </row>
    <row r="461" spans="1:15" x14ac:dyDescent="0.4">
      <c r="A461" s="396" t="s">
        <v>6763</v>
      </c>
      <c r="B461" s="394" t="s">
        <v>408</v>
      </c>
      <c r="C461" s="394" t="s">
        <v>6764</v>
      </c>
      <c r="D461" s="394" t="s">
        <v>1053</v>
      </c>
      <c r="E461" s="395" t="s">
        <v>6</v>
      </c>
      <c r="F461" s="396" t="s">
        <v>6765</v>
      </c>
      <c r="G461" s="396" t="s">
        <v>781</v>
      </c>
      <c r="H461" s="396" t="s">
        <v>6209</v>
      </c>
      <c r="I461" s="396" t="s">
        <v>781</v>
      </c>
      <c r="J461" s="396" t="s">
        <v>6766</v>
      </c>
      <c r="K461" s="396" t="s">
        <v>781</v>
      </c>
      <c r="L461" s="397">
        <v>78.593760000000003</v>
      </c>
      <c r="M461" s="396" t="s">
        <v>4314</v>
      </c>
      <c r="N461" s="397">
        <v>566723.41629019997</v>
      </c>
      <c r="O461" s="396" t="s">
        <v>6757</v>
      </c>
    </row>
    <row r="462" spans="1:15" x14ac:dyDescent="0.4">
      <c r="A462" s="396" t="s">
        <v>1539</v>
      </c>
      <c r="B462" s="394" t="s">
        <v>408</v>
      </c>
      <c r="C462" s="394" t="s">
        <v>1540</v>
      </c>
      <c r="D462" s="394" t="s">
        <v>1039</v>
      </c>
      <c r="E462" s="395" t="s">
        <v>713</v>
      </c>
      <c r="F462" s="396" t="s">
        <v>5269</v>
      </c>
      <c r="G462" s="396" t="s">
        <v>781</v>
      </c>
      <c r="H462" s="396" t="s">
        <v>6767</v>
      </c>
      <c r="I462" s="396" t="s">
        <v>781</v>
      </c>
      <c r="J462" s="396" t="s">
        <v>6767</v>
      </c>
      <c r="K462" s="396" t="s">
        <v>781</v>
      </c>
      <c r="L462" s="397">
        <v>78.2</v>
      </c>
      <c r="M462" s="396" t="s">
        <v>4314</v>
      </c>
      <c r="N462" s="397">
        <v>566801.61629020004</v>
      </c>
      <c r="O462" s="396" t="s">
        <v>4325</v>
      </c>
    </row>
    <row r="463" spans="1:15" x14ac:dyDescent="0.4">
      <c r="A463" s="396" t="s">
        <v>2907</v>
      </c>
      <c r="B463" s="394" t="s">
        <v>420</v>
      </c>
      <c r="C463" s="394" t="s">
        <v>3143</v>
      </c>
      <c r="D463" s="394" t="s">
        <v>1039</v>
      </c>
      <c r="E463" s="395" t="s">
        <v>422</v>
      </c>
      <c r="F463" s="396" t="s">
        <v>5269</v>
      </c>
      <c r="G463" s="396" t="s">
        <v>781</v>
      </c>
      <c r="H463" s="396" t="s">
        <v>5396</v>
      </c>
      <c r="I463" s="396" t="s">
        <v>781</v>
      </c>
      <c r="J463" s="396" t="s">
        <v>5396</v>
      </c>
      <c r="K463" s="396" t="s">
        <v>781</v>
      </c>
      <c r="L463" s="397">
        <v>78</v>
      </c>
      <c r="M463" s="396" t="s">
        <v>4314</v>
      </c>
      <c r="N463" s="397">
        <v>566879.61629020004</v>
      </c>
      <c r="O463" s="396" t="s">
        <v>6760</v>
      </c>
    </row>
    <row r="464" spans="1:15" ht="26.4" x14ac:dyDescent="0.4">
      <c r="A464" s="396" t="s">
        <v>1589</v>
      </c>
      <c r="B464" s="394" t="s">
        <v>439</v>
      </c>
      <c r="C464" s="394" t="s">
        <v>1590</v>
      </c>
      <c r="D464" s="394" t="s">
        <v>1039</v>
      </c>
      <c r="E464" s="395" t="s">
        <v>437</v>
      </c>
      <c r="F464" s="396" t="s">
        <v>5269</v>
      </c>
      <c r="G464" s="396" t="s">
        <v>781</v>
      </c>
      <c r="H464" s="396" t="s">
        <v>6769</v>
      </c>
      <c r="I464" s="396" t="s">
        <v>781</v>
      </c>
      <c r="J464" s="396" t="s">
        <v>6769</v>
      </c>
      <c r="K464" s="396" t="s">
        <v>781</v>
      </c>
      <c r="L464" s="397">
        <v>77.64</v>
      </c>
      <c r="M464" s="396" t="s">
        <v>4314</v>
      </c>
      <c r="N464" s="397">
        <v>566957.25629020005</v>
      </c>
      <c r="O464" s="396" t="s">
        <v>9260</v>
      </c>
    </row>
    <row r="465" spans="1:15" ht="26.4" x14ac:dyDescent="0.4">
      <c r="A465" s="396" t="s">
        <v>1233</v>
      </c>
      <c r="B465" s="394" t="s">
        <v>5902</v>
      </c>
      <c r="C465" s="394" t="s">
        <v>1234</v>
      </c>
      <c r="D465" s="394" t="s">
        <v>1039</v>
      </c>
      <c r="E465" s="395" t="s">
        <v>4</v>
      </c>
      <c r="F465" s="396" t="s">
        <v>5285</v>
      </c>
      <c r="G465" s="396" t="s">
        <v>781</v>
      </c>
      <c r="H465" s="396" t="s">
        <v>6771</v>
      </c>
      <c r="I465" s="396" t="s">
        <v>781</v>
      </c>
      <c r="J465" s="396" t="s">
        <v>6772</v>
      </c>
      <c r="K465" s="396" t="s">
        <v>781</v>
      </c>
      <c r="L465" s="397">
        <v>77.44</v>
      </c>
      <c r="M465" s="396" t="s">
        <v>4314</v>
      </c>
      <c r="N465" s="397">
        <v>567034.69629019999</v>
      </c>
      <c r="O465" s="396" t="s">
        <v>5418</v>
      </c>
    </row>
    <row r="466" spans="1:15" ht="26.4" x14ac:dyDescent="0.4">
      <c r="A466" s="396" t="s">
        <v>4343</v>
      </c>
      <c r="B466" s="394" t="s">
        <v>395</v>
      </c>
      <c r="C466" s="394" t="s">
        <v>4344</v>
      </c>
      <c r="D466" s="394" t="s">
        <v>1039</v>
      </c>
      <c r="E466" s="395" t="s">
        <v>4</v>
      </c>
      <c r="F466" s="396" t="s">
        <v>5269</v>
      </c>
      <c r="G466" s="396" t="s">
        <v>781</v>
      </c>
      <c r="H466" s="396" t="s">
        <v>6773</v>
      </c>
      <c r="I466" s="396" t="s">
        <v>781</v>
      </c>
      <c r="J466" s="396" t="s">
        <v>6773</v>
      </c>
      <c r="K466" s="396" t="s">
        <v>781</v>
      </c>
      <c r="L466" s="397">
        <v>77.12</v>
      </c>
      <c r="M466" s="396" t="s">
        <v>4314</v>
      </c>
      <c r="N466" s="397">
        <v>567111.81629019999</v>
      </c>
      <c r="O466" s="396" t="s">
        <v>6768</v>
      </c>
    </row>
    <row r="467" spans="1:15" ht="26.4" x14ac:dyDescent="0.4">
      <c r="A467" s="396" t="s">
        <v>4240</v>
      </c>
      <c r="B467" s="394" t="s">
        <v>395</v>
      </c>
      <c r="C467" s="394" t="s">
        <v>4241</v>
      </c>
      <c r="D467" s="394" t="s">
        <v>1039</v>
      </c>
      <c r="E467" s="395" t="s">
        <v>7</v>
      </c>
      <c r="F467" s="396" t="s">
        <v>5366</v>
      </c>
      <c r="G467" s="396" t="s">
        <v>781</v>
      </c>
      <c r="H467" s="396" t="s">
        <v>6774</v>
      </c>
      <c r="I467" s="396" t="s">
        <v>781</v>
      </c>
      <c r="J467" s="396" t="s">
        <v>6775</v>
      </c>
      <c r="K467" s="396" t="s">
        <v>781</v>
      </c>
      <c r="L467" s="397">
        <v>76.944000000000003</v>
      </c>
      <c r="M467" s="396" t="s">
        <v>4314</v>
      </c>
      <c r="N467" s="397">
        <v>567188.76029020001</v>
      </c>
      <c r="O467" s="396" t="s">
        <v>9261</v>
      </c>
    </row>
    <row r="468" spans="1:15" ht="26.4" x14ac:dyDescent="0.4">
      <c r="A468" s="396" t="s">
        <v>5878</v>
      </c>
      <c r="B468" s="394" t="s">
        <v>5902</v>
      </c>
      <c r="C468" s="394" t="s">
        <v>5879</v>
      </c>
      <c r="D468" s="394" t="s">
        <v>1039</v>
      </c>
      <c r="E468" s="395" t="s">
        <v>6</v>
      </c>
      <c r="F468" s="396" t="s">
        <v>5273</v>
      </c>
      <c r="G468" s="396" t="s">
        <v>781</v>
      </c>
      <c r="H468" s="396" t="s">
        <v>6777</v>
      </c>
      <c r="I468" s="396" t="s">
        <v>781</v>
      </c>
      <c r="J468" s="396" t="s">
        <v>6778</v>
      </c>
      <c r="K468" s="396" t="s">
        <v>781</v>
      </c>
      <c r="L468" s="397">
        <v>76.36</v>
      </c>
      <c r="M468" s="396" t="s">
        <v>4314</v>
      </c>
      <c r="N468" s="397">
        <v>567265.12029019999</v>
      </c>
      <c r="O468" s="396" t="s">
        <v>6770</v>
      </c>
    </row>
    <row r="469" spans="1:15" x14ac:dyDescent="0.4">
      <c r="A469" s="396" t="s">
        <v>2438</v>
      </c>
      <c r="B469" s="394" t="s">
        <v>420</v>
      </c>
      <c r="C469" s="394" t="s">
        <v>2439</v>
      </c>
      <c r="D469" s="394" t="s">
        <v>1039</v>
      </c>
      <c r="E469" s="395" t="s">
        <v>422</v>
      </c>
      <c r="F469" s="396" t="s">
        <v>5269</v>
      </c>
      <c r="G469" s="396" t="s">
        <v>781</v>
      </c>
      <c r="H469" s="396" t="s">
        <v>9262</v>
      </c>
      <c r="I469" s="396" t="s">
        <v>781</v>
      </c>
      <c r="J469" s="396" t="s">
        <v>9262</v>
      </c>
      <c r="K469" s="396" t="s">
        <v>781</v>
      </c>
      <c r="L469" s="397">
        <v>76.349999999999994</v>
      </c>
      <c r="M469" s="396" t="s">
        <v>4314</v>
      </c>
      <c r="N469" s="397">
        <v>567341.47029019997</v>
      </c>
      <c r="O469" s="396" t="s">
        <v>5881</v>
      </c>
    </row>
    <row r="470" spans="1:15" ht="26.4" x14ac:dyDescent="0.4">
      <c r="A470" s="396" t="s">
        <v>9263</v>
      </c>
      <c r="B470" s="394" t="s">
        <v>5902</v>
      </c>
      <c r="C470" s="394" t="s">
        <v>9264</v>
      </c>
      <c r="D470" s="394" t="s">
        <v>1039</v>
      </c>
      <c r="E470" s="395" t="s">
        <v>3</v>
      </c>
      <c r="F470" s="396" t="s">
        <v>5291</v>
      </c>
      <c r="G470" s="396" t="s">
        <v>781</v>
      </c>
      <c r="H470" s="396" t="s">
        <v>9265</v>
      </c>
      <c r="I470" s="396" t="s">
        <v>781</v>
      </c>
      <c r="J470" s="396" t="s">
        <v>9266</v>
      </c>
      <c r="K470" s="396" t="s">
        <v>781</v>
      </c>
      <c r="L470" s="397">
        <v>74.91</v>
      </c>
      <c r="M470" s="396" t="s">
        <v>4314</v>
      </c>
      <c r="N470" s="397">
        <v>567416.3802902</v>
      </c>
      <c r="O470" s="396" t="s">
        <v>9267</v>
      </c>
    </row>
    <row r="471" spans="1:15" x14ac:dyDescent="0.4">
      <c r="A471" s="396" t="s">
        <v>3181</v>
      </c>
      <c r="B471" s="394" t="s">
        <v>408</v>
      </c>
      <c r="C471" s="394" t="s">
        <v>3182</v>
      </c>
      <c r="D471" s="394" t="s">
        <v>1039</v>
      </c>
      <c r="E471" s="395" t="s">
        <v>4</v>
      </c>
      <c r="F471" s="396" t="s">
        <v>5269</v>
      </c>
      <c r="G471" s="396" t="s">
        <v>781</v>
      </c>
      <c r="H471" s="396" t="s">
        <v>6779</v>
      </c>
      <c r="I471" s="396" t="s">
        <v>781</v>
      </c>
      <c r="J471" s="396" t="s">
        <v>6779</v>
      </c>
      <c r="K471" s="396" t="s">
        <v>781</v>
      </c>
      <c r="L471" s="397">
        <v>74.89</v>
      </c>
      <c r="M471" s="396" t="s">
        <v>4314</v>
      </c>
      <c r="N471" s="397">
        <v>567491.27029020002</v>
      </c>
      <c r="O471" s="396" t="s">
        <v>6776</v>
      </c>
    </row>
    <row r="472" spans="1:15" ht="26.4" x14ac:dyDescent="0.4">
      <c r="A472" s="396" t="s">
        <v>9268</v>
      </c>
      <c r="B472" s="394" t="s">
        <v>5902</v>
      </c>
      <c r="C472" s="394" t="s">
        <v>9269</v>
      </c>
      <c r="D472" s="394" t="s">
        <v>1039</v>
      </c>
      <c r="E472" s="395" t="s">
        <v>713</v>
      </c>
      <c r="F472" s="396" t="s">
        <v>9270</v>
      </c>
      <c r="G472" s="396" t="s">
        <v>781</v>
      </c>
      <c r="H472" s="396" t="s">
        <v>9271</v>
      </c>
      <c r="I472" s="396" t="s">
        <v>781</v>
      </c>
      <c r="J472" s="396" t="s">
        <v>9272</v>
      </c>
      <c r="K472" s="396" t="s">
        <v>781</v>
      </c>
      <c r="L472" s="397">
        <v>74.681781999999998</v>
      </c>
      <c r="M472" s="396" t="s">
        <v>4314</v>
      </c>
      <c r="N472" s="397">
        <v>567565.95207220002</v>
      </c>
      <c r="O472" s="396" t="s">
        <v>9273</v>
      </c>
    </row>
    <row r="473" spans="1:15" ht="26.4" x14ac:dyDescent="0.4">
      <c r="A473" s="396" t="s">
        <v>4335</v>
      </c>
      <c r="B473" s="394" t="s">
        <v>395</v>
      </c>
      <c r="C473" s="394" t="s">
        <v>4336</v>
      </c>
      <c r="D473" s="394" t="s">
        <v>1039</v>
      </c>
      <c r="E473" s="395" t="s">
        <v>4</v>
      </c>
      <c r="F473" s="396" t="s">
        <v>5269</v>
      </c>
      <c r="G473" s="396" t="s">
        <v>781</v>
      </c>
      <c r="H473" s="396" t="s">
        <v>6780</v>
      </c>
      <c r="I473" s="396" t="s">
        <v>781</v>
      </c>
      <c r="J473" s="396" t="s">
        <v>6780</v>
      </c>
      <c r="K473" s="396" t="s">
        <v>781</v>
      </c>
      <c r="L473" s="397">
        <v>73.900000000000006</v>
      </c>
      <c r="M473" s="396" t="s">
        <v>4314</v>
      </c>
      <c r="N473" s="397">
        <v>567639.85207220004</v>
      </c>
      <c r="O473" s="396" t="s">
        <v>5425</v>
      </c>
    </row>
    <row r="474" spans="1:15" ht="26.4" x14ac:dyDescent="0.4">
      <c r="A474" s="396" t="s">
        <v>2335</v>
      </c>
      <c r="B474" s="394" t="s">
        <v>5902</v>
      </c>
      <c r="C474" s="394" t="s">
        <v>2336</v>
      </c>
      <c r="D474" s="394" t="s">
        <v>1039</v>
      </c>
      <c r="E474" s="395" t="s">
        <v>675</v>
      </c>
      <c r="F474" s="396" t="s">
        <v>5380</v>
      </c>
      <c r="G474" s="396" t="s">
        <v>781</v>
      </c>
      <c r="H474" s="396" t="s">
        <v>6781</v>
      </c>
      <c r="I474" s="396" t="s">
        <v>781</v>
      </c>
      <c r="J474" s="396" t="s">
        <v>6782</v>
      </c>
      <c r="K474" s="396" t="s">
        <v>781</v>
      </c>
      <c r="L474" s="397">
        <v>72.930000000000007</v>
      </c>
      <c r="M474" s="396" t="s">
        <v>4314</v>
      </c>
      <c r="N474" s="397">
        <v>567712.78207219997</v>
      </c>
      <c r="O474" s="396" t="s">
        <v>4334</v>
      </c>
    </row>
    <row r="475" spans="1:15" ht="26.4" x14ac:dyDescent="0.4">
      <c r="A475" s="396" t="s">
        <v>3115</v>
      </c>
      <c r="B475" s="394" t="s">
        <v>395</v>
      </c>
      <c r="C475" s="394" t="s">
        <v>3116</v>
      </c>
      <c r="D475" s="394" t="s">
        <v>1039</v>
      </c>
      <c r="E475" s="395" t="s">
        <v>4</v>
      </c>
      <c r="F475" s="396" t="s">
        <v>5289</v>
      </c>
      <c r="G475" s="396" t="s">
        <v>781</v>
      </c>
      <c r="H475" s="396" t="s">
        <v>6783</v>
      </c>
      <c r="I475" s="396" t="s">
        <v>781</v>
      </c>
      <c r="J475" s="396" t="s">
        <v>6784</v>
      </c>
      <c r="K475" s="396" t="s">
        <v>781</v>
      </c>
      <c r="L475" s="397">
        <v>71.88</v>
      </c>
      <c r="M475" s="396" t="s">
        <v>4314</v>
      </c>
      <c r="N475" s="397">
        <v>567784.66207219998</v>
      </c>
      <c r="O475" s="396" t="s">
        <v>9274</v>
      </c>
    </row>
    <row r="476" spans="1:15" x14ac:dyDescent="0.4">
      <c r="A476" s="396" t="s">
        <v>3139</v>
      </c>
      <c r="B476" s="394" t="s">
        <v>2661</v>
      </c>
      <c r="C476" s="394" t="s">
        <v>3140</v>
      </c>
      <c r="D476" s="394" t="s">
        <v>1053</v>
      </c>
      <c r="E476" s="395" t="s">
        <v>6</v>
      </c>
      <c r="F476" s="396" t="s">
        <v>5273</v>
      </c>
      <c r="G476" s="396" t="s">
        <v>781</v>
      </c>
      <c r="H476" s="396" t="s">
        <v>5456</v>
      </c>
      <c r="I476" s="396" t="s">
        <v>781</v>
      </c>
      <c r="J476" s="396" t="s">
        <v>6786</v>
      </c>
      <c r="K476" s="396" t="s">
        <v>781</v>
      </c>
      <c r="L476" s="397">
        <v>71.66</v>
      </c>
      <c r="M476" s="396" t="s">
        <v>4314</v>
      </c>
      <c r="N476" s="397">
        <v>567856.32207220001</v>
      </c>
      <c r="O476" s="396" t="s">
        <v>5426</v>
      </c>
    </row>
    <row r="477" spans="1:15" ht="26.4" x14ac:dyDescent="0.4">
      <c r="A477" s="396" t="s">
        <v>2315</v>
      </c>
      <c r="B477" s="394" t="s">
        <v>5902</v>
      </c>
      <c r="C477" s="394" t="s">
        <v>2316</v>
      </c>
      <c r="D477" s="394" t="s">
        <v>1039</v>
      </c>
      <c r="E477" s="395" t="s">
        <v>675</v>
      </c>
      <c r="F477" s="396" t="s">
        <v>5368</v>
      </c>
      <c r="G477" s="396" t="s">
        <v>781</v>
      </c>
      <c r="H477" s="396" t="s">
        <v>6787</v>
      </c>
      <c r="I477" s="396" t="s">
        <v>781</v>
      </c>
      <c r="J477" s="396" t="s">
        <v>6788</v>
      </c>
      <c r="K477" s="396" t="s">
        <v>781</v>
      </c>
      <c r="L477" s="397">
        <v>70.885999999999996</v>
      </c>
      <c r="M477" s="396" t="s">
        <v>4314</v>
      </c>
      <c r="N477" s="397">
        <v>567927.20807219995</v>
      </c>
      <c r="O477" s="396" t="s">
        <v>4339</v>
      </c>
    </row>
    <row r="478" spans="1:15" ht="26.4" x14ac:dyDescent="0.4">
      <c r="A478" s="396" t="s">
        <v>2319</v>
      </c>
      <c r="B478" s="394" t="s">
        <v>5902</v>
      </c>
      <c r="C478" s="394" t="s">
        <v>2320</v>
      </c>
      <c r="D478" s="394" t="s">
        <v>1039</v>
      </c>
      <c r="E478" s="395" t="s">
        <v>3</v>
      </c>
      <c r="F478" s="396" t="s">
        <v>5409</v>
      </c>
      <c r="G478" s="396" t="s">
        <v>781</v>
      </c>
      <c r="H478" s="396" t="s">
        <v>6789</v>
      </c>
      <c r="I478" s="396" t="s">
        <v>781</v>
      </c>
      <c r="J478" s="396" t="s">
        <v>6790</v>
      </c>
      <c r="K478" s="396" t="s">
        <v>781</v>
      </c>
      <c r="L478" s="397">
        <v>70.805000000000007</v>
      </c>
      <c r="M478" s="396" t="s">
        <v>4314</v>
      </c>
      <c r="N478" s="397">
        <v>567998.0130722</v>
      </c>
      <c r="O478" s="396" t="s">
        <v>6785</v>
      </c>
    </row>
    <row r="479" spans="1:15" ht="26.4" x14ac:dyDescent="0.4">
      <c r="A479" s="396" t="s">
        <v>2357</v>
      </c>
      <c r="B479" s="394" t="s">
        <v>5902</v>
      </c>
      <c r="C479" s="394" t="s">
        <v>2358</v>
      </c>
      <c r="D479" s="394" t="s">
        <v>1039</v>
      </c>
      <c r="E479" s="395" t="s">
        <v>4</v>
      </c>
      <c r="F479" s="396" t="s">
        <v>5269</v>
      </c>
      <c r="G479" s="396" t="s">
        <v>781</v>
      </c>
      <c r="H479" s="396" t="s">
        <v>6792</v>
      </c>
      <c r="I479" s="396" t="s">
        <v>781</v>
      </c>
      <c r="J479" s="396" t="s">
        <v>6792</v>
      </c>
      <c r="K479" s="396" t="s">
        <v>781</v>
      </c>
      <c r="L479" s="397">
        <v>70.55</v>
      </c>
      <c r="M479" s="396" t="s">
        <v>4314</v>
      </c>
      <c r="N479" s="397">
        <v>568068.56307220005</v>
      </c>
      <c r="O479" s="396" t="s">
        <v>9275</v>
      </c>
    </row>
    <row r="480" spans="1:15" x14ac:dyDescent="0.4">
      <c r="A480" s="396" t="s">
        <v>2434</v>
      </c>
      <c r="B480" s="394" t="s">
        <v>439</v>
      </c>
      <c r="C480" s="394" t="s">
        <v>2435</v>
      </c>
      <c r="D480" s="394" t="s">
        <v>1039</v>
      </c>
      <c r="E480" s="395" t="s">
        <v>422</v>
      </c>
      <c r="F480" s="396" t="s">
        <v>5269</v>
      </c>
      <c r="G480" s="396" t="s">
        <v>781</v>
      </c>
      <c r="H480" s="396" t="s">
        <v>6793</v>
      </c>
      <c r="I480" s="396" t="s">
        <v>781</v>
      </c>
      <c r="J480" s="396" t="s">
        <v>6793</v>
      </c>
      <c r="K480" s="396" t="s">
        <v>781</v>
      </c>
      <c r="L480" s="397">
        <v>70.459999999999994</v>
      </c>
      <c r="M480" s="396" t="s">
        <v>4314</v>
      </c>
      <c r="N480" s="397">
        <v>568139.02307220001</v>
      </c>
      <c r="O480" s="396" t="s">
        <v>4342</v>
      </c>
    </row>
    <row r="481" spans="1:15" ht="26.4" x14ac:dyDescent="0.4">
      <c r="A481" s="396" t="s">
        <v>6794</v>
      </c>
      <c r="B481" s="394" t="s">
        <v>395</v>
      </c>
      <c r="C481" s="394" t="s">
        <v>6795</v>
      </c>
      <c r="D481" s="394" t="s">
        <v>1039</v>
      </c>
      <c r="E481" s="395" t="s">
        <v>4</v>
      </c>
      <c r="F481" s="396" t="s">
        <v>5384</v>
      </c>
      <c r="G481" s="396" t="s">
        <v>781</v>
      </c>
      <c r="H481" s="396" t="s">
        <v>6796</v>
      </c>
      <c r="I481" s="396" t="s">
        <v>781</v>
      </c>
      <c r="J481" s="396" t="s">
        <v>6797</v>
      </c>
      <c r="K481" s="396" t="s">
        <v>781</v>
      </c>
      <c r="L481" s="397">
        <v>70.2</v>
      </c>
      <c r="M481" s="396" t="s">
        <v>4314</v>
      </c>
      <c r="N481" s="397">
        <v>568209.22307219997</v>
      </c>
      <c r="O481" s="396" t="s">
        <v>6791</v>
      </c>
    </row>
    <row r="482" spans="1:15" x14ac:dyDescent="0.4">
      <c r="A482" s="396" t="s">
        <v>6799</v>
      </c>
      <c r="B482" s="394" t="s">
        <v>408</v>
      </c>
      <c r="C482" s="394" t="s">
        <v>6800</v>
      </c>
      <c r="D482" s="394" t="s">
        <v>1039</v>
      </c>
      <c r="E482" s="395" t="s">
        <v>4</v>
      </c>
      <c r="F482" s="396" t="s">
        <v>5269</v>
      </c>
      <c r="G482" s="396" t="s">
        <v>781</v>
      </c>
      <c r="H482" s="396" t="s">
        <v>6801</v>
      </c>
      <c r="I482" s="396" t="s">
        <v>781</v>
      </c>
      <c r="J482" s="396" t="s">
        <v>6801</v>
      </c>
      <c r="K482" s="396" t="s">
        <v>781</v>
      </c>
      <c r="L482" s="397">
        <v>69.95</v>
      </c>
      <c r="M482" s="396" t="s">
        <v>4314</v>
      </c>
      <c r="N482" s="397">
        <v>568279.17307220004</v>
      </c>
      <c r="O482" s="396" t="s">
        <v>5882</v>
      </c>
    </row>
    <row r="483" spans="1:15" x14ac:dyDescent="0.4">
      <c r="A483" s="396" t="s">
        <v>2291</v>
      </c>
      <c r="B483" s="394" t="s">
        <v>395</v>
      </c>
      <c r="C483" s="394" t="s">
        <v>272</v>
      </c>
      <c r="D483" s="394" t="s">
        <v>1039</v>
      </c>
      <c r="E483" s="395" t="s">
        <v>3</v>
      </c>
      <c r="F483" s="396" t="s">
        <v>9276</v>
      </c>
      <c r="G483" s="396" t="s">
        <v>781</v>
      </c>
      <c r="H483" s="396" t="s">
        <v>6433</v>
      </c>
      <c r="I483" s="396" t="s">
        <v>781</v>
      </c>
      <c r="J483" s="396" t="s">
        <v>9277</v>
      </c>
      <c r="K483" s="396" t="s">
        <v>781</v>
      </c>
      <c r="L483" s="397">
        <v>69.729311999999993</v>
      </c>
      <c r="M483" s="396" t="s">
        <v>4314</v>
      </c>
      <c r="N483" s="397">
        <v>568348.90238420002</v>
      </c>
      <c r="O483" s="396" t="s">
        <v>9278</v>
      </c>
    </row>
    <row r="484" spans="1:15" ht="26.4" x14ac:dyDescent="0.4">
      <c r="A484" s="396" t="s">
        <v>4380</v>
      </c>
      <c r="B484" s="394" t="s">
        <v>395</v>
      </c>
      <c r="C484" s="394" t="s">
        <v>4381</v>
      </c>
      <c r="D484" s="394" t="s">
        <v>1039</v>
      </c>
      <c r="E484" s="395" t="s">
        <v>4</v>
      </c>
      <c r="F484" s="396" t="s">
        <v>5269</v>
      </c>
      <c r="G484" s="396" t="s">
        <v>781</v>
      </c>
      <c r="H484" s="396" t="s">
        <v>6802</v>
      </c>
      <c r="I484" s="396" t="s">
        <v>781</v>
      </c>
      <c r="J484" s="396" t="s">
        <v>6802</v>
      </c>
      <c r="K484" s="396" t="s">
        <v>781</v>
      </c>
      <c r="L484" s="397">
        <v>68.48</v>
      </c>
      <c r="M484" s="396" t="s">
        <v>4314</v>
      </c>
      <c r="N484" s="397">
        <v>568417.3823842</v>
      </c>
      <c r="O484" s="396" t="s">
        <v>6798</v>
      </c>
    </row>
    <row r="485" spans="1:15" x14ac:dyDescent="0.4">
      <c r="A485" s="396" t="s">
        <v>2523</v>
      </c>
      <c r="B485" s="394" t="s">
        <v>408</v>
      </c>
      <c r="C485" s="394" t="s">
        <v>2524</v>
      </c>
      <c r="D485" s="394" t="s">
        <v>1039</v>
      </c>
      <c r="E485" s="395" t="s">
        <v>4</v>
      </c>
      <c r="F485" s="396" t="s">
        <v>5269</v>
      </c>
      <c r="G485" s="396" t="s">
        <v>781</v>
      </c>
      <c r="H485" s="396" t="s">
        <v>5411</v>
      </c>
      <c r="I485" s="396" t="s">
        <v>781</v>
      </c>
      <c r="J485" s="396" t="s">
        <v>5411</v>
      </c>
      <c r="K485" s="396" t="s">
        <v>781</v>
      </c>
      <c r="L485" s="397">
        <v>67.48</v>
      </c>
      <c r="M485" s="396" t="s">
        <v>4314</v>
      </c>
      <c r="N485" s="397">
        <v>568484.86238419998</v>
      </c>
      <c r="O485" s="396" t="s">
        <v>5883</v>
      </c>
    </row>
    <row r="486" spans="1:15" ht="26.4" x14ac:dyDescent="0.4">
      <c r="A486" s="396" t="s">
        <v>4312</v>
      </c>
      <c r="B486" s="394" t="s">
        <v>395</v>
      </c>
      <c r="C486" s="394" t="s">
        <v>4313</v>
      </c>
      <c r="D486" s="394" t="s">
        <v>1039</v>
      </c>
      <c r="E486" s="395" t="s">
        <v>7</v>
      </c>
      <c r="F486" s="396" t="s">
        <v>6804</v>
      </c>
      <c r="G486" s="396" t="s">
        <v>781</v>
      </c>
      <c r="H486" s="396" t="s">
        <v>6805</v>
      </c>
      <c r="I486" s="396" t="s">
        <v>781</v>
      </c>
      <c r="J486" s="396" t="s">
        <v>6806</v>
      </c>
      <c r="K486" s="396" t="s">
        <v>781</v>
      </c>
      <c r="L486" s="397">
        <v>67.397222639999995</v>
      </c>
      <c r="M486" s="396" t="s">
        <v>4314</v>
      </c>
      <c r="N486" s="397">
        <v>568552.25960680004</v>
      </c>
      <c r="O486" s="396" t="s">
        <v>5430</v>
      </c>
    </row>
    <row r="487" spans="1:15" x14ac:dyDescent="0.4">
      <c r="A487" s="396" t="s">
        <v>2292</v>
      </c>
      <c r="B487" s="394" t="s">
        <v>395</v>
      </c>
      <c r="C487" s="394" t="s">
        <v>279</v>
      </c>
      <c r="D487" s="394" t="s">
        <v>1039</v>
      </c>
      <c r="E487" s="395" t="s">
        <v>4</v>
      </c>
      <c r="F487" s="396" t="s">
        <v>9279</v>
      </c>
      <c r="G487" s="396" t="s">
        <v>781</v>
      </c>
      <c r="H487" s="396" t="s">
        <v>6413</v>
      </c>
      <c r="I487" s="396" t="s">
        <v>781</v>
      </c>
      <c r="J487" s="396" t="s">
        <v>9280</v>
      </c>
      <c r="K487" s="396" t="s">
        <v>781</v>
      </c>
      <c r="L487" s="397">
        <v>67.360545000000002</v>
      </c>
      <c r="M487" s="396" t="s">
        <v>4314</v>
      </c>
      <c r="N487" s="397">
        <v>568619.62015179999</v>
      </c>
      <c r="O487" s="396" t="s">
        <v>9281</v>
      </c>
    </row>
    <row r="488" spans="1:15" x14ac:dyDescent="0.4">
      <c r="A488" s="396" t="s">
        <v>2347</v>
      </c>
      <c r="B488" s="394" t="s">
        <v>408</v>
      </c>
      <c r="C488" s="394" t="s">
        <v>2348</v>
      </c>
      <c r="D488" s="394" t="s">
        <v>1039</v>
      </c>
      <c r="E488" s="395" t="s">
        <v>7</v>
      </c>
      <c r="F488" s="396" t="s">
        <v>5305</v>
      </c>
      <c r="G488" s="396" t="s">
        <v>781</v>
      </c>
      <c r="H488" s="396" t="s">
        <v>6807</v>
      </c>
      <c r="I488" s="396" t="s">
        <v>781</v>
      </c>
      <c r="J488" s="396" t="s">
        <v>6808</v>
      </c>
      <c r="K488" s="396" t="s">
        <v>781</v>
      </c>
      <c r="L488" s="397">
        <v>66.760000000000005</v>
      </c>
      <c r="M488" s="396" t="s">
        <v>4314</v>
      </c>
      <c r="N488" s="397">
        <v>568686.3801518</v>
      </c>
      <c r="O488" s="396" t="s">
        <v>6803</v>
      </c>
    </row>
    <row r="489" spans="1:15" ht="26.4" x14ac:dyDescent="0.4">
      <c r="A489" s="396" t="s">
        <v>4299</v>
      </c>
      <c r="B489" s="394" t="s">
        <v>395</v>
      </c>
      <c r="C489" s="394" t="s">
        <v>4300</v>
      </c>
      <c r="D489" s="394" t="s">
        <v>1317</v>
      </c>
      <c r="E489" s="395" t="s">
        <v>6</v>
      </c>
      <c r="F489" s="396" t="s">
        <v>6469</v>
      </c>
      <c r="G489" s="396" t="s">
        <v>781</v>
      </c>
      <c r="H489" s="396" t="s">
        <v>5769</v>
      </c>
      <c r="I489" s="396" t="s">
        <v>781</v>
      </c>
      <c r="J489" s="396" t="s">
        <v>6809</v>
      </c>
      <c r="K489" s="396" t="s">
        <v>781</v>
      </c>
      <c r="L489" s="397">
        <v>66.748320187999994</v>
      </c>
      <c r="M489" s="396" t="s">
        <v>4314</v>
      </c>
      <c r="N489" s="397">
        <v>568753.12847200001</v>
      </c>
      <c r="O489" s="396" t="s">
        <v>5884</v>
      </c>
    </row>
    <row r="490" spans="1:15" ht="39.6" x14ac:dyDescent="0.4">
      <c r="A490" s="396" t="s">
        <v>4301</v>
      </c>
      <c r="B490" s="394" t="s">
        <v>395</v>
      </c>
      <c r="C490" s="394" t="s">
        <v>4302</v>
      </c>
      <c r="D490" s="394" t="s">
        <v>1039</v>
      </c>
      <c r="E490" s="395" t="s">
        <v>4</v>
      </c>
      <c r="F490" s="396" t="s">
        <v>5405</v>
      </c>
      <c r="G490" s="396" t="s">
        <v>781</v>
      </c>
      <c r="H490" s="396" t="s">
        <v>6810</v>
      </c>
      <c r="I490" s="396" t="s">
        <v>781</v>
      </c>
      <c r="J490" s="396" t="s">
        <v>6811</v>
      </c>
      <c r="K490" s="396" t="s">
        <v>781</v>
      </c>
      <c r="L490" s="397">
        <v>66.697488000000007</v>
      </c>
      <c r="M490" s="396" t="s">
        <v>4314</v>
      </c>
      <c r="N490" s="397">
        <v>568819.82596000005</v>
      </c>
      <c r="O490" s="396" t="s">
        <v>4349</v>
      </c>
    </row>
    <row r="491" spans="1:15" x14ac:dyDescent="0.4">
      <c r="A491" s="396" t="s">
        <v>4297</v>
      </c>
      <c r="B491" s="394" t="s">
        <v>395</v>
      </c>
      <c r="C491" s="394" t="s">
        <v>4298</v>
      </c>
      <c r="D491" s="394" t="s">
        <v>1039</v>
      </c>
      <c r="E491" s="395" t="s">
        <v>4</v>
      </c>
      <c r="F491" s="396" t="s">
        <v>5305</v>
      </c>
      <c r="G491" s="396" t="s">
        <v>781</v>
      </c>
      <c r="H491" s="396" t="s">
        <v>5367</v>
      </c>
      <c r="I491" s="396" t="s">
        <v>781</v>
      </c>
      <c r="J491" s="396" t="s">
        <v>6812</v>
      </c>
      <c r="K491" s="396" t="s">
        <v>781</v>
      </c>
      <c r="L491" s="397">
        <v>66.64</v>
      </c>
      <c r="M491" s="396" t="s">
        <v>4314</v>
      </c>
      <c r="N491" s="397">
        <v>568886.46595999994</v>
      </c>
      <c r="O491" s="396" t="s">
        <v>4350</v>
      </c>
    </row>
    <row r="492" spans="1:15" ht="26.4" x14ac:dyDescent="0.4">
      <c r="A492" s="396" t="s">
        <v>2402</v>
      </c>
      <c r="B492" s="394" t="s">
        <v>575</v>
      </c>
      <c r="C492" s="394" t="s">
        <v>254</v>
      </c>
      <c r="D492" s="394" t="s">
        <v>1039</v>
      </c>
      <c r="E492" s="395" t="s">
        <v>7</v>
      </c>
      <c r="F492" s="396" t="s">
        <v>5273</v>
      </c>
      <c r="G492" s="396" t="s">
        <v>781</v>
      </c>
      <c r="H492" s="396" t="s">
        <v>9282</v>
      </c>
      <c r="I492" s="396" t="s">
        <v>781</v>
      </c>
      <c r="J492" s="396" t="s">
        <v>6812</v>
      </c>
      <c r="K492" s="396" t="s">
        <v>781</v>
      </c>
      <c r="L492" s="397">
        <v>66.64</v>
      </c>
      <c r="M492" s="396" t="s">
        <v>4314</v>
      </c>
      <c r="N492" s="397">
        <v>568953.10595999996</v>
      </c>
      <c r="O492" s="396" t="s">
        <v>9283</v>
      </c>
    </row>
    <row r="493" spans="1:15" ht="26.4" x14ac:dyDescent="0.4">
      <c r="A493" s="396" t="s">
        <v>4354</v>
      </c>
      <c r="B493" s="394" t="s">
        <v>395</v>
      </c>
      <c r="C493" s="394" t="s">
        <v>4355</v>
      </c>
      <c r="D493" s="394" t="s">
        <v>1039</v>
      </c>
      <c r="E493" s="395" t="s">
        <v>4</v>
      </c>
      <c r="F493" s="396" t="s">
        <v>5284</v>
      </c>
      <c r="G493" s="396" t="s">
        <v>781</v>
      </c>
      <c r="H493" s="396" t="s">
        <v>6813</v>
      </c>
      <c r="I493" s="396" t="s">
        <v>781</v>
      </c>
      <c r="J493" s="396" t="s">
        <v>6814</v>
      </c>
      <c r="K493" s="396" t="s">
        <v>781</v>
      </c>
      <c r="L493" s="397">
        <v>66.510000000000005</v>
      </c>
      <c r="M493" s="396" t="s">
        <v>4314</v>
      </c>
      <c r="N493" s="397">
        <v>569019.61595999997</v>
      </c>
      <c r="O493" s="396" t="s">
        <v>5885</v>
      </c>
    </row>
    <row r="494" spans="1:15" ht="26.4" x14ac:dyDescent="0.4">
      <c r="A494" s="396" t="s">
        <v>9284</v>
      </c>
      <c r="B494" s="394" t="s">
        <v>5902</v>
      </c>
      <c r="C494" s="394" t="s">
        <v>9285</v>
      </c>
      <c r="D494" s="394" t="s">
        <v>1039</v>
      </c>
      <c r="E494" s="395" t="s">
        <v>3</v>
      </c>
      <c r="F494" s="396" t="s">
        <v>9286</v>
      </c>
      <c r="G494" s="396" t="s">
        <v>781</v>
      </c>
      <c r="H494" s="396" t="s">
        <v>9287</v>
      </c>
      <c r="I494" s="396" t="s">
        <v>781</v>
      </c>
      <c r="J494" s="396" t="s">
        <v>9288</v>
      </c>
      <c r="K494" s="396" t="s">
        <v>781</v>
      </c>
      <c r="L494" s="397">
        <v>65.725763999999998</v>
      </c>
      <c r="M494" s="396" t="s">
        <v>4314</v>
      </c>
      <c r="N494" s="397">
        <v>569085.34172400006</v>
      </c>
      <c r="O494" s="396" t="s">
        <v>4351</v>
      </c>
    </row>
    <row r="495" spans="1:15" ht="26.4" x14ac:dyDescent="0.4">
      <c r="A495" s="396" t="s">
        <v>4272</v>
      </c>
      <c r="B495" s="394" t="s">
        <v>395</v>
      </c>
      <c r="C495" s="394" t="s">
        <v>4273</v>
      </c>
      <c r="D495" s="394" t="s">
        <v>1039</v>
      </c>
      <c r="E495" s="395" t="s">
        <v>7</v>
      </c>
      <c r="F495" s="396" t="s">
        <v>6815</v>
      </c>
      <c r="G495" s="396" t="s">
        <v>781</v>
      </c>
      <c r="H495" s="396" t="s">
        <v>6816</v>
      </c>
      <c r="I495" s="396" t="s">
        <v>781</v>
      </c>
      <c r="J495" s="396" t="s">
        <v>6817</v>
      </c>
      <c r="K495" s="396" t="s">
        <v>781</v>
      </c>
      <c r="L495" s="397">
        <v>65.441312999999994</v>
      </c>
      <c r="M495" s="396" t="s">
        <v>4314</v>
      </c>
      <c r="N495" s="397">
        <v>569150.78303699999</v>
      </c>
      <c r="O495" s="396" t="s">
        <v>4352</v>
      </c>
    </row>
    <row r="496" spans="1:15" ht="26.4" x14ac:dyDescent="0.4">
      <c r="A496" s="396" t="s">
        <v>1062</v>
      </c>
      <c r="B496" s="394" t="s">
        <v>5902</v>
      </c>
      <c r="C496" s="394" t="s">
        <v>1063</v>
      </c>
      <c r="D496" s="394" t="s">
        <v>1039</v>
      </c>
      <c r="E496" s="395" t="s">
        <v>4</v>
      </c>
      <c r="F496" s="396" t="s">
        <v>5305</v>
      </c>
      <c r="G496" s="396" t="s">
        <v>781</v>
      </c>
      <c r="H496" s="396" t="s">
        <v>6819</v>
      </c>
      <c r="I496" s="396" t="s">
        <v>781</v>
      </c>
      <c r="J496" s="396" t="s">
        <v>6820</v>
      </c>
      <c r="K496" s="396" t="s">
        <v>781</v>
      </c>
      <c r="L496" s="397">
        <v>65.28</v>
      </c>
      <c r="M496" s="396" t="s">
        <v>4314</v>
      </c>
      <c r="N496" s="397">
        <v>569216.06303700001</v>
      </c>
      <c r="O496" s="396" t="s">
        <v>4353</v>
      </c>
    </row>
    <row r="497" spans="1:15" ht="26.4" x14ac:dyDescent="0.4">
      <c r="A497" s="396" t="s">
        <v>3235</v>
      </c>
      <c r="B497" s="394" t="s">
        <v>575</v>
      </c>
      <c r="C497" s="394" t="s">
        <v>2867</v>
      </c>
      <c r="D497" s="394" t="s">
        <v>1323</v>
      </c>
      <c r="E497" s="395" t="s">
        <v>4</v>
      </c>
      <c r="F497" s="396" t="s">
        <v>5269</v>
      </c>
      <c r="G497" s="396" t="s">
        <v>781</v>
      </c>
      <c r="H497" s="396" t="s">
        <v>9289</v>
      </c>
      <c r="I497" s="396" t="s">
        <v>781</v>
      </c>
      <c r="J497" s="396" t="s">
        <v>9289</v>
      </c>
      <c r="K497" s="396" t="s">
        <v>781</v>
      </c>
      <c r="L497" s="397">
        <v>65.23</v>
      </c>
      <c r="M497" s="396" t="s">
        <v>4314</v>
      </c>
      <c r="N497" s="397">
        <v>569281.293037</v>
      </c>
      <c r="O497" s="396" t="s">
        <v>6821</v>
      </c>
    </row>
    <row r="498" spans="1:15" x14ac:dyDescent="0.4">
      <c r="A498" s="396" t="s">
        <v>4480</v>
      </c>
      <c r="B498" s="394" t="s">
        <v>395</v>
      </c>
      <c r="C498" s="394" t="s">
        <v>4481</v>
      </c>
      <c r="D498" s="394" t="s">
        <v>1039</v>
      </c>
      <c r="E498" s="395" t="s">
        <v>713</v>
      </c>
      <c r="F498" s="396" t="s">
        <v>6822</v>
      </c>
      <c r="G498" s="396" t="s">
        <v>781</v>
      </c>
      <c r="H498" s="396" t="s">
        <v>6823</v>
      </c>
      <c r="I498" s="396" t="s">
        <v>781</v>
      </c>
      <c r="J498" s="396" t="s">
        <v>6824</v>
      </c>
      <c r="K498" s="396" t="s">
        <v>781</v>
      </c>
      <c r="L498" s="397">
        <v>65.192001700000006</v>
      </c>
      <c r="M498" s="396" t="s">
        <v>4314</v>
      </c>
      <c r="N498" s="397">
        <v>569346.48503870005</v>
      </c>
      <c r="O498" s="396" t="s">
        <v>9290</v>
      </c>
    </row>
    <row r="499" spans="1:15" x14ac:dyDescent="0.4">
      <c r="A499" s="396" t="s">
        <v>1196</v>
      </c>
      <c r="B499" s="394" t="s">
        <v>490</v>
      </c>
      <c r="C499" s="394" t="s">
        <v>1197</v>
      </c>
      <c r="D499" s="394" t="s">
        <v>1039</v>
      </c>
      <c r="E499" s="395" t="s">
        <v>4</v>
      </c>
      <c r="F499" s="396" t="s">
        <v>5269</v>
      </c>
      <c r="G499" s="396" t="s">
        <v>781</v>
      </c>
      <c r="H499" s="396" t="s">
        <v>9291</v>
      </c>
      <c r="I499" s="396" t="s">
        <v>781</v>
      </c>
      <c r="J499" s="396" t="s">
        <v>9291</v>
      </c>
      <c r="K499" s="396" t="s">
        <v>781</v>
      </c>
      <c r="L499" s="397">
        <v>64.94</v>
      </c>
      <c r="M499" s="396" t="s">
        <v>4314</v>
      </c>
      <c r="N499" s="397">
        <v>569411.42503869999</v>
      </c>
      <c r="O499" s="396" t="s">
        <v>4356</v>
      </c>
    </row>
    <row r="500" spans="1:15" ht="26.4" x14ac:dyDescent="0.4">
      <c r="A500" s="396" t="s">
        <v>4326</v>
      </c>
      <c r="B500" s="394" t="s">
        <v>395</v>
      </c>
      <c r="C500" s="394" t="s">
        <v>4327</v>
      </c>
      <c r="D500" s="394" t="s">
        <v>1039</v>
      </c>
      <c r="E500" s="395" t="s">
        <v>4</v>
      </c>
      <c r="F500" s="396" t="s">
        <v>5413</v>
      </c>
      <c r="G500" s="396" t="s">
        <v>781</v>
      </c>
      <c r="H500" s="396" t="s">
        <v>6825</v>
      </c>
      <c r="I500" s="396" t="s">
        <v>781</v>
      </c>
      <c r="J500" s="396" t="s">
        <v>6826</v>
      </c>
      <c r="K500" s="396" t="s">
        <v>781</v>
      </c>
      <c r="L500" s="397">
        <v>64.654770999999997</v>
      </c>
      <c r="M500" s="396" t="s">
        <v>4314</v>
      </c>
      <c r="N500" s="397">
        <v>569476.07980970002</v>
      </c>
      <c r="O500" s="396" t="s">
        <v>4357</v>
      </c>
    </row>
    <row r="501" spans="1:15" x14ac:dyDescent="0.4">
      <c r="A501" s="396" t="s">
        <v>4340</v>
      </c>
      <c r="B501" s="394" t="s">
        <v>395</v>
      </c>
      <c r="C501" s="394" t="s">
        <v>4341</v>
      </c>
      <c r="D501" s="394" t="s">
        <v>1039</v>
      </c>
      <c r="E501" s="395" t="s">
        <v>7</v>
      </c>
      <c r="F501" s="396" t="s">
        <v>6827</v>
      </c>
      <c r="G501" s="396" t="s">
        <v>781</v>
      </c>
      <c r="H501" s="396" t="s">
        <v>6828</v>
      </c>
      <c r="I501" s="396" t="s">
        <v>781</v>
      </c>
      <c r="J501" s="396" t="s">
        <v>6173</v>
      </c>
      <c r="K501" s="396" t="s">
        <v>781</v>
      </c>
      <c r="L501" s="397">
        <v>64.343075999999996</v>
      </c>
      <c r="M501" s="396" t="s">
        <v>4314</v>
      </c>
      <c r="N501" s="397">
        <v>569540.42288570001</v>
      </c>
      <c r="O501" s="396" t="s">
        <v>4358</v>
      </c>
    </row>
    <row r="502" spans="1:15" x14ac:dyDescent="0.4">
      <c r="A502" s="396" t="s">
        <v>2587</v>
      </c>
      <c r="B502" s="394" t="s">
        <v>395</v>
      </c>
      <c r="C502" s="394" t="s">
        <v>349</v>
      </c>
      <c r="D502" s="394" t="s">
        <v>1039</v>
      </c>
      <c r="E502" s="395" t="s">
        <v>4</v>
      </c>
      <c r="F502" s="396" t="s">
        <v>6829</v>
      </c>
      <c r="G502" s="396" t="s">
        <v>781</v>
      </c>
      <c r="H502" s="396" t="s">
        <v>6830</v>
      </c>
      <c r="I502" s="396" t="s">
        <v>781</v>
      </c>
      <c r="J502" s="396" t="s">
        <v>6831</v>
      </c>
      <c r="K502" s="396" t="s">
        <v>781</v>
      </c>
      <c r="L502" s="397">
        <v>64.151450999999994</v>
      </c>
      <c r="M502" s="396" t="s">
        <v>4314</v>
      </c>
      <c r="N502" s="397">
        <v>569604.57433670003</v>
      </c>
      <c r="O502" s="396" t="s">
        <v>6832</v>
      </c>
    </row>
    <row r="503" spans="1:15" x14ac:dyDescent="0.4">
      <c r="A503" s="396" t="s">
        <v>2284</v>
      </c>
      <c r="B503" s="394" t="s">
        <v>395</v>
      </c>
      <c r="C503" s="394" t="s">
        <v>249</v>
      </c>
      <c r="D503" s="394" t="s">
        <v>1039</v>
      </c>
      <c r="E503" s="395" t="s">
        <v>3</v>
      </c>
      <c r="F503" s="396" t="s">
        <v>9292</v>
      </c>
      <c r="G503" s="396" t="s">
        <v>781</v>
      </c>
      <c r="H503" s="396" t="s">
        <v>5716</v>
      </c>
      <c r="I503" s="396" t="s">
        <v>781</v>
      </c>
      <c r="J503" s="396" t="s">
        <v>9293</v>
      </c>
      <c r="K503" s="396" t="s">
        <v>781</v>
      </c>
      <c r="L503" s="397">
        <v>63.580746912000002</v>
      </c>
      <c r="M503" s="396" t="s">
        <v>4314</v>
      </c>
      <c r="N503" s="397">
        <v>569668.15508359997</v>
      </c>
      <c r="O503" s="396" t="s">
        <v>5886</v>
      </c>
    </row>
    <row r="504" spans="1:15" x14ac:dyDescent="0.4">
      <c r="A504" s="396" t="s">
        <v>2300</v>
      </c>
      <c r="B504" s="394" t="s">
        <v>575</v>
      </c>
      <c r="C504" s="394" t="s">
        <v>1686</v>
      </c>
      <c r="D504" s="394" t="s">
        <v>1039</v>
      </c>
      <c r="E504" s="395" t="s">
        <v>437</v>
      </c>
      <c r="F504" s="396" t="s">
        <v>5323</v>
      </c>
      <c r="G504" s="396" t="s">
        <v>781</v>
      </c>
      <c r="H504" s="396" t="s">
        <v>5420</v>
      </c>
      <c r="I504" s="396" t="s">
        <v>781</v>
      </c>
      <c r="J504" s="396" t="s">
        <v>5421</v>
      </c>
      <c r="K504" s="396" t="s">
        <v>781</v>
      </c>
      <c r="L504" s="397">
        <v>63</v>
      </c>
      <c r="M504" s="396" t="s">
        <v>4314</v>
      </c>
      <c r="N504" s="397">
        <v>569731.15508359997</v>
      </c>
      <c r="O504" s="396" t="s">
        <v>4363</v>
      </c>
    </row>
    <row r="505" spans="1:15" x14ac:dyDescent="0.4">
      <c r="A505" s="396" t="s">
        <v>6833</v>
      </c>
      <c r="B505" s="394" t="s">
        <v>439</v>
      </c>
      <c r="C505" s="394" t="s">
        <v>1111</v>
      </c>
      <c r="D505" s="394" t="s">
        <v>1039</v>
      </c>
      <c r="E505" s="395" t="s">
        <v>437</v>
      </c>
      <c r="F505" s="396" t="s">
        <v>5380</v>
      </c>
      <c r="G505" s="396" t="s">
        <v>781</v>
      </c>
      <c r="H505" s="396" t="s">
        <v>6834</v>
      </c>
      <c r="I505" s="396" t="s">
        <v>781</v>
      </c>
      <c r="J505" s="396" t="s">
        <v>6835</v>
      </c>
      <c r="K505" s="396" t="s">
        <v>781</v>
      </c>
      <c r="L505" s="397">
        <v>62.37</v>
      </c>
      <c r="M505" s="396" t="s">
        <v>4314</v>
      </c>
      <c r="N505" s="397">
        <v>569793.52508359996</v>
      </c>
      <c r="O505" s="396" t="s">
        <v>4366</v>
      </c>
    </row>
    <row r="506" spans="1:15" x14ac:dyDescent="0.4">
      <c r="A506" s="396" t="s">
        <v>2428</v>
      </c>
      <c r="B506" s="394" t="s">
        <v>408</v>
      </c>
      <c r="C506" s="394" t="s">
        <v>2429</v>
      </c>
      <c r="D506" s="394" t="s">
        <v>1039</v>
      </c>
      <c r="E506" s="395" t="s">
        <v>4</v>
      </c>
      <c r="F506" s="396" t="s">
        <v>6836</v>
      </c>
      <c r="G506" s="396" t="s">
        <v>781</v>
      </c>
      <c r="H506" s="396" t="s">
        <v>6837</v>
      </c>
      <c r="I506" s="396" t="s">
        <v>781</v>
      </c>
      <c r="J506" s="396" t="s">
        <v>6838</v>
      </c>
      <c r="K506" s="396" t="s">
        <v>781</v>
      </c>
      <c r="L506" s="397">
        <v>61.627499999999998</v>
      </c>
      <c r="M506" s="396" t="s">
        <v>4314</v>
      </c>
      <c r="N506" s="397">
        <v>569855.15258360002</v>
      </c>
      <c r="O506" s="396" t="s">
        <v>4367</v>
      </c>
    </row>
    <row r="507" spans="1:15" ht="26.4" x14ac:dyDescent="0.4">
      <c r="A507" s="396" t="s">
        <v>3250</v>
      </c>
      <c r="B507" s="394" t="s">
        <v>2616</v>
      </c>
      <c r="C507" s="394" t="s">
        <v>3251</v>
      </c>
      <c r="D507" s="394" t="s">
        <v>1053</v>
      </c>
      <c r="E507" s="395" t="s">
        <v>6</v>
      </c>
      <c r="F507" s="396" t="s">
        <v>5273</v>
      </c>
      <c r="G507" s="396" t="s">
        <v>781</v>
      </c>
      <c r="H507" s="396" t="s">
        <v>6699</v>
      </c>
      <c r="I507" s="396" t="s">
        <v>781</v>
      </c>
      <c r="J507" s="396" t="s">
        <v>6839</v>
      </c>
      <c r="K507" s="396" t="s">
        <v>781</v>
      </c>
      <c r="L507" s="397">
        <v>61.58</v>
      </c>
      <c r="M507" s="396" t="s">
        <v>4314</v>
      </c>
      <c r="N507" s="397">
        <v>569916.73258359998</v>
      </c>
      <c r="O507" s="396" t="s">
        <v>9294</v>
      </c>
    </row>
    <row r="508" spans="1:15" x14ac:dyDescent="0.4">
      <c r="A508" s="396" t="s">
        <v>1194</v>
      </c>
      <c r="B508" s="394" t="s">
        <v>490</v>
      </c>
      <c r="C508" s="394" t="s">
        <v>1195</v>
      </c>
      <c r="D508" s="394" t="s">
        <v>1039</v>
      </c>
      <c r="E508" s="395" t="s">
        <v>4</v>
      </c>
      <c r="F508" s="396" t="s">
        <v>5284</v>
      </c>
      <c r="G508" s="396" t="s">
        <v>781</v>
      </c>
      <c r="H508" s="396" t="s">
        <v>9295</v>
      </c>
      <c r="I508" s="396" t="s">
        <v>781</v>
      </c>
      <c r="J508" s="396" t="s">
        <v>9296</v>
      </c>
      <c r="K508" s="396" t="s">
        <v>781</v>
      </c>
      <c r="L508" s="397">
        <v>61.41</v>
      </c>
      <c r="M508" s="396" t="s">
        <v>4314</v>
      </c>
      <c r="N508" s="397">
        <v>569978.14258360001</v>
      </c>
      <c r="O508" s="396" t="s">
        <v>6840</v>
      </c>
    </row>
    <row r="509" spans="1:15" x14ac:dyDescent="0.4">
      <c r="A509" s="396" t="s">
        <v>2266</v>
      </c>
      <c r="B509" s="394" t="s">
        <v>575</v>
      </c>
      <c r="C509" s="394" t="s">
        <v>2025</v>
      </c>
      <c r="D509" s="394" t="s">
        <v>1039</v>
      </c>
      <c r="E509" s="395" t="s">
        <v>4</v>
      </c>
      <c r="F509" s="396" t="s">
        <v>5269</v>
      </c>
      <c r="G509" s="396" t="s">
        <v>781</v>
      </c>
      <c r="H509" s="396" t="s">
        <v>9297</v>
      </c>
      <c r="I509" s="396" t="s">
        <v>781</v>
      </c>
      <c r="J509" s="396" t="s">
        <v>9297</v>
      </c>
      <c r="K509" s="396" t="s">
        <v>781</v>
      </c>
      <c r="L509" s="397">
        <v>60.88</v>
      </c>
      <c r="M509" s="396" t="s">
        <v>4314</v>
      </c>
      <c r="N509" s="397">
        <v>570039.02258360002</v>
      </c>
      <c r="O509" s="396" t="s">
        <v>4370</v>
      </c>
    </row>
    <row r="510" spans="1:15" ht="26.4" x14ac:dyDescent="0.4">
      <c r="A510" s="396" t="s">
        <v>1497</v>
      </c>
      <c r="B510" s="394" t="s">
        <v>5902</v>
      </c>
      <c r="C510" s="394" t="s">
        <v>1498</v>
      </c>
      <c r="D510" s="394" t="s">
        <v>1039</v>
      </c>
      <c r="E510" s="395" t="s">
        <v>4</v>
      </c>
      <c r="F510" s="396" t="s">
        <v>5269</v>
      </c>
      <c r="G510" s="396" t="s">
        <v>781</v>
      </c>
      <c r="H510" s="396" t="s">
        <v>6844</v>
      </c>
      <c r="I510" s="396" t="s">
        <v>781</v>
      </c>
      <c r="J510" s="396" t="s">
        <v>6844</v>
      </c>
      <c r="K510" s="396" t="s">
        <v>781</v>
      </c>
      <c r="L510" s="397">
        <v>60.66</v>
      </c>
      <c r="M510" s="396" t="s">
        <v>4314</v>
      </c>
      <c r="N510" s="397">
        <v>570099.68258360005</v>
      </c>
      <c r="O510" s="396" t="s">
        <v>4373</v>
      </c>
    </row>
    <row r="511" spans="1:15" ht="26.4" x14ac:dyDescent="0.4">
      <c r="A511" s="396" t="s">
        <v>2313</v>
      </c>
      <c r="B511" s="394" t="s">
        <v>5902</v>
      </c>
      <c r="C511" s="394" t="s">
        <v>2314</v>
      </c>
      <c r="D511" s="394" t="s">
        <v>1039</v>
      </c>
      <c r="E511" s="395" t="s">
        <v>3</v>
      </c>
      <c r="F511" s="396" t="s">
        <v>5409</v>
      </c>
      <c r="G511" s="396" t="s">
        <v>781</v>
      </c>
      <c r="H511" s="396" t="s">
        <v>6845</v>
      </c>
      <c r="I511" s="396" t="s">
        <v>781</v>
      </c>
      <c r="J511" s="396" t="s">
        <v>6846</v>
      </c>
      <c r="K511" s="396" t="s">
        <v>781</v>
      </c>
      <c r="L511" s="397">
        <v>60.515000000000001</v>
      </c>
      <c r="M511" s="396" t="s">
        <v>4314</v>
      </c>
      <c r="N511" s="397">
        <v>570160.19758359995</v>
      </c>
      <c r="O511" s="396" t="s">
        <v>4374</v>
      </c>
    </row>
    <row r="512" spans="1:15" x14ac:dyDescent="0.4">
      <c r="A512" s="396" t="s">
        <v>1121</v>
      </c>
      <c r="B512" s="394" t="s">
        <v>420</v>
      </c>
      <c r="C512" s="394" t="s">
        <v>444</v>
      </c>
      <c r="D512" s="394" t="s">
        <v>1039</v>
      </c>
      <c r="E512" s="395" t="s">
        <v>422</v>
      </c>
      <c r="F512" s="396" t="s">
        <v>5273</v>
      </c>
      <c r="G512" s="396" t="s">
        <v>781</v>
      </c>
      <c r="H512" s="396" t="s">
        <v>9298</v>
      </c>
      <c r="I512" s="396" t="s">
        <v>781</v>
      </c>
      <c r="J512" s="396" t="s">
        <v>9299</v>
      </c>
      <c r="K512" s="396" t="s">
        <v>781</v>
      </c>
      <c r="L512" s="397">
        <v>60.44</v>
      </c>
      <c r="M512" s="396" t="s">
        <v>4314</v>
      </c>
      <c r="N512" s="397">
        <v>570220.63758360001</v>
      </c>
      <c r="O512" s="396" t="s">
        <v>4375</v>
      </c>
    </row>
    <row r="513" spans="1:15" ht="26.4" x14ac:dyDescent="0.4">
      <c r="A513" s="396" t="s">
        <v>6856</v>
      </c>
      <c r="B513" s="394" t="s">
        <v>420</v>
      </c>
      <c r="C513" s="394" t="s">
        <v>6857</v>
      </c>
      <c r="D513" s="394" t="s">
        <v>1039</v>
      </c>
      <c r="E513" s="395" t="s">
        <v>422</v>
      </c>
      <c r="F513" s="396" t="s">
        <v>5269</v>
      </c>
      <c r="G513" s="396" t="s">
        <v>781</v>
      </c>
      <c r="H513" s="396" t="s">
        <v>9300</v>
      </c>
      <c r="I513" s="396" t="s">
        <v>781</v>
      </c>
      <c r="J513" s="396" t="s">
        <v>9300</v>
      </c>
      <c r="K513" s="396" t="s">
        <v>781</v>
      </c>
      <c r="L513" s="397">
        <v>60.37</v>
      </c>
      <c r="M513" s="396" t="s">
        <v>4314</v>
      </c>
      <c r="N513" s="397">
        <v>570281.0075836</v>
      </c>
      <c r="O513" s="396" t="s">
        <v>6848</v>
      </c>
    </row>
    <row r="514" spans="1:15" ht="26.4" x14ac:dyDescent="0.4">
      <c r="A514" s="396" t="s">
        <v>4289</v>
      </c>
      <c r="B514" s="394" t="s">
        <v>395</v>
      </c>
      <c r="C514" s="394" t="s">
        <v>4290</v>
      </c>
      <c r="D514" s="394" t="s">
        <v>1039</v>
      </c>
      <c r="E514" s="395" t="s">
        <v>4</v>
      </c>
      <c r="F514" s="396" t="s">
        <v>5269</v>
      </c>
      <c r="G514" s="396" t="s">
        <v>781</v>
      </c>
      <c r="H514" s="396" t="s">
        <v>6847</v>
      </c>
      <c r="I514" s="396" t="s">
        <v>781</v>
      </c>
      <c r="J514" s="396" t="s">
        <v>6847</v>
      </c>
      <c r="K514" s="396" t="s">
        <v>781</v>
      </c>
      <c r="L514" s="397">
        <v>60.15</v>
      </c>
      <c r="M514" s="396" t="s">
        <v>4314</v>
      </c>
      <c r="N514" s="397">
        <v>570341.15758360003</v>
      </c>
      <c r="O514" s="396" t="s">
        <v>4376</v>
      </c>
    </row>
    <row r="515" spans="1:15" x14ac:dyDescent="0.4">
      <c r="A515" s="396" t="s">
        <v>676</v>
      </c>
      <c r="B515" s="394" t="s">
        <v>420</v>
      </c>
      <c r="C515" s="394" t="s">
        <v>1390</v>
      </c>
      <c r="D515" s="394" t="s">
        <v>1039</v>
      </c>
      <c r="E515" s="395" t="s">
        <v>422</v>
      </c>
      <c r="F515" s="396" t="s">
        <v>5400</v>
      </c>
      <c r="G515" s="396" t="s">
        <v>781</v>
      </c>
      <c r="H515" s="396" t="s">
        <v>5806</v>
      </c>
      <c r="I515" s="396" t="s">
        <v>781</v>
      </c>
      <c r="J515" s="396" t="s">
        <v>5420</v>
      </c>
      <c r="K515" s="396" t="s">
        <v>781</v>
      </c>
      <c r="L515" s="397">
        <v>60</v>
      </c>
      <c r="M515" s="396" t="s">
        <v>4314</v>
      </c>
      <c r="N515" s="397">
        <v>570401.15758360003</v>
      </c>
      <c r="O515" s="396" t="s">
        <v>5887</v>
      </c>
    </row>
    <row r="516" spans="1:15" ht="26.4" x14ac:dyDescent="0.4">
      <c r="A516" s="396" t="s">
        <v>1073</v>
      </c>
      <c r="B516" s="394" t="s">
        <v>420</v>
      </c>
      <c r="C516" s="394" t="s">
        <v>421</v>
      </c>
      <c r="D516" s="394" t="s">
        <v>1039</v>
      </c>
      <c r="E516" s="395" t="s">
        <v>422</v>
      </c>
      <c r="F516" s="396" t="s">
        <v>5273</v>
      </c>
      <c r="G516" s="396" t="s">
        <v>781</v>
      </c>
      <c r="H516" s="396" t="s">
        <v>6849</v>
      </c>
      <c r="I516" s="396" t="s">
        <v>781</v>
      </c>
      <c r="J516" s="396" t="s">
        <v>5422</v>
      </c>
      <c r="K516" s="396" t="s">
        <v>781</v>
      </c>
      <c r="L516" s="397">
        <v>59.9</v>
      </c>
      <c r="M516" s="396" t="s">
        <v>4314</v>
      </c>
      <c r="N516" s="397">
        <v>570461.05758360005</v>
      </c>
      <c r="O516" s="396" t="s">
        <v>4377</v>
      </c>
    </row>
    <row r="517" spans="1:15" ht="26.4" x14ac:dyDescent="0.4">
      <c r="A517" s="396" t="s">
        <v>6850</v>
      </c>
      <c r="B517" s="394" t="s">
        <v>420</v>
      </c>
      <c r="C517" s="394" t="s">
        <v>6851</v>
      </c>
      <c r="D517" s="394" t="s">
        <v>1039</v>
      </c>
      <c r="E517" s="395" t="s">
        <v>422</v>
      </c>
      <c r="F517" s="396" t="s">
        <v>5269</v>
      </c>
      <c r="G517" s="396" t="s">
        <v>781</v>
      </c>
      <c r="H517" s="396" t="s">
        <v>6852</v>
      </c>
      <c r="I517" s="396" t="s">
        <v>781</v>
      </c>
      <c r="J517" s="396" t="s">
        <v>6852</v>
      </c>
      <c r="K517" s="396" t="s">
        <v>781</v>
      </c>
      <c r="L517" s="397">
        <v>59.88</v>
      </c>
      <c r="M517" s="396" t="s">
        <v>4314</v>
      </c>
      <c r="N517" s="397">
        <v>570520.93758360005</v>
      </c>
      <c r="O517" s="396" t="s">
        <v>4378</v>
      </c>
    </row>
    <row r="518" spans="1:15" ht="26.4" x14ac:dyDescent="0.4">
      <c r="A518" s="396" t="s">
        <v>4322</v>
      </c>
      <c r="B518" s="394" t="s">
        <v>395</v>
      </c>
      <c r="C518" s="394" t="s">
        <v>4323</v>
      </c>
      <c r="D518" s="394" t="s">
        <v>1039</v>
      </c>
      <c r="E518" s="395" t="s">
        <v>4</v>
      </c>
      <c r="F518" s="396" t="s">
        <v>5269</v>
      </c>
      <c r="G518" s="396" t="s">
        <v>781</v>
      </c>
      <c r="H518" s="396" t="s">
        <v>6853</v>
      </c>
      <c r="I518" s="396" t="s">
        <v>781</v>
      </c>
      <c r="J518" s="396" t="s">
        <v>6853</v>
      </c>
      <c r="K518" s="396" t="s">
        <v>781</v>
      </c>
      <c r="L518" s="397">
        <v>59.8</v>
      </c>
      <c r="M518" s="396" t="s">
        <v>4314</v>
      </c>
      <c r="N518" s="397">
        <v>570580.73758359998</v>
      </c>
      <c r="O518" s="396" t="s">
        <v>4379</v>
      </c>
    </row>
    <row r="519" spans="1:15" x14ac:dyDescent="0.4">
      <c r="A519" s="396" t="s">
        <v>3141</v>
      </c>
      <c r="B519" s="394" t="s">
        <v>2661</v>
      </c>
      <c r="C519" s="394" t="s">
        <v>3142</v>
      </c>
      <c r="D519" s="394" t="s">
        <v>1053</v>
      </c>
      <c r="E519" s="395" t="s">
        <v>6</v>
      </c>
      <c r="F519" s="396" t="s">
        <v>5273</v>
      </c>
      <c r="G519" s="396" t="s">
        <v>781</v>
      </c>
      <c r="H519" s="396" t="s">
        <v>6854</v>
      </c>
      <c r="I519" s="396" t="s">
        <v>781</v>
      </c>
      <c r="J519" s="396" t="s">
        <v>6855</v>
      </c>
      <c r="K519" s="396" t="s">
        <v>781</v>
      </c>
      <c r="L519" s="397">
        <v>59.7</v>
      </c>
      <c r="M519" s="396" t="s">
        <v>4314</v>
      </c>
      <c r="N519" s="397">
        <v>570640.43758360005</v>
      </c>
      <c r="O519" s="396" t="s">
        <v>9301</v>
      </c>
    </row>
    <row r="520" spans="1:15" ht="26.4" x14ac:dyDescent="0.4">
      <c r="A520" s="396" t="s">
        <v>6861</v>
      </c>
      <c r="B520" s="394" t="s">
        <v>420</v>
      </c>
      <c r="C520" s="394" t="s">
        <v>6862</v>
      </c>
      <c r="D520" s="394" t="s">
        <v>1039</v>
      </c>
      <c r="E520" s="395" t="s">
        <v>713</v>
      </c>
      <c r="F520" s="396" t="s">
        <v>6863</v>
      </c>
      <c r="G520" s="396" t="s">
        <v>781</v>
      </c>
      <c r="H520" s="396" t="s">
        <v>9302</v>
      </c>
      <c r="I520" s="396" t="s">
        <v>781</v>
      </c>
      <c r="J520" s="396" t="s">
        <v>9303</v>
      </c>
      <c r="K520" s="396" t="s">
        <v>781</v>
      </c>
      <c r="L520" s="397">
        <v>59.174639999999997</v>
      </c>
      <c r="M520" s="396" t="s">
        <v>4314</v>
      </c>
      <c r="N520" s="397">
        <v>570699.61222360004</v>
      </c>
      <c r="O520" s="396" t="s">
        <v>5439</v>
      </c>
    </row>
    <row r="521" spans="1:15" ht="26.4" x14ac:dyDescent="0.4">
      <c r="A521" s="396" t="s">
        <v>6841</v>
      </c>
      <c r="B521" s="394" t="s">
        <v>420</v>
      </c>
      <c r="C521" s="394" t="s">
        <v>6842</v>
      </c>
      <c r="D521" s="394" t="s">
        <v>1039</v>
      </c>
      <c r="E521" s="395" t="s">
        <v>437</v>
      </c>
      <c r="F521" s="396" t="s">
        <v>5431</v>
      </c>
      <c r="G521" s="396" t="s">
        <v>781</v>
      </c>
      <c r="H521" s="396" t="s">
        <v>7499</v>
      </c>
      <c r="I521" s="396" t="s">
        <v>781</v>
      </c>
      <c r="J521" s="396" t="s">
        <v>9304</v>
      </c>
      <c r="K521" s="396" t="s">
        <v>781</v>
      </c>
      <c r="L521" s="397">
        <v>58.8</v>
      </c>
      <c r="M521" s="396" t="s">
        <v>4314</v>
      </c>
      <c r="N521" s="397">
        <v>570758.41222359997</v>
      </c>
      <c r="O521" s="396" t="s">
        <v>6858</v>
      </c>
    </row>
    <row r="522" spans="1:15" ht="26.4" x14ac:dyDescent="0.4">
      <c r="A522" s="396" t="s">
        <v>2305</v>
      </c>
      <c r="B522" s="394" t="s">
        <v>5902</v>
      </c>
      <c r="C522" s="394" t="s">
        <v>2306</v>
      </c>
      <c r="D522" s="394" t="s">
        <v>1039</v>
      </c>
      <c r="E522" s="395" t="s">
        <v>7</v>
      </c>
      <c r="F522" s="396" t="s">
        <v>5380</v>
      </c>
      <c r="G522" s="396" t="s">
        <v>781</v>
      </c>
      <c r="H522" s="396" t="s">
        <v>6859</v>
      </c>
      <c r="I522" s="396" t="s">
        <v>781</v>
      </c>
      <c r="J522" s="396" t="s">
        <v>6860</v>
      </c>
      <c r="K522" s="396" t="s">
        <v>781</v>
      </c>
      <c r="L522" s="397">
        <v>58.597000000000001</v>
      </c>
      <c r="M522" s="396" t="s">
        <v>4314</v>
      </c>
      <c r="N522" s="397">
        <v>570817.00922360003</v>
      </c>
      <c r="O522" s="396" t="s">
        <v>4382</v>
      </c>
    </row>
    <row r="523" spans="1:15" ht="26.4" x14ac:dyDescent="0.4">
      <c r="A523" s="396" t="s">
        <v>1623</v>
      </c>
      <c r="B523" s="394" t="s">
        <v>5902</v>
      </c>
      <c r="C523" s="394" t="s">
        <v>1624</v>
      </c>
      <c r="D523" s="394" t="s">
        <v>1039</v>
      </c>
      <c r="E523" s="395" t="s">
        <v>7</v>
      </c>
      <c r="F523" s="396" t="s">
        <v>9305</v>
      </c>
      <c r="G523" s="396" t="s">
        <v>781</v>
      </c>
      <c r="H523" s="396" t="s">
        <v>5578</v>
      </c>
      <c r="I523" s="396" t="s">
        <v>781</v>
      </c>
      <c r="J523" s="396" t="s">
        <v>9306</v>
      </c>
      <c r="K523" s="396" t="s">
        <v>781</v>
      </c>
      <c r="L523" s="397">
        <v>58.415399999999998</v>
      </c>
      <c r="M523" s="396" t="s">
        <v>4314</v>
      </c>
      <c r="N523" s="397">
        <v>570875.42462359997</v>
      </c>
      <c r="O523" s="396" t="s">
        <v>4385</v>
      </c>
    </row>
    <row r="524" spans="1:15" ht="26.4" x14ac:dyDescent="0.4">
      <c r="A524" s="396" t="s">
        <v>6864</v>
      </c>
      <c r="B524" s="394" t="s">
        <v>395</v>
      </c>
      <c r="C524" s="394" t="s">
        <v>6865</v>
      </c>
      <c r="D524" s="394" t="s">
        <v>1039</v>
      </c>
      <c r="E524" s="395" t="s">
        <v>4</v>
      </c>
      <c r="F524" s="396" t="s">
        <v>6866</v>
      </c>
      <c r="G524" s="396" t="s">
        <v>781</v>
      </c>
      <c r="H524" s="396" t="s">
        <v>6377</v>
      </c>
      <c r="I524" s="396" t="s">
        <v>781</v>
      </c>
      <c r="J524" s="396" t="s">
        <v>6867</v>
      </c>
      <c r="K524" s="396" t="s">
        <v>781</v>
      </c>
      <c r="L524" s="397">
        <v>58.038341440000004</v>
      </c>
      <c r="M524" s="396" t="s">
        <v>4314</v>
      </c>
      <c r="N524" s="397">
        <v>570933.46296499996</v>
      </c>
      <c r="O524" s="396" t="s">
        <v>5888</v>
      </c>
    </row>
    <row r="525" spans="1:15" x14ac:dyDescent="0.4">
      <c r="A525" s="396" t="s">
        <v>3165</v>
      </c>
      <c r="B525" s="394" t="s">
        <v>395</v>
      </c>
      <c r="C525" s="394" t="s">
        <v>3166</v>
      </c>
      <c r="D525" s="394" t="s">
        <v>1053</v>
      </c>
      <c r="E525" s="395" t="s">
        <v>6</v>
      </c>
      <c r="F525" s="396" t="s">
        <v>6868</v>
      </c>
      <c r="G525" s="396" t="s">
        <v>781</v>
      </c>
      <c r="H525" s="396" t="s">
        <v>6869</v>
      </c>
      <c r="I525" s="396" t="s">
        <v>781</v>
      </c>
      <c r="J525" s="396" t="s">
        <v>6870</v>
      </c>
      <c r="K525" s="396" t="s">
        <v>781</v>
      </c>
      <c r="L525" s="397">
        <v>57.933457494000002</v>
      </c>
      <c r="M525" s="396" t="s">
        <v>4314</v>
      </c>
      <c r="N525" s="397">
        <v>570991.39642250002</v>
      </c>
      <c r="O525" s="396" t="s">
        <v>4386</v>
      </c>
    </row>
    <row r="526" spans="1:15" ht="26.4" x14ac:dyDescent="0.4">
      <c r="A526" s="396" t="s">
        <v>6871</v>
      </c>
      <c r="B526" s="394" t="s">
        <v>420</v>
      </c>
      <c r="C526" s="394" t="s">
        <v>6872</v>
      </c>
      <c r="D526" s="394" t="s">
        <v>1039</v>
      </c>
      <c r="E526" s="395" t="s">
        <v>713</v>
      </c>
      <c r="F526" s="396" t="s">
        <v>6873</v>
      </c>
      <c r="G526" s="396" t="s">
        <v>781</v>
      </c>
      <c r="H526" s="396" t="s">
        <v>9307</v>
      </c>
      <c r="I526" s="396" t="s">
        <v>781</v>
      </c>
      <c r="J526" s="396" t="s">
        <v>9308</v>
      </c>
      <c r="K526" s="396" t="s">
        <v>781</v>
      </c>
      <c r="L526" s="397">
        <v>57.898800000000001</v>
      </c>
      <c r="M526" s="396" t="s">
        <v>4314</v>
      </c>
      <c r="N526" s="397">
        <v>571049.29522249999</v>
      </c>
      <c r="O526" s="396" t="s">
        <v>4387</v>
      </c>
    </row>
    <row r="527" spans="1:15" x14ac:dyDescent="0.4">
      <c r="A527" s="396" t="s">
        <v>4403</v>
      </c>
      <c r="B527" s="394" t="s">
        <v>395</v>
      </c>
      <c r="C527" s="394" t="s">
        <v>4404</v>
      </c>
      <c r="D527" s="394" t="s">
        <v>1039</v>
      </c>
      <c r="E527" s="395" t="s">
        <v>4</v>
      </c>
      <c r="F527" s="396" t="s">
        <v>5269</v>
      </c>
      <c r="G527" s="396" t="s">
        <v>781</v>
      </c>
      <c r="H527" s="396" t="s">
        <v>6874</v>
      </c>
      <c r="I527" s="396" t="s">
        <v>781</v>
      </c>
      <c r="J527" s="396" t="s">
        <v>6874</v>
      </c>
      <c r="K527" s="396" t="s">
        <v>781</v>
      </c>
      <c r="L527" s="397">
        <v>57.19</v>
      </c>
      <c r="M527" s="396" t="s">
        <v>4314</v>
      </c>
      <c r="N527" s="397">
        <v>571106.48522250005</v>
      </c>
      <c r="O527" s="396" t="s">
        <v>5445</v>
      </c>
    </row>
    <row r="528" spans="1:15" x14ac:dyDescent="0.4">
      <c r="A528" s="396" t="s">
        <v>3240</v>
      </c>
      <c r="B528" s="394" t="s">
        <v>420</v>
      </c>
      <c r="C528" s="394" t="s">
        <v>3241</v>
      </c>
      <c r="D528" s="394" t="s">
        <v>1039</v>
      </c>
      <c r="E528" s="395" t="s">
        <v>422</v>
      </c>
      <c r="F528" s="396" t="s">
        <v>5269</v>
      </c>
      <c r="G528" s="396" t="s">
        <v>781</v>
      </c>
      <c r="H528" s="396" t="s">
        <v>9309</v>
      </c>
      <c r="I528" s="396" t="s">
        <v>781</v>
      </c>
      <c r="J528" s="396" t="s">
        <v>9309</v>
      </c>
      <c r="K528" s="396" t="s">
        <v>781</v>
      </c>
      <c r="L528" s="397">
        <v>56.72</v>
      </c>
      <c r="M528" s="396" t="s">
        <v>4314</v>
      </c>
      <c r="N528" s="397">
        <v>571163.20522250002</v>
      </c>
      <c r="O528" s="396" t="s">
        <v>4388</v>
      </c>
    </row>
    <row r="529" spans="1:15" ht="26.4" x14ac:dyDescent="0.4">
      <c r="A529" s="396" t="s">
        <v>4268</v>
      </c>
      <c r="B529" s="394" t="s">
        <v>395</v>
      </c>
      <c r="C529" s="394" t="s">
        <v>4269</v>
      </c>
      <c r="D529" s="394" t="s">
        <v>1317</v>
      </c>
      <c r="E529" s="395" t="s">
        <v>6</v>
      </c>
      <c r="F529" s="396" t="s">
        <v>9131</v>
      </c>
      <c r="G529" s="396" t="s">
        <v>781</v>
      </c>
      <c r="H529" s="396" t="s">
        <v>5750</v>
      </c>
      <c r="I529" s="396" t="s">
        <v>781</v>
      </c>
      <c r="J529" s="396" t="s">
        <v>9310</v>
      </c>
      <c r="K529" s="396" t="s">
        <v>781</v>
      </c>
      <c r="L529" s="397">
        <v>56.687108928000001</v>
      </c>
      <c r="M529" s="396" t="s">
        <v>4314</v>
      </c>
      <c r="N529" s="397">
        <v>571219.89233139995</v>
      </c>
      <c r="O529" s="396" t="s">
        <v>4389</v>
      </c>
    </row>
    <row r="530" spans="1:15" x14ac:dyDescent="0.4">
      <c r="A530" s="396" t="s">
        <v>1591</v>
      </c>
      <c r="B530" s="394" t="s">
        <v>408</v>
      </c>
      <c r="C530" s="394" t="s">
        <v>1592</v>
      </c>
      <c r="D530" s="394" t="s">
        <v>1039</v>
      </c>
      <c r="E530" s="395" t="s">
        <v>6</v>
      </c>
      <c r="F530" s="396" t="s">
        <v>5441</v>
      </c>
      <c r="G530" s="396" t="s">
        <v>781</v>
      </c>
      <c r="H530" s="396" t="s">
        <v>6877</v>
      </c>
      <c r="I530" s="396" t="s">
        <v>781</v>
      </c>
      <c r="J530" s="396" t="s">
        <v>6878</v>
      </c>
      <c r="K530" s="396" t="s">
        <v>781</v>
      </c>
      <c r="L530" s="397">
        <v>55.979840000000003</v>
      </c>
      <c r="M530" s="396" t="s">
        <v>4314</v>
      </c>
      <c r="N530" s="397">
        <v>571275.8721714</v>
      </c>
      <c r="O530" s="396" t="s">
        <v>4390</v>
      </c>
    </row>
    <row r="531" spans="1:15" ht="26.4" x14ac:dyDescent="0.4">
      <c r="A531" s="396" t="s">
        <v>4407</v>
      </c>
      <c r="B531" s="394" t="s">
        <v>395</v>
      </c>
      <c r="C531" s="394" t="s">
        <v>4408</v>
      </c>
      <c r="D531" s="394" t="s">
        <v>1039</v>
      </c>
      <c r="E531" s="395" t="s">
        <v>4</v>
      </c>
      <c r="F531" s="396" t="s">
        <v>5269</v>
      </c>
      <c r="G531" s="396" t="s">
        <v>781</v>
      </c>
      <c r="H531" s="396" t="s">
        <v>6880</v>
      </c>
      <c r="I531" s="396" t="s">
        <v>781</v>
      </c>
      <c r="J531" s="396" t="s">
        <v>6880</v>
      </c>
      <c r="K531" s="396" t="s">
        <v>781</v>
      </c>
      <c r="L531" s="397">
        <v>55.11</v>
      </c>
      <c r="M531" s="396" t="s">
        <v>4314</v>
      </c>
      <c r="N531" s="397">
        <v>571330.98217139998</v>
      </c>
      <c r="O531" s="396" t="s">
        <v>6879</v>
      </c>
    </row>
    <row r="532" spans="1:15" ht="26.4" x14ac:dyDescent="0.4">
      <c r="A532" s="396" t="s">
        <v>2403</v>
      </c>
      <c r="B532" s="394" t="s">
        <v>575</v>
      </c>
      <c r="C532" s="394" t="s">
        <v>253</v>
      </c>
      <c r="D532" s="394" t="s">
        <v>1039</v>
      </c>
      <c r="E532" s="395" t="s">
        <v>7</v>
      </c>
      <c r="F532" s="396" t="s">
        <v>5269</v>
      </c>
      <c r="G532" s="396" t="s">
        <v>781</v>
      </c>
      <c r="H532" s="396" t="s">
        <v>9311</v>
      </c>
      <c r="I532" s="396" t="s">
        <v>781</v>
      </c>
      <c r="J532" s="396" t="s">
        <v>9311</v>
      </c>
      <c r="K532" s="396" t="s">
        <v>781</v>
      </c>
      <c r="L532" s="397">
        <v>55.08</v>
      </c>
      <c r="M532" s="396" t="s">
        <v>4314</v>
      </c>
      <c r="N532" s="397">
        <v>571386.06217139994</v>
      </c>
      <c r="O532" s="396" t="s">
        <v>4391</v>
      </c>
    </row>
    <row r="533" spans="1:15" ht="39.6" x14ac:dyDescent="0.4">
      <c r="A533" s="396" t="s">
        <v>1208</v>
      </c>
      <c r="B533" s="394" t="s">
        <v>5902</v>
      </c>
      <c r="C533" s="394" t="s">
        <v>1209</v>
      </c>
      <c r="D533" s="394" t="s">
        <v>1039</v>
      </c>
      <c r="E533" s="395" t="s">
        <v>7</v>
      </c>
      <c r="F533" s="396" t="s">
        <v>5345</v>
      </c>
      <c r="G533" s="396" t="s">
        <v>781</v>
      </c>
      <c r="H533" s="396" t="s">
        <v>6881</v>
      </c>
      <c r="I533" s="396" t="s">
        <v>781</v>
      </c>
      <c r="J533" s="396" t="s">
        <v>6882</v>
      </c>
      <c r="K533" s="396" t="s">
        <v>781</v>
      </c>
      <c r="L533" s="397">
        <v>55.018799999999999</v>
      </c>
      <c r="M533" s="396" t="s">
        <v>4314</v>
      </c>
      <c r="N533" s="397">
        <v>571441.08097140002</v>
      </c>
      <c r="O533" s="396" t="s">
        <v>4392</v>
      </c>
    </row>
    <row r="534" spans="1:15" ht="26.4" x14ac:dyDescent="0.4">
      <c r="A534" s="396" t="s">
        <v>1118</v>
      </c>
      <c r="B534" s="394" t="s">
        <v>420</v>
      </c>
      <c r="C534" s="394" t="s">
        <v>1119</v>
      </c>
      <c r="D534" s="394" t="s">
        <v>1039</v>
      </c>
      <c r="E534" s="395" t="s">
        <v>422</v>
      </c>
      <c r="F534" s="396" t="s">
        <v>5269</v>
      </c>
      <c r="G534" s="396" t="s">
        <v>781</v>
      </c>
      <c r="H534" s="396" t="s">
        <v>5689</v>
      </c>
      <c r="I534" s="396" t="s">
        <v>781</v>
      </c>
      <c r="J534" s="396" t="s">
        <v>5689</v>
      </c>
      <c r="K534" s="396" t="s">
        <v>781</v>
      </c>
      <c r="L534" s="397">
        <v>55</v>
      </c>
      <c r="M534" s="396" t="s">
        <v>4314</v>
      </c>
      <c r="N534" s="397">
        <v>571496.08097140002</v>
      </c>
      <c r="O534" s="396" t="s">
        <v>4393</v>
      </c>
    </row>
    <row r="535" spans="1:15" x14ac:dyDescent="0.4">
      <c r="A535" s="396" t="s">
        <v>4420</v>
      </c>
      <c r="B535" s="394" t="s">
        <v>395</v>
      </c>
      <c r="C535" s="394" t="s">
        <v>4421</v>
      </c>
      <c r="D535" s="394" t="s">
        <v>1039</v>
      </c>
      <c r="E535" s="395" t="s">
        <v>4</v>
      </c>
      <c r="F535" s="396" t="s">
        <v>5269</v>
      </c>
      <c r="G535" s="396" t="s">
        <v>781</v>
      </c>
      <c r="H535" s="396" t="s">
        <v>6883</v>
      </c>
      <c r="I535" s="396" t="s">
        <v>781</v>
      </c>
      <c r="J535" s="396" t="s">
        <v>6883</v>
      </c>
      <c r="K535" s="396" t="s">
        <v>781</v>
      </c>
      <c r="L535" s="397">
        <v>54.64</v>
      </c>
      <c r="M535" s="396" t="s">
        <v>4314</v>
      </c>
      <c r="N535" s="397">
        <v>571550.72097140003</v>
      </c>
      <c r="O535" s="396" t="s">
        <v>4396</v>
      </c>
    </row>
    <row r="536" spans="1:15" ht="26.4" x14ac:dyDescent="0.4">
      <c r="A536" s="396" t="s">
        <v>9312</v>
      </c>
      <c r="B536" s="394" t="s">
        <v>5902</v>
      </c>
      <c r="C536" s="394" t="s">
        <v>9313</v>
      </c>
      <c r="D536" s="394" t="s">
        <v>1039</v>
      </c>
      <c r="E536" s="395" t="s">
        <v>4</v>
      </c>
      <c r="F536" s="396" t="s">
        <v>5273</v>
      </c>
      <c r="G536" s="396" t="s">
        <v>781</v>
      </c>
      <c r="H536" s="396" t="s">
        <v>9314</v>
      </c>
      <c r="I536" s="396" t="s">
        <v>781</v>
      </c>
      <c r="J536" s="396" t="s">
        <v>9315</v>
      </c>
      <c r="K536" s="396" t="s">
        <v>781</v>
      </c>
      <c r="L536" s="397">
        <v>54.54</v>
      </c>
      <c r="M536" s="396" t="s">
        <v>4314</v>
      </c>
      <c r="N536" s="397">
        <v>571605.26097139996</v>
      </c>
      <c r="O536" s="396" t="s">
        <v>4396</v>
      </c>
    </row>
    <row r="537" spans="1:15" x14ac:dyDescent="0.4">
      <c r="A537" s="396" t="s">
        <v>4383</v>
      </c>
      <c r="B537" s="394" t="s">
        <v>395</v>
      </c>
      <c r="C537" s="394" t="s">
        <v>4384</v>
      </c>
      <c r="D537" s="394" t="s">
        <v>1039</v>
      </c>
      <c r="E537" s="395" t="s">
        <v>8</v>
      </c>
      <c r="F537" s="396" t="s">
        <v>6884</v>
      </c>
      <c r="G537" s="396" t="s">
        <v>781</v>
      </c>
      <c r="H537" s="396" t="s">
        <v>6885</v>
      </c>
      <c r="I537" s="396" t="s">
        <v>781</v>
      </c>
      <c r="J537" s="396" t="s">
        <v>6886</v>
      </c>
      <c r="K537" s="396" t="s">
        <v>781</v>
      </c>
      <c r="L537" s="397">
        <v>54.380769168</v>
      </c>
      <c r="M537" s="396" t="s">
        <v>4314</v>
      </c>
      <c r="N537" s="397">
        <v>571659.6417406</v>
      </c>
      <c r="O537" s="396" t="s">
        <v>4397</v>
      </c>
    </row>
    <row r="538" spans="1:15" x14ac:dyDescent="0.4">
      <c r="A538" s="396" t="s">
        <v>3122</v>
      </c>
      <c r="B538" s="394" t="s">
        <v>420</v>
      </c>
      <c r="C538" s="394" t="s">
        <v>2673</v>
      </c>
      <c r="D538" s="394" t="s">
        <v>1039</v>
      </c>
      <c r="E538" s="395" t="s">
        <v>422</v>
      </c>
      <c r="F538" s="396" t="s">
        <v>5269</v>
      </c>
      <c r="G538" s="396" t="s">
        <v>781</v>
      </c>
      <c r="H538" s="396" t="s">
        <v>9316</v>
      </c>
      <c r="I538" s="396" t="s">
        <v>781</v>
      </c>
      <c r="J538" s="396" t="s">
        <v>9316</v>
      </c>
      <c r="K538" s="396" t="s">
        <v>781</v>
      </c>
      <c r="L538" s="397">
        <v>54.18</v>
      </c>
      <c r="M538" s="396" t="s">
        <v>4314</v>
      </c>
      <c r="N538" s="397">
        <v>571713.82174060005</v>
      </c>
      <c r="O538" s="396" t="s">
        <v>4398</v>
      </c>
    </row>
    <row r="539" spans="1:15" ht="26.4" x14ac:dyDescent="0.4">
      <c r="A539" s="396" t="s">
        <v>1076</v>
      </c>
      <c r="B539" s="394" t="s">
        <v>420</v>
      </c>
      <c r="C539" s="394" t="s">
        <v>423</v>
      </c>
      <c r="D539" s="394" t="s">
        <v>1039</v>
      </c>
      <c r="E539" s="395" t="s">
        <v>422</v>
      </c>
      <c r="F539" s="396" t="s">
        <v>5284</v>
      </c>
      <c r="G539" s="396" t="s">
        <v>781</v>
      </c>
      <c r="H539" s="396" t="s">
        <v>5279</v>
      </c>
      <c r="I539" s="396" t="s">
        <v>781</v>
      </c>
      <c r="J539" s="396" t="s">
        <v>6887</v>
      </c>
      <c r="K539" s="396" t="s">
        <v>781</v>
      </c>
      <c r="L539" s="397">
        <v>54</v>
      </c>
      <c r="M539" s="396" t="s">
        <v>4314</v>
      </c>
      <c r="N539" s="397">
        <v>571767.82174060005</v>
      </c>
      <c r="O539" s="396" t="s">
        <v>4399</v>
      </c>
    </row>
    <row r="540" spans="1:15" x14ac:dyDescent="0.4">
      <c r="A540" s="396" t="s">
        <v>2511</v>
      </c>
      <c r="B540" s="394" t="s">
        <v>420</v>
      </c>
      <c r="C540" s="394" t="s">
        <v>2512</v>
      </c>
      <c r="D540" s="394" t="s">
        <v>1039</v>
      </c>
      <c r="E540" s="395" t="s">
        <v>422</v>
      </c>
      <c r="F540" s="396" t="s">
        <v>5269</v>
      </c>
      <c r="G540" s="396" t="s">
        <v>781</v>
      </c>
      <c r="H540" s="396" t="s">
        <v>6888</v>
      </c>
      <c r="I540" s="396" t="s">
        <v>781</v>
      </c>
      <c r="J540" s="396" t="s">
        <v>6888</v>
      </c>
      <c r="K540" s="396" t="s">
        <v>781</v>
      </c>
      <c r="L540" s="397">
        <v>53.89</v>
      </c>
      <c r="M540" s="396" t="s">
        <v>4314</v>
      </c>
      <c r="N540" s="397">
        <v>571821.71174059995</v>
      </c>
      <c r="O540" s="396" t="s">
        <v>4400</v>
      </c>
    </row>
    <row r="541" spans="1:15" x14ac:dyDescent="0.4">
      <c r="A541" s="396" t="s">
        <v>1247</v>
      </c>
      <c r="B541" s="394" t="s">
        <v>420</v>
      </c>
      <c r="C541" s="394" t="s">
        <v>1248</v>
      </c>
      <c r="D541" s="394" t="s">
        <v>1039</v>
      </c>
      <c r="E541" s="395" t="s">
        <v>1249</v>
      </c>
      <c r="F541" s="396" t="s">
        <v>5437</v>
      </c>
      <c r="G541" s="396" t="s">
        <v>781</v>
      </c>
      <c r="H541" s="396" t="s">
        <v>6889</v>
      </c>
      <c r="I541" s="396" t="s">
        <v>781</v>
      </c>
      <c r="J541" s="396" t="s">
        <v>6890</v>
      </c>
      <c r="K541" s="396" t="s">
        <v>781</v>
      </c>
      <c r="L541" s="397">
        <v>53.699800000000003</v>
      </c>
      <c r="M541" s="396" t="s">
        <v>4314</v>
      </c>
      <c r="N541" s="397">
        <v>571875.41154060001</v>
      </c>
      <c r="O541" s="396" t="s">
        <v>4401</v>
      </c>
    </row>
    <row r="542" spans="1:15" ht="26.4" x14ac:dyDescent="0.4">
      <c r="A542" s="396" t="s">
        <v>1160</v>
      </c>
      <c r="B542" s="394" t="s">
        <v>5902</v>
      </c>
      <c r="C542" s="394" t="s">
        <v>1161</v>
      </c>
      <c r="D542" s="394" t="s">
        <v>1039</v>
      </c>
      <c r="E542" s="395" t="s">
        <v>4</v>
      </c>
      <c r="F542" s="396" t="s">
        <v>5269</v>
      </c>
      <c r="G542" s="396" t="s">
        <v>781</v>
      </c>
      <c r="H542" s="396" t="s">
        <v>6891</v>
      </c>
      <c r="I542" s="396" t="s">
        <v>781</v>
      </c>
      <c r="J542" s="396" t="s">
        <v>6891</v>
      </c>
      <c r="K542" s="396" t="s">
        <v>781</v>
      </c>
      <c r="L542" s="397">
        <v>53.56</v>
      </c>
      <c r="M542" s="396" t="s">
        <v>4314</v>
      </c>
      <c r="N542" s="397">
        <v>571928.97154059995</v>
      </c>
      <c r="O542" s="396" t="s">
        <v>4402</v>
      </c>
    </row>
    <row r="543" spans="1:15" ht="39.6" x14ac:dyDescent="0.4">
      <c r="A543" s="396" t="s">
        <v>4320</v>
      </c>
      <c r="B543" s="394" t="s">
        <v>395</v>
      </c>
      <c r="C543" s="394" t="s">
        <v>4321</v>
      </c>
      <c r="D543" s="394" t="s">
        <v>1039</v>
      </c>
      <c r="E543" s="395" t="s">
        <v>4</v>
      </c>
      <c r="F543" s="396" t="s">
        <v>5273</v>
      </c>
      <c r="G543" s="396" t="s">
        <v>781</v>
      </c>
      <c r="H543" s="396" t="s">
        <v>6892</v>
      </c>
      <c r="I543" s="396" t="s">
        <v>781</v>
      </c>
      <c r="J543" s="396" t="s">
        <v>6893</v>
      </c>
      <c r="K543" s="396" t="s">
        <v>781</v>
      </c>
      <c r="L543" s="397">
        <v>52.16</v>
      </c>
      <c r="M543" s="396" t="s">
        <v>4314</v>
      </c>
      <c r="N543" s="397">
        <v>571981.13154059998</v>
      </c>
      <c r="O543" s="396" t="s">
        <v>4405</v>
      </c>
    </row>
    <row r="544" spans="1:15" ht="26.4" x14ac:dyDescent="0.4">
      <c r="A544" s="396" t="s">
        <v>4508</v>
      </c>
      <c r="B544" s="394" t="s">
        <v>395</v>
      </c>
      <c r="C544" s="394" t="s">
        <v>4509</v>
      </c>
      <c r="D544" s="394" t="s">
        <v>1317</v>
      </c>
      <c r="E544" s="395" t="s">
        <v>6</v>
      </c>
      <c r="F544" s="396" t="s">
        <v>9317</v>
      </c>
      <c r="G544" s="396" t="s">
        <v>781</v>
      </c>
      <c r="H544" s="396" t="s">
        <v>5317</v>
      </c>
      <c r="I544" s="396" t="s">
        <v>781</v>
      </c>
      <c r="J544" s="396" t="s">
        <v>9318</v>
      </c>
      <c r="K544" s="396" t="s">
        <v>781</v>
      </c>
      <c r="L544" s="397">
        <v>52.142590509999998</v>
      </c>
      <c r="M544" s="396" t="s">
        <v>4314</v>
      </c>
      <c r="N544" s="397">
        <v>572033.27413110004</v>
      </c>
      <c r="O544" s="396" t="s">
        <v>4406</v>
      </c>
    </row>
    <row r="545" spans="1:15" ht="26.4" x14ac:dyDescent="0.4">
      <c r="A545" s="396" t="s">
        <v>3117</v>
      </c>
      <c r="B545" s="394" t="s">
        <v>5902</v>
      </c>
      <c r="C545" s="394" t="s">
        <v>3118</v>
      </c>
      <c r="D545" s="394" t="s">
        <v>1039</v>
      </c>
      <c r="E545" s="395" t="s">
        <v>4</v>
      </c>
      <c r="F545" s="396" t="s">
        <v>5269</v>
      </c>
      <c r="G545" s="396" t="s">
        <v>781</v>
      </c>
      <c r="H545" s="396" t="s">
        <v>6894</v>
      </c>
      <c r="I545" s="396" t="s">
        <v>781</v>
      </c>
      <c r="J545" s="396" t="s">
        <v>6894</v>
      </c>
      <c r="K545" s="396" t="s">
        <v>781</v>
      </c>
      <c r="L545" s="397">
        <v>51.78</v>
      </c>
      <c r="M545" s="396" t="s">
        <v>4314</v>
      </c>
      <c r="N545" s="397">
        <v>572085.05413109995</v>
      </c>
      <c r="O545" s="396" t="s">
        <v>4409</v>
      </c>
    </row>
    <row r="546" spans="1:15" ht="26.4" x14ac:dyDescent="0.4">
      <c r="A546" s="396" t="s">
        <v>3017</v>
      </c>
      <c r="B546" s="394" t="s">
        <v>395</v>
      </c>
      <c r="C546" s="394" t="s">
        <v>3018</v>
      </c>
      <c r="D546" s="394" t="s">
        <v>1039</v>
      </c>
      <c r="E546" s="395" t="s">
        <v>7</v>
      </c>
      <c r="F546" s="396" t="s">
        <v>5386</v>
      </c>
      <c r="G546" s="396" t="s">
        <v>781</v>
      </c>
      <c r="H546" s="396" t="s">
        <v>6895</v>
      </c>
      <c r="I546" s="396" t="s">
        <v>781</v>
      </c>
      <c r="J546" s="396" t="s">
        <v>5440</v>
      </c>
      <c r="K546" s="396" t="s">
        <v>781</v>
      </c>
      <c r="L546" s="397">
        <v>51.626815999999998</v>
      </c>
      <c r="M546" s="396" t="s">
        <v>4314</v>
      </c>
      <c r="N546" s="397">
        <v>572136.68094710005</v>
      </c>
      <c r="O546" s="396" t="s">
        <v>4412</v>
      </c>
    </row>
    <row r="547" spans="1:15" ht="26.4" x14ac:dyDescent="0.4">
      <c r="A547" s="396" t="s">
        <v>6875</v>
      </c>
      <c r="B547" s="394" t="s">
        <v>420</v>
      </c>
      <c r="C547" s="394" t="s">
        <v>6876</v>
      </c>
      <c r="D547" s="394" t="s">
        <v>1039</v>
      </c>
      <c r="E547" s="395" t="s">
        <v>422</v>
      </c>
      <c r="F547" s="396" t="s">
        <v>5269</v>
      </c>
      <c r="G547" s="396" t="s">
        <v>781</v>
      </c>
      <c r="H547" s="396" t="s">
        <v>9319</v>
      </c>
      <c r="I547" s="396" t="s">
        <v>781</v>
      </c>
      <c r="J547" s="396" t="s">
        <v>9319</v>
      </c>
      <c r="K547" s="396" t="s">
        <v>781</v>
      </c>
      <c r="L547" s="397">
        <v>51.47</v>
      </c>
      <c r="M547" s="396" t="s">
        <v>4314</v>
      </c>
      <c r="N547" s="397">
        <v>572188.15094710002</v>
      </c>
      <c r="O547" s="396" t="s">
        <v>4412</v>
      </c>
    </row>
    <row r="548" spans="1:15" ht="26.4" x14ac:dyDescent="0.4">
      <c r="A548" s="396" t="s">
        <v>4486</v>
      </c>
      <c r="B548" s="394" t="s">
        <v>395</v>
      </c>
      <c r="C548" s="394" t="s">
        <v>4487</v>
      </c>
      <c r="D548" s="394" t="s">
        <v>1039</v>
      </c>
      <c r="E548" s="395" t="s">
        <v>4</v>
      </c>
      <c r="F548" s="396" t="s">
        <v>5285</v>
      </c>
      <c r="G548" s="396" t="s">
        <v>781</v>
      </c>
      <c r="H548" s="396" t="s">
        <v>5609</v>
      </c>
      <c r="I548" s="396" t="s">
        <v>781</v>
      </c>
      <c r="J548" s="396" t="s">
        <v>6897</v>
      </c>
      <c r="K548" s="396" t="s">
        <v>781</v>
      </c>
      <c r="L548" s="397">
        <v>51.28</v>
      </c>
      <c r="M548" s="396" t="s">
        <v>4314</v>
      </c>
      <c r="N548" s="397">
        <v>572239.43094710005</v>
      </c>
      <c r="O548" s="396" t="s">
        <v>4413</v>
      </c>
    </row>
    <row r="549" spans="1:15" ht="26.4" x14ac:dyDescent="0.4">
      <c r="A549" s="396" t="s">
        <v>4359</v>
      </c>
      <c r="B549" s="394" t="s">
        <v>395</v>
      </c>
      <c r="C549" s="394" t="s">
        <v>4360</v>
      </c>
      <c r="D549" s="394" t="s">
        <v>1039</v>
      </c>
      <c r="E549" s="395" t="s">
        <v>4</v>
      </c>
      <c r="F549" s="396" t="s">
        <v>5269</v>
      </c>
      <c r="G549" s="396" t="s">
        <v>781</v>
      </c>
      <c r="H549" s="396" t="s">
        <v>6898</v>
      </c>
      <c r="I549" s="396" t="s">
        <v>781</v>
      </c>
      <c r="J549" s="396" t="s">
        <v>6898</v>
      </c>
      <c r="K549" s="396" t="s">
        <v>781</v>
      </c>
      <c r="L549" s="397">
        <v>51.05</v>
      </c>
      <c r="M549" s="396" t="s">
        <v>4314</v>
      </c>
      <c r="N549" s="397">
        <v>572290.48094709998</v>
      </c>
      <c r="O549" s="396" t="s">
        <v>4414</v>
      </c>
    </row>
    <row r="550" spans="1:15" ht="26.4" x14ac:dyDescent="0.4">
      <c r="A550" s="396" t="s">
        <v>6901</v>
      </c>
      <c r="B550" s="394" t="s">
        <v>420</v>
      </c>
      <c r="C550" s="394" t="s">
        <v>6902</v>
      </c>
      <c r="D550" s="394" t="s">
        <v>1039</v>
      </c>
      <c r="E550" s="395" t="s">
        <v>713</v>
      </c>
      <c r="F550" s="396" t="s">
        <v>6873</v>
      </c>
      <c r="G550" s="396" t="s">
        <v>781</v>
      </c>
      <c r="H550" s="396" t="s">
        <v>9320</v>
      </c>
      <c r="I550" s="396" t="s">
        <v>781</v>
      </c>
      <c r="J550" s="396" t="s">
        <v>9321</v>
      </c>
      <c r="K550" s="396" t="s">
        <v>781</v>
      </c>
      <c r="L550" s="397">
        <v>50.414400000000001</v>
      </c>
      <c r="M550" s="396" t="s">
        <v>4314</v>
      </c>
      <c r="N550" s="397">
        <v>572340.89534709998</v>
      </c>
      <c r="O550" s="396" t="s">
        <v>4415</v>
      </c>
    </row>
    <row r="551" spans="1:15" ht="26.4" x14ac:dyDescent="0.4">
      <c r="A551" s="396" t="s">
        <v>1423</v>
      </c>
      <c r="B551" s="394" t="s">
        <v>408</v>
      </c>
      <c r="C551" s="394" t="s">
        <v>1424</v>
      </c>
      <c r="D551" s="394" t="s">
        <v>1039</v>
      </c>
      <c r="E551" s="395" t="s">
        <v>675</v>
      </c>
      <c r="F551" s="396" t="s">
        <v>5323</v>
      </c>
      <c r="G551" s="396" t="s">
        <v>781</v>
      </c>
      <c r="H551" s="396" t="s">
        <v>6899</v>
      </c>
      <c r="I551" s="396" t="s">
        <v>781</v>
      </c>
      <c r="J551" s="396" t="s">
        <v>6900</v>
      </c>
      <c r="K551" s="396" t="s">
        <v>781</v>
      </c>
      <c r="L551" s="397">
        <v>50.295000000000002</v>
      </c>
      <c r="M551" s="396" t="s">
        <v>4314</v>
      </c>
      <c r="N551" s="397">
        <v>572391.19034710003</v>
      </c>
      <c r="O551" s="396" t="s">
        <v>4416</v>
      </c>
    </row>
    <row r="552" spans="1:15" ht="26.4" x14ac:dyDescent="0.4">
      <c r="A552" s="396" t="s">
        <v>9322</v>
      </c>
      <c r="B552" s="394" t="s">
        <v>395</v>
      </c>
      <c r="C552" s="394" t="s">
        <v>9323</v>
      </c>
      <c r="D552" s="394" t="s">
        <v>1039</v>
      </c>
      <c r="E552" s="395" t="s">
        <v>4</v>
      </c>
      <c r="F552" s="396" t="s">
        <v>9324</v>
      </c>
      <c r="G552" s="396" t="s">
        <v>781</v>
      </c>
      <c r="H552" s="396" t="s">
        <v>9325</v>
      </c>
      <c r="I552" s="396" t="s">
        <v>781</v>
      </c>
      <c r="J552" s="396" t="s">
        <v>9326</v>
      </c>
      <c r="K552" s="396" t="s">
        <v>781</v>
      </c>
      <c r="L552" s="397">
        <v>50.183999999999997</v>
      </c>
      <c r="M552" s="396" t="s">
        <v>4314</v>
      </c>
      <c r="N552" s="397">
        <v>572441.37434710003</v>
      </c>
      <c r="O552" s="396" t="s">
        <v>4419</v>
      </c>
    </row>
    <row r="553" spans="1:15" x14ac:dyDescent="0.4">
      <c r="A553" s="396" t="s">
        <v>1461</v>
      </c>
      <c r="B553" s="394" t="s">
        <v>408</v>
      </c>
      <c r="C553" s="394" t="s">
        <v>1462</v>
      </c>
      <c r="D553" s="394" t="s">
        <v>1039</v>
      </c>
      <c r="E553" s="395" t="s">
        <v>675</v>
      </c>
      <c r="F553" s="396" t="s">
        <v>9327</v>
      </c>
      <c r="G553" s="396" t="s">
        <v>781</v>
      </c>
      <c r="H553" s="396" t="s">
        <v>7033</v>
      </c>
      <c r="I553" s="396" t="s">
        <v>781</v>
      </c>
      <c r="J553" s="396" t="s">
        <v>9328</v>
      </c>
      <c r="K553" s="396" t="s">
        <v>781</v>
      </c>
      <c r="L553" s="397">
        <v>48.823999999999998</v>
      </c>
      <c r="M553" s="396" t="s">
        <v>4314</v>
      </c>
      <c r="N553" s="397">
        <v>572490.19834710006</v>
      </c>
      <c r="O553" s="396" t="s">
        <v>4422</v>
      </c>
    </row>
    <row r="554" spans="1:15" x14ac:dyDescent="0.4">
      <c r="A554" s="396" t="s">
        <v>4330</v>
      </c>
      <c r="B554" s="394" t="s">
        <v>395</v>
      </c>
      <c r="C554" s="394" t="s">
        <v>4331</v>
      </c>
      <c r="D554" s="394" t="s">
        <v>1039</v>
      </c>
      <c r="E554" s="395" t="s">
        <v>3</v>
      </c>
      <c r="F554" s="396" t="s">
        <v>5419</v>
      </c>
      <c r="G554" s="396" t="s">
        <v>781</v>
      </c>
      <c r="H554" s="396" t="s">
        <v>6904</v>
      </c>
      <c r="I554" s="396" t="s">
        <v>781</v>
      </c>
      <c r="J554" s="396" t="s">
        <v>6905</v>
      </c>
      <c r="K554" s="396" t="s">
        <v>781</v>
      </c>
      <c r="L554" s="397">
        <v>48.784500000000001</v>
      </c>
      <c r="M554" s="396" t="s">
        <v>4314</v>
      </c>
      <c r="N554" s="397">
        <v>572538.98284710001</v>
      </c>
      <c r="O554" s="396" t="s">
        <v>4423</v>
      </c>
    </row>
    <row r="555" spans="1:15" x14ac:dyDescent="0.4">
      <c r="A555" s="396" t="s">
        <v>1291</v>
      </c>
      <c r="B555" s="394" t="s">
        <v>408</v>
      </c>
      <c r="C555" s="394" t="s">
        <v>1292</v>
      </c>
      <c r="D555" s="394" t="s">
        <v>1039</v>
      </c>
      <c r="E555" s="395" t="s">
        <v>675</v>
      </c>
      <c r="F555" s="396" t="s">
        <v>5464</v>
      </c>
      <c r="G555" s="396" t="s">
        <v>781</v>
      </c>
      <c r="H555" s="396" t="s">
        <v>5551</v>
      </c>
      <c r="I555" s="396" t="s">
        <v>781</v>
      </c>
      <c r="J555" s="396" t="s">
        <v>6906</v>
      </c>
      <c r="K555" s="396" t="s">
        <v>781</v>
      </c>
      <c r="L555" s="397">
        <v>48.677759999999999</v>
      </c>
      <c r="M555" s="396" t="s">
        <v>4314</v>
      </c>
      <c r="N555" s="397">
        <v>572587.6606071</v>
      </c>
      <c r="O555" s="396" t="s">
        <v>4423</v>
      </c>
    </row>
    <row r="556" spans="1:15" x14ac:dyDescent="0.4">
      <c r="A556" s="396" t="s">
        <v>4446</v>
      </c>
      <c r="B556" s="394" t="s">
        <v>395</v>
      </c>
      <c r="C556" s="394" t="s">
        <v>4447</v>
      </c>
      <c r="D556" s="394" t="s">
        <v>1053</v>
      </c>
      <c r="E556" s="395" t="s">
        <v>6</v>
      </c>
      <c r="F556" s="396" t="s">
        <v>6907</v>
      </c>
      <c r="G556" s="396" t="s">
        <v>781</v>
      </c>
      <c r="H556" s="396" t="s">
        <v>6908</v>
      </c>
      <c r="I556" s="396" t="s">
        <v>781</v>
      </c>
      <c r="J556" s="396" t="s">
        <v>6909</v>
      </c>
      <c r="K556" s="396" t="s">
        <v>781</v>
      </c>
      <c r="L556" s="397">
        <v>48.639084400000002</v>
      </c>
      <c r="M556" s="396" t="s">
        <v>4314</v>
      </c>
      <c r="N556" s="397">
        <v>572636.29969150003</v>
      </c>
      <c r="O556" s="396" t="s">
        <v>4424</v>
      </c>
    </row>
    <row r="557" spans="1:15" x14ac:dyDescent="0.4">
      <c r="A557" s="396" t="s">
        <v>9329</v>
      </c>
      <c r="B557" s="394" t="s">
        <v>490</v>
      </c>
      <c r="C557" s="394" t="s">
        <v>9330</v>
      </c>
      <c r="D557" s="394" t="s">
        <v>1039</v>
      </c>
      <c r="E557" s="395" t="s">
        <v>713</v>
      </c>
      <c r="F557" s="396" t="s">
        <v>9331</v>
      </c>
      <c r="G557" s="396" t="s">
        <v>781</v>
      </c>
      <c r="H557" s="396" t="s">
        <v>9332</v>
      </c>
      <c r="I557" s="396" t="s">
        <v>781</v>
      </c>
      <c r="J557" s="396" t="s">
        <v>9333</v>
      </c>
      <c r="K557" s="396" t="s">
        <v>781</v>
      </c>
      <c r="L557" s="397">
        <v>48.293376000000002</v>
      </c>
      <c r="M557" s="396" t="s">
        <v>4314</v>
      </c>
      <c r="N557" s="397">
        <v>572684.59306750004</v>
      </c>
      <c r="O557" s="396" t="s">
        <v>4427</v>
      </c>
    </row>
    <row r="558" spans="1:15" ht="26.4" x14ac:dyDescent="0.4">
      <c r="A558" s="396" t="s">
        <v>4443</v>
      </c>
      <c r="B558" s="394" t="s">
        <v>395</v>
      </c>
      <c r="C558" s="394" t="s">
        <v>4444</v>
      </c>
      <c r="D558" s="394" t="s">
        <v>1039</v>
      </c>
      <c r="E558" s="395" t="s">
        <v>4</v>
      </c>
      <c r="F558" s="396" t="s">
        <v>5269</v>
      </c>
      <c r="G558" s="396" t="s">
        <v>781</v>
      </c>
      <c r="H558" s="396" t="s">
        <v>6910</v>
      </c>
      <c r="I558" s="396" t="s">
        <v>781</v>
      </c>
      <c r="J558" s="396" t="s">
        <v>6910</v>
      </c>
      <c r="K558" s="396" t="s">
        <v>781</v>
      </c>
      <c r="L558" s="397">
        <v>48.1</v>
      </c>
      <c r="M558" s="396" t="s">
        <v>4314</v>
      </c>
      <c r="N558" s="397">
        <v>572732.69306750002</v>
      </c>
      <c r="O558" s="396" t="s">
        <v>4428</v>
      </c>
    </row>
    <row r="559" spans="1:15" x14ac:dyDescent="0.4">
      <c r="A559" s="396" t="s">
        <v>3084</v>
      </c>
      <c r="B559" s="394" t="s">
        <v>408</v>
      </c>
      <c r="C559" s="394" t="s">
        <v>3085</v>
      </c>
      <c r="D559" s="394" t="s">
        <v>1039</v>
      </c>
      <c r="E559" s="395" t="s">
        <v>4</v>
      </c>
      <c r="F559" s="396" t="s">
        <v>5269</v>
      </c>
      <c r="G559" s="396" t="s">
        <v>781</v>
      </c>
      <c r="H559" s="396" t="s">
        <v>6911</v>
      </c>
      <c r="I559" s="396" t="s">
        <v>781</v>
      </c>
      <c r="J559" s="396" t="s">
        <v>6911</v>
      </c>
      <c r="K559" s="396" t="s">
        <v>781</v>
      </c>
      <c r="L559" s="397">
        <v>47.87</v>
      </c>
      <c r="M559" s="396" t="s">
        <v>4314</v>
      </c>
      <c r="N559" s="397">
        <v>572780.56306750001</v>
      </c>
      <c r="O559" s="396" t="s">
        <v>4431</v>
      </c>
    </row>
    <row r="560" spans="1:15" x14ac:dyDescent="0.4">
      <c r="A560" s="396" t="s">
        <v>4337</v>
      </c>
      <c r="B560" s="394" t="s">
        <v>395</v>
      </c>
      <c r="C560" s="394" t="s">
        <v>4338</v>
      </c>
      <c r="D560" s="394" t="s">
        <v>1039</v>
      </c>
      <c r="E560" s="395" t="s">
        <v>3</v>
      </c>
      <c r="F560" s="396" t="s">
        <v>5423</v>
      </c>
      <c r="G560" s="396" t="s">
        <v>781</v>
      </c>
      <c r="H560" s="396" t="s">
        <v>6912</v>
      </c>
      <c r="I560" s="396" t="s">
        <v>781</v>
      </c>
      <c r="J560" s="396" t="s">
        <v>6913</v>
      </c>
      <c r="K560" s="396" t="s">
        <v>781</v>
      </c>
      <c r="L560" s="397">
        <v>47.818800000000003</v>
      </c>
      <c r="M560" s="396" t="s">
        <v>4314</v>
      </c>
      <c r="N560" s="397">
        <v>572828.38186750002</v>
      </c>
      <c r="O560" s="396" t="s">
        <v>4431</v>
      </c>
    </row>
    <row r="561" spans="1:15" x14ac:dyDescent="0.4">
      <c r="A561" s="396" t="s">
        <v>2467</v>
      </c>
      <c r="B561" s="394" t="s">
        <v>408</v>
      </c>
      <c r="C561" s="394" t="s">
        <v>2468</v>
      </c>
      <c r="D561" s="394" t="s">
        <v>1039</v>
      </c>
      <c r="E561" s="395" t="s">
        <v>7</v>
      </c>
      <c r="F561" s="396" t="s">
        <v>5323</v>
      </c>
      <c r="G561" s="396" t="s">
        <v>781</v>
      </c>
      <c r="H561" s="396" t="s">
        <v>6914</v>
      </c>
      <c r="I561" s="396" t="s">
        <v>781</v>
      </c>
      <c r="J561" s="396" t="s">
        <v>6915</v>
      </c>
      <c r="K561" s="396" t="s">
        <v>781</v>
      </c>
      <c r="L561" s="397">
        <v>47.795999999999999</v>
      </c>
      <c r="M561" s="396" t="s">
        <v>4314</v>
      </c>
      <c r="N561" s="397">
        <v>572876.1778675</v>
      </c>
      <c r="O561" s="396" t="s">
        <v>4434</v>
      </c>
    </row>
    <row r="562" spans="1:15" ht="26.4" x14ac:dyDescent="0.4">
      <c r="A562" s="396" t="s">
        <v>1177</v>
      </c>
      <c r="B562" s="394" t="s">
        <v>431</v>
      </c>
      <c r="C562" s="394" t="s">
        <v>1178</v>
      </c>
      <c r="D562" s="394" t="s">
        <v>1039</v>
      </c>
      <c r="E562" s="395" t="s">
        <v>7</v>
      </c>
      <c r="F562" s="396" t="s">
        <v>5269</v>
      </c>
      <c r="G562" s="396" t="s">
        <v>781</v>
      </c>
      <c r="H562" s="396" t="s">
        <v>9334</v>
      </c>
      <c r="I562" s="396" t="s">
        <v>781</v>
      </c>
      <c r="J562" s="396" t="s">
        <v>9334</v>
      </c>
      <c r="K562" s="396" t="s">
        <v>781</v>
      </c>
      <c r="L562" s="397">
        <v>47.72</v>
      </c>
      <c r="M562" s="396" t="s">
        <v>4314</v>
      </c>
      <c r="N562" s="397">
        <v>572923.89786749997</v>
      </c>
      <c r="O562" s="396" t="s">
        <v>4437</v>
      </c>
    </row>
    <row r="563" spans="1:15" x14ac:dyDescent="0.4">
      <c r="A563" s="396" t="s">
        <v>6916</v>
      </c>
      <c r="B563" s="394" t="s">
        <v>408</v>
      </c>
      <c r="C563" s="394" t="s">
        <v>6917</v>
      </c>
      <c r="D563" s="394" t="s">
        <v>1039</v>
      </c>
      <c r="E563" s="395" t="s">
        <v>380</v>
      </c>
      <c r="F563" s="396" t="s">
        <v>5284</v>
      </c>
      <c r="G563" s="396" t="s">
        <v>781</v>
      </c>
      <c r="H563" s="396" t="s">
        <v>6918</v>
      </c>
      <c r="I563" s="396" t="s">
        <v>781</v>
      </c>
      <c r="J563" s="396" t="s">
        <v>6919</v>
      </c>
      <c r="K563" s="396" t="s">
        <v>781</v>
      </c>
      <c r="L563" s="397">
        <v>47.25</v>
      </c>
      <c r="M563" s="396" t="s">
        <v>4314</v>
      </c>
      <c r="N563" s="397">
        <v>572971.14786749997</v>
      </c>
      <c r="O563" s="396" t="s">
        <v>4438</v>
      </c>
    </row>
    <row r="564" spans="1:15" ht="26.4" x14ac:dyDescent="0.4">
      <c r="A564" s="396" t="s">
        <v>1222</v>
      </c>
      <c r="B564" s="394" t="s">
        <v>5902</v>
      </c>
      <c r="C564" s="394" t="s">
        <v>1223</v>
      </c>
      <c r="D564" s="394" t="s">
        <v>1039</v>
      </c>
      <c r="E564" s="395" t="s">
        <v>4</v>
      </c>
      <c r="F564" s="396" t="s">
        <v>5269</v>
      </c>
      <c r="G564" s="396" t="s">
        <v>781</v>
      </c>
      <c r="H564" s="396" t="s">
        <v>6920</v>
      </c>
      <c r="I564" s="396" t="s">
        <v>781</v>
      </c>
      <c r="J564" s="396" t="s">
        <v>6920</v>
      </c>
      <c r="K564" s="396" t="s">
        <v>781</v>
      </c>
      <c r="L564" s="397">
        <v>46.98</v>
      </c>
      <c r="M564" s="396" t="s">
        <v>4314</v>
      </c>
      <c r="N564" s="397">
        <v>573018.12786749995</v>
      </c>
      <c r="O564" s="396" t="s">
        <v>4439</v>
      </c>
    </row>
    <row r="565" spans="1:15" ht="26.4" x14ac:dyDescent="0.4">
      <c r="A565" s="396" t="s">
        <v>2365</v>
      </c>
      <c r="B565" s="394" t="s">
        <v>5902</v>
      </c>
      <c r="C565" s="394" t="s">
        <v>2366</v>
      </c>
      <c r="D565" s="394" t="s">
        <v>1039</v>
      </c>
      <c r="E565" s="395" t="s">
        <v>7</v>
      </c>
      <c r="F565" s="396" t="s">
        <v>5269</v>
      </c>
      <c r="G565" s="396" t="s">
        <v>781</v>
      </c>
      <c r="H565" s="396" t="s">
        <v>6921</v>
      </c>
      <c r="I565" s="396" t="s">
        <v>781</v>
      </c>
      <c r="J565" s="396" t="s">
        <v>6921</v>
      </c>
      <c r="K565" s="396" t="s">
        <v>781</v>
      </c>
      <c r="L565" s="397">
        <v>46.77</v>
      </c>
      <c r="M565" s="396" t="s">
        <v>4314</v>
      </c>
      <c r="N565" s="397">
        <v>573064.89786749997</v>
      </c>
      <c r="O565" s="396" t="s">
        <v>4440</v>
      </c>
    </row>
    <row r="566" spans="1:15" ht="26.4" x14ac:dyDescent="0.4">
      <c r="A566" s="396" t="s">
        <v>4345</v>
      </c>
      <c r="B566" s="394" t="s">
        <v>395</v>
      </c>
      <c r="C566" s="394" t="s">
        <v>4346</v>
      </c>
      <c r="D566" s="394" t="s">
        <v>1039</v>
      </c>
      <c r="E566" s="395" t="s">
        <v>4</v>
      </c>
      <c r="F566" s="396" t="s">
        <v>5269</v>
      </c>
      <c r="G566" s="396" t="s">
        <v>781</v>
      </c>
      <c r="H566" s="396" t="s">
        <v>6922</v>
      </c>
      <c r="I566" s="396" t="s">
        <v>781</v>
      </c>
      <c r="J566" s="396" t="s">
        <v>6922</v>
      </c>
      <c r="K566" s="396" t="s">
        <v>781</v>
      </c>
      <c r="L566" s="397">
        <v>46.67</v>
      </c>
      <c r="M566" s="396" t="s">
        <v>4314</v>
      </c>
      <c r="N566" s="397">
        <v>573111.56786750001</v>
      </c>
      <c r="O566" s="396" t="s">
        <v>4440</v>
      </c>
    </row>
    <row r="567" spans="1:15" ht="26.4" x14ac:dyDescent="0.4">
      <c r="A567" s="396" t="s">
        <v>4307</v>
      </c>
      <c r="B567" s="394" t="s">
        <v>395</v>
      </c>
      <c r="C567" s="394" t="s">
        <v>4308</v>
      </c>
      <c r="D567" s="394" t="s">
        <v>1039</v>
      </c>
      <c r="E567" s="395" t="s">
        <v>4</v>
      </c>
      <c r="F567" s="396" t="s">
        <v>5269</v>
      </c>
      <c r="G567" s="396" t="s">
        <v>781</v>
      </c>
      <c r="H567" s="396" t="s">
        <v>6923</v>
      </c>
      <c r="I567" s="396" t="s">
        <v>781</v>
      </c>
      <c r="J567" s="396" t="s">
        <v>6923</v>
      </c>
      <c r="K567" s="396" t="s">
        <v>781</v>
      </c>
      <c r="L567" s="397">
        <v>46.53</v>
      </c>
      <c r="M567" s="396" t="s">
        <v>4314</v>
      </c>
      <c r="N567" s="397">
        <v>573158.09786750004</v>
      </c>
      <c r="O567" s="396" t="s">
        <v>4441</v>
      </c>
    </row>
    <row r="568" spans="1:15" ht="26.4" x14ac:dyDescent="0.4">
      <c r="A568" s="396" t="s">
        <v>6924</v>
      </c>
      <c r="B568" s="394" t="s">
        <v>420</v>
      </c>
      <c r="C568" s="394" t="s">
        <v>6925</v>
      </c>
      <c r="D568" s="394" t="s">
        <v>1039</v>
      </c>
      <c r="E568" s="395" t="s">
        <v>1249</v>
      </c>
      <c r="F568" s="396" t="s">
        <v>5416</v>
      </c>
      <c r="G568" s="396" t="s">
        <v>781</v>
      </c>
      <c r="H568" s="396" t="s">
        <v>6926</v>
      </c>
      <c r="I568" s="396" t="s">
        <v>781</v>
      </c>
      <c r="J568" s="396" t="s">
        <v>6927</v>
      </c>
      <c r="K568" s="396" t="s">
        <v>781</v>
      </c>
      <c r="L568" s="397">
        <v>46.24</v>
      </c>
      <c r="M568" s="396" t="s">
        <v>4314</v>
      </c>
      <c r="N568" s="397">
        <v>573204.33786750003</v>
      </c>
      <c r="O568" s="396" t="s">
        <v>4442</v>
      </c>
    </row>
    <row r="569" spans="1:15" x14ac:dyDescent="0.4">
      <c r="A569" s="396" t="s">
        <v>6928</v>
      </c>
      <c r="B569" s="394" t="s">
        <v>408</v>
      </c>
      <c r="C569" s="394" t="s">
        <v>6929</v>
      </c>
      <c r="D569" s="394" t="s">
        <v>1039</v>
      </c>
      <c r="E569" s="395" t="s">
        <v>7</v>
      </c>
      <c r="F569" s="396" t="s">
        <v>5380</v>
      </c>
      <c r="G569" s="396" t="s">
        <v>781</v>
      </c>
      <c r="H569" s="396" t="s">
        <v>6930</v>
      </c>
      <c r="I569" s="396" t="s">
        <v>781</v>
      </c>
      <c r="J569" s="396" t="s">
        <v>6931</v>
      </c>
      <c r="K569" s="396" t="s">
        <v>781</v>
      </c>
      <c r="L569" s="397">
        <v>45.32</v>
      </c>
      <c r="M569" s="396" t="s">
        <v>4314</v>
      </c>
      <c r="N569" s="397">
        <v>573249.65786749998</v>
      </c>
      <c r="O569" s="396" t="s">
        <v>4445</v>
      </c>
    </row>
    <row r="570" spans="1:15" x14ac:dyDescent="0.4">
      <c r="A570" s="396" t="s">
        <v>1507</v>
      </c>
      <c r="B570" s="394" t="s">
        <v>408</v>
      </c>
      <c r="C570" s="394" t="s">
        <v>1508</v>
      </c>
      <c r="D570" s="394" t="s">
        <v>1039</v>
      </c>
      <c r="E570" s="395" t="s">
        <v>4</v>
      </c>
      <c r="F570" s="396" t="s">
        <v>5273</v>
      </c>
      <c r="G570" s="396" t="s">
        <v>781</v>
      </c>
      <c r="H570" s="396" t="s">
        <v>6932</v>
      </c>
      <c r="I570" s="396" t="s">
        <v>781</v>
      </c>
      <c r="J570" s="396" t="s">
        <v>6933</v>
      </c>
      <c r="K570" s="396" t="s">
        <v>781</v>
      </c>
      <c r="L570" s="397">
        <v>45.26</v>
      </c>
      <c r="M570" s="396" t="s">
        <v>4314</v>
      </c>
      <c r="N570" s="397">
        <v>573294.91786749999</v>
      </c>
      <c r="O570" s="396" t="s">
        <v>4448</v>
      </c>
    </row>
    <row r="571" spans="1:15" ht="26.4" x14ac:dyDescent="0.4">
      <c r="A571" s="396" t="s">
        <v>4318</v>
      </c>
      <c r="B571" s="394" t="s">
        <v>395</v>
      </c>
      <c r="C571" s="394" t="s">
        <v>4319</v>
      </c>
      <c r="D571" s="394" t="s">
        <v>1039</v>
      </c>
      <c r="E571" s="395" t="s">
        <v>4</v>
      </c>
      <c r="F571" s="396" t="s">
        <v>5269</v>
      </c>
      <c r="G571" s="396" t="s">
        <v>781</v>
      </c>
      <c r="H571" s="396" t="s">
        <v>6934</v>
      </c>
      <c r="I571" s="396" t="s">
        <v>781</v>
      </c>
      <c r="J571" s="396" t="s">
        <v>6934</v>
      </c>
      <c r="K571" s="396" t="s">
        <v>781</v>
      </c>
      <c r="L571" s="397">
        <v>44.61</v>
      </c>
      <c r="M571" s="396" t="s">
        <v>4314</v>
      </c>
      <c r="N571" s="397">
        <v>573339.52786749997</v>
      </c>
      <c r="O571" s="396" t="s">
        <v>4448</v>
      </c>
    </row>
    <row r="572" spans="1:15" x14ac:dyDescent="0.4">
      <c r="A572" s="396" t="s">
        <v>3066</v>
      </c>
      <c r="B572" s="394" t="s">
        <v>408</v>
      </c>
      <c r="C572" s="394" t="s">
        <v>3067</v>
      </c>
      <c r="D572" s="394" t="s">
        <v>1039</v>
      </c>
      <c r="E572" s="395" t="s">
        <v>4</v>
      </c>
      <c r="F572" s="396" t="s">
        <v>5289</v>
      </c>
      <c r="G572" s="396" t="s">
        <v>781</v>
      </c>
      <c r="H572" s="396" t="s">
        <v>5596</v>
      </c>
      <c r="I572" s="396" t="s">
        <v>781</v>
      </c>
      <c r="J572" s="396" t="s">
        <v>6935</v>
      </c>
      <c r="K572" s="396" t="s">
        <v>781</v>
      </c>
      <c r="L572" s="397">
        <v>44.34</v>
      </c>
      <c r="M572" s="396" t="s">
        <v>4314</v>
      </c>
      <c r="N572" s="397">
        <v>573383.86786750006</v>
      </c>
      <c r="O572" s="396" t="s">
        <v>4449</v>
      </c>
    </row>
    <row r="573" spans="1:15" x14ac:dyDescent="0.4">
      <c r="A573" s="396" t="s">
        <v>2349</v>
      </c>
      <c r="B573" s="394" t="s">
        <v>395</v>
      </c>
      <c r="C573" s="394" t="s">
        <v>268</v>
      </c>
      <c r="D573" s="394" t="s">
        <v>1039</v>
      </c>
      <c r="E573" s="395" t="s">
        <v>3</v>
      </c>
      <c r="F573" s="396" t="s">
        <v>5435</v>
      </c>
      <c r="G573" s="396" t="s">
        <v>781</v>
      </c>
      <c r="H573" s="396" t="s">
        <v>6936</v>
      </c>
      <c r="I573" s="396" t="s">
        <v>781</v>
      </c>
      <c r="J573" s="396" t="s">
        <v>6937</v>
      </c>
      <c r="K573" s="396" t="s">
        <v>781</v>
      </c>
      <c r="L573" s="397">
        <v>44.317475999999999</v>
      </c>
      <c r="M573" s="396" t="s">
        <v>4314</v>
      </c>
      <c r="N573" s="397">
        <v>573428.18534349999</v>
      </c>
      <c r="O573" s="396" t="s">
        <v>4452</v>
      </c>
    </row>
    <row r="574" spans="1:15" x14ac:dyDescent="0.4">
      <c r="A574" s="396" t="s">
        <v>1141</v>
      </c>
      <c r="B574" s="394" t="s">
        <v>408</v>
      </c>
      <c r="C574" s="394" t="s">
        <v>1142</v>
      </c>
      <c r="D574" s="394" t="s">
        <v>1039</v>
      </c>
      <c r="E574" s="395" t="s">
        <v>4</v>
      </c>
      <c r="F574" s="396" t="s">
        <v>5269</v>
      </c>
      <c r="G574" s="396" t="s">
        <v>781</v>
      </c>
      <c r="H574" s="396" t="s">
        <v>6938</v>
      </c>
      <c r="I574" s="396" t="s">
        <v>781</v>
      </c>
      <c r="J574" s="396" t="s">
        <v>6938</v>
      </c>
      <c r="K574" s="396" t="s">
        <v>781</v>
      </c>
      <c r="L574" s="397">
        <v>44.29</v>
      </c>
      <c r="M574" s="396" t="s">
        <v>4314</v>
      </c>
      <c r="N574" s="397">
        <v>573472.47534350003</v>
      </c>
      <c r="O574" s="396" t="s">
        <v>4453</v>
      </c>
    </row>
    <row r="575" spans="1:15" x14ac:dyDescent="0.4">
      <c r="A575" s="396" t="s">
        <v>1416</v>
      </c>
      <c r="B575" s="394" t="s">
        <v>408</v>
      </c>
      <c r="C575" s="394" t="s">
        <v>1417</v>
      </c>
      <c r="D575" s="394" t="s">
        <v>1039</v>
      </c>
      <c r="E575" s="395" t="s">
        <v>4</v>
      </c>
      <c r="F575" s="396" t="s">
        <v>5269</v>
      </c>
      <c r="G575" s="396" t="s">
        <v>781</v>
      </c>
      <c r="H575" s="396" t="s">
        <v>6939</v>
      </c>
      <c r="I575" s="396" t="s">
        <v>781</v>
      </c>
      <c r="J575" s="396" t="s">
        <v>6939</v>
      </c>
      <c r="K575" s="396" t="s">
        <v>781</v>
      </c>
      <c r="L575" s="397">
        <v>43.89</v>
      </c>
      <c r="M575" s="396" t="s">
        <v>4314</v>
      </c>
      <c r="N575" s="397">
        <v>573516.36534350005</v>
      </c>
      <c r="O575" s="396" t="s">
        <v>4453</v>
      </c>
    </row>
    <row r="576" spans="1:15" x14ac:dyDescent="0.4">
      <c r="A576" s="396" t="s">
        <v>3277</v>
      </c>
      <c r="B576" s="394" t="s">
        <v>420</v>
      </c>
      <c r="C576" s="394" t="s">
        <v>3278</v>
      </c>
      <c r="D576" s="394" t="s">
        <v>1039</v>
      </c>
      <c r="E576" s="395" t="s">
        <v>422</v>
      </c>
      <c r="F576" s="396" t="s">
        <v>5269</v>
      </c>
      <c r="G576" s="396" t="s">
        <v>781</v>
      </c>
      <c r="H576" s="396" t="s">
        <v>5447</v>
      </c>
      <c r="I576" s="396" t="s">
        <v>781</v>
      </c>
      <c r="J576" s="396" t="s">
        <v>5447</v>
      </c>
      <c r="K576" s="396" t="s">
        <v>781</v>
      </c>
      <c r="L576" s="397">
        <v>43.88</v>
      </c>
      <c r="M576" s="396" t="s">
        <v>4314</v>
      </c>
      <c r="N576" s="397">
        <v>573560.24534350005</v>
      </c>
      <c r="O576" s="396" t="s">
        <v>4456</v>
      </c>
    </row>
    <row r="577" spans="1:15" x14ac:dyDescent="0.4">
      <c r="A577" s="396" t="s">
        <v>4681</v>
      </c>
      <c r="B577" s="394" t="s">
        <v>395</v>
      </c>
      <c r="C577" s="394" t="s">
        <v>4682</v>
      </c>
      <c r="D577" s="394" t="s">
        <v>1053</v>
      </c>
      <c r="E577" s="395" t="s">
        <v>6</v>
      </c>
      <c r="F577" s="396" t="s">
        <v>9335</v>
      </c>
      <c r="G577" s="396" t="s">
        <v>781</v>
      </c>
      <c r="H577" s="396" t="s">
        <v>6154</v>
      </c>
      <c r="I577" s="396" t="s">
        <v>781</v>
      </c>
      <c r="J577" s="396" t="s">
        <v>9336</v>
      </c>
      <c r="K577" s="396" t="s">
        <v>781</v>
      </c>
      <c r="L577" s="397">
        <v>43.610581097999997</v>
      </c>
      <c r="M577" s="396" t="s">
        <v>4314</v>
      </c>
      <c r="N577" s="397">
        <v>573603.85592460004</v>
      </c>
      <c r="O577" s="396" t="s">
        <v>4459</v>
      </c>
    </row>
    <row r="578" spans="1:15" ht="39.6" x14ac:dyDescent="0.4">
      <c r="A578" s="396" t="s">
        <v>4454</v>
      </c>
      <c r="B578" s="394" t="s">
        <v>395</v>
      </c>
      <c r="C578" s="394" t="s">
        <v>4455</v>
      </c>
      <c r="D578" s="394" t="s">
        <v>1317</v>
      </c>
      <c r="E578" s="395" t="s">
        <v>4</v>
      </c>
      <c r="F578" s="396" t="s">
        <v>6940</v>
      </c>
      <c r="G578" s="396" t="s">
        <v>781</v>
      </c>
      <c r="H578" s="396" t="s">
        <v>6941</v>
      </c>
      <c r="I578" s="396" t="s">
        <v>781</v>
      </c>
      <c r="J578" s="396" t="s">
        <v>6942</v>
      </c>
      <c r="K578" s="396" t="s">
        <v>781</v>
      </c>
      <c r="L578" s="397">
        <v>43.43</v>
      </c>
      <c r="M578" s="396" t="s">
        <v>4314</v>
      </c>
      <c r="N578" s="397">
        <v>573647.28592459997</v>
      </c>
      <c r="O578" s="396" t="s">
        <v>4460</v>
      </c>
    </row>
    <row r="579" spans="1:15" ht="26.4" x14ac:dyDescent="0.4">
      <c r="A579" s="396" t="s">
        <v>4476</v>
      </c>
      <c r="B579" s="394" t="s">
        <v>395</v>
      </c>
      <c r="C579" s="394" t="s">
        <v>4477</v>
      </c>
      <c r="D579" s="394" t="s">
        <v>1039</v>
      </c>
      <c r="E579" s="395" t="s">
        <v>4</v>
      </c>
      <c r="F579" s="396" t="s">
        <v>5310</v>
      </c>
      <c r="G579" s="396" t="s">
        <v>781</v>
      </c>
      <c r="H579" s="396" t="s">
        <v>6943</v>
      </c>
      <c r="I579" s="396" t="s">
        <v>781</v>
      </c>
      <c r="J579" s="396" t="s">
        <v>6944</v>
      </c>
      <c r="K579" s="396" t="s">
        <v>781</v>
      </c>
      <c r="L579" s="397">
        <v>43.04</v>
      </c>
      <c r="M579" s="396" t="s">
        <v>4314</v>
      </c>
      <c r="N579" s="397">
        <v>573690.32592460001</v>
      </c>
      <c r="O579" s="396" t="s">
        <v>4460</v>
      </c>
    </row>
    <row r="580" spans="1:15" x14ac:dyDescent="0.4">
      <c r="A580" s="396" t="s">
        <v>2520</v>
      </c>
      <c r="B580" s="394" t="s">
        <v>575</v>
      </c>
      <c r="C580" s="394" t="s">
        <v>2521</v>
      </c>
      <c r="D580" s="394" t="s">
        <v>1039</v>
      </c>
      <c r="E580" s="395" t="s">
        <v>4</v>
      </c>
      <c r="F580" s="396" t="s">
        <v>5269</v>
      </c>
      <c r="G580" s="396" t="s">
        <v>781</v>
      </c>
      <c r="H580" s="396" t="s">
        <v>5392</v>
      </c>
      <c r="I580" s="396" t="s">
        <v>781</v>
      </c>
      <c r="J580" s="396" t="s">
        <v>5392</v>
      </c>
      <c r="K580" s="396" t="s">
        <v>781</v>
      </c>
      <c r="L580" s="397">
        <v>42.67</v>
      </c>
      <c r="M580" s="396" t="s">
        <v>4314</v>
      </c>
      <c r="N580" s="397">
        <v>573732.99592460005</v>
      </c>
      <c r="O580" s="396" t="s">
        <v>4463</v>
      </c>
    </row>
    <row r="581" spans="1:15" x14ac:dyDescent="0.4">
      <c r="A581" s="396" t="s">
        <v>1158</v>
      </c>
      <c r="B581" s="394" t="s">
        <v>408</v>
      </c>
      <c r="C581" s="394" t="s">
        <v>1159</v>
      </c>
      <c r="D581" s="394" t="s">
        <v>1039</v>
      </c>
      <c r="E581" s="395" t="s">
        <v>7</v>
      </c>
      <c r="F581" s="396" t="s">
        <v>5323</v>
      </c>
      <c r="G581" s="396" t="s">
        <v>781</v>
      </c>
      <c r="H581" s="396" t="s">
        <v>6945</v>
      </c>
      <c r="I581" s="396" t="s">
        <v>781</v>
      </c>
      <c r="J581" s="396" t="s">
        <v>6946</v>
      </c>
      <c r="K581" s="396" t="s">
        <v>781</v>
      </c>
      <c r="L581" s="397">
        <v>42.524999999999999</v>
      </c>
      <c r="M581" s="396" t="s">
        <v>4314</v>
      </c>
      <c r="N581" s="397">
        <v>573775.52092459996</v>
      </c>
      <c r="O581" s="396" t="s">
        <v>4466</v>
      </c>
    </row>
    <row r="582" spans="1:15" x14ac:dyDescent="0.4">
      <c r="A582" s="396" t="s">
        <v>4499</v>
      </c>
      <c r="B582" s="394" t="s">
        <v>395</v>
      </c>
      <c r="C582" s="394" t="s">
        <v>4500</v>
      </c>
      <c r="D582" s="394" t="s">
        <v>1039</v>
      </c>
      <c r="E582" s="395" t="s">
        <v>4</v>
      </c>
      <c r="F582" s="396" t="s">
        <v>5269</v>
      </c>
      <c r="G582" s="396" t="s">
        <v>781</v>
      </c>
      <c r="H582" s="396" t="s">
        <v>6947</v>
      </c>
      <c r="I582" s="396" t="s">
        <v>781</v>
      </c>
      <c r="J582" s="396" t="s">
        <v>6947</v>
      </c>
      <c r="K582" s="396" t="s">
        <v>781</v>
      </c>
      <c r="L582" s="397">
        <v>42.36</v>
      </c>
      <c r="M582" s="396" t="s">
        <v>4314</v>
      </c>
      <c r="N582" s="397">
        <v>573817.88092459994</v>
      </c>
      <c r="O582" s="396" t="s">
        <v>4466</v>
      </c>
    </row>
    <row r="583" spans="1:15" x14ac:dyDescent="0.4">
      <c r="A583" s="396" t="s">
        <v>3090</v>
      </c>
      <c r="B583" s="394" t="s">
        <v>408</v>
      </c>
      <c r="C583" s="394" t="s">
        <v>3091</v>
      </c>
      <c r="D583" s="394" t="s">
        <v>1039</v>
      </c>
      <c r="E583" s="395" t="s">
        <v>7</v>
      </c>
      <c r="F583" s="396" t="s">
        <v>5450</v>
      </c>
      <c r="G583" s="396" t="s">
        <v>781</v>
      </c>
      <c r="H583" s="396" t="s">
        <v>5527</v>
      </c>
      <c r="I583" s="396" t="s">
        <v>781</v>
      </c>
      <c r="J583" s="396" t="s">
        <v>6948</v>
      </c>
      <c r="K583" s="396" t="s">
        <v>781</v>
      </c>
      <c r="L583" s="397">
        <v>42.35</v>
      </c>
      <c r="M583" s="396" t="s">
        <v>4314</v>
      </c>
      <c r="N583" s="397">
        <v>573860.23092460004</v>
      </c>
      <c r="O583" s="396" t="s">
        <v>4467</v>
      </c>
    </row>
    <row r="584" spans="1:15" x14ac:dyDescent="0.4">
      <c r="A584" s="396" t="s">
        <v>1511</v>
      </c>
      <c r="B584" s="394" t="s">
        <v>408</v>
      </c>
      <c r="C584" s="394" t="s">
        <v>1512</v>
      </c>
      <c r="D584" s="394" t="s">
        <v>1039</v>
      </c>
      <c r="E584" s="395" t="s">
        <v>675</v>
      </c>
      <c r="F584" s="396" t="s">
        <v>5323</v>
      </c>
      <c r="G584" s="396" t="s">
        <v>781</v>
      </c>
      <c r="H584" s="396" t="s">
        <v>6949</v>
      </c>
      <c r="I584" s="396" t="s">
        <v>781</v>
      </c>
      <c r="J584" s="396" t="s">
        <v>6950</v>
      </c>
      <c r="K584" s="396" t="s">
        <v>781</v>
      </c>
      <c r="L584" s="397">
        <v>42.231000000000002</v>
      </c>
      <c r="M584" s="396" t="s">
        <v>4314</v>
      </c>
      <c r="N584" s="397">
        <v>573902.46192459995</v>
      </c>
      <c r="O584" s="396" t="s">
        <v>4468</v>
      </c>
    </row>
    <row r="585" spans="1:15" ht="26.4" x14ac:dyDescent="0.4">
      <c r="A585" s="396" t="s">
        <v>4429</v>
      </c>
      <c r="B585" s="394" t="s">
        <v>395</v>
      </c>
      <c r="C585" s="394" t="s">
        <v>4430</v>
      </c>
      <c r="D585" s="394" t="s">
        <v>1039</v>
      </c>
      <c r="E585" s="395" t="s">
        <v>4</v>
      </c>
      <c r="F585" s="396" t="s">
        <v>5277</v>
      </c>
      <c r="G585" s="396" t="s">
        <v>781</v>
      </c>
      <c r="H585" s="396" t="s">
        <v>6953</v>
      </c>
      <c r="I585" s="396" t="s">
        <v>781</v>
      </c>
      <c r="J585" s="396" t="s">
        <v>6954</v>
      </c>
      <c r="K585" s="396" t="s">
        <v>781</v>
      </c>
      <c r="L585" s="397">
        <v>41.54</v>
      </c>
      <c r="M585" s="396" t="s">
        <v>4314</v>
      </c>
      <c r="N585" s="397">
        <v>573944.00192459999</v>
      </c>
      <c r="O585" s="396" t="s">
        <v>4469</v>
      </c>
    </row>
    <row r="586" spans="1:15" ht="26.4" x14ac:dyDescent="0.4">
      <c r="A586" s="396" t="s">
        <v>1346</v>
      </c>
      <c r="B586" s="394" t="s">
        <v>395</v>
      </c>
      <c r="C586" s="394" t="s">
        <v>250</v>
      </c>
      <c r="D586" s="394" t="s">
        <v>1039</v>
      </c>
      <c r="E586" s="395" t="s">
        <v>4</v>
      </c>
      <c r="F586" s="396" t="s">
        <v>5273</v>
      </c>
      <c r="G586" s="396" t="s">
        <v>781</v>
      </c>
      <c r="H586" s="396" t="s">
        <v>6955</v>
      </c>
      <c r="I586" s="396" t="s">
        <v>781</v>
      </c>
      <c r="J586" s="396" t="s">
        <v>6956</v>
      </c>
      <c r="K586" s="396" t="s">
        <v>781</v>
      </c>
      <c r="L586" s="397">
        <v>41.52</v>
      </c>
      <c r="M586" s="396" t="s">
        <v>4314</v>
      </c>
      <c r="N586" s="397">
        <v>573985.52192460001</v>
      </c>
      <c r="O586" s="396" t="s">
        <v>4469</v>
      </c>
    </row>
    <row r="587" spans="1:15" ht="26.4" x14ac:dyDescent="0.4">
      <c r="A587" s="396" t="s">
        <v>6957</v>
      </c>
      <c r="B587" s="394" t="s">
        <v>5902</v>
      </c>
      <c r="C587" s="394" t="s">
        <v>6958</v>
      </c>
      <c r="D587" s="394" t="s">
        <v>1039</v>
      </c>
      <c r="E587" s="395" t="s">
        <v>7</v>
      </c>
      <c r="F587" s="396" t="s">
        <v>6959</v>
      </c>
      <c r="G587" s="396" t="s">
        <v>781</v>
      </c>
      <c r="H587" s="396" t="s">
        <v>6960</v>
      </c>
      <c r="I587" s="396" t="s">
        <v>781</v>
      </c>
      <c r="J587" s="396" t="s">
        <v>6961</v>
      </c>
      <c r="K587" s="396" t="s">
        <v>781</v>
      </c>
      <c r="L587" s="397">
        <v>41.384968000000001</v>
      </c>
      <c r="M587" s="396" t="s">
        <v>4314</v>
      </c>
      <c r="N587" s="397">
        <v>574026.9068926</v>
      </c>
      <c r="O587" s="396" t="s">
        <v>4470</v>
      </c>
    </row>
    <row r="588" spans="1:15" ht="26.4" x14ac:dyDescent="0.4">
      <c r="A588" s="396" t="s">
        <v>4473</v>
      </c>
      <c r="B588" s="394" t="s">
        <v>395</v>
      </c>
      <c r="C588" s="394" t="s">
        <v>4474</v>
      </c>
      <c r="D588" s="394" t="s">
        <v>1039</v>
      </c>
      <c r="E588" s="395" t="s">
        <v>4</v>
      </c>
      <c r="F588" s="396" t="s">
        <v>5284</v>
      </c>
      <c r="G588" s="396" t="s">
        <v>781</v>
      </c>
      <c r="H588" s="396" t="s">
        <v>6962</v>
      </c>
      <c r="I588" s="396" t="s">
        <v>781</v>
      </c>
      <c r="J588" s="396" t="s">
        <v>6963</v>
      </c>
      <c r="K588" s="396" t="s">
        <v>781</v>
      </c>
      <c r="L588" s="397">
        <v>41.28</v>
      </c>
      <c r="M588" s="396" t="s">
        <v>4314</v>
      </c>
      <c r="N588" s="397">
        <v>574068.18689260003</v>
      </c>
      <c r="O588" s="396" t="s">
        <v>4475</v>
      </c>
    </row>
    <row r="589" spans="1:15" x14ac:dyDescent="0.4">
      <c r="A589" s="396" t="s">
        <v>4515</v>
      </c>
      <c r="B589" s="394" t="s">
        <v>395</v>
      </c>
      <c r="C589" s="394" t="s">
        <v>4516</v>
      </c>
      <c r="D589" s="394" t="s">
        <v>1039</v>
      </c>
      <c r="E589" s="395" t="s">
        <v>4</v>
      </c>
      <c r="F589" s="396" t="s">
        <v>5269</v>
      </c>
      <c r="G589" s="396" t="s">
        <v>781</v>
      </c>
      <c r="H589" s="396" t="s">
        <v>6964</v>
      </c>
      <c r="I589" s="396" t="s">
        <v>781</v>
      </c>
      <c r="J589" s="396" t="s">
        <v>6964</v>
      </c>
      <c r="K589" s="396" t="s">
        <v>781</v>
      </c>
      <c r="L589" s="397">
        <v>40.76</v>
      </c>
      <c r="M589" s="396" t="s">
        <v>4314</v>
      </c>
      <c r="N589" s="397">
        <v>574108.94689260004</v>
      </c>
      <c r="O589" s="396" t="s">
        <v>4478</v>
      </c>
    </row>
    <row r="590" spans="1:15" x14ac:dyDescent="0.4">
      <c r="A590" s="396" t="s">
        <v>2568</v>
      </c>
      <c r="B590" s="394" t="s">
        <v>575</v>
      </c>
      <c r="C590" s="394" t="s">
        <v>585</v>
      </c>
      <c r="D590" s="394" t="s">
        <v>1039</v>
      </c>
      <c r="E590" s="395" t="s">
        <v>4</v>
      </c>
      <c r="F590" s="396" t="s">
        <v>5269</v>
      </c>
      <c r="G590" s="396" t="s">
        <v>781</v>
      </c>
      <c r="H590" s="396" t="s">
        <v>9337</v>
      </c>
      <c r="I590" s="396" t="s">
        <v>781</v>
      </c>
      <c r="J590" s="396" t="s">
        <v>9337</v>
      </c>
      <c r="K590" s="396" t="s">
        <v>781</v>
      </c>
      <c r="L590" s="397">
        <v>40.35</v>
      </c>
      <c r="M590" s="396" t="s">
        <v>4314</v>
      </c>
      <c r="N590" s="397">
        <v>574149.29689260002</v>
      </c>
      <c r="O590" s="396" t="s">
        <v>4478</v>
      </c>
    </row>
    <row r="591" spans="1:15" x14ac:dyDescent="0.4">
      <c r="A591" s="396" t="s">
        <v>1283</v>
      </c>
      <c r="B591" s="394" t="s">
        <v>408</v>
      </c>
      <c r="C591" s="394" t="s">
        <v>1284</v>
      </c>
      <c r="D591" s="394" t="s">
        <v>1039</v>
      </c>
      <c r="E591" s="395" t="s">
        <v>4</v>
      </c>
      <c r="F591" s="396" t="s">
        <v>5273</v>
      </c>
      <c r="G591" s="396" t="s">
        <v>781</v>
      </c>
      <c r="H591" s="396" t="s">
        <v>6965</v>
      </c>
      <c r="I591" s="396" t="s">
        <v>781</v>
      </c>
      <c r="J591" s="396" t="s">
        <v>6966</v>
      </c>
      <c r="K591" s="396" t="s">
        <v>781</v>
      </c>
      <c r="L591" s="397">
        <v>40.32</v>
      </c>
      <c r="M591" s="396" t="s">
        <v>4314</v>
      </c>
      <c r="N591" s="397">
        <v>574189.61689259997</v>
      </c>
      <c r="O591" s="396" t="s">
        <v>4479</v>
      </c>
    </row>
    <row r="592" spans="1:15" ht="26.4" x14ac:dyDescent="0.4">
      <c r="A592" s="396" t="s">
        <v>4368</v>
      </c>
      <c r="B592" s="394" t="s">
        <v>395</v>
      </c>
      <c r="C592" s="394" t="s">
        <v>4369</v>
      </c>
      <c r="D592" s="394" t="s">
        <v>1039</v>
      </c>
      <c r="E592" s="395" t="s">
        <v>7</v>
      </c>
      <c r="F592" s="396" t="s">
        <v>5434</v>
      </c>
      <c r="G592" s="396" t="s">
        <v>781</v>
      </c>
      <c r="H592" s="396" t="s">
        <v>6967</v>
      </c>
      <c r="I592" s="396" t="s">
        <v>781</v>
      </c>
      <c r="J592" s="396" t="s">
        <v>6968</v>
      </c>
      <c r="K592" s="396" t="s">
        <v>781</v>
      </c>
      <c r="L592" s="397">
        <v>40.050719999999998</v>
      </c>
      <c r="M592" s="396" t="s">
        <v>4314</v>
      </c>
      <c r="N592" s="397">
        <v>574229.66761260002</v>
      </c>
      <c r="O592" s="396" t="s">
        <v>4482</v>
      </c>
    </row>
    <row r="593" spans="1:15" ht="26.4" x14ac:dyDescent="0.4">
      <c r="A593" s="396" t="s">
        <v>6951</v>
      </c>
      <c r="B593" s="394" t="s">
        <v>420</v>
      </c>
      <c r="C593" s="394" t="s">
        <v>6952</v>
      </c>
      <c r="D593" s="394" t="s">
        <v>1039</v>
      </c>
      <c r="E593" s="395" t="s">
        <v>422</v>
      </c>
      <c r="F593" s="396" t="s">
        <v>5269</v>
      </c>
      <c r="G593" s="396" t="s">
        <v>781</v>
      </c>
      <c r="H593" s="396" t="s">
        <v>9338</v>
      </c>
      <c r="I593" s="396" t="s">
        <v>781</v>
      </c>
      <c r="J593" s="396" t="s">
        <v>9338</v>
      </c>
      <c r="K593" s="396" t="s">
        <v>781</v>
      </c>
      <c r="L593" s="397">
        <v>39.9</v>
      </c>
      <c r="M593" s="396" t="s">
        <v>4314</v>
      </c>
      <c r="N593" s="397">
        <v>574269.56761260005</v>
      </c>
      <c r="O593" s="396" t="s">
        <v>4482</v>
      </c>
    </row>
    <row r="594" spans="1:15" ht="26.4" x14ac:dyDescent="0.4">
      <c r="A594" s="396" t="s">
        <v>4550</v>
      </c>
      <c r="B594" s="394" t="s">
        <v>395</v>
      </c>
      <c r="C594" s="394" t="s">
        <v>4551</v>
      </c>
      <c r="D594" s="394" t="s">
        <v>1039</v>
      </c>
      <c r="E594" s="395" t="s">
        <v>675</v>
      </c>
      <c r="F594" s="396" t="s">
        <v>5484</v>
      </c>
      <c r="G594" s="396" t="s">
        <v>781</v>
      </c>
      <c r="H594" s="396" t="s">
        <v>6969</v>
      </c>
      <c r="I594" s="396" t="s">
        <v>781</v>
      </c>
      <c r="J594" s="396" t="s">
        <v>5453</v>
      </c>
      <c r="K594" s="396" t="s">
        <v>781</v>
      </c>
      <c r="L594" s="397">
        <v>39.401775000000001</v>
      </c>
      <c r="M594" s="396" t="s">
        <v>4314</v>
      </c>
      <c r="N594" s="397">
        <v>574308.96938759997</v>
      </c>
      <c r="O594" s="396" t="s">
        <v>4485</v>
      </c>
    </row>
    <row r="595" spans="1:15" x14ac:dyDescent="0.4">
      <c r="A595" s="396" t="s">
        <v>2448</v>
      </c>
      <c r="B595" s="394" t="s">
        <v>490</v>
      </c>
      <c r="C595" s="394" t="s">
        <v>2449</v>
      </c>
      <c r="D595" s="394" t="s">
        <v>1039</v>
      </c>
      <c r="E595" s="395" t="s">
        <v>4</v>
      </c>
      <c r="F595" s="396" t="s">
        <v>5269</v>
      </c>
      <c r="G595" s="396" t="s">
        <v>781</v>
      </c>
      <c r="H595" s="396" t="s">
        <v>5453</v>
      </c>
      <c r="I595" s="396" t="s">
        <v>781</v>
      </c>
      <c r="J595" s="396" t="s">
        <v>5453</v>
      </c>
      <c r="K595" s="396" t="s">
        <v>781</v>
      </c>
      <c r="L595" s="397">
        <v>39.4</v>
      </c>
      <c r="M595" s="396" t="s">
        <v>4314</v>
      </c>
      <c r="N595" s="397">
        <v>574348.36938759999</v>
      </c>
      <c r="O595" s="396" t="s">
        <v>4488</v>
      </c>
    </row>
    <row r="596" spans="1:15" ht="26.4" x14ac:dyDescent="0.4">
      <c r="A596" s="396" t="s">
        <v>9339</v>
      </c>
      <c r="B596" s="394" t="s">
        <v>395</v>
      </c>
      <c r="C596" s="394" t="s">
        <v>9340</v>
      </c>
      <c r="D596" s="394" t="s">
        <v>1039</v>
      </c>
      <c r="E596" s="395" t="s">
        <v>4</v>
      </c>
      <c r="F596" s="396" t="s">
        <v>9324</v>
      </c>
      <c r="G596" s="396" t="s">
        <v>781</v>
      </c>
      <c r="H596" s="396" t="s">
        <v>9341</v>
      </c>
      <c r="I596" s="396" t="s">
        <v>781</v>
      </c>
      <c r="J596" s="396" t="s">
        <v>9342</v>
      </c>
      <c r="K596" s="396" t="s">
        <v>781</v>
      </c>
      <c r="L596" s="397">
        <v>39.304000000000002</v>
      </c>
      <c r="M596" s="396" t="s">
        <v>4314</v>
      </c>
      <c r="N596" s="397">
        <v>574387.67338759999</v>
      </c>
      <c r="O596" s="396" t="s">
        <v>4488</v>
      </c>
    </row>
    <row r="597" spans="1:15" x14ac:dyDescent="0.4">
      <c r="A597" s="396" t="s">
        <v>1509</v>
      </c>
      <c r="B597" s="394" t="s">
        <v>408</v>
      </c>
      <c r="C597" s="394" t="s">
        <v>1510</v>
      </c>
      <c r="D597" s="394" t="s">
        <v>1039</v>
      </c>
      <c r="E597" s="395" t="s">
        <v>4</v>
      </c>
      <c r="F597" s="396" t="s">
        <v>5269</v>
      </c>
      <c r="G597" s="396" t="s">
        <v>781</v>
      </c>
      <c r="H597" s="396" t="s">
        <v>6970</v>
      </c>
      <c r="I597" s="396" t="s">
        <v>781</v>
      </c>
      <c r="J597" s="396" t="s">
        <v>6970</v>
      </c>
      <c r="K597" s="396" t="s">
        <v>781</v>
      </c>
      <c r="L597" s="397">
        <v>39</v>
      </c>
      <c r="M597" s="396" t="s">
        <v>4314</v>
      </c>
      <c r="N597" s="397">
        <v>574426.67338759999</v>
      </c>
      <c r="O597" s="396" t="s">
        <v>4491</v>
      </c>
    </row>
    <row r="598" spans="1:15" ht="26.4" x14ac:dyDescent="0.4">
      <c r="A598" s="396" t="s">
        <v>4457</v>
      </c>
      <c r="B598" s="394" t="s">
        <v>395</v>
      </c>
      <c r="C598" s="394" t="s">
        <v>4458</v>
      </c>
      <c r="D598" s="394" t="s">
        <v>1317</v>
      </c>
      <c r="E598" s="395" t="s">
        <v>10</v>
      </c>
      <c r="F598" s="396" t="s">
        <v>5273</v>
      </c>
      <c r="G598" s="396" t="s">
        <v>781</v>
      </c>
      <c r="H598" s="396" t="s">
        <v>6971</v>
      </c>
      <c r="I598" s="396" t="s">
        <v>781</v>
      </c>
      <c r="J598" s="396" t="s">
        <v>6972</v>
      </c>
      <c r="K598" s="396" t="s">
        <v>781</v>
      </c>
      <c r="L598" s="397">
        <v>38.58</v>
      </c>
      <c r="M598" s="396" t="s">
        <v>4314</v>
      </c>
      <c r="N598" s="397">
        <v>574465.25338759995</v>
      </c>
      <c r="O598" s="396" t="s">
        <v>4494</v>
      </c>
    </row>
    <row r="599" spans="1:15" ht="39.6" x14ac:dyDescent="0.4">
      <c r="A599" s="396" t="s">
        <v>1206</v>
      </c>
      <c r="B599" s="394" t="s">
        <v>5902</v>
      </c>
      <c r="C599" s="394" t="s">
        <v>1207</v>
      </c>
      <c r="D599" s="394" t="s">
        <v>1039</v>
      </c>
      <c r="E599" s="395" t="s">
        <v>7</v>
      </c>
      <c r="F599" s="396" t="s">
        <v>5345</v>
      </c>
      <c r="G599" s="396" t="s">
        <v>781</v>
      </c>
      <c r="H599" s="396" t="s">
        <v>6973</v>
      </c>
      <c r="I599" s="396" t="s">
        <v>781</v>
      </c>
      <c r="J599" s="396" t="s">
        <v>6972</v>
      </c>
      <c r="K599" s="396" t="s">
        <v>781</v>
      </c>
      <c r="L599" s="397">
        <v>38.5764</v>
      </c>
      <c r="M599" s="396" t="s">
        <v>4314</v>
      </c>
      <c r="N599" s="397">
        <v>574503.82978759997</v>
      </c>
      <c r="O599" s="396" t="s">
        <v>4494</v>
      </c>
    </row>
    <row r="600" spans="1:15" x14ac:dyDescent="0.4">
      <c r="A600" s="396" t="s">
        <v>6975</v>
      </c>
      <c r="B600" s="394" t="s">
        <v>420</v>
      </c>
      <c r="C600" s="394" t="s">
        <v>6976</v>
      </c>
      <c r="D600" s="394" t="s">
        <v>1317</v>
      </c>
      <c r="E600" s="395" t="s">
        <v>6977</v>
      </c>
      <c r="F600" s="396" t="s">
        <v>5285</v>
      </c>
      <c r="G600" s="396" t="s">
        <v>781</v>
      </c>
      <c r="H600" s="396" t="s">
        <v>6978</v>
      </c>
      <c r="I600" s="396" t="s">
        <v>781</v>
      </c>
      <c r="J600" s="396" t="s">
        <v>6979</v>
      </c>
      <c r="K600" s="396" t="s">
        <v>781</v>
      </c>
      <c r="L600" s="397">
        <v>38.159999999999997</v>
      </c>
      <c r="M600" s="396" t="s">
        <v>4314</v>
      </c>
      <c r="N600" s="397">
        <v>574541.9897876</v>
      </c>
      <c r="O600" s="396" t="s">
        <v>4495</v>
      </c>
    </row>
    <row r="601" spans="1:15" ht="26.4" x14ac:dyDescent="0.4">
      <c r="A601" s="396" t="s">
        <v>4461</v>
      </c>
      <c r="B601" s="394" t="s">
        <v>395</v>
      </c>
      <c r="C601" s="394" t="s">
        <v>4462</v>
      </c>
      <c r="D601" s="394" t="s">
        <v>1317</v>
      </c>
      <c r="E601" s="395" t="s">
        <v>10</v>
      </c>
      <c r="F601" s="396" t="s">
        <v>5305</v>
      </c>
      <c r="G601" s="396" t="s">
        <v>781</v>
      </c>
      <c r="H601" s="396" t="s">
        <v>6980</v>
      </c>
      <c r="I601" s="396" t="s">
        <v>781</v>
      </c>
      <c r="J601" s="396" t="s">
        <v>6981</v>
      </c>
      <c r="K601" s="396" t="s">
        <v>781</v>
      </c>
      <c r="L601" s="397">
        <v>38.08</v>
      </c>
      <c r="M601" s="396" t="s">
        <v>4314</v>
      </c>
      <c r="N601" s="397">
        <v>574580.06978759996</v>
      </c>
      <c r="O601" s="396" t="s">
        <v>4498</v>
      </c>
    </row>
    <row r="602" spans="1:15" x14ac:dyDescent="0.4">
      <c r="A602" s="396" t="s">
        <v>1414</v>
      </c>
      <c r="B602" s="394" t="s">
        <v>408</v>
      </c>
      <c r="C602" s="394" t="s">
        <v>1415</v>
      </c>
      <c r="D602" s="394" t="s">
        <v>1039</v>
      </c>
      <c r="E602" s="395" t="s">
        <v>4</v>
      </c>
      <c r="F602" s="396" t="s">
        <v>9343</v>
      </c>
      <c r="G602" s="396" t="s">
        <v>781</v>
      </c>
      <c r="H602" s="396" t="s">
        <v>5295</v>
      </c>
      <c r="I602" s="396" t="s">
        <v>781</v>
      </c>
      <c r="J602" s="396" t="s">
        <v>9344</v>
      </c>
      <c r="K602" s="396" t="s">
        <v>781</v>
      </c>
      <c r="L602" s="397">
        <v>38</v>
      </c>
      <c r="M602" s="396" t="s">
        <v>4314</v>
      </c>
      <c r="N602" s="397">
        <v>574618.06978759996</v>
      </c>
      <c r="O602" s="396" t="s">
        <v>4498</v>
      </c>
    </row>
    <row r="603" spans="1:15" x14ac:dyDescent="0.4">
      <c r="A603" s="396" t="s">
        <v>3219</v>
      </c>
      <c r="B603" s="394" t="s">
        <v>2616</v>
      </c>
      <c r="C603" s="394" t="s">
        <v>3220</v>
      </c>
      <c r="D603" s="394" t="s">
        <v>1039</v>
      </c>
      <c r="E603" s="395" t="s">
        <v>4</v>
      </c>
      <c r="F603" s="396" t="s">
        <v>5269</v>
      </c>
      <c r="G603" s="396" t="s">
        <v>781</v>
      </c>
      <c r="H603" s="396" t="s">
        <v>6982</v>
      </c>
      <c r="I603" s="396" t="s">
        <v>781</v>
      </c>
      <c r="J603" s="396" t="s">
        <v>6982</v>
      </c>
      <c r="K603" s="396" t="s">
        <v>781</v>
      </c>
      <c r="L603" s="397">
        <v>37.42</v>
      </c>
      <c r="M603" s="396" t="s">
        <v>4314</v>
      </c>
      <c r="N603" s="397">
        <v>574655.4897876</v>
      </c>
      <c r="O603" s="396" t="s">
        <v>4503</v>
      </c>
    </row>
    <row r="604" spans="1:15" x14ac:dyDescent="0.4">
      <c r="A604" s="396" t="s">
        <v>1465</v>
      </c>
      <c r="B604" s="394" t="s">
        <v>490</v>
      </c>
      <c r="C604" s="394" t="s">
        <v>1466</v>
      </c>
      <c r="D604" s="394" t="s">
        <v>1053</v>
      </c>
      <c r="E604" s="395" t="s">
        <v>6</v>
      </c>
      <c r="F604" s="396" t="s">
        <v>9345</v>
      </c>
      <c r="G604" s="396" t="s">
        <v>781</v>
      </c>
      <c r="H604" s="396" t="s">
        <v>9346</v>
      </c>
      <c r="I604" s="396" t="s">
        <v>781</v>
      </c>
      <c r="J604" s="396" t="s">
        <v>9347</v>
      </c>
      <c r="K604" s="396" t="s">
        <v>781</v>
      </c>
      <c r="L604" s="397">
        <v>37.310699999999997</v>
      </c>
      <c r="M604" s="396" t="s">
        <v>4314</v>
      </c>
      <c r="N604" s="397">
        <v>574692.80048760003</v>
      </c>
      <c r="O604" s="396" t="s">
        <v>4504</v>
      </c>
    </row>
    <row r="605" spans="1:15" x14ac:dyDescent="0.4">
      <c r="A605" s="396" t="s">
        <v>1567</v>
      </c>
      <c r="B605" s="394" t="s">
        <v>490</v>
      </c>
      <c r="C605" s="394" t="s">
        <v>1568</v>
      </c>
      <c r="D605" s="394" t="s">
        <v>1039</v>
      </c>
      <c r="E605" s="395" t="s">
        <v>713</v>
      </c>
      <c r="F605" s="396" t="s">
        <v>5472</v>
      </c>
      <c r="G605" s="396" t="s">
        <v>781</v>
      </c>
      <c r="H605" s="396" t="s">
        <v>9348</v>
      </c>
      <c r="I605" s="396" t="s">
        <v>781</v>
      </c>
      <c r="J605" s="396" t="s">
        <v>9349</v>
      </c>
      <c r="K605" s="396" t="s">
        <v>781</v>
      </c>
      <c r="L605" s="397">
        <v>37.039155999999998</v>
      </c>
      <c r="M605" s="396" t="s">
        <v>4314</v>
      </c>
      <c r="N605" s="397">
        <v>574729.83964360005</v>
      </c>
      <c r="O605" s="396" t="s">
        <v>4504</v>
      </c>
    </row>
    <row r="606" spans="1:15" x14ac:dyDescent="0.4">
      <c r="A606" s="396" t="s">
        <v>1305</v>
      </c>
      <c r="B606" s="394" t="s">
        <v>395</v>
      </c>
      <c r="C606" s="394" t="s">
        <v>275</v>
      </c>
      <c r="D606" s="394" t="s">
        <v>1039</v>
      </c>
      <c r="E606" s="395" t="s">
        <v>3</v>
      </c>
      <c r="F606" s="396" t="s">
        <v>6983</v>
      </c>
      <c r="G606" s="396" t="s">
        <v>781</v>
      </c>
      <c r="H606" s="396" t="s">
        <v>5279</v>
      </c>
      <c r="I606" s="396" t="s">
        <v>781</v>
      </c>
      <c r="J606" s="396" t="s">
        <v>6984</v>
      </c>
      <c r="K606" s="396" t="s">
        <v>781</v>
      </c>
      <c r="L606" s="397">
        <v>36.054815400000003</v>
      </c>
      <c r="M606" s="396" t="s">
        <v>4314</v>
      </c>
      <c r="N606" s="397">
        <v>574765.89445899997</v>
      </c>
      <c r="O606" s="396" t="s">
        <v>4507</v>
      </c>
    </row>
    <row r="607" spans="1:15" ht="26.4" x14ac:dyDescent="0.4">
      <c r="A607" s="396" t="s">
        <v>4525</v>
      </c>
      <c r="B607" s="394" t="s">
        <v>395</v>
      </c>
      <c r="C607" s="394" t="s">
        <v>4526</v>
      </c>
      <c r="D607" s="394" t="s">
        <v>1039</v>
      </c>
      <c r="E607" s="395" t="s">
        <v>4</v>
      </c>
      <c r="F607" s="396" t="s">
        <v>5273</v>
      </c>
      <c r="G607" s="396" t="s">
        <v>781</v>
      </c>
      <c r="H607" s="396" t="s">
        <v>5695</v>
      </c>
      <c r="I607" s="396" t="s">
        <v>781</v>
      </c>
      <c r="J607" s="396" t="s">
        <v>6985</v>
      </c>
      <c r="K607" s="396" t="s">
        <v>781</v>
      </c>
      <c r="L607" s="397">
        <v>35.659999999999997</v>
      </c>
      <c r="M607" s="396" t="s">
        <v>4314</v>
      </c>
      <c r="N607" s="397">
        <v>574801.55445900001</v>
      </c>
      <c r="O607" s="396" t="s">
        <v>4507</v>
      </c>
    </row>
    <row r="608" spans="1:15" x14ac:dyDescent="0.4">
      <c r="A608" s="396" t="s">
        <v>4620</v>
      </c>
      <c r="B608" s="394" t="s">
        <v>395</v>
      </c>
      <c r="C608" s="394" t="s">
        <v>4621</v>
      </c>
      <c r="D608" s="394" t="s">
        <v>1039</v>
      </c>
      <c r="E608" s="395" t="s">
        <v>4622</v>
      </c>
      <c r="F608" s="396" t="s">
        <v>9350</v>
      </c>
      <c r="G608" s="396" t="s">
        <v>781</v>
      </c>
      <c r="H608" s="396" t="s">
        <v>5720</v>
      </c>
      <c r="I608" s="396" t="s">
        <v>781</v>
      </c>
      <c r="J608" s="396" t="s">
        <v>9351</v>
      </c>
      <c r="K608" s="396" t="s">
        <v>781</v>
      </c>
      <c r="L608" s="397">
        <v>35.603657599999998</v>
      </c>
      <c r="M608" s="396" t="s">
        <v>4314</v>
      </c>
      <c r="N608" s="397">
        <v>574837.15811660001</v>
      </c>
      <c r="O608" s="396" t="s">
        <v>4510</v>
      </c>
    </row>
    <row r="609" spans="1:15" x14ac:dyDescent="0.4">
      <c r="A609" s="396" t="s">
        <v>3163</v>
      </c>
      <c r="B609" s="394" t="s">
        <v>420</v>
      </c>
      <c r="C609" s="394" t="s">
        <v>3164</v>
      </c>
      <c r="D609" s="394" t="s">
        <v>1039</v>
      </c>
      <c r="E609" s="395" t="s">
        <v>1249</v>
      </c>
      <c r="F609" s="396" t="s">
        <v>5521</v>
      </c>
      <c r="G609" s="396" t="s">
        <v>781</v>
      </c>
      <c r="H609" s="396" t="s">
        <v>6986</v>
      </c>
      <c r="I609" s="396" t="s">
        <v>781</v>
      </c>
      <c r="J609" s="396" t="s">
        <v>6987</v>
      </c>
      <c r="K609" s="396" t="s">
        <v>781</v>
      </c>
      <c r="L609" s="397">
        <v>35.481999999999999</v>
      </c>
      <c r="M609" s="396" t="s">
        <v>4314</v>
      </c>
      <c r="N609" s="397">
        <v>574872.64011659997</v>
      </c>
      <c r="O609" s="396" t="s">
        <v>4511</v>
      </c>
    </row>
    <row r="610" spans="1:15" x14ac:dyDescent="0.4">
      <c r="A610" s="396" t="s">
        <v>1544</v>
      </c>
      <c r="B610" s="394" t="s">
        <v>420</v>
      </c>
      <c r="C610" s="394" t="s">
        <v>1545</v>
      </c>
      <c r="D610" s="394" t="s">
        <v>1039</v>
      </c>
      <c r="E610" s="395" t="s">
        <v>437</v>
      </c>
      <c r="F610" s="396" t="s">
        <v>5436</v>
      </c>
      <c r="G610" s="396" t="s">
        <v>781</v>
      </c>
      <c r="H610" s="396" t="s">
        <v>5606</v>
      </c>
      <c r="I610" s="396" t="s">
        <v>781</v>
      </c>
      <c r="J610" s="396" t="s">
        <v>6988</v>
      </c>
      <c r="K610" s="396" t="s">
        <v>781</v>
      </c>
      <c r="L610" s="397">
        <v>35.283059999999999</v>
      </c>
      <c r="M610" s="396" t="s">
        <v>4314</v>
      </c>
      <c r="N610" s="397">
        <v>574907.92317660002</v>
      </c>
      <c r="O610" s="396" t="s">
        <v>4511</v>
      </c>
    </row>
    <row r="611" spans="1:15" x14ac:dyDescent="0.4">
      <c r="A611" s="396" t="s">
        <v>3106</v>
      </c>
      <c r="B611" s="394" t="s">
        <v>408</v>
      </c>
      <c r="C611" s="394" t="s">
        <v>3107</v>
      </c>
      <c r="D611" s="394" t="s">
        <v>1039</v>
      </c>
      <c r="E611" s="395" t="s">
        <v>4</v>
      </c>
      <c r="F611" s="396" t="s">
        <v>5470</v>
      </c>
      <c r="G611" s="396" t="s">
        <v>781</v>
      </c>
      <c r="H611" s="396" t="s">
        <v>5623</v>
      </c>
      <c r="I611" s="396" t="s">
        <v>781</v>
      </c>
      <c r="J611" s="396" t="s">
        <v>6989</v>
      </c>
      <c r="K611" s="396" t="s">
        <v>781</v>
      </c>
      <c r="L611" s="397">
        <v>35.260399999999997</v>
      </c>
      <c r="M611" s="396" t="s">
        <v>4314</v>
      </c>
      <c r="N611" s="397">
        <v>574943.18357660004</v>
      </c>
      <c r="O611" s="396" t="s">
        <v>4514</v>
      </c>
    </row>
    <row r="612" spans="1:15" ht="26.4" x14ac:dyDescent="0.4">
      <c r="A612" s="396" t="s">
        <v>4648</v>
      </c>
      <c r="B612" s="394" t="s">
        <v>395</v>
      </c>
      <c r="C612" s="394" t="s">
        <v>4649</v>
      </c>
      <c r="D612" s="394" t="s">
        <v>1039</v>
      </c>
      <c r="E612" s="395" t="s">
        <v>7</v>
      </c>
      <c r="F612" s="396" t="s">
        <v>9352</v>
      </c>
      <c r="G612" s="396" t="s">
        <v>781</v>
      </c>
      <c r="H612" s="396" t="s">
        <v>7281</v>
      </c>
      <c r="I612" s="396" t="s">
        <v>781</v>
      </c>
      <c r="J612" s="396" t="s">
        <v>9353</v>
      </c>
      <c r="K612" s="396" t="s">
        <v>781</v>
      </c>
      <c r="L612" s="397">
        <v>35.24644</v>
      </c>
      <c r="M612" s="396" t="s">
        <v>4314</v>
      </c>
      <c r="N612" s="397">
        <v>574978.43001659994</v>
      </c>
      <c r="O612" s="396" t="s">
        <v>4514</v>
      </c>
    </row>
    <row r="613" spans="1:15" ht="39.6" x14ac:dyDescent="0.4">
      <c r="A613" s="396" t="s">
        <v>3781</v>
      </c>
      <c r="B613" s="394" t="s">
        <v>395</v>
      </c>
      <c r="C613" s="394" t="s">
        <v>3320</v>
      </c>
      <c r="D613" s="394" t="s">
        <v>1317</v>
      </c>
      <c r="E613" s="395" t="s">
        <v>3321</v>
      </c>
      <c r="F613" s="396" t="s">
        <v>5269</v>
      </c>
      <c r="G613" s="396" t="s">
        <v>781</v>
      </c>
      <c r="H613" s="396" t="s">
        <v>5346</v>
      </c>
      <c r="I613" s="396" t="s">
        <v>781</v>
      </c>
      <c r="J613" s="396" t="s">
        <v>5346</v>
      </c>
      <c r="K613" s="396" t="s">
        <v>781</v>
      </c>
      <c r="L613" s="397">
        <v>35</v>
      </c>
      <c r="M613" s="396" t="s">
        <v>4314</v>
      </c>
      <c r="N613" s="397">
        <v>575013.43001659994</v>
      </c>
      <c r="O613" s="396" t="s">
        <v>4517</v>
      </c>
    </row>
    <row r="614" spans="1:15" x14ac:dyDescent="0.4">
      <c r="A614" s="396" t="s">
        <v>6990</v>
      </c>
      <c r="B614" s="394" t="s">
        <v>408</v>
      </c>
      <c r="C614" s="394" t="s">
        <v>6991</v>
      </c>
      <c r="D614" s="394" t="s">
        <v>1039</v>
      </c>
      <c r="E614" s="395" t="s">
        <v>7</v>
      </c>
      <c r="F614" s="396" t="s">
        <v>5380</v>
      </c>
      <c r="G614" s="396" t="s">
        <v>781</v>
      </c>
      <c r="H614" s="396" t="s">
        <v>6992</v>
      </c>
      <c r="I614" s="396" t="s">
        <v>781</v>
      </c>
      <c r="J614" s="396" t="s">
        <v>6993</v>
      </c>
      <c r="K614" s="396" t="s">
        <v>781</v>
      </c>
      <c r="L614" s="397">
        <v>34.979999999999997</v>
      </c>
      <c r="M614" s="396" t="s">
        <v>4314</v>
      </c>
      <c r="N614" s="397">
        <v>575048.41001660004</v>
      </c>
      <c r="O614" s="396" t="s">
        <v>4518</v>
      </c>
    </row>
    <row r="615" spans="1:15" ht="26.4" x14ac:dyDescent="0.4">
      <c r="A615" s="396" t="s">
        <v>1490</v>
      </c>
      <c r="B615" s="394" t="s">
        <v>5902</v>
      </c>
      <c r="C615" s="394" t="s">
        <v>1491</v>
      </c>
      <c r="D615" s="394" t="s">
        <v>1039</v>
      </c>
      <c r="E615" s="395" t="s">
        <v>6</v>
      </c>
      <c r="F615" s="396" t="s">
        <v>9354</v>
      </c>
      <c r="G615" s="396" t="s">
        <v>781</v>
      </c>
      <c r="H615" s="396" t="s">
        <v>7053</v>
      </c>
      <c r="I615" s="396" t="s">
        <v>781</v>
      </c>
      <c r="J615" s="396" t="s">
        <v>6993</v>
      </c>
      <c r="K615" s="396" t="s">
        <v>781</v>
      </c>
      <c r="L615" s="397">
        <v>34.978622000000001</v>
      </c>
      <c r="M615" s="396" t="s">
        <v>4314</v>
      </c>
      <c r="N615" s="397">
        <v>575083.38863860001</v>
      </c>
      <c r="O615" s="396" t="s">
        <v>4518</v>
      </c>
    </row>
    <row r="616" spans="1:15" ht="26.4" x14ac:dyDescent="0.4">
      <c r="A616" s="396" t="s">
        <v>4483</v>
      </c>
      <c r="B616" s="394" t="s">
        <v>395</v>
      </c>
      <c r="C616" s="394" t="s">
        <v>4484</v>
      </c>
      <c r="D616" s="394" t="s">
        <v>1039</v>
      </c>
      <c r="E616" s="395" t="s">
        <v>4</v>
      </c>
      <c r="F616" s="396" t="s">
        <v>5269</v>
      </c>
      <c r="G616" s="396" t="s">
        <v>781</v>
      </c>
      <c r="H616" s="396" t="s">
        <v>6994</v>
      </c>
      <c r="I616" s="396" t="s">
        <v>781</v>
      </c>
      <c r="J616" s="396" t="s">
        <v>6994</v>
      </c>
      <c r="K616" s="396" t="s">
        <v>781</v>
      </c>
      <c r="L616" s="397">
        <v>34.97</v>
      </c>
      <c r="M616" s="396" t="s">
        <v>4314</v>
      </c>
      <c r="N616" s="397">
        <v>575118.35863859998</v>
      </c>
      <c r="O616" s="396" t="s">
        <v>4519</v>
      </c>
    </row>
    <row r="617" spans="1:15" x14ac:dyDescent="0.4">
      <c r="A617" s="396" t="s">
        <v>6995</v>
      </c>
      <c r="B617" s="394" t="s">
        <v>408</v>
      </c>
      <c r="C617" s="394" t="s">
        <v>6996</v>
      </c>
      <c r="D617" s="394" t="s">
        <v>1053</v>
      </c>
      <c r="E617" s="395" t="s">
        <v>6</v>
      </c>
      <c r="F617" s="396" t="s">
        <v>6997</v>
      </c>
      <c r="G617" s="396" t="s">
        <v>781</v>
      </c>
      <c r="H617" s="396" t="s">
        <v>5329</v>
      </c>
      <c r="I617" s="396" t="s">
        <v>781</v>
      </c>
      <c r="J617" s="396" t="s">
        <v>6998</v>
      </c>
      <c r="K617" s="396" t="s">
        <v>781</v>
      </c>
      <c r="L617" s="397">
        <v>34.88944</v>
      </c>
      <c r="M617" s="396" t="s">
        <v>4314</v>
      </c>
      <c r="N617" s="397">
        <v>575153.24807860004</v>
      </c>
      <c r="O617" s="396" t="s">
        <v>4519</v>
      </c>
    </row>
    <row r="618" spans="1:15" ht="26.4" x14ac:dyDescent="0.4">
      <c r="A618" s="396" t="s">
        <v>9355</v>
      </c>
      <c r="B618" s="394" t="s">
        <v>5902</v>
      </c>
      <c r="C618" s="394" t="s">
        <v>9356</v>
      </c>
      <c r="D618" s="394" t="s">
        <v>1039</v>
      </c>
      <c r="E618" s="395" t="s">
        <v>3</v>
      </c>
      <c r="F618" s="396" t="s">
        <v>9357</v>
      </c>
      <c r="G618" s="396" t="s">
        <v>781</v>
      </c>
      <c r="H618" s="396" t="s">
        <v>9358</v>
      </c>
      <c r="I618" s="396" t="s">
        <v>781</v>
      </c>
      <c r="J618" s="396" t="s">
        <v>6150</v>
      </c>
      <c r="K618" s="396" t="s">
        <v>781</v>
      </c>
      <c r="L618" s="397">
        <v>34.308599999999998</v>
      </c>
      <c r="M618" s="396" t="s">
        <v>4314</v>
      </c>
      <c r="N618" s="397">
        <v>575187.55667860003</v>
      </c>
      <c r="O618" s="396" t="s">
        <v>4520</v>
      </c>
    </row>
    <row r="619" spans="1:15" x14ac:dyDescent="0.4">
      <c r="A619" s="396" t="s">
        <v>3102</v>
      </c>
      <c r="B619" s="394" t="s">
        <v>408</v>
      </c>
      <c r="C619" s="394" t="s">
        <v>3103</v>
      </c>
      <c r="D619" s="394" t="s">
        <v>1039</v>
      </c>
      <c r="E619" s="395" t="s">
        <v>7</v>
      </c>
      <c r="F619" s="396" t="s">
        <v>6999</v>
      </c>
      <c r="G619" s="396" t="s">
        <v>781</v>
      </c>
      <c r="H619" s="396" t="s">
        <v>7000</v>
      </c>
      <c r="I619" s="396" t="s">
        <v>781</v>
      </c>
      <c r="J619" s="396" t="s">
        <v>7001</v>
      </c>
      <c r="K619" s="396" t="s">
        <v>781</v>
      </c>
      <c r="L619" s="397">
        <v>34.209000000000003</v>
      </c>
      <c r="M619" s="396" t="s">
        <v>4314</v>
      </c>
      <c r="N619" s="397">
        <v>575221.76567859994</v>
      </c>
      <c r="O619" s="396" t="s">
        <v>4521</v>
      </c>
    </row>
    <row r="620" spans="1:15" ht="26.4" x14ac:dyDescent="0.4">
      <c r="A620" s="396" t="s">
        <v>4492</v>
      </c>
      <c r="B620" s="394" t="s">
        <v>395</v>
      </c>
      <c r="C620" s="394" t="s">
        <v>4493</v>
      </c>
      <c r="D620" s="394" t="s">
        <v>1039</v>
      </c>
      <c r="E620" s="395" t="s">
        <v>4</v>
      </c>
      <c r="F620" s="396" t="s">
        <v>5460</v>
      </c>
      <c r="G620" s="396" t="s">
        <v>781</v>
      </c>
      <c r="H620" s="396" t="s">
        <v>7002</v>
      </c>
      <c r="I620" s="396" t="s">
        <v>781</v>
      </c>
      <c r="J620" s="396" t="s">
        <v>7003</v>
      </c>
      <c r="K620" s="396" t="s">
        <v>781</v>
      </c>
      <c r="L620" s="397">
        <v>34.08</v>
      </c>
      <c r="M620" s="396" t="s">
        <v>4314</v>
      </c>
      <c r="N620" s="397">
        <v>575255.84567860002</v>
      </c>
      <c r="O620" s="396" t="s">
        <v>4521</v>
      </c>
    </row>
    <row r="621" spans="1:15" ht="26.4" x14ac:dyDescent="0.4">
      <c r="A621" s="396" t="s">
        <v>7004</v>
      </c>
      <c r="B621" s="394" t="s">
        <v>439</v>
      </c>
      <c r="C621" s="394" t="s">
        <v>4618</v>
      </c>
      <c r="D621" s="394" t="s">
        <v>1039</v>
      </c>
      <c r="E621" s="395" t="s">
        <v>1109</v>
      </c>
      <c r="F621" s="396" t="s">
        <v>7005</v>
      </c>
      <c r="G621" s="396" t="s">
        <v>781</v>
      </c>
      <c r="H621" s="396" t="s">
        <v>5676</v>
      </c>
      <c r="I621" s="396" t="s">
        <v>781</v>
      </c>
      <c r="J621" s="396" t="s">
        <v>7006</v>
      </c>
      <c r="K621" s="396" t="s">
        <v>781</v>
      </c>
      <c r="L621" s="397">
        <v>33.989222920000003</v>
      </c>
      <c r="M621" s="396" t="s">
        <v>4314</v>
      </c>
      <c r="N621" s="397">
        <v>575289.83490150003</v>
      </c>
      <c r="O621" s="396" t="s">
        <v>4524</v>
      </c>
    </row>
    <row r="622" spans="1:15" ht="26.4" x14ac:dyDescent="0.4">
      <c r="A622" s="396" t="s">
        <v>1607</v>
      </c>
      <c r="B622" s="394" t="s">
        <v>5902</v>
      </c>
      <c r="C622" s="394" t="s">
        <v>825</v>
      </c>
      <c r="D622" s="394" t="s">
        <v>1039</v>
      </c>
      <c r="E622" s="395" t="s">
        <v>3</v>
      </c>
      <c r="F622" s="396" t="s">
        <v>5269</v>
      </c>
      <c r="G622" s="396" t="s">
        <v>781</v>
      </c>
      <c r="H622" s="396" t="s">
        <v>7007</v>
      </c>
      <c r="I622" s="396" t="s">
        <v>781</v>
      </c>
      <c r="J622" s="396" t="s">
        <v>7007</v>
      </c>
      <c r="K622" s="396" t="s">
        <v>781</v>
      </c>
      <c r="L622" s="397">
        <v>33.15</v>
      </c>
      <c r="M622" s="396" t="s">
        <v>4314</v>
      </c>
      <c r="N622" s="397">
        <v>575322.98490150005</v>
      </c>
      <c r="O622" s="396" t="s">
        <v>4524</v>
      </c>
    </row>
    <row r="623" spans="1:15" ht="26.4" x14ac:dyDescent="0.4">
      <c r="A623" s="396" t="s">
        <v>1220</v>
      </c>
      <c r="B623" s="394" t="s">
        <v>5902</v>
      </c>
      <c r="C623" s="394" t="s">
        <v>1221</v>
      </c>
      <c r="D623" s="394" t="s">
        <v>1039</v>
      </c>
      <c r="E623" s="395" t="s">
        <v>4</v>
      </c>
      <c r="F623" s="396" t="s">
        <v>5269</v>
      </c>
      <c r="G623" s="396" t="s">
        <v>781</v>
      </c>
      <c r="H623" s="396" t="s">
        <v>5343</v>
      </c>
      <c r="I623" s="396" t="s">
        <v>781</v>
      </c>
      <c r="J623" s="396" t="s">
        <v>5343</v>
      </c>
      <c r="K623" s="396" t="s">
        <v>781</v>
      </c>
      <c r="L623" s="397">
        <v>33.090000000000003</v>
      </c>
      <c r="M623" s="396" t="s">
        <v>4314</v>
      </c>
      <c r="N623" s="397">
        <v>575356.07490150002</v>
      </c>
      <c r="O623" s="396" t="s">
        <v>4527</v>
      </c>
    </row>
    <row r="624" spans="1:15" x14ac:dyDescent="0.4">
      <c r="A624" s="396" t="s">
        <v>3056</v>
      </c>
      <c r="B624" s="394" t="s">
        <v>408</v>
      </c>
      <c r="C624" s="394" t="s">
        <v>3057</v>
      </c>
      <c r="D624" s="394" t="s">
        <v>1039</v>
      </c>
      <c r="E624" s="395" t="s">
        <v>7</v>
      </c>
      <c r="F624" s="396" t="s">
        <v>5431</v>
      </c>
      <c r="G624" s="396" t="s">
        <v>781</v>
      </c>
      <c r="H624" s="396" t="s">
        <v>5538</v>
      </c>
      <c r="I624" s="396" t="s">
        <v>781</v>
      </c>
      <c r="J624" s="396" t="s">
        <v>7008</v>
      </c>
      <c r="K624" s="396" t="s">
        <v>781</v>
      </c>
      <c r="L624" s="397">
        <v>33</v>
      </c>
      <c r="M624" s="396" t="s">
        <v>4314</v>
      </c>
      <c r="N624" s="397">
        <v>575389.07490150002</v>
      </c>
      <c r="O624" s="396" t="s">
        <v>4528</v>
      </c>
    </row>
    <row r="625" spans="1:15" ht="26.4" x14ac:dyDescent="0.4">
      <c r="A625" s="396" t="s">
        <v>4505</v>
      </c>
      <c r="B625" s="394" t="s">
        <v>395</v>
      </c>
      <c r="C625" s="394" t="s">
        <v>4506</v>
      </c>
      <c r="D625" s="394" t="s">
        <v>1039</v>
      </c>
      <c r="E625" s="395" t="s">
        <v>4</v>
      </c>
      <c r="F625" s="396" t="s">
        <v>5465</v>
      </c>
      <c r="G625" s="396" t="s">
        <v>781</v>
      </c>
      <c r="H625" s="396" t="s">
        <v>7009</v>
      </c>
      <c r="I625" s="396" t="s">
        <v>781</v>
      </c>
      <c r="J625" s="396" t="s">
        <v>7010</v>
      </c>
      <c r="K625" s="396" t="s">
        <v>781</v>
      </c>
      <c r="L625" s="397">
        <v>32.96</v>
      </c>
      <c r="M625" s="396" t="s">
        <v>4314</v>
      </c>
      <c r="N625" s="397">
        <v>575422.03490149998</v>
      </c>
      <c r="O625" s="396" t="s">
        <v>4528</v>
      </c>
    </row>
    <row r="626" spans="1:15" x14ac:dyDescent="0.4">
      <c r="A626" s="396" t="s">
        <v>4501</v>
      </c>
      <c r="B626" s="394" t="s">
        <v>420</v>
      </c>
      <c r="C626" s="394" t="s">
        <v>4502</v>
      </c>
      <c r="D626" s="394" t="s">
        <v>2381</v>
      </c>
      <c r="E626" s="395" t="s">
        <v>1324</v>
      </c>
      <c r="F626" s="396" t="s">
        <v>5461</v>
      </c>
      <c r="G626" s="396" t="s">
        <v>781</v>
      </c>
      <c r="H626" s="396" t="s">
        <v>5462</v>
      </c>
      <c r="I626" s="396" t="s">
        <v>781</v>
      </c>
      <c r="J626" s="396" t="s">
        <v>5463</v>
      </c>
      <c r="K626" s="396" t="s">
        <v>781</v>
      </c>
      <c r="L626" s="397">
        <v>32.79477</v>
      </c>
      <c r="M626" s="396" t="s">
        <v>4314</v>
      </c>
      <c r="N626" s="397">
        <v>575454.82967150002</v>
      </c>
      <c r="O626" s="396" t="s">
        <v>4531</v>
      </c>
    </row>
    <row r="627" spans="1:15" x14ac:dyDescent="0.4">
      <c r="A627" s="396" t="s">
        <v>2325</v>
      </c>
      <c r="B627" s="394" t="s">
        <v>420</v>
      </c>
      <c r="C627" s="394" t="s">
        <v>2326</v>
      </c>
      <c r="D627" s="394" t="s">
        <v>1039</v>
      </c>
      <c r="E627" s="395" t="s">
        <v>1246</v>
      </c>
      <c r="F627" s="396" t="s">
        <v>5291</v>
      </c>
      <c r="G627" s="396" t="s">
        <v>781</v>
      </c>
      <c r="H627" s="396" t="s">
        <v>9359</v>
      </c>
      <c r="I627" s="396" t="s">
        <v>781</v>
      </c>
      <c r="J627" s="396" t="s">
        <v>9360</v>
      </c>
      <c r="K627" s="396" t="s">
        <v>781</v>
      </c>
      <c r="L627" s="397">
        <v>32.78</v>
      </c>
      <c r="M627" s="396" t="s">
        <v>4314</v>
      </c>
      <c r="N627" s="397">
        <v>575487.60967150005</v>
      </c>
      <c r="O627" s="396" t="s">
        <v>4531</v>
      </c>
    </row>
    <row r="628" spans="1:15" ht="26.4" x14ac:dyDescent="0.4">
      <c r="A628" s="396" t="s">
        <v>7011</v>
      </c>
      <c r="B628" s="394" t="s">
        <v>420</v>
      </c>
      <c r="C628" s="394" t="s">
        <v>7012</v>
      </c>
      <c r="D628" s="394" t="s">
        <v>1053</v>
      </c>
      <c r="E628" s="395" t="s">
        <v>1070</v>
      </c>
      <c r="F628" s="396" t="s">
        <v>7013</v>
      </c>
      <c r="G628" s="396" t="s">
        <v>781</v>
      </c>
      <c r="H628" s="396" t="s">
        <v>6202</v>
      </c>
      <c r="I628" s="396" t="s">
        <v>781</v>
      </c>
      <c r="J628" s="396" t="s">
        <v>7014</v>
      </c>
      <c r="K628" s="396" t="s">
        <v>781</v>
      </c>
      <c r="L628" s="397">
        <v>32.72</v>
      </c>
      <c r="M628" s="396" t="s">
        <v>4314</v>
      </c>
      <c r="N628" s="397">
        <v>575520.32967150002</v>
      </c>
      <c r="O628" s="396" t="s">
        <v>4532</v>
      </c>
    </row>
    <row r="629" spans="1:15" ht="26.4" x14ac:dyDescent="0.4">
      <c r="A629" s="396" t="s">
        <v>4435</v>
      </c>
      <c r="B629" s="394" t="s">
        <v>395</v>
      </c>
      <c r="C629" s="394" t="s">
        <v>4436</v>
      </c>
      <c r="D629" s="394" t="s">
        <v>1039</v>
      </c>
      <c r="E629" s="395" t="s">
        <v>4</v>
      </c>
      <c r="F629" s="396" t="s">
        <v>5269</v>
      </c>
      <c r="G629" s="396" t="s">
        <v>781</v>
      </c>
      <c r="H629" s="396" t="s">
        <v>6722</v>
      </c>
      <c r="I629" s="396" t="s">
        <v>781</v>
      </c>
      <c r="J629" s="396" t="s">
        <v>6722</v>
      </c>
      <c r="K629" s="396" t="s">
        <v>781</v>
      </c>
      <c r="L629" s="397">
        <v>32.42</v>
      </c>
      <c r="M629" s="396" t="s">
        <v>4314</v>
      </c>
      <c r="N629" s="397">
        <v>575552.74967149994</v>
      </c>
      <c r="O629" s="396" t="s">
        <v>4532</v>
      </c>
    </row>
    <row r="630" spans="1:15" ht="26.4" x14ac:dyDescent="0.4">
      <c r="A630" s="396" t="s">
        <v>2499</v>
      </c>
      <c r="B630" s="394" t="s">
        <v>395</v>
      </c>
      <c r="C630" s="394" t="s">
        <v>280</v>
      </c>
      <c r="D630" s="394" t="s">
        <v>1039</v>
      </c>
      <c r="E630" s="395" t="s">
        <v>4</v>
      </c>
      <c r="F630" s="396" t="s">
        <v>5458</v>
      </c>
      <c r="G630" s="396" t="s">
        <v>781</v>
      </c>
      <c r="H630" s="396" t="s">
        <v>7015</v>
      </c>
      <c r="I630" s="396" t="s">
        <v>781</v>
      </c>
      <c r="J630" s="396" t="s">
        <v>7016</v>
      </c>
      <c r="K630" s="396" t="s">
        <v>781</v>
      </c>
      <c r="L630" s="397">
        <v>32.361192000000003</v>
      </c>
      <c r="M630" s="396" t="s">
        <v>4314</v>
      </c>
      <c r="N630" s="397">
        <v>575585.11086350004</v>
      </c>
      <c r="O630" s="396" t="s">
        <v>4533</v>
      </c>
    </row>
    <row r="631" spans="1:15" x14ac:dyDescent="0.4">
      <c r="A631" s="396" t="s">
        <v>3046</v>
      </c>
      <c r="B631" s="394" t="s">
        <v>408</v>
      </c>
      <c r="C631" s="394" t="s">
        <v>3047</v>
      </c>
      <c r="D631" s="394" t="s">
        <v>1039</v>
      </c>
      <c r="E631" s="395" t="s">
        <v>4</v>
      </c>
      <c r="F631" s="396" t="s">
        <v>5269</v>
      </c>
      <c r="G631" s="396" t="s">
        <v>781</v>
      </c>
      <c r="H631" s="396" t="s">
        <v>7017</v>
      </c>
      <c r="I631" s="396" t="s">
        <v>781</v>
      </c>
      <c r="J631" s="396" t="s">
        <v>7017</v>
      </c>
      <c r="K631" s="396" t="s">
        <v>781</v>
      </c>
      <c r="L631" s="397">
        <v>31.9</v>
      </c>
      <c r="M631" s="396" t="s">
        <v>4314</v>
      </c>
      <c r="N631" s="397">
        <v>575617.01086349995</v>
      </c>
      <c r="O631" s="396" t="s">
        <v>4533</v>
      </c>
    </row>
    <row r="632" spans="1:15" ht="26.4" x14ac:dyDescent="0.4">
      <c r="A632" s="396" t="s">
        <v>2475</v>
      </c>
      <c r="B632" s="394" t="s">
        <v>5902</v>
      </c>
      <c r="C632" s="394" t="s">
        <v>2476</v>
      </c>
      <c r="D632" s="394" t="s">
        <v>1039</v>
      </c>
      <c r="E632" s="395" t="s">
        <v>4</v>
      </c>
      <c r="F632" s="396" t="s">
        <v>5269</v>
      </c>
      <c r="G632" s="396" t="s">
        <v>781</v>
      </c>
      <c r="H632" s="396" t="s">
        <v>7018</v>
      </c>
      <c r="I632" s="396" t="s">
        <v>781</v>
      </c>
      <c r="J632" s="396" t="s">
        <v>7018</v>
      </c>
      <c r="K632" s="396" t="s">
        <v>781</v>
      </c>
      <c r="L632" s="397">
        <v>31.61</v>
      </c>
      <c r="M632" s="396" t="s">
        <v>4314</v>
      </c>
      <c r="N632" s="397">
        <v>575648.62086350005</v>
      </c>
      <c r="O632" s="396" t="s">
        <v>4534</v>
      </c>
    </row>
    <row r="633" spans="1:15" x14ac:dyDescent="0.4">
      <c r="A633" s="396" t="s">
        <v>9361</v>
      </c>
      <c r="B633" s="394" t="s">
        <v>2616</v>
      </c>
      <c r="C633" s="394" t="s">
        <v>9362</v>
      </c>
      <c r="D633" s="394" t="s">
        <v>1039</v>
      </c>
      <c r="E633" s="395" t="s">
        <v>3</v>
      </c>
      <c r="F633" s="396" t="s">
        <v>9213</v>
      </c>
      <c r="G633" s="396" t="s">
        <v>781</v>
      </c>
      <c r="H633" s="396" t="s">
        <v>9363</v>
      </c>
      <c r="I633" s="396" t="s">
        <v>781</v>
      </c>
      <c r="J633" s="396" t="s">
        <v>9364</v>
      </c>
      <c r="K633" s="396" t="s">
        <v>781</v>
      </c>
      <c r="L633" s="397">
        <v>31.295999999999999</v>
      </c>
      <c r="M633" s="396" t="s">
        <v>4314</v>
      </c>
      <c r="N633" s="397">
        <v>575679.91686350002</v>
      </c>
      <c r="O633" s="396" t="s">
        <v>4537</v>
      </c>
    </row>
    <row r="634" spans="1:15" ht="26.4" x14ac:dyDescent="0.4">
      <c r="A634" s="396" t="s">
        <v>1188</v>
      </c>
      <c r="B634" s="394" t="s">
        <v>484</v>
      </c>
      <c r="C634" s="394" t="s">
        <v>1093</v>
      </c>
      <c r="D634" s="394" t="s">
        <v>1053</v>
      </c>
      <c r="E634" s="395" t="s">
        <v>1070</v>
      </c>
      <c r="F634" s="396" t="s">
        <v>5514</v>
      </c>
      <c r="G634" s="396" t="s">
        <v>781</v>
      </c>
      <c r="H634" s="396" t="s">
        <v>7019</v>
      </c>
      <c r="I634" s="396" t="s">
        <v>781</v>
      </c>
      <c r="J634" s="396" t="s">
        <v>7020</v>
      </c>
      <c r="K634" s="396" t="s">
        <v>781</v>
      </c>
      <c r="L634" s="397">
        <v>31.051283999999999</v>
      </c>
      <c r="M634" s="396" t="s">
        <v>4314</v>
      </c>
      <c r="N634" s="397">
        <v>575710.96814749995</v>
      </c>
      <c r="O634" s="396" t="s">
        <v>4537</v>
      </c>
    </row>
    <row r="635" spans="1:15" ht="26.4" x14ac:dyDescent="0.4">
      <c r="A635" s="396" t="s">
        <v>4417</v>
      </c>
      <c r="B635" s="394" t="s">
        <v>395</v>
      </c>
      <c r="C635" s="394" t="s">
        <v>4418</v>
      </c>
      <c r="D635" s="394" t="s">
        <v>1039</v>
      </c>
      <c r="E635" s="395" t="s">
        <v>7</v>
      </c>
      <c r="F635" s="396" t="s">
        <v>6815</v>
      </c>
      <c r="G635" s="396" t="s">
        <v>781</v>
      </c>
      <c r="H635" s="396" t="s">
        <v>7021</v>
      </c>
      <c r="I635" s="396" t="s">
        <v>781</v>
      </c>
      <c r="J635" s="396" t="s">
        <v>7022</v>
      </c>
      <c r="K635" s="396" t="s">
        <v>781</v>
      </c>
      <c r="L635" s="397">
        <v>30.976175999999999</v>
      </c>
      <c r="M635" s="396" t="s">
        <v>4314</v>
      </c>
      <c r="N635" s="397">
        <v>575741.94432350004</v>
      </c>
      <c r="O635" s="396" t="s">
        <v>4538</v>
      </c>
    </row>
    <row r="636" spans="1:15" ht="26.4" x14ac:dyDescent="0.4">
      <c r="A636" s="396" t="s">
        <v>4572</v>
      </c>
      <c r="B636" s="394" t="s">
        <v>395</v>
      </c>
      <c r="C636" s="394" t="s">
        <v>4573</v>
      </c>
      <c r="D636" s="394" t="s">
        <v>1053</v>
      </c>
      <c r="E636" s="395" t="s">
        <v>6</v>
      </c>
      <c r="F636" s="396" t="s">
        <v>5492</v>
      </c>
      <c r="G636" s="396" t="s">
        <v>781</v>
      </c>
      <c r="H636" s="396" t="s">
        <v>7023</v>
      </c>
      <c r="I636" s="396" t="s">
        <v>781</v>
      </c>
      <c r="J636" s="396" t="s">
        <v>7024</v>
      </c>
      <c r="K636" s="396" t="s">
        <v>781</v>
      </c>
      <c r="L636" s="397">
        <v>30.735500999999999</v>
      </c>
      <c r="M636" s="396" t="s">
        <v>4314</v>
      </c>
      <c r="N636" s="397">
        <v>575772.6798245</v>
      </c>
      <c r="O636" s="396" t="s">
        <v>4538</v>
      </c>
    </row>
    <row r="637" spans="1:15" x14ac:dyDescent="0.4">
      <c r="A637" s="396" t="s">
        <v>1258</v>
      </c>
      <c r="B637" s="394" t="s">
        <v>408</v>
      </c>
      <c r="C637" s="394" t="s">
        <v>1259</v>
      </c>
      <c r="D637" s="394" t="s">
        <v>1039</v>
      </c>
      <c r="E637" s="395" t="s">
        <v>4</v>
      </c>
      <c r="F637" s="396" t="s">
        <v>5438</v>
      </c>
      <c r="G637" s="396" t="s">
        <v>781</v>
      </c>
      <c r="H637" s="396" t="s">
        <v>7025</v>
      </c>
      <c r="I637" s="396" t="s">
        <v>781</v>
      </c>
      <c r="J637" s="396" t="s">
        <v>7023</v>
      </c>
      <c r="K637" s="396" t="s">
        <v>781</v>
      </c>
      <c r="L637" s="397">
        <v>30.605399999999999</v>
      </c>
      <c r="M637" s="396" t="s">
        <v>4314</v>
      </c>
      <c r="N637" s="397">
        <v>575803.2852245</v>
      </c>
      <c r="O637" s="396" t="s">
        <v>4539</v>
      </c>
    </row>
    <row r="638" spans="1:15" ht="26.4" x14ac:dyDescent="0.4">
      <c r="A638" s="396" t="s">
        <v>4489</v>
      </c>
      <c r="B638" s="394" t="s">
        <v>395</v>
      </c>
      <c r="C638" s="394" t="s">
        <v>4490</v>
      </c>
      <c r="D638" s="394" t="s">
        <v>1039</v>
      </c>
      <c r="E638" s="395" t="s">
        <v>4</v>
      </c>
      <c r="F638" s="396" t="s">
        <v>5269</v>
      </c>
      <c r="G638" s="396" t="s">
        <v>781</v>
      </c>
      <c r="H638" s="396" t="s">
        <v>7026</v>
      </c>
      <c r="I638" s="396" t="s">
        <v>781</v>
      </c>
      <c r="J638" s="396" t="s">
        <v>7026</v>
      </c>
      <c r="K638" s="396" t="s">
        <v>781</v>
      </c>
      <c r="L638" s="397">
        <v>30.57</v>
      </c>
      <c r="M638" s="396" t="s">
        <v>4314</v>
      </c>
      <c r="N638" s="397">
        <v>575833.85522449994</v>
      </c>
      <c r="O638" s="396" t="s">
        <v>4539</v>
      </c>
    </row>
    <row r="639" spans="1:15" ht="26.4" x14ac:dyDescent="0.4">
      <c r="A639" s="396" t="s">
        <v>1620</v>
      </c>
      <c r="B639" s="394" t="s">
        <v>5902</v>
      </c>
      <c r="C639" s="394" t="s">
        <v>1621</v>
      </c>
      <c r="D639" s="394" t="s">
        <v>1039</v>
      </c>
      <c r="E639" s="395" t="s">
        <v>1622</v>
      </c>
      <c r="F639" s="396" t="s">
        <v>5541</v>
      </c>
      <c r="G639" s="396" t="s">
        <v>781</v>
      </c>
      <c r="H639" s="396" t="s">
        <v>5433</v>
      </c>
      <c r="I639" s="396" t="s">
        <v>781</v>
      </c>
      <c r="J639" s="396" t="s">
        <v>7027</v>
      </c>
      <c r="K639" s="396" t="s">
        <v>781</v>
      </c>
      <c r="L639" s="397">
        <v>30.477640000000001</v>
      </c>
      <c r="M639" s="396" t="s">
        <v>4314</v>
      </c>
      <c r="N639" s="397">
        <v>575864.3328645</v>
      </c>
      <c r="O639" s="396" t="s">
        <v>4542</v>
      </c>
    </row>
    <row r="640" spans="1:15" x14ac:dyDescent="0.4">
      <c r="A640" s="396" t="s">
        <v>4512</v>
      </c>
      <c r="B640" s="394" t="s">
        <v>395</v>
      </c>
      <c r="C640" s="394" t="s">
        <v>4513</v>
      </c>
      <c r="D640" s="394" t="s">
        <v>1039</v>
      </c>
      <c r="E640" s="395" t="s">
        <v>4</v>
      </c>
      <c r="F640" s="396" t="s">
        <v>5269</v>
      </c>
      <c r="G640" s="396" t="s">
        <v>781</v>
      </c>
      <c r="H640" s="396" t="s">
        <v>7028</v>
      </c>
      <c r="I640" s="396" t="s">
        <v>781</v>
      </c>
      <c r="J640" s="396" t="s">
        <v>7028</v>
      </c>
      <c r="K640" s="396" t="s">
        <v>781</v>
      </c>
      <c r="L640" s="397">
        <v>30.32</v>
      </c>
      <c r="M640" s="396" t="s">
        <v>4314</v>
      </c>
      <c r="N640" s="397">
        <v>575894.65286449995</v>
      </c>
      <c r="O640" s="396" t="s">
        <v>4542</v>
      </c>
    </row>
    <row r="641" spans="1:15" x14ac:dyDescent="0.4">
      <c r="A641" s="396" t="s">
        <v>678</v>
      </c>
      <c r="B641" s="394" t="s">
        <v>420</v>
      </c>
      <c r="C641" s="394" t="s">
        <v>1391</v>
      </c>
      <c r="D641" s="394" t="s">
        <v>1039</v>
      </c>
      <c r="E641" s="395" t="s">
        <v>422</v>
      </c>
      <c r="F641" s="396" t="s">
        <v>5442</v>
      </c>
      <c r="G641" s="396" t="s">
        <v>781</v>
      </c>
      <c r="H641" s="396" t="s">
        <v>5724</v>
      </c>
      <c r="I641" s="396" t="s">
        <v>781</v>
      </c>
      <c r="J641" s="396" t="s">
        <v>5480</v>
      </c>
      <c r="K641" s="396" t="s">
        <v>781</v>
      </c>
      <c r="L641" s="397">
        <v>30</v>
      </c>
      <c r="M641" s="396" t="s">
        <v>4314</v>
      </c>
      <c r="N641" s="397">
        <v>575924.65286449995</v>
      </c>
      <c r="O641" s="396" t="s">
        <v>4543</v>
      </c>
    </row>
    <row r="642" spans="1:15" ht="26.4" x14ac:dyDescent="0.4">
      <c r="A642" s="396" t="s">
        <v>3038</v>
      </c>
      <c r="B642" s="394" t="s">
        <v>408</v>
      </c>
      <c r="C642" s="394" t="s">
        <v>3039</v>
      </c>
      <c r="D642" s="394" t="s">
        <v>1039</v>
      </c>
      <c r="E642" s="395" t="s">
        <v>4</v>
      </c>
      <c r="F642" s="396" t="s">
        <v>5269</v>
      </c>
      <c r="G642" s="396" t="s">
        <v>781</v>
      </c>
      <c r="H642" s="396" t="s">
        <v>7029</v>
      </c>
      <c r="I642" s="396" t="s">
        <v>781</v>
      </c>
      <c r="J642" s="396" t="s">
        <v>7029</v>
      </c>
      <c r="K642" s="396" t="s">
        <v>781</v>
      </c>
      <c r="L642" s="397">
        <v>29.9</v>
      </c>
      <c r="M642" s="396" t="s">
        <v>4314</v>
      </c>
      <c r="N642" s="397">
        <v>575954.55286449997</v>
      </c>
      <c r="O642" s="396" t="s">
        <v>4543</v>
      </c>
    </row>
    <row r="643" spans="1:15" x14ac:dyDescent="0.4">
      <c r="A643" s="396" t="s">
        <v>1605</v>
      </c>
      <c r="B643" s="394" t="s">
        <v>408</v>
      </c>
      <c r="C643" s="394" t="s">
        <v>1606</v>
      </c>
      <c r="D643" s="394" t="s">
        <v>1039</v>
      </c>
      <c r="E643" s="395" t="s">
        <v>4</v>
      </c>
      <c r="F643" s="396" t="s">
        <v>5269</v>
      </c>
      <c r="G643" s="396" t="s">
        <v>781</v>
      </c>
      <c r="H643" s="396" t="s">
        <v>7030</v>
      </c>
      <c r="I643" s="396" t="s">
        <v>781</v>
      </c>
      <c r="J643" s="396" t="s">
        <v>7030</v>
      </c>
      <c r="K643" s="396" t="s">
        <v>781</v>
      </c>
      <c r="L643" s="397">
        <v>29.67</v>
      </c>
      <c r="M643" s="396" t="s">
        <v>4314</v>
      </c>
      <c r="N643" s="397">
        <v>575984.22286450001</v>
      </c>
      <c r="O643" s="396" t="s">
        <v>4544</v>
      </c>
    </row>
    <row r="644" spans="1:15" x14ac:dyDescent="0.4">
      <c r="A644" s="396" t="s">
        <v>4587</v>
      </c>
      <c r="B644" s="394" t="s">
        <v>395</v>
      </c>
      <c r="C644" s="394" t="s">
        <v>4588</v>
      </c>
      <c r="D644" s="394" t="s">
        <v>1039</v>
      </c>
      <c r="E644" s="395" t="s">
        <v>3</v>
      </c>
      <c r="F644" s="396" t="s">
        <v>9365</v>
      </c>
      <c r="G644" s="396" t="s">
        <v>781</v>
      </c>
      <c r="H644" s="396" t="s">
        <v>7140</v>
      </c>
      <c r="I644" s="396" t="s">
        <v>781</v>
      </c>
      <c r="J644" s="396" t="s">
        <v>9366</v>
      </c>
      <c r="K644" s="396" t="s">
        <v>781</v>
      </c>
      <c r="L644" s="397">
        <v>29.656645999999999</v>
      </c>
      <c r="M644" s="396" t="s">
        <v>4314</v>
      </c>
      <c r="N644" s="397">
        <v>576013.8795105</v>
      </c>
      <c r="O644" s="396" t="s">
        <v>4544</v>
      </c>
    </row>
    <row r="645" spans="1:15" x14ac:dyDescent="0.4">
      <c r="A645" s="396" t="s">
        <v>768</v>
      </c>
      <c r="B645" s="394" t="s">
        <v>420</v>
      </c>
      <c r="C645" s="394" t="s">
        <v>1245</v>
      </c>
      <c r="D645" s="394" t="s">
        <v>1039</v>
      </c>
      <c r="E645" s="395" t="s">
        <v>1246</v>
      </c>
      <c r="F645" s="396" t="s">
        <v>5473</v>
      </c>
      <c r="G645" s="396" t="s">
        <v>781</v>
      </c>
      <c r="H645" s="396" t="s">
        <v>7031</v>
      </c>
      <c r="I645" s="396" t="s">
        <v>781</v>
      </c>
      <c r="J645" s="396" t="s">
        <v>7032</v>
      </c>
      <c r="K645" s="396" t="s">
        <v>781</v>
      </c>
      <c r="L645" s="397">
        <v>29.39846</v>
      </c>
      <c r="M645" s="396" t="s">
        <v>4314</v>
      </c>
      <c r="N645" s="397">
        <v>576043.27797050006</v>
      </c>
      <c r="O645" s="396" t="s">
        <v>4547</v>
      </c>
    </row>
    <row r="646" spans="1:15" ht="26.4" x14ac:dyDescent="0.4">
      <c r="A646" s="396" t="s">
        <v>2281</v>
      </c>
      <c r="B646" s="394" t="s">
        <v>395</v>
      </c>
      <c r="C646" s="394" t="s">
        <v>233</v>
      </c>
      <c r="D646" s="394" t="s">
        <v>1039</v>
      </c>
      <c r="E646" s="395" t="s">
        <v>8</v>
      </c>
      <c r="F646" s="396" t="s">
        <v>5475</v>
      </c>
      <c r="G646" s="396" t="s">
        <v>781</v>
      </c>
      <c r="H646" s="396" t="s">
        <v>5602</v>
      </c>
      <c r="I646" s="396" t="s">
        <v>781</v>
      </c>
      <c r="J646" s="396" t="s">
        <v>7034</v>
      </c>
      <c r="K646" s="396" t="s">
        <v>781</v>
      </c>
      <c r="L646" s="397">
        <v>29.15803</v>
      </c>
      <c r="M646" s="396" t="s">
        <v>4314</v>
      </c>
      <c r="N646" s="397">
        <v>576072.43600049999</v>
      </c>
      <c r="O646" s="396" t="s">
        <v>4547</v>
      </c>
    </row>
    <row r="647" spans="1:15" x14ac:dyDescent="0.4">
      <c r="A647" s="396" t="s">
        <v>1579</v>
      </c>
      <c r="B647" s="394" t="s">
        <v>490</v>
      </c>
      <c r="C647" s="394" t="s">
        <v>1580</v>
      </c>
      <c r="D647" s="394" t="s">
        <v>1317</v>
      </c>
      <c r="E647" s="395" t="s">
        <v>6</v>
      </c>
      <c r="F647" s="396" t="s">
        <v>5503</v>
      </c>
      <c r="G647" s="396" t="s">
        <v>781</v>
      </c>
      <c r="H647" s="396" t="s">
        <v>9367</v>
      </c>
      <c r="I647" s="396" t="s">
        <v>781</v>
      </c>
      <c r="J647" s="396" t="s">
        <v>7034</v>
      </c>
      <c r="K647" s="396" t="s">
        <v>781</v>
      </c>
      <c r="L647" s="397">
        <v>29.155237</v>
      </c>
      <c r="M647" s="396" t="s">
        <v>4314</v>
      </c>
      <c r="N647" s="397">
        <v>576101.59123749996</v>
      </c>
      <c r="O647" s="396" t="s">
        <v>4552</v>
      </c>
    </row>
    <row r="648" spans="1:15" ht="39.6" x14ac:dyDescent="0.4">
      <c r="A648" s="396" t="s">
        <v>4094</v>
      </c>
      <c r="B648" s="394" t="s">
        <v>395</v>
      </c>
      <c r="C648" s="394" t="s">
        <v>4095</v>
      </c>
      <c r="D648" s="394" t="s">
        <v>1039</v>
      </c>
      <c r="E648" s="395" t="s">
        <v>675</v>
      </c>
      <c r="F648" s="396" t="s">
        <v>7035</v>
      </c>
      <c r="G648" s="396" t="s">
        <v>781</v>
      </c>
      <c r="H648" s="396" t="s">
        <v>7036</v>
      </c>
      <c r="I648" s="396" t="s">
        <v>781</v>
      </c>
      <c r="J648" s="396" t="s">
        <v>5428</v>
      </c>
      <c r="K648" s="396" t="s">
        <v>781</v>
      </c>
      <c r="L648" s="397">
        <v>29.146339487999999</v>
      </c>
      <c r="M648" s="396" t="s">
        <v>4314</v>
      </c>
      <c r="N648" s="397">
        <v>576130.73757700005</v>
      </c>
      <c r="O648" s="396" t="s">
        <v>4552</v>
      </c>
    </row>
    <row r="649" spans="1:15" ht="26.4" x14ac:dyDescent="0.4">
      <c r="A649" s="396" t="s">
        <v>2290</v>
      </c>
      <c r="B649" s="394" t="s">
        <v>395</v>
      </c>
      <c r="C649" s="394" t="s">
        <v>261</v>
      </c>
      <c r="D649" s="394" t="s">
        <v>1039</v>
      </c>
      <c r="E649" s="395" t="s">
        <v>7</v>
      </c>
      <c r="F649" s="396" t="s">
        <v>9368</v>
      </c>
      <c r="G649" s="396" t="s">
        <v>781</v>
      </c>
      <c r="H649" s="396" t="s">
        <v>6896</v>
      </c>
      <c r="I649" s="396" t="s">
        <v>781</v>
      </c>
      <c r="J649" s="396" t="s">
        <v>9369</v>
      </c>
      <c r="K649" s="396" t="s">
        <v>781</v>
      </c>
      <c r="L649" s="397">
        <v>29.027471999999999</v>
      </c>
      <c r="M649" s="396" t="s">
        <v>4599</v>
      </c>
      <c r="N649" s="397">
        <v>576159.76504900004</v>
      </c>
      <c r="O649" s="396" t="s">
        <v>4555</v>
      </c>
    </row>
    <row r="650" spans="1:15" ht="26.4" x14ac:dyDescent="0.4">
      <c r="A650" s="396" t="s">
        <v>9370</v>
      </c>
      <c r="B650" s="394" t="s">
        <v>395</v>
      </c>
      <c r="C650" s="394" t="s">
        <v>9371</v>
      </c>
      <c r="D650" s="394" t="s">
        <v>1039</v>
      </c>
      <c r="E650" s="395" t="s">
        <v>675</v>
      </c>
      <c r="F650" s="396" t="s">
        <v>5380</v>
      </c>
      <c r="G650" s="396" t="s">
        <v>781</v>
      </c>
      <c r="H650" s="396" t="s">
        <v>9372</v>
      </c>
      <c r="I650" s="396" t="s">
        <v>781</v>
      </c>
      <c r="J650" s="396" t="s">
        <v>7037</v>
      </c>
      <c r="K650" s="396" t="s">
        <v>781</v>
      </c>
      <c r="L650" s="397">
        <v>28.940999999999999</v>
      </c>
      <c r="M650" s="396" t="s">
        <v>4599</v>
      </c>
      <c r="N650" s="397">
        <v>576188.70604900003</v>
      </c>
      <c r="O650" s="396" t="s">
        <v>4555</v>
      </c>
    </row>
    <row r="651" spans="1:15" x14ac:dyDescent="0.4">
      <c r="A651" s="396" t="s">
        <v>4432</v>
      </c>
      <c r="B651" s="394" t="s">
        <v>395</v>
      </c>
      <c r="C651" s="394" t="s">
        <v>4433</v>
      </c>
      <c r="D651" s="394" t="s">
        <v>1039</v>
      </c>
      <c r="E651" s="395" t="s">
        <v>4</v>
      </c>
      <c r="F651" s="396" t="s">
        <v>5269</v>
      </c>
      <c r="G651" s="396" t="s">
        <v>781</v>
      </c>
      <c r="H651" s="396" t="s">
        <v>7037</v>
      </c>
      <c r="I651" s="396" t="s">
        <v>781</v>
      </c>
      <c r="J651" s="396" t="s">
        <v>7037</v>
      </c>
      <c r="K651" s="396" t="s">
        <v>781</v>
      </c>
      <c r="L651" s="397">
        <v>28.94</v>
      </c>
      <c r="M651" s="396" t="s">
        <v>4599</v>
      </c>
      <c r="N651" s="397">
        <v>576217.64604899997</v>
      </c>
      <c r="O651" s="396" t="s">
        <v>4558</v>
      </c>
    </row>
    <row r="652" spans="1:15" ht="26.4" x14ac:dyDescent="0.4">
      <c r="A652" s="396" t="s">
        <v>4282</v>
      </c>
      <c r="B652" s="394" t="s">
        <v>395</v>
      </c>
      <c r="C652" s="394" t="s">
        <v>4283</v>
      </c>
      <c r="D652" s="394" t="s">
        <v>1039</v>
      </c>
      <c r="E652" s="395" t="s">
        <v>4284</v>
      </c>
      <c r="F652" s="396" t="s">
        <v>9373</v>
      </c>
      <c r="G652" s="396" t="s">
        <v>781</v>
      </c>
      <c r="H652" s="396" t="s">
        <v>6722</v>
      </c>
      <c r="I652" s="396" t="s">
        <v>781</v>
      </c>
      <c r="J652" s="396" t="s">
        <v>9374</v>
      </c>
      <c r="K652" s="396" t="s">
        <v>781</v>
      </c>
      <c r="L652" s="397">
        <v>28.623618</v>
      </c>
      <c r="M652" s="396" t="s">
        <v>4599</v>
      </c>
      <c r="N652" s="397">
        <v>576246.26966700004</v>
      </c>
      <c r="O652" s="396" t="s">
        <v>4558</v>
      </c>
    </row>
    <row r="653" spans="1:15" ht="39.6" x14ac:dyDescent="0.4">
      <c r="A653" s="396" t="s">
        <v>1204</v>
      </c>
      <c r="B653" s="394" t="s">
        <v>5902</v>
      </c>
      <c r="C653" s="394" t="s">
        <v>1205</v>
      </c>
      <c r="D653" s="394" t="s">
        <v>1039</v>
      </c>
      <c r="E653" s="395" t="s">
        <v>7</v>
      </c>
      <c r="F653" s="396" t="s">
        <v>5345</v>
      </c>
      <c r="G653" s="396" t="s">
        <v>781</v>
      </c>
      <c r="H653" s="396" t="s">
        <v>7039</v>
      </c>
      <c r="I653" s="396" t="s">
        <v>781</v>
      </c>
      <c r="J653" s="396" t="s">
        <v>7040</v>
      </c>
      <c r="K653" s="396" t="s">
        <v>781</v>
      </c>
      <c r="L653" s="397">
        <v>28.284600000000001</v>
      </c>
      <c r="M653" s="396" t="s">
        <v>4599</v>
      </c>
      <c r="N653" s="397">
        <v>576274.55426700006</v>
      </c>
      <c r="O653" s="396" t="s">
        <v>4563</v>
      </c>
    </row>
    <row r="654" spans="1:15" ht="26.4" x14ac:dyDescent="0.4">
      <c r="A654" s="396" t="s">
        <v>4569</v>
      </c>
      <c r="B654" s="394" t="s">
        <v>395</v>
      </c>
      <c r="C654" s="394" t="s">
        <v>4570</v>
      </c>
      <c r="D654" s="394" t="s">
        <v>1039</v>
      </c>
      <c r="E654" s="395" t="s">
        <v>4</v>
      </c>
      <c r="F654" s="396" t="s">
        <v>5491</v>
      </c>
      <c r="G654" s="396" t="s">
        <v>781</v>
      </c>
      <c r="H654" s="396" t="s">
        <v>7041</v>
      </c>
      <c r="I654" s="396" t="s">
        <v>781</v>
      </c>
      <c r="J654" s="396" t="s">
        <v>7042</v>
      </c>
      <c r="K654" s="396" t="s">
        <v>781</v>
      </c>
      <c r="L654" s="397">
        <v>28.228684000000001</v>
      </c>
      <c r="M654" s="396" t="s">
        <v>4599</v>
      </c>
      <c r="N654" s="397">
        <v>576302.78295100003</v>
      </c>
      <c r="O654" s="396" t="s">
        <v>4563</v>
      </c>
    </row>
    <row r="655" spans="1:15" x14ac:dyDescent="0.4">
      <c r="A655" s="396" t="s">
        <v>1352</v>
      </c>
      <c r="B655" s="394" t="s">
        <v>575</v>
      </c>
      <c r="C655" s="394" t="s">
        <v>584</v>
      </c>
      <c r="D655" s="394" t="s">
        <v>1039</v>
      </c>
      <c r="E655" s="395" t="s">
        <v>1335</v>
      </c>
      <c r="F655" s="396" t="s">
        <v>5269</v>
      </c>
      <c r="G655" s="396" t="s">
        <v>781</v>
      </c>
      <c r="H655" s="396" t="s">
        <v>9375</v>
      </c>
      <c r="I655" s="396" t="s">
        <v>781</v>
      </c>
      <c r="J655" s="396" t="s">
        <v>9375</v>
      </c>
      <c r="K655" s="396" t="s">
        <v>781</v>
      </c>
      <c r="L655" s="397">
        <v>28.18</v>
      </c>
      <c r="M655" s="396" t="s">
        <v>4599</v>
      </c>
      <c r="N655" s="397">
        <v>576330.96295099996</v>
      </c>
      <c r="O655" s="396" t="s">
        <v>4564</v>
      </c>
    </row>
    <row r="656" spans="1:15" x14ac:dyDescent="0.4">
      <c r="A656" s="396" t="s">
        <v>4522</v>
      </c>
      <c r="B656" s="394" t="s">
        <v>395</v>
      </c>
      <c r="C656" s="394" t="s">
        <v>4523</v>
      </c>
      <c r="D656" s="394" t="s">
        <v>1039</v>
      </c>
      <c r="E656" s="395" t="s">
        <v>7</v>
      </c>
      <c r="F656" s="396" t="s">
        <v>6827</v>
      </c>
      <c r="G656" s="396" t="s">
        <v>781</v>
      </c>
      <c r="H656" s="396" t="s">
        <v>7043</v>
      </c>
      <c r="I656" s="396" t="s">
        <v>781</v>
      </c>
      <c r="J656" s="396" t="s">
        <v>7044</v>
      </c>
      <c r="K656" s="396" t="s">
        <v>781</v>
      </c>
      <c r="L656" s="397">
        <v>27.911380000000001</v>
      </c>
      <c r="M656" s="396" t="s">
        <v>4599</v>
      </c>
      <c r="N656" s="397">
        <v>576358.87433100003</v>
      </c>
      <c r="O656" s="396" t="s">
        <v>4564</v>
      </c>
    </row>
    <row r="657" spans="1:15" ht="26.4" x14ac:dyDescent="0.4">
      <c r="A657" s="396" t="s">
        <v>2374</v>
      </c>
      <c r="B657" s="394" t="s">
        <v>395</v>
      </c>
      <c r="C657" s="394" t="s">
        <v>263</v>
      </c>
      <c r="D657" s="394" t="s">
        <v>1039</v>
      </c>
      <c r="E657" s="395" t="s">
        <v>675</v>
      </c>
      <c r="F657" s="396" t="s">
        <v>9376</v>
      </c>
      <c r="G657" s="396" t="s">
        <v>781</v>
      </c>
      <c r="H657" s="396" t="s">
        <v>5526</v>
      </c>
      <c r="I657" s="396" t="s">
        <v>781</v>
      </c>
      <c r="J657" s="396" t="s">
        <v>9377</v>
      </c>
      <c r="K657" s="396" t="s">
        <v>781</v>
      </c>
      <c r="L657" s="397">
        <v>27.8324</v>
      </c>
      <c r="M657" s="396" t="s">
        <v>4599</v>
      </c>
      <c r="N657" s="397">
        <v>576386.70673099998</v>
      </c>
      <c r="O657" s="396" t="s">
        <v>4565</v>
      </c>
    </row>
    <row r="658" spans="1:15" x14ac:dyDescent="0.4">
      <c r="A658" s="396" t="s">
        <v>9378</v>
      </c>
      <c r="B658" s="394" t="s">
        <v>408</v>
      </c>
      <c r="C658" s="394" t="s">
        <v>9379</v>
      </c>
      <c r="D658" s="394" t="s">
        <v>1053</v>
      </c>
      <c r="E658" s="395" t="s">
        <v>6</v>
      </c>
      <c r="F658" s="396" t="s">
        <v>9380</v>
      </c>
      <c r="G658" s="396" t="s">
        <v>781</v>
      </c>
      <c r="H658" s="396" t="s">
        <v>6209</v>
      </c>
      <c r="I658" s="396" t="s">
        <v>781</v>
      </c>
      <c r="J658" s="396" t="s">
        <v>6514</v>
      </c>
      <c r="K658" s="396" t="s">
        <v>781</v>
      </c>
      <c r="L658" s="397">
        <v>27.550529999999998</v>
      </c>
      <c r="M658" s="396" t="s">
        <v>4599</v>
      </c>
      <c r="N658" s="397">
        <v>576414.25726099999</v>
      </c>
      <c r="O658" s="396" t="s">
        <v>4565</v>
      </c>
    </row>
    <row r="659" spans="1:15" ht="26.4" x14ac:dyDescent="0.4">
      <c r="A659" s="396" t="s">
        <v>7046</v>
      </c>
      <c r="B659" s="394" t="s">
        <v>420</v>
      </c>
      <c r="C659" s="394" t="s">
        <v>7047</v>
      </c>
      <c r="D659" s="394" t="s">
        <v>1039</v>
      </c>
      <c r="E659" s="395" t="s">
        <v>422</v>
      </c>
      <c r="F659" s="396" t="s">
        <v>5284</v>
      </c>
      <c r="G659" s="396" t="s">
        <v>781</v>
      </c>
      <c r="H659" s="396" t="s">
        <v>5647</v>
      </c>
      <c r="I659" s="396" t="s">
        <v>781</v>
      </c>
      <c r="J659" s="396" t="s">
        <v>7048</v>
      </c>
      <c r="K659" s="396" t="s">
        <v>781</v>
      </c>
      <c r="L659" s="397">
        <v>27.54</v>
      </c>
      <c r="M659" s="396" t="s">
        <v>4599</v>
      </c>
      <c r="N659" s="397">
        <v>576441.79726100003</v>
      </c>
      <c r="O659" s="396" t="s">
        <v>4568</v>
      </c>
    </row>
    <row r="660" spans="1:15" ht="39.6" x14ac:dyDescent="0.4">
      <c r="A660" s="396" t="s">
        <v>4425</v>
      </c>
      <c r="B660" s="394" t="s">
        <v>395</v>
      </c>
      <c r="C660" s="394" t="s">
        <v>4426</v>
      </c>
      <c r="D660" s="394" t="s">
        <v>1039</v>
      </c>
      <c r="E660" s="395" t="s">
        <v>675</v>
      </c>
      <c r="F660" s="396" t="s">
        <v>5452</v>
      </c>
      <c r="G660" s="396" t="s">
        <v>781</v>
      </c>
      <c r="H660" s="396" t="s">
        <v>7049</v>
      </c>
      <c r="I660" s="396" t="s">
        <v>781</v>
      </c>
      <c r="J660" s="396" t="s">
        <v>5478</v>
      </c>
      <c r="K660" s="396" t="s">
        <v>781</v>
      </c>
      <c r="L660" s="397">
        <v>27.520806</v>
      </c>
      <c r="M660" s="396" t="s">
        <v>4599</v>
      </c>
      <c r="N660" s="397">
        <v>576469.31806700001</v>
      </c>
      <c r="O660" s="396" t="s">
        <v>4568</v>
      </c>
    </row>
    <row r="661" spans="1:15" x14ac:dyDescent="0.4">
      <c r="A661" s="396" t="s">
        <v>4464</v>
      </c>
      <c r="B661" s="394" t="s">
        <v>395</v>
      </c>
      <c r="C661" s="394" t="s">
        <v>4465</v>
      </c>
      <c r="D661" s="394" t="s">
        <v>1053</v>
      </c>
      <c r="E661" s="395" t="s">
        <v>6</v>
      </c>
      <c r="F661" s="396" t="s">
        <v>7050</v>
      </c>
      <c r="G661" s="396" t="s">
        <v>781</v>
      </c>
      <c r="H661" s="396" t="s">
        <v>7051</v>
      </c>
      <c r="I661" s="396" t="s">
        <v>781</v>
      </c>
      <c r="J661" s="396" t="s">
        <v>7052</v>
      </c>
      <c r="K661" s="396" t="s">
        <v>781</v>
      </c>
      <c r="L661" s="397">
        <v>27.48788017</v>
      </c>
      <c r="M661" s="396" t="s">
        <v>4599</v>
      </c>
      <c r="N661" s="397">
        <v>576496.80594720005</v>
      </c>
      <c r="O661" s="396" t="s">
        <v>4571</v>
      </c>
    </row>
    <row r="662" spans="1:15" ht="26.4" x14ac:dyDescent="0.4">
      <c r="A662" s="396" t="s">
        <v>4584</v>
      </c>
      <c r="B662" s="394" t="s">
        <v>395</v>
      </c>
      <c r="C662" s="394" t="s">
        <v>4585</v>
      </c>
      <c r="D662" s="394" t="s">
        <v>1039</v>
      </c>
      <c r="E662" s="395" t="s">
        <v>4</v>
      </c>
      <c r="F662" s="396" t="s">
        <v>5491</v>
      </c>
      <c r="G662" s="396" t="s">
        <v>781</v>
      </c>
      <c r="H662" s="396" t="s">
        <v>7054</v>
      </c>
      <c r="I662" s="396" t="s">
        <v>781</v>
      </c>
      <c r="J662" s="396" t="s">
        <v>7055</v>
      </c>
      <c r="K662" s="396" t="s">
        <v>781</v>
      </c>
      <c r="L662" s="397">
        <v>27.298179999999999</v>
      </c>
      <c r="M662" s="396" t="s">
        <v>4599</v>
      </c>
      <c r="N662" s="397">
        <v>576524.10412719997</v>
      </c>
      <c r="O662" s="396" t="s">
        <v>4571</v>
      </c>
    </row>
    <row r="663" spans="1:15" ht="26.4" x14ac:dyDescent="0.4">
      <c r="A663" s="396" t="s">
        <v>7064</v>
      </c>
      <c r="B663" s="394" t="s">
        <v>420</v>
      </c>
      <c r="C663" s="394" t="s">
        <v>7065</v>
      </c>
      <c r="D663" s="394" t="s">
        <v>1039</v>
      </c>
      <c r="E663" s="395" t="s">
        <v>1246</v>
      </c>
      <c r="F663" s="396" t="s">
        <v>7066</v>
      </c>
      <c r="G663" s="396" t="s">
        <v>781</v>
      </c>
      <c r="H663" s="396" t="s">
        <v>9381</v>
      </c>
      <c r="I663" s="396" t="s">
        <v>781</v>
      </c>
      <c r="J663" s="396" t="s">
        <v>9382</v>
      </c>
      <c r="K663" s="396" t="s">
        <v>781</v>
      </c>
      <c r="L663" s="397">
        <v>27.26</v>
      </c>
      <c r="M663" s="396" t="s">
        <v>4599</v>
      </c>
      <c r="N663" s="397">
        <v>576551.36412719998</v>
      </c>
      <c r="O663" s="396" t="s">
        <v>4576</v>
      </c>
    </row>
    <row r="664" spans="1:15" x14ac:dyDescent="0.4">
      <c r="A664" s="396" t="s">
        <v>4450</v>
      </c>
      <c r="B664" s="394" t="s">
        <v>395</v>
      </c>
      <c r="C664" s="394" t="s">
        <v>4451</v>
      </c>
      <c r="D664" s="394" t="s">
        <v>1039</v>
      </c>
      <c r="E664" s="395" t="s">
        <v>4</v>
      </c>
      <c r="F664" s="396" t="s">
        <v>5269</v>
      </c>
      <c r="G664" s="396" t="s">
        <v>781</v>
      </c>
      <c r="H664" s="396" t="s">
        <v>7056</v>
      </c>
      <c r="I664" s="396" t="s">
        <v>781</v>
      </c>
      <c r="J664" s="396" t="s">
        <v>7056</v>
      </c>
      <c r="K664" s="396" t="s">
        <v>781</v>
      </c>
      <c r="L664" s="397">
        <v>27.11</v>
      </c>
      <c r="M664" s="396" t="s">
        <v>4599</v>
      </c>
      <c r="N664" s="397">
        <v>576578.47412719997</v>
      </c>
      <c r="O664" s="396" t="s">
        <v>4576</v>
      </c>
    </row>
    <row r="665" spans="1:15" ht="26.4" x14ac:dyDescent="0.4">
      <c r="A665" s="396" t="s">
        <v>2562</v>
      </c>
      <c r="B665" s="394" t="s">
        <v>5902</v>
      </c>
      <c r="C665" s="394" t="s">
        <v>2563</v>
      </c>
      <c r="D665" s="394" t="s">
        <v>1039</v>
      </c>
      <c r="E665" s="395" t="s">
        <v>713</v>
      </c>
      <c r="F665" s="396" t="s">
        <v>5502</v>
      </c>
      <c r="G665" s="396" t="s">
        <v>781</v>
      </c>
      <c r="H665" s="396" t="s">
        <v>7057</v>
      </c>
      <c r="I665" s="396" t="s">
        <v>781</v>
      </c>
      <c r="J665" s="396" t="s">
        <v>7058</v>
      </c>
      <c r="K665" s="396" t="s">
        <v>781</v>
      </c>
      <c r="L665" s="397">
        <v>27.078700000000001</v>
      </c>
      <c r="M665" s="396" t="s">
        <v>4599</v>
      </c>
      <c r="N665" s="397">
        <v>576605.55282720004</v>
      </c>
      <c r="O665" s="396" t="s">
        <v>4576</v>
      </c>
    </row>
    <row r="666" spans="1:15" ht="39.6" x14ac:dyDescent="0.4">
      <c r="A666" s="396" t="s">
        <v>7038</v>
      </c>
      <c r="B666" s="394" t="s">
        <v>439</v>
      </c>
      <c r="C666" s="394" t="s">
        <v>3094</v>
      </c>
      <c r="D666" s="394" t="s">
        <v>1039</v>
      </c>
      <c r="E666" s="395" t="s">
        <v>422</v>
      </c>
      <c r="F666" s="396" t="s">
        <v>5567</v>
      </c>
      <c r="G666" s="396" t="s">
        <v>781</v>
      </c>
      <c r="H666" s="396" t="s">
        <v>9383</v>
      </c>
      <c r="I666" s="396" t="s">
        <v>781</v>
      </c>
      <c r="J666" s="396" t="s">
        <v>9384</v>
      </c>
      <c r="K666" s="396" t="s">
        <v>781</v>
      </c>
      <c r="L666" s="397">
        <v>26.812521449999998</v>
      </c>
      <c r="M666" s="396" t="s">
        <v>4599</v>
      </c>
      <c r="N666" s="397">
        <v>576632.36534869997</v>
      </c>
      <c r="O666" s="396" t="s">
        <v>4579</v>
      </c>
    </row>
    <row r="667" spans="1:15" ht="26.4" x14ac:dyDescent="0.4">
      <c r="A667" s="396" t="s">
        <v>9385</v>
      </c>
      <c r="B667" s="394" t="s">
        <v>5902</v>
      </c>
      <c r="C667" s="394" t="s">
        <v>9386</v>
      </c>
      <c r="D667" s="394" t="s">
        <v>1053</v>
      </c>
      <c r="E667" s="395" t="s">
        <v>6</v>
      </c>
      <c r="F667" s="396" t="s">
        <v>5673</v>
      </c>
      <c r="G667" s="396" t="s">
        <v>781</v>
      </c>
      <c r="H667" s="396" t="s">
        <v>9387</v>
      </c>
      <c r="I667" s="396" t="s">
        <v>781</v>
      </c>
      <c r="J667" s="396" t="s">
        <v>9388</v>
      </c>
      <c r="K667" s="396" t="s">
        <v>781</v>
      </c>
      <c r="L667" s="397">
        <v>26.7684</v>
      </c>
      <c r="M667" s="396" t="s">
        <v>4599</v>
      </c>
      <c r="N667" s="397">
        <v>576659.13374870003</v>
      </c>
      <c r="O667" s="396" t="s">
        <v>4579</v>
      </c>
    </row>
    <row r="668" spans="1:15" ht="26.4" x14ac:dyDescent="0.4">
      <c r="A668" s="396" t="s">
        <v>9389</v>
      </c>
      <c r="B668" s="394" t="s">
        <v>5902</v>
      </c>
      <c r="C668" s="394" t="s">
        <v>9390</v>
      </c>
      <c r="D668" s="394" t="s">
        <v>1053</v>
      </c>
      <c r="E668" s="395" t="s">
        <v>6</v>
      </c>
      <c r="F668" s="396" t="s">
        <v>5521</v>
      </c>
      <c r="G668" s="396" t="s">
        <v>781</v>
      </c>
      <c r="H668" s="396" t="s">
        <v>9391</v>
      </c>
      <c r="I668" s="396" t="s">
        <v>781</v>
      </c>
      <c r="J668" s="396" t="s">
        <v>9392</v>
      </c>
      <c r="K668" s="396" t="s">
        <v>781</v>
      </c>
      <c r="L668" s="397">
        <v>26.611999999999998</v>
      </c>
      <c r="M668" s="396" t="s">
        <v>4599</v>
      </c>
      <c r="N668" s="397">
        <v>576685.74574869999</v>
      </c>
      <c r="O668" s="396" t="s">
        <v>4582</v>
      </c>
    </row>
    <row r="669" spans="1:15" ht="39.6" x14ac:dyDescent="0.4">
      <c r="A669" s="396" t="s">
        <v>4667</v>
      </c>
      <c r="B669" s="394" t="s">
        <v>395</v>
      </c>
      <c r="C669" s="394" t="s">
        <v>4668</v>
      </c>
      <c r="D669" s="394" t="s">
        <v>1317</v>
      </c>
      <c r="E669" s="395" t="s">
        <v>4</v>
      </c>
      <c r="F669" s="396" t="s">
        <v>7059</v>
      </c>
      <c r="G669" s="396" t="s">
        <v>781</v>
      </c>
      <c r="H669" s="396" t="s">
        <v>7060</v>
      </c>
      <c r="I669" s="396" t="s">
        <v>781</v>
      </c>
      <c r="J669" s="396" t="s">
        <v>7061</v>
      </c>
      <c r="K669" s="396" t="s">
        <v>781</v>
      </c>
      <c r="L669" s="397">
        <v>26.565209148000001</v>
      </c>
      <c r="M669" s="396" t="s">
        <v>4599</v>
      </c>
      <c r="N669" s="397">
        <v>576712.31095780001</v>
      </c>
      <c r="O669" s="396" t="s">
        <v>4582</v>
      </c>
    </row>
    <row r="670" spans="1:15" x14ac:dyDescent="0.4">
      <c r="A670" s="396" t="s">
        <v>2406</v>
      </c>
      <c r="B670" s="394" t="s">
        <v>575</v>
      </c>
      <c r="C670" s="394" t="s">
        <v>2407</v>
      </c>
      <c r="D670" s="394" t="s">
        <v>1039</v>
      </c>
      <c r="E670" s="395" t="s">
        <v>7</v>
      </c>
      <c r="F670" s="396" t="s">
        <v>5380</v>
      </c>
      <c r="G670" s="396" t="s">
        <v>781</v>
      </c>
      <c r="H670" s="396" t="s">
        <v>5482</v>
      </c>
      <c r="I670" s="396" t="s">
        <v>781</v>
      </c>
      <c r="J670" s="396" t="s">
        <v>5483</v>
      </c>
      <c r="K670" s="396" t="s">
        <v>781</v>
      </c>
      <c r="L670" s="397">
        <v>26.542999999999999</v>
      </c>
      <c r="M670" s="396" t="s">
        <v>4599</v>
      </c>
      <c r="N670" s="397">
        <v>576738.85395779996</v>
      </c>
      <c r="O670" s="396" t="s">
        <v>4583</v>
      </c>
    </row>
    <row r="671" spans="1:15" ht="26.4" x14ac:dyDescent="0.4">
      <c r="A671" s="396" t="s">
        <v>4540</v>
      </c>
      <c r="B671" s="394" t="s">
        <v>5902</v>
      </c>
      <c r="C671" s="394" t="s">
        <v>4541</v>
      </c>
      <c r="D671" s="394" t="s">
        <v>1039</v>
      </c>
      <c r="E671" s="395" t="s">
        <v>4</v>
      </c>
      <c r="F671" s="396" t="s">
        <v>5292</v>
      </c>
      <c r="G671" s="396" t="s">
        <v>781</v>
      </c>
      <c r="H671" s="396" t="s">
        <v>7062</v>
      </c>
      <c r="I671" s="396" t="s">
        <v>781</v>
      </c>
      <c r="J671" s="396" t="s">
        <v>7063</v>
      </c>
      <c r="K671" s="396" t="s">
        <v>781</v>
      </c>
      <c r="L671" s="397">
        <v>26.46</v>
      </c>
      <c r="M671" s="396" t="s">
        <v>4599</v>
      </c>
      <c r="N671" s="397">
        <v>576765.31395780004</v>
      </c>
      <c r="O671" s="396" t="s">
        <v>4583</v>
      </c>
    </row>
    <row r="672" spans="1:15" ht="26.4" x14ac:dyDescent="0.4">
      <c r="A672" s="396" t="s">
        <v>9393</v>
      </c>
      <c r="B672" s="394" t="s">
        <v>5902</v>
      </c>
      <c r="C672" s="394" t="s">
        <v>9394</v>
      </c>
      <c r="D672" s="394" t="s">
        <v>1039</v>
      </c>
      <c r="E672" s="395" t="s">
        <v>675</v>
      </c>
      <c r="F672" s="396" t="s">
        <v>9395</v>
      </c>
      <c r="G672" s="396" t="s">
        <v>781</v>
      </c>
      <c r="H672" s="396" t="s">
        <v>7344</v>
      </c>
      <c r="I672" s="396" t="s">
        <v>781</v>
      </c>
      <c r="J672" s="396" t="s">
        <v>9396</v>
      </c>
      <c r="K672" s="396" t="s">
        <v>781</v>
      </c>
      <c r="L672" s="397">
        <v>26.201599999999999</v>
      </c>
      <c r="M672" s="396" t="s">
        <v>4599</v>
      </c>
      <c r="N672" s="397">
        <v>576791.51555779995</v>
      </c>
      <c r="O672" s="396" t="s">
        <v>4586</v>
      </c>
    </row>
    <row r="673" spans="1:15" x14ac:dyDescent="0.4">
      <c r="A673" s="396" t="s">
        <v>1341</v>
      </c>
      <c r="B673" s="394" t="s">
        <v>395</v>
      </c>
      <c r="C673" s="394" t="s">
        <v>240</v>
      </c>
      <c r="D673" s="394" t="s">
        <v>1039</v>
      </c>
      <c r="E673" s="395" t="s">
        <v>3</v>
      </c>
      <c r="F673" s="396" t="s">
        <v>7067</v>
      </c>
      <c r="G673" s="396" t="s">
        <v>781</v>
      </c>
      <c r="H673" s="396" t="s">
        <v>7068</v>
      </c>
      <c r="I673" s="396" t="s">
        <v>781</v>
      </c>
      <c r="J673" s="396" t="s">
        <v>7069</v>
      </c>
      <c r="K673" s="396" t="s">
        <v>781</v>
      </c>
      <c r="L673" s="397">
        <v>25.997855999999999</v>
      </c>
      <c r="M673" s="396" t="s">
        <v>4599</v>
      </c>
      <c r="N673" s="397">
        <v>576817.51341380004</v>
      </c>
      <c r="O673" s="396" t="s">
        <v>4586</v>
      </c>
    </row>
    <row r="674" spans="1:15" x14ac:dyDescent="0.4">
      <c r="A674" s="396" t="s">
        <v>2459</v>
      </c>
      <c r="B674" s="394" t="s">
        <v>420</v>
      </c>
      <c r="C674" s="394" t="s">
        <v>2460</v>
      </c>
      <c r="D674" s="394" t="s">
        <v>1039</v>
      </c>
      <c r="E674" s="395" t="s">
        <v>422</v>
      </c>
      <c r="F674" s="396" t="s">
        <v>5269</v>
      </c>
      <c r="G674" s="396" t="s">
        <v>781</v>
      </c>
      <c r="H674" s="396" t="s">
        <v>7070</v>
      </c>
      <c r="I674" s="396" t="s">
        <v>781</v>
      </c>
      <c r="J674" s="396" t="s">
        <v>7070</v>
      </c>
      <c r="K674" s="396" t="s">
        <v>781</v>
      </c>
      <c r="L674" s="397">
        <v>25.99</v>
      </c>
      <c r="M674" s="396" t="s">
        <v>4599</v>
      </c>
      <c r="N674" s="397">
        <v>576843.50341380003</v>
      </c>
      <c r="O674" s="396" t="s">
        <v>4589</v>
      </c>
    </row>
    <row r="675" spans="1:15" ht="26.4" x14ac:dyDescent="0.4">
      <c r="A675" s="396" t="s">
        <v>1044</v>
      </c>
      <c r="B675" s="394" t="s">
        <v>408</v>
      </c>
      <c r="C675" s="394" t="s">
        <v>1045</v>
      </c>
      <c r="D675" s="394" t="s">
        <v>1039</v>
      </c>
      <c r="E675" s="395" t="s">
        <v>4</v>
      </c>
      <c r="F675" s="396" t="s">
        <v>5269</v>
      </c>
      <c r="G675" s="396" t="s">
        <v>781</v>
      </c>
      <c r="H675" s="396" t="s">
        <v>7070</v>
      </c>
      <c r="I675" s="396" t="s">
        <v>781</v>
      </c>
      <c r="J675" s="396" t="s">
        <v>7070</v>
      </c>
      <c r="K675" s="396" t="s">
        <v>781</v>
      </c>
      <c r="L675" s="397">
        <v>25.99</v>
      </c>
      <c r="M675" s="396" t="s">
        <v>4599</v>
      </c>
      <c r="N675" s="397">
        <v>576869.49341380002</v>
      </c>
      <c r="O675" s="396" t="s">
        <v>4589</v>
      </c>
    </row>
    <row r="676" spans="1:15" x14ac:dyDescent="0.4">
      <c r="A676" s="396" t="s">
        <v>4535</v>
      </c>
      <c r="B676" s="394" t="s">
        <v>395</v>
      </c>
      <c r="C676" s="394" t="s">
        <v>4536</v>
      </c>
      <c r="D676" s="394" t="s">
        <v>1039</v>
      </c>
      <c r="E676" s="395" t="s">
        <v>4</v>
      </c>
      <c r="F676" s="396" t="s">
        <v>5269</v>
      </c>
      <c r="G676" s="396" t="s">
        <v>781</v>
      </c>
      <c r="H676" s="396" t="s">
        <v>7071</v>
      </c>
      <c r="I676" s="396" t="s">
        <v>781</v>
      </c>
      <c r="J676" s="396" t="s">
        <v>7071</v>
      </c>
      <c r="K676" s="396" t="s">
        <v>781</v>
      </c>
      <c r="L676" s="397">
        <v>25.97</v>
      </c>
      <c r="M676" s="396" t="s">
        <v>4599</v>
      </c>
      <c r="N676" s="397">
        <v>576895.4634138</v>
      </c>
      <c r="O676" s="396" t="s">
        <v>4589</v>
      </c>
    </row>
    <row r="677" spans="1:15" x14ac:dyDescent="0.4">
      <c r="A677" s="396" t="s">
        <v>2323</v>
      </c>
      <c r="B677" s="394" t="s">
        <v>420</v>
      </c>
      <c r="C677" s="394" t="s">
        <v>1719</v>
      </c>
      <c r="D677" s="394" t="s">
        <v>1039</v>
      </c>
      <c r="E677" s="395" t="s">
        <v>437</v>
      </c>
      <c r="F677" s="396" t="s">
        <v>5269</v>
      </c>
      <c r="G677" s="396" t="s">
        <v>781</v>
      </c>
      <c r="H677" s="396" t="s">
        <v>6627</v>
      </c>
      <c r="I677" s="396" t="s">
        <v>781</v>
      </c>
      <c r="J677" s="396" t="s">
        <v>6627</v>
      </c>
      <c r="K677" s="396" t="s">
        <v>781</v>
      </c>
      <c r="L677" s="397">
        <v>25.86</v>
      </c>
      <c r="M677" s="396" t="s">
        <v>4599</v>
      </c>
      <c r="N677" s="397">
        <v>576921.32341379998</v>
      </c>
      <c r="O677" s="396" t="s">
        <v>4590</v>
      </c>
    </row>
    <row r="678" spans="1:15" x14ac:dyDescent="0.4">
      <c r="A678" s="396" t="s">
        <v>4616</v>
      </c>
      <c r="B678" s="394" t="s">
        <v>395</v>
      </c>
      <c r="C678" s="394" t="s">
        <v>4617</v>
      </c>
      <c r="D678" s="394" t="s">
        <v>1039</v>
      </c>
      <c r="E678" s="395" t="s">
        <v>4</v>
      </c>
      <c r="F678" s="396" t="s">
        <v>5269</v>
      </c>
      <c r="G678" s="396" t="s">
        <v>781</v>
      </c>
      <c r="H678" s="396" t="s">
        <v>7072</v>
      </c>
      <c r="I678" s="396" t="s">
        <v>781</v>
      </c>
      <c r="J678" s="396" t="s">
        <v>7072</v>
      </c>
      <c r="K678" s="396" t="s">
        <v>781</v>
      </c>
      <c r="L678" s="397">
        <v>25.82</v>
      </c>
      <c r="M678" s="396" t="s">
        <v>4599</v>
      </c>
      <c r="N678" s="397">
        <v>576947.14341380005</v>
      </c>
      <c r="O678" s="396" t="s">
        <v>4590</v>
      </c>
    </row>
    <row r="679" spans="1:15" ht="39.6" x14ac:dyDescent="0.4">
      <c r="A679" s="396" t="s">
        <v>1320</v>
      </c>
      <c r="B679" s="394" t="s">
        <v>395</v>
      </c>
      <c r="C679" s="394" t="s">
        <v>304</v>
      </c>
      <c r="D679" s="394" t="s">
        <v>1039</v>
      </c>
      <c r="E679" s="395" t="s">
        <v>4</v>
      </c>
      <c r="F679" s="396" t="s">
        <v>5384</v>
      </c>
      <c r="G679" s="396" t="s">
        <v>781</v>
      </c>
      <c r="H679" s="396" t="s">
        <v>5719</v>
      </c>
      <c r="I679" s="396" t="s">
        <v>781</v>
      </c>
      <c r="J679" s="396" t="s">
        <v>5341</v>
      </c>
      <c r="K679" s="396" t="s">
        <v>781</v>
      </c>
      <c r="L679" s="397">
        <v>25.8</v>
      </c>
      <c r="M679" s="396" t="s">
        <v>4599</v>
      </c>
      <c r="N679" s="397">
        <v>576972.94341379998</v>
      </c>
      <c r="O679" s="396" t="s">
        <v>4593</v>
      </c>
    </row>
    <row r="680" spans="1:15" ht="26.4" x14ac:dyDescent="0.4">
      <c r="A680" s="396" t="s">
        <v>2555</v>
      </c>
      <c r="B680" s="394" t="s">
        <v>431</v>
      </c>
      <c r="C680" s="394" t="s">
        <v>2556</v>
      </c>
      <c r="D680" s="394" t="s">
        <v>1039</v>
      </c>
      <c r="E680" s="395" t="s">
        <v>4</v>
      </c>
      <c r="F680" s="396" t="s">
        <v>5269</v>
      </c>
      <c r="G680" s="396" t="s">
        <v>781</v>
      </c>
      <c r="H680" s="396" t="s">
        <v>9397</v>
      </c>
      <c r="I680" s="396" t="s">
        <v>781</v>
      </c>
      <c r="J680" s="396" t="s">
        <v>9397</v>
      </c>
      <c r="K680" s="396" t="s">
        <v>781</v>
      </c>
      <c r="L680" s="397">
        <v>25.77</v>
      </c>
      <c r="M680" s="396" t="s">
        <v>4599</v>
      </c>
      <c r="N680" s="397">
        <v>576998.7134138</v>
      </c>
      <c r="O680" s="396" t="s">
        <v>4593</v>
      </c>
    </row>
    <row r="681" spans="1:15" ht="26.4" x14ac:dyDescent="0.4">
      <c r="A681" s="396" t="s">
        <v>4577</v>
      </c>
      <c r="B681" s="394" t="s">
        <v>395</v>
      </c>
      <c r="C681" s="394" t="s">
        <v>4578</v>
      </c>
      <c r="D681" s="394" t="s">
        <v>1039</v>
      </c>
      <c r="E681" s="395" t="s">
        <v>7</v>
      </c>
      <c r="F681" s="396" t="s">
        <v>6815</v>
      </c>
      <c r="G681" s="396" t="s">
        <v>781</v>
      </c>
      <c r="H681" s="396" t="s">
        <v>7073</v>
      </c>
      <c r="I681" s="396" t="s">
        <v>781</v>
      </c>
      <c r="J681" s="396" t="s">
        <v>7074</v>
      </c>
      <c r="K681" s="396" t="s">
        <v>781</v>
      </c>
      <c r="L681" s="397">
        <v>25.654734000000001</v>
      </c>
      <c r="M681" s="396" t="s">
        <v>4599</v>
      </c>
      <c r="N681" s="397">
        <v>577024.36814779998</v>
      </c>
      <c r="O681" s="396" t="s">
        <v>4594</v>
      </c>
    </row>
    <row r="682" spans="1:15" ht="26.4" x14ac:dyDescent="0.4">
      <c r="A682" s="396" t="s">
        <v>2317</v>
      </c>
      <c r="B682" s="394" t="s">
        <v>5902</v>
      </c>
      <c r="C682" s="394" t="s">
        <v>2318</v>
      </c>
      <c r="D682" s="394" t="s">
        <v>1039</v>
      </c>
      <c r="E682" s="395" t="s">
        <v>8</v>
      </c>
      <c r="F682" s="396" t="s">
        <v>5486</v>
      </c>
      <c r="G682" s="396" t="s">
        <v>781</v>
      </c>
      <c r="H682" s="396" t="s">
        <v>7075</v>
      </c>
      <c r="I682" s="396" t="s">
        <v>781</v>
      </c>
      <c r="J682" s="396" t="s">
        <v>7076</v>
      </c>
      <c r="K682" s="396" t="s">
        <v>781</v>
      </c>
      <c r="L682" s="397">
        <v>25.536000000000001</v>
      </c>
      <c r="M682" s="396" t="s">
        <v>4599</v>
      </c>
      <c r="N682" s="397">
        <v>577049.90414780006</v>
      </c>
      <c r="O682" s="396" t="s">
        <v>4594</v>
      </c>
    </row>
    <row r="683" spans="1:15" x14ac:dyDescent="0.4">
      <c r="A683" s="396" t="s">
        <v>4640</v>
      </c>
      <c r="B683" s="394" t="s">
        <v>395</v>
      </c>
      <c r="C683" s="394" t="s">
        <v>4641</v>
      </c>
      <c r="D683" s="394" t="s">
        <v>1053</v>
      </c>
      <c r="E683" s="395" t="s">
        <v>6</v>
      </c>
      <c r="F683" s="396" t="s">
        <v>7078</v>
      </c>
      <c r="G683" s="396" t="s">
        <v>781</v>
      </c>
      <c r="H683" s="396" t="s">
        <v>7079</v>
      </c>
      <c r="I683" s="396" t="s">
        <v>781</v>
      </c>
      <c r="J683" s="396" t="s">
        <v>7077</v>
      </c>
      <c r="K683" s="396" t="s">
        <v>781</v>
      </c>
      <c r="L683" s="397">
        <v>24.8960793</v>
      </c>
      <c r="M683" s="396" t="s">
        <v>4599</v>
      </c>
      <c r="N683" s="397">
        <v>577074.80022710003</v>
      </c>
      <c r="O683" s="396" t="s">
        <v>4595</v>
      </c>
    </row>
    <row r="684" spans="1:15" x14ac:dyDescent="0.4">
      <c r="A684" s="396" t="s">
        <v>1430</v>
      </c>
      <c r="B684" s="394" t="s">
        <v>408</v>
      </c>
      <c r="C684" s="394" t="s">
        <v>1431</v>
      </c>
      <c r="D684" s="394" t="s">
        <v>1039</v>
      </c>
      <c r="E684" s="395" t="s">
        <v>4</v>
      </c>
      <c r="F684" s="396" t="s">
        <v>9398</v>
      </c>
      <c r="G684" s="396" t="s">
        <v>781</v>
      </c>
      <c r="H684" s="396" t="s">
        <v>7367</v>
      </c>
      <c r="I684" s="396" t="s">
        <v>781</v>
      </c>
      <c r="J684" s="396" t="s">
        <v>9399</v>
      </c>
      <c r="K684" s="396" t="s">
        <v>781</v>
      </c>
      <c r="L684" s="397">
        <v>24.80472</v>
      </c>
      <c r="M684" s="396" t="s">
        <v>4599</v>
      </c>
      <c r="N684" s="397">
        <v>577099.60494710004</v>
      </c>
      <c r="O684" s="396" t="s">
        <v>4595</v>
      </c>
    </row>
    <row r="685" spans="1:15" x14ac:dyDescent="0.4">
      <c r="A685" s="396" t="s">
        <v>4545</v>
      </c>
      <c r="B685" s="394" t="s">
        <v>395</v>
      </c>
      <c r="C685" s="394" t="s">
        <v>4546</v>
      </c>
      <c r="D685" s="394" t="s">
        <v>1039</v>
      </c>
      <c r="E685" s="395" t="s">
        <v>4</v>
      </c>
      <c r="F685" s="396" t="s">
        <v>5273</v>
      </c>
      <c r="G685" s="396" t="s">
        <v>781</v>
      </c>
      <c r="H685" s="396" t="s">
        <v>7080</v>
      </c>
      <c r="I685" s="396" t="s">
        <v>781</v>
      </c>
      <c r="J685" s="396" t="s">
        <v>7081</v>
      </c>
      <c r="K685" s="396" t="s">
        <v>781</v>
      </c>
      <c r="L685" s="397">
        <v>24.72</v>
      </c>
      <c r="M685" s="396" t="s">
        <v>4599</v>
      </c>
      <c r="N685" s="397">
        <v>577124.32494710002</v>
      </c>
      <c r="O685" s="396" t="s">
        <v>4595</v>
      </c>
    </row>
    <row r="686" spans="1:15" ht="26.4" x14ac:dyDescent="0.4">
      <c r="A686" s="396" t="s">
        <v>4553</v>
      </c>
      <c r="B686" s="394" t="s">
        <v>395</v>
      </c>
      <c r="C686" s="394" t="s">
        <v>4554</v>
      </c>
      <c r="D686" s="394" t="s">
        <v>1317</v>
      </c>
      <c r="E686" s="395" t="s">
        <v>10</v>
      </c>
      <c r="F686" s="396" t="s">
        <v>5273</v>
      </c>
      <c r="G686" s="396" t="s">
        <v>781</v>
      </c>
      <c r="H686" s="396" t="s">
        <v>7082</v>
      </c>
      <c r="I686" s="396" t="s">
        <v>781</v>
      </c>
      <c r="J686" s="396" t="s">
        <v>7083</v>
      </c>
      <c r="K686" s="396" t="s">
        <v>781</v>
      </c>
      <c r="L686" s="397">
        <v>24.38</v>
      </c>
      <c r="M686" s="396" t="s">
        <v>4599</v>
      </c>
      <c r="N686" s="397">
        <v>577148.70494710002</v>
      </c>
      <c r="O686" s="396" t="s">
        <v>4596</v>
      </c>
    </row>
    <row r="687" spans="1:15" ht="26.4" x14ac:dyDescent="0.4">
      <c r="A687" s="396" t="s">
        <v>1186</v>
      </c>
      <c r="B687" s="394" t="s">
        <v>484</v>
      </c>
      <c r="C687" s="394" t="s">
        <v>1187</v>
      </c>
      <c r="D687" s="394" t="s">
        <v>1053</v>
      </c>
      <c r="E687" s="395" t="s">
        <v>1070</v>
      </c>
      <c r="F687" s="396" t="s">
        <v>5514</v>
      </c>
      <c r="G687" s="396" t="s">
        <v>781</v>
      </c>
      <c r="H687" s="396" t="s">
        <v>9400</v>
      </c>
      <c r="I687" s="396" t="s">
        <v>781</v>
      </c>
      <c r="J687" s="396" t="s">
        <v>9401</v>
      </c>
      <c r="K687" s="396" t="s">
        <v>781</v>
      </c>
      <c r="L687" s="397">
        <v>23.593920000000001</v>
      </c>
      <c r="M687" s="396" t="s">
        <v>4599</v>
      </c>
      <c r="N687" s="397">
        <v>577172.29886710003</v>
      </c>
      <c r="O687" s="396" t="s">
        <v>4596</v>
      </c>
    </row>
    <row r="688" spans="1:15" ht="39.6" x14ac:dyDescent="0.4">
      <c r="A688" s="396" t="s">
        <v>2371</v>
      </c>
      <c r="B688" s="394" t="s">
        <v>5902</v>
      </c>
      <c r="C688" s="394" t="s">
        <v>2372</v>
      </c>
      <c r="D688" s="394" t="s">
        <v>1039</v>
      </c>
      <c r="E688" s="395" t="s">
        <v>675</v>
      </c>
      <c r="F688" s="396" t="s">
        <v>5490</v>
      </c>
      <c r="G688" s="396" t="s">
        <v>781</v>
      </c>
      <c r="H688" s="396" t="s">
        <v>7084</v>
      </c>
      <c r="I688" s="396" t="s">
        <v>781</v>
      </c>
      <c r="J688" s="396" t="s">
        <v>7085</v>
      </c>
      <c r="K688" s="396" t="s">
        <v>781</v>
      </c>
      <c r="L688" s="397">
        <v>23.193560000000002</v>
      </c>
      <c r="M688" s="396" t="s">
        <v>4599</v>
      </c>
      <c r="N688" s="397">
        <v>577195.49242709996</v>
      </c>
      <c r="O688" s="396" t="s">
        <v>4600</v>
      </c>
    </row>
    <row r="689" spans="1:15" x14ac:dyDescent="0.4">
      <c r="A689" s="396" t="s">
        <v>1182</v>
      </c>
      <c r="B689" s="394" t="s">
        <v>420</v>
      </c>
      <c r="C689" s="394" t="s">
        <v>1183</v>
      </c>
      <c r="D689" s="394" t="s">
        <v>1039</v>
      </c>
      <c r="E689" s="395" t="s">
        <v>437</v>
      </c>
      <c r="F689" s="396" t="s">
        <v>5273</v>
      </c>
      <c r="G689" s="396" t="s">
        <v>781</v>
      </c>
      <c r="H689" s="396" t="s">
        <v>9402</v>
      </c>
      <c r="I689" s="396" t="s">
        <v>781</v>
      </c>
      <c r="J689" s="396" t="s">
        <v>9403</v>
      </c>
      <c r="K689" s="396" t="s">
        <v>781</v>
      </c>
      <c r="L689" s="397">
        <v>23.14</v>
      </c>
      <c r="M689" s="396" t="s">
        <v>4599</v>
      </c>
      <c r="N689" s="397">
        <v>577218.63242709998</v>
      </c>
      <c r="O689" s="396" t="s">
        <v>4600</v>
      </c>
    </row>
    <row r="690" spans="1:15" x14ac:dyDescent="0.4">
      <c r="A690" s="396" t="s">
        <v>4566</v>
      </c>
      <c r="B690" s="394" t="s">
        <v>395</v>
      </c>
      <c r="C690" s="394" t="s">
        <v>4567</v>
      </c>
      <c r="D690" s="394" t="s">
        <v>1039</v>
      </c>
      <c r="E690" s="395" t="s">
        <v>4</v>
      </c>
      <c r="F690" s="396" t="s">
        <v>5269</v>
      </c>
      <c r="G690" s="396" t="s">
        <v>781</v>
      </c>
      <c r="H690" s="396" t="s">
        <v>5500</v>
      </c>
      <c r="I690" s="396" t="s">
        <v>781</v>
      </c>
      <c r="J690" s="396" t="s">
        <v>5500</v>
      </c>
      <c r="K690" s="396" t="s">
        <v>781</v>
      </c>
      <c r="L690" s="397">
        <v>23.1</v>
      </c>
      <c r="M690" s="396" t="s">
        <v>4599</v>
      </c>
      <c r="N690" s="397">
        <v>577241.73242709995</v>
      </c>
      <c r="O690" s="396" t="s">
        <v>4600</v>
      </c>
    </row>
    <row r="691" spans="1:15" ht="26.4" x14ac:dyDescent="0.4">
      <c r="A691" s="396" t="s">
        <v>4603</v>
      </c>
      <c r="B691" s="394" t="s">
        <v>395</v>
      </c>
      <c r="C691" s="394" t="s">
        <v>4604</v>
      </c>
      <c r="D691" s="394" t="s">
        <v>1039</v>
      </c>
      <c r="E691" s="395" t="s">
        <v>7</v>
      </c>
      <c r="F691" s="396" t="s">
        <v>5505</v>
      </c>
      <c r="G691" s="396" t="s">
        <v>781</v>
      </c>
      <c r="H691" s="396" t="s">
        <v>7086</v>
      </c>
      <c r="I691" s="396" t="s">
        <v>781</v>
      </c>
      <c r="J691" s="396" t="s">
        <v>5780</v>
      </c>
      <c r="K691" s="396" t="s">
        <v>781</v>
      </c>
      <c r="L691" s="397">
        <v>23.001000000000001</v>
      </c>
      <c r="M691" s="396" t="s">
        <v>4599</v>
      </c>
      <c r="N691" s="397">
        <v>577264.7334271</v>
      </c>
      <c r="O691" s="396" t="s">
        <v>4601</v>
      </c>
    </row>
    <row r="692" spans="1:15" ht="26.4" x14ac:dyDescent="0.4">
      <c r="A692" s="396" t="s">
        <v>7087</v>
      </c>
      <c r="B692" s="394" t="s">
        <v>420</v>
      </c>
      <c r="C692" s="394" t="s">
        <v>7088</v>
      </c>
      <c r="D692" s="394" t="s">
        <v>1039</v>
      </c>
      <c r="E692" s="395" t="s">
        <v>422</v>
      </c>
      <c r="F692" s="396" t="s">
        <v>5269</v>
      </c>
      <c r="G692" s="396" t="s">
        <v>781</v>
      </c>
      <c r="H692" s="396" t="s">
        <v>5780</v>
      </c>
      <c r="I692" s="396" t="s">
        <v>781</v>
      </c>
      <c r="J692" s="396" t="s">
        <v>5780</v>
      </c>
      <c r="K692" s="396" t="s">
        <v>781</v>
      </c>
      <c r="L692" s="397">
        <v>23</v>
      </c>
      <c r="M692" s="396" t="s">
        <v>4599</v>
      </c>
      <c r="N692" s="397">
        <v>577287.7334271</v>
      </c>
      <c r="O692" s="396" t="s">
        <v>4601</v>
      </c>
    </row>
    <row r="693" spans="1:15" x14ac:dyDescent="0.4">
      <c r="A693" s="396" t="s">
        <v>1367</v>
      </c>
      <c r="B693" s="394" t="s">
        <v>408</v>
      </c>
      <c r="C693" s="394" t="s">
        <v>1368</v>
      </c>
      <c r="D693" s="394" t="s">
        <v>1039</v>
      </c>
      <c r="E693" s="395" t="s">
        <v>713</v>
      </c>
      <c r="F693" s="396" t="s">
        <v>9404</v>
      </c>
      <c r="G693" s="396" t="s">
        <v>781</v>
      </c>
      <c r="H693" s="396" t="s">
        <v>6466</v>
      </c>
      <c r="I693" s="396" t="s">
        <v>781</v>
      </c>
      <c r="J693" s="396" t="s">
        <v>9405</v>
      </c>
      <c r="K693" s="396" t="s">
        <v>781</v>
      </c>
      <c r="L693" s="397">
        <v>22.975919999999999</v>
      </c>
      <c r="M693" s="396" t="s">
        <v>4599</v>
      </c>
      <c r="N693" s="397">
        <v>577310.7093471</v>
      </c>
      <c r="O693" s="396" t="s">
        <v>4602</v>
      </c>
    </row>
    <row r="694" spans="1:15" ht="26.4" x14ac:dyDescent="0.4">
      <c r="A694" s="396" t="s">
        <v>9406</v>
      </c>
      <c r="B694" s="394" t="s">
        <v>5902</v>
      </c>
      <c r="C694" s="394" t="s">
        <v>9407</v>
      </c>
      <c r="D694" s="394" t="s">
        <v>1053</v>
      </c>
      <c r="E694" s="395" t="s">
        <v>6</v>
      </c>
      <c r="F694" s="396" t="s">
        <v>5730</v>
      </c>
      <c r="G694" s="396" t="s">
        <v>781</v>
      </c>
      <c r="H694" s="396" t="s">
        <v>9408</v>
      </c>
      <c r="I694" s="396" t="s">
        <v>781</v>
      </c>
      <c r="J694" s="396" t="s">
        <v>6194</v>
      </c>
      <c r="K694" s="396" t="s">
        <v>781</v>
      </c>
      <c r="L694" s="397">
        <v>22.7058</v>
      </c>
      <c r="M694" s="396" t="s">
        <v>4599</v>
      </c>
      <c r="N694" s="397">
        <v>577333.41514709999</v>
      </c>
      <c r="O694" s="396" t="s">
        <v>4602</v>
      </c>
    </row>
    <row r="695" spans="1:15" x14ac:dyDescent="0.4">
      <c r="A695" s="396" t="s">
        <v>2469</v>
      </c>
      <c r="B695" s="394" t="s">
        <v>408</v>
      </c>
      <c r="C695" s="394" t="s">
        <v>2470</v>
      </c>
      <c r="D695" s="394" t="s">
        <v>1039</v>
      </c>
      <c r="E695" s="395" t="s">
        <v>4</v>
      </c>
      <c r="F695" s="396" t="s">
        <v>7089</v>
      </c>
      <c r="G695" s="396" t="s">
        <v>781</v>
      </c>
      <c r="H695" s="396" t="s">
        <v>7090</v>
      </c>
      <c r="I695" s="396" t="s">
        <v>781</v>
      </c>
      <c r="J695" s="396" t="s">
        <v>7091</v>
      </c>
      <c r="K695" s="396" t="s">
        <v>781</v>
      </c>
      <c r="L695" s="397">
        <v>22.599</v>
      </c>
      <c r="M695" s="396" t="s">
        <v>4599</v>
      </c>
      <c r="N695" s="397">
        <v>577356.01414710004</v>
      </c>
      <c r="O695" s="396" t="s">
        <v>4602</v>
      </c>
    </row>
    <row r="696" spans="1:15" x14ac:dyDescent="0.4">
      <c r="A696" s="396" t="s">
        <v>7092</v>
      </c>
      <c r="B696" s="394" t="s">
        <v>439</v>
      </c>
      <c r="C696" s="394" t="s">
        <v>4716</v>
      </c>
      <c r="D696" s="394" t="s">
        <v>1039</v>
      </c>
      <c r="E696" s="395" t="s">
        <v>1109</v>
      </c>
      <c r="F696" s="396" t="s">
        <v>7005</v>
      </c>
      <c r="G696" s="396" t="s">
        <v>781</v>
      </c>
      <c r="H696" s="396" t="s">
        <v>5707</v>
      </c>
      <c r="I696" s="396" t="s">
        <v>781</v>
      </c>
      <c r="J696" s="396" t="s">
        <v>6153</v>
      </c>
      <c r="K696" s="396" t="s">
        <v>781</v>
      </c>
      <c r="L696" s="397">
        <v>22.142356840000001</v>
      </c>
      <c r="M696" s="396" t="s">
        <v>4599</v>
      </c>
      <c r="N696" s="397">
        <v>577378.15650389995</v>
      </c>
      <c r="O696" s="396" t="s">
        <v>4605</v>
      </c>
    </row>
    <row r="697" spans="1:15" ht="26.4" x14ac:dyDescent="0.4">
      <c r="A697" s="396" t="s">
        <v>4556</v>
      </c>
      <c r="B697" s="394" t="s">
        <v>395</v>
      </c>
      <c r="C697" s="394" t="s">
        <v>4557</v>
      </c>
      <c r="D697" s="394" t="s">
        <v>1039</v>
      </c>
      <c r="E697" s="395" t="s">
        <v>4</v>
      </c>
      <c r="F697" s="396" t="s">
        <v>5269</v>
      </c>
      <c r="G697" s="396" t="s">
        <v>781</v>
      </c>
      <c r="H697" s="396" t="s">
        <v>7093</v>
      </c>
      <c r="I697" s="396" t="s">
        <v>781</v>
      </c>
      <c r="J697" s="396" t="s">
        <v>7093</v>
      </c>
      <c r="K697" s="396" t="s">
        <v>781</v>
      </c>
      <c r="L697" s="397">
        <v>21.78</v>
      </c>
      <c r="M697" s="396" t="s">
        <v>4599</v>
      </c>
      <c r="N697" s="397">
        <v>577399.93650389998</v>
      </c>
      <c r="O697" s="396" t="s">
        <v>4605</v>
      </c>
    </row>
    <row r="698" spans="1:15" ht="26.4" x14ac:dyDescent="0.4">
      <c r="A698" s="396" t="s">
        <v>1627</v>
      </c>
      <c r="B698" s="394" t="s">
        <v>5902</v>
      </c>
      <c r="C698" s="394" t="s">
        <v>1628</v>
      </c>
      <c r="D698" s="394" t="s">
        <v>1039</v>
      </c>
      <c r="E698" s="395" t="s">
        <v>3</v>
      </c>
      <c r="F698" s="396" t="s">
        <v>9409</v>
      </c>
      <c r="G698" s="396" t="s">
        <v>781</v>
      </c>
      <c r="H698" s="396" t="s">
        <v>7427</v>
      </c>
      <c r="I698" s="396" t="s">
        <v>781</v>
      </c>
      <c r="J698" s="396" t="s">
        <v>9410</v>
      </c>
      <c r="K698" s="396" t="s">
        <v>781</v>
      </c>
      <c r="L698" s="397">
        <v>21.681000000000001</v>
      </c>
      <c r="M698" s="396" t="s">
        <v>4599</v>
      </c>
      <c r="N698" s="397">
        <v>577421.61750389996</v>
      </c>
      <c r="O698" s="396" t="s">
        <v>4605</v>
      </c>
    </row>
    <row r="699" spans="1:15" ht="26.4" x14ac:dyDescent="0.4">
      <c r="A699" s="396" t="s">
        <v>2497</v>
      </c>
      <c r="B699" s="394" t="s">
        <v>395</v>
      </c>
      <c r="C699" s="394" t="s">
        <v>246</v>
      </c>
      <c r="D699" s="394" t="s">
        <v>1039</v>
      </c>
      <c r="E699" s="395" t="s">
        <v>4</v>
      </c>
      <c r="F699" s="396" t="s">
        <v>5269</v>
      </c>
      <c r="G699" s="396" t="s">
        <v>781</v>
      </c>
      <c r="H699" s="396" t="s">
        <v>7094</v>
      </c>
      <c r="I699" s="396" t="s">
        <v>781</v>
      </c>
      <c r="J699" s="396" t="s">
        <v>7094</v>
      </c>
      <c r="K699" s="396" t="s">
        <v>781</v>
      </c>
      <c r="L699" s="397">
        <v>21.64</v>
      </c>
      <c r="M699" s="396" t="s">
        <v>4599</v>
      </c>
      <c r="N699" s="397">
        <v>577443.25750389998</v>
      </c>
      <c r="O699" s="396" t="s">
        <v>4610</v>
      </c>
    </row>
    <row r="700" spans="1:15" ht="26.4" x14ac:dyDescent="0.4">
      <c r="A700" s="396" t="s">
        <v>4063</v>
      </c>
      <c r="B700" s="394" t="s">
        <v>395</v>
      </c>
      <c r="C700" s="394" t="s">
        <v>4064</v>
      </c>
      <c r="D700" s="394" t="s">
        <v>1039</v>
      </c>
      <c r="E700" s="395" t="s">
        <v>7</v>
      </c>
      <c r="F700" s="396" t="s">
        <v>7095</v>
      </c>
      <c r="G700" s="396" t="s">
        <v>781</v>
      </c>
      <c r="H700" s="396" t="s">
        <v>7096</v>
      </c>
      <c r="I700" s="396" t="s">
        <v>781</v>
      </c>
      <c r="J700" s="396" t="s">
        <v>7097</v>
      </c>
      <c r="K700" s="396" t="s">
        <v>781</v>
      </c>
      <c r="L700" s="397">
        <v>21.327293208</v>
      </c>
      <c r="M700" s="396" t="s">
        <v>4599</v>
      </c>
      <c r="N700" s="397">
        <v>577464.58479710005</v>
      </c>
      <c r="O700" s="396" t="s">
        <v>4610</v>
      </c>
    </row>
    <row r="701" spans="1:15" ht="39.6" x14ac:dyDescent="0.4">
      <c r="A701" s="396" t="s">
        <v>7098</v>
      </c>
      <c r="B701" s="394" t="s">
        <v>439</v>
      </c>
      <c r="C701" s="394" t="s">
        <v>1382</v>
      </c>
      <c r="D701" s="394" t="s">
        <v>1039</v>
      </c>
      <c r="E701" s="395" t="s">
        <v>437</v>
      </c>
      <c r="F701" s="396" t="s">
        <v>5486</v>
      </c>
      <c r="G701" s="396" t="s">
        <v>781</v>
      </c>
      <c r="H701" s="396" t="s">
        <v>7099</v>
      </c>
      <c r="I701" s="396" t="s">
        <v>781</v>
      </c>
      <c r="J701" s="396" t="s">
        <v>7075</v>
      </c>
      <c r="K701" s="396" t="s">
        <v>781</v>
      </c>
      <c r="L701" s="397">
        <v>21.276</v>
      </c>
      <c r="M701" s="396" t="s">
        <v>4599</v>
      </c>
      <c r="N701" s="397">
        <v>577485.8607971</v>
      </c>
      <c r="O701" s="396" t="s">
        <v>4611</v>
      </c>
    </row>
    <row r="702" spans="1:15" ht="26.4" x14ac:dyDescent="0.4">
      <c r="A702" s="396" t="s">
        <v>2534</v>
      </c>
      <c r="B702" s="394" t="s">
        <v>395</v>
      </c>
      <c r="C702" s="394" t="s">
        <v>256</v>
      </c>
      <c r="D702" s="394" t="s">
        <v>1039</v>
      </c>
      <c r="E702" s="395" t="s">
        <v>4</v>
      </c>
      <c r="F702" s="396" t="s">
        <v>5269</v>
      </c>
      <c r="G702" s="396" t="s">
        <v>781</v>
      </c>
      <c r="H702" s="396" t="s">
        <v>5504</v>
      </c>
      <c r="I702" s="396" t="s">
        <v>781</v>
      </c>
      <c r="J702" s="396" t="s">
        <v>5504</v>
      </c>
      <c r="K702" s="396" t="s">
        <v>781</v>
      </c>
      <c r="L702" s="397">
        <v>21.27</v>
      </c>
      <c r="M702" s="396" t="s">
        <v>4599</v>
      </c>
      <c r="N702" s="397">
        <v>577507.13079710002</v>
      </c>
      <c r="O702" s="396" t="s">
        <v>4611</v>
      </c>
    </row>
    <row r="703" spans="1:15" x14ac:dyDescent="0.4">
      <c r="A703" s="396" t="s">
        <v>1608</v>
      </c>
      <c r="B703" s="394" t="s">
        <v>490</v>
      </c>
      <c r="C703" s="394" t="s">
        <v>1609</v>
      </c>
      <c r="D703" s="394" t="s">
        <v>1039</v>
      </c>
      <c r="E703" s="395" t="s">
        <v>3</v>
      </c>
      <c r="F703" s="396" t="s">
        <v>5269</v>
      </c>
      <c r="G703" s="396" t="s">
        <v>781</v>
      </c>
      <c r="H703" s="396" t="s">
        <v>9411</v>
      </c>
      <c r="I703" s="396" t="s">
        <v>781</v>
      </c>
      <c r="J703" s="396" t="s">
        <v>9411</v>
      </c>
      <c r="K703" s="396" t="s">
        <v>781</v>
      </c>
      <c r="L703" s="397">
        <v>21.1</v>
      </c>
      <c r="M703" s="396" t="s">
        <v>4599</v>
      </c>
      <c r="N703" s="397">
        <v>577528.2307971</v>
      </c>
      <c r="O703" s="396" t="s">
        <v>4611</v>
      </c>
    </row>
    <row r="704" spans="1:15" x14ac:dyDescent="0.4">
      <c r="A704" s="396" t="s">
        <v>2298</v>
      </c>
      <c r="B704" s="394" t="s">
        <v>575</v>
      </c>
      <c r="C704" s="394" t="s">
        <v>2299</v>
      </c>
      <c r="D704" s="394" t="s">
        <v>1039</v>
      </c>
      <c r="E704" s="395" t="s">
        <v>437</v>
      </c>
      <c r="F704" s="396" t="s">
        <v>5323</v>
      </c>
      <c r="G704" s="396" t="s">
        <v>781</v>
      </c>
      <c r="H704" s="396" t="s">
        <v>5506</v>
      </c>
      <c r="I704" s="396" t="s">
        <v>781</v>
      </c>
      <c r="J704" s="396" t="s">
        <v>5507</v>
      </c>
      <c r="K704" s="396" t="s">
        <v>781</v>
      </c>
      <c r="L704" s="397">
        <v>21</v>
      </c>
      <c r="M704" s="396" t="s">
        <v>4599</v>
      </c>
      <c r="N704" s="397">
        <v>577549.2307971</v>
      </c>
      <c r="O704" s="396" t="s">
        <v>4614</v>
      </c>
    </row>
    <row r="705" spans="1:15" ht="26.4" x14ac:dyDescent="0.4">
      <c r="A705" s="396" t="s">
        <v>4612</v>
      </c>
      <c r="B705" s="394" t="s">
        <v>395</v>
      </c>
      <c r="C705" s="394" t="s">
        <v>4613</v>
      </c>
      <c r="D705" s="394" t="s">
        <v>1039</v>
      </c>
      <c r="E705" s="395" t="s">
        <v>4</v>
      </c>
      <c r="F705" s="396" t="s">
        <v>5304</v>
      </c>
      <c r="G705" s="396" t="s">
        <v>781</v>
      </c>
      <c r="H705" s="396" t="s">
        <v>6377</v>
      </c>
      <c r="I705" s="396" t="s">
        <v>781</v>
      </c>
      <c r="J705" s="396" t="s">
        <v>7100</v>
      </c>
      <c r="K705" s="396" t="s">
        <v>781</v>
      </c>
      <c r="L705" s="397">
        <v>20.8</v>
      </c>
      <c r="M705" s="396" t="s">
        <v>4599</v>
      </c>
      <c r="N705" s="397">
        <v>577570.03079710004</v>
      </c>
      <c r="O705" s="396" t="s">
        <v>4614</v>
      </c>
    </row>
    <row r="706" spans="1:15" x14ac:dyDescent="0.4">
      <c r="A706" s="396" t="s">
        <v>4664</v>
      </c>
      <c r="B706" s="394" t="s">
        <v>395</v>
      </c>
      <c r="C706" s="394" t="s">
        <v>4665</v>
      </c>
      <c r="D706" s="394" t="s">
        <v>1053</v>
      </c>
      <c r="E706" s="395" t="s">
        <v>6</v>
      </c>
      <c r="F706" s="396" t="s">
        <v>7101</v>
      </c>
      <c r="G706" s="396" t="s">
        <v>781</v>
      </c>
      <c r="H706" s="396" t="s">
        <v>7102</v>
      </c>
      <c r="I706" s="396" t="s">
        <v>781</v>
      </c>
      <c r="J706" s="396" t="s">
        <v>7103</v>
      </c>
      <c r="K706" s="396" t="s">
        <v>781</v>
      </c>
      <c r="L706" s="397">
        <v>20.690899705</v>
      </c>
      <c r="M706" s="396" t="s">
        <v>4599</v>
      </c>
      <c r="N706" s="397">
        <v>577590.72169679997</v>
      </c>
      <c r="O706" s="396" t="s">
        <v>4614</v>
      </c>
    </row>
    <row r="707" spans="1:15" ht="26.4" x14ac:dyDescent="0.4">
      <c r="A707" s="396" t="s">
        <v>4471</v>
      </c>
      <c r="B707" s="394" t="s">
        <v>395</v>
      </c>
      <c r="C707" s="394" t="s">
        <v>4472</v>
      </c>
      <c r="D707" s="394" t="s">
        <v>1039</v>
      </c>
      <c r="E707" s="395" t="s">
        <v>4</v>
      </c>
      <c r="F707" s="396" t="s">
        <v>5269</v>
      </c>
      <c r="G707" s="396" t="s">
        <v>781</v>
      </c>
      <c r="H707" s="396" t="s">
        <v>7103</v>
      </c>
      <c r="I707" s="396" t="s">
        <v>781</v>
      </c>
      <c r="J707" s="396" t="s">
        <v>7103</v>
      </c>
      <c r="K707" s="396" t="s">
        <v>781</v>
      </c>
      <c r="L707" s="397">
        <v>20.69</v>
      </c>
      <c r="M707" s="396" t="s">
        <v>4599</v>
      </c>
      <c r="N707" s="397">
        <v>577611.41169680003</v>
      </c>
      <c r="O707" s="396" t="s">
        <v>4615</v>
      </c>
    </row>
    <row r="708" spans="1:15" x14ac:dyDescent="0.4">
      <c r="A708" s="396" t="s">
        <v>1486</v>
      </c>
      <c r="B708" s="394" t="s">
        <v>408</v>
      </c>
      <c r="C708" s="394" t="s">
        <v>1487</v>
      </c>
      <c r="D708" s="394" t="s">
        <v>1039</v>
      </c>
      <c r="E708" s="395" t="s">
        <v>7</v>
      </c>
      <c r="F708" s="396" t="s">
        <v>9412</v>
      </c>
      <c r="G708" s="396" t="s">
        <v>781</v>
      </c>
      <c r="H708" s="396" t="s">
        <v>5592</v>
      </c>
      <c r="I708" s="396" t="s">
        <v>781</v>
      </c>
      <c r="J708" s="396" t="s">
        <v>6202</v>
      </c>
      <c r="K708" s="396" t="s">
        <v>781</v>
      </c>
      <c r="L708" s="397">
        <v>20.4544</v>
      </c>
      <c r="M708" s="396" t="s">
        <v>4599</v>
      </c>
      <c r="N708" s="397">
        <v>577631.86609679996</v>
      </c>
      <c r="O708" s="396" t="s">
        <v>4615</v>
      </c>
    </row>
    <row r="709" spans="1:15" x14ac:dyDescent="0.4">
      <c r="A709" s="396" t="s">
        <v>7104</v>
      </c>
      <c r="B709" s="394" t="s">
        <v>408</v>
      </c>
      <c r="C709" s="394" t="s">
        <v>7105</v>
      </c>
      <c r="D709" s="394" t="s">
        <v>1053</v>
      </c>
      <c r="E709" s="395" t="s">
        <v>6</v>
      </c>
      <c r="F709" s="396" t="s">
        <v>7106</v>
      </c>
      <c r="G709" s="396" t="s">
        <v>781</v>
      </c>
      <c r="H709" s="396" t="s">
        <v>6238</v>
      </c>
      <c r="I709" s="396" t="s">
        <v>781</v>
      </c>
      <c r="J709" s="396" t="s">
        <v>7107</v>
      </c>
      <c r="K709" s="396" t="s">
        <v>781</v>
      </c>
      <c r="L709" s="397">
        <v>20.411999999999999</v>
      </c>
      <c r="M709" s="396" t="s">
        <v>4599</v>
      </c>
      <c r="N709" s="397">
        <v>577652.27809679997</v>
      </c>
      <c r="O709" s="396" t="s">
        <v>4615</v>
      </c>
    </row>
    <row r="710" spans="1:15" x14ac:dyDescent="0.4">
      <c r="A710" s="396" t="s">
        <v>4634</v>
      </c>
      <c r="B710" s="394" t="s">
        <v>395</v>
      </c>
      <c r="C710" s="394" t="s">
        <v>4635</v>
      </c>
      <c r="D710" s="394" t="s">
        <v>1053</v>
      </c>
      <c r="E710" s="395" t="s">
        <v>6</v>
      </c>
      <c r="F710" s="396" t="s">
        <v>7108</v>
      </c>
      <c r="G710" s="396" t="s">
        <v>781</v>
      </c>
      <c r="H710" s="396" t="s">
        <v>7045</v>
      </c>
      <c r="I710" s="396" t="s">
        <v>781</v>
      </c>
      <c r="J710" s="396" t="s">
        <v>7109</v>
      </c>
      <c r="K710" s="396" t="s">
        <v>781</v>
      </c>
      <c r="L710" s="397">
        <v>20.241182219999999</v>
      </c>
      <c r="M710" s="396" t="s">
        <v>4599</v>
      </c>
      <c r="N710" s="397">
        <v>577672.519279</v>
      </c>
      <c r="O710" s="396" t="s">
        <v>4619</v>
      </c>
    </row>
    <row r="711" spans="1:15" x14ac:dyDescent="0.4">
      <c r="A711" s="396" t="s">
        <v>1277</v>
      </c>
      <c r="B711" s="394" t="s">
        <v>408</v>
      </c>
      <c r="C711" s="394" t="s">
        <v>1278</v>
      </c>
      <c r="D711" s="394" t="s">
        <v>1039</v>
      </c>
      <c r="E711" s="395" t="s">
        <v>4</v>
      </c>
      <c r="F711" s="396" t="s">
        <v>5273</v>
      </c>
      <c r="G711" s="396" t="s">
        <v>781</v>
      </c>
      <c r="H711" s="396" t="s">
        <v>7110</v>
      </c>
      <c r="I711" s="396" t="s">
        <v>781</v>
      </c>
      <c r="J711" s="396" t="s">
        <v>6471</v>
      </c>
      <c r="K711" s="396" t="s">
        <v>781</v>
      </c>
      <c r="L711" s="397">
        <v>20.02</v>
      </c>
      <c r="M711" s="396" t="s">
        <v>4599</v>
      </c>
      <c r="N711" s="397">
        <v>577692.53927900002</v>
      </c>
      <c r="O711" s="396" t="s">
        <v>4619</v>
      </c>
    </row>
    <row r="712" spans="1:15" ht="26.4" x14ac:dyDescent="0.4">
      <c r="A712" s="396" t="s">
        <v>1090</v>
      </c>
      <c r="B712" s="394" t="s">
        <v>431</v>
      </c>
      <c r="C712" s="394" t="s">
        <v>1091</v>
      </c>
      <c r="D712" s="394" t="s">
        <v>1053</v>
      </c>
      <c r="E712" s="395" t="s">
        <v>6</v>
      </c>
      <c r="F712" s="396" t="s">
        <v>5542</v>
      </c>
      <c r="G712" s="396" t="s">
        <v>781</v>
      </c>
      <c r="H712" s="396" t="s">
        <v>7111</v>
      </c>
      <c r="I712" s="396" t="s">
        <v>781</v>
      </c>
      <c r="J712" s="396" t="s">
        <v>7112</v>
      </c>
      <c r="K712" s="396" t="s">
        <v>781</v>
      </c>
      <c r="L712" s="397">
        <v>19.913599999999999</v>
      </c>
      <c r="M712" s="396" t="s">
        <v>4599</v>
      </c>
      <c r="N712" s="397">
        <v>577712.45287899999</v>
      </c>
      <c r="O712" s="396" t="s">
        <v>4619</v>
      </c>
    </row>
    <row r="713" spans="1:15" x14ac:dyDescent="0.4">
      <c r="A713" s="396" t="s">
        <v>3052</v>
      </c>
      <c r="B713" s="394" t="s">
        <v>408</v>
      </c>
      <c r="C713" s="394" t="s">
        <v>3053</v>
      </c>
      <c r="D713" s="394" t="s">
        <v>1039</v>
      </c>
      <c r="E713" s="395" t="s">
        <v>7</v>
      </c>
      <c r="F713" s="396" t="s">
        <v>5450</v>
      </c>
      <c r="G713" s="396" t="s">
        <v>781</v>
      </c>
      <c r="H713" s="396" t="s">
        <v>7113</v>
      </c>
      <c r="I713" s="396" t="s">
        <v>781</v>
      </c>
      <c r="J713" s="396" t="s">
        <v>7114</v>
      </c>
      <c r="K713" s="396" t="s">
        <v>781</v>
      </c>
      <c r="L713" s="397">
        <v>19.850000000000001</v>
      </c>
      <c r="M713" s="396" t="s">
        <v>4599</v>
      </c>
      <c r="N713" s="397">
        <v>577732.30287899997</v>
      </c>
      <c r="O713" s="396" t="s">
        <v>4623</v>
      </c>
    </row>
    <row r="714" spans="1:15" x14ac:dyDescent="0.4">
      <c r="A714" s="396" t="s">
        <v>3048</v>
      </c>
      <c r="B714" s="394" t="s">
        <v>408</v>
      </c>
      <c r="C714" s="394" t="s">
        <v>3049</v>
      </c>
      <c r="D714" s="394" t="s">
        <v>1039</v>
      </c>
      <c r="E714" s="395" t="s">
        <v>4</v>
      </c>
      <c r="F714" s="396" t="s">
        <v>5269</v>
      </c>
      <c r="G714" s="396" t="s">
        <v>781</v>
      </c>
      <c r="H714" s="396" t="s">
        <v>7115</v>
      </c>
      <c r="I714" s="396" t="s">
        <v>781</v>
      </c>
      <c r="J714" s="396" t="s">
        <v>7115</v>
      </c>
      <c r="K714" s="396" t="s">
        <v>781</v>
      </c>
      <c r="L714" s="397">
        <v>19.84</v>
      </c>
      <c r="M714" s="396" t="s">
        <v>4599</v>
      </c>
      <c r="N714" s="397">
        <v>577752.14287900005</v>
      </c>
      <c r="O714" s="396" t="s">
        <v>4623</v>
      </c>
    </row>
    <row r="715" spans="1:15" x14ac:dyDescent="0.4">
      <c r="A715" s="396" t="s">
        <v>2571</v>
      </c>
      <c r="B715" s="394" t="s">
        <v>420</v>
      </c>
      <c r="C715" s="394" t="s">
        <v>2572</v>
      </c>
      <c r="D715" s="394" t="s">
        <v>1039</v>
      </c>
      <c r="E715" s="395" t="s">
        <v>422</v>
      </c>
      <c r="F715" s="396" t="s">
        <v>5269</v>
      </c>
      <c r="G715" s="396" t="s">
        <v>781</v>
      </c>
      <c r="H715" s="396" t="s">
        <v>9413</v>
      </c>
      <c r="I715" s="396" t="s">
        <v>781</v>
      </c>
      <c r="J715" s="396" t="s">
        <v>9413</v>
      </c>
      <c r="K715" s="396" t="s">
        <v>781</v>
      </c>
      <c r="L715" s="397">
        <v>19.829999999999998</v>
      </c>
      <c r="M715" s="396" t="s">
        <v>4599</v>
      </c>
      <c r="N715" s="397">
        <v>577771.97287900001</v>
      </c>
      <c r="O715" s="396" t="s">
        <v>4623</v>
      </c>
    </row>
    <row r="716" spans="1:15" x14ac:dyDescent="0.4">
      <c r="A716" s="396" t="s">
        <v>1087</v>
      </c>
      <c r="B716" s="394" t="s">
        <v>408</v>
      </c>
      <c r="C716" s="394" t="s">
        <v>1088</v>
      </c>
      <c r="D716" s="394" t="s">
        <v>1039</v>
      </c>
      <c r="E716" s="395" t="s">
        <v>4</v>
      </c>
      <c r="F716" s="396" t="s">
        <v>5269</v>
      </c>
      <c r="G716" s="396" t="s">
        <v>781</v>
      </c>
      <c r="H716" s="396" t="s">
        <v>7116</v>
      </c>
      <c r="I716" s="396" t="s">
        <v>781</v>
      </c>
      <c r="J716" s="396" t="s">
        <v>7116</v>
      </c>
      <c r="K716" s="396" t="s">
        <v>781</v>
      </c>
      <c r="L716" s="397">
        <v>19.68</v>
      </c>
      <c r="M716" s="396" t="s">
        <v>4599</v>
      </c>
      <c r="N716" s="397">
        <v>577791.65287899994</v>
      </c>
      <c r="O716" s="396" t="s">
        <v>4624</v>
      </c>
    </row>
    <row r="717" spans="1:15" ht="26.4" x14ac:dyDescent="0.4">
      <c r="A717" s="396" t="s">
        <v>4608</v>
      </c>
      <c r="B717" s="394" t="s">
        <v>395</v>
      </c>
      <c r="C717" s="394" t="s">
        <v>4609</v>
      </c>
      <c r="D717" s="394" t="s">
        <v>1039</v>
      </c>
      <c r="E717" s="395" t="s">
        <v>4</v>
      </c>
      <c r="F717" s="396" t="s">
        <v>5269</v>
      </c>
      <c r="G717" s="396" t="s">
        <v>781</v>
      </c>
      <c r="H717" s="396" t="s">
        <v>7117</v>
      </c>
      <c r="I717" s="396" t="s">
        <v>781</v>
      </c>
      <c r="J717" s="396" t="s">
        <v>7117</v>
      </c>
      <c r="K717" s="396" t="s">
        <v>781</v>
      </c>
      <c r="L717" s="397">
        <v>19.64</v>
      </c>
      <c r="M717" s="396" t="s">
        <v>4599</v>
      </c>
      <c r="N717" s="397">
        <v>577811.29287899996</v>
      </c>
      <c r="O717" s="396" t="s">
        <v>4624</v>
      </c>
    </row>
    <row r="718" spans="1:15" ht="26.4" x14ac:dyDescent="0.4">
      <c r="A718" s="396" t="s">
        <v>1164</v>
      </c>
      <c r="B718" s="394" t="s">
        <v>5902</v>
      </c>
      <c r="C718" s="394" t="s">
        <v>1165</v>
      </c>
      <c r="D718" s="394" t="s">
        <v>1039</v>
      </c>
      <c r="E718" s="395" t="s">
        <v>4</v>
      </c>
      <c r="F718" s="396" t="s">
        <v>5269</v>
      </c>
      <c r="G718" s="396" t="s">
        <v>781</v>
      </c>
      <c r="H718" s="396" t="s">
        <v>5454</v>
      </c>
      <c r="I718" s="396" t="s">
        <v>781</v>
      </c>
      <c r="J718" s="396" t="s">
        <v>5454</v>
      </c>
      <c r="K718" s="396" t="s">
        <v>781</v>
      </c>
      <c r="L718" s="397">
        <v>19.559999999999999</v>
      </c>
      <c r="M718" s="396" t="s">
        <v>4599</v>
      </c>
      <c r="N718" s="397">
        <v>577830.85287900001</v>
      </c>
      <c r="O718" s="396" t="s">
        <v>4625</v>
      </c>
    </row>
    <row r="719" spans="1:15" x14ac:dyDescent="0.4">
      <c r="A719" s="396" t="s">
        <v>9414</v>
      </c>
      <c r="B719" s="394" t="s">
        <v>408</v>
      </c>
      <c r="C719" s="394" t="s">
        <v>9415</v>
      </c>
      <c r="D719" s="394" t="s">
        <v>1053</v>
      </c>
      <c r="E719" s="395" t="s">
        <v>6</v>
      </c>
      <c r="F719" s="396" t="s">
        <v>9380</v>
      </c>
      <c r="G719" s="396" t="s">
        <v>781</v>
      </c>
      <c r="H719" s="396" t="s">
        <v>5329</v>
      </c>
      <c r="I719" s="396" t="s">
        <v>781</v>
      </c>
      <c r="J719" s="396" t="s">
        <v>9416</v>
      </c>
      <c r="K719" s="396" t="s">
        <v>781</v>
      </c>
      <c r="L719" s="397">
        <v>19.49577</v>
      </c>
      <c r="M719" s="396" t="s">
        <v>4599</v>
      </c>
      <c r="N719" s="397">
        <v>577850.34864900005</v>
      </c>
      <c r="O719" s="396" t="s">
        <v>4625</v>
      </c>
    </row>
    <row r="720" spans="1:15" x14ac:dyDescent="0.4">
      <c r="A720" s="396" t="s">
        <v>3072</v>
      </c>
      <c r="B720" s="394" t="s">
        <v>408</v>
      </c>
      <c r="C720" s="394" t="s">
        <v>3073</v>
      </c>
      <c r="D720" s="394" t="s">
        <v>1039</v>
      </c>
      <c r="E720" s="395" t="s">
        <v>4</v>
      </c>
      <c r="F720" s="396" t="s">
        <v>7118</v>
      </c>
      <c r="G720" s="396" t="s">
        <v>781</v>
      </c>
      <c r="H720" s="396" t="s">
        <v>7119</v>
      </c>
      <c r="I720" s="396" t="s">
        <v>781</v>
      </c>
      <c r="J720" s="396" t="s">
        <v>7120</v>
      </c>
      <c r="K720" s="396" t="s">
        <v>781</v>
      </c>
      <c r="L720" s="397">
        <v>19.434000000000001</v>
      </c>
      <c r="M720" s="396" t="s">
        <v>4599</v>
      </c>
      <c r="N720" s="397">
        <v>577869.78264899994</v>
      </c>
      <c r="O720" s="396" t="s">
        <v>4625</v>
      </c>
    </row>
    <row r="721" spans="1:15" ht="26.4" x14ac:dyDescent="0.4">
      <c r="A721" s="396" t="s">
        <v>4638</v>
      </c>
      <c r="B721" s="394" t="s">
        <v>395</v>
      </c>
      <c r="C721" s="394" t="s">
        <v>4639</v>
      </c>
      <c r="D721" s="394" t="s">
        <v>1039</v>
      </c>
      <c r="E721" s="395" t="s">
        <v>4</v>
      </c>
      <c r="F721" s="396" t="s">
        <v>5519</v>
      </c>
      <c r="G721" s="396" t="s">
        <v>781</v>
      </c>
      <c r="H721" s="396" t="s">
        <v>5635</v>
      </c>
      <c r="I721" s="396" t="s">
        <v>781</v>
      </c>
      <c r="J721" s="396" t="s">
        <v>7121</v>
      </c>
      <c r="K721" s="396" t="s">
        <v>781</v>
      </c>
      <c r="L721" s="397">
        <v>19.3859253</v>
      </c>
      <c r="M721" s="396" t="s">
        <v>4599</v>
      </c>
      <c r="N721" s="397">
        <v>577889.16857430001</v>
      </c>
      <c r="O721" s="396" t="s">
        <v>4628</v>
      </c>
    </row>
    <row r="722" spans="1:15" ht="26.4" x14ac:dyDescent="0.4">
      <c r="A722" s="396" t="s">
        <v>1170</v>
      </c>
      <c r="B722" s="394" t="s">
        <v>5902</v>
      </c>
      <c r="C722" s="394" t="s">
        <v>1171</v>
      </c>
      <c r="D722" s="394" t="s">
        <v>1039</v>
      </c>
      <c r="E722" s="395" t="s">
        <v>4</v>
      </c>
      <c r="F722" s="396" t="s">
        <v>5273</v>
      </c>
      <c r="G722" s="396" t="s">
        <v>781</v>
      </c>
      <c r="H722" s="396" t="s">
        <v>7122</v>
      </c>
      <c r="I722" s="396" t="s">
        <v>781</v>
      </c>
      <c r="J722" s="396" t="s">
        <v>7123</v>
      </c>
      <c r="K722" s="396" t="s">
        <v>781</v>
      </c>
      <c r="L722" s="397">
        <v>19.16</v>
      </c>
      <c r="M722" s="396" t="s">
        <v>4599</v>
      </c>
      <c r="N722" s="397">
        <v>577908.32857430005</v>
      </c>
      <c r="O722" s="396" t="s">
        <v>4628</v>
      </c>
    </row>
    <row r="723" spans="1:15" x14ac:dyDescent="0.4">
      <c r="A723" s="396" t="s">
        <v>7124</v>
      </c>
      <c r="B723" s="394" t="s">
        <v>439</v>
      </c>
      <c r="C723" s="394" t="s">
        <v>4687</v>
      </c>
      <c r="D723" s="394" t="s">
        <v>1053</v>
      </c>
      <c r="E723" s="395" t="s">
        <v>6</v>
      </c>
      <c r="F723" s="396" t="s">
        <v>5545</v>
      </c>
      <c r="G723" s="396" t="s">
        <v>781</v>
      </c>
      <c r="H723" s="396" t="s">
        <v>5506</v>
      </c>
      <c r="I723" s="396" t="s">
        <v>781</v>
      </c>
      <c r="J723" s="396" t="s">
        <v>5516</v>
      </c>
      <c r="K723" s="396" t="s">
        <v>781</v>
      </c>
      <c r="L723" s="397">
        <v>19</v>
      </c>
      <c r="M723" s="396" t="s">
        <v>4599</v>
      </c>
      <c r="N723" s="397">
        <v>577927.32857430005</v>
      </c>
      <c r="O723" s="396" t="s">
        <v>4628</v>
      </c>
    </row>
    <row r="724" spans="1:15" ht="26.4" x14ac:dyDescent="0.4">
      <c r="A724" s="396" t="s">
        <v>4591</v>
      </c>
      <c r="B724" s="394" t="s">
        <v>395</v>
      </c>
      <c r="C724" s="394" t="s">
        <v>4592</v>
      </c>
      <c r="D724" s="394" t="s">
        <v>1039</v>
      </c>
      <c r="E724" s="395" t="s">
        <v>4</v>
      </c>
      <c r="F724" s="396" t="s">
        <v>5269</v>
      </c>
      <c r="G724" s="396" t="s">
        <v>781</v>
      </c>
      <c r="H724" s="396" t="s">
        <v>7126</v>
      </c>
      <c r="I724" s="396" t="s">
        <v>781</v>
      </c>
      <c r="J724" s="396" t="s">
        <v>7126</v>
      </c>
      <c r="K724" s="396" t="s">
        <v>781</v>
      </c>
      <c r="L724" s="397">
        <v>18.95</v>
      </c>
      <c r="M724" s="396" t="s">
        <v>4599</v>
      </c>
      <c r="N724" s="397">
        <v>577946.2785743</v>
      </c>
      <c r="O724" s="396" t="s">
        <v>4628</v>
      </c>
    </row>
    <row r="725" spans="1:15" x14ac:dyDescent="0.4">
      <c r="A725" s="396" t="s">
        <v>4574</v>
      </c>
      <c r="B725" s="394" t="s">
        <v>395</v>
      </c>
      <c r="C725" s="394" t="s">
        <v>4575</v>
      </c>
      <c r="D725" s="394" t="s">
        <v>1039</v>
      </c>
      <c r="E725" s="395" t="s">
        <v>3</v>
      </c>
      <c r="F725" s="396" t="s">
        <v>5493</v>
      </c>
      <c r="G725" s="396" t="s">
        <v>781</v>
      </c>
      <c r="H725" s="396" t="s">
        <v>7127</v>
      </c>
      <c r="I725" s="396" t="s">
        <v>781</v>
      </c>
      <c r="J725" s="396" t="s">
        <v>7128</v>
      </c>
      <c r="K725" s="396" t="s">
        <v>781</v>
      </c>
      <c r="L725" s="397">
        <v>18.878399999999999</v>
      </c>
      <c r="M725" s="396" t="s">
        <v>4599</v>
      </c>
      <c r="N725" s="397">
        <v>577965.15697430004</v>
      </c>
      <c r="O725" s="396" t="s">
        <v>4631</v>
      </c>
    </row>
    <row r="726" spans="1:15" ht="26.4" x14ac:dyDescent="0.4">
      <c r="A726" s="396" t="s">
        <v>1058</v>
      </c>
      <c r="B726" s="394" t="s">
        <v>5902</v>
      </c>
      <c r="C726" s="394" t="s">
        <v>1059</v>
      </c>
      <c r="D726" s="394" t="s">
        <v>1039</v>
      </c>
      <c r="E726" s="395" t="s">
        <v>380</v>
      </c>
      <c r="F726" s="396" t="s">
        <v>5269</v>
      </c>
      <c r="G726" s="396" t="s">
        <v>781</v>
      </c>
      <c r="H726" s="396" t="s">
        <v>7129</v>
      </c>
      <c r="I726" s="396" t="s">
        <v>781</v>
      </c>
      <c r="J726" s="396" t="s">
        <v>7129</v>
      </c>
      <c r="K726" s="396" t="s">
        <v>781</v>
      </c>
      <c r="L726" s="397">
        <v>18.760000000000002</v>
      </c>
      <c r="M726" s="396" t="s">
        <v>4599</v>
      </c>
      <c r="N726" s="397">
        <v>577983.91697430005</v>
      </c>
      <c r="O726" s="396" t="s">
        <v>4631</v>
      </c>
    </row>
    <row r="727" spans="1:15" x14ac:dyDescent="0.4">
      <c r="A727" s="396" t="s">
        <v>4580</v>
      </c>
      <c r="B727" s="394" t="s">
        <v>395</v>
      </c>
      <c r="C727" s="394" t="s">
        <v>4581</v>
      </c>
      <c r="D727" s="394" t="s">
        <v>1039</v>
      </c>
      <c r="E727" s="395" t="s">
        <v>3</v>
      </c>
      <c r="F727" s="396" t="s">
        <v>5494</v>
      </c>
      <c r="G727" s="396" t="s">
        <v>781</v>
      </c>
      <c r="H727" s="396" t="s">
        <v>7130</v>
      </c>
      <c r="I727" s="396" t="s">
        <v>781</v>
      </c>
      <c r="J727" s="396" t="s">
        <v>7131</v>
      </c>
      <c r="K727" s="396" t="s">
        <v>781</v>
      </c>
      <c r="L727" s="397">
        <v>18.703600000000002</v>
      </c>
      <c r="M727" s="396" t="s">
        <v>4599</v>
      </c>
      <c r="N727" s="397">
        <v>578002.62057429994</v>
      </c>
      <c r="O727" s="396" t="s">
        <v>4631</v>
      </c>
    </row>
    <row r="728" spans="1:15" x14ac:dyDescent="0.4">
      <c r="A728" s="396" t="s">
        <v>7132</v>
      </c>
      <c r="B728" s="394" t="s">
        <v>408</v>
      </c>
      <c r="C728" s="394" t="s">
        <v>7133</v>
      </c>
      <c r="D728" s="394" t="s">
        <v>1053</v>
      </c>
      <c r="E728" s="395" t="s">
        <v>6</v>
      </c>
      <c r="F728" s="396" t="s">
        <v>7134</v>
      </c>
      <c r="G728" s="396" t="s">
        <v>781</v>
      </c>
      <c r="H728" s="396" t="s">
        <v>6209</v>
      </c>
      <c r="I728" s="396" t="s">
        <v>781</v>
      </c>
      <c r="J728" s="396" t="s">
        <v>7135</v>
      </c>
      <c r="K728" s="396" t="s">
        <v>781</v>
      </c>
      <c r="L728" s="397">
        <v>18.6111</v>
      </c>
      <c r="M728" s="396" t="s">
        <v>4599</v>
      </c>
      <c r="N728" s="397">
        <v>578021.23167430004</v>
      </c>
      <c r="O728" s="396" t="s">
        <v>4636</v>
      </c>
    </row>
    <row r="729" spans="1:15" x14ac:dyDescent="0.4">
      <c r="A729" s="396" t="s">
        <v>3070</v>
      </c>
      <c r="B729" s="394" t="s">
        <v>408</v>
      </c>
      <c r="C729" s="394" t="s">
        <v>3071</v>
      </c>
      <c r="D729" s="394" t="s">
        <v>1039</v>
      </c>
      <c r="E729" s="395" t="s">
        <v>4</v>
      </c>
      <c r="F729" s="396" t="s">
        <v>5273</v>
      </c>
      <c r="G729" s="396" t="s">
        <v>781</v>
      </c>
      <c r="H729" s="396" t="s">
        <v>7136</v>
      </c>
      <c r="I729" s="396" t="s">
        <v>781</v>
      </c>
      <c r="J729" s="396" t="s">
        <v>5383</v>
      </c>
      <c r="K729" s="396" t="s">
        <v>781</v>
      </c>
      <c r="L729" s="397">
        <v>18.600000000000001</v>
      </c>
      <c r="M729" s="396" t="s">
        <v>4599</v>
      </c>
      <c r="N729" s="397">
        <v>578039.83167430002</v>
      </c>
      <c r="O729" s="396" t="s">
        <v>4636</v>
      </c>
    </row>
    <row r="730" spans="1:15" x14ac:dyDescent="0.4">
      <c r="A730" s="396" t="s">
        <v>1060</v>
      </c>
      <c r="B730" s="394" t="s">
        <v>408</v>
      </c>
      <c r="C730" s="394" t="s">
        <v>1061</v>
      </c>
      <c r="D730" s="394" t="s">
        <v>1039</v>
      </c>
      <c r="E730" s="395" t="s">
        <v>4</v>
      </c>
      <c r="F730" s="396" t="s">
        <v>5269</v>
      </c>
      <c r="G730" s="396" t="s">
        <v>781</v>
      </c>
      <c r="H730" s="396" t="s">
        <v>5455</v>
      </c>
      <c r="I730" s="396" t="s">
        <v>781</v>
      </c>
      <c r="J730" s="396" t="s">
        <v>5455</v>
      </c>
      <c r="K730" s="396" t="s">
        <v>781</v>
      </c>
      <c r="L730" s="397">
        <v>18.579999999999998</v>
      </c>
      <c r="M730" s="396" t="s">
        <v>4599</v>
      </c>
      <c r="N730" s="397">
        <v>578058.41167429998</v>
      </c>
      <c r="O730" s="396" t="s">
        <v>4636</v>
      </c>
    </row>
    <row r="731" spans="1:15" x14ac:dyDescent="0.4">
      <c r="A731" s="396" t="s">
        <v>1295</v>
      </c>
      <c r="B731" s="394" t="s">
        <v>408</v>
      </c>
      <c r="C731" s="394" t="s">
        <v>1296</v>
      </c>
      <c r="D731" s="394" t="s">
        <v>1039</v>
      </c>
      <c r="E731" s="395" t="s">
        <v>3</v>
      </c>
      <c r="F731" s="396" t="s">
        <v>5565</v>
      </c>
      <c r="G731" s="396" t="s">
        <v>781</v>
      </c>
      <c r="H731" s="396" t="s">
        <v>7137</v>
      </c>
      <c r="I731" s="396" t="s">
        <v>781</v>
      </c>
      <c r="J731" s="396" t="s">
        <v>7138</v>
      </c>
      <c r="K731" s="396" t="s">
        <v>781</v>
      </c>
      <c r="L731" s="397">
        <v>18.521360000000001</v>
      </c>
      <c r="M731" s="396" t="s">
        <v>4599</v>
      </c>
      <c r="N731" s="397">
        <v>578076.93303429999</v>
      </c>
      <c r="O731" s="396" t="s">
        <v>4637</v>
      </c>
    </row>
    <row r="732" spans="1:15" x14ac:dyDescent="0.4">
      <c r="A732" s="396" t="s">
        <v>1350</v>
      </c>
      <c r="B732" s="394" t="s">
        <v>575</v>
      </c>
      <c r="C732" s="394" t="s">
        <v>583</v>
      </c>
      <c r="D732" s="394" t="s">
        <v>1039</v>
      </c>
      <c r="E732" s="395" t="s">
        <v>582</v>
      </c>
      <c r="F732" s="396" t="s">
        <v>5269</v>
      </c>
      <c r="G732" s="396" t="s">
        <v>781</v>
      </c>
      <c r="H732" s="396" t="s">
        <v>9417</v>
      </c>
      <c r="I732" s="396" t="s">
        <v>781</v>
      </c>
      <c r="J732" s="396" t="s">
        <v>9417</v>
      </c>
      <c r="K732" s="396" t="s">
        <v>781</v>
      </c>
      <c r="L732" s="397">
        <v>18.510000000000002</v>
      </c>
      <c r="M732" s="396" t="s">
        <v>4599</v>
      </c>
      <c r="N732" s="397">
        <v>578095.4430343</v>
      </c>
      <c r="O732" s="396" t="s">
        <v>4637</v>
      </c>
    </row>
    <row r="733" spans="1:15" x14ac:dyDescent="0.4">
      <c r="A733" s="396" t="s">
        <v>2566</v>
      </c>
      <c r="B733" s="394" t="s">
        <v>575</v>
      </c>
      <c r="C733" s="394" t="s">
        <v>2023</v>
      </c>
      <c r="D733" s="394" t="s">
        <v>1039</v>
      </c>
      <c r="E733" s="395" t="s">
        <v>4</v>
      </c>
      <c r="F733" s="396" t="s">
        <v>5269</v>
      </c>
      <c r="G733" s="396" t="s">
        <v>781</v>
      </c>
      <c r="H733" s="396" t="s">
        <v>7581</v>
      </c>
      <c r="I733" s="396" t="s">
        <v>781</v>
      </c>
      <c r="J733" s="396" t="s">
        <v>7581</v>
      </c>
      <c r="K733" s="396" t="s">
        <v>781</v>
      </c>
      <c r="L733" s="397">
        <v>18.45</v>
      </c>
      <c r="M733" s="396" t="s">
        <v>4599</v>
      </c>
      <c r="N733" s="397">
        <v>578113.89303429995</v>
      </c>
      <c r="O733" s="396" t="s">
        <v>4637</v>
      </c>
    </row>
    <row r="734" spans="1:15" ht="26.4" x14ac:dyDescent="0.4">
      <c r="A734" s="396" t="s">
        <v>4629</v>
      </c>
      <c r="B734" s="394" t="s">
        <v>395</v>
      </c>
      <c r="C734" s="394" t="s">
        <v>4630</v>
      </c>
      <c r="D734" s="394" t="s">
        <v>1039</v>
      </c>
      <c r="E734" s="395" t="s">
        <v>4</v>
      </c>
      <c r="F734" s="396" t="s">
        <v>5269</v>
      </c>
      <c r="G734" s="396" t="s">
        <v>781</v>
      </c>
      <c r="H734" s="396" t="s">
        <v>7139</v>
      </c>
      <c r="I734" s="396" t="s">
        <v>781</v>
      </c>
      <c r="J734" s="396" t="s">
        <v>7139</v>
      </c>
      <c r="K734" s="396" t="s">
        <v>781</v>
      </c>
      <c r="L734" s="397">
        <v>18.43</v>
      </c>
      <c r="M734" s="396" t="s">
        <v>4599</v>
      </c>
      <c r="N734" s="397">
        <v>578132.3230343</v>
      </c>
      <c r="O734" s="396" t="s">
        <v>4642</v>
      </c>
    </row>
    <row r="735" spans="1:15" x14ac:dyDescent="0.4">
      <c r="A735" s="396" t="s">
        <v>1271</v>
      </c>
      <c r="B735" s="394" t="s">
        <v>436</v>
      </c>
      <c r="C735" s="394" t="s">
        <v>1272</v>
      </c>
      <c r="D735" s="394" t="s">
        <v>1039</v>
      </c>
      <c r="E735" s="395" t="s">
        <v>4</v>
      </c>
      <c r="F735" s="396" t="s">
        <v>5269</v>
      </c>
      <c r="G735" s="396" t="s">
        <v>781</v>
      </c>
      <c r="H735" s="396" t="s">
        <v>9418</v>
      </c>
      <c r="I735" s="396" t="s">
        <v>781</v>
      </c>
      <c r="J735" s="396" t="s">
        <v>9418</v>
      </c>
      <c r="K735" s="396" t="s">
        <v>781</v>
      </c>
      <c r="L735" s="397">
        <v>18.39</v>
      </c>
      <c r="M735" s="396" t="s">
        <v>4599</v>
      </c>
      <c r="N735" s="397">
        <v>578150.71303430002</v>
      </c>
      <c r="O735" s="396" t="s">
        <v>4642</v>
      </c>
    </row>
    <row r="736" spans="1:15" ht="39.6" x14ac:dyDescent="0.4">
      <c r="A736" s="396" t="s">
        <v>1202</v>
      </c>
      <c r="B736" s="394" t="s">
        <v>5902</v>
      </c>
      <c r="C736" s="394" t="s">
        <v>1203</v>
      </c>
      <c r="D736" s="394" t="s">
        <v>1039</v>
      </c>
      <c r="E736" s="395" t="s">
        <v>7</v>
      </c>
      <c r="F736" s="396" t="s">
        <v>5345</v>
      </c>
      <c r="G736" s="396" t="s">
        <v>781</v>
      </c>
      <c r="H736" s="396" t="s">
        <v>7141</v>
      </c>
      <c r="I736" s="396" t="s">
        <v>781</v>
      </c>
      <c r="J736" s="396" t="s">
        <v>7142</v>
      </c>
      <c r="K736" s="396" t="s">
        <v>781</v>
      </c>
      <c r="L736" s="397">
        <v>18.288599999999999</v>
      </c>
      <c r="M736" s="396" t="s">
        <v>4599</v>
      </c>
      <c r="N736" s="397">
        <v>578169.00163429999</v>
      </c>
      <c r="O736" s="396" t="s">
        <v>4642</v>
      </c>
    </row>
    <row r="737" spans="1:15" x14ac:dyDescent="0.4">
      <c r="A737" s="396" t="s">
        <v>9419</v>
      </c>
      <c r="B737" s="394" t="s">
        <v>439</v>
      </c>
      <c r="C737" s="394" t="s">
        <v>9420</v>
      </c>
      <c r="D737" s="394" t="s">
        <v>1039</v>
      </c>
      <c r="E737" s="395" t="s">
        <v>2627</v>
      </c>
      <c r="F737" s="396" t="s">
        <v>5269</v>
      </c>
      <c r="G737" s="396" t="s">
        <v>781</v>
      </c>
      <c r="H737" s="396" t="s">
        <v>6503</v>
      </c>
      <c r="I737" s="396" t="s">
        <v>781</v>
      </c>
      <c r="J737" s="396" t="s">
        <v>6503</v>
      </c>
      <c r="K737" s="396" t="s">
        <v>781</v>
      </c>
      <c r="L737" s="397">
        <v>18.28</v>
      </c>
      <c r="M737" s="396" t="s">
        <v>4599</v>
      </c>
      <c r="N737" s="397">
        <v>578187.28163430002</v>
      </c>
      <c r="O737" s="396" t="s">
        <v>4645</v>
      </c>
    </row>
    <row r="738" spans="1:15" ht="26.4" x14ac:dyDescent="0.4">
      <c r="A738" s="396" t="s">
        <v>2457</v>
      </c>
      <c r="B738" s="394" t="s">
        <v>5902</v>
      </c>
      <c r="C738" s="394" t="s">
        <v>2458</v>
      </c>
      <c r="D738" s="394" t="s">
        <v>1039</v>
      </c>
      <c r="E738" s="395" t="s">
        <v>7</v>
      </c>
      <c r="F738" s="396" t="s">
        <v>5323</v>
      </c>
      <c r="G738" s="396" t="s">
        <v>781</v>
      </c>
      <c r="H738" s="396" t="s">
        <v>7143</v>
      </c>
      <c r="I738" s="396" t="s">
        <v>781</v>
      </c>
      <c r="J738" s="396" t="s">
        <v>7144</v>
      </c>
      <c r="K738" s="396" t="s">
        <v>781</v>
      </c>
      <c r="L738" s="397">
        <v>18.259499999999999</v>
      </c>
      <c r="M738" s="396" t="s">
        <v>4599</v>
      </c>
      <c r="N738" s="397">
        <v>578205.54113429994</v>
      </c>
      <c r="O738" s="396" t="s">
        <v>4645</v>
      </c>
    </row>
    <row r="739" spans="1:15" ht="26.4" x14ac:dyDescent="0.4">
      <c r="A739" s="396" t="s">
        <v>4548</v>
      </c>
      <c r="B739" s="394" t="s">
        <v>395</v>
      </c>
      <c r="C739" s="394" t="s">
        <v>4549</v>
      </c>
      <c r="D739" s="394" t="s">
        <v>1039</v>
      </c>
      <c r="E739" s="395" t="s">
        <v>4</v>
      </c>
      <c r="F739" s="396" t="s">
        <v>5273</v>
      </c>
      <c r="G739" s="396" t="s">
        <v>781</v>
      </c>
      <c r="H739" s="396" t="s">
        <v>7145</v>
      </c>
      <c r="I739" s="396" t="s">
        <v>781</v>
      </c>
      <c r="J739" s="396" t="s">
        <v>7146</v>
      </c>
      <c r="K739" s="396" t="s">
        <v>781</v>
      </c>
      <c r="L739" s="397">
        <v>18.16</v>
      </c>
      <c r="M739" s="396" t="s">
        <v>4599</v>
      </c>
      <c r="N739" s="397">
        <v>578223.70113429998</v>
      </c>
      <c r="O739" s="396" t="s">
        <v>4645</v>
      </c>
    </row>
    <row r="740" spans="1:15" x14ac:dyDescent="0.4">
      <c r="A740" s="396" t="s">
        <v>1443</v>
      </c>
      <c r="B740" s="394" t="s">
        <v>408</v>
      </c>
      <c r="C740" s="394" t="s">
        <v>1444</v>
      </c>
      <c r="D740" s="394" t="s">
        <v>1039</v>
      </c>
      <c r="E740" s="395" t="s">
        <v>3</v>
      </c>
      <c r="F740" s="396" t="s">
        <v>9421</v>
      </c>
      <c r="G740" s="396" t="s">
        <v>781</v>
      </c>
      <c r="H740" s="396" t="s">
        <v>7159</v>
      </c>
      <c r="I740" s="396" t="s">
        <v>781</v>
      </c>
      <c r="J740" s="396" t="s">
        <v>9422</v>
      </c>
      <c r="K740" s="396" t="s">
        <v>781</v>
      </c>
      <c r="L740" s="397">
        <v>18.142399999999999</v>
      </c>
      <c r="M740" s="396" t="s">
        <v>4599</v>
      </c>
      <c r="N740" s="397">
        <v>578241.84353429999</v>
      </c>
      <c r="O740" s="396" t="s">
        <v>4652</v>
      </c>
    </row>
    <row r="741" spans="1:15" ht="26.4" x14ac:dyDescent="0.4">
      <c r="A741" s="396" t="s">
        <v>7147</v>
      </c>
      <c r="B741" s="394" t="s">
        <v>5902</v>
      </c>
      <c r="C741" s="394" t="s">
        <v>7148</v>
      </c>
      <c r="D741" s="394" t="s">
        <v>1039</v>
      </c>
      <c r="E741" s="395" t="s">
        <v>3</v>
      </c>
      <c r="F741" s="396" t="s">
        <v>5305</v>
      </c>
      <c r="G741" s="396" t="s">
        <v>781</v>
      </c>
      <c r="H741" s="396" t="s">
        <v>6697</v>
      </c>
      <c r="I741" s="396" t="s">
        <v>781</v>
      </c>
      <c r="J741" s="396" t="s">
        <v>5279</v>
      </c>
      <c r="K741" s="396" t="s">
        <v>781</v>
      </c>
      <c r="L741" s="397">
        <v>18</v>
      </c>
      <c r="M741" s="396" t="s">
        <v>4599</v>
      </c>
      <c r="N741" s="397">
        <v>578259.84353429999</v>
      </c>
      <c r="O741" s="396" t="s">
        <v>4652</v>
      </c>
    </row>
    <row r="742" spans="1:15" ht="26.4" x14ac:dyDescent="0.4">
      <c r="A742" s="396" t="s">
        <v>1316</v>
      </c>
      <c r="B742" s="394" t="s">
        <v>395</v>
      </c>
      <c r="C742" s="394" t="s">
        <v>255</v>
      </c>
      <c r="D742" s="394" t="s">
        <v>1039</v>
      </c>
      <c r="E742" s="395" t="s">
        <v>3</v>
      </c>
      <c r="F742" s="396" t="s">
        <v>5515</v>
      </c>
      <c r="G742" s="396" t="s">
        <v>781</v>
      </c>
      <c r="H742" s="396" t="s">
        <v>7149</v>
      </c>
      <c r="I742" s="396" t="s">
        <v>781</v>
      </c>
      <c r="J742" s="396" t="s">
        <v>5398</v>
      </c>
      <c r="K742" s="396" t="s">
        <v>781</v>
      </c>
      <c r="L742" s="397">
        <v>17.954999999999998</v>
      </c>
      <c r="M742" s="396" t="s">
        <v>4599</v>
      </c>
      <c r="N742" s="397">
        <v>578277.79853429995</v>
      </c>
      <c r="O742" s="396" t="s">
        <v>4652</v>
      </c>
    </row>
    <row r="743" spans="1:15" ht="26.4" x14ac:dyDescent="0.4">
      <c r="A743" s="396" t="s">
        <v>4597</v>
      </c>
      <c r="B743" s="394" t="s">
        <v>395</v>
      </c>
      <c r="C743" s="394" t="s">
        <v>4598</v>
      </c>
      <c r="D743" s="394" t="s">
        <v>1039</v>
      </c>
      <c r="E743" s="395" t="s">
        <v>4</v>
      </c>
      <c r="F743" s="396" t="s">
        <v>5269</v>
      </c>
      <c r="G743" s="396" t="s">
        <v>781</v>
      </c>
      <c r="H743" s="396" t="s">
        <v>7150</v>
      </c>
      <c r="I743" s="396" t="s">
        <v>781</v>
      </c>
      <c r="J743" s="396" t="s">
        <v>7150</v>
      </c>
      <c r="K743" s="396" t="s">
        <v>781</v>
      </c>
      <c r="L743" s="397">
        <v>17.95</v>
      </c>
      <c r="M743" s="396" t="s">
        <v>4599</v>
      </c>
      <c r="N743" s="397">
        <v>578295.74853430002</v>
      </c>
      <c r="O743" s="396" t="s">
        <v>4655</v>
      </c>
    </row>
    <row r="744" spans="1:15" x14ac:dyDescent="0.4">
      <c r="A744" s="396" t="s">
        <v>2542</v>
      </c>
      <c r="B744" s="394" t="s">
        <v>420</v>
      </c>
      <c r="C744" s="394" t="s">
        <v>2543</v>
      </c>
      <c r="D744" s="394" t="s">
        <v>1039</v>
      </c>
      <c r="E744" s="395" t="s">
        <v>422</v>
      </c>
      <c r="F744" s="396" t="s">
        <v>5269</v>
      </c>
      <c r="G744" s="396" t="s">
        <v>781</v>
      </c>
      <c r="H744" s="396" t="s">
        <v>7151</v>
      </c>
      <c r="I744" s="396" t="s">
        <v>781</v>
      </c>
      <c r="J744" s="396" t="s">
        <v>7151</v>
      </c>
      <c r="K744" s="396" t="s">
        <v>781</v>
      </c>
      <c r="L744" s="397">
        <v>17.79</v>
      </c>
      <c r="M744" s="396" t="s">
        <v>4599</v>
      </c>
      <c r="N744" s="397">
        <v>578313.53853430005</v>
      </c>
      <c r="O744" s="396" t="s">
        <v>4655</v>
      </c>
    </row>
    <row r="745" spans="1:15" x14ac:dyDescent="0.4">
      <c r="A745" s="396" t="s">
        <v>1514</v>
      </c>
      <c r="B745" s="394" t="s">
        <v>420</v>
      </c>
      <c r="C745" s="394" t="s">
        <v>1515</v>
      </c>
      <c r="D745" s="394" t="s">
        <v>1039</v>
      </c>
      <c r="E745" s="395" t="s">
        <v>1249</v>
      </c>
      <c r="F745" s="396" t="s">
        <v>5523</v>
      </c>
      <c r="G745" s="396" t="s">
        <v>781</v>
      </c>
      <c r="H745" s="396" t="s">
        <v>9423</v>
      </c>
      <c r="I745" s="396" t="s">
        <v>781</v>
      </c>
      <c r="J745" s="396" t="s">
        <v>9424</v>
      </c>
      <c r="K745" s="396" t="s">
        <v>781</v>
      </c>
      <c r="L745" s="397">
        <v>17.761700000000001</v>
      </c>
      <c r="M745" s="396" t="s">
        <v>4599</v>
      </c>
      <c r="N745" s="397">
        <v>578331.30023429997</v>
      </c>
      <c r="O745" s="396" t="s">
        <v>4655</v>
      </c>
    </row>
    <row r="746" spans="1:15" ht="39.6" x14ac:dyDescent="0.4">
      <c r="A746" s="396" t="s">
        <v>9425</v>
      </c>
      <c r="B746" s="394" t="s">
        <v>8393</v>
      </c>
      <c r="C746" s="394" t="s">
        <v>9426</v>
      </c>
      <c r="D746" s="394" t="s">
        <v>1053</v>
      </c>
      <c r="E746" s="395" t="s">
        <v>1070</v>
      </c>
      <c r="F746" s="396" t="s">
        <v>5555</v>
      </c>
      <c r="G746" s="396" t="s">
        <v>781</v>
      </c>
      <c r="H746" s="396" t="s">
        <v>7356</v>
      </c>
      <c r="I746" s="396" t="s">
        <v>781</v>
      </c>
      <c r="J746" s="396" t="s">
        <v>9427</v>
      </c>
      <c r="K746" s="396" t="s">
        <v>781</v>
      </c>
      <c r="L746" s="397">
        <v>17.523</v>
      </c>
      <c r="M746" s="396" t="s">
        <v>4599</v>
      </c>
      <c r="N746" s="397">
        <v>578348.82323430001</v>
      </c>
      <c r="O746" s="396" t="s">
        <v>4655</v>
      </c>
    </row>
    <row r="747" spans="1:15" x14ac:dyDescent="0.4">
      <c r="A747" s="396" t="s">
        <v>2561</v>
      </c>
      <c r="B747" s="394" t="s">
        <v>408</v>
      </c>
      <c r="C747" s="394" t="s">
        <v>2010</v>
      </c>
      <c r="D747" s="394" t="s">
        <v>1039</v>
      </c>
      <c r="E747" s="395" t="s">
        <v>675</v>
      </c>
      <c r="F747" s="396" t="s">
        <v>5323</v>
      </c>
      <c r="G747" s="396" t="s">
        <v>781</v>
      </c>
      <c r="H747" s="396" t="s">
        <v>7152</v>
      </c>
      <c r="I747" s="396" t="s">
        <v>781</v>
      </c>
      <c r="J747" s="396" t="s">
        <v>5815</v>
      </c>
      <c r="K747" s="396" t="s">
        <v>781</v>
      </c>
      <c r="L747" s="397">
        <v>17.503499999999999</v>
      </c>
      <c r="M747" s="396" t="s">
        <v>4599</v>
      </c>
      <c r="N747" s="397">
        <v>578366.3267343</v>
      </c>
      <c r="O747" s="396" t="s">
        <v>4656</v>
      </c>
    </row>
    <row r="748" spans="1:15" x14ac:dyDescent="0.4">
      <c r="A748" s="396" t="s">
        <v>4410</v>
      </c>
      <c r="B748" s="394" t="s">
        <v>395</v>
      </c>
      <c r="C748" s="394" t="s">
        <v>4411</v>
      </c>
      <c r="D748" s="394" t="s">
        <v>1039</v>
      </c>
      <c r="E748" s="395" t="s">
        <v>4</v>
      </c>
      <c r="F748" s="396" t="s">
        <v>7153</v>
      </c>
      <c r="G748" s="396" t="s">
        <v>781</v>
      </c>
      <c r="H748" s="396" t="s">
        <v>7154</v>
      </c>
      <c r="I748" s="396" t="s">
        <v>781</v>
      </c>
      <c r="J748" s="396" t="s">
        <v>7155</v>
      </c>
      <c r="K748" s="396" t="s">
        <v>781</v>
      </c>
      <c r="L748" s="397">
        <v>17.416160000000001</v>
      </c>
      <c r="M748" s="396" t="s">
        <v>4599</v>
      </c>
      <c r="N748" s="397">
        <v>578383.74289430003</v>
      </c>
      <c r="O748" s="396" t="s">
        <v>4656</v>
      </c>
    </row>
    <row r="749" spans="1:15" x14ac:dyDescent="0.4">
      <c r="A749" s="396" t="s">
        <v>7156</v>
      </c>
      <c r="B749" s="394" t="s">
        <v>408</v>
      </c>
      <c r="C749" s="394" t="s">
        <v>7157</v>
      </c>
      <c r="D749" s="394" t="s">
        <v>1053</v>
      </c>
      <c r="E749" s="395" t="s">
        <v>6</v>
      </c>
      <c r="F749" s="396" t="s">
        <v>5558</v>
      </c>
      <c r="G749" s="396" t="s">
        <v>781</v>
      </c>
      <c r="H749" s="396" t="s">
        <v>6209</v>
      </c>
      <c r="I749" s="396" t="s">
        <v>781</v>
      </c>
      <c r="J749" s="396" t="s">
        <v>7143</v>
      </c>
      <c r="K749" s="396" t="s">
        <v>781</v>
      </c>
      <c r="L749" s="397">
        <v>17.390699999999999</v>
      </c>
      <c r="M749" s="396" t="s">
        <v>4599</v>
      </c>
      <c r="N749" s="397">
        <v>578401.13359430002</v>
      </c>
      <c r="O749" s="396" t="s">
        <v>4656</v>
      </c>
    </row>
    <row r="750" spans="1:15" ht="26.4" x14ac:dyDescent="0.4">
      <c r="A750" s="396" t="s">
        <v>2333</v>
      </c>
      <c r="B750" s="394" t="s">
        <v>5902</v>
      </c>
      <c r="C750" s="394" t="s">
        <v>2334</v>
      </c>
      <c r="D750" s="394" t="s">
        <v>1039</v>
      </c>
      <c r="E750" s="395" t="s">
        <v>3</v>
      </c>
      <c r="F750" s="396" t="s">
        <v>5273</v>
      </c>
      <c r="G750" s="396" t="s">
        <v>781</v>
      </c>
      <c r="H750" s="396" t="s">
        <v>7158</v>
      </c>
      <c r="I750" s="396" t="s">
        <v>781</v>
      </c>
      <c r="J750" s="396" t="s">
        <v>5525</v>
      </c>
      <c r="K750" s="396" t="s">
        <v>781</v>
      </c>
      <c r="L750" s="397">
        <v>17.100000000000001</v>
      </c>
      <c r="M750" s="396" t="s">
        <v>4599</v>
      </c>
      <c r="N750" s="397">
        <v>578418.23359429999</v>
      </c>
      <c r="O750" s="396" t="s">
        <v>4663</v>
      </c>
    </row>
    <row r="751" spans="1:15" x14ac:dyDescent="0.4">
      <c r="A751" s="396" t="s">
        <v>4626</v>
      </c>
      <c r="B751" s="394" t="s">
        <v>395</v>
      </c>
      <c r="C751" s="394" t="s">
        <v>4627</v>
      </c>
      <c r="D751" s="394" t="s">
        <v>1039</v>
      </c>
      <c r="E751" s="395" t="s">
        <v>7</v>
      </c>
      <c r="F751" s="396" t="s">
        <v>6827</v>
      </c>
      <c r="G751" s="396" t="s">
        <v>781</v>
      </c>
      <c r="H751" s="396" t="s">
        <v>5533</v>
      </c>
      <c r="I751" s="396" t="s">
        <v>781</v>
      </c>
      <c r="J751" s="396" t="s">
        <v>7160</v>
      </c>
      <c r="K751" s="396" t="s">
        <v>781</v>
      </c>
      <c r="L751" s="397">
        <v>16.967181</v>
      </c>
      <c r="M751" s="396" t="s">
        <v>4599</v>
      </c>
      <c r="N751" s="397">
        <v>578435.20077530004</v>
      </c>
      <c r="O751" s="396" t="s">
        <v>4663</v>
      </c>
    </row>
    <row r="752" spans="1:15" x14ac:dyDescent="0.4">
      <c r="A752" s="396" t="s">
        <v>1337</v>
      </c>
      <c r="B752" s="394" t="s">
        <v>395</v>
      </c>
      <c r="C752" s="394" t="s">
        <v>382</v>
      </c>
      <c r="D752" s="394" t="s">
        <v>1039</v>
      </c>
      <c r="E752" s="395" t="s">
        <v>4</v>
      </c>
      <c r="F752" s="396" t="s">
        <v>5334</v>
      </c>
      <c r="G752" s="396" t="s">
        <v>781</v>
      </c>
      <c r="H752" s="396" t="s">
        <v>5662</v>
      </c>
      <c r="I752" s="396" t="s">
        <v>781</v>
      </c>
      <c r="J752" s="396" t="s">
        <v>5528</v>
      </c>
      <c r="K752" s="396" t="s">
        <v>781</v>
      </c>
      <c r="L752" s="397">
        <v>16.899999999999999</v>
      </c>
      <c r="M752" s="396" t="s">
        <v>4599</v>
      </c>
      <c r="N752" s="397">
        <v>578452.10077529994</v>
      </c>
      <c r="O752" s="396" t="s">
        <v>4663</v>
      </c>
    </row>
    <row r="753" spans="1:15" ht="26.4" x14ac:dyDescent="0.4">
      <c r="A753" s="396" t="s">
        <v>2589</v>
      </c>
      <c r="B753" s="394" t="s">
        <v>575</v>
      </c>
      <c r="C753" s="394" t="s">
        <v>282</v>
      </c>
      <c r="D753" s="394" t="s">
        <v>1039</v>
      </c>
      <c r="E753" s="395" t="s">
        <v>422</v>
      </c>
      <c r="F753" s="396" t="s">
        <v>5269</v>
      </c>
      <c r="G753" s="396" t="s">
        <v>781</v>
      </c>
      <c r="H753" s="396" t="s">
        <v>5528</v>
      </c>
      <c r="I753" s="396" t="s">
        <v>781</v>
      </c>
      <c r="J753" s="396" t="s">
        <v>5528</v>
      </c>
      <c r="K753" s="396" t="s">
        <v>781</v>
      </c>
      <c r="L753" s="397">
        <v>16.899999999999999</v>
      </c>
      <c r="M753" s="396" t="s">
        <v>4599</v>
      </c>
      <c r="N753" s="397">
        <v>578469.00077529997</v>
      </c>
      <c r="O753" s="396" t="s">
        <v>4663</v>
      </c>
    </row>
    <row r="754" spans="1:15" ht="26.4" x14ac:dyDescent="0.4">
      <c r="A754" s="396" t="s">
        <v>7161</v>
      </c>
      <c r="B754" s="394" t="s">
        <v>5902</v>
      </c>
      <c r="C754" s="394" t="s">
        <v>7162</v>
      </c>
      <c r="D754" s="394" t="s">
        <v>1039</v>
      </c>
      <c r="E754" s="395" t="s">
        <v>675</v>
      </c>
      <c r="F754" s="396" t="s">
        <v>5534</v>
      </c>
      <c r="G754" s="396" t="s">
        <v>781</v>
      </c>
      <c r="H754" s="396" t="s">
        <v>7163</v>
      </c>
      <c r="I754" s="396" t="s">
        <v>781</v>
      </c>
      <c r="J754" s="396" t="s">
        <v>7164</v>
      </c>
      <c r="K754" s="396" t="s">
        <v>781</v>
      </c>
      <c r="L754" s="397">
        <v>16.886099999999999</v>
      </c>
      <c r="M754" s="396" t="s">
        <v>4599</v>
      </c>
      <c r="N754" s="397">
        <v>578485.88687529997</v>
      </c>
      <c r="O754" s="396" t="s">
        <v>4666</v>
      </c>
    </row>
    <row r="755" spans="1:15" x14ac:dyDescent="0.4">
      <c r="A755" s="396" t="s">
        <v>3194</v>
      </c>
      <c r="B755" s="394" t="s">
        <v>575</v>
      </c>
      <c r="C755" s="394" t="s">
        <v>2650</v>
      </c>
      <c r="D755" s="394" t="s">
        <v>1039</v>
      </c>
      <c r="E755" s="395" t="s">
        <v>4</v>
      </c>
      <c r="F755" s="396" t="s">
        <v>5269</v>
      </c>
      <c r="G755" s="396" t="s">
        <v>781</v>
      </c>
      <c r="H755" s="396" t="s">
        <v>7759</v>
      </c>
      <c r="I755" s="396" t="s">
        <v>781</v>
      </c>
      <c r="J755" s="396" t="s">
        <v>7759</v>
      </c>
      <c r="K755" s="396" t="s">
        <v>781</v>
      </c>
      <c r="L755" s="397">
        <v>16.82</v>
      </c>
      <c r="M755" s="396" t="s">
        <v>4599</v>
      </c>
      <c r="N755" s="397">
        <v>578502.70687530003</v>
      </c>
      <c r="O755" s="396" t="s">
        <v>4666</v>
      </c>
    </row>
    <row r="756" spans="1:15" ht="26.4" x14ac:dyDescent="0.4">
      <c r="A756" s="396" t="s">
        <v>4646</v>
      </c>
      <c r="B756" s="394" t="s">
        <v>395</v>
      </c>
      <c r="C756" s="394" t="s">
        <v>4647</v>
      </c>
      <c r="D756" s="394" t="s">
        <v>1039</v>
      </c>
      <c r="E756" s="395" t="s">
        <v>7</v>
      </c>
      <c r="F756" s="396" t="s">
        <v>7165</v>
      </c>
      <c r="G756" s="396" t="s">
        <v>781</v>
      </c>
      <c r="H756" s="396" t="s">
        <v>5535</v>
      </c>
      <c r="I756" s="396" t="s">
        <v>781</v>
      </c>
      <c r="J756" s="396" t="s">
        <v>5387</v>
      </c>
      <c r="K756" s="396" t="s">
        <v>781</v>
      </c>
      <c r="L756" s="397">
        <v>16.762360999999999</v>
      </c>
      <c r="M756" s="396" t="s">
        <v>4599</v>
      </c>
      <c r="N756" s="397">
        <v>578519.46923629998</v>
      </c>
      <c r="O756" s="396" t="s">
        <v>4666</v>
      </c>
    </row>
    <row r="757" spans="1:15" x14ac:dyDescent="0.4">
      <c r="A757" s="396" t="s">
        <v>9428</v>
      </c>
      <c r="B757" s="394" t="s">
        <v>408</v>
      </c>
      <c r="C757" s="394" t="s">
        <v>9429</v>
      </c>
      <c r="D757" s="394" t="s">
        <v>1039</v>
      </c>
      <c r="E757" s="395" t="s">
        <v>675</v>
      </c>
      <c r="F757" s="396" t="s">
        <v>5673</v>
      </c>
      <c r="G757" s="396" t="s">
        <v>781</v>
      </c>
      <c r="H757" s="396" t="s">
        <v>9430</v>
      </c>
      <c r="I757" s="396" t="s">
        <v>781</v>
      </c>
      <c r="J757" s="396" t="s">
        <v>9431</v>
      </c>
      <c r="K757" s="396" t="s">
        <v>781</v>
      </c>
      <c r="L757" s="397">
        <v>16.739999999999998</v>
      </c>
      <c r="M757" s="396" t="s">
        <v>4599</v>
      </c>
      <c r="N757" s="397">
        <v>578536.20923629997</v>
      </c>
      <c r="O757" s="396" t="s">
        <v>4669</v>
      </c>
    </row>
    <row r="758" spans="1:15" ht="26.4" x14ac:dyDescent="0.4">
      <c r="A758" s="396" t="s">
        <v>4657</v>
      </c>
      <c r="B758" s="394" t="s">
        <v>395</v>
      </c>
      <c r="C758" s="394" t="s">
        <v>4658</v>
      </c>
      <c r="D758" s="394" t="s">
        <v>1039</v>
      </c>
      <c r="E758" s="395" t="s">
        <v>4</v>
      </c>
      <c r="F758" s="396" t="s">
        <v>5284</v>
      </c>
      <c r="G758" s="396" t="s">
        <v>781</v>
      </c>
      <c r="H758" s="396" t="s">
        <v>7166</v>
      </c>
      <c r="I758" s="396" t="s">
        <v>781</v>
      </c>
      <c r="J758" s="396" t="s">
        <v>5451</v>
      </c>
      <c r="K758" s="396" t="s">
        <v>781</v>
      </c>
      <c r="L758" s="397">
        <v>16.649999999999999</v>
      </c>
      <c r="M758" s="396" t="s">
        <v>4599</v>
      </c>
      <c r="N758" s="397">
        <v>578552.85923629999</v>
      </c>
      <c r="O758" s="396" t="s">
        <v>4669</v>
      </c>
    </row>
    <row r="759" spans="1:15" x14ac:dyDescent="0.4">
      <c r="A759" s="396" t="s">
        <v>4765</v>
      </c>
      <c r="B759" s="394" t="s">
        <v>395</v>
      </c>
      <c r="C759" s="394" t="s">
        <v>4766</v>
      </c>
      <c r="D759" s="394" t="s">
        <v>1053</v>
      </c>
      <c r="E759" s="395" t="s">
        <v>6</v>
      </c>
      <c r="F759" s="396" t="s">
        <v>7167</v>
      </c>
      <c r="G759" s="396" t="s">
        <v>781</v>
      </c>
      <c r="H759" s="396" t="s">
        <v>7168</v>
      </c>
      <c r="I759" s="396" t="s">
        <v>781</v>
      </c>
      <c r="J759" s="396" t="s">
        <v>5530</v>
      </c>
      <c r="K759" s="396" t="s">
        <v>781</v>
      </c>
      <c r="L759" s="397">
        <v>16.586871519999999</v>
      </c>
      <c r="M759" s="396" t="s">
        <v>4599</v>
      </c>
      <c r="N759" s="397">
        <v>578569.4461078</v>
      </c>
      <c r="O759" s="396" t="s">
        <v>4669</v>
      </c>
    </row>
    <row r="760" spans="1:15" x14ac:dyDescent="0.4">
      <c r="A760" s="396" t="s">
        <v>3108</v>
      </c>
      <c r="B760" s="394" t="s">
        <v>408</v>
      </c>
      <c r="C760" s="394" t="s">
        <v>3109</v>
      </c>
      <c r="D760" s="394" t="s">
        <v>1039</v>
      </c>
      <c r="E760" s="395" t="s">
        <v>8</v>
      </c>
      <c r="F760" s="396" t="s">
        <v>5532</v>
      </c>
      <c r="G760" s="396" t="s">
        <v>781</v>
      </c>
      <c r="H760" s="396" t="s">
        <v>7169</v>
      </c>
      <c r="I760" s="396" t="s">
        <v>781</v>
      </c>
      <c r="J760" s="396" t="s">
        <v>7170</v>
      </c>
      <c r="K760" s="396" t="s">
        <v>781</v>
      </c>
      <c r="L760" s="397">
        <v>16.579599999999999</v>
      </c>
      <c r="M760" s="396" t="s">
        <v>4599</v>
      </c>
      <c r="N760" s="397">
        <v>578586.02570780006</v>
      </c>
      <c r="O760" s="396" t="s">
        <v>4669</v>
      </c>
    </row>
    <row r="761" spans="1:15" x14ac:dyDescent="0.4">
      <c r="A761" s="396" t="s">
        <v>2343</v>
      </c>
      <c r="B761" s="394" t="s">
        <v>408</v>
      </c>
      <c r="C761" s="394" t="s">
        <v>2344</v>
      </c>
      <c r="D761" s="394" t="s">
        <v>1039</v>
      </c>
      <c r="E761" s="395" t="s">
        <v>675</v>
      </c>
      <c r="F761" s="396" t="s">
        <v>5323</v>
      </c>
      <c r="G761" s="396" t="s">
        <v>781</v>
      </c>
      <c r="H761" s="396" t="s">
        <v>7171</v>
      </c>
      <c r="I761" s="396" t="s">
        <v>781</v>
      </c>
      <c r="J761" s="396" t="s">
        <v>7172</v>
      </c>
      <c r="K761" s="396" t="s">
        <v>781</v>
      </c>
      <c r="L761" s="397">
        <v>16.484999999999999</v>
      </c>
      <c r="M761" s="396" t="s">
        <v>4599</v>
      </c>
      <c r="N761" s="397">
        <v>578602.51070780004</v>
      </c>
      <c r="O761" s="396" t="s">
        <v>4674</v>
      </c>
    </row>
    <row r="762" spans="1:15" ht="26.4" x14ac:dyDescent="0.4">
      <c r="A762" s="396" t="s">
        <v>1218</v>
      </c>
      <c r="B762" s="394" t="s">
        <v>5902</v>
      </c>
      <c r="C762" s="394" t="s">
        <v>1219</v>
      </c>
      <c r="D762" s="394" t="s">
        <v>1039</v>
      </c>
      <c r="E762" s="395" t="s">
        <v>4</v>
      </c>
      <c r="F762" s="396" t="s">
        <v>5269</v>
      </c>
      <c r="G762" s="396" t="s">
        <v>781</v>
      </c>
      <c r="H762" s="396" t="s">
        <v>5529</v>
      </c>
      <c r="I762" s="396" t="s">
        <v>781</v>
      </c>
      <c r="J762" s="396" t="s">
        <v>5529</v>
      </c>
      <c r="K762" s="396" t="s">
        <v>781</v>
      </c>
      <c r="L762" s="397">
        <v>16.47</v>
      </c>
      <c r="M762" s="396" t="s">
        <v>4599</v>
      </c>
      <c r="N762" s="397">
        <v>578618.98070780002</v>
      </c>
      <c r="O762" s="396" t="s">
        <v>4674</v>
      </c>
    </row>
    <row r="763" spans="1:15" ht="26.4" x14ac:dyDescent="0.4">
      <c r="A763" s="396" t="s">
        <v>4874</v>
      </c>
      <c r="B763" s="394" t="s">
        <v>395</v>
      </c>
      <c r="C763" s="394" t="s">
        <v>4875</v>
      </c>
      <c r="D763" s="394" t="s">
        <v>1039</v>
      </c>
      <c r="E763" s="395" t="s">
        <v>4876</v>
      </c>
      <c r="F763" s="396" t="s">
        <v>9432</v>
      </c>
      <c r="G763" s="396" t="s">
        <v>781</v>
      </c>
      <c r="H763" s="396" t="s">
        <v>7459</v>
      </c>
      <c r="I763" s="396" t="s">
        <v>781</v>
      </c>
      <c r="J763" s="396" t="s">
        <v>6819</v>
      </c>
      <c r="K763" s="396" t="s">
        <v>781</v>
      </c>
      <c r="L763" s="397">
        <v>16.31916</v>
      </c>
      <c r="M763" s="396" t="s">
        <v>4599</v>
      </c>
      <c r="N763" s="397">
        <v>578635.29986779997</v>
      </c>
      <c r="O763" s="396" t="s">
        <v>4674</v>
      </c>
    </row>
    <row r="764" spans="1:15" ht="26.4" x14ac:dyDescent="0.4">
      <c r="A764" s="396" t="s">
        <v>9433</v>
      </c>
      <c r="B764" s="394" t="s">
        <v>5902</v>
      </c>
      <c r="C764" s="394" t="s">
        <v>9434</v>
      </c>
      <c r="D764" s="394" t="s">
        <v>1039</v>
      </c>
      <c r="E764" s="395" t="s">
        <v>713</v>
      </c>
      <c r="F764" s="396" t="s">
        <v>9435</v>
      </c>
      <c r="G764" s="396" t="s">
        <v>781</v>
      </c>
      <c r="H764" s="396" t="s">
        <v>9436</v>
      </c>
      <c r="I764" s="396" t="s">
        <v>781</v>
      </c>
      <c r="J764" s="396" t="s">
        <v>9437</v>
      </c>
      <c r="K764" s="396" t="s">
        <v>781</v>
      </c>
      <c r="L764" s="397">
        <v>16.247920000000001</v>
      </c>
      <c r="M764" s="396" t="s">
        <v>4599</v>
      </c>
      <c r="N764" s="397">
        <v>578651.54778779997</v>
      </c>
      <c r="O764" s="396" t="s">
        <v>4677</v>
      </c>
    </row>
    <row r="765" spans="1:15" ht="26.4" x14ac:dyDescent="0.4">
      <c r="A765" s="396" t="s">
        <v>7173</v>
      </c>
      <c r="B765" s="394" t="s">
        <v>408</v>
      </c>
      <c r="C765" s="394" t="s">
        <v>7174</v>
      </c>
      <c r="D765" s="394" t="s">
        <v>1039</v>
      </c>
      <c r="E765" s="395" t="s">
        <v>4</v>
      </c>
      <c r="F765" s="396" t="s">
        <v>5269</v>
      </c>
      <c r="G765" s="396" t="s">
        <v>781</v>
      </c>
      <c r="H765" s="396" t="s">
        <v>7175</v>
      </c>
      <c r="I765" s="396" t="s">
        <v>781</v>
      </c>
      <c r="J765" s="396" t="s">
        <v>7175</v>
      </c>
      <c r="K765" s="396" t="s">
        <v>781</v>
      </c>
      <c r="L765" s="397">
        <v>16.21</v>
      </c>
      <c r="M765" s="396" t="s">
        <v>4599</v>
      </c>
      <c r="N765" s="397">
        <v>578667.75778780004</v>
      </c>
      <c r="O765" s="396" t="s">
        <v>4677</v>
      </c>
    </row>
    <row r="766" spans="1:15" x14ac:dyDescent="0.4">
      <c r="A766" s="396" t="s">
        <v>4653</v>
      </c>
      <c r="B766" s="394" t="s">
        <v>395</v>
      </c>
      <c r="C766" s="394" t="s">
        <v>4654</v>
      </c>
      <c r="D766" s="394" t="s">
        <v>1039</v>
      </c>
      <c r="E766" s="395" t="s">
        <v>4</v>
      </c>
      <c r="F766" s="396" t="s">
        <v>5269</v>
      </c>
      <c r="G766" s="396" t="s">
        <v>781</v>
      </c>
      <c r="H766" s="396" t="s">
        <v>7176</v>
      </c>
      <c r="I766" s="396" t="s">
        <v>781</v>
      </c>
      <c r="J766" s="396" t="s">
        <v>7176</v>
      </c>
      <c r="K766" s="396" t="s">
        <v>781</v>
      </c>
      <c r="L766" s="397">
        <v>16.03</v>
      </c>
      <c r="M766" s="396" t="s">
        <v>4599</v>
      </c>
      <c r="N766" s="397">
        <v>578683.78778779996</v>
      </c>
      <c r="O766" s="396" t="s">
        <v>4677</v>
      </c>
    </row>
    <row r="767" spans="1:15" x14ac:dyDescent="0.4">
      <c r="A767" s="396" t="s">
        <v>1463</v>
      </c>
      <c r="B767" s="394" t="s">
        <v>490</v>
      </c>
      <c r="C767" s="394" t="s">
        <v>1464</v>
      </c>
      <c r="D767" s="394" t="s">
        <v>1053</v>
      </c>
      <c r="E767" s="395" t="s">
        <v>6</v>
      </c>
      <c r="F767" s="396" t="s">
        <v>5558</v>
      </c>
      <c r="G767" s="396" t="s">
        <v>781</v>
      </c>
      <c r="H767" s="396" t="s">
        <v>9438</v>
      </c>
      <c r="I767" s="396" t="s">
        <v>781</v>
      </c>
      <c r="J767" s="396" t="s">
        <v>9439</v>
      </c>
      <c r="K767" s="396" t="s">
        <v>781</v>
      </c>
      <c r="L767" s="397">
        <v>15.994199999999999</v>
      </c>
      <c r="M767" s="396" t="s">
        <v>4599</v>
      </c>
      <c r="N767" s="397">
        <v>578699.78198780003</v>
      </c>
      <c r="O767" s="396" t="s">
        <v>4677</v>
      </c>
    </row>
    <row r="768" spans="1:15" x14ac:dyDescent="0.4">
      <c r="A768" s="396" t="s">
        <v>9440</v>
      </c>
      <c r="B768" s="394" t="s">
        <v>408</v>
      </c>
      <c r="C768" s="394" t="s">
        <v>9441</v>
      </c>
      <c r="D768" s="394" t="s">
        <v>1039</v>
      </c>
      <c r="E768" s="395" t="s">
        <v>3</v>
      </c>
      <c r="F768" s="396" t="s">
        <v>9442</v>
      </c>
      <c r="G768" s="396" t="s">
        <v>781</v>
      </c>
      <c r="H768" s="396" t="s">
        <v>9381</v>
      </c>
      <c r="I768" s="396" t="s">
        <v>781</v>
      </c>
      <c r="J768" s="396" t="s">
        <v>9443</v>
      </c>
      <c r="K768" s="396" t="s">
        <v>781</v>
      </c>
      <c r="L768" s="397">
        <v>15.98</v>
      </c>
      <c r="M768" s="396" t="s">
        <v>4599</v>
      </c>
      <c r="N768" s="397">
        <v>578715.76198780001</v>
      </c>
      <c r="O768" s="396" t="s">
        <v>4680</v>
      </c>
    </row>
    <row r="769" spans="1:15" x14ac:dyDescent="0.4">
      <c r="A769" s="396" t="s">
        <v>2557</v>
      </c>
      <c r="B769" s="394" t="s">
        <v>408</v>
      </c>
      <c r="C769" s="394" t="s">
        <v>2558</v>
      </c>
      <c r="D769" s="394" t="s">
        <v>1039</v>
      </c>
      <c r="E769" s="395" t="s">
        <v>675</v>
      </c>
      <c r="F769" s="396" t="s">
        <v>5380</v>
      </c>
      <c r="G769" s="396" t="s">
        <v>781</v>
      </c>
      <c r="H769" s="396" t="s">
        <v>7177</v>
      </c>
      <c r="I769" s="396" t="s">
        <v>781</v>
      </c>
      <c r="J769" s="396" t="s">
        <v>7178</v>
      </c>
      <c r="K769" s="396" t="s">
        <v>781</v>
      </c>
      <c r="L769" s="397">
        <v>15.939</v>
      </c>
      <c r="M769" s="396" t="s">
        <v>4599</v>
      </c>
      <c r="N769" s="397">
        <v>578731.70098780002</v>
      </c>
      <c r="O769" s="396" t="s">
        <v>4680</v>
      </c>
    </row>
    <row r="770" spans="1:15" x14ac:dyDescent="0.4">
      <c r="A770" s="396" t="s">
        <v>9444</v>
      </c>
      <c r="B770" s="394" t="s">
        <v>408</v>
      </c>
      <c r="C770" s="394" t="s">
        <v>9445</v>
      </c>
      <c r="D770" s="394" t="s">
        <v>1039</v>
      </c>
      <c r="E770" s="395" t="s">
        <v>713</v>
      </c>
      <c r="F770" s="396" t="s">
        <v>5648</v>
      </c>
      <c r="G770" s="396" t="s">
        <v>781</v>
      </c>
      <c r="H770" s="396" t="s">
        <v>7641</v>
      </c>
      <c r="I770" s="396" t="s">
        <v>781</v>
      </c>
      <c r="J770" s="396" t="s">
        <v>9446</v>
      </c>
      <c r="K770" s="396" t="s">
        <v>781</v>
      </c>
      <c r="L770" s="397">
        <v>15.91625</v>
      </c>
      <c r="M770" s="396" t="s">
        <v>4599</v>
      </c>
      <c r="N770" s="397">
        <v>578747.61723780003</v>
      </c>
      <c r="O770" s="396" t="s">
        <v>4680</v>
      </c>
    </row>
    <row r="771" spans="1:15" ht="26.4" x14ac:dyDescent="0.4">
      <c r="A771" s="396" t="s">
        <v>4650</v>
      </c>
      <c r="B771" s="394" t="s">
        <v>395</v>
      </c>
      <c r="C771" s="394" t="s">
        <v>4651</v>
      </c>
      <c r="D771" s="394" t="s">
        <v>1039</v>
      </c>
      <c r="E771" s="395" t="s">
        <v>4</v>
      </c>
      <c r="F771" s="396" t="s">
        <v>5269</v>
      </c>
      <c r="G771" s="396" t="s">
        <v>781</v>
      </c>
      <c r="H771" s="396" t="s">
        <v>5575</v>
      </c>
      <c r="I771" s="396" t="s">
        <v>781</v>
      </c>
      <c r="J771" s="396" t="s">
        <v>5575</v>
      </c>
      <c r="K771" s="396" t="s">
        <v>781</v>
      </c>
      <c r="L771" s="397">
        <v>15.9</v>
      </c>
      <c r="M771" s="396" t="s">
        <v>4599</v>
      </c>
      <c r="N771" s="397">
        <v>578763.51723780006</v>
      </c>
      <c r="O771" s="396" t="s">
        <v>4683</v>
      </c>
    </row>
    <row r="772" spans="1:15" x14ac:dyDescent="0.4">
      <c r="A772" s="396" t="s">
        <v>4675</v>
      </c>
      <c r="B772" s="394" t="s">
        <v>395</v>
      </c>
      <c r="C772" s="394" t="s">
        <v>4676</v>
      </c>
      <c r="D772" s="394" t="s">
        <v>1039</v>
      </c>
      <c r="E772" s="395" t="s">
        <v>7</v>
      </c>
      <c r="F772" s="396" t="s">
        <v>7165</v>
      </c>
      <c r="G772" s="396" t="s">
        <v>781</v>
      </c>
      <c r="H772" s="396" t="s">
        <v>7179</v>
      </c>
      <c r="I772" s="396" t="s">
        <v>781</v>
      </c>
      <c r="J772" s="396" t="s">
        <v>7180</v>
      </c>
      <c r="K772" s="396" t="s">
        <v>781</v>
      </c>
      <c r="L772" s="397">
        <v>15.865696</v>
      </c>
      <c r="M772" s="396" t="s">
        <v>4599</v>
      </c>
      <c r="N772" s="397">
        <v>578779.38293379999</v>
      </c>
      <c r="O772" s="396" t="s">
        <v>4683</v>
      </c>
    </row>
    <row r="773" spans="1:15" ht="26.4" x14ac:dyDescent="0.4">
      <c r="A773" s="396" t="s">
        <v>1168</v>
      </c>
      <c r="B773" s="394" t="s">
        <v>5902</v>
      </c>
      <c r="C773" s="394" t="s">
        <v>1169</v>
      </c>
      <c r="D773" s="394" t="s">
        <v>1039</v>
      </c>
      <c r="E773" s="395" t="s">
        <v>4</v>
      </c>
      <c r="F773" s="396" t="s">
        <v>5269</v>
      </c>
      <c r="G773" s="396" t="s">
        <v>781</v>
      </c>
      <c r="H773" s="396" t="s">
        <v>7181</v>
      </c>
      <c r="I773" s="396" t="s">
        <v>781</v>
      </c>
      <c r="J773" s="396" t="s">
        <v>7181</v>
      </c>
      <c r="K773" s="396" t="s">
        <v>781</v>
      </c>
      <c r="L773" s="397">
        <v>15.72</v>
      </c>
      <c r="M773" s="396" t="s">
        <v>4599</v>
      </c>
      <c r="N773" s="397">
        <v>578795.10293379996</v>
      </c>
      <c r="O773" s="396" t="s">
        <v>4683</v>
      </c>
    </row>
    <row r="774" spans="1:15" ht="26.4" x14ac:dyDescent="0.4">
      <c r="A774" s="396" t="s">
        <v>1260</v>
      </c>
      <c r="B774" s="394" t="s">
        <v>395</v>
      </c>
      <c r="C774" s="394" t="s">
        <v>351</v>
      </c>
      <c r="D774" s="394" t="s">
        <v>1039</v>
      </c>
      <c r="E774" s="395" t="s">
        <v>4</v>
      </c>
      <c r="F774" s="396" t="s">
        <v>5269</v>
      </c>
      <c r="G774" s="396" t="s">
        <v>781</v>
      </c>
      <c r="H774" s="396" t="s">
        <v>5471</v>
      </c>
      <c r="I774" s="396" t="s">
        <v>781</v>
      </c>
      <c r="J774" s="396" t="s">
        <v>5471</v>
      </c>
      <c r="K774" s="396" t="s">
        <v>781</v>
      </c>
      <c r="L774" s="397">
        <v>15.64</v>
      </c>
      <c r="M774" s="396" t="s">
        <v>4599</v>
      </c>
      <c r="N774" s="397">
        <v>578810.74293379998</v>
      </c>
      <c r="O774" s="396" t="s">
        <v>4683</v>
      </c>
    </row>
    <row r="775" spans="1:15" x14ac:dyDescent="0.4">
      <c r="A775" s="396" t="s">
        <v>1432</v>
      </c>
      <c r="B775" s="394" t="s">
        <v>408</v>
      </c>
      <c r="C775" s="394" t="s">
        <v>1433</v>
      </c>
      <c r="D775" s="394" t="s">
        <v>1039</v>
      </c>
      <c r="E775" s="395" t="s">
        <v>8</v>
      </c>
      <c r="F775" s="396" t="s">
        <v>5550</v>
      </c>
      <c r="G775" s="396" t="s">
        <v>781</v>
      </c>
      <c r="H775" s="396" t="s">
        <v>7183</v>
      </c>
      <c r="I775" s="396" t="s">
        <v>781</v>
      </c>
      <c r="J775" s="396" t="s">
        <v>5536</v>
      </c>
      <c r="K775" s="396" t="s">
        <v>781</v>
      </c>
      <c r="L775" s="397">
        <v>15.5793</v>
      </c>
      <c r="M775" s="396" t="s">
        <v>4599</v>
      </c>
      <c r="N775" s="397">
        <v>578826.32223379996</v>
      </c>
      <c r="O775" s="396" t="s">
        <v>4686</v>
      </c>
    </row>
    <row r="776" spans="1:15" ht="26.4" x14ac:dyDescent="0.4">
      <c r="A776" s="396" t="s">
        <v>4898</v>
      </c>
      <c r="B776" s="394" t="s">
        <v>5902</v>
      </c>
      <c r="C776" s="394" t="s">
        <v>4899</v>
      </c>
      <c r="D776" s="394" t="s">
        <v>1039</v>
      </c>
      <c r="E776" s="395" t="s">
        <v>6</v>
      </c>
      <c r="F776" s="396" t="s">
        <v>9447</v>
      </c>
      <c r="G776" s="396" t="s">
        <v>781</v>
      </c>
      <c r="H776" s="396" t="s">
        <v>7426</v>
      </c>
      <c r="I776" s="396" t="s">
        <v>781</v>
      </c>
      <c r="J776" s="396" t="s">
        <v>9448</v>
      </c>
      <c r="K776" s="396" t="s">
        <v>781</v>
      </c>
      <c r="L776" s="397">
        <v>15.522285999999999</v>
      </c>
      <c r="M776" s="396" t="s">
        <v>4599</v>
      </c>
      <c r="N776" s="397">
        <v>578841.84451980004</v>
      </c>
      <c r="O776" s="396" t="s">
        <v>4686</v>
      </c>
    </row>
    <row r="777" spans="1:15" x14ac:dyDescent="0.4">
      <c r="A777" s="396" t="s">
        <v>4661</v>
      </c>
      <c r="B777" s="394" t="s">
        <v>395</v>
      </c>
      <c r="C777" s="394" t="s">
        <v>4662</v>
      </c>
      <c r="D777" s="394" t="s">
        <v>1039</v>
      </c>
      <c r="E777" s="395" t="s">
        <v>7</v>
      </c>
      <c r="F777" s="396" t="s">
        <v>6827</v>
      </c>
      <c r="G777" s="396" t="s">
        <v>781</v>
      </c>
      <c r="H777" s="396" t="s">
        <v>7184</v>
      </c>
      <c r="I777" s="396" t="s">
        <v>781</v>
      </c>
      <c r="J777" s="396" t="s">
        <v>7185</v>
      </c>
      <c r="K777" s="396" t="s">
        <v>781</v>
      </c>
      <c r="L777" s="397">
        <v>15.466682</v>
      </c>
      <c r="M777" s="396" t="s">
        <v>4599</v>
      </c>
      <c r="N777" s="397">
        <v>578857.31120180001</v>
      </c>
      <c r="O777" s="396" t="s">
        <v>4686</v>
      </c>
    </row>
    <row r="778" spans="1:15" x14ac:dyDescent="0.4">
      <c r="A778" s="396" t="s">
        <v>4678</v>
      </c>
      <c r="B778" s="394" t="s">
        <v>420</v>
      </c>
      <c r="C778" s="394" t="s">
        <v>4679</v>
      </c>
      <c r="D778" s="394" t="s">
        <v>2381</v>
      </c>
      <c r="E778" s="395" t="s">
        <v>422</v>
      </c>
      <c r="F778" s="396" t="s">
        <v>5342</v>
      </c>
      <c r="G778" s="396" t="s">
        <v>781</v>
      </c>
      <c r="H778" s="396" t="s">
        <v>5537</v>
      </c>
      <c r="I778" s="396" t="s">
        <v>781</v>
      </c>
      <c r="J778" s="396" t="s">
        <v>5531</v>
      </c>
      <c r="K778" s="396" t="s">
        <v>781</v>
      </c>
      <c r="L778" s="397">
        <v>15.421743414</v>
      </c>
      <c r="M778" s="396" t="s">
        <v>4599</v>
      </c>
      <c r="N778" s="397">
        <v>578872.73294520006</v>
      </c>
      <c r="O778" s="396" t="s">
        <v>4686</v>
      </c>
    </row>
    <row r="779" spans="1:15" x14ac:dyDescent="0.4">
      <c r="A779" s="396" t="s">
        <v>3244</v>
      </c>
      <c r="B779" s="394" t="s">
        <v>2616</v>
      </c>
      <c r="C779" s="394" t="s">
        <v>3245</v>
      </c>
      <c r="D779" s="394" t="s">
        <v>1039</v>
      </c>
      <c r="E779" s="395" t="s">
        <v>7</v>
      </c>
      <c r="F779" s="396" t="s">
        <v>5334</v>
      </c>
      <c r="G779" s="396" t="s">
        <v>781</v>
      </c>
      <c r="H779" s="396" t="s">
        <v>7186</v>
      </c>
      <c r="I779" s="396" t="s">
        <v>781</v>
      </c>
      <c r="J779" s="396" t="s">
        <v>5540</v>
      </c>
      <c r="K779" s="396" t="s">
        <v>781</v>
      </c>
      <c r="L779" s="397">
        <v>15.3</v>
      </c>
      <c r="M779" s="396" t="s">
        <v>4599</v>
      </c>
      <c r="N779" s="397">
        <v>578888.03294519999</v>
      </c>
      <c r="O779" s="396" t="s">
        <v>4688</v>
      </c>
    </row>
    <row r="780" spans="1:15" ht="26.4" x14ac:dyDescent="0.4">
      <c r="A780" s="396" t="s">
        <v>7187</v>
      </c>
      <c r="B780" s="394" t="s">
        <v>420</v>
      </c>
      <c r="C780" s="394" t="s">
        <v>7188</v>
      </c>
      <c r="D780" s="394" t="s">
        <v>1039</v>
      </c>
      <c r="E780" s="395" t="s">
        <v>7189</v>
      </c>
      <c r="F780" s="396" t="s">
        <v>5543</v>
      </c>
      <c r="G780" s="396" t="s">
        <v>781</v>
      </c>
      <c r="H780" s="396" t="s">
        <v>7190</v>
      </c>
      <c r="I780" s="396" t="s">
        <v>781</v>
      </c>
      <c r="J780" s="396" t="s">
        <v>7191</v>
      </c>
      <c r="K780" s="396" t="s">
        <v>781</v>
      </c>
      <c r="L780" s="397">
        <v>15.232004904</v>
      </c>
      <c r="M780" s="396" t="s">
        <v>4599</v>
      </c>
      <c r="N780" s="397">
        <v>578903.26495009998</v>
      </c>
      <c r="O780" s="396" t="s">
        <v>4688</v>
      </c>
    </row>
    <row r="781" spans="1:15" ht="39.6" x14ac:dyDescent="0.4">
      <c r="A781" s="396" t="s">
        <v>4872</v>
      </c>
      <c r="B781" s="394" t="s">
        <v>395</v>
      </c>
      <c r="C781" s="394" t="s">
        <v>4873</v>
      </c>
      <c r="D781" s="394" t="s">
        <v>1317</v>
      </c>
      <c r="E781" s="395" t="s">
        <v>3</v>
      </c>
      <c r="F781" s="396" t="s">
        <v>9449</v>
      </c>
      <c r="G781" s="396" t="s">
        <v>781</v>
      </c>
      <c r="H781" s="396" t="s">
        <v>7503</v>
      </c>
      <c r="I781" s="396" t="s">
        <v>781</v>
      </c>
      <c r="J781" s="396" t="s">
        <v>9450</v>
      </c>
      <c r="K781" s="396" t="s">
        <v>781</v>
      </c>
      <c r="L781" s="397">
        <v>15.193552</v>
      </c>
      <c r="M781" s="396" t="s">
        <v>4599</v>
      </c>
      <c r="N781" s="397">
        <v>578918.45850209997</v>
      </c>
      <c r="O781" s="396" t="s">
        <v>4688</v>
      </c>
    </row>
    <row r="782" spans="1:15" x14ac:dyDescent="0.4">
      <c r="A782" s="396" t="s">
        <v>7192</v>
      </c>
      <c r="B782" s="394" t="s">
        <v>408</v>
      </c>
      <c r="C782" s="394" t="s">
        <v>7193</v>
      </c>
      <c r="D782" s="394" t="s">
        <v>1053</v>
      </c>
      <c r="E782" s="395" t="s">
        <v>6</v>
      </c>
      <c r="F782" s="396" t="s">
        <v>5348</v>
      </c>
      <c r="G782" s="396" t="s">
        <v>781</v>
      </c>
      <c r="H782" s="396" t="s">
        <v>5329</v>
      </c>
      <c r="I782" s="396" t="s">
        <v>781</v>
      </c>
      <c r="J782" s="396" t="s">
        <v>7194</v>
      </c>
      <c r="K782" s="396" t="s">
        <v>781</v>
      </c>
      <c r="L782" s="397">
        <v>15.113</v>
      </c>
      <c r="M782" s="396" t="s">
        <v>4599</v>
      </c>
      <c r="N782" s="397">
        <v>578933.57150209998</v>
      </c>
      <c r="O782" s="396" t="s">
        <v>4688</v>
      </c>
    </row>
    <row r="783" spans="1:15" ht="26.4" x14ac:dyDescent="0.4">
      <c r="A783" s="396" t="s">
        <v>2553</v>
      </c>
      <c r="B783" s="394" t="s">
        <v>431</v>
      </c>
      <c r="C783" s="394" t="s">
        <v>2554</v>
      </c>
      <c r="D783" s="394" t="s">
        <v>1053</v>
      </c>
      <c r="E783" s="395" t="s">
        <v>6</v>
      </c>
      <c r="F783" s="396" t="s">
        <v>5515</v>
      </c>
      <c r="G783" s="396" t="s">
        <v>781</v>
      </c>
      <c r="H783" s="396" t="s">
        <v>7195</v>
      </c>
      <c r="I783" s="396" t="s">
        <v>781</v>
      </c>
      <c r="J783" s="396" t="s">
        <v>5544</v>
      </c>
      <c r="K783" s="396" t="s">
        <v>781</v>
      </c>
      <c r="L783" s="397">
        <v>14.695</v>
      </c>
      <c r="M783" s="396" t="s">
        <v>4599</v>
      </c>
      <c r="N783" s="397">
        <v>578948.26650210004</v>
      </c>
      <c r="O783" s="396" t="s">
        <v>4689</v>
      </c>
    </row>
    <row r="784" spans="1:15" ht="26.4" x14ac:dyDescent="0.4">
      <c r="A784" s="396" t="s">
        <v>1056</v>
      </c>
      <c r="B784" s="394" t="s">
        <v>5902</v>
      </c>
      <c r="C784" s="394" t="s">
        <v>1057</v>
      </c>
      <c r="D784" s="394" t="s">
        <v>1039</v>
      </c>
      <c r="E784" s="395" t="s">
        <v>380</v>
      </c>
      <c r="F784" s="396" t="s">
        <v>5269</v>
      </c>
      <c r="G784" s="396" t="s">
        <v>781</v>
      </c>
      <c r="H784" s="396" t="s">
        <v>7196</v>
      </c>
      <c r="I784" s="396" t="s">
        <v>781</v>
      </c>
      <c r="J784" s="396" t="s">
        <v>7196</v>
      </c>
      <c r="K784" s="396" t="s">
        <v>781</v>
      </c>
      <c r="L784" s="397">
        <v>14.5</v>
      </c>
      <c r="M784" s="396" t="s">
        <v>4599</v>
      </c>
      <c r="N784" s="397">
        <v>578962.76650210004</v>
      </c>
      <c r="O784" s="396" t="s">
        <v>4689</v>
      </c>
    </row>
    <row r="785" spans="1:15" ht="26.4" x14ac:dyDescent="0.4">
      <c r="A785" s="396" t="s">
        <v>4659</v>
      </c>
      <c r="B785" s="394" t="s">
        <v>395</v>
      </c>
      <c r="C785" s="394" t="s">
        <v>4660</v>
      </c>
      <c r="D785" s="394" t="s">
        <v>1039</v>
      </c>
      <c r="E785" s="395" t="s">
        <v>4</v>
      </c>
      <c r="F785" s="396" t="s">
        <v>5269</v>
      </c>
      <c r="G785" s="396" t="s">
        <v>781</v>
      </c>
      <c r="H785" s="396" t="s">
        <v>7197</v>
      </c>
      <c r="I785" s="396" t="s">
        <v>781</v>
      </c>
      <c r="J785" s="396" t="s">
        <v>7197</v>
      </c>
      <c r="K785" s="396" t="s">
        <v>781</v>
      </c>
      <c r="L785" s="397">
        <v>14.47</v>
      </c>
      <c r="M785" s="396" t="s">
        <v>4599</v>
      </c>
      <c r="N785" s="397">
        <v>578977.23650210002</v>
      </c>
      <c r="O785" s="396" t="s">
        <v>4689</v>
      </c>
    </row>
    <row r="786" spans="1:15" ht="26.4" x14ac:dyDescent="0.4">
      <c r="A786" s="396" t="s">
        <v>4706</v>
      </c>
      <c r="B786" s="394" t="s">
        <v>395</v>
      </c>
      <c r="C786" s="394" t="s">
        <v>4707</v>
      </c>
      <c r="D786" s="394" t="s">
        <v>1039</v>
      </c>
      <c r="E786" s="395" t="s">
        <v>4</v>
      </c>
      <c r="F786" s="396" t="s">
        <v>5269</v>
      </c>
      <c r="G786" s="396" t="s">
        <v>781</v>
      </c>
      <c r="H786" s="396" t="s">
        <v>7198</v>
      </c>
      <c r="I786" s="396" t="s">
        <v>781</v>
      </c>
      <c r="J786" s="396" t="s">
        <v>7198</v>
      </c>
      <c r="K786" s="396" t="s">
        <v>781</v>
      </c>
      <c r="L786" s="397">
        <v>14.45</v>
      </c>
      <c r="M786" s="396" t="s">
        <v>4599</v>
      </c>
      <c r="N786" s="397">
        <v>578991.68650209997</v>
      </c>
      <c r="O786" s="396" t="s">
        <v>4689</v>
      </c>
    </row>
    <row r="787" spans="1:15" ht="39.6" x14ac:dyDescent="0.4">
      <c r="A787" s="396" t="s">
        <v>4606</v>
      </c>
      <c r="B787" s="394" t="s">
        <v>395</v>
      </c>
      <c r="C787" s="394" t="s">
        <v>4607</v>
      </c>
      <c r="D787" s="394" t="s">
        <v>1039</v>
      </c>
      <c r="E787" s="395" t="s">
        <v>7</v>
      </c>
      <c r="F787" s="396" t="s">
        <v>5380</v>
      </c>
      <c r="G787" s="396" t="s">
        <v>781</v>
      </c>
      <c r="H787" s="396" t="s">
        <v>7199</v>
      </c>
      <c r="I787" s="396" t="s">
        <v>781</v>
      </c>
      <c r="J787" s="396" t="s">
        <v>5666</v>
      </c>
      <c r="K787" s="396" t="s">
        <v>781</v>
      </c>
      <c r="L787" s="397">
        <v>14.278</v>
      </c>
      <c r="M787" s="396" t="s">
        <v>4599</v>
      </c>
      <c r="N787" s="397">
        <v>579005.96450210002</v>
      </c>
      <c r="O787" s="396" t="s">
        <v>4694</v>
      </c>
    </row>
    <row r="788" spans="1:15" x14ac:dyDescent="0.4">
      <c r="A788" s="396" t="s">
        <v>1557</v>
      </c>
      <c r="B788" s="394" t="s">
        <v>408</v>
      </c>
      <c r="C788" s="394" t="s">
        <v>1558</v>
      </c>
      <c r="D788" s="394" t="s">
        <v>1039</v>
      </c>
      <c r="E788" s="395" t="s">
        <v>3</v>
      </c>
      <c r="F788" s="396" t="s">
        <v>7200</v>
      </c>
      <c r="G788" s="396" t="s">
        <v>781</v>
      </c>
      <c r="H788" s="396" t="s">
        <v>7201</v>
      </c>
      <c r="I788" s="396" t="s">
        <v>781</v>
      </c>
      <c r="J788" s="396" t="s">
        <v>7202</v>
      </c>
      <c r="K788" s="396" t="s">
        <v>781</v>
      </c>
      <c r="L788" s="397">
        <v>14.13104</v>
      </c>
      <c r="M788" s="396" t="s">
        <v>4599</v>
      </c>
      <c r="N788" s="397">
        <v>579020.09554210003</v>
      </c>
      <c r="O788" s="396" t="s">
        <v>4694</v>
      </c>
    </row>
    <row r="789" spans="1:15" ht="26.4" x14ac:dyDescent="0.4">
      <c r="A789" s="396" t="s">
        <v>1092</v>
      </c>
      <c r="B789" s="394" t="s">
        <v>431</v>
      </c>
      <c r="C789" s="394" t="s">
        <v>1093</v>
      </c>
      <c r="D789" s="394" t="s">
        <v>1053</v>
      </c>
      <c r="E789" s="395" t="s">
        <v>6</v>
      </c>
      <c r="F789" s="396" t="s">
        <v>5569</v>
      </c>
      <c r="G789" s="396" t="s">
        <v>781</v>
      </c>
      <c r="H789" s="396" t="s">
        <v>7203</v>
      </c>
      <c r="I789" s="396" t="s">
        <v>781</v>
      </c>
      <c r="J789" s="396" t="s">
        <v>5546</v>
      </c>
      <c r="K789" s="396" t="s">
        <v>781</v>
      </c>
      <c r="L789" s="397">
        <v>14.1168</v>
      </c>
      <c r="M789" s="396" t="s">
        <v>4599</v>
      </c>
      <c r="N789" s="397">
        <v>579034.21234209999</v>
      </c>
      <c r="O789" s="396" t="s">
        <v>4694</v>
      </c>
    </row>
    <row r="790" spans="1:15" x14ac:dyDescent="0.4">
      <c r="A790" s="396" t="s">
        <v>1927</v>
      </c>
      <c r="B790" s="394" t="s">
        <v>420</v>
      </c>
      <c r="C790" s="394" t="s">
        <v>7204</v>
      </c>
      <c r="D790" s="394" t="s">
        <v>1039</v>
      </c>
      <c r="E790" s="395" t="s">
        <v>422</v>
      </c>
      <c r="F790" s="396" t="s">
        <v>5269</v>
      </c>
      <c r="G790" s="396" t="s">
        <v>781</v>
      </c>
      <c r="H790" s="396" t="s">
        <v>7205</v>
      </c>
      <c r="I790" s="396" t="s">
        <v>781</v>
      </c>
      <c r="J790" s="396" t="s">
        <v>7205</v>
      </c>
      <c r="K790" s="396" t="s">
        <v>781</v>
      </c>
      <c r="L790" s="397">
        <v>14.07</v>
      </c>
      <c r="M790" s="396" t="s">
        <v>4599</v>
      </c>
      <c r="N790" s="397">
        <v>579048.28234210005</v>
      </c>
      <c r="O790" s="396" t="s">
        <v>4694</v>
      </c>
    </row>
    <row r="791" spans="1:15" ht="26.4" x14ac:dyDescent="0.4">
      <c r="A791" s="396" t="s">
        <v>4033</v>
      </c>
      <c r="B791" s="394" t="s">
        <v>395</v>
      </c>
      <c r="C791" s="394" t="s">
        <v>4034</v>
      </c>
      <c r="D791" s="394" t="s">
        <v>1039</v>
      </c>
      <c r="E791" s="395" t="s">
        <v>7</v>
      </c>
      <c r="F791" s="396" t="s">
        <v>7206</v>
      </c>
      <c r="G791" s="396" t="s">
        <v>781</v>
      </c>
      <c r="H791" s="396" t="s">
        <v>7207</v>
      </c>
      <c r="I791" s="396" t="s">
        <v>781</v>
      </c>
      <c r="J791" s="396" t="s">
        <v>7208</v>
      </c>
      <c r="K791" s="396" t="s">
        <v>781</v>
      </c>
      <c r="L791" s="397">
        <v>13.938595103999999</v>
      </c>
      <c r="M791" s="396" t="s">
        <v>4599</v>
      </c>
      <c r="N791" s="397">
        <v>579062.22093720001</v>
      </c>
      <c r="O791" s="396" t="s">
        <v>4697</v>
      </c>
    </row>
    <row r="792" spans="1:15" ht="26.4" x14ac:dyDescent="0.4">
      <c r="A792" s="396" t="s">
        <v>2350</v>
      </c>
      <c r="B792" s="394" t="s">
        <v>395</v>
      </c>
      <c r="C792" s="394" t="s">
        <v>241</v>
      </c>
      <c r="D792" s="394" t="s">
        <v>1039</v>
      </c>
      <c r="E792" s="395" t="s">
        <v>4</v>
      </c>
      <c r="F792" s="396" t="s">
        <v>9451</v>
      </c>
      <c r="G792" s="396" t="s">
        <v>781</v>
      </c>
      <c r="H792" s="396" t="s">
        <v>5314</v>
      </c>
      <c r="I792" s="396" t="s">
        <v>781</v>
      </c>
      <c r="J792" s="396" t="s">
        <v>9452</v>
      </c>
      <c r="K792" s="396" t="s">
        <v>781</v>
      </c>
      <c r="L792" s="397">
        <v>13.918126000000001</v>
      </c>
      <c r="M792" s="396" t="s">
        <v>4599</v>
      </c>
      <c r="N792" s="397">
        <v>579076.13906319998</v>
      </c>
      <c r="O792" s="396" t="s">
        <v>4697</v>
      </c>
    </row>
    <row r="793" spans="1:15" ht="26.4" x14ac:dyDescent="0.4">
      <c r="A793" s="396" t="s">
        <v>2303</v>
      </c>
      <c r="B793" s="394" t="s">
        <v>5902</v>
      </c>
      <c r="C793" s="394" t="s">
        <v>2304</v>
      </c>
      <c r="D793" s="394" t="s">
        <v>1053</v>
      </c>
      <c r="E793" s="395" t="s">
        <v>6</v>
      </c>
      <c r="F793" s="396" t="s">
        <v>5557</v>
      </c>
      <c r="G793" s="396" t="s">
        <v>781</v>
      </c>
      <c r="H793" s="396" t="s">
        <v>6224</v>
      </c>
      <c r="I793" s="396" t="s">
        <v>781</v>
      </c>
      <c r="J793" s="396" t="s">
        <v>7209</v>
      </c>
      <c r="K793" s="396" t="s">
        <v>781</v>
      </c>
      <c r="L793" s="397">
        <v>13.7448</v>
      </c>
      <c r="M793" s="396" t="s">
        <v>4599</v>
      </c>
      <c r="N793" s="397">
        <v>579089.88386319997</v>
      </c>
      <c r="O793" s="396" t="s">
        <v>4697</v>
      </c>
    </row>
    <row r="794" spans="1:15" x14ac:dyDescent="0.4">
      <c r="A794" s="396" t="s">
        <v>7210</v>
      </c>
      <c r="B794" s="394" t="s">
        <v>439</v>
      </c>
      <c r="C794" s="394" t="s">
        <v>1464</v>
      </c>
      <c r="D794" s="394" t="s">
        <v>1053</v>
      </c>
      <c r="E794" s="395" t="s">
        <v>6</v>
      </c>
      <c r="F794" s="396" t="s">
        <v>5571</v>
      </c>
      <c r="G794" s="396" t="s">
        <v>781</v>
      </c>
      <c r="H794" s="396" t="s">
        <v>6627</v>
      </c>
      <c r="I794" s="396" t="s">
        <v>781</v>
      </c>
      <c r="J794" s="396" t="s">
        <v>5548</v>
      </c>
      <c r="K794" s="396" t="s">
        <v>781</v>
      </c>
      <c r="L794" s="397">
        <v>13.545711084000001</v>
      </c>
      <c r="M794" s="396" t="s">
        <v>4599</v>
      </c>
      <c r="N794" s="397">
        <v>579103.42957429995</v>
      </c>
      <c r="O794" s="396" t="s">
        <v>4697</v>
      </c>
    </row>
    <row r="795" spans="1:15" x14ac:dyDescent="0.4">
      <c r="A795" s="396" t="s">
        <v>1421</v>
      </c>
      <c r="B795" s="394" t="s">
        <v>408</v>
      </c>
      <c r="C795" s="394" t="s">
        <v>1422</v>
      </c>
      <c r="D795" s="394" t="s">
        <v>1039</v>
      </c>
      <c r="E795" s="395" t="s">
        <v>3</v>
      </c>
      <c r="F795" s="396" t="s">
        <v>5660</v>
      </c>
      <c r="G795" s="396" t="s">
        <v>781</v>
      </c>
      <c r="H795" s="396" t="s">
        <v>5508</v>
      </c>
      <c r="I795" s="396" t="s">
        <v>781</v>
      </c>
      <c r="J795" s="396" t="s">
        <v>7211</v>
      </c>
      <c r="K795" s="396" t="s">
        <v>781</v>
      </c>
      <c r="L795" s="397">
        <v>13.455</v>
      </c>
      <c r="M795" s="396" t="s">
        <v>4599</v>
      </c>
      <c r="N795" s="397">
        <v>579116.88457430003</v>
      </c>
      <c r="O795" s="396" t="s">
        <v>4698</v>
      </c>
    </row>
    <row r="796" spans="1:15" ht="39.6" x14ac:dyDescent="0.4">
      <c r="A796" s="396" t="s">
        <v>4731</v>
      </c>
      <c r="B796" s="394" t="s">
        <v>395</v>
      </c>
      <c r="C796" s="394" t="s">
        <v>4732</v>
      </c>
      <c r="D796" s="394" t="s">
        <v>1317</v>
      </c>
      <c r="E796" s="395" t="s">
        <v>4</v>
      </c>
      <c r="F796" s="396" t="s">
        <v>7212</v>
      </c>
      <c r="G796" s="396" t="s">
        <v>781</v>
      </c>
      <c r="H796" s="396" t="s">
        <v>7213</v>
      </c>
      <c r="I796" s="396" t="s">
        <v>781</v>
      </c>
      <c r="J796" s="396" t="s">
        <v>5649</v>
      </c>
      <c r="K796" s="396" t="s">
        <v>781</v>
      </c>
      <c r="L796" s="397">
        <v>13.345759027</v>
      </c>
      <c r="M796" s="396" t="s">
        <v>4599</v>
      </c>
      <c r="N796" s="397">
        <v>579130.23033329996</v>
      </c>
      <c r="O796" s="396" t="s">
        <v>4698</v>
      </c>
    </row>
    <row r="797" spans="1:15" x14ac:dyDescent="0.4">
      <c r="A797" s="396" t="s">
        <v>1445</v>
      </c>
      <c r="B797" s="394" t="s">
        <v>408</v>
      </c>
      <c r="C797" s="394" t="s">
        <v>1446</v>
      </c>
      <c r="D797" s="394" t="s">
        <v>1039</v>
      </c>
      <c r="E797" s="395" t="s">
        <v>3</v>
      </c>
      <c r="F797" s="396" t="s">
        <v>9453</v>
      </c>
      <c r="G797" s="396" t="s">
        <v>781</v>
      </c>
      <c r="H797" s="396" t="s">
        <v>7272</v>
      </c>
      <c r="I797" s="396" t="s">
        <v>781</v>
      </c>
      <c r="J797" s="396" t="s">
        <v>9454</v>
      </c>
      <c r="K797" s="396" t="s">
        <v>781</v>
      </c>
      <c r="L797" s="397">
        <v>13.18896</v>
      </c>
      <c r="M797" s="396" t="s">
        <v>4599</v>
      </c>
      <c r="N797" s="397">
        <v>579143.41929330002</v>
      </c>
      <c r="O797" s="396" t="s">
        <v>4698</v>
      </c>
    </row>
    <row r="798" spans="1:15" x14ac:dyDescent="0.4">
      <c r="A798" s="396" t="s">
        <v>7214</v>
      </c>
      <c r="B798" s="394" t="s">
        <v>408</v>
      </c>
      <c r="C798" s="394" t="s">
        <v>7215</v>
      </c>
      <c r="D798" s="394" t="s">
        <v>1053</v>
      </c>
      <c r="E798" s="395" t="s">
        <v>6</v>
      </c>
      <c r="F798" s="396" t="s">
        <v>7134</v>
      </c>
      <c r="G798" s="396" t="s">
        <v>781</v>
      </c>
      <c r="H798" s="396" t="s">
        <v>5329</v>
      </c>
      <c r="I798" s="396" t="s">
        <v>781</v>
      </c>
      <c r="J798" s="396" t="s">
        <v>7216</v>
      </c>
      <c r="K798" s="396" t="s">
        <v>781</v>
      </c>
      <c r="L798" s="397">
        <v>13.1699</v>
      </c>
      <c r="M798" s="396" t="s">
        <v>4599</v>
      </c>
      <c r="N798" s="397">
        <v>579156.58919329999</v>
      </c>
      <c r="O798" s="396" t="s">
        <v>4698</v>
      </c>
    </row>
    <row r="799" spans="1:15" ht="26.4" x14ac:dyDescent="0.4">
      <c r="A799" s="396" t="s">
        <v>1174</v>
      </c>
      <c r="B799" s="394" t="s">
        <v>5902</v>
      </c>
      <c r="C799" s="394" t="s">
        <v>1175</v>
      </c>
      <c r="D799" s="394" t="s">
        <v>1039</v>
      </c>
      <c r="E799" s="395" t="s">
        <v>4</v>
      </c>
      <c r="F799" s="396" t="s">
        <v>5269</v>
      </c>
      <c r="G799" s="396" t="s">
        <v>781</v>
      </c>
      <c r="H799" s="396" t="s">
        <v>7217</v>
      </c>
      <c r="I799" s="396" t="s">
        <v>781</v>
      </c>
      <c r="J799" s="396" t="s">
        <v>7217</v>
      </c>
      <c r="K799" s="396" t="s">
        <v>781</v>
      </c>
      <c r="L799" s="397">
        <v>13.16</v>
      </c>
      <c r="M799" s="396" t="s">
        <v>4599</v>
      </c>
      <c r="N799" s="397">
        <v>579169.74919330003</v>
      </c>
      <c r="O799" s="396" t="s">
        <v>4703</v>
      </c>
    </row>
    <row r="800" spans="1:15" x14ac:dyDescent="0.4">
      <c r="A800" s="396" t="s">
        <v>1435</v>
      </c>
      <c r="B800" s="394" t="s">
        <v>395</v>
      </c>
      <c r="C800" s="394" t="s">
        <v>285</v>
      </c>
      <c r="D800" s="394" t="s">
        <v>1039</v>
      </c>
      <c r="E800" s="395" t="s">
        <v>8</v>
      </c>
      <c r="F800" s="396" t="s">
        <v>5570</v>
      </c>
      <c r="G800" s="396" t="s">
        <v>781</v>
      </c>
      <c r="H800" s="396" t="s">
        <v>7218</v>
      </c>
      <c r="I800" s="396" t="s">
        <v>781</v>
      </c>
      <c r="J800" s="396" t="s">
        <v>7217</v>
      </c>
      <c r="K800" s="396" t="s">
        <v>781</v>
      </c>
      <c r="L800" s="397">
        <v>13.157938</v>
      </c>
      <c r="M800" s="396" t="s">
        <v>4599</v>
      </c>
      <c r="N800" s="397">
        <v>579182.90713129996</v>
      </c>
      <c r="O800" s="396" t="s">
        <v>4703</v>
      </c>
    </row>
    <row r="801" spans="1:15" ht="26.4" x14ac:dyDescent="0.4">
      <c r="A801" s="396" t="s">
        <v>4701</v>
      </c>
      <c r="B801" s="394" t="s">
        <v>395</v>
      </c>
      <c r="C801" s="394" t="s">
        <v>4702</v>
      </c>
      <c r="D801" s="394" t="s">
        <v>1039</v>
      </c>
      <c r="E801" s="395" t="s">
        <v>8</v>
      </c>
      <c r="F801" s="396" t="s">
        <v>5515</v>
      </c>
      <c r="G801" s="396" t="s">
        <v>781</v>
      </c>
      <c r="H801" s="396" t="s">
        <v>7219</v>
      </c>
      <c r="I801" s="396" t="s">
        <v>781</v>
      </c>
      <c r="J801" s="396" t="s">
        <v>7220</v>
      </c>
      <c r="K801" s="396" t="s">
        <v>781</v>
      </c>
      <c r="L801" s="397">
        <v>13.115</v>
      </c>
      <c r="M801" s="396" t="s">
        <v>4599</v>
      </c>
      <c r="N801" s="397">
        <v>579196.02213129995</v>
      </c>
      <c r="O801" s="396" t="s">
        <v>4703</v>
      </c>
    </row>
    <row r="802" spans="1:15" x14ac:dyDescent="0.4">
      <c r="A802" s="396" t="s">
        <v>4704</v>
      </c>
      <c r="B802" s="394" t="s">
        <v>395</v>
      </c>
      <c r="C802" s="394" t="s">
        <v>4705</v>
      </c>
      <c r="D802" s="394" t="s">
        <v>1053</v>
      </c>
      <c r="E802" s="395" t="s">
        <v>6</v>
      </c>
      <c r="F802" s="396" t="s">
        <v>7221</v>
      </c>
      <c r="G802" s="396" t="s">
        <v>781</v>
      </c>
      <c r="H802" s="396" t="s">
        <v>6550</v>
      </c>
      <c r="I802" s="396" t="s">
        <v>781</v>
      </c>
      <c r="J802" s="396" t="s">
        <v>7222</v>
      </c>
      <c r="K802" s="396" t="s">
        <v>781</v>
      </c>
      <c r="L802" s="397">
        <v>13.05204971</v>
      </c>
      <c r="M802" s="396" t="s">
        <v>4599</v>
      </c>
      <c r="N802" s="397">
        <v>579209.074181</v>
      </c>
      <c r="O802" s="396" t="s">
        <v>4703</v>
      </c>
    </row>
    <row r="803" spans="1:15" x14ac:dyDescent="0.4">
      <c r="A803" s="396" t="s">
        <v>9455</v>
      </c>
      <c r="B803" s="394" t="s">
        <v>408</v>
      </c>
      <c r="C803" s="394" t="s">
        <v>9456</v>
      </c>
      <c r="D803" s="394" t="s">
        <v>1039</v>
      </c>
      <c r="E803" s="395" t="s">
        <v>4</v>
      </c>
      <c r="F803" s="396" t="s">
        <v>9457</v>
      </c>
      <c r="G803" s="396" t="s">
        <v>781</v>
      </c>
      <c r="H803" s="396" t="s">
        <v>9458</v>
      </c>
      <c r="I803" s="396" t="s">
        <v>781</v>
      </c>
      <c r="J803" s="396" t="s">
        <v>9459</v>
      </c>
      <c r="K803" s="396" t="s">
        <v>781</v>
      </c>
      <c r="L803" s="397">
        <v>13.006</v>
      </c>
      <c r="M803" s="396" t="s">
        <v>4599</v>
      </c>
      <c r="N803" s="397">
        <v>579222.08018100006</v>
      </c>
      <c r="O803" s="396" t="s">
        <v>4703</v>
      </c>
    </row>
    <row r="804" spans="1:15" ht="26.4" x14ac:dyDescent="0.4">
      <c r="A804" s="396" t="s">
        <v>4752</v>
      </c>
      <c r="B804" s="394" t="s">
        <v>395</v>
      </c>
      <c r="C804" s="394" t="s">
        <v>4753</v>
      </c>
      <c r="D804" s="394" t="s">
        <v>1039</v>
      </c>
      <c r="E804" s="395" t="s">
        <v>4</v>
      </c>
      <c r="F804" s="396" t="s">
        <v>5305</v>
      </c>
      <c r="G804" s="396" t="s">
        <v>781</v>
      </c>
      <c r="H804" s="396" t="s">
        <v>7224</v>
      </c>
      <c r="I804" s="396" t="s">
        <v>781</v>
      </c>
      <c r="J804" s="396" t="s">
        <v>7225</v>
      </c>
      <c r="K804" s="396" t="s">
        <v>781</v>
      </c>
      <c r="L804" s="397">
        <v>12.92</v>
      </c>
      <c r="M804" s="396" t="s">
        <v>4599</v>
      </c>
      <c r="N804" s="397">
        <v>579235.00018099998</v>
      </c>
      <c r="O804" s="396" t="s">
        <v>4708</v>
      </c>
    </row>
    <row r="805" spans="1:15" x14ac:dyDescent="0.4">
      <c r="A805" s="396" t="s">
        <v>1425</v>
      </c>
      <c r="B805" s="394" t="s">
        <v>408</v>
      </c>
      <c r="C805" s="394" t="s">
        <v>1426</v>
      </c>
      <c r="D805" s="394" t="s">
        <v>1039</v>
      </c>
      <c r="E805" s="395" t="s">
        <v>3</v>
      </c>
      <c r="F805" s="396" t="s">
        <v>5524</v>
      </c>
      <c r="G805" s="396" t="s">
        <v>781</v>
      </c>
      <c r="H805" s="396" t="s">
        <v>7226</v>
      </c>
      <c r="I805" s="396" t="s">
        <v>781</v>
      </c>
      <c r="J805" s="396" t="s">
        <v>7225</v>
      </c>
      <c r="K805" s="396" t="s">
        <v>781</v>
      </c>
      <c r="L805" s="397">
        <v>12.919499999999999</v>
      </c>
      <c r="M805" s="396" t="s">
        <v>4599</v>
      </c>
      <c r="N805" s="397">
        <v>579247.91968100006</v>
      </c>
      <c r="O805" s="396" t="s">
        <v>4708</v>
      </c>
    </row>
    <row r="806" spans="1:15" ht="26.4" x14ac:dyDescent="0.4">
      <c r="A806" s="396" t="s">
        <v>4684</v>
      </c>
      <c r="B806" s="394" t="s">
        <v>395</v>
      </c>
      <c r="C806" s="394" t="s">
        <v>4685</v>
      </c>
      <c r="D806" s="394" t="s">
        <v>1039</v>
      </c>
      <c r="E806" s="395" t="s">
        <v>4</v>
      </c>
      <c r="F806" s="396" t="s">
        <v>5269</v>
      </c>
      <c r="G806" s="396" t="s">
        <v>781</v>
      </c>
      <c r="H806" s="396" t="s">
        <v>7227</v>
      </c>
      <c r="I806" s="396" t="s">
        <v>781</v>
      </c>
      <c r="J806" s="396" t="s">
        <v>7227</v>
      </c>
      <c r="K806" s="396" t="s">
        <v>781</v>
      </c>
      <c r="L806" s="397">
        <v>12.9</v>
      </c>
      <c r="M806" s="396" t="s">
        <v>4599</v>
      </c>
      <c r="N806" s="397">
        <v>579260.81968099996</v>
      </c>
      <c r="O806" s="396" t="s">
        <v>4708</v>
      </c>
    </row>
    <row r="807" spans="1:15" x14ac:dyDescent="0.4">
      <c r="A807" s="396" t="s">
        <v>1600</v>
      </c>
      <c r="B807" s="394" t="s">
        <v>575</v>
      </c>
      <c r="C807" s="394" t="s">
        <v>802</v>
      </c>
      <c r="D807" s="394" t="s">
        <v>1039</v>
      </c>
      <c r="E807" s="395" t="s">
        <v>437</v>
      </c>
      <c r="F807" s="396" t="s">
        <v>5323</v>
      </c>
      <c r="G807" s="396" t="s">
        <v>781</v>
      </c>
      <c r="H807" s="396" t="s">
        <v>9460</v>
      </c>
      <c r="I807" s="396" t="s">
        <v>781</v>
      </c>
      <c r="J807" s="396" t="s">
        <v>9461</v>
      </c>
      <c r="K807" s="396" t="s">
        <v>781</v>
      </c>
      <c r="L807" s="397">
        <v>12.81</v>
      </c>
      <c r="M807" s="396" t="s">
        <v>4599</v>
      </c>
      <c r="N807" s="397">
        <v>579273.62968100002</v>
      </c>
      <c r="O807" s="396" t="s">
        <v>4708</v>
      </c>
    </row>
    <row r="808" spans="1:15" x14ac:dyDescent="0.4">
      <c r="A808" s="396" t="s">
        <v>4978</v>
      </c>
      <c r="B808" s="394" t="s">
        <v>395</v>
      </c>
      <c r="C808" s="394" t="s">
        <v>4979</v>
      </c>
      <c r="D808" s="394" t="s">
        <v>1039</v>
      </c>
      <c r="E808" s="395" t="s">
        <v>713</v>
      </c>
      <c r="F808" s="396" t="s">
        <v>7228</v>
      </c>
      <c r="G808" s="396" t="s">
        <v>781</v>
      </c>
      <c r="H808" s="396" t="s">
        <v>7229</v>
      </c>
      <c r="I808" s="396" t="s">
        <v>781</v>
      </c>
      <c r="J808" s="396" t="s">
        <v>7230</v>
      </c>
      <c r="K808" s="396" t="s">
        <v>781</v>
      </c>
      <c r="L808" s="397">
        <v>12.7711925</v>
      </c>
      <c r="M808" s="396" t="s">
        <v>4599</v>
      </c>
      <c r="N808" s="397">
        <v>579286.40087350004</v>
      </c>
      <c r="O808" s="396" t="s">
        <v>4710</v>
      </c>
    </row>
    <row r="809" spans="1:15" x14ac:dyDescent="0.4">
      <c r="A809" s="396" t="s">
        <v>1083</v>
      </c>
      <c r="B809" s="394" t="s">
        <v>408</v>
      </c>
      <c r="C809" s="394" t="s">
        <v>1084</v>
      </c>
      <c r="D809" s="394" t="s">
        <v>1039</v>
      </c>
      <c r="E809" s="395" t="s">
        <v>4</v>
      </c>
      <c r="F809" s="396" t="s">
        <v>5273</v>
      </c>
      <c r="G809" s="396" t="s">
        <v>781</v>
      </c>
      <c r="H809" s="396" t="s">
        <v>7231</v>
      </c>
      <c r="I809" s="396" t="s">
        <v>781</v>
      </c>
      <c r="J809" s="396" t="s">
        <v>7232</v>
      </c>
      <c r="K809" s="396" t="s">
        <v>781</v>
      </c>
      <c r="L809" s="397">
        <v>12.72</v>
      </c>
      <c r="M809" s="396" t="s">
        <v>4599</v>
      </c>
      <c r="N809" s="397">
        <v>579299.12087350001</v>
      </c>
      <c r="O809" s="396" t="s">
        <v>4710</v>
      </c>
    </row>
    <row r="810" spans="1:15" x14ac:dyDescent="0.4">
      <c r="A810" s="396" t="s">
        <v>7233</v>
      </c>
      <c r="B810" s="394" t="s">
        <v>439</v>
      </c>
      <c r="C810" s="394" t="s">
        <v>4723</v>
      </c>
      <c r="D810" s="394" t="s">
        <v>1039</v>
      </c>
      <c r="E810" s="395" t="s">
        <v>1109</v>
      </c>
      <c r="F810" s="396" t="s">
        <v>7005</v>
      </c>
      <c r="G810" s="396" t="s">
        <v>781</v>
      </c>
      <c r="H810" s="396" t="s">
        <v>5740</v>
      </c>
      <c r="I810" s="396" t="s">
        <v>781</v>
      </c>
      <c r="J810" s="396" t="s">
        <v>7234</v>
      </c>
      <c r="K810" s="396" t="s">
        <v>781</v>
      </c>
      <c r="L810" s="397">
        <v>12.693070799999999</v>
      </c>
      <c r="M810" s="396" t="s">
        <v>4599</v>
      </c>
      <c r="N810" s="397">
        <v>579311.81394430005</v>
      </c>
      <c r="O810" s="396" t="s">
        <v>4710</v>
      </c>
    </row>
    <row r="811" spans="1:15" ht="26.4" x14ac:dyDescent="0.4">
      <c r="A811" s="396" t="s">
        <v>4729</v>
      </c>
      <c r="B811" s="394" t="s">
        <v>395</v>
      </c>
      <c r="C811" s="394" t="s">
        <v>4730</v>
      </c>
      <c r="D811" s="394" t="s">
        <v>1039</v>
      </c>
      <c r="E811" s="395" t="s">
        <v>7</v>
      </c>
      <c r="F811" s="396" t="s">
        <v>7235</v>
      </c>
      <c r="G811" s="396" t="s">
        <v>781</v>
      </c>
      <c r="H811" s="396" t="s">
        <v>5674</v>
      </c>
      <c r="I811" s="396" t="s">
        <v>781</v>
      </c>
      <c r="J811" s="396" t="s">
        <v>7234</v>
      </c>
      <c r="K811" s="396" t="s">
        <v>781</v>
      </c>
      <c r="L811" s="397">
        <v>12.690794478999999</v>
      </c>
      <c r="M811" s="396" t="s">
        <v>4599</v>
      </c>
      <c r="N811" s="397">
        <v>579324.50473879999</v>
      </c>
      <c r="O811" s="396" t="s">
        <v>4710</v>
      </c>
    </row>
    <row r="812" spans="1:15" ht="26.4" x14ac:dyDescent="0.4">
      <c r="A812" s="396" t="s">
        <v>2473</v>
      </c>
      <c r="B812" s="394" t="s">
        <v>5902</v>
      </c>
      <c r="C812" s="394" t="s">
        <v>2474</v>
      </c>
      <c r="D812" s="394" t="s">
        <v>1039</v>
      </c>
      <c r="E812" s="395" t="s">
        <v>4</v>
      </c>
      <c r="F812" s="396" t="s">
        <v>5269</v>
      </c>
      <c r="G812" s="396" t="s">
        <v>781</v>
      </c>
      <c r="H812" s="396" t="s">
        <v>7236</v>
      </c>
      <c r="I812" s="396" t="s">
        <v>781</v>
      </c>
      <c r="J812" s="396" t="s">
        <v>7236</v>
      </c>
      <c r="K812" s="396" t="s">
        <v>781</v>
      </c>
      <c r="L812" s="397">
        <v>12.65</v>
      </c>
      <c r="M812" s="396" t="s">
        <v>4599</v>
      </c>
      <c r="N812" s="397">
        <v>579337.15473880002</v>
      </c>
      <c r="O812" s="396" t="s">
        <v>4710</v>
      </c>
    </row>
    <row r="813" spans="1:15" ht="26.4" x14ac:dyDescent="0.4">
      <c r="A813" s="396" t="s">
        <v>4690</v>
      </c>
      <c r="B813" s="394" t="s">
        <v>395</v>
      </c>
      <c r="C813" s="394" t="s">
        <v>4691</v>
      </c>
      <c r="D813" s="394" t="s">
        <v>1039</v>
      </c>
      <c r="E813" s="395" t="s">
        <v>4</v>
      </c>
      <c r="F813" s="396" t="s">
        <v>5269</v>
      </c>
      <c r="G813" s="396" t="s">
        <v>781</v>
      </c>
      <c r="H813" s="396" t="s">
        <v>7237</v>
      </c>
      <c r="I813" s="396" t="s">
        <v>781</v>
      </c>
      <c r="J813" s="396" t="s">
        <v>7237</v>
      </c>
      <c r="K813" s="396" t="s">
        <v>781</v>
      </c>
      <c r="L813" s="397">
        <v>12.6</v>
      </c>
      <c r="M813" s="396" t="s">
        <v>4599</v>
      </c>
      <c r="N813" s="397">
        <v>579349.75473879999</v>
      </c>
      <c r="O813" s="396" t="s">
        <v>4715</v>
      </c>
    </row>
    <row r="814" spans="1:15" ht="26.4" x14ac:dyDescent="0.4">
      <c r="A814" s="396" t="s">
        <v>7263</v>
      </c>
      <c r="B814" s="394" t="s">
        <v>420</v>
      </c>
      <c r="C814" s="394" t="s">
        <v>7264</v>
      </c>
      <c r="D814" s="394" t="s">
        <v>1039</v>
      </c>
      <c r="E814" s="395" t="s">
        <v>1246</v>
      </c>
      <c r="F814" s="396" t="s">
        <v>5524</v>
      </c>
      <c r="G814" s="396" t="s">
        <v>781</v>
      </c>
      <c r="H814" s="396" t="s">
        <v>5474</v>
      </c>
      <c r="I814" s="396" t="s">
        <v>781</v>
      </c>
      <c r="J814" s="396" t="s">
        <v>7237</v>
      </c>
      <c r="K814" s="396" t="s">
        <v>781</v>
      </c>
      <c r="L814" s="397">
        <v>12.6</v>
      </c>
      <c r="M814" s="396" t="s">
        <v>4599</v>
      </c>
      <c r="N814" s="397">
        <v>579362.35473879997</v>
      </c>
      <c r="O814" s="396" t="s">
        <v>4715</v>
      </c>
    </row>
    <row r="815" spans="1:15" ht="26.4" x14ac:dyDescent="0.4">
      <c r="A815" s="396" t="s">
        <v>1231</v>
      </c>
      <c r="B815" s="394" t="s">
        <v>5902</v>
      </c>
      <c r="C815" s="394" t="s">
        <v>1232</v>
      </c>
      <c r="D815" s="394" t="s">
        <v>1039</v>
      </c>
      <c r="E815" s="395" t="s">
        <v>4</v>
      </c>
      <c r="F815" s="396" t="s">
        <v>5284</v>
      </c>
      <c r="G815" s="396" t="s">
        <v>781</v>
      </c>
      <c r="H815" s="396" t="s">
        <v>7238</v>
      </c>
      <c r="I815" s="396" t="s">
        <v>781</v>
      </c>
      <c r="J815" s="396" t="s">
        <v>5537</v>
      </c>
      <c r="K815" s="396" t="s">
        <v>781</v>
      </c>
      <c r="L815" s="397">
        <v>12.54</v>
      </c>
      <c r="M815" s="396" t="s">
        <v>4599</v>
      </c>
      <c r="N815" s="397">
        <v>579374.89473880001</v>
      </c>
      <c r="O815" s="396" t="s">
        <v>4715</v>
      </c>
    </row>
    <row r="816" spans="1:15" x14ac:dyDescent="0.4">
      <c r="A816" s="396" t="s">
        <v>2440</v>
      </c>
      <c r="B816" s="394" t="s">
        <v>420</v>
      </c>
      <c r="C816" s="394" t="s">
        <v>2441</v>
      </c>
      <c r="D816" s="394" t="s">
        <v>1039</v>
      </c>
      <c r="E816" s="395" t="s">
        <v>422</v>
      </c>
      <c r="F816" s="396" t="s">
        <v>5269</v>
      </c>
      <c r="G816" s="396" t="s">
        <v>781</v>
      </c>
      <c r="H816" s="396" t="s">
        <v>7239</v>
      </c>
      <c r="I816" s="396" t="s">
        <v>781</v>
      </c>
      <c r="J816" s="396" t="s">
        <v>7239</v>
      </c>
      <c r="K816" s="396" t="s">
        <v>781</v>
      </c>
      <c r="L816" s="397">
        <v>12.5</v>
      </c>
      <c r="M816" s="396" t="s">
        <v>4599</v>
      </c>
      <c r="N816" s="397">
        <v>579387.39473880001</v>
      </c>
      <c r="O816" s="396" t="s">
        <v>4715</v>
      </c>
    </row>
    <row r="817" spans="1:15" ht="26.4" x14ac:dyDescent="0.4">
      <c r="A817" s="396" t="s">
        <v>4692</v>
      </c>
      <c r="B817" s="394" t="s">
        <v>395</v>
      </c>
      <c r="C817" s="394" t="s">
        <v>4693</v>
      </c>
      <c r="D817" s="394" t="s">
        <v>1039</v>
      </c>
      <c r="E817" s="395" t="s">
        <v>4</v>
      </c>
      <c r="F817" s="396" t="s">
        <v>5269</v>
      </c>
      <c r="G817" s="396" t="s">
        <v>781</v>
      </c>
      <c r="H817" s="396" t="s">
        <v>7240</v>
      </c>
      <c r="I817" s="396" t="s">
        <v>781</v>
      </c>
      <c r="J817" s="396" t="s">
        <v>7240</v>
      </c>
      <c r="K817" s="396" t="s">
        <v>781</v>
      </c>
      <c r="L817" s="397">
        <v>12.38</v>
      </c>
      <c r="M817" s="396" t="s">
        <v>4599</v>
      </c>
      <c r="N817" s="397">
        <v>579399.77473880001</v>
      </c>
      <c r="O817" s="396" t="s">
        <v>4715</v>
      </c>
    </row>
    <row r="818" spans="1:15" x14ac:dyDescent="0.4">
      <c r="A818" s="396" t="s">
        <v>4725</v>
      </c>
      <c r="B818" s="394" t="s">
        <v>395</v>
      </c>
      <c r="C818" s="394" t="s">
        <v>4726</v>
      </c>
      <c r="D818" s="394" t="s">
        <v>1039</v>
      </c>
      <c r="E818" s="395" t="s">
        <v>7</v>
      </c>
      <c r="F818" s="396" t="s">
        <v>7165</v>
      </c>
      <c r="G818" s="396" t="s">
        <v>781</v>
      </c>
      <c r="H818" s="396" t="s">
        <v>7241</v>
      </c>
      <c r="I818" s="396" t="s">
        <v>781</v>
      </c>
      <c r="J818" s="396" t="s">
        <v>5553</v>
      </c>
      <c r="K818" s="396" t="s">
        <v>781</v>
      </c>
      <c r="L818" s="397">
        <v>12.089154000000001</v>
      </c>
      <c r="M818" s="396" t="s">
        <v>4599</v>
      </c>
      <c r="N818" s="397">
        <v>579411.86389279994</v>
      </c>
      <c r="O818" s="396" t="s">
        <v>4719</v>
      </c>
    </row>
    <row r="819" spans="1:15" x14ac:dyDescent="0.4">
      <c r="A819" s="396" t="s">
        <v>2590</v>
      </c>
      <c r="B819" s="394" t="s">
        <v>395</v>
      </c>
      <c r="C819" s="394" t="s">
        <v>234</v>
      </c>
      <c r="D819" s="394" t="s">
        <v>1039</v>
      </c>
      <c r="E819" s="395" t="s">
        <v>4</v>
      </c>
      <c r="F819" s="396" t="s">
        <v>5305</v>
      </c>
      <c r="G819" s="396" t="s">
        <v>781</v>
      </c>
      <c r="H819" s="396" t="s">
        <v>5508</v>
      </c>
      <c r="I819" s="396" t="s">
        <v>781</v>
      </c>
      <c r="J819" s="396" t="s">
        <v>7242</v>
      </c>
      <c r="K819" s="396" t="s">
        <v>781</v>
      </c>
      <c r="L819" s="397">
        <v>11.96</v>
      </c>
      <c r="M819" s="396" t="s">
        <v>4599</v>
      </c>
      <c r="N819" s="397">
        <v>579423.82389280002</v>
      </c>
      <c r="O819" s="396" t="s">
        <v>4719</v>
      </c>
    </row>
    <row r="820" spans="1:15" ht="39.6" x14ac:dyDescent="0.4">
      <c r="A820" s="396" t="s">
        <v>1200</v>
      </c>
      <c r="B820" s="394" t="s">
        <v>5902</v>
      </c>
      <c r="C820" s="394" t="s">
        <v>1201</v>
      </c>
      <c r="D820" s="394" t="s">
        <v>1039</v>
      </c>
      <c r="E820" s="395" t="s">
        <v>7</v>
      </c>
      <c r="F820" s="396" t="s">
        <v>5345</v>
      </c>
      <c r="G820" s="396" t="s">
        <v>781</v>
      </c>
      <c r="H820" s="396" t="s">
        <v>7243</v>
      </c>
      <c r="I820" s="396" t="s">
        <v>781</v>
      </c>
      <c r="J820" s="396" t="s">
        <v>5556</v>
      </c>
      <c r="K820" s="396" t="s">
        <v>781</v>
      </c>
      <c r="L820" s="397">
        <v>11.9544</v>
      </c>
      <c r="M820" s="396" t="s">
        <v>4599</v>
      </c>
      <c r="N820" s="397">
        <v>579435.77829279995</v>
      </c>
      <c r="O820" s="396" t="s">
        <v>4719</v>
      </c>
    </row>
    <row r="821" spans="1:15" ht="26.4" x14ac:dyDescent="0.4">
      <c r="A821" s="396" t="s">
        <v>4720</v>
      </c>
      <c r="B821" s="394" t="s">
        <v>395</v>
      </c>
      <c r="C821" s="394" t="s">
        <v>4721</v>
      </c>
      <c r="D821" s="394" t="s">
        <v>1039</v>
      </c>
      <c r="E821" s="395" t="s">
        <v>7</v>
      </c>
      <c r="F821" s="396" t="s">
        <v>5505</v>
      </c>
      <c r="G821" s="396" t="s">
        <v>781</v>
      </c>
      <c r="H821" s="396" t="s">
        <v>7244</v>
      </c>
      <c r="I821" s="396" t="s">
        <v>781</v>
      </c>
      <c r="J821" s="396" t="s">
        <v>5556</v>
      </c>
      <c r="K821" s="396" t="s">
        <v>781</v>
      </c>
      <c r="L821" s="397">
        <v>11.946</v>
      </c>
      <c r="M821" s="396" t="s">
        <v>4599</v>
      </c>
      <c r="N821" s="397">
        <v>579447.72429279995</v>
      </c>
      <c r="O821" s="396" t="s">
        <v>4719</v>
      </c>
    </row>
    <row r="822" spans="1:15" x14ac:dyDescent="0.4">
      <c r="A822" s="396" t="s">
        <v>1569</v>
      </c>
      <c r="B822" s="394" t="s">
        <v>490</v>
      </c>
      <c r="C822" s="394" t="s">
        <v>1570</v>
      </c>
      <c r="D822" s="394" t="s">
        <v>1039</v>
      </c>
      <c r="E822" s="395" t="s">
        <v>7</v>
      </c>
      <c r="F822" s="396" t="s">
        <v>5368</v>
      </c>
      <c r="G822" s="396" t="s">
        <v>781</v>
      </c>
      <c r="H822" s="396" t="s">
        <v>5509</v>
      </c>
      <c r="I822" s="396" t="s">
        <v>781</v>
      </c>
      <c r="J822" s="396" t="s">
        <v>7245</v>
      </c>
      <c r="K822" s="396" t="s">
        <v>781</v>
      </c>
      <c r="L822" s="397">
        <v>11.891</v>
      </c>
      <c r="M822" s="396" t="s">
        <v>4599</v>
      </c>
      <c r="N822" s="397">
        <v>579459.61529280001</v>
      </c>
      <c r="O822" s="396" t="s">
        <v>4722</v>
      </c>
    </row>
    <row r="823" spans="1:15" x14ac:dyDescent="0.4">
      <c r="A823" s="396" t="s">
        <v>9462</v>
      </c>
      <c r="B823" s="394" t="s">
        <v>8393</v>
      </c>
      <c r="C823" s="394" t="s">
        <v>9463</v>
      </c>
      <c r="D823" s="394" t="s">
        <v>1039</v>
      </c>
      <c r="E823" s="395" t="s">
        <v>9464</v>
      </c>
      <c r="F823" s="396" t="s">
        <v>5770</v>
      </c>
      <c r="G823" s="396" t="s">
        <v>781</v>
      </c>
      <c r="H823" s="396" t="s">
        <v>9465</v>
      </c>
      <c r="I823" s="396" t="s">
        <v>781</v>
      </c>
      <c r="J823" s="396" t="s">
        <v>9466</v>
      </c>
      <c r="K823" s="396" t="s">
        <v>781</v>
      </c>
      <c r="L823" s="397">
        <v>11.83</v>
      </c>
      <c r="M823" s="396" t="s">
        <v>4599</v>
      </c>
      <c r="N823" s="397">
        <v>579471.44529279997</v>
      </c>
      <c r="O823" s="396" t="s">
        <v>4722</v>
      </c>
    </row>
    <row r="824" spans="1:15" x14ac:dyDescent="0.4">
      <c r="A824" s="396" t="s">
        <v>4699</v>
      </c>
      <c r="B824" s="394" t="s">
        <v>395</v>
      </c>
      <c r="C824" s="394" t="s">
        <v>4700</v>
      </c>
      <c r="D824" s="394" t="s">
        <v>1039</v>
      </c>
      <c r="E824" s="395" t="s">
        <v>4</v>
      </c>
      <c r="F824" s="396" t="s">
        <v>5269</v>
      </c>
      <c r="G824" s="396" t="s">
        <v>781</v>
      </c>
      <c r="H824" s="396" t="s">
        <v>5559</v>
      </c>
      <c r="I824" s="396" t="s">
        <v>781</v>
      </c>
      <c r="J824" s="396" t="s">
        <v>5559</v>
      </c>
      <c r="K824" s="396" t="s">
        <v>781</v>
      </c>
      <c r="L824" s="397">
        <v>11.76</v>
      </c>
      <c r="M824" s="396" t="s">
        <v>4599</v>
      </c>
      <c r="N824" s="397">
        <v>579483.20529279998</v>
      </c>
      <c r="O824" s="396" t="s">
        <v>4722</v>
      </c>
    </row>
    <row r="825" spans="1:15" x14ac:dyDescent="0.4">
      <c r="A825" s="396" t="s">
        <v>7246</v>
      </c>
      <c r="B825" s="394" t="s">
        <v>420</v>
      </c>
      <c r="C825" s="394" t="s">
        <v>7247</v>
      </c>
      <c r="D825" s="394" t="s">
        <v>1039</v>
      </c>
      <c r="E825" s="395" t="s">
        <v>422</v>
      </c>
      <c r="F825" s="396" t="s">
        <v>5269</v>
      </c>
      <c r="G825" s="396" t="s">
        <v>781</v>
      </c>
      <c r="H825" s="396" t="s">
        <v>5559</v>
      </c>
      <c r="I825" s="396" t="s">
        <v>781</v>
      </c>
      <c r="J825" s="396" t="s">
        <v>5559</v>
      </c>
      <c r="K825" s="396" t="s">
        <v>781</v>
      </c>
      <c r="L825" s="397">
        <v>11.76</v>
      </c>
      <c r="M825" s="396" t="s">
        <v>4599</v>
      </c>
      <c r="N825" s="397">
        <v>579494.96529279999</v>
      </c>
      <c r="O825" s="396" t="s">
        <v>4722</v>
      </c>
    </row>
    <row r="826" spans="1:15" ht="26.4" x14ac:dyDescent="0.4">
      <c r="A826" s="396" t="s">
        <v>4670</v>
      </c>
      <c r="B826" s="394" t="s">
        <v>395</v>
      </c>
      <c r="C826" s="394" t="s">
        <v>4671</v>
      </c>
      <c r="D826" s="394" t="s">
        <v>1039</v>
      </c>
      <c r="E826" s="395" t="s">
        <v>4</v>
      </c>
      <c r="F826" s="396" t="s">
        <v>5269</v>
      </c>
      <c r="G826" s="396" t="s">
        <v>781</v>
      </c>
      <c r="H826" s="396" t="s">
        <v>7248</v>
      </c>
      <c r="I826" s="396" t="s">
        <v>781</v>
      </c>
      <c r="J826" s="396" t="s">
        <v>7248</v>
      </c>
      <c r="K826" s="396" t="s">
        <v>781</v>
      </c>
      <c r="L826" s="397">
        <v>11.7</v>
      </c>
      <c r="M826" s="396" t="s">
        <v>4599</v>
      </c>
      <c r="N826" s="397">
        <v>579506.66529280005</v>
      </c>
      <c r="O826" s="396" t="s">
        <v>4722</v>
      </c>
    </row>
    <row r="827" spans="1:15" x14ac:dyDescent="0.4">
      <c r="A827" s="396" t="s">
        <v>3040</v>
      </c>
      <c r="B827" s="394" t="s">
        <v>408</v>
      </c>
      <c r="C827" s="394" t="s">
        <v>3041</v>
      </c>
      <c r="D827" s="394" t="s">
        <v>1039</v>
      </c>
      <c r="E827" s="395" t="s">
        <v>380</v>
      </c>
      <c r="F827" s="396" t="s">
        <v>5290</v>
      </c>
      <c r="G827" s="396" t="s">
        <v>781</v>
      </c>
      <c r="H827" s="396" t="s">
        <v>7249</v>
      </c>
      <c r="I827" s="396" t="s">
        <v>781</v>
      </c>
      <c r="J827" s="396" t="s">
        <v>7248</v>
      </c>
      <c r="K827" s="396" t="s">
        <v>781</v>
      </c>
      <c r="L827" s="397">
        <v>11.7</v>
      </c>
      <c r="M827" s="396" t="s">
        <v>4599</v>
      </c>
      <c r="N827" s="397">
        <v>579518.36529280001</v>
      </c>
      <c r="O827" s="396" t="s">
        <v>4724</v>
      </c>
    </row>
    <row r="828" spans="1:15" x14ac:dyDescent="0.4">
      <c r="A828" s="396" t="s">
        <v>7250</v>
      </c>
      <c r="B828" s="394" t="s">
        <v>408</v>
      </c>
      <c r="C828" s="394" t="s">
        <v>7251</v>
      </c>
      <c r="D828" s="394" t="s">
        <v>1039</v>
      </c>
      <c r="E828" s="395" t="s">
        <v>4</v>
      </c>
      <c r="F828" s="396" t="s">
        <v>5292</v>
      </c>
      <c r="G828" s="396" t="s">
        <v>781</v>
      </c>
      <c r="H828" s="396" t="s">
        <v>7252</v>
      </c>
      <c r="I828" s="396" t="s">
        <v>781</v>
      </c>
      <c r="J828" s="396" t="s">
        <v>7248</v>
      </c>
      <c r="K828" s="396" t="s">
        <v>781</v>
      </c>
      <c r="L828" s="397">
        <v>11.7</v>
      </c>
      <c r="M828" s="396" t="s">
        <v>4599</v>
      </c>
      <c r="N828" s="397">
        <v>579530.06529279996</v>
      </c>
      <c r="O828" s="396" t="s">
        <v>4724</v>
      </c>
    </row>
    <row r="829" spans="1:15" x14ac:dyDescent="0.4">
      <c r="A829" s="396" t="s">
        <v>2450</v>
      </c>
      <c r="B829" s="394" t="s">
        <v>420</v>
      </c>
      <c r="C829" s="394" t="s">
        <v>2451</v>
      </c>
      <c r="D829" s="394" t="s">
        <v>1039</v>
      </c>
      <c r="E829" s="395" t="s">
        <v>1324</v>
      </c>
      <c r="F829" s="396" t="s">
        <v>5460</v>
      </c>
      <c r="G829" s="396" t="s">
        <v>781</v>
      </c>
      <c r="H829" s="396" t="s">
        <v>5561</v>
      </c>
      <c r="I829" s="396" t="s">
        <v>781</v>
      </c>
      <c r="J829" s="396" t="s">
        <v>5562</v>
      </c>
      <c r="K829" s="396" t="s">
        <v>781</v>
      </c>
      <c r="L829" s="397">
        <v>11.52</v>
      </c>
      <c r="M829" s="396" t="s">
        <v>4599</v>
      </c>
      <c r="N829" s="397">
        <v>579541.58529279998</v>
      </c>
      <c r="O829" s="396" t="s">
        <v>4724</v>
      </c>
    </row>
    <row r="830" spans="1:15" x14ac:dyDescent="0.4">
      <c r="A830" s="396" t="s">
        <v>2426</v>
      </c>
      <c r="B830" s="394" t="s">
        <v>408</v>
      </c>
      <c r="C830" s="394" t="s">
        <v>2427</v>
      </c>
      <c r="D830" s="394" t="s">
        <v>1039</v>
      </c>
      <c r="E830" s="395" t="s">
        <v>4</v>
      </c>
      <c r="F830" s="396" t="s">
        <v>5273</v>
      </c>
      <c r="G830" s="396" t="s">
        <v>781</v>
      </c>
      <c r="H830" s="396" t="s">
        <v>7253</v>
      </c>
      <c r="I830" s="396" t="s">
        <v>781</v>
      </c>
      <c r="J830" s="396" t="s">
        <v>5800</v>
      </c>
      <c r="K830" s="396" t="s">
        <v>781</v>
      </c>
      <c r="L830" s="397">
        <v>11.5</v>
      </c>
      <c r="M830" s="396" t="s">
        <v>4599</v>
      </c>
      <c r="N830" s="397">
        <v>579553.08529279998</v>
      </c>
      <c r="O830" s="396" t="s">
        <v>4724</v>
      </c>
    </row>
    <row r="831" spans="1:15" ht="26.4" x14ac:dyDescent="0.4">
      <c r="A831" s="396" t="s">
        <v>4561</v>
      </c>
      <c r="B831" s="394" t="s">
        <v>395</v>
      </c>
      <c r="C831" s="394" t="s">
        <v>4562</v>
      </c>
      <c r="D831" s="394" t="s">
        <v>1039</v>
      </c>
      <c r="E831" s="395" t="s">
        <v>4</v>
      </c>
      <c r="F831" s="396" t="s">
        <v>5269</v>
      </c>
      <c r="G831" s="396" t="s">
        <v>781</v>
      </c>
      <c r="H831" s="396" t="s">
        <v>7254</v>
      </c>
      <c r="I831" s="396" t="s">
        <v>781</v>
      </c>
      <c r="J831" s="396" t="s">
        <v>7254</v>
      </c>
      <c r="K831" s="396" t="s">
        <v>781</v>
      </c>
      <c r="L831" s="397">
        <v>11.36</v>
      </c>
      <c r="M831" s="396" t="s">
        <v>4599</v>
      </c>
      <c r="N831" s="397">
        <v>579564.44529279997</v>
      </c>
      <c r="O831" s="396" t="s">
        <v>4724</v>
      </c>
    </row>
    <row r="832" spans="1:15" x14ac:dyDescent="0.4">
      <c r="A832" s="396" t="s">
        <v>7255</v>
      </c>
      <c r="B832" s="394" t="s">
        <v>408</v>
      </c>
      <c r="C832" s="394" t="s">
        <v>7256</v>
      </c>
      <c r="D832" s="394" t="s">
        <v>1039</v>
      </c>
      <c r="E832" s="395" t="s">
        <v>4</v>
      </c>
      <c r="F832" s="396" t="s">
        <v>5323</v>
      </c>
      <c r="G832" s="396" t="s">
        <v>781</v>
      </c>
      <c r="H832" s="396" t="s">
        <v>5495</v>
      </c>
      <c r="I832" s="396" t="s">
        <v>781</v>
      </c>
      <c r="J832" s="396" t="s">
        <v>7257</v>
      </c>
      <c r="K832" s="396" t="s">
        <v>781</v>
      </c>
      <c r="L832" s="397">
        <v>11.319000000000001</v>
      </c>
      <c r="M832" s="396" t="s">
        <v>4599</v>
      </c>
      <c r="N832" s="397">
        <v>579575.76429279998</v>
      </c>
      <c r="O832" s="396" t="s">
        <v>4727</v>
      </c>
    </row>
    <row r="833" spans="1:15" x14ac:dyDescent="0.4">
      <c r="A833" s="396" t="s">
        <v>2375</v>
      </c>
      <c r="B833" s="394" t="s">
        <v>395</v>
      </c>
      <c r="C833" s="394" t="s">
        <v>402</v>
      </c>
      <c r="D833" s="394" t="s">
        <v>1053</v>
      </c>
      <c r="E833" s="395" t="s">
        <v>6</v>
      </c>
      <c r="F833" s="396" t="s">
        <v>7258</v>
      </c>
      <c r="G833" s="396" t="s">
        <v>781</v>
      </c>
      <c r="H833" s="396" t="s">
        <v>7259</v>
      </c>
      <c r="I833" s="396" t="s">
        <v>781</v>
      </c>
      <c r="J833" s="396" t="s">
        <v>7260</v>
      </c>
      <c r="K833" s="396" t="s">
        <v>781</v>
      </c>
      <c r="L833" s="397">
        <v>11.311496974000001</v>
      </c>
      <c r="M833" s="396" t="s">
        <v>4599</v>
      </c>
      <c r="N833" s="397">
        <v>579587.07578980003</v>
      </c>
      <c r="O833" s="396" t="s">
        <v>4727</v>
      </c>
    </row>
    <row r="834" spans="1:15" ht="26.4" x14ac:dyDescent="0.4">
      <c r="A834" s="396" t="s">
        <v>7261</v>
      </c>
      <c r="B834" s="394" t="s">
        <v>420</v>
      </c>
      <c r="C834" s="394" t="s">
        <v>7262</v>
      </c>
      <c r="D834" s="394" t="s">
        <v>1039</v>
      </c>
      <c r="E834" s="395" t="s">
        <v>422</v>
      </c>
      <c r="F834" s="396" t="s">
        <v>5273</v>
      </c>
      <c r="G834" s="396" t="s">
        <v>781</v>
      </c>
      <c r="H834" s="396" t="s">
        <v>7428</v>
      </c>
      <c r="I834" s="396" t="s">
        <v>781</v>
      </c>
      <c r="J834" s="396" t="s">
        <v>9467</v>
      </c>
      <c r="K834" s="396" t="s">
        <v>781</v>
      </c>
      <c r="L834" s="397">
        <v>11.28</v>
      </c>
      <c r="M834" s="396" t="s">
        <v>4599</v>
      </c>
      <c r="N834" s="397">
        <v>579598.35578980006</v>
      </c>
      <c r="O834" s="396" t="s">
        <v>4727</v>
      </c>
    </row>
    <row r="835" spans="1:15" x14ac:dyDescent="0.4">
      <c r="A835" s="396" t="s">
        <v>9468</v>
      </c>
      <c r="B835" s="394" t="s">
        <v>408</v>
      </c>
      <c r="C835" s="394" t="s">
        <v>9469</v>
      </c>
      <c r="D835" s="394" t="s">
        <v>1053</v>
      </c>
      <c r="E835" s="395" t="s">
        <v>6</v>
      </c>
      <c r="F835" s="396" t="s">
        <v>9470</v>
      </c>
      <c r="G835" s="396" t="s">
        <v>781</v>
      </c>
      <c r="H835" s="396" t="s">
        <v>5329</v>
      </c>
      <c r="I835" s="396" t="s">
        <v>781</v>
      </c>
      <c r="J835" s="396" t="s">
        <v>9471</v>
      </c>
      <c r="K835" s="396" t="s">
        <v>781</v>
      </c>
      <c r="L835" s="397">
        <v>11.226800000000001</v>
      </c>
      <c r="M835" s="396" t="s">
        <v>4599</v>
      </c>
      <c r="N835" s="397">
        <v>579609.5825898</v>
      </c>
      <c r="O835" s="396" t="s">
        <v>4727</v>
      </c>
    </row>
    <row r="836" spans="1:15" ht="52.8" x14ac:dyDescent="0.4">
      <c r="A836" s="396" t="s">
        <v>7265</v>
      </c>
      <c r="B836" s="394" t="s">
        <v>439</v>
      </c>
      <c r="C836" s="394" t="s">
        <v>1147</v>
      </c>
      <c r="D836" s="394" t="s">
        <v>1039</v>
      </c>
      <c r="E836" s="395" t="s">
        <v>422</v>
      </c>
      <c r="F836" s="396" t="s">
        <v>5273</v>
      </c>
      <c r="G836" s="396" t="s">
        <v>781</v>
      </c>
      <c r="H836" s="396" t="s">
        <v>7266</v>
      </c>
      <c r="I836" s="396" t="s">
        <v>781</v>
      </c>
      <c r="J836" s="396" t="s">
        <v>7267</v>
      </c>
      <c r="K836" s="396" t="s">
        <v>781</v>
      </c>
      <c r="L836" s="397">
        <v>11.2</v>
      </c>
      <c r="M836" s="396" t="s">
        <v>4599</v>
      </c>
      <c r="N836" s="397">
        <v>579620.78258979996</v>
      </c>
      <c r="O836" s="396" t="s">
        <v>4727</v>
      </c>
    </row>
    <row r="837" spans="1:15" x14ac:dyDescent="0.4">
      <c r="A837" s="396" t="s">
        <v>7268</v>
      </c>
      <c r="B837" s="394" t="s">
        <v>395</v>
      </c>
      <c r="C837" s="394" t="s">
        <v>7269</v>
      </c>
      <c r="D837" s="394" t="s">
        <v>1039</v>
      </c>
      <c r="E837" s="395" t="s">
        <v>3</v>
      </c>
      <c r="F837" s="396" t="s">
        <v>5539</v>
      </c>
      <c r="G837" s="396" t="s">
        <v>781</v>
      </c>
      <c r="H837" s="396" t="s">
        <v>6280</v>
      </c>
      <c r="I837" s="396" t="s">
        <v>781</v>
      </c>
      <c r="J837" s="396" t="s">
        <v>7270</v>
      </c>
      <c r="K837" s="396" t="s">
        <v>781</v>
      </c>
      <c r="L837" s="397">
        <v>11.14</v>
      </c>
      <c r="M837" s="396" t="s">
        <v>4599</v>
      </c>
      <c r="N837" s="397">
        <v>579631.92258979997</v>
      </c>
      <c r="O837" s="396" t="s">
        <v>4727</v>
      </c>
    </row>
    <row r="838" spans="1:15" x14ac:dyDescent="0.4">
      <c r="A838" s="396" t="s">
        <v>1573</v>
      </c>
      <c r="B838" s="394" t="s">
        <v>490</v>
      </c>
      <c r="C838" s="394" t="s">
        <v>1574</v>
      </c>
      <c r="D838" s="394" t="s">
        <v>1039</v>
      </c>
      <c r="E838" s="395" t="s">
        <v>675</v>
      </c>
      <c r="F838" s="396" t="s">
        <v>5552</v>
      </c>
      <c r="G838" s="396" t="s">
        <v>781</v>
      </c>
      <c r="H838" s="396" t="s">
        <v>9472</v>
      </c>
      <c r="I838" s="396" t="s">
        <v>781</v>
      </c>
      <c r="J838" s="396" t="s">
        <v>9473</v>
      </c>
      <c r="K838" s="396" t="s">
        <v>781</v>
      </c>
      <c r="L838" s="397">
        <v>11.073090000000001</v>
      </c>
      <c r="M838" s="396" t="s">
        <v>4599</v>
      </c>
      <c r="N838" s="397">
        <v>579642.99567980005</v>
      </c>
      <c r="O838" s="396" t="s">
        <v>4728</v>
      </c>
    </row>
    <row r="839" spans="1:15" x14ac:dyDescent="0.4">
      <c r="A839" s="396" t="s">
        <v>1228</v>
      </c>
      <c r="B839" s="394" t="s">
        <v>395</v>
      </c>
      <c r="C839" s="394" t="s">
        <v>286</v>
      </c>
      <c r="D839" s="394" t="s">
        <v>1039</v>
      </c>
      <c r="E839" s="395" t="s">
        <v>4</v>
      </c>
      <c r="F839" s="396" t="s">
        <v>5549</v>
      </c>
      <c r="G839" s="396" t="s">
        <v>781</v>
      </c>
      <c r="H839" s="396" t="s">
        <v>5767</v>
      </c>
      <c r="I839" s="396" t="s">
        <v>781</v>
      </c>
      <c r="J839" s="396" t="s">
        <v>7271</v>
      </c>
      <c r="K839" s="396" t="s">
        <v>781</v>
      </c>
      <c r="L839" s="397">
        <v>11.060465000000001</v>
      </c>
      <c r="M839" s="396" t="s">
        <v>4599</v>
      </c>
      <c r="N839" s="397">
        <v>579654.05614480004</v>
      </c>
      <c r="O839" s="396" t="s">
        <v>4728</v>
      </c>
    </row>
    <row r="840" spans="1:15" x14ac:dyDescent="0.4">
      <c r="A840" s="396" t="s">
        <v>3032</v>
      </c>
      <c r="B840" s="394" t="s">
        <v>408</v>
      </c>
      <c r="C840" s="394" t="s">
        <v>3033</v>
      </c>
      <c r="D840" s="394" t="s">
        <v>1039</v>
      </c>
      <c r="E840" s="395" t="s">
        <v>4</v>
      </c>
      <c r="F840" s="396" t="s">
        <v>5269</v>
      </c>
      <c r="G840" s="396" t="s">
        <v>781</v>
      </c>
      <c r="H840" s="396" t="s">
        <v>7273</v>
      </c>
      <c r="I840" s="396" t="s">
        <v>781</v>
      </c>
      <c r="J840" s="396" t="s">
        <v>7273</v>
      </c>
      <c r="K840" s="396" t="s">
        <v>781</v>
      </c>
      <c r="L840" s="397">
        <v>10.99</v>
      </c>
      <c r="M840" s="396" t="s">
        <v>4599</v>
      </c>
      <c r="N840" s="397">
        <v>579665.04614480003</v>
      </c>
      <c r="O840" s="396" t="s">
        <v>4728</v>
      </c>
    </row>
    <row r="841" spans="1:15" ht="26.4" x14ac:dyDescent="0.4">
      <c r="A841" s="396" t="s">
        <v>4748</v>
      </c>
      <c r="B841" s="394" t="s">
        <v>395</v>
      </c>
      <c r="C841" s="394" t="s">
        <v>4749</v>
      </c>
      <c r="D841" s="394" t="s">
        <v>1039</v>
      </c>
      <c r="E841" s="395" t="s">
        <v>7</v>
      </c>
      <c r="F841" s="396" t="s">
        <v>5579</v>
      </c>
      <c r="G841" s="396" t="s">
        <v>781</v>
      </c>
      <c r="H841" s="396" t="s">
        <v>7274</v>
      </c>
      <c r="I841" s="396" t="s">
        <v>781</v>
      </c>
      <c r="J841" s="396" t="s">
        <v>7275</v>
      </c>
      <c r="K841" s="396" t="s">
        <v>781</v>
      </c>
      <c r="L841" s="397">
        <v>10.959235104999999</v>
      </c>
      <c r="M841" s="396" t="s">
        <v>4599</v>
      </c>
      <c r="N841" s="397">
        <v>579676.00537989999</v>
      </c>
      <c r="O841" s="396" t="s">
        <v>4728</v>
      </c>
    </row>
    <row r="842" spans="1:15" ht="26.4" x14ac:dyDescent="0.4">
      <c r="A842" s="396" t="s">
        <v>1190</v>
      </c>
      <c r="B842" s="394" t="s">
        <v>484</v>
      </c>
      <c r="C842" s="394" t="s">
        <v>488</v>
      </c>
      <c r="D842" s="394" t="s">
        <v>1039</v>
      </c>
      <c r="E842" s="395" t="s">
        <v>422</v>
      </c>
      <c r="F842" s="396" t="s">
        <v>5269</v>
      </c>
      <c r="G842" s="396" t="s">
        <v>781</v>
      </c>
      <c r="H842" s="396" t="s">
        <v>5564</v>
      </c>
      <c r="I842" s="396" t="s">
        <v>781</v>
      </c>
      <c r="J842" s="396" t="s">
        <v>5564</v>
      </c>
      <c r="K842" s="396" t="s">
        <v>781</v>
      </c>
      <c r="L842" s="397">
        <v>10.9</v>
      </c>
      <c r="M842" s="396" t="s">
        <v>4599</v>
      </c>
      <c r="N842" s="397">
        <v>579686.90537990001</v>
      </c>
      <c r="O842" s="396" t="s">
        <v>4728</v>
      </c>
    </row>
    <row r="843" spans="1:15" x14ac:dyDescent="0.4">
      <c r="A843" s="396" t="s">
        <v>1519</v>
      </c>
      <c r="B843" s="394" t="s">
        <v>395</v>
      </c>
      <c r="C843" s="394" t="s">
        <v>231</v>
      </c>
      <c r="D843" s="394" t="s">
        <v>1039</v>
      </c>
      <c r="E843" s="395" t="s">
        <v>3</v>
      </c>
      <c r="F843" s="396" t="s">
        <v>5269</v>
      </c>
      <c r="G843" s="396" t="s">
        <v>781</v>
      </c>
      <c r="H843" s="396" t="s">
        <v>7276</v>
      </c>
      <c r="I843" s="396" t="s">
        <v>781</v>
      </c>
      <c r="J843" s="396" t="s">
        <v>7276</v>
      </c>
      <c r="K843" s="396" t="s">
        <v>781</v>
      </c>
      <c r="L843" s="397">
        <v>10.86</v>
      </c>
      <c r="M843" s="396" t="s">
        <v>4599</v>
      </c>
      <c r="N843" s="397">
        <v>579697.7653799</v>
      </c>
      <c r="O843" s="396" t="s">
        <v>4735</v>
      </c>
    </row>
    <row r="844" spans="1:15" x14ac:dyDescent="0.4">
      <c r="A844" s="396" t="s">
        <v>7277</v>
      </c>
      <c r="B844" s="394" t="s">
        <v>408</v>
      </c>
      <c r="C844" s="394" t="s">
        <v>7278</v>
      </c>
      <c r="D844" s="394" t="s">
        <v>1039</v>
      </c>
      <c r="E844" s="395" t="s">
        <v>4</v>
      </c>
      <c r="F844" s="396" t="s">
        <v>5269</v>
      </c>
      <c r="G844" s="396" t="s">
        <v>781</v>
      </c>
      <c r="H844" s="396" t="s">
        <v>7279</v>
      </c>
      <c r="I844" s="396" t="s">
        <v>781</v>
      </c>
      <c r="J844" s="396" t="s">
        <v>7279</v>
      </c>
      <c r="K844" s="396" t="s">
        <v>781</v>
      </c>
      <c r="L844" s="397">
        <v>10.79</v>
      </c>
      <c r="M844" s="396" t="s">
        <v>4599</v>
      </c>
      <c r="N844" s="397">
        <v>579708.55537990003</v>
      </c>
      <c r="O844" s="396" t="s">
        <v>4735</v>
      </c>
    </row>
    <row r="845" spans="1:15" x14ac:dyDescent="0.4">
      <c r="A845" s="396" t="s">
        <v>9474</v>
      </c>
      <c r="B845" s="394" t="s">
        <v>408</v>
      </c>
      <c r="C845" s="394" t="s">
        <v>9475</v>
      </c>
      <c r="D845" s="394" t="s">
        <v>1039</v>
      </c>
      <c r="E845" s="395" t="s">
        <v>675</v>
      </c>
      <c r="F845" s="396" t="s">
        <v>5515</v>
      </c>
      <c r="G845" s="396" t="s">
        <v>781</v>
      </c>
      <c r="H845" s="396" t="s">
        <v>9476</v>
      </c>
      <c r="I845" s="396" t="s">
        <v>781</v>
      </c>
      <c r="J845" s="396" t="s">
        <v>9477</v>
      </c>
      <c r="K845" s="396" t="s">
        <v>781</v>
      </c>
      <c r="L845" s="397">
        <v>10.77</v>
      </c>
      <c r="M845" s="396" t="s">
        <v>4599</v>
      </c>
      <c r="N845" s="397">
        <v>579719.32537990005</v>
      </c>
      <c r="O845" s="396" t="s">
        <v>4735</v>
      </c>
    </row>
    <row r="846" spans="1:15" ht="26.4" x14ac:dyDescent="0.4">
      <c r="A846" s="396" t="s">
        <v>4709</v>
      </c>
      <c r="B846" s="394" t="s">
        <v>395</v>
      </c>
      <c r="C846" s="394" t="s">
        <v>282</v>
      </c>
      <c r="D846" s="394" t="s">
        <v>1039</v>
      </c>
      <c r="E846" s="395" t="s">
        <v>4</v>
      </c>
      <c r="F846" s="396" t="s">
        <v>5269</v>
      </c>
      <c r="G846" s="396" t="s">
        <v>781</v>
      </c>
      <c r="H846" s="396" t="s">
        <v>7280</v>
      </c>
      <c r="I846" s="396" t="s">
        <v>781</v>
      </c>
      <c r="J846" s="396" t="s">
        <v>7280</v>
      </c>
      <c r="K846" s="396" t="s">
        <v>781</v>
      </c>
      <c r="L846" s="397">
        <v>10.66</v>
      </c>
      <c r="M846" s="396" t="s">
        <v>4599</v>
      </c>
      <c r="N846" s="397">
        <v>579729.98537989997</v>
      </c>
      <c r="O846" s="396" t="s">
        <v>4735</v>
      </c>
    </row>
    <row r="847" spans="1:15" ht="26.4" x14ac:dyDescent="0.4">
      <c r="A847" s="396" t="s">
        <v>4733</v>
      </c>
      <c r="B847" s="394" t="s">
        <v>395</v>
      </c>
      <c r="C847" s="394" t="s">
        <v>4734</v>
      </c>
      <c r="D847" s="394" t="s">
        <v>1039</v>
      </c>
      <c r="E847" s="395" t="s">
        <v>4</v>
      </c>
      <c r="F847" s="396" t="s">
        <v>5269</v>
      </c>
      <c r="G847" s="396" t="s">
        <v>781</v>
      </c>
      <c r="H847" s="396" t="s">
        <v>7282</v>
      </c>
      <c r="I847" s="396" t="s">
        <v>781</v>
      </c>
      <c r="J847" s="396" t="s">
        <v>7282</v>
      </c>
      <c r="K847" s="396" t="s">
        <v>781</v>
      </c>
      <c r="L847" s="397">
        <v>10.51</v>
      </c>
      <c r="M847" s="396" t="s">
        <v>4599</v>
      </c>
      <c r="N847" s="397">
        <v>579740.49537989998</v>
      </c>
      <c r="O847" s="396" t="s">
        <v>4735</v>
      </c>
    </row>
    <row r="848" spans="1:15" ht="26.4" x14ac:dyDescent="0.4">
      <c r="A848" s="396" t="s">
        <v>4795</v>
      </c>
      <c r="B848" s="394" t="s">
        <v>395</v>
      </c>
      <c r="C848" s="394" t="s">
        <v>4796</v>
      </c>
      <c r="D848" s="394" t="s">
        <v>1039</v>
      </c>
      <c r="E848" s="395" t="s">
        <v>4</v>
      </c>
      <c r="F848" s="396" t="s">
        <v>9478</v>
      </c>
      <c r="G848" s="396" t="s">
        <v>781</v>
      </c>
      <c r="H848" s="396" t="s">
        <v>7447</v>
      </c>
      <c r="I848" s="396" t="s">
        <v>781</v>
      </c>
      <c r="J848" s="396" t="s">
        <v>9479</v>
      </c>
      <c r="K848" s="396" t="s">
        <v>781</v>
      </c>
      <c r="L848" s="397">
        <v>10.497135999999999</v>
      </c>
      <c r="M848" s="396" t="s">
        <v>4599</v>
      </c>
      <c r="N848" s="397">
        <v>579750.99251590006</v>
      </c>
      <c r="O848" s="396" t="s">
        <v>4738</v>
      </c>
    </row>
    <row r="849" spans="1:15" ht="26.4" x14ac:dyDescent="0.4">
      <c r="A849" s="396" t="s">
        <v>2471</v>
      </c>
      <c r="B849" s="394" t="s">
        <v>5902</v>
      </c>
      <c r="C849" s="394" t="s">
        <v>2472</v>
      </c>
      <c r="D849" s="394" t="s">
        <v>1039</v>
      </c>
      <c r="E849" s="395" t="s">
        <v>4</v>
      </c>
      <c r="F849" s="396" t="s">
        <v>5269</v>
      </c>
      <c r="G849" s="396" t="s">
        <v>781</v>
      </c>
      <c r="H849" s="396" t="s">
        <v>5572</v>
      </c>
      <c r="I849" s="396" t="s">
        <v>781</v>
      </c>
      <c r="J849" s="396" t="s">
        <v>5572</v>
      </c>
      <c r="K849" s="396" t="s">
        <v>781</v>
      </c>
      <c r="L849" s="397">
        <v>10.43</v>
      </c>
      <c r="M849" s="396" t="s">
        <v>4599</v>
      </c>
      <c r="N849" s="397">
        <v>579761.42251589999</v>
      </c>
      <c r="O849" s="396" t="s">
        <v>4738</v>
      </c>
    </row>
    <row r="850" spans="1:15" ht="26.4" x14ac:dyDescent="0.4">
      <c r="A850" s="396" t="s">
        <v>1548</v>
      </c>
      <c r="B850" s="394" t="s">
        <v>395</v>
      </c>
      <c r="C850" s="394" t="s">
        <v>237</v>
      </c>
      <c r="D850" s="394" t="s">
        <v>1039</v>
      </c>
      <c r="E850" s="395" t="s">
        <v>3</v>
      </c>
      <c r="F850" s="396" t="s">
        <v>9480</v>
      </c>
      <c r="G850" s="396" t="s">
        <v>781</v>
      </c>
      <c r="H850" s="396" t="s">
        <v>6638</v>
      </c>
      <c r="I850" s="396" t="s">
        <v>781</v>
      </c>
      <c r="J850" s="396" t="s">
        <v>5572</v>
      </c>
      <c r="K850" s="396" t="s">
        <v>781</v>
      </c>
      <c r="L850" s="397">
        <v>10.425973975</v>
      </c>
      <c r="M850" s="396" t="s">
        <v>4599</v>
      </c>
      <c r="N850" s="397">
        <v>579771.8484899</v>
      </c>
      <c r="O850" s="396" t="s">
        <v>4738</v>
      </c>
    </row>
    <row r="851" spans="1:15" x14ac:dyDescent="0.4">
      <c r="A851" s="396" t="s">
        <v>1598</v>
      </c>
      <c r="B851" s="394" t="s">
        <v>575</v>
      </c>
      <c r="C851" s="394" t="s">
        <v>1599</v>
      </c>
      <c r="D851" s="394" t="s">
        <v>1039</v>
      </c>
      <c r="E851" s="395" t="s">
        <v>437</v>
      </c>
      <c r="F851" s="396" t="s">
        <v>5323</v>
      </c>
      <c r="G851" s="396" t="s">
        <v>781</v>
      </c>
      <c r="H851" s="396" t="s">
        <v>9481</v>
      </c>
      <c r="I851" s="396" t="s">
        <v>781</v>
      </c>
      <c r="J851" s="396" t="s">
        <v>9482</v>
      </c>
      <c r="K851" s="396" t="s">
        <v>781</v>
      </c>
      <c r="L851" s="397">
        <v>10.416</v>
      </c>
      <c r="M851" s="396" t="s">
        <v>4599</v>
      </c>
      <c r="N851" s="397">
        <v>579782.26448989997</v>
      </c>
      <c r="O851" s="396" t="s">
        <v>4738</v>
      </c>
    </row>
    <row r="852" spans="1:15" x14ac:dyDescent="0.4">
      <c r="A852" s="396" t="s">
        <v>7283</v>
      </c>
      <c r="B852" s="394" t="s">
        <v>408</v>
      </c>
      <c r="C852" s="394" t="s">
        <v>7284</v>
      </c>
      <c r="D852" s="394" t="s">
        <v>1039</v>
      </c>
      <c r="E852" s="395" t="s">
        <v>4622</v>
      </c>
      <c r="F852" s="396" t="s">
        <v>7285</v>
      </c>
      <c r="G852" s="396" t="s">
        <v>781</v>
      </c>
      <c r="H852" s="396" t="s">
        <v>5295</v>
      </c>
      <c r="I852" s="396" t="s">
        <v>781</v>
      </c>
      <c r="J852" s="396" t="s">
        <v>7286</v>
      </c>
      <c r="K852" s="396" t="s">
        <v>781</v>
      </c>
      <c r="L852" s="397">
        <v>10.4</v>
      </c>
      <c r="M852" s="396" t="s">
        <v>4599</v>
      </c>
      <c r="N852" s="397">
        <v>579792.66448989999</v>
      </c>
      <c r="O852" s="396" t="s">
        <v>4738</v>
      </c>
    </row>
    <row r="853" spans="1:15" ht="26.4" x14ac:dyDescent="0.4">
      <c r="A853" s="396" t="s">
        <v>3275</v>
      </c>
      <c r="B853" s="394" t="s">
        <v>395</v>
      </c>
      <c r="C853" s="394" t="s">
        <v>3276</v>
      </c>
      <c r="D853" s="394" t="s">
        <v>1039</v>
      </c>
      <c r="E853" s="395" t="s">
        <v>713</v>
      </c>
      <c r="F853" s="396" t="s">
        <v>7287</v>
      </c>
      <c r="G853" s="396" t="s">
        <v>781</v>
      </c>
      <c r="H853" s="396" t="s">
        <v>7288</v>
      </c>
      <c r="I853" s="396" t="s">
        <v>781</v>
      </c>
      <c r="J853" s="396" t="s">
        <v>7289</v>
      </c>
      <c r="K853" s="396" t="s">
        <v>781</v>
      </c>
      <c r="L853" s="397">
        <v>10.1525385</v>
      </c>
      <c r="M853" s="396" t="s">
        <v>4599</v>
      </c>
      <c r="N853" s="397">
        <v>579802.81702840002</v>
      </c>
      <c r="O853" s="396" t="s">
        <v>4738</v>
      </c>
    </row>
    <row r="854" spans="1:15" x14ac:dyDescent="0.4">
      <c r="A854" s="396" t="s">
        <v>2535</v>
      </c>
      <c r="B854" s="394" t="s">
        <v>395</v>
      </c>
      <c r="C854" s="394" t="s">
        <v>262</v>
      </c>
      <c r="D854" s="394" t="s">
        <v>1039</v>
      </c>
      <c r="E854" s="395" t="s">
        <v>4</v>
      </c>
      <c r="F854" s="396" t="s">
        <v>7290</v>
      </c>
      <c r="G854" s="396" t="s">
        <v>781</v>
      </c>
      <c r="H854" s="396" t="s">
        <v>7274</v>
      </c>
      <c r="I854" s="396" t="s">
        <v>781</v>
      </c>
      <c r="J854" s="396" t="s">
        <v>7291</v>
      </c>
      <c r="K854" s="396" t="s">
        <v>781</v>
      </c>
      <c r="L854" s="397">
        <v>10.123329999999999</v>
      </c>
      <c r="M854" s="396" t="s">
        <v>4599</v>
      </c>
      <c r="N854" s="397">
        <v>579812.9403584</v>
      </c>
      <c r="O854" s="396" t="s">
        <v>4745</v>
      </c>
    </row>
    <row r="855" spans="1:15" ht="26.4" x14ac:dyDescent="0.4">
      <c r="A855" s="396" t="s">
        <v>4695</v>
      </c>
      <c r="B855" s="394" t="s">
        <v>395</v>
      </c>
      <c r="C855" s="394" t="s">
        <v>4696</v>
      </c>
      <c r="D855" s="394" t="s">
        <v>1039</v>
      </c>
      <c r="E855" s="395" t="s">
        <v>4</v>
      </c>
      <c r="F855" s="396" t="s">
        <v>5269</v>
      </c>
      <c r="G855" s="396" t="s">
        <v>781</v>
      </c>
      <c r="H855" s="396" t="s">
        <v>7292</v>
      </c>
      <c r="I855" s="396" t="s">
        <v>781</v>
      </c>
      <c r="J855" s="396" t="s">
        <v>7292</v>
      </c>
      <c r="K855" s="396" t="s">
        <v>781</v>
      </c>
      <c r="L855" s="397">
        <v>10.1</v>
      </c>
      <c r="M855" s="396" t="s">
        <v>4599</v>
      </c>
      <c r="N855" s="397">
        <v>579823.04035839997</v>
      </c>
      <c r="O855" s="396" t="s">
        <v>4745</v>
      </c>
    </row>
    <row r="856" spans="1:15" x14ac:dyDescent="0.4">
      <c r="A856" s="396" t="s">
        <v>4632</v>
      </c>
      <c r="B856" s="394" t="s">
        <v>395</v>
      </c>
      <c r="C856" s="394" t="s">
        <v>4633</v>
      </c>
      <c r="D856" s="394" t="s">
        <v>1053</v>
      </c>
      <c r="E856" s="395" t="s">
        <v>6</v>
      </c>
      <c r="F856" s="396" t="s">
        <v>7293</v>
      </c>
      <c r="G856" s="396" t="s">
        <v>781</v>
      </c>
      <c r="H856" s="396" t="s">
        <v>6154</v>
      </c>
      <c r="I856" s="396" t="s">
        <v>781</v>
      </c>
      <c r="J856" s="396" t="s">
        <v>7294</v>
      </c>
      <c r="K856" s="396" t="s">
        <v>781</v>
      </c>
      <c r="L856" s="397">
        <v>10.021073895000001</v>
      </c>
      <c r="M856" s="396" t="s">
        <v>4599</v>
      </c>
      <c r="N856" s="397">
        <v>579833.06143230002</v>
      </c>
      <c r="O856" s="396" t="s">
        <v>4745</v>
      </c>
    </row>
    <row r="857" spans="1:15" ht="39.6" x14ac:dyDescent="0.4">
      <c r="A857" s="396" t="s">
        <v>4779</v>
      </c>
      <c r="B857" s="394" t="s">
        <v>395</v>
      </c>
      <c r="C857" s="394" t="s">
        <v>4780</v>
      </c>
      <c r="D857" s="394" t="s">
        <v>1317</v>
      </c>
      <c r="E857" s="395" t="s">
        <v>4</v>
      </c>
      <c r="F857" s="396" t="s">
        <v>7297</v>
      </c>
      <c r="G857" s="396" t="s">
        <v>781</v>
      </c>
      <c r="H857" s="396" t="s">
        <v>7298</v>
      </c>
      <c r="I857" s="396" t="s">
        <v>781</v>
      </c>
      <c r="J857" s="396" t="s">
        <v>7299</v>
      </c>
      <c r="K857" s="396" t="s">
        <v>781</v>
      </c>
      <c r="L857" s="397">
        <v>9.9384709200000003</v>
      </c>
      <c r="M857" s="396" t="s">
        <v>4599</v>
      </c>
      <c r="N857" s="397">
        <v>579842.99990319996</v>
      </c>
      <c r="O857" s="396" t="s">
        <v>4745</v>
      </c>
    </row>
    <row r="858" spans="1:15" x14ac:dyDescent="0.4">
      <c r="A858" s="396" t="s">
        <v>2492</v>
      </c>
      <c r="B858" s="394" t="s">
        <v>420</v>
      </c>
      <c r="C858" s="394" t="s">
        <v>2493</v>
      </c>
      <c r="D858" s="394" t="s">
        <v>1039</v>
      </c>
      <c r="E858" s="395" t="s">
        <v>422</v>
      </c>
      <c r="F858" s="396" t="s">
        <v>5269</v>
      </c>
      <c r="G858" s="396" t="s">
        <v>781</v>
      </c>
      <c r="H858" s="396" t="s">
        <v>7300</v>
      </c>
      <c r="I858" s="396" t="s">
        <v>781</v>
      </c>
      <c r="J858" s="396" t="s">
        <v>7300</v>
      </c>
      <c r="K858" s="396" t="s">
        <v>781</v>
      </c>
      <c r="L858" s="397">
        <v>9.89</v>
      </c>
      <c r="M858" s="396" t="s">
        <v>4599</v>
      </c>
      <c r="N858" s="397">
        <v>579852.88990319998</v>
      </c>
      <c r="O858" s="396" t="s">
        <v>4745</v>
      </c>
    </row>
    <row r="859" spans="1:15" x14ac:dyDescent="0.4">
      <c r="A859" s="396" t="s">
        <v>4713</v>
      </c>
      <c r="B859" s="394" t="s">
        <v>395</v>
      </c>
      <c r="C859" s="394" t="s">
        <v>4714</v>
      </c>
      <c r="D859" s="394" t="s">
        <v>1039</v>
      </c>
      <c r="E859" s="395" t="s">
        <v>7</v>
      </c>
      <c r="F859" s="396" t="s">
        <v>6827</v>
      </c>
      <c r="G859" s="396" t="s">
        <v>781</v>
      </c>
      <c r="H859" s="396" t="s">
        <v>7301</v>
      </c>
      <c r="I859" s="396" t="s">
        <v>781</v>
      </c>
      <c r="J859" s="396" t="s">
        <v>7302</v>
      </c>
      <c r="K859" s="396" t="s">
        <v>781</v>
      </c>
      <c r="L859" s="397">
        <v>9.8529269999999993</v>
      </c>
      <c r="M859" s="396" t="s">
        <v>4599</v>
      </c>
      <c r="N859" s="397">
        <v>579862.7428302</v>
      </c>
      <c r="O859" s="396" t="s">
        <v>4745</v>
      </c>
    </row>
    <row r="860" spans="1:15" ht="26.4" x14ac:dyDescent="0.4">
      <c r="A860" s="396" t="s">
        <v>4743</v>
      </c>
      <c r="B860" s="394" t="s">
        <v>395</v>
      </c>
      <c r="C860" s="394" t="s">
        <v>4744</v>
      </c>
      <c r="D860" s="394" t="s">
        <v>1039</v>
      </c>
      <c r="E860" s="395" t="s">
        <v>4</v>
      </c>
      <c r="F860" s="396" t="s">
        <v>5269</v>
      </c>
      <c r="G860" s="396" t="s">
        <v>781</v>
      </c>
      <c r="H860" s="396" t="s">
        <v>7303</v>
      </c>
      <c r="I860" s="396" t="s">
        <v>781</v>
      </c>
      <c r="J860" s="396" t="s">
        <v>7303</v>
      </c>
      <c r="K860" s="396" t="s">
        <v>781</v>
      </c>
      <c r="L860" s="397">
        <v>9.75</v>
      </c>
      <c r="M860" s="396" t="s">
        <v>4599</v>
      </c>
      <c r="N860" s="397">
        <v>579872.4928302</v>
      </c>
      <c r="O860" s="396" t="s">
        <v>4750</v>
      </c>
    </row>
    <row r="861" spans="1:15" ht="26.4" x14ac:dyDescent="0.4">
      <c r="A861" s="396" t="s">
        <v>2307</v>
      </c>
      <c r="B861" s="394" t="s">
        <v>5902</v>
      </c>
      <c r="C861" s="394" t="s">
        <v>2308</v>
      </c>
      <c r="D861" s="394" t="s">
        <v>1039</v>
      </c>
      <c r="E861" s="395" t="s">
        <v>3</v>
      </c>
      <c r="F861" s="396" t="s">
        <v>5591</v>
      </c>
      <c r="G861" s="396" t="s">
        <v>781</v>
      </c>
      <c r="H861" s="396" t="s">
        <v>6888</v>
      </c>
      <c r="I861" s="396" t="s">
        <v>781</v>
      </c>
      <c r="J861" s="396" t="s">
        <v>7304</v>
      </c>
      <c r="K861" s="396" t="s">
        <v>781</v>
      </c>
      <c r="L861" s="397">
        <v>9.7002000000000006</v>
      </c>
      <c r="M861" s="396" t="s">
        <v>4599</v>
      </c>
      <c r="N861" s="397">
        <v>579882.19303019997</v>
      </c>
      <c r="O861" s="396" t="s">
        <v>4750</v>
      </c>
    </row>
    <row r="862" spans="1:15" ht="26.4" x14ac:dyDescent="0.4">
      <c r="A862" s="396" t="s">
        <v>4889</v>
      </c>
      <c r="B862" s="394" t="s">
        <v>395</v>
      </c>
      <c r="C862" s="394" t="s">
        <v>4890</v>
      </c>
      <c r="D862" s="394" t="s">
        <v>1039</v>
      </c>
      <c r="E862" s="395" t="s">
        <v>4</v>
      </c>
      <c r="F862" s="396" t="s">
        <v>9483</v>
      </c>
      <c r="G862" s="396" t="s">
        <v>781</v>
      </c>
      <c r="H862" s="396" t="s">
        <v>5806</v>
      </c>
      <c r="I862" s="396" t="s">
        <v>781</v>
      </c>
      <c r="J862" s="396" t="s">
        <v>9484</v>
      </c>
      <c r="K862" s="396" t="s">
        <v>781</v>
      </c>
      <c r="L862" s="397">
        <v>9.6896640000000005</v>
      </c>
      <c r="M862" s="396" t="s">
        <v>4599</v>
      </c>
      <c r="N862" s="397">
        <v>579891.88269420003</v>
      </c>
      <c r="O862" s="396" t="s">
        <v>4750</v>
      </c>
    </row>
    <row r="863" spans="1:15" x14ac:dyDescent="0.4">
      <c r="A863" s="396" t="s">
        <v>2550</v>
      </c>
      <c r="B863" s="394" t="s">
        <v>420</v>
      </c>
      <c r="C863" s="394" t="s">
        <v>2551</v>
      </c>
      <c r="D863" s="394" t="s">
        <v>1039</v>
      </c>
      <c r="E863" s="395" t="s">
        <v>422</v>
      </c>
      <c r="F863" s="396" t="s">
        <v>5269</v>
      </c>
      <c r="G863" s="396" t="s">
        <v>781</v>
      </c>
      <c r="H863" s="396" t="s">
        <v>7305</v>
      </c>
      <c r="I863" s="396" t="s">
        <v>781</v>
      </c>
      <c r="J863" s="396" t="s">
        <v>7305</v>
      </c>
      <c r="K863" s="396" t="s">
        <v>781</v>
      </c>
      <c r="L863" s="397">
        <v>9.67</v>
      </c>
      <c r="M863" s="396" t="s">
        <v>4599</v>
      </c>
      <c r="N863" s="397">
        <v>579901.55269419996</v>
      </c>
      <c r="O863" s="396" t="s">
        <v>4750</v>
      </c>
    </row>
    <row r="864" spans="1:15" x14ac:dyDescent="0.4">
      <c r="A864" s="396" t="s">
        <v>7306</v>
      </c>
      <c r="B864" s="394" t="s">
        <v>408</v>
      </c>
      <c r="C864" s="394" t="s">
        <v>7307</v>
      </c>
      <c r="D864" s="394" t="s">
        <v>1039</v>
      </c>
      <c r="E864" s="395" t="s">
        <v>4</v>
      </c>
      <c r="F864" s="396" t="s">
        <v>7308</v>
      </c>
      <c r="G864" s="396" t="s">
        <v>781</v>
      </c>
      <c r="H864" s="396" t="s">
        <v>5805</v>
      </c>
      <c r="I864" s="396" t="s">
        <v>781</v>
      </c>
      <c r="J864" s="396" t="s">
        <v>7309</v>
      </c>
      <c r="K864" s="396" t="s">
        <v>781</v>
      </c>
      <c r="L864" s="397">
        <v>9.6199999999999992</v>
      </c>
      <c r="M864" s="396" t="s">
        <v>4599</v>
      </c>
      <c r="N864" s="397">
        <v>579911.17269419995</v>
      </c>
      <c r="O864" s="396" t="s">
        <v>4750</v>
      </c>
    </row>
    <row r="865" spans="1:15" ht="26.4" x14ac:dyDescent="0.4">
      <c r="A865" s="396" t="s">
        <v>2501</v>
      </c>
      <c r="B865" s="394" t="s">
        <v>395</v>
      </c>
      <c r="C865" s="394" t="s">
        <v>245</v>
      </c>
      <c r="D865" s="394" t="s">
        <v>1039</v>
      </c>
      <c r="E865" s="395" t="s">
        <v>4</v>
      </c>
      <c r="F865" s="396" t="s">
        <v>5269</v>
      </c>
      <c r="G865" s="396" t="s">
        <v>781</v>
      </c>
      <c r="H865" s="396" t="s">
        <v>5577</v>
      </c>
      <c r="I865" s="396" t="s">
        <v>781</v>
      </c>
      <c r="J865" s="396" t="s">
        <v>5577</v>
      </c>
      <c r="K865" s="396" t="s">
        <v>781</v>
      </c>
      <c r="L865" s="397">
        <v>9.4600000000000009</v>
      </c>
      <c r="M865" s="396" t="s">
        <v>4599</v>
      </c>
      <c r="N865" s="397">
        <v>579920.63269420003</v>
      </c>
      <c r="O865" s="396" t="s">
        <v>4750</v>
      </c>
    </row>
    <row r="866" spans="1:15" ht="26.4" x14ac:dyDescent="0.4">
      <c r="A866" s="396" t="s">
        <v>4717</v>
      </c>
      <c r="B866" s="394" t="s">
        <v>395</v>
      </c>
      <c r="C866" s="394" t="s">
        <v>4718</v>
      </c>
      <c r="D866" s="394" t="s">
        <v>1317</v>
      </c>
      <c r="E866" s="395" t="s">
        <v>6</v>
      </c>
      <c r="F866" s="396" t="s">
        <v>7310</v>
      </c>
      <c r="G866" s="396" t="s">
        <v>781</v>
      </c>
      <c r="H866" s="396" t="s">
        <v>7311</v>
      </c>
      <c r="I866" s="396" t="s">
        <v>781</v>
      </c>
      <c r="J866" s="396" t="s">
        <v>7312</v>
      </c>
      <c r="K866" s="396" t="s">
        <v>781</v>
      </c>
      <c r="L866" s="397">
        <v>9.4325347799999992</v>
      </c>
      <c r="M866" s="396" t="s">
        <v>4599</v>
      </c>
      <c r="N866" s="397">
        <v>579930.06522900006</v>
      </c>
      <c r="O866" s="396" t="s">
        <v>4751</v>
      </c>
    </row>
    <row r="867" spans="1:15" ht="26.4" x14ac:dyDescent="0.4">
      <c r="A867" s="396" t="s">
        <v>1166</v>
      </c>
      <c r="B867" s="394" t="s">
        <v>5902</v>
      </c>
      <c r="C867" s="394" t="s">
        <v>1167</v>
      </c>
      <c r="D867" s="394" t="s">
        <v>1039</v>
      </c>
      <c r="E867" s="395" t="s">
        <v>7</v>
      </c>
      <c r="F867" s="396" t="s">
        <v>5576</v>
      </c>
      <c r="G867" s="396" t="s">
        <v>781</v>
      </c>
      <c r="H867" s="396" t="s">
        <v>7313</v>
      </c>
      <c r="I867" s="396" t="s">
        <v>781</v>
      </c>
      <c r="J867" s="396" t="s">
        <v>7314</v>
      </c>
      <c r="K867" s="396" t="s">
        <v>781</v>
      </c>
      <c r="L867" s="397">
        <v>9.35825</v>
      </c>
      <c r="M867" s="396" t="s">
        <v>4599</v>
      </c>
      <c r="N867" s="397">
        <v>579939.42347899999</v>
      </c>
      <c r="O867" s="396" t="s">
        <v>4751</v>
      </c>
    </row>
    <row r="868" spans="1:15" ht="26.4" x14ac:dyDescent="0.4">
      <c r="A868" s="396" t="s">
        <v>4882</v>
      </c>
      <c r="B868" s="394" t="s">
        <v>395</v>
      </c>
      <c r="C868" s="394" t="s">
        <v>4883</v>
      </c>
      <c r="D868" s="394" t="s">
        <v>1039</v>
      </c>
      <c r="E868" s="395" t="s">
        <v>3</v>
      </c>
      <c r="F868" s="396" t="s">
        <v>7315</v>
      </c>
      <c r="G868" s="396" t="s">
        <v>781</v>
      </c>
      <c r="H868" s="396" t="s">
        <v>5278</v>
      </c>
      <c r="I868" s="396" t="s">
        <v>781</v>
      </c>
      <c r="J868" s="396" t="s">
        <v>5424</v>
      </c>
      <c r="K868" s="396" t="s">
        <v>781</v>
      </c>
      <c r="L868" s="397">
        <v>9.3374819999999996</v>
      </c>
      <c r="M868" s="396" t="s">
        <v>4599</v>
      </c>
      <c r="N868" s="397">
        <v>579948.76096099999</v>
      </c>
      <c r="O868" s="396" t="s">
        <v>4751</v>
      </c>
    </row>
    <row r="869" spans="1:15" x14ac:dyDescent="0.4">
      <c r="A869" s="396" t="s">
        <v>1126</v>
      </c>
      <c r="B869" s="394" t="s">
        <v>408</v>
      </c>
      <c r="C869" s="394" t="s">
        <v>1127</v>
      </c>
      <c r="D869" s="394" t="s">
        <v>1039</v>
      </c>
      <c r="E869" s="395" t="s">
        <v>7</v>
      </c>
      <c r="F869" s="396" t="s">
        <v>5380</v>
      </c>
      <c r="G869" s="396" t="s">
        <v>781</v>
      </c>
      <c r="H869" s="396" t="s">
        <v>7316</v>
      </c>
      <c r="I869" s="396" t="s">
        <v>781</v>
      </c>
      <c r="J869" s="396" t="s">
        <v>7317</v>
      </c>
      <c r="K869" s="396" t="s">
        <v>781</v>
      </c>
      <c r="L869" s="397">
        <v>9.2289999999999992</v>
      </c>
      <c r="M869" s="396" t="s">
        <v>4599</v>
      </c>
      <c r="N869" s="397">
        <v>579957.98996100004</v>
      </c>
      <c r="O869" s="396" t="s">
        <v>4751</v>
      </c>
    </row>
    <row r="870" spans="1:15" ht="26.4" x14ac:dyDescent="0.4">
      <c r="A870" s="396" t="s">
        <v>1216</v>
      </c>
      <c r="B870" s="394" t="s">
        <v>5902</v>
      </c>
      <c r="C870" s="394" t="s">
        <v>1217</v>
      </c>
      <c r="D870" s="394" t="s">
        <v>1039</v>
      </c>
      <c r="E870" s="395" t="s">
        <v>4</v>
      </c>
      <c r="F870" s="396" t="s">
        <v>5269</v>
      </c>
      <c r="G870" s="396" t="s">
        <v>781</v>
      </c>
      <c r="H870" s="396" t="s">
        <v>7318</v>
      </c>
      <c r="I870" s="396" t="s">
        <v>781</v>
      </c>
      <c r="J870" s="396" t="s">
        <v>7318</v>
      </c>
      <c r="K870" s="396" t="s">
        <v>781</v>
      </c>
      <c r="L870" s="397">
        <v>9.1999999999999993</v>
      </c>
      <c r="M870" s="396" t="s">
        <v>4599</v>
      </c>
      <c r="N870" s="397">
        <v>579967.189961</v>
      </c>
      <c r="O870" s="396" t="s">
        <v>4751</v>
      </c>
    </row>
    <row r="871" spans="1:15" ht="26.4" x14ac:dyDescent="0.4">
      <c r="A871" s="396" t="s">
        <v>4811</v>
      </c>
      <c r="B871" s="394" t="s">
        <v>395</v>
      </c>
      <c r="C871" s="394" t="s">
        <v>4812</v>
      </c>
      <c r="D871" s="394" t="s">
        <v>1039</v>
      </c>
      <c r="E871" s="395" t="s">
        <v>4</v>
      </c>
      <c r="F871" s="396" t="s">
        <v>5491</v>
      </c>
      <c r="G871" s="396" t="s">
        <v>781</v>
      </c>
      <c r="H871" s="396" t="s">
        <v>7319</v>
      </c>
      <c r="I871" s="396" t="s">
        <v>781</v>
      </c>
      <c r="J871" s="396" t="s">
        <v>5518</v>
      </c>
      <c r="K871" s="396" t="s">
        <v>781</v>
      </c>
      <c r="L871" s="397">
        <v>9.1907080000000008</v>
      </c>
      <c r="M871" s="396" t="s">
        <v>4599</v>
      </c>
      <c r="N871" s="397">
        <v>579976.38066899998</v>
      </c>
      <c r="O871" s="396" t="s">
        <v>4751</v>
      </c>
    </row>
    <row r="872" spans="1:15" ht="26.4" x14ac:dyDescent="0.4">
      <c r="A872" s="396" t="s">
        <v>4763</v>
      </c>
      <c r="B872" s="394" t="s">
        <v>395</v>
      </c>
      <c r="C872" s="394" t="s">
        <v>4764</v>
      </c>
      <c r="D872" s="394" t="s">
        <v>1039</v>
      </c>
      <c r="E872" s="395" t="s">
        <v>4</v>
      </c>
      <c r="F872" s="396" t="s">
        <v>5269</v>
      </c>
      <c r="G872" s="396" t="s">
        <v>781</v>
      </c>
      <c r="H872" s="396" t="s">
        <v>7320</v>
      </c>
      <c r="I872" s="396" t="s">
        <v>781</v>
      </c>
      <c r="J872" s="396" t="s">
        <v>7320</v>
      </c>
      <c r="K872" s="396" t="s">
        <v>781</v>
      </c>
      <c r="L872" s="397">
        <v>9.14</v>
      </c>
      <c r="M872" s="396" t="s">
        <v>4599</v>
      </c>
      <c r="N872" s="397">
        <v>579985.52066899999</v>
      </c>
      <c r="O872" s="396" t="s">
        <v>4754</v>
      </c>
    </row>
    <row r="873" spans="1:15" ht="39.6" x14ac:dyDescent="0.4">
      <c r="A873" s="396" t="s">
        <v>4995</v>
      </c>
      <c r="B873" s="394" t="s">
        <v>395</v>
      </c>
      <c r="C873" s="394" t="s">
        <v>4996</v>
      </c>
      <c r="D873" s="394" t="s">
        <v>1317</v>
      </c>
      <c r="E873" s="395" t="s">
        <v>4</v>
      </c>
      <c r="F873" s="396" t="s">
        <v>7321</v>
      </c>
      <c r="G873" s="396" t="s">
        <v>781</v>
      </c>
      <c r="H873" s="396" t="s">
        <v>7322</v>
      </c>
      <c r="I873" s="396" t="s">
        <v>781</v>
      </c>
      <c r="J873" s="396" t="s">
        <v>5581</v>
      </c>
      <c r="K873" s="396" t="s">
        <v>781</v>
      </c>
      <c r="L873" s="397">
        <v>9.1205403999999994</v>
      </c>
      <c r="M873" s="396" t="s">
        <v>4599</v>
      </c>
      <c r="N873" s="397">
        <v>579994.64120940003</v>
      </c>
      <c r="O873" s="396" t="s">
        <v>4754</v>
      </c>
    </row>
    <row r="874" spans="1:15" ht="26.4" x14ac:dyDescent="0.4">
      <c r="A874" s="396" t="s">
        <v>7323</v>
      </c>
      <c r="B874" s="394" t="s">
        <v>420</v>
      </c>
      <c r="C874" s="394" t="s">
        <v>7324</v>
      </c>
      <c r="D874" s="394" t="s">
        <v>1039</v>
      </c>
      <c r="E874" s="395" t="s">
        <v>422</v>
      </c>
      <c r="F874" s="396" t="s">
        <v>5269</v>
      </c>
      <c r="G874" s="396" t="s">
        <v>781</v>
      </c>
      <c r="H874" s="396" t="s">
        <v>7325</v>
      </c>
      <c r="I874" s="396" t="s">
        <v>781</v>
      </c>
      <c r="J874" s="396" t="s">
        <v>7325</v>
      </c>
      <c r="K874" s="396" t="s">
        <v>781</v>
      </c>
      <c r="L874" s="397">
        <v>9</v>
      </c>
      <c r="M874" s="396" t="s">
        <v>4599</v>
      </c>
      <c r="N874" s="397">
        <v>580003.64120940003</v>
      </c>
      <c r="O874" s="396" t="s">
        <v>4754</v>
      </c>
    </row>
    <row r="875" spans="1:15" x14ac:dyDescent="0.4">
      <c r="A875" s="396" t="s">
        <v>4711</v>
      </c>
      <c r="B875" s="394" t="s">
        <v>395</v>
      </c>
      <c r="C875" s="394" t="s">
        <v>4712</v>
      </c>
      <c r="D875" s="394" t="s">
        <v>1039</v>
      </c>
      <c r="E875" s="395" t="s">
        <v>3</v>
      </c>
      <c r="F875" s="396" t="s">
        <v>5560</v>
      </c>
      <c r="G875" s="396" t="s">
        <v>781</v>
      </c>
      <c r="H875" s="396" t="s">
        <v>7326</v>
      </c>
      <c r="I875" s="396" t="s">
        <v>781</v>
      </c>
      <c r="J875" s="396" t="s">
        <v>7327</v>
      </c>
      <c r="K875" s="396" t="s">
        <v>781</v>
      </c>
      <c r="L875" s="397">
        <v>8.9200180160000002</v>
      </c>
      <c r="M875" s="396" t="s">
        <v>4599</v>
      </c>
      <c r="N875" s="397">
        <v>580012.56122739997</v>
      </c>
      <c r="O875" s="396" t="s">
        <v>4754</v>
      </c>
    </row>
    <row r="876" spans="1:15" ht="26.4" x14ac:dyDescent="0.4">
      <c r="A876" s="396" t="s">
        <v>4739</v>
      </c>
      <c r="B876" s="394" t="s">
        <v>395</v>
      </c>
      <c r="C876" s="394" t="s">
        <v>4740</v>
      </c>
      <c r="D876" s="394" t="s">
        <v>1039</v>
      </c>
      <c r="E876" s="395" t="s">
        <v>4</v>
      </c>
      <c r="F876" s="396" t="s">
        <v>5269</v>
      </c>
      <c r="G876" s="396" t="s">
        <v>781</v>
      </c>
      <c r="H876" s="396" t="s">
        <v>7328</v>
      </c>
      <c r="I876" s="396" t="s">
        <v>781</v>
      </c>
      <c r="J876" s="396" t="s">
        <v>7328</v>
      </c>
      <c r="K876" s="396" t="s">
        <v>781</v>
      </c>
      <c r="L876" s="397">
        <v>8.86</v>
      </c>
      <c r="M876" s="396" t="s">
        <v>4599</v>
      </c>
      <c r="N876" s="397">
        <v>580021.42122739996</v>
      </c>
      <c r="O876" s="396" t="s">
        <v>4754</v>
      </c>
    </row>
    <row r="877" spans="1:15" x14ac:dyDescent="0.4">
      <c r="A877" s="396" t="s">
        <v>4643</v>
      </c>
      <c r="B877" s="394" t="s">
        <v>420</v>
      </c>
      <c r="C877" s="394" t="s">
        <v>4644</v>
      </c>
      <c r="D877" s="394" t="s">
        <v>1039</v>
      </c>
      <c r="E877" s="395" t="s">
        <v>422</v>
      </c>
      <c r="F877" s="396" t="s">
        <v>5522</v>
      </c>
      <c r="G877" s="396" t="s">
        <v>781</v>
      </c>
      <c r="H877" s="396" t="s">
        <v>5279</v>
      </c>
      <c r="I877" s="396" t="s">
        <v>781</v>
      </c>
      <c r="J877" s="396" t="s">
        <v>7329</v>
      </c>
      <c r="K877" s="396" t="s">
        <v>781</v>
      </c>
      <c r="L877" s="397">
        <v>8.8545888000000001</v>
      </c>
      <c r="M877" s="396" t="s">
        <v>4599</v>
      </c>
      <c r="N877" s="397">
        <v>580030.27581619995</v>
      </c>
      <c r="O877" s="396" t="s">
        <v>4754</v>
      </c>
    </row>
    <row r="878" spans="1:15" x14ac:dyDescent="0.4">
      <c r="A878" s="396" t="s">
        <v>1042</v>
      </c>
      <c r="B878" s="394" t="s">
        <v>408</v>
      </c>
      <c r="C878" s="394" t="s">
        <v>1043</v>
      </c>
      <c r="D878" s="394" t="s">
        <v>1039</v>
      </c>
      <c r="E878" s="395" t="s">
        <v>7</v>
      </c>
      <c r="F878" s="396" t="s">
        <v>5614</v>
      </c>
      <c r="G878" s="396" t="s">
        <v>781</v>
      </c>
      <c r="H878" s="396" t="s">
        <v>5718</v>
      </c>
      <c r="I878" s="396" t="s">
        <v>781</v>
      </c>
      <c r="J878" s="396" t="s">
        <v>7330</v>
      </c>
      <c r="K878" s="396" t="s">
        <v>781</v>
      </c>
      <c r="L878" s="397">
        <v>8.8424999999999994</v>
      </c>
      <c r="M878" s="396" t="s">
        <v>4599</v>
      </c>
      <c r="N878" s="397">
        <v>580039.11831619998</v>
      </c>
      <c r="O878" s="396" t="s">
        <v>4754</v>
      </c>
    </row>
    <row r="879" spans="1:15" ht="26.4" x14ac:dyDescent="0.4">
      <c r="A879" s="396" t="s">
        <v>4305</v>
      </c>
      <c r="B879" s="394" t="s">
        <v>395</v>
      </c>
      <c r="C879" s="394" t="s">
        <v>4306</v>
      </c>
      <c r="D879" s="394" t="s">
        <v>1039</v>
      </c>
      <c r="E879" s="395" t="s">
        <v>4</v>
      </c>
      <c r="F879" s="396" t="s">
        <v>9485</v>
      </c>
      <c r="G879" s="396" t="s">
        <v>781</v>
      </c>
      <c r="H879" s="396" t="s">
        <v>5764</v>
      </c>
      <c r="I879" s="396" t="s">
        <v>781</v>
      </c>
      <c r="J879" s="396" t="s">
        <v>9486</v>
      </c>
      <c r="K879" s="396" t="s">
        <v>781</v>
      </c>
      <c r="L879" s="397">
        <v>8.7807300000000001</v>
      </c>
      <c r="M879" s="396" t="s">
        <v>4599</v>
      </c>
      <c r="N879" s="397">
        <v>580047.89904619998</v>
      </c>
      <c r="O879" s="396" t="s">
        <v>4757</v>
      </c>
    </row>
    <row r="880" spans="1:15" x14ac:dyDescent="0.4">
      <c r="A880" s="396" t="s">
        <v>2548</v>
      </c>
      <c r="B880" s="394" t="s">
        <v>420</v>
      </c>
      <c r="C880" s="394" t="s">
        <v>2549</v>
      </c>
      <c r="D880" s="394" t="s">
        <v>1039</v>
      </c>
      <c r="E880" s="395" t="s">
        <v>422</v>
      </c>
      <c r="F880" s="396" t="s">
        <v>5269</v>
      </c>
      <c r="G880" s="396" t="s">
        <v>781</v>
      </c>
      <c r="H880" s="396" t="s">
        <v>7331</v>
      </c>
      <c r="I880" s="396" t="s">
        <v>781</v>
      </c>
      <c r="J880" s="396" t="s">
        <v>7331</v>
      </c>
      <c r="K880" s="396" t="s">
        <v>781</v>
      </c>
      <c r="L880" s="397">
        <v>8.68</v>
      </c>
      <c r="M880" s="396" t="s">
        <v>4599</v>
      </c>
      <c r="N880" s="397">
        <v>580056.57904620003</v>
      </c>
      <c r="O880" s="396" t="s">
        <v>4757</v>
      </c>
    </row>
    <row r="881" spans="1:15" ht="26.4" x14ac:dyDescent="0.4">
      <c r="A881" s="396" t="s">
        <v>4821</v>
      </c>
      <c r="B881" s="394" t="s">
        <v>395</v>
      </c>
      <c r="C881" s="394" t="s">
        <v>4822</v>
      </c>
      <c r="D881" s="394" t="s">
        <v>1317</v>
      </c>
      <c r="E881" s="395" t="s">
        <v>10</v>
      </c>
      <c r="F881" s="396" t="s">
        <v>5273</v>
      </c>
      <c r="G881" s="396" t="s">
        <v>781</v>
      </c>
      <c r="H881" s="396" t="s">
        <v>7223</v>
      </c>
      <c r="I881" s="396" t="s">
        <v>781</v>
      </c>
      <c r="J881" s="396" t="s">
        <v>9487</v>
      </c>
      <c r="K881" s="396" t="s">
        <v>781</v>
      </c>
      <c r="L881" s="397">
        <v>8.66</v>
      </c>
      <c r="M881" s="396" t="s">
        <v>4599</v>
      </c>
      <c r="N881" s="397">
        <v>580065.23904619995</v>
      </c>
      <c r="O881" s="396" t="s">
        <v>4757</v>
      </c>
    </row>
    <row r="882" spans="1:15" ht="26.4" x14ac:dyDescent="0.4">
      <c r="A882" s="396" t="s">
        <v>2301</v>
      </c>
      <c r="B882" s="394" t="s">
        <v>5902</v>
      </c>
      <c r="C882" s="394" t="s">
        <v>2302</v>
      </c>
      <c r="D882" s="394" t="s">
        <v>1053</v>
      </c>
      <c r="E882" s="395" t="s">
        <v>6</v>
      </c>
      <c r="F882" s="396" t="s">
        <v>5595</v>
      </c>
      <c r="G882" s="396" t="s">
        <v>781</v>
      </c>
      <c r="H882" s="396" t="s">
        <v>6194</v>
      </c>
      <c r="I882" s="396" t="s">
        <v>781</v>
      </c>
      <c r="J882" s="396" t="s">
        <v>7332</v>
      </c>
      <c r="K882" s="396" t="s">
        <v>781</v>
      </c>
      <c r="L882" s="397">
        <v>8.6297999999999995</v>
      </c>
      <c r="M882" s="396" t="s">
        <v>4599</v>
      </c>
      <c r="N882" s="397">
        <v>580073.86884620006</v>
      </c>
      <c r="O882" s="396" t="s">
        <v>4757</v>
      </c>
    </row>
    <row r="883" spans="1:15" x14ac:dyDescent="0.4">
      <c r="A883" s="396" t="s">
        <v>9488</v>
      </c>
      <c r="B883" s="394" t="s">
        <v>8393</v>
      </c>
      <c r="C883" s="394" t="s">
        <v>9489</v>
      </c>
      <c r="D883" s="394" t="s">
        <v>1039</v>
      </c>
      <c r="E883" s="395" t="s">
        <v>9464</v>
      </c>
      <c r="F883" s="396" t="s">
        <v>9490</v>
      </c>
      <c r="G883" s="396" t="s">
        <v>781</v>
      </c>
      <c r="H883" s="396" t="s">
        <v>9491</v>
      </c>
      <c r="I883" s="396" t="s">
        <v>781</v>
      </c>
      <c r="J883" s="396" t="s">
        <v>9492</v>
      </c>
      <c r="K883" s="396" t="s">
        <v>781</v>
      </c>
      <c r="L883" s="397">
        <v>8.6</v>
      </c>
      <c r="M883" s="396" t="s">
        <v>4599</v>
      </c>
      <c r="N883" s="397">
        <v>580082.46884620003</v>
      </c>
      <c r="O883" s="396" t="s">
        <v>4757</v>
      </c>
    </row>
    <row r="884" spans="1:15" x14ac:dyDescent="0.4">
      <c r="A884" s="396" t="s">
        <v>1114</v>
      </c>
      <c r="B884" s="394" t="s">
        <v>408</v>
      </c>
      <c r="C884" s="394" t="s">
        <v>1115</v>
      </c>
      <c r="D884" s="394" t="s">
        <v>1039</v>
      </c>
      <c r="E884" s="395" t="s">
        <v>7</v>
      </c>
      <c r="F884" s="396" t="s">
        <v>7333</v>
      </c>
      <c r="G884" s="396" t="s">
        <v>781</v>
      </c>
      <c r="H884" s="396" t="s">
        <v>5753</v>
      </c>
      <c r="I884" s="396" t="s">
        <v>781</v>
      </c>
      <c r="J884" s="396" t="s">
        <v>7334</v>
      </c>
      <c r="K884" s="396" t="s">
        <v>781</v>
      </c>
      <c r="L884" s="397">
        <v>8.58751</v>
      </c>
      <c r="M884" s="396" t="s">
        <v>4599</v>
      </c>
      <c r="N884" s="397">
        <v>580091.05635620002</v>
      </c>
      <c r="O884" s="396" t="s">
        <v>4757</v>
      </c>
    </row>
    <row r="885" spans="1:15" ht="39.6" x14ac:dyDescent="0.4">
      <c r="A885" s="396" t="s">
        <v>9493</v>
      </c>
      <c r="B885" s="394" t="s">
        <v>395</v>
      </c>
      <c r="C885" s="394" t="s">
        <v>9494</v>
      </c>
      <c r="D885" s="394" t="s">
        <v>1039</v>
      </c>
      <c r="E885" s="395" t="s">
        <v>675</v>
      </c>
      <c r="F885" s="396" t="s">
        <v>9495</v>
      </c>
      <c r="G885" s="396" t="s">
        <v>781</v>
      </c>
      <c r="H885" s="396" t="s">
        <v>9496</v>
      </c>
      <c r="I885" s="396" t="s">
        <v>781</v>
      </c>
      <c r="J885" s="396" t="s">
        <v>9497</v>
      </c>
      <c r="K885" s="396" t="s">
        <v>781</v>
      </c>
      <c r="L885" s="397">
        <v>8.5631400000000006</v>
      </c>
      <c r="M885" s="396" t="s">
        <v>4599</v>
      </c>
      <c r="N885" s="397">
        <v>580099.6194962</v>
      </c>
      <c r="O885" s="396" t="s">
        <v>4762</v>
      </c>
    </row>
    <row r="886" spans="1:15" x14ac:dyDescent="0.4">
      <c r="A886" s="396" t="s">
        <v>1229</v>
      </c>
      <c r="B886" s="394" t="s">
        <v>395</v>
      </c>
      <c r="C886" s="394" t="s">
        <v>287</v>
      </c>
      <c r="D886" s="394" t="s">
        <v>1039</v>
      </c>
      <c r="E886" s="395" t="s">
        <v>4</v>
      </c>
      <c r="F886" s="396" t="s">
        <v>5573</v>
      </c>
      <c r="G886" s="396" t="s">
        <v>781</v>
      </c>
      <c r="H886" s="396" t="s">
        <v>7335</v>
      </c>
      <c r="I886" s="396" t="s">
        <v>781</v>
      </c>
      <c r="J886" s="396" t="s">
        <v>7336</v>
      </c>
      <c r="K886" s="396" t="s">
        <v>781</v>
      </c>
      <c r="L886" s="397">
        <v>8.5437370000000001</v>
      </c>
      <c r="M886" s="396" t="s">
        <v>4599</v>
      </c>
      <c r="N886" s="397">
        <v>580108.16323319997</v>
      </c>
      <c r="O886" s="396" t="s">
        <v>4762</v>
      </c>
    </row>
    <row r="887" spans="1:15" ht="26.4" x14ac:dyDescent="0.4">
      <c r="A887" s="396" t="s">
        <v>7337</v>
      </c>
      <c r="B887" s="394" t="s">
        <v>420</v>
      </c>
      <c r="C887" s="394" t="s">
        <v>7338</v>
      </c>
      <c r="D887" s="394" t="s">
        <v>1039</v>
      </c>
      <c r="E887" s="395" t="s">
        <v>422</v>
      </c>
      <c r="F887" s="396" t="s">
        <v>5289</v>
      </c>
      <c r="G887" s="396" t="s">
        <v>781</v>
      </c>
      <c r="H887" s="396" t="s">
        <v>5711</v>
      </c>
      <c r="I887" s="396" t="s">
        <v>781</v>
      </c>
      <c r="J887" s="396" t="s">
        <v>5583</v>
      </c>
      <c r="K887" s="396" t="s">
        <v>781</v>
      </c>
      <c r="L887" s="397">
        <v>8.52</v>
      </c>
      <c r="M887" s="396" t="s">
        <v>4599</v>
      </c>
      <c r="N887" s="397">
        <v>580116.68323319999</v>
      </c>
      <c r="O887" s="396" t="s">
        <v>4762</v>
      </c>
    </row>
    <row r="888" spans="1:15" ht="26.4" x14ac:dyDescent="0.4">
      <c r="A888" s="396" t="s">
        <v>1214</v>
      </c>
      <c r="B888" s="394" t="s">
        <v>5902</v>
      </c>
      <c r="C888" s="394" t="s">
        <v>1215</v>
      </c>
      <c r="D888" s="394" t="s">
        <v>1039</v>
      </c>
      <c r="E888" s="395" t="s">
        <v>4</v>
      </c>
      <c r="F888" s="396" t="s">
        <v>5269</v>
      </c>
      <c r="G888" s="396" t="s">
        <v>781</v>
      </c>
      <c r="H888" s="396" t="s">
        <v>7339</v>
      </c>
      <c r="I888" s="396" t="s">
        <v>781</v>
      </c>
      <c r="J888" s="396" t="s">
        <v>7339</v>
      </c>
      <c r="K888" s="396" t="s">
        <v>781</v>
      </c>
      <c r="L888" s="397">
        <v>8.51</v>
      </c>
      <c r="M888" s="396" t="s">
        <v>4599</v>
      </c>
      <c r="N888" s="397">
        <v>580125.1932332</v>
      </c>
      <c r="O888" s="396" t="s">
        <v>4762</v>
      </c>
    </row>
    <row r="889" spans="1:15" ht="26.4" x14ac:dyDescent="0.4">
      <c r="A889" s="396" t="s">
        <v>1189</v>
      </c>
      <c r="B889" s="394" t="s">
        <v>484</v>
      </c>
      <c r="C889" s="394" t="s">
        <v>487</v>
      </c>
      <c r="D889" s="394" t="s">
        <v>1039</v>
      </c>
      <c r="E889" s="395" t="s">
        <v>422</v>
      </c>
      <c r="F889" s="396" t="s">
        <v>5269</v>
      </c>
      <c r="G889" s="396" t="s">
        <v>781</v>
      </c>
      <c r="H889" s="396" t="s">
        <v>7339</v>
      </c>
      <c r="I889" s="396" t="s">
        <v>781</v>
      </c>
      <c r="J889" s="396" t="s">
        <v>7339</v>
      </c>
      <c r="K889" s="396" t="s">
        <v>781</v>
      </c>
      <c r="L889" s="397">
        <v>8.51</v>
      </c>
      <c r="M889" s="396" t="s">
        <v>4599</v>
      </c>
      <c r="N889" s="397">
        <v>580133.70323320001</v>
      </c>
      <c r="O889" s="396" t="s">
        <v>4762</v>
      </c>
    </row>
    <row r="890" spans="1:15" x14ac:dyDescent="0.4">
      <c r="A890" s="396" t="s">
        <v>1081</v>
      </c>
      <c r="B890" s="394" t="s">
        <v>408</v>
      </c>
      <c r="C890" s="394" t="s">
        <v>1082</v>
      </c>
      <c r="D890" s="394" t="s">
        <v>1039</v>
      </c>
      <c r="E890" s="395" t="s">
        <v>7</v>
      </c>
      <c r="F890" s="396" t="s">
        <v>5323</v>
      </c>
      <c r="G890" s="396" t="s">
        <v>781</v>
      </c>
      <c r="H890" s="396" t="s">
        <v>5587</v>
      </c>
      <c r="I890" s="396" t="s">
        <v>781</v>
      </c>
      <c r="J890" s="396" t="s">
        <v>7339</v>
      </c>
      <c r="K890" s="396" t="s">
        <v>781</v>
      </c>
      <c r="L890" s="397">
        <v>8.5050000000000008</v>
      </c>
      <c r="M890" s="396" t="s">
        <v>4599</v>
      </c>
      <c r="N890" s="397">
        <v>580142.20823320001</v>
      </c>
      <c r="O890" s="396" t="s">
        <v>4762</v>
      </c>
    </row>
    <row r="891" spans="1:15" x14ac:dyDescent="0.4">
      <c r="A891" s="396" t="s">
        <v>2544</v>
      </c>
      <c r="B891" s="394" t="s">
        <v>420</v>
      </c>
      <c r="C891" s="394" t="s">
        <v>2545</v>
      </c>
      <c r="D891" s="394" t="s">
        <v>1039</v>
      </c>
      <c r="E891" s="395" t="s">
        <v>422</v>
      </c>
      <c r="F891" s="396" t="s">
        <v>5269</v>
      </c>
      <c r="G891" s="396" t="s">
        <v>781</v>
      </c>
      <c r="H891" s="396" t="s">
        <v>7340</v>
      </c>
      <c r="I891" s="396" t="s">
        <v>781</v>
      </c>
      <c r="J891" s="396" t="s">
        <v>7340</v>
      </c>
      <c r="K891" s="396" t="s">
        <v>781</v>
      </c>
      <c r="L891" s="397">
        <v>8.4600000000000009</v>
      </c>
      <c r="M891" s="396" t="s">
        <v>4599</v>
      </c>
      <c r="N891" s="397">
        <v>580150.66823319998</v>
      </c>
      <c r="O891" s="396" t="s">
        <v>4762</v>
      </c>
    </row>
    <row r="892" spans="1:15" ht="26.4" x14ac:dyDescent="0.4">
      <c r="A892" s="396" t="s">
        <v>4755</v>
      </c>
      <c r="B892" s="394" t="s">
        <v>395</v>
      </c>
      <c r="C892" s="394" t="s">
        <v>4756</v>
      </c>
      <c r="D892" s="394" t="s">
        <v>1039</v>
      </c>
      <c r="E892" s="395" t="s">
        <v>4</v>
      </c>
      <c r="F892" s="396" t="s">
        <v>5269</v>
      </c>
      <c r="G892" s="396" t="s">
        <v>781</v>
      </c>
      <c r="H892" s="396" t="s">
        <v>5312</v>
      </c>
      <c r="I892" s="396" t="s">
        <v>781</v>
      </c>
      <c r="J892" s="396" t="s">
        <v>5312</v>
      </c>
      <c r="K892" s="396" t="s">
        <v>781</v>
      </c>
      <c r="L892" s="397">
        <v>8.4499999999999993</v>
      </c>
      <c r="M892" s="396" t="s">
        <v>4599</v>
      </c>
      <c r="N892" s="397">
        <v>580159.11823320005</v>
      </c>
      <c r="O892" s="396" t="s">
        <v>4769</v>
      </c>
    </row>
    <row r="893" spans="1:15" ht="26.4" x14ac:dyDescent="0.4">
      <c r="A893" s="396" t="s">
        <v>4736</v>
      </c>
      <c r="B893" s="394" t="s">
        <v>395</v>
      </c>
      <c r="C893" s="394" t="s">
        <v>4737</v>
      </c>
      <c r="D893" s="394" t="s">
        <v>1039</v>
      </c>
      <c r="E893" s="395" t="s">
        <v>4</v>
      </c>
      <c r="F893" s="396" t="s">
        <v>5269</v>
      </c>
      <c r="G893" s="396" t="s">
        <v>781</v>
      </c>
      <c r="H893" s="396" t="s">
        <v>5808</v>
      </c>
      <c r="I893" s="396" t="s">
        <v>781</v>
      </c>
      <c r="J893" s="396" t="s">
        <v>5808</v>
      </c>
      <c r="K893" s="396" t="s">
        <v>781</v>
      </c>
      <c r="L893" s="397">
        <v>8.44</v>
      </c>
      <c r="M893" s="396" t="s">
        <v>4599</v>
      </c>
      <c r="N893" s="397">
        <v>580167.55823319999</v>
      </c>
      <c r="O893" s="396" t="s">
        <v>4769</v>
      </c>
    </row>
    <row r="894" spans="1:15" ht="26.4" x14ac:dyDescent="0.4">
      <c r="A894" s="396" t="s">
        <v>2396</v>
      </c>
      <c r="B894" s="394" t="s">
        <v>5902</v>
      </c>
      <c r="C894" s="394" t="s">
        <v>2397</v>
      </c>
      <c r="D894" s="394" t="s">
        <v>1039</v>
      </c>
      <c r="E894" s="395" t="s">
        <v>675</v>
      </c>
      <c r="F894" s="396" t="s">
        <v>5555</v>
      </c>
      <c r="G894" s="396" t="s">
        <v>781</v>
      </c>
      <c r="H894" s="396" t="s">
        <v>5540</v>
      </c>
      <c r="I894" s="396" t="s">
        <v>781</v>
      </c>
      <c r="J894" s="396" t="s">
        <v>7341</v>
      </c>
      <c r="K894" s="396" t="s">
        <v>781</v>
      </c>
      <c r="L894" s="397">
        <v>8.4149999999999991</v>
      </c>
      <c r="M894" s="396" t="s">
        <v>4599</v>
      </c>
      <c r="N894" s="397">
        <v>580175.97323320003</v>
      </c>
      <c r="O894" s="396" t="s">
        <v>4769</v>
      </c>
    </row>
    <row r="895" spans="1:15" x14ac:dyDescent="0.4">
      <c r="A895" s="396" t="s">
        <v>7342</v>
      </c>
      <c r="B895" s="394" t="s">
        <v>395</v>
      </c>
      <c r="C895" s="394" t="s">
        <v>7343</v>
      </c>
      <c r="D895" s="394" t="s">
        <v>1039</v>
      </c>
      <c r="E895" s="395" t="s">
        <v>4</v>
      </c>
      <c r="F895" s="396" t="s">
        <v>5269</v>
      </c>
      <c r="G895" s="396" t="s">
        <v>781</v>
      </c>
      <c r="H895" s="396" t="s">
        <v>7127</v>
      </c>
      <c r="I895" s="396" t="s">
        <v>781</v>
      </c>
      <c r="J895" s="396" t="s">
        <v>7127</v>
      </c>
      <c r="K895" s="396" t="s">
        <v>781</v>
      </c>
      <c r="L895" s="397">
        <v>8.2799999999999994</v>
      </c>
      <c r="M895" s="396" t="s">
        <v>4599</v>
      </c>
      <c r="N895" s="397">
        <v>580184.25323320006</v>
      </c>
      <c r="O895" s="396" t="s">
        <v>4769</v>
      </c>
    </row>
    <row r="896" spans="1:15" x14ac:dyDescent="0.4">
      <c r="A896" s="396" t="s">
        <v>1563</v>
      </c>
      <c r="B896" s="394" t="s">
        <v>490</v>
      </c>
      <c r="C896" s="394" t="s">
        <v>1564</v>
      </c>
      <c r="D896" s="394" t="s">
        <v>1053</v>
      </c>
      <c r="E896" s="395" t="s">
        <v>6</v>
      </c>
      <c r="F896" s="396" t="s">
        <v>5622</v>
      </c>
      <c r="G896" s="396" t="s">
        <v>781</v>
      </c>
      <c r="H896" s="396" t="s">
        <v>7344</v>
      </c>
      <c r="I896" s="396" t="s">
        <v>781</v>
      </c>
      <c r="J896" s="396" t="s">
        <v>7345</v>
      </c>
      <c r="K896" s="396" t="s">
        <v>781</v>
      </c>
      <c r="L896" s="397">
        <v>8.2591999999999999</v>
      </c>
      <c r="M896" s="396" t="s">
        <v>4599</v>
      </c>
      <c r="N896" s="397">
        <v>580192.51243320003</v>
      </c>
      <c r="O896" s="396" t="s">
        <v>4769</v>
      </c>
    </row>
    <row r="897" spans="1:15" x14ac:dyDescent="0.4">
      <c r="A897" s="396" t="s">
        <v>7346</v>
      </c>
      <c r="B897" s="394" t="s">
        <v>408</v>
      </c>
      <c r="C897" s="394" t="s">
        <v>7347</v>
      </c>
      <c r="D897" s="394" t="s">
        <v>1053</v>
      </c>
      <c r="E897" s="395" t="s">
        <v>6</v>
      </c>
      <c r="F897" s="396" t="s">
        <v>5595</v>
      </c>
      <c r="G897" s="396" t="s">
        <v>781</v>
      </c>
      <c r="H897" s="396" t="s">
        <v>5329</v>
      </c>
      <c r="I897" s="396" t="s">
        <v>781</v>
      </c>
      <c r="J897" s="396" t="s">
        <v>7348</v>
      </c>
      <c r="K897" s="396" t="s">
        <v>781</v>
      </c>
      <c r="L897" s="397">
        <v>8.2042000000000002</v>
      </c>
      <c r="M897" s="396" t="s">
        <v>4599</v>
      </c>
      <c r="N897" s="397">
        <v>580200.71663319995</v>
      </c>
      <c r="O897" s="396" t="s">
        <v>4769</v>
      </c>
    </row>
    <row r="898" spans="1:15" ht="26.4" x14ac:dyDescent="0.4">
      <c r="A898" s="396" t="s">
        <v>1134</v>
      </c>
      <c r="B898" s="394" t="s">
        <v>5902</v>
      </c>
      <c r="C898" s="394" t="s">
        <v>1135</v>
      </c>
      <c r="D898" s="394" t="s">
        <v>1039</v>
      </c>
      <c r="E898" s="395" t="s">
        <v>4</v>
      </c>
      <c r="F898" s="396" t="s">
        <v>5269</v>
      </c>
      <c r="G898" s="396" t="s">
        <v>781</v>
      </c>
      <c r="H898" s="396" t="s">
        <v>7349</v>
      </c>
      <c r="I898" s="396" t="s">
        <v>781</v>
      </c>
      <c r="J898" s="396" t="s">
        <v>7349</v>
      </c>
      <c r="K898" s="396" t="s">
        <v>781</v>
      </c>
      <c r="L898" s="397">
        <v>8.18</v>
      </c>
      <c r="M898" s="396" t="s">
        <v>4599</v>
      </c>
      <c r="N898" s="397">
        <v>580208.8966332</v>
      </c>
      <c r="O898" s="396" t="s">
        <v>4769</v>
      </c>
    </row>
    <row r="899" spans="1:15" x14ac:dyDescent="0.4">
      <c r="A899" s="396" t="s">
        <v>2546</v>
      </c>
      <c r="B899" s="394" t="s">
        <v>420</v>
      </c>
      <c r="C899" s="394" t="s">
        <v>2547</v>
      </c>
      <c r="D899" s="394" t="s">
        <v>1039</v>
      </c>
      <c r="E899" s="395" t="s">
        <v>422</v>
      </c>
      <c r="F899" s="396" t="s">
        <v>5269</v>
      </c>
      <c r="G899" s="396" t="s">
        <v>781</v>
      </c>
      <c r="H899" s="396" t="s">
        <v>9498</v>
      </c>
      <c r="I899" s="396" t="s">
        <v>781</v>
      </c>
      <c r="J899" s="396" t="s">
        <v>9498</v>
      </c>
      <c r="K899" s="396" t="s">
        <v>781</v>
      </c>
      <c r="L899" s="397">
        <v>8.15</v>
      </c>
      <c r="M899" s="396" t="s">
        <v>4599</v>
      </c>
      <c r="N899" s="397">
        <v>580217.04663320002</v>
      </c>
      <c r="O899" s="396" t="s">
        <v>4774</v>
      </c>
    </row>
    <row r="900" spans="1:15" x14ac:dyDescent="0.4">
      <c r="A900" s="396" t="s">
        <v>2569</v>
      </c>
      <c r="B900" s="394" t="s">
        <v>420</v>
      </c>
      <c r="C900" s="394" t="s">
        <v>2570</v>
      </c>
      <c r="D900" s="394" t="s">
        <v>1039</v>
      </c>
      <c r="E900" s="395" t="s">
        <v>422</v>
      </c>
      <c r="F900" s="396" t="s">
        <v>5269</v>
      </c>
      <c r="G900" s="396" t="s">
        <v>781</v>
      </c>
      <c r="H900" s="396" t="s">
        <v>5587</v>
      </c>
      <c r="I900" s="396" t="s">
        <v>781</v>
      </c>
      <c r="J900" s="396" t="s">
        <v>5587</v>
      </c>
      <c r="K900" s="396" t="s">
        <v>781</v>
      </c>
      <c r="L900" s="397">
        <v>8.1</v>
      </c>
      <c r="M900" s="396" t="s">
        <v>4599</v>
      </c>
      <c r="N900" s="397">
        <v>580225.1466332</v>
      </c>
      <c r="O900" s="396" t="s">
        <v>4774</v>
      </c>
    </row>
    <row r="901" spans="1:15" ht="26.4" x14ac:dyDescent="0.4">
      <c r="A901" s="396" t="s">
        <v>4760</v>
      </c>
      <c r="B901" s="394" t="s">
        <v>395</v>
      </c>
      <c r="C901" s="394" t="s">
        <v>4761</v>
      </c>
      <c r="D901" s="394" t="s">
        <v>1039</v>
      </c>
      <c r="E901" s="395" t="s">
        <v>4</v>
      </c>
      <c r="F901" s="396" t="s">
        <v>5269</v>
      </c>
      <c r="G901" s="396" t="s">
        <v>781</v>
      </c>
      <c r="H901" s="396" t="s">
        <v>5588</v>
      </c>
      <c r="I901" s="396" t="s">
        <v>781</v>
      </c>
      <c r="J901" s="396" t="s">
        <v>5588</v>
      </c>
      <c r="K901" s="396" t="s">
        <v>781</v>
      </c>
      <c r="L901" s="397">
        <v>8.01</v>
      </c>
      <c r="M901" s="396" t="s">
        <v>4599</v>
      </c>
      <c r="N901" s="397">
        <v>580233.15663320001</v>
      </c>
      <c r="O901" s="396" t="s">
        <v>4774</v>
      </c>
    </row>
    <row r="902" spans="1:15" ht="26.4" x14ac:dyDescent="0.4">
      <c r="A902" s="396" t="s">
        <v>7360</v>
      </c>
      <c r="B902" s="394" t="s">
        <v>420</v>
      </c>
      <c r="C902" s="394" t="s">
        <v>7361</v>
      </c>
      <c r="D902" s="394" t="s">
        <v>1039</v>
      </c>
      <c r="E902" s="395" t="s">
        <v>422</v>
      </c>
      <c r="F902" s="396" t="s">
        <v>5284</v>
      </c>
      <c r="G902" s="396" t="s">
        <v>781</v>
      </c>
      <c r="H902" s="396" t="s">
        <v>7543</v>
      </c>
      <c r="I902" s="396" t="s">
        <v>781</v>
      </c>
      <c r="J902" s="396" t="s">
        <v>5589</v>
      </c>
      <c r="K902" s="396" t="s">
        <v>781</v>
      </c>
      <c r="L902" s="397">
        <v>7.95</v>
      </c>
      <c r="M902" s="396" t="s">
        <v>4599</v>
      </c>
      <c r="N902" s="397">
        <v>580241.10663319996</v>
      </c>
      <c r="O902" s="396" t="s">
        <v>4774</v>
      </c>
    </row>
    <row r="903" spans="1:15" x14ac:dyDescent="0.4">
      <c r="A903" s="396" t="s">
        <v>7350</v>
      </c>
      <c r="B903" s="394" t="s">
        <v>408</v>
      </c>
      <c r="C903" s="394" t="s">
        <v>7351</v>
      </c>
      <c r="D903" s="394" t="s">
        <v>1039</v>
      </c>
      <c r="E903" s="395" t="s">
        <v>6</v>
      </c>
      <c r="F903" s="396" t="s">
        <v>7352</v>
      </c>
      <c r="G903" s="396" t="s">
        <v>781</v>
      </c>
      <c r="H903" s="396" t="s">
        <v>5685</v>
      </c>
      <c r="I903" s="396" t="s">
        <v>781</v>
      </c>
      <c r="J903" s="396" t="s">
        <v>5590</v>
      </c>
      <c r="K903" s="396" t="s">
        <v>781</v>
      </c>
      <c r="L903" s="397">
        <v>7.8929999999999998</v>
      </c>
      <c r="M903" s="396" t="s">
        <v>4599</v>
      </c>
      <c r="N903" s="397">
        <v>580248.9996332</v>
      </c>
      <c r="O903" s="396" t="s">
        <v>4774</v>
      </c>
    </row>
    <row r="904" spans="1:15" x14ac:dyDescent="0.4">
      <c r="A904" s="396" t="s">
        <v>3100</v>
      </c>
      <c r="B904" s="394" t="s">
        <v>408</v>
      </c>
      <c r="C904" s="394" t="s">
        <v>3101</v>
      </c>
      <c r="D904" s="394" t="s">
        <v>1039</v>
      </c>
      <c r="E904" s="395" t="s">
        <v>3</v>
      </c>
      <c r="F904" s="396" t="s">
        <v>5632</v>
      </c>
      <c r="G904" s="396" t="s">
        <v>781</v>
      </c>
      <c r="H904" s="396" t="s">
        <v>7353</v>
      </c>
      <c r="I904" s="396" t="s">
        <v>781</v>
      </c>
      <c r="J904" s="396" t="s">
        <v>7354</v>
      </c>
      <c r="K904" s="396" t="s">
        <v>781</v>
      </c>
      <c r="L904" s="397">
        <v>7.8449999999999998</v>
      </c>
      <c r="M904" s="396" t="s">
        <v>4599</v>
      </c>
      <c r="N904" s="397">
        <v>580256.84463319997</v>
      </c>
      <c r="O904" s="396" t="s">
        <v>4774</v>
      </c>
    </row>
    <row r="905" spans="1:15" x14ac:dyDescent="0.4">
      <c r="A905" s="396" t="s">
        <v>1436</v>
      </c>
      <c r="B905" s="394" t="s">
        <v>395</v>
      </c>
      <c r="C905" s="394" t="s">
        <v>369</v>
      </c>
      <c r="D905" s="394" t="s">
        <v>1039</v>
      </c>
      <c r="E905" s="395" t="s">
        <v>8</v>
      </c>
      <c r="F905" s="396" t="s">
        <v>7355</v>
      </c>
      <c r="G905" s="396" t="s">
        <v>781</v>
      </c>
      <c r="H905" s="396" t="s">
        <v>7356</v>
      </c>
      <c r="I905" s="396" t="s">
        <v>781</v>
      </c>
      <c r="J905" s="396" t="s">
        <v>5586</v>
      </c>
      <c r="K905" s="396" t="s">
        <v>781</v>
      </c>
      <c r="L905" s="397">
        <v>7.8029727839999996</v>
      </c>
      <c r="M905" s="396" t="s">
        <v>4599</v>
      </c>
      <c r="N905" s="397">
        <v>580264.64760599995</v>
      </c>
      <c r="O905" s="396" t="s">
        <v>4774</v>
      </c>
    </row>
    <row r="906" spans="1:15" ht="105.6" x14ac:dyDescent="0.4">
      <c r="A906" s="396" t="s">
        <v>2377</v>
      </c>
      <c r="B906" s="394" t="s">
        <v>575</v>
      </c>
      <c r="C906" s="394" t="s">
        <v>2378</v>
      </c>
      <c r="D906" s="394" t="s">
        <v>1039</v>
      </c>
      <c r="E906" s="395" t="s">
        <v>422</v>
      </c>
      <c r="F906" s="396" t="s">
        <v>5269</v>
      </c>
      <c r="G906" s="396" t="s">
        <v>781</v>
      </c>
      <c r="H906" s="396" t="s">
        <v>9499</v>
      </c>
      <c r="I906" s="396" t="s">
        <v>781</v>
      </c>
      <c r="J906" s="396" t="s">
        <v>9499</v>
      </c>
      <c r="K906" s="396" t="s">
        <v>781</v>
      </c>
      <c r="L906" s="397">
        <v>7.7</v>
      </c>
      <c r="M906" s="396" t="s">
        <v>4599</v>
      </c>
      <c r="N906" s="397">
        <v>580272.34760600002</v>
      </c>
      <c r="O906" s="396" t="s">
        <v>4774</v>
      </c>
    </row>
    <row r="907" spans="1:15" x14ac:dyDescent="0.4">
      <c r="A907" s="396" t="s">
        <v>2388</v>
      </c>
      <c r="B907" s="394" t="s">
        <v>395</v>
      </c>
      <c r="C907" s="394" t="s">
        <v>283</v>
      </c>
      <c r="D907" s="394" t="s">
        <v>1039</v>
      </c>
      <c r="E907" s="395" t="s">
        <v>713</v>
      </c>
      <c r="F907" s="396" t="s">
        <v>5638</v>
      </c>
      <c r="G907" s="396" t="s">
        <v>781</v>
      </c>
      <c r="H907" s="396" t="s">
        <v>7357</v>
      </c>
      <c r="I907" s="396" t="s">
        <v>781</v>
      </c>
      <c r="J907" s="396" t="s">
        <v>7358</v>
      </c>
      <c r="K907" s="396" t="s">
        <v>781</v>
      </c>
      <c r="L907" s="397">
        <v>7.6453319999999998</v>
      </c>
      <c r="M907" s="396" t="s">
        <v>4599</v>
      </c>
      <c r="N907" s="397">
        <v>580279.99293800001</v>
      </c>
      <c r="O907" s="396" t="s">
        <v>4781</v>
      </c>
    </row>
    <row r="908" spans="1:15" ht="26.4" x14ac:dyDescent="0.4">
      <c r="A908" s="396" t="s">
        <v>1212</v>
      </c>
      <c r="B908" s="394" t="s">
        <v>5902</v>
      </c>
      <c r="C908" s="394" t="s">
        <v>1213</v>
      </c>
      <c r="D908" s="394" t="s">
        <v>1039</v>
      </c>
      <c r="E908" s="395" t="s">
        <v>4</v>
      </c>
      <c r="F908" s="396" t="s">
        <v>5269</v>
      </c>
      <c r="G908" s="396" t="s">
        <v>781</v>
      </c>
      <c r="H908" s="396" t="s">
        <v>7359</v>
      </c>
      <c r="I908" s="396" t="s">
        <v>781</v>
      </c>
      <c r="J908" s="396" t="s">
        <v>7359</v>
      </c>
      <c r="K908" s="396" t="s">
        <v>781</v>
      </c>
      <c r="L908" s="397">
        <v>7.63</v>
      </c>
      <c r="M908" s="396" t="s">
        <v>4599</v>
      </c>
      <c r="N908" s="397">
        <v>580287.62293800001</v>
      </c>
      <c r="O908" s="396" t="s">
        <v>4781</v>
      </c>
    </row>
    <row r="909" spans="1:15" ht="39.6" x14ac:dyDescent="0.4">
      <c r="A909" s="396" t="s">
        <v>1198</v>
      </c>
      <c r="B909" s="394" t="s">
        <v>5902</v>
      </c>
      <c r="C909" s="394" t="s">
        <v>1199</v>
      </c>
      <c r="D909" s="394" t="s">
        <v>1039</v>
      </c>
      <c r="E909" s="395" t="s">
        <v>7</v>
      </c>
      <c r="F909" s="396" t="s">
        <v>5345</v>
      </c>
      <c r="G909" s="396" t="s">
        <v>781</v>
      </c>
      <c r="H909" s="396" t="s">
        <v>7363</v>
      </c>
      <c r="I909" s="396" t="s">
        <v>781</v>
      </c>
      <c r="J909" s="396" t="s">
        <v>5592</v>
      </c>
      <c r="K909" s="396" t="s">
        <v>781</v>
      </c>
      <c r="L909" s="397">
        <v>7.5174000000000003</v>
      </c>
      <c r="M909" s="396" t="s">
        <v>4599</v>
      </c>
      <c r="N909" s="397">
        <v>580295.14033800003</v>
      </c>
      <c r="O909" s="396" t="s">
        <v>4781</v>
      </c>
    </row>
    <row r="910" spans="1:15" ht="26.4" x14ac:dyDescent="0.4">
      <c r="A910" s="396" t="s">
        <v>4758</v>
      </c>
      <c r="B910" s="394" t="s">
        <v>395</v>
      </c>
      <c r="C910" s="394" t="s">
        <v>4759</v>
      </c>
      <c r="D910" s="394" t="s">
        <v>1039</v>
      </c>
      <c r="E910" s="395" t="s">
        <v>4</v>
      </c>
      <c r="F910" s="396" t="s">
        <v>5269</v>
      </c>
      <c r="G910" s="396" t="s">
        <v>781</v>
      </c>
      <c r="H910" s="396" t="s">
        <v>5585</v>
      </c>
      <c r="I910" s="396" t="s">
        <v>781</v>
      </c>
      <c r="J910" s="396" t="s">
        <v>5585</v>
      </c>
      <c r="K910" s="396" t="s">
        <v>781</v>
      </c>
      <c r="L910" s="397">
        <v>7.46</v>
      </c>
      <c r="M910" s="396" t="s">
        <v>4599</v>
      </c>
      <c r="N910" s="397">
        <v>580302.60033799999</v>
      </c>
      <c r="O910" s="396" t="s">
        <v>4781</v>
      </c>
    </row>
    <row r="911" spans="1:15" ht="26.4" x14ac:dyDescent="0.4">
      <c r="A911" s="396" t="s">
        <v>4804</v>
      </c>
      <c r="B911" s="394" t="s">
        <v>395</v>
      </c>
      <c r="C911" s="394" t="s">
        <v>4805</v>
      </c>
      <c r="D911" s="394" t="s">
        <v>1039</v>
      </c>
      <c r="E911" s="395" t="s">
        <v>7</v>
      </c>
      <c r="F911" s="396" t="s">
        <v>7165</v>
      </c>
      <c r="G911" s="396" t="s">
        <v>781</v>
      </c>
      <c r="H911" s="396" t="s">
        <v>5603</v>
      </c>
      <c r="I911" s="396" t="s">
        <v>781</v>
      </c>
      <c r="J911" s="396" t="s">
        <v>7364</v>
      </c>
      <c r="K911" s="396" t="s">
        <v>781</v>
      </c>
      <c r="L911" s="397">
        <v>7.3210059999999997</v>
      </c>
      <c r="M911" s="396" t="s">
        <v>4599</v>
      </c>
      <c r="N911" s="397">
        <v>580309.92134400003</v>
      </c>
      <c r="O911" s="396" t="s">
        <v>4781</v>
      </c>
    </row>
    <row r="912" spans="1:15" ht="39.6" x14ac:dyDescent="0.4">
      <c r="A912" s="396" t="s">
        <v>2456</v>
      </c>
      <c r="B912" s="394" t="s">
        <v>395</v>
      </c>
      <c r="C912" s="394" t="s">
        <v>259</v>
      </c>
      <c r="D912" s="394" t="s">
        <v>1039</v>
      </c>
      <c r="E912" s="395" t="s">
        <v>7</v>
      </c>
      <c r="F912" s="396" t="s">
        <v>5380</v>
      </c>
      <c r="G912" s="396" t="s">
        <v>781</v>
      </c>
      <c r="H912" s="396" t="s">
        <v>5476</v>
      </c>
      <c r="I912" s="396" t="s">
        <v>781</v>
      </c>
      <c r="J912" s="396" t="s">
        <v>7364</v>
      </c>
      <c r="K912" s="396" t="s">
        <v>781</v>
      </c>
      <c r="L912" s="397">
        <v>7.3150000000000004</v>
      </c>
      <c r="M912" s="396" t="s">
        <v>4599</v>
      </c>
      <c r="N912" s="397">
        <v>580317.23634399998</v>
      </c>
      <c r="O912" s="396" t="s">
        <v>4781</v>
      </c>
    </row>
    <row r="913" spans="1:15" x14ac:dyDescent="0.4">
      <c r="A913" s="396" t="s">
        <v>3044</v>
      </c>
      <c r="B913" s="394" t="s">
        <v>408</v>
      </c>
      <c r="C913" s="394" t="s">
        <v>3045</v>
      </c>
      <c r="D913" s="394" t="s">
        <v>1039</v>
      </c>
      <c r="E913" s="395" t="s">
        <v>4</v>
      </c>
      <c r="F913" s="396" t="s">
        <v>5269</v>
      </c>
      <c r="G913" s="396" t="s">
        <v>781</v>
      </c>
      <c r="H913" s="396" t="s">
        <v>7365</v>
      </c>
      <c r="I913" s="396" t="s">
        <v>781</v>
      </c>
      <c r="J913" s="396" t="s">
        <v>7365</v>
      </c>
      <c r="K913" s="396" t="s">
        <v>781</v>
      </c>
      <c r="L913" s="397">
        <v>7.31</v>
      </c>
      <c r="M913" s="396" t="s">
        <v>4599</v>
      </c>
      <c r="N913" s="397">
        <v>580324.54634400003</v>
      </c>
      <c r="O913" s="396" t="s">
        <v>4781</v>
      </c>
    </row>
    <row r="914" spans="1:15" x14ac:dyDescent="0.4">
      <c r="A914" s="396" t="s">
        <v>1102</v>
      </c>
      <c r="B914" s="394" t="s">
        <v>408</v>
      </c>
      <c r="C914" s="394" t="s">
        <v>433</v>
      </c>
      <c r="D914" s="394" t="s">
        <v>1039</v>
      </c>
      <c r="E914" s="395" t="s">
        <v>7</v>
      </c>
      <c r="F914" s="396" t="s">
        <v>5323</v>
      </c>
      <c r="G914" s="396" t="s">
        <v>781</v>
      </c>
      <c r="H914" s="396" t="s">
        <v>5602</v>
      </c>
      <c r="I914" s="396" t="s">
        <v>781</v>
      </c>
      <c r="J914" s="396" t="s">
        <v>7366</v>
      </c>
      <c r="K914" s="396" t="s">
        <v>781</v>
      </c>
      <c r="L914" s="397">
        <v>7.2975000000000003</v>
      </c>
      <c r="M914" s="396" t="s">
        <v>4599</v>
      </c>
      <c r="N914" s="397">
        <v>580331.84384400002</v>
      </c>
      <c r="O914" s="396" t="s">
        <v>4788</v>
      </c>
    </row>
    <row r="915" spans="1:15" ht="26.4" x14ac:dyDescent="0.4">
      <c r="A915" s="396" t="s">
        <v>2321</v>
      </c>
      <c r="B915" s="394" t="s">
        <v>5902</v>
      </c>
      <c r="C915" s="394" t="s">
        <v>2322</v>
      </c>
      <c r="D915" s="394" t="s">
        <v>1039</v>
      </c>
      <c r="E915" s="395" t="s">
        <v>675</v>
      </c>
      <c r="F915" s="396" t="s">
        <v>5380</v>
      </c>
      <c r="G915" s="396" t="s">
        <v>781</v>
      </c>
      <c r="H915" s="396" t="s">
        <v>5610</v>
      </c>
      <c r="I915" s="396" t="s">
        <v>781</v>
      </c>
      <c r="J915" s="396" t="s">
        <v>7368</v>
      </c>
      <c r="K915" s="396" t="s">
        <v>781</v>
      </c>
      <c r="L915" s="397">
        <v>7.194</v>
      </c>
      <c r="M915" s="396" t="s">
        <v>4599</v>
      </c>
      <c r="N915" s="397">
        <v>580339.03784400003</v>
      </c>
      <c r="O915" s="396" t="s">
        <v>4788</v>
      </c>
    </row>
    <row r="916" spans="1:15" ht="26.4" x14ac:dyDescent="0.4">
      <c r="A916" s="396" t="s">
        <v>4806</v>
      </c>
      <c r="B916" s="394" t="s">
        <v>395</v>
      </c>
      <c r="C916" s="394" t="s">
        <v>4807</v>
      </c>
      <c r="D916" s="394" t="s">
        <v>1039</v>
      </c>
      <c r="E916" s="395" t="s">
        <v>4</v>
      </c>
      <c r="F916" s="396" t="s">
        <v>5269</v>
      </c>
      <c r="G916" s="396" t="s">
        <v>781</v>
      </c>
      <c r="H916" s="396" t="s">
        <v>7369</v>
      </c>
      <c r="I916" s="396" t="s">
        <v>781</v>
      </c>
      <c r="J916" s="396" t="s">
        <v>7369</v>
      </c>
      <c r="K916" s="396" t="s">
        <v>781</v>
      </c>
      <c r="L916" s="397">
        <v>7.15</v>
      </c>
      <c r="M916" s="396" t="s">
        <v>4599</v>
      </c>
      <c r="N916" s="397">
        <v>580346.18784400006</v>
      </c>
      <c r="O916" s="396" t="s">
        <v>4788</v>
      </c>
    </row>
    <row r="917" spans="1:15" ht="26.4" x14ac:dyDescent="0.4">
      <c r="A917" s="396" t="s">
        <v>4782</v>
      </c>
      <c r="B917" s="394" t="s">
        <v>395</v>
      </c>
      <c r="C917" s="394" t="s">
        <v>4783</v>
      </c>
      <c r="D917" s="394" t="s">
        <v>1317</v>
      </c>
      <c r="E917" s="395" t="s">
        <v>4</v>
      </c>
      <c r="F917" s="396" t="s">
        <v>7370</v>
      </c>
      <c r="G917" s="396" t="s">
        <v>781</v>
      </c>
      <c r="H917" s="396" t="s">
        <v>7371</v>
      </c>
      <c r="I917" s="396" t="s">
        <v>781</v>
      </c>
      <c r="J917" s="396" t="s">
        <v>5600</v>
      </c>
      <c r="K917" s="396" t="s">
        <v>781</v>
      </c>
      <c r="L917" s="397">
        <v>7.04</v>
      </c>
      <c r="M917" s="396" t="s">
        <v>4599</v>
      </c>
      <c r="N917" s="397">
        <v>580353.22784399998</v>
      </c>
      <c r="O917" s="396" t="s">
        <v>4788</v>
      </c>
    </row>
    <row r="918" spans="1:15" x14ac:dyDescent="0.4">
      <c r="A918" s="396" t="s">
        <v>1322</v>
      </c>
      <c r="B918" s="394" t="s">
        <v>395</v>
      </c>
      <c r="C918" s="394" t="s">
        <v>273</v>
      </c>
      <c r="D918" s="394" t="s">
        <v>1039</v>
      </c>
      <c r="E918" s="395" t="s">
        <v>4</v>
      </c>
      <c r="F918" s="396" t="s">
        <v>5384</v>
      </c>
      <c r="G918" s="396" t="s">
        <v>781</v>
      </c>
      <c r="H918" s="396" t="s">
        <v>5775</v>
      </c>
      <c r="I918" s="396" t="s">
        <v>781</v>
      </c>
      <c r="J918" s="396" t="s">
        <v>7372</v>
      </c>
      <c r="K918" s="396" t="s">
        <v>781</v>
      </c>
      <c r="L918" s="397">
        <v>7</v>
      </c>
      <c r="M918" s="396" t="s">
        <v>4599</v>
      </c>
      <c r="N918" s="397">
        <v>580360.22784399998</v>
      </c>
      <c r="O918" s="396" t="s">
        <v>4788</v>
      </c>
    </row>
    <row r="919" spans="1:15" ht="26.4" x14ac:dyDescent="0.4">
      <c r="A919" s="396" t="s">
        <v>4777</v>
      </c>
      <c r="B919" s="394" t="s">
        <v>395</v>
      </c>
      <c r="C919" s="394" t="s">
        <v>4778</v>
      </c>
      <c r="D919" s="394" t="s">
        <v>1039</v>
      </c>
      <c r="E919" s="395" t="s">
        <v>4</v>
      </c>
      <c r="F919" s="396" t="s">
        <v>5269</v>
      </c>
      <c r="G919" s="396" t="s">
        <v>781</v>
      </c>
      <c r="H919" s="396" t="s">
        <v>7373</v>
      </c>
      <c r="I919" s="396" t="s">
        <v>781</v>
      </c>
      <c r="J919" s="396" t="s">
        <v>7373</v>
      </c>
      <c r="K919" s="396" t="s">
        <v>781</v>
      </c>
      <c r="L919" s="397">
        <v>6.99</v>
      </c>
      <c r="M919" s="396" t="s">
        <v>4599</v>
      </c>
      <c r="N919" s="397">
        <v>580367.21784399997</v>
      </c>
      <c r="O919" s="396" t="s">
        <v>4788</v>
      </c>
    </row>
    <row r="920" spans="1:15" x14ac:dyDescent="0.4">
      <c r="A920" s="396" t="s">
        <v>3023</v>
      </c>
      <c r="B920" s="394" t="s">
        <v>395</v>
      </c>
      <c r="C920" s="394" t="s">
        <v>3024</v>
      </c>
      <c r="D920" s="394" t="s">
        <v>1039</v>
      </c>
      <c r="E920" s="395" t="s">
        <v>4</v>
      </c>
      <c r="F920" s="396" t="s">
        <v>5269</v>
      </c>
      <c r="G920" s="396" t="s">
        <v>781</v>
      </c>
      <c r="H920" s="396" t="s">
        <v>7374</v>
      </c>
      <c r="I920" s="396" t="s">
        <v>781</v>
      </c>
      <c r="J920" s="396" t="s">
        <v>7374</v>
      </c>
      <c r="K920" s="396" t="s">
        <v>781</v>
      </c>
      <c r="L920" s="397">
        <v>6.88</v>
      </c>
      <c r="M920" s="396" t="s">
        <v>4599</v>
      </c>
      <c r="N920" s="397">
        <v>580374.09784399997</v>
      </c>
      <c r="O920" s="396" t="s">
        <v>4788</v>
      </c>
    </row>
    <row r="921" spans="1:15" ht="26.4" x14ac:dyDescent="0.4">
      <c r="A921" s="396" t="s">
        <v>7375</v>
      </c>
      <c r="B921" s="394" t="s">
        <v>420</v>
      </c>
      <c r="C921" s="394" t="s">
        <v>7376</v>
      </c>
      <c r="D921" s="394" t="s">
        <v>1039</v>
      </c>
      <c r="E921" s="395" t="s">
        <v>7189</v>
      </c>
      <c r="F921" s="396" t="s">
        <v>5584</v>
      </c>
      <c r="G921" s="396" t="s">
        <v>781</v>
      </c>
      <c r="H921" s="396" t="s">
        <v>7377</v>
      </c>
      <c r="I921" s="396" t="s">
        <v>781</v>
      </c>
      <c r="J921" s="396" t="s">
        <v>5605</v>
      </c>
      <c r="K921" s="396" t="s">
        <v>781</v>
      </c>
      <c r="L921" s="397">
        <v>6.8325178549999999</v>
      </c>
      <c r="M921" s="396" t="s">
        <v>4599</v>
      </c>
      <c r="N921" s="397">
        <v>580380.93036190001</v>
      </c>
      <c r="O921" s="396" t="s">
        <v>4788</v>
      </c>
    </row>
    <row r="922" spans="1:15" ht="26.4" x14ac:dyDescent="0.4">
      <c r="A922" s="396" t="s">
        <v>7411</v>
      </c>
      <c r="B922" s="394" t="s">
        <v>420</v>
      </c>
      <c r="C922" s="394" t="s">
        <v>7412</v>
      </c>
      <c r="D922" s="394" t="s">
        <v>1039</v>
      </c>
      <c r="E922" s="395" t="s">
        <v>713</v>
      </c>
      <c r="F922" s="396" t="s">
        <v>7413</v>
      </c>
      <c r="G922" s="396" t="s">
        <v>781</v>
      </c>
      <c r="H922" s="396" t="s">
        <v>9500</v>
      </c>
      <c r="I922" s="396" t="s">
        <v>781</v>
      </c>
      <c r="J922" s="396" t="s">
        <v>9265</v>
      </c>
      <c r="K922" s="396" t="s">
        <v>781</v>
      </c>
      <c r="L922" s="397">
        <v>6.8079999999999998</v>
      </c>
      <c r="M922" s="396" t="s">
        <v>4599</v>
      </c>
      <c r="N922" s="397">
        <v>580387.73836189997</v>
      </c>
      <c r="O922" s="396" t="s">
        <v>4788</v>
      </c>
    </row>
    <row r="923" spans="1:15" ht="26.4" x14ac:dyDescent="0.4">
      <c r="A923" s="396" t="s">
        <v>7378</v>
      </c>
      <c r="B923" s="394" t="s">
        <v>420</v>
      </c>
      <c r="C923" s="394" t="s">
        <v>7379</v>
      </c>
      <c r="D923" s="394" t="s">
        <v>1039</v>
      </c>
      <c r="E923" s="395" t="s">
        <v>437</v>
      </c>
      <c r="F923" s="396" t="s">
        <v>5323</v>
      </c>
      <c r="G923" s="396" t="s">
        <v>781</v>
      </c>
      <c r="H923" s="396" t="s">
        <v>7380</v>
      </c>
      <c r="I923" s="396" t="s">
        <v>781</v>
      </c>
      <c r="J923" s="396" t="s">
        <v>7381</v>
      </c>
      <c r="K923" s="396" t="s">
        <v>781</v>
      </c>
      <c r="L923" s="397">
        <v>6.7095000000000002</v>
      </c>
      <c r="M923" s="396" t="s">
        <v>4599</v>
      </c>
      <c r="N923" s="397">
        <v>580394.44786189997</v>
      </c>
      <c r="O923" s="396" t="s">
        <v>4799</v>
      </c>
    </row>
    <row r="924" spans="1:15" x14ac:dyDescent="0.4">
      <c r="A924" s="396" t="s">
        <v>1565</v>
      </c>
      <c r="B924" s="394" t="s">
        <v>490</v>
      </c>
      <c r="C924" s="394" t="s">
        <v>1566</v>
      </c>
      <c r="D924" s="394" t="s">
        <v>1053</v>
      </c>
      <c r="E924" s="395" t="s">
        <v>6</v>
      </c>
      <c r="F924" s="396" t="s">
        <v>5622</v>
      </c>
      <c r="G924" s="396" t="s">
        <v>781</v>
      </c>
      <c r="H924" s="396" t="s">
        <v>5797</v>
      </c>
      <c r="I924" s="396" t="s">
        <v>781</v>
      </c>
      <c r="J924" s="396" t="s">
        <v>7382</v>
      </c>
      <c r="K924" s="396" t="s">
        <v>781</v>
      </c>
      <c r="L924" s="397">
        <v>6.6120000000000001</v>
      </c>
      <c r="M924" s="396" t="s">
        <v>4599</v>
      </c>
      <c r="N924" s="397">
        <v>580401.05986190005</v>
      </c>
      <c r="O924" s="396" t="s">
        <v>4799</v>
      </c>
    </row>
    <row r="925" spans="1:15" ht="26.4" x14ac:dyDescent="0.4">
      <c r="A925" s="396" t="s">
        <v>4746</v>
      </c>
      <c r="B925" s="394" t="s">
        <v>395</v>
      </c>
      <c r="C925" s="394" t="s">
        <v>4747</v>
      </c>
      <c r="D925" s="394" t="s">
        <v>1039</v>
      </c>
      <c r="E925" s="395" t="s">
        <v>4</v>
      </c>
      <c r="F925" s="396" t="s">
        <v>5269</v>
      </c>
      <c r="G925" s="396" t="s">
        <v>781</v>
      </c>
      <c r="H925" s="396" t="s">
        <v>7383</v>
      </c>
      <c r="I925" s="396" t="s">
        <v>781</v>
      </c>
      <c r="J925" s="396" t="s">
        <v>7383</v>
      </c>
      <c r="K925" s="396" t="s">
        <v>781</v>
      </c>
      <c r="L925" s="397">
        <v>6.52</v>
      </c>
      <c r="M925" s="396" t="s">
        <v>4599</v>
      </c>
      <c r="N925" s="397">
        <v>580407.57986189995</v>
      </c>
      <c r="O925" s="396" t="s">
        <v>4799</v>
      </c>
    </row>
    <row r="926" spans="1:15" x14ac:dyDescent="0.4">
      <c r="A926" s="396" t="s">
        <v>1418</v>
      </c>
      <c r="B926" s="394" t="s">
        <v>408</v>
      </c>
      <c r="C926" s="394" t="s">
        <v>1419</v>
      </c>
      <c r="D926" s="394" t="s">
        <v>1039</v>
      </c>
      <c r="E926" s="395" t="s">
        <v>3</v>
      </c>
      <c r="F926" s="396" t="s">
        <v>5337</v>
      </c>
      <c r="G926" s="396" t="s">
        <v>781</v>
      </c>
      <c r="H926" s="396" t="s">
        <v>5594</v>
      </c>
      <c r="I926" s="396" t="s">
        <v>781</v>
      </c>
      <c r="J926" s="396" t="s">
        <v>7384</v>
      </c>
      <c r="K926" s="396" t="s">
        <v>781</v>
      </c>
      <c r="L926" s="397">
        <v>6.51</v>
      </c>
      <c r="M926" s="396" t="s">
        <v>4599</v>
      </c>
      <c r="N926" s="397">
        <v>580414.08986189996</v>
      </c>
      <c r="O926" s="396" t="s">
        <v>4799</v>
      </c>
    </row>
    <row r="927" spans="1:15" x14ac:dyDescent="0.4">
      <c r="A927" s="396" t="s">
        <v>1267</v>
      </c>
      <c r="B927" s="394" t="s">
        <v>436</v>
      </c>
      <c r="C927" s="394" t="s">
        <v>1268</v>
      </c>
      <c r="D927" s="394" t="s">
        <v>1053</v>
      </c>
      <c r="E927" s="395" t="s">
        <v>6</v>
      </c>
      <c r="F927" s="396" t="s">
        <v>5632</v>
      </c>
      <c r="G927" s="396" t="s">
        <v>781</v>
      </c>
      <c r="H927" s="396" t="s">
        <v>7385</v>
      </c>
      <c r="I927" s="396" t="s">
        <v>781</v>
      </c>
      <c r="J927" s="396" t="s">
        <v>7384</v>
      </c>
      <c r="K927" s="396" t="s">
        <v>781</v>
      </c>
      <c r="L927" s="397">
        <v>6.5075000000000003</v>
      </c>
      <c r="M927" s="396" t="s">
        <v>4599</v>
      </c>
      <c r="N927" s="397">
        <v>580420.59736190003</v>
      </c>
      <c r="O927" s="396" t="s">
        <v>4799</v>
      </c>
    </row>
    <row r="928" spans="1:15" ht="26.4" x14ac:dyDescent="0.4">
      <c r="A928" s="396" t="s">
        <v>4800</v>
      </c>
      <c r="B928" s="394" t="s">
        <v>395</v>
      </c>
      <c r="C928" s="394" t="s">
        <v>4801</v>
      </c>
      <c r="D928" s="394" t="s">
        <v>1039</v>
      </c>
      <c r="E928" s="395" t="s">
        <v>7</v>
      </c>
      <c r="F928" s="396" t="s">
        <v>5611</v>
      </c>
      <c r="G928" s="396" t="s">
        <v>781</v>
      </c>
      <c r="H928" s="396" t="s">
        <v>7386</v>
      </c>
      <c r="I928" s="396" t="s">
        <v>781</v>
      </c>
      <c r="J928" s="396" t="s">
        <v>7387</v>
      </c>
      <c r="K928" s="396" t="s">
        <v>781</v>
      </c>
      <c r="L928" s="397">
        <v>6.4175899999999997</v>
      </c>
      <c r="M928" s="396" t="s">
        <v>4599</v>
      </c>
      <c r="N928" s="397">
        <v>580427.0149519</v>
      </c>
      <c r="O928" s="396" t="s">
        <v>4799</v>
      </c>
    </row>
    <row r="929" spans="1:15" x14ac:dyDescent="0.4">
      <c r="A929" s="396" t="s">
        <v>1085</v>
      </c>
      <c r="B929" s="394" t="s">
        <v>408</v>
      </c>
      <c r="C929" s="394" t="s">
        <v>1086</v>
      </c>
      <c r="D929" s="394" t="s">
        <v>1039</v>
      </c>
      <c r="E929" s="395" t="s">
        <v>4</v>
      </c>
      <c r="F929" s="396" t="s">
        <v>5269</v>
      </c>
      <c r="G929" s="396" t="s">
        <v>781</v>
      </c>
      <c r="H929" s="396" t="s">
        <v>7231</v>
      </c>
      <c r="I929" s="396" t="s">
        <v>781</v>
      </c>
      <c r="J929" s="396" t="s">
        <v>7231</v>
      </c>
      <c r="K929" s="396" t="s">
        <v>781</v>
      </c>
      <c r="L929" s="397">
        <v>6.36</v>
      </c>
      <c r="M929" s="396" t="s">
        <v>4599</v>
      </c>
      <c r="N929" s="397">
        <v>580433.37495189998</v>
      </c>
      <c r="O929" s="396" t="s">
        <v>4799</v>
      </c>
    </row>
    <row r="930" spans="1:15" ht="26.4" x14ac:dyDescent="0.4">
      <c r="A930" s="396" t="s">
        <v>7388</v>
      </c>
      <c r="B930" s="394" t="s">
        <v>420</v>
      </c>
      <c r="C930" s="394" t="s">
        <v>7389</v>
      </c>
      <c r="D930" s="394" t="s">
        <v>1039</v>
      </c>
      <c r="E930" s="395" t="s">
        <v>422</v>
      </c>
      <c r="F930" s="396" t="s">
        <v>5273</v>
      </c>
      <c r="G930" s="396" t="s">
        <v>781</v>
      </c>
      <c r="H930" s="396" t="s">
        <v>7390</v>
      </c>
      <c r="I930" s="396" t="s">
        <v>781</v>
      </c>
      <c r="J930" s="396" t="s">
        <v>7391</v>
      </c>
      <c r="K930" s="396" t="s">
        <v>781</v>
      </c>
      <c r="L930" s="397">
        <v>6.34</v>
      </c>
      <c r="M930" s="396" t="s">
        <v>4599</v>
      </c>
      <c r="N930" s="397">
        <v>580439.71495189995</v>
      </c>
      <c r="O930" s="396" t="s">
        <v>4799</v>
      </c>
    </row>
    <row r="931" spans="1:15" ht="26.4" x14ac:dyDescent="0.4">
      <c r="A931" s="396" t="s">
        <v>2408</v>
      </c>
      <c r="B931" s="394" t="s">
        <v>5902</v>
      </c>
      <c r="C931" s="394" t="s">
        <v>2409</v>
      </c>
      <c r="D931" s="394" t="s">
        <v>1039</v>
      </c>
      <c r="E931" s="395" t="s">
        <v>7</v>
      </c>
      <c r="F931" s="396" t="s">
        <v>5345</v>
      </c>
      <c r="G931" s="396" t="s">
        <v>781</v>
      </c>
      <c r="H931" s="396" t="s">
        <v>5615</v>
      </c>
      <c r="I931" s="396" t="s">
        <v>781</v>
      </c>
      <c r="J931" s="396" t="s">
        <v>6631</v>
      </c>
      <c r="K931" s="396" t="s">
        <v>781</v>
      </c>
      <c r="L931" s="397">
        <v>6.3239999999999998</v>
      </c>
      <c r="M931" s="396" t="s">
        <v>4599</v>
      </c>
      <c r="N931" s="397">
        <v>580446.03895189997</v>
      </c>
      <c r="O931" s="396" t="s">
        <v>4799</v>
      </c>
    </row>
    <row r="932" spans="1:15" ht="26.4" x14ac:dyDescent="0.4">
      <c r="A932" s="396" t="s">
        <v>2500</v>
      </c>
      <c r="B932" s="394" t="s">
        <v>395</v>
      </c>
      <c r="C932" s="394" t="s">
        <v>244</v>
      </c>
      <c r="D932" s="394" t="s">
        <v>1039</v>
      </c>
      <c r="E932" s="395" t="s">
        <v>4</v>
      </c>
      <c r="F932" s="396" t="s">
        <v>5269</v>
      </c>
      <c r="G932" s="396" t="s">
        <v>781</v>
      </c>
      <c r="H932" s="396" t="s">
        <v>7392</v>
      </c>
      <c r="I932" s="396" t="s">
        <v>781</v>
      </c>
      <c r="J932" s="396" t="s">
        <v>7392</v>
      </c>
      <c r="K932" s="396" t="s">
        <v>781</v>
      </c>
      <c r="L932" s="397">
        <v>6.31</v>
      </c>
      <c r="M932" s="396" t="s">
        <v>4599</v>
      </c>
      <c r="N932" s="397">
        <v>580452.34895190003</v>
      </c>
      <c r="O932" s="396" t="s">
        <v>4808</v>
      </c>
    </row>
    <row r="933" spans="1:15" x14ac:dyDescent="0.4">
      <c r="A933" s="396" t="s">
        <v>4837</v>
      </c>
      <c r="B933" s="394" t="s">
        <v>395</v>
      </c>
      <c r="C933" s="394" t="s">
        <v>4838</v>
      </c>
      <c r="D933" s="394" t="s">
        <v>1053</v>
      </c>
      <c r="E933" s="395" t="s">
        <v>6</v>
      </c>
      <c r="F933" s="396" t="s">
        <v>7393</v>
      </c>
      <c r="G933" s="396" t="s">
        <v>781</v>
      </c>
      <c r="H933" s="396" t="s">
        <v>7394</v>
      </c>
      <c r="I933" s="396" t="s">
        <v>781</v>
      </c>
      <c r="J933" s="396" t="s">
        <v>7395</v>
      </c>
      <c r="K933" s="396" t="s">
        <v>781</v>
      </c>
      <c r="L933" s="397">
        <v>6.274393281</v>
      </c>
      <c r="M933" s="396" t="s">
        <v>4599</v>
      </c>
      <c r="N933" s="397">
        <v>580458.62334519997</v>
      </c>
      <c r="O933" s="396" t="s">
        <v>4808</v>
      </c>
    </row>
    <row r="934" spans="1:15" ht="26.4" x14ac:dyDescent="0.4">
      <c r="A934" s="396" t="s">
        <v>4793</v>
      </c>
      <c r="B934" s="394" t="s">
        <v>395</v>
      </c>
      <c r="C934" s="394" t="s">
        <v>4794</v>
      </c>
      <c r="D934" s="394" t="s">
        <v>1039</v>
      </c>
      <c r="E934" s="395" t="s">
        <v>4</v>
      </c>
      <c r="F934" s="396" t="s">
        <v>5607</v>
      </c>
      <c r="G934" s="396" t="s">
        <v>781</v>
      </c>
      <c r="H934" s="396" t="s">
        <v>7396</v>
      </c>
      <c r="I934" s="396" t="s">
        <v>781</v>
      </c>
      <c r="J934" s="396" t="s">
        <v>7397</v>
      </c>
      <c r="K934" s="396" t="s">
        <v>781</v>
      </c>
      <c r="L934" s="397">
        <v>6.2501790000000002</v>
      </c>
      <c r="M934" s="396" t="s">
        <v>4599</v>
      </c>
      <c r="N934" s="397">
        <v>580464.87352420005</v>
      </c>
      <c r="O934" s="396" t="s">
        <v>4808</v>
      </c>
    </row>
    <row r="935" spans="1:15" x14ac:dyDescent="0.4">
      <c r="A935" s="396" t="s">
        <v>2352</v>
      </c>
      <c r="B935" s="394" t="s">
        <v>395</v>
      </c>
      <c r="C935" s="394" t="s">
        <v>278</v>
      </c>
      <c r="D935" s="394" t="s">
        <v>1039</v>
      </c>
      <c r="E935" s="395" t="s">
        <v>3</v>
      </c>
      <c r="F935" s="396" t="s">
        <v>7398</v>
      </c>
      <c r="G935" s="396" t="s">
        <v>781</v>
      </c>
      <c r="H935" s="396" t="s">
        <v>7399</v>
      </c>
      <c r="I935" s="396" t="s">
        <v>781</v>
      </c>
      <c r="J935" s="396" t="s">
        <v>7400</v>
      </c>
      <c r="K935" s="396" t="s">
        <v>781</v>
      </c>
      <c r="L935" s="397">
        <v>6.2441848499999999</v>
      </c>
      <c r="M935" s="396" t="s">
        <v>4599</v>
      </c>
      <c r="N935" s="397">
        <v>580471.11770910001</v>
      </c>
      <c r="O935" s="396" t="s">
        <v>4808</v>
      </c>
    </row>
    <row r="936" spans="1:15" ht="26.4" x14ac:dyDescent="0.4">
      <c r="A936" s="396" t="s">
        <v>1185</v>
      </c>
      <c r="B936" s="394" t="s">
        <v>484</v>
      </c>
      <c r="C936" s="394" t="s">
        <v>485</v>
      </c>
      <c r="D936" s="394" t="s">
        <v>1039</v>
      </c>
      <c r="E936" s="395" t="s">
        <v>422</v>
      </c>
      <c r="F936" s="396" t="s">
        <v>5269</v>
      </c>
      <c r="G936" s="396" t="s">
        <v>781</v>
      </c>
      <c r="H936" s="396" t="s">
        <v>7400</v>
      </c>
      <c r="I936" s="396" t="s">
        <v>781</v>
      </c>
      <c r="J936" s="396" t="s">
        <v>7400</v>
      </c>
      <c r="K936" s="396" t="s">
        <v>781</v>
      </c>
      <c r="L936" s="397">
        <v>6.24</v>
      </c>
      <c r="M936" s="396" t="s">
        <v>4599</v>
      </c>
      <c r="N936" s="397">
        <v>580477.3577091</v>
      </c>
      <c r="O936" s="396" t="s">
        <v>4808</v>
      </c>
    </row>
    <row r="937" spans="1:15" x14ac:dyDescent="0.4">
      <c r="A937" s="396" t="s">
        <v>3062</v>
      </c>
      <c r="B937" s="394" t="s">
        <v>408</v>
      </c>
      <c r="C937" s="394" t="s">
        <v>3063</v>
      </c>
      <c r="D937" s="394" t="s">
        <v>1039</v>
      </c>
      <c r="E937" s="395" t="s">
        <v>4</v>
      </c>
      <c r="F937" s="396" t="s">
        <v>5269</v>
      </c>
      <c r="G937" s="396" t="s">
        <v>781</v>
      </c>
      <c r="H937" s="396" t="s">
        <v>7400</v>
      </c>
      <c r="I937" s="396" t="s">
        <v>781</v>
      </c>
      <c r="J937" s="396" t="s">
        <v>7400</v>
      </c>
      <c r="K937" s="396" t="s">
        <v>781</v>
      </c>
      <c r="L937" s="397">
        <v>6.24</v>
      </c>
      <c r="M937" s="396" t="s">
        <v>4599</v>
      </c>
      <c r="N937" s="397">
        <v>580483.59770909999</v>
      </c>
      <c r="O937" s="396" t="s">
        <v>4808</v>
      </c>
    </row>
    <row r="938" spans="1:15" x14ac:dyDescent="0.4">
      <c r="A938" s="396" t="s">
        <v>4786</v>
      </c>
      <c r="B938" s="394" t="s">
        <v>395</v>
      </c>
      <c r="C938" s="394" t="s">
        <v>4787</v>
      </c>
      <c r="D938" s="394" t="s">
        <v>1039</v>
      </c>
      <c r="E938" s="395" t="s">
        <v>4</v>
      </c>
      <c r="F938" s="396" t="s">
        <v>5269</v>
      </c>
      <c r="G938" s="396" t="s">
        <v>781</v>
      </c>
      <c r="H938" s="396" t="s">
        <v>7401</v>
      </c>
      <c r="I938" s="396" t="s">
        <v>781</v>
      </c>
      <c r="J938" s="396" t="s">
        <v>7401</v>
      </c>
      <c r="K938" s="396" t="s">
        <v>781</v>
      </c>
      <c r="L938" s="397">
        <v>6.18</v>
      </c>
      <c r="M938" s="396" t="s">
        <v>4599</v>
      </c>
      <c r="N938" s="397">
        <v>580489.77770910005</v>
      </c>
      <c r="O938" s="396" t="s">
        <v>4808</v>
      </c>
    </row>
    <row r="939" spans="1:15" ht="26.4" x14ac:dyDescent="0.4">
      <c r="A939" s="396" t="s">
        <v>4809</v>
      </c>
      <c r="B939" s="394" t="s">
        <v>395</v>
      </c>
      <c r="C939" s="394" t="s">
        <v>4810</v>
      </c>
      <c r="D939" s="394" t="s">
        <v>1039</v>
      </c>
      <c r="E939" s="395" t="s">
        <v>4</v>
      </c>
      <c r="F939" s="396" t="s">
        <v>5284</v>
      </c>
      <c r="G939" s="396" t="s">
        <v>781</v>
      </c>
      <c r="H939" s="396" t="s">
        <v>7402</v>
      </c>
      <c r="I939" s="396" t="s">
        <v>781</v>
      </c>
      <c r="J939" s="396" t="s">
        <v>7403</v>
      </c>
      <c r="K939" s="396" t="s">
        <v>781</v>
      </c>
      <c r="L939" s="397">
        <v>6.15</v>
      </c>
      <c r="M939" s="396" t="s">
        <v>4599</v>
      </c>
      <c r="N939" s="397">
        <v>580495.92770909995</v>
      </c>
      <c r="O939" s="396" t="s">
        <v>4808</v>
      </c>
    </row>
    <row r="940" spans="1:15" x14ac:dyDescent="0.4">
      <c r="A940" s="396" t="s">
        <v>4843</v>
      </c>
      <c r="B940" s="394" t="s">
        <v>395</v>
      </c>
      <c r="C940" s="394" t="s">
        <v>4844</v>
      </c>
      <c r="D940" s="394" t="s">
        <v>1039</v>
      </c>
      <c r="E940" s="395" t="s">
        <v>4</v>
      </c>
      <c r="F940" s="396" t="s">
        <v>5646</v>
      </c>
      <c r="G940" s="396" t="s">
        <v>781</v>
      </c>
      <c r="H940" s="396" t="s">
        <v>7404</v>
      </c>
      <c r="I940" s="396" t="s">
        <v>781</v>
      </c>
      <c r="J940" s="396" t="s">
        <v>7405</v>
      </c>
      <c r="K940" s="396" t="s">
        <v>781</v>
      </c>
      <c r="L940" s="397">
        <v>6.1386120000000002</v>
      </c>
      <c r="M940" s="396" t="s">
        <v>4599</v>
      </c>
      <c r="N940" s="397">
        <v>580502.06632109999</v>
      </c>
      <c r="O940" s="396" t="s">
        <v>4808</v>
      </c>
    </row>
    <row r="941" spans="1:15" x14ac:dyDescent="0.4">
      <c r="A941" s="396" t="s">
        <v>7457</v>
      </c>
      <c r="B941" s="394" t="s">
        <v>408</v>
      </c>
      <c r="C941" s="394" t="s">
        <v>7458</v>
      </c>
      <c r="D941" s="394" t="s">
        <v>1053</v>
      </c>
      <c r="E941" s="395" t="s">
        <v>6</v>
      </c>
      <c r="F941" s="396" t="s">
        <v>9501</v>
      </c>
      <c r="G941" s="396" t="s">
        <v>781</v>
      </c>
      <c r="H941" s="396" t="s">
        <v>5329</v>
      </c>
      <c r="I941" s="396" t="s">
        <v>781</v>
      </c>
      <c r="J941" s="396" t="s">
        <v>9502</v>
      </c>
      <c r="K941" s="396" t="s">
        <v>781</v>
      </c>
      <c r="L941" s="397">
        <v>6.1315600000000003</v>
      </c>
      <c r="M941" s="396" t="s">
        <v>4599</v>
      </c>
      <c r="N941" s="397">
        <v>580508.1978811</v>
      </c>
      <c r="O941" s="396" t="s">
        <v>4815</v>
      </c>
    </row>
    <row r="942" spans="1:15" x14ac:dyDescent="0.4">
      <c r="A942" s="396" t="s">
        <v>1610</v>
      </c>
      <c r="B942" s="394" t="s">
        <v>490</v>
      </c>
      <c r="C942" s="394" t="s">
        <v>1611</v>
      </c>
      <c r="D942" s="394" t="s">
        <v>1039</v>
      </c>
      <c r="E942" s="395" t="s">
        <v>3</v>
      </c>
      <c r="F942" s="396" t="s">
        <v>5269</v>
      </c>
      <c r="G942" s="396" t="s">
        <v>781</v>
      </c>
      <c r="H942" s="396" t="s">
        <v>5618</v>
      </c>
      <c r="I942" s="396" t="s">
        <v>781</v>
      </c>
      <c r="J942" s="396" t="s">
        <v>5618</v>
      </c>
      <c r="K942" s="396" t="s">
        <v>781</v>
      </c>
      <c r="L942" s="397">
        <v>6.11</v>
      </c>
      <c r="M942" s="396" t="s">
        <v>4599</v>
      </c>
      <c r="N942" s="397">
        <v>580514.30788109999</v>
      </c>
      <c r="O942" s="396" t="s">
        <v>4815</v>
      </c>
    </row>
    <row r="943" spans="1:15" x14ac:dyDescent="0.4">
      <c r="A943" s="396" t="s">
        <v>1330</v>
      </c>
      <c r="B943" s="394" t="s">
        <v>408</v>
      </c>
      <c r="C943" s="394" t="s">
        <v>1331</v>
      </c>
      <c r="D943" s="394" t="s">
        <v>1039</v>
      </c>
      <c r="E943" s="395" t="s">
        <v>1332</v>
      </c>
      <c r="F943" s="396" t="s">
        <v>5427</v>
      </c>
      <c r="G943" s="396" t="s">
        <v>781</v>
      </c>
      <c r="H943" s="396" t="s">
        <v>5672</v>
      </c>
      <c r="I943" s="396" t="s">
        <v>781</v>
      </c>
      <c r="J943" s="396" t="s">
        <v>5619</v>
      </c>
      <c r="K943" s="396" t="s">
        <v>781</v>
      </c>
      <c r="L943" s="397">
        <v>6.09</v>
      </c>
      <c r="M943" s="396" t="s">
        <v>4599</v>
      </c>
      <c r="N943" s="397">
        <v>580520.39788109995</v>
      </c>
      <c r="O943" s="396" t="s">
        <v>4815</v>
      </c>
    </row>
    <row r="944" spans="1:15" x14ac:dyDescent="0.4">
      <c r="A944" s="396" t="s">
        <v>4797</v>
      </c>
      <c r="B944" s="394" t="s">
        <v>395</v>
      </c>
      <c r="C944" s="394" t="s">
        <v>4798</v>
      </c>
      <c r="D944" s="394" t="s">
        <v>1039</v>
      </c>
      <c r="E944" s="395" t="s">
        <v>4</v>
      </c>
      <c r="F944" s="396" t="s">
        <v>5269</v>
      </c>
      <c r="G944" s="396" t="s">
        <v>781</v>
      </c>
      <c r="H944" s="396" t="s">
        <v>7406</v>
      </c>
      <c r="I944" s="396" t="s">
        <v>781</v>
      </c>
      <c r="J944" s="396" t="s">
        <v>7406</v>
      </c>
      <c r="K944" s="396" t="s">
        <v>781</v>
      </c>
      <c r="L944" s="397">
        <v>6.04</v>
      </c>
      <c r="M944" s="396" t="s">
        <v>4599</v>
      </c>
      <c r="N944" s="397">
        <v>580526.43788109999</v>
      </c>
      <c r="O944" s="396" t="s">
        <v>4815</v>
      </c>
    </row>
    <row r="945" spans="1:15" ht="26.4" x14ac:dyDescent="0.4">
      <c r="A945" s="396" t="s">
        <v>4828</v>
      </c>
      <c r="B945" s="394" t="s">
        <v>439</v>
      </c>
      <c r="C945" s="394" t="s">
        <v>4829</v>
      </c>
      <c r="D945" s="394" t="s">
        <v>2381</v>
      </c>
      <c r="E945" s="395" t="s">
        <v>1109</v>
      </c>
      <c r="F945" s="396" t="s">
        <v>7407</v>
      </c>
      <c r="G945" s="396" t="s">
        <v>781</v>
      </c>
      <c r="H945" s="396" t="s">
        <v>5716</v>
      </c>
      <c r="I945" s="396" t="s">
        <v>781</v>
      </c>
      <c r="J945" s="396" t="s">
        <v>5621</v>
      </c>
      <c r="K945" s="396" t="s">
        <v>781</v>
      </c>
      <c r="L945" s="397">
        <v>6.030138</v>
      </c>
      <c r="M945" s="396" t="s">
        <v>4599</v>
      </c>
      <c r="N945" s="397">
        <v>580532.46801910002</v>
      </c>
      <c r="O945" s="396" t="s">
        <v>4815</v>
      </c>
    </row>
    <row r="946" spans="1:15" x14ac:dyDescent="0.4">
      <c r="A946" s="396" t="s">
        <v>4830</v>
      </c>
      <c r="B946" s="394" t="s">
        <v>439</v>
      </c>
      <c r="C946" s="394" t="s">
        <v>4831</v>
      </c>
      <c r="D946" s="394" t="s">
        <v>2381</v>
      </c>
      <c r="E946" s="395" t="s">
        <v>1109</v>
      </c>
      <c r="F946" s="396" t="s">
        <v>7407</v>
      </c>
      <c r="G946" s="396" t="s">
        <v>781</v>
      </c>
      <c r="H946" s="396" t="s">
        <v>5716</v>
      </c>
      <c r="I946" s="396" t="s">
        <v>781</v>
      </c>
      <c r="J946" s="396" t="s">
        <v>5621</v>
      </c>
      <c r="K946" s="396" t="s">
        <v>781</v>
      </c>
      <c r="L946" s="397">
        <v>6.030138</v>
      </c>
      <c r="M946" s="396" t="s">
        <v>4599</v>
      </c>
      <c r="N946" s="397">
        <v>580538.49815710005</v>
      </c>
      <c r="O946" s="396" t="s">
        <v>4815</v>
      </c>
    </row>
    <row r="947" spans="1:15" ht="26.4" x14ac:dyDescent="0.4">
      <c r="A947" s="396" t="s">
        <v>9503</v>
      </c>
      <c r="B947" s="394" t="s">
        <v>2616</v>
      </c>
      <c r="C947" s="394" t="s">
        <v>9504</v>
      </c>
      <c r="D947" s="394" t="s">
        <v>1039</v>
      </c>
      <c r="E947" s="395" t="s">
        <v>4</v>
      </c>
      <c r="F947" s="396" t="s">
        <v>9505</v>
      </c>
      <c r="G947" s="396" t="s">
        <v>781</v>
      </c>
      <c r="H947" s="396" t="s">
        <v>9506</v>
      </c>
      <c r="I947" s="396" t="s">
        <v>781</v>
      </c>
      <c r="J947" s="396" t="s">
        <v>5771</v>
      </c>
      <c r="K947" s="396" t="s">
        <v>781</v>
      </c>
      <c r="L947" s="397">
        <v>6.0231000000000003</v>
      </c>
      <c r="M947" s="396" t="s">
        <v>4599</v>
      </c>
      <c r="N947" s="397">
        <v>580544.52125710004</v>
      </c>
      <c r="O947" s="396" t="s">
        <v>4815</v>
      </c>
    </row>
    <row r="948" spans="1:15" x14ac:dyDescent="0.4">
      <c r="A948" s="396" t="s">
        <v>1372</v>
      </c>
      <c r="B948" s="394" t="s">
        <v>395</v>
      </c>
      <c r="C948" s="394" t="s">
        <v>266</v>
      </c>
      <c r="D948" s="394" t="s">
        <v>1039</v>
      </c>
      <c r="E948" s="395" t="s">
        <v>4</v>
      </c>
      <c r="F948" s="396" t="s">
        <v>7408</v>
      </c>
      <c r="G948" s="396" t="s">
        <v>781</v>
      </c>
      <c r="H948" s="396" t="s">
        <v>5692</v>
      </c>
      <c r="I948" s="396" t="s">
        <v>781</v>
      </c>
      <c r="J948" s="396" t="s">
        <v>5771</v>
      </c>
      <c r="K948" s="396" t="s">
        <v>781</v>
      </c>
      <c r="L948" s="397">
        <v>6.0179460000000002</v>
      </c>
      <c r="M948" s="396" t="s">
        <v>4599</v>
      </c>
      <c r="N948" s="397">
        <v>580550.53920310002</v>
      </c>
      <c r="O948" s="396" t="s">
        <v>4815</v>
      </c>
    </row>
    <row r="949" spans="1:15" ht="26.4" x14ac:dyDescent="0.4">
      <c r="A949" s="396" t="s">
        <v>7409</v>
      </c>
      <c r="B949" s="394" t="s">
        <v>439</v>
      </c>
      <c r="C949" s="394" t="s">
        <v>1385</v>
      </c>
      <c r="D949" s="394" t="s">
        <v>1039</v>
      </c>
      <c r="E949" s="395" t="s">
        <v>437</v>
      </c>
      <c r="F949" s="396" t="s">
        <v>5486</v>
      </c>
      <c r="G949" s="396" t="s">
        <v>781</v>
      </c>
      <c r="H949" s="396" t="s">
        <v>5354</v>
      </c>
      <c r="I949" s="396" t="s">
        <v>781</v>
      </c>
      <c r="J949" s="396" t="s">
        <v>5613</v>
      </c>
      <c r="K949" s="396" t="s">
        <v>781</v>
      </c>
      <c r="L949" s="397">
        <v>6</v>
      </c>
      <c r="M949" s="396" t="s">
        <v>4599</v>
      </c>
      <c r="N949" s="397">
        <v>580556.53920310002</v>
      </c>
      <c r="O949" s="396" t="s">
        <v>4815</v>
      </c>
    </row>
    <row r="950" spans="1:15" ht="39.6" x14ac:dyDescent="0.4">
      <c r="A950" s="396" t="s">
        <v>1343</v>
      </c>
      <c r="B950" s="394" t="s">
        <v>395</v>
      </c>
      <c r="C950" s="394" t="s">
        <v>243</v>
      </c>
      <c r="D950" s="394" t="s">
        <v>1039</v>
      </c>
      <c r="E950" s="395" t="s">
        <v>4</v>
      </c>
      <c r="F950" s="396" t="s">
        <v>5285</v>
      </c>
      <c r="G950" s="396" t="s">
        <v>781</v>
      </c>
      <c r="H950" s="396" t="s">
        <v>5388</v>
      </c>
      <c r="I950" s="396" t="s">
        <v>781</v>
      </c>
      <c r="J950" s="396" t="s">
        <v>7410</v>
      </c>
      <c r="K950" s="396" t="s">
        <v>781</v>
      </c>
      <c r="L950" s="397">
        <v>5.92</v>
      </c>
      <c r="M950" s="396" t="s">
        <v>4599</v>
      </c>
      <c r="N950" s="397">
        <v>580562.45920309995</v>
      </c>
      <c r="O950" s="396" t="s">
        <v>4815</v>
      </c>
    </row>
    <row r="951" spans="1:15" x14ac:dyDescent="0.4">
      <c r="A951" s="396" t="s">
        <v>4813</v>
      </c>
      <c r="B951" s="394" t="s">
        <v>420</v>
      </c>
      <c r="C951" s="394" t="s">
        <v>4814</v>
      </c>
      <c r="D951" s="394" t="s">
        <v>1039</v>
      </c>
      <c r="E951" s="395" t="s">
        <v>422</v>
      </c>
      <c r="F951" s="396" t="s">
        <v>5342</v>
      </c>
      <c r="G951" s="396" t="s">
        <v>781</v>
      </c>
      <c r="H951" s="396" t="s">
        <v>5636</v>
      </c>
      <c r="I951" s="396" t="s">
        <v>781</v>
      </c>
      <c r="J951" s="396" t="s">
        <v>7410</v>
      </c>
      <c r="K951" s="396" t="s">
        <v>781</v>
      </c>
      <c r="L951" s="397">
        <v>5.9153577210000003</v>
      </c>
      <c r="M951" s="396" t="s">
        <v>4599</v>
      </c>
      <c r="N951" s="397">
        <v>580568.37456080003</v>
      </c>
      <c r="O951" s="396" t="s">
        <v>4820</v>
      </c>
    </row>
    <row r="952" spans="1:15" ht="26.4" x14ac:dyDescent="0.4">
      <c r="A952" s="396" t="s">
        <v>7414</v>
      </c>
      <c r="B952" s="394" t="s">
        <v>420</v>
      </c>
      <c r="C952" s="394" t="s">
        <v>7415</v>
      </c>
      <c r="D952" s="394" t="s">
        <v>1039</v>
      </c>
      <c r="E952" s="395" t="s">
        <v>1246</v>
      </c>
      <c r="F952" s="396" t="s">
        <v>7416</v>
      </c>
      <c r="G952" s="396" t="s">
        <v>781</v>
      </c>
      <c r="H952" s="396" t="s">
        <v>7417</v>
      </c>
      <c r="I952" s="396" t="s">
        <v>781</v>
      </c>
      <c r="J952" s="396" t="s">
        <v>7418</v>
      </c>
      <c r="K952" s="396" t="s">
        <v>781</v>
      </c>
      <c r="L952" s="397">
        <v>5.9137500000000003</v>
      </c>
      <c r="M952" s="396" t="s">
        <v>4599</v>
      </c>
      <c r="N952" s="397">
        <v>580574.28831079998</v>
      </c>
      <c r="O952" s="396" t="s">
        <v>4820</v>
      </c>
    </row>
    <row r="953" spans="1:15" ht="26.4" x14ac:dyDescent="0.4">
      <c r="A953" s="396" t="s">
        <v>2289</v>
      </c>
      <c r="B953" s="394" t="s">
        <v>395</v>
      </c>
      <c r="C953" s="394" t="s">
        <v>242</v>
      </c>
      <c r="D953" s="394" t="s">
        <v>1039</v>
      </c>
      <c r="E953" s="395" t="s">
        <v>4</v>
      </c>
      <c r="F953" s="396" t="s">
        <v>9507</v>
      </c>
      <c r="G953" s="396" t="s">
        <v>781</v>
      </c>
      <c r="H953" s="396" t="s">
        <v>5597</v>
      </c>
      <c r="I953" s="396" t="s">
        <v>781</v>
      </c>
      <c r="J953" s="396" t="s">
        <v>7418</v>
      </c>
      <c r="K953" s="396" t="s">
        <v>781</v>
      </c>
      <c r="L953" s="397">
        <v>5.9112</v>
      </c>
      <c r="M953" s="396" t="s">
        <v>4599</v>
      </c>
      <c r="N953" s="397">
        <v>580580.19951079995</v>
      </c>
      <c r="O953" s="396" t="s">
        <v>4820</v>
      </c>
    </row>
    <row r="954" spans="1:15" x14ac:dyDescent="0.4">
      <c r="A954" s="396" t="s">
        <v>4741</v>
      </c>
      <c r="B954" s="394" t="s">
        <v>395</v>
      </c>
      <c r="C954" s="394" t="s">
        <v>4742</v>
      </c>
      <c r="D954" s="394" t="s">
        <v>1039</v>
      </c>
      <c r="E954" s="395" t="s">
        <v>8</v>
      </c>
      <c r="F954" s="396" t="s">
        <v>7419</v>
      </c>
      <c r="G954" s="396" t="s">
        <v>781</v>
      </c>
      <c r="H954" s="396" t="s">
        <v>7420</v>
      </c>
      <c r="I954" s="396" t="s">
        <v>781</v>
      </c>
      <c r="J954" s="396" t="s">
        <v>5625</v>
      </c>
      <c r="K954" s="396" t="s">
        <v>781</v>
      </c>
      <c r="L954" s="397">
        <v>5.8747926120000002</v>
      </c>
      <c r="M954" s="396" t="s">
        <v>4599</v>
      </c>
      <c r="N954" s="397">
        <v>580586.0743034</v>
      </c>
      <c r="O954" s="396" t="s">
        <v>4820</v>
      </c>
    </row>
    <row r="955" spans="1:15" x14ac:dyDescent="0.4">
      <c r="A955" s="396" t="s">
        <v>4802</v>
      </c>
      <c r="B955" s="394" t="s">
        <v>395</v>
      </c>
      <c r="C955" s="394" t="s">
        <v>4803</v>
      </c>
      <c r="D955" s="394" t="s">
        <v>1039</v>
      </c>
      <c r="E955" s="395" t="s">
        <v>4</v>
      </c>
      <c r="F955" s="396" t="s">
        <v>5269</v>
      </c>
      <c r="G955" s="396" t="s">
        <v>781</v>
      </c>
      <c r="H955" s="396" t="s">
        <v>7421</v>
      </c>
      <c r="I955" s="396" t="s">
        <v>781</v>
      </c>
      <c r="J955" s="396" t="s">
        <v>7421</v>
      </c>
      <c r="K955" s="396" t="s">
        <v>781</v>
      </c>
      <c r="L955" s="397">
        <v>5.86</v>
      </c>
      <c r="M955" s="396" t="s">
        <v>4599</v>
      </c>
      <c r="N955" s="397">
        <v>580591.93430339999</v>
      </c>
      <c r="O955" s="396" t="s">
        <v>4820</v>
      </c>
    </row>
    <row r="956" spans="1:15" x14ac:dyDescent="0.4">
      <c r="A956" s="396" t="s">
        <v>1256</v>
      </c>
      <c r="B956" s="394" t="s">
        <v>408</v>
      </c>
      <c r="C956" s="394" t="s">
        <v>1257</v>
      </c>
      <c r="D956" s="394" t="s">
        <v>1039</v>
      </c>
      <c r="E956" s="395" t="s">
        <v>4</v>
      </c>
      <c r="F956" s="396" t="s">
        <v>5269</v>
      </c>
      <c r="G956" s="396" t="s">
        <v>781</v>
      </c>
      <c r="H956" s="396" t="s">
        <v>7253</v>
      </c>
      <c r="I956" s="396" t="s">
        <v>781</v>
      </c>
      <c r="J956" s="396" t="s">
        <v>7253</v>
      </c>
      <c r="K956" s="396" t="s">
        <v>781</v>
      </c>
      <c r="L956" s="397">
        <v>5.75</v>
      </c>
      <c r="M956" s="396" t="s">
        <v>4599</v>
      </c>
      <c r="N956" s="397">
        <v>580597.68430339999</v>
      </c>
      <c r="O956" s="396" t="s">
        <v>4820</v>
      </c>
    </row>
    <row r="957" spans="1:15" ht="26.4" x14ac:dyDescent="0.4">
      <c r="A957" s="396" t="s">
        <v>3149</v>
      </c>
      <c r="B957" s="394" t="s">
        <v>5902</v>
      </c>
      <c r="C957" s="394" t="s">
        <v>3150</v>
      </c>
      <c r="D957" s="394" t="s">
        <v>1039</v>
      </c>
      <c r="E957" s="395" t="s">
        <v>4</v>
      </c>
      <c r="F957" s="396" t="s">
        <v>5269</v>
      </c>
      <c r="G957" s="396" t="s">
        <v>781</v>
      </c>
      <c r="H957" s="396" t="s">
        <v>7424</v>
      </c>
      <c r="I957" s="396" t="s">
        <v>781</v>
      </c>
      <c r="J957" s="396" t="s">
        <v>7424</v>
      </c>
      <c r="K957" s="396" t="s">
        <v>781</v>
      </c>
      <c r="L957" s="397">
        <v>5.72</v>
      </c>
      <c r="M957" s="396" t="s">
        <v>4599</v>
      </c>
      <c r="N957" s="397">
        <v>580603.40430339996</v>
      </c>
      <c r="O957" s="396" t="s">
        <v>4820</v>
      </c>
    </row>
    <row r="958" spans="1:15" ht="26.4" x14ac:dyDescent="0.4">
      <c r="A958" s="396" t="s">
        <v>4839</v>
      </c>
      <c r="B958" s="394" t="s">
        <v>395</v>
      </c>
      <c r="C958" s="394" t="s">
        <v>4840</v>
      </c>
      <c r="D958" s="394" t="s">
        <v>1039</v>
      </c>
      <c r="E958" s="395" t="s">
        <v>4</v>
      </c>
      <c r="F958" s="396" t="s">
        <v>5269</v>
      </c>
      <c r="G958" s="396" t="s">
        <v>781</v>
      </c>
      <c r="H958" s="396" t="s">
        <v>7429</v>
      </c>
      <c r="I958" s="396" t="s">
        <v>781</v>
      </c>
      <c r="J958" s="396" t="s">
        <v>7429</v>
      </c>
      <c r="K958" s="396" t="s">
        <v>781</v>
      </c>
      <c r="L958" s="397">
        <v>5.56</v>
      </c>
      <c r="M958" s="396" t="s">
        <v>4599</v>
      </c>
      <c r="N958" s="397">
        <v>580608.96430340002</v>
      </c>
      <c r="O958" s="396" t="s">
        <v>4820</v>
      </c>
    </row>
    <row r="959" spans="1:15" x14ac:dyDescent="0.4">
      <c r="A959" s="396" t="s">
        <v>4791</v>
      </c>
      <c r="B959" s="394" t="s">
        <v>395</v>
      </c>
      <c r="C959" s="394" t="s">
        <v>4792</v>
      </c>
      <c r="D959" s="394" t="s">
        <v>1039</v>
      </c>
      <c r="E959" s="395" t="s">
        <v>3</v>
      </c>
      <c r="F959" s="396" t="s">
        <v>7430</v>
      </c>
      <c r="G959" s="396" t="s">
        <v>781</v>
      </c>
      <c r="H959" s="396" t="s">
        <v>6761</v>
      </c>
      <c r="I959" s="396" t="s">
        <v>781</v>
      </c>
      <c r="J959" s="396" t="s">
        <v>7431</v>
      </c>
      <c r="K959" s="396" t="s">
        <v>781</v>
      </c>
      <c r="L959" s="397">
        <v>5.4958727999999999</v>
      </c>
      <c r="M959" s="396" t="s">
        <v>4599</v>
      </c>
      <c r="N959" s="397">
        <v>580614.46017620002</v>
      </c>
      <c r="O959" s="396" t="s">
        <v>4820</v>
      </c>
    </row>
    <row r="960" spans="1:15" x14ac:dyDescent="0.4">
      <c r="A960" s="396" t="s">
        <v>1105</v>
      </c>
      <c r="B960" s="394" t="s">
        <v>436</v>
      </c>
      <c r="C960" s="394" t="s">
        <v>1106</v>
      </c>
      <c r="D960" s="394" t="s">
        <v>1053</v>
      </c>
      <c r="E960" s="395" t="s">
        <v>6</v>
      </c>
      <c r="F960" s="396" t="s">
        <v>5632</v>
      </c>
      <c r="G960" s="396" t="s">
        <v>781</v>
      </c>
      <c r="H960" s="396" t="s">
        <v>7432</v>
      </c>
      <c r="I960" s="396" t="s">
        <v>781</v>
      </c>
      <c r="J960" s="396" t="s">
        <v>7433</v>
      </c>
      <c r="K960" s="396" t="s">
        <v>781</v>
      </c>
      <c r="L960" s="397">
        <v>5.4850000000000003</v>
      </c>
      <c r="M960" s="396" t="s">
        <v>4599</v>
      </c>
      <c r="N960" s="397">
        <v>580619.94517620001</v>
      </c>
      <c r="O960" s="396" t="s">
        <v>4820</v>
      </c>
    </row>
    <row r="961" spans="1:15" ht="26.4" x14ac:dyDescent="0.4">
      <c r="A961" s="396" t="s">
        <v>4816</v>
      </c>
      <c r="B961" s="394" t="s">
        <v>395</v>
      </c>
      <c r="C961" s="394" t="s">
        <v>4817</v>
      </c>
      <c r="D961" s="394" t="s">
        <v>1039</v>
      </c>
      <c r="E961" s="395" t="s">
        <v>4</v>
      </c>
      <c r="F961" s="396" t="s">
        <v>5269</v>
      </c>
      <c r="G961" s="396" t="s">
        <v>781</v>
      </c>
      <c r="H961" s="396" t="s">
        <v>7434</v>
      </c>
      <c r="I961" s="396" t="s">
        <v>781</v>
      </c>
      <c r="J961" s="396" t="s">
        <v>7434</v>
      </c>
      <c r="K961" s="396" t="s">
        <v>781</v>
      </c>
      <c r="L961" s="397">
        <v>5.48</v>
      </c>
      <c r="M961" s="396" t="s">
        <v>4599</v>
      </c>
      <c r="N961" s="397">
        <v>580625.42517619999</v>
      </c>
      <c r="O961" s="396" t="s">
        <v>4825</v>
      </c>
    </row>
    <row r="962" spans="1:15" ht="26.4" x14ac:dyDescent="0.4">
      <c r="A962" s="396" t="s">
        <v>3287</v>
      </c>
      <c r="B962" s="394" t="s">
        <v>5902</v>
      </c>
      <c r="C962" s="394" t="s">
        <v>3288</v>
      </c>
      <c r="D962" s="394" t="s">
        <v>1039</v>
      </c>
      <c r="E962" s="395" t="s">
        <v>3</v>
      </c>
      <c r="F962" s="396" t="s">
        <v>5627</v>
      </c>
      <c r="G962" s="396" t="s">
        <v>781</v>
      </c>
      <c r="H962" s="396" t="s">
        <v>7435</v>
      </c>
      <c r="I962" s="396" t="s">
        <v>781</v>
      </c>
      <c r="J962" s="396" t="s">
        <v>7436</v>
      </c>
      <c r="K962" s="396" t="s">
        <v>781</v>
      </c>
      <c r="L962" s="397">
        <v>5.4029800000000003</v>
      </c>
      <c r="M962" s="396" t="s">
        <v>4599</v>
      </c>
      <c r="N962" s="397">
        <v>580630.8281562</v>
      </c>
      <c r="O962" s="396" t="s">
        <v>4825</v>
      </c>
    </row>
    <row r="963" spans="1:15" x14ac:dyDescent="0.4">
      <c r="A963" s="396" t="s">
        <v>7437</v>
      </c>
      <c r="B963" s="394" t="s">
        <v>408</v>
      </c>
      <c r="C963" s="394" t="s">
        <v>7438</v>
      </c>
      <c r="D963" s="394" t="s">
        <v>1039</v>
      </c>
      <c r="E963" s="395" t="s">
        <v>422</v>
      </c>
      <c r="F963" s="396" t="s">
        <v>7439</v>
      </c>
      <c r="G963" s="396" t="s">
        <v>781</v>
      </c>
      <c r="H963" s="396" t="s">
        <v>7440</v>
      </c>
      <c r="I963" s="396" t="s">
        <v>781</v>
      </c>
      <c r="J963" s="396" t="s">
        <v>7436</v>
      </c>
      <c r="K963" s="396" t="s">
        <v>781</v>
      </c>
      <c r="L963" s="397">
        <v>5.4005000000000001</v>
      </c>
      <c r="M963" s="396" t="s">
        <v>4599</v>
      </c>
      <c r="N963" s="397">
        <v>580636.22865619999</v>
      </c>
      <c r="O963" s="396" t="s">
        <v>4825</v>
      </c>
    </row>
    <row r="964" spans="1:15" x14ac:dyDescent="0.4">
      <c r="A964" s="396" t="s">
        <v>2452</v>
      </c>
      <c r="B964" s="394" t="s">
        <v>395</v>
      </c>
      <c r="C964" s="394" t="s">
        <v>258</v>
      </c>
      <c r="D964" s="394" t="s">
        <v>1039</v>
      </c>
      <c r="E964" s="395" t="s">
        <v>7</v>
      </c>
      <c r="F964" s="396" t="s">
        <v>7441</v>
      </c>
      <c r="G964" s="396" t="s">
        <v>781</v>
      </c>
      <c r="H964" s="396" t="s">
        <v>7442</v>
      </c>
      <c r="I964" s="396" t="s">
        <v>781</v>
      </c>
      <c r="J964" s="396" t="s">
        <v>7443</v>
      </c>
      <c r="K964" s="396" t="s">
        <v>781</v>
      </c>
      <c r="L964" s="397">
        <v>5.354825355</v>
      </c>
      <c r="M964" s="396" t="s">
        <v>4599</v>
      </c>
      <c r="N964" s="397">
        <v>580641.58348160004</v>
      </c>
      <c r="O964" s="396" t="s">
        <v>4825</v>
      </c>
    </row>
    <row r="965" spans="1:15" x14ac:dyDescent="0.4">
      <c r="A965" s="396" t="s">
        <v>7444</v>
      </c>
      <c r="B965" s="394" t="s">
        <v>408</v>
      </c>
      <c r="C965" s="394" t="s">
        <v>4862</v>
      </c>
      <c r="D965" s="394" t="s">
        <v>1053</v>
      </c>
      <c r="E965" s="395" t="s">
        <v>6</v>
      </c>
      <c r="F965" s="396" t="s">
        <v>7445</v>
      </c>
      <c r="G965" s="396" t="s">
        <v>781</v>
      </c>
      <c r="H965" s="396" t="s">
        <v>6238</v>
      </c>
      <c r="I965" s="396" t="s">
        <v>781</v>
      </c>
      <c r="J965" s="396" t="s">
        <v>7446</v>
      </c>
      <c r="K965" s="396" t="s">
        <v>781</v>
      </c>
      <c r="L965" s="397">
        <v>5.2731000000000003</v>
      </c>
      <c r="M965" s="396" t="s">
        <v>4599</v>
      </c>
      <c r="N965" s="397">
        <v>580646.85658160003</v>
      </c>
      <c r="O965" s="396" t="s">
        <v>4825</v>
      </c>
    </row>
    <row r="966" spans="1:15" ht="26.4" x14ac:dyDescent="0.4">
      <c r="A966" s="396" t="s">
        <v>7422</v>
      </c>
      <c r="B966" s="394" t="s">
        <v>420</v>
      </c>
      <c r="C966" s="394" t="s">
        <v>7423</v>
      </c>
      <c r="D966" s="394" t="s">
        <v>1039</v>
      </c>
      <c r="E966" s="395" t="s">
        <v>422</v>
      </c>
      <c r="F966" s="396" t="s">
        <v>5269</v>
      </c>
      <c r="G966" s="396" t="s">
        <v>781</v>
      </c>
      <c r="H966" s="396" t="s">
        <v>7446</v>
      </c>
      <c r="I966" s="396" t="s">
        <v>781</v>
      </c>
      <c r="J966" s="396" t="s">
        <v>7446</v>
      </c>
      <c r="K966" s="396" t="s">
        <v>781</v>
      </c>
      <c r="L966" s="397">
        <v>5.27</v>
      </c>
      <c r="M966" s="396" t="s">
        <v>4599</v>
      </c>
      <c r="N966" s="397">
        <v>580652.12658160005</v>
      </c>
      <c r="O966" s="396" t="s">
        <v>4825</v>
      </c>
    </row>
    <row r="967" spans="1:15" x14ac:dyDescent="0.4">
      <c r="A967" s="396" t="s">
        <v>4772</v>
      </c>
      <c r="B967" s="394" t="s">
        <v>395</v>
      </c>
      <c r="C967" s="394" t="s">
        <v>4773</v>
      </c>
      <c r="D967" s="394" t="s">
        <v>1039</v>
      </c>
      <c r="E967" s="395" t="s">
        <v>4</v>
      </c>
      <c r="F967" s="396" t="s">
        <v>5269</v>
      </c>
      <c r="G967" s="396" t="s">
        <v>781</v>
      </c>
      <c r="H967" s="396" t="s">
        <v>5628</v>
      </c>
      <c r="I967" s="396" t="s">
        <v>781</v>
      </c>
      <c r="J967" s="396" t="s">
        <v>5628</v>
      </c>
      <c r="K967" s="396" t="s">
        <v>781</v>
      </c>
      <c r="L967" s="397">
        <v>5.23</v>
      </c>
      <c r="M967" s="396" t="s">
        <v>4599</v>
      </c>
      <c r="N967" s="397">
        <v>580657.35658160003</v>
      </c>
      <c r="O967" s="396" t="s">
        <v>4825</v>
      </c>
    </row>
    <row r="968" spans="1:15" ht="26.4" x14ac:dyDescent="0.4">
      <c r="A968" s="396" t="s">
        <v>4833</v>
      </c>
      <c r="B968" s="394" t="s">
        <v>395</v>
      </c>
      <c r="C968" s="394" t="s">
        <v>4834</v>
      </c>
      <c r="D968" s="394" t="s">
        <v>1039</v>
      </c>
      <c r="E968" s="395" t="s">
        <v>7</v>
      </c>
      <c r="F968" s="396" t="s">
        <v>7448</v>
      </c>
      <c r="G968" s="396" t="s">
        <v>781</v>
      </c>
      <c r="H968" s="396" t="s">
        <v>7449</v>
      </c>
      <c r="I968" s="396" t="s">
        <v>781</v>
      </c>
      <c r="J968" s="396" t="s">
        <v>7450</v>
      </c>
      <c r="K968" s="396" t="s">
        <v>781</v>
      </c>
      <c r="L968" s="397">
        <v>5.2098459999999998</v>
      </c>
      <c r="M968" s="396" t="s">
        <v>4599</v>
      </c>
      <c r="N968" s="397">
        <v>580662.56642759999</v>
      </c>
      <c r="O968" s="396" t="s">
        <v>4825</v>
      </c>
    </row>
    <row r="969" spans="1:15" x14ac:dyDescent="0.4">
      <c r="A969" s="396" t="s">
        <v>7515</v>
      </c>
      <c r="B969" s="394" t="s">
        <v>408</v>
      </c>
      <c r="C969" s="394" t="s">
        <v>7516</v>
      </c>
      <c r="D969" s="394" t="s">
        <v>1053</v>
      </c>
      <c r="E969" s="395" t="s">
        <v>6</v>
      </c>
      <c r="F969" s="396" t="s">
        <v>9508</v>
      </c>
      <c r="G969" s="396" t="s">
        <v>781</v>
      </c>
      <c r="H969" s="396" t="s">
        <v>6238</v>
      </c>
      <c r="I969" s="396" t="s">
        <v>781</v>
      </c>
      <c r="J969" s="396" t="s">
        <v>9509</v>
      </c>
      <c r="K969" s="396" t="s">
        <v>781</v>
      </c>
      <c r="L969" s="397">
        <v>5.1880499999999996</v>
      </c>
      <c r="M969" s="396" t="s">
        <v>4599</v>
      </c>
      <c r="N969" s="397">
        <v>580667.75447759998</v>
      </c>
      <c r="O969" s="396" t="s">
        <v>4825</v>
      </c>
    </row>
    <row r="970" spans="1:15" ht="26.4" x14ac:dyDescent="0.4">
      <c r="A970" s="396" t="s">
        <v>9510</v>
      </c>
      <c r="B970" s="394" t="s">
        <v>5902</v>
      </c>
      <c r="C970" s="394" t="s">
        <v>9511</v>
      </c>
      <c r="D970" s="394" t="s">
        <v>1039</v>
      </c>
      <c r="E970" s="395" t="s">
        <v>4</v>
      </c>
      <c r="F970" s="396" t="s">
        <v>9512</v>
      </c>
      <c r="G970" s="396" t="s">
        <v>781</v>
      </c>
      <c r="H970" s="396" t="s">
        <v>9513</v>
      </c>
      <c r="I970" s="396" t="s">
        <v>781</v>
      </c>
      <c r="J970" s="396" t="s">
        <v>9514</v>
      </c>
      <c r="K970" s="396" t="s">
        <v>781</v>
      </c>
      <c r="L970" s="397">
        <v>5.1737000000000002</v>
      </c>
      <c r="M970" s="396" t="s">
        <v>4599</v>
      </c>
      <c r="N970" s="397">
        <v>580672.92817760003</v>
      </c>
      <c r="O970" s="396" t="s">
        <v>4825</v>
      </c>
    </row>
    <row r="971" spans="1:15" ht="26.4" x14ac:dyDescent="0.4">
      <c r="A971" s="396" t="s">
        <v>9515</v>
      </c>
      <c r="B971" s="394" t="s">
        <v>439</v>
      </c>
      <c r="C971" s="394" t="s">
        <v>9516</v>
      </c>
      <c r="D971" s="394" t="s">
        <v>1039</v>
      </c>
      <c r="E971" s="395" t="s">
        <v>2627</v>
      </c>
      <c r="F971" s="396" t="s">
        <v>5269</v>
      </c>
      <c r="G971" s="396" t="s">
        <v>781</v>
      </c>
      <c r="H971" s="396" t="s">
        <v>9517</v>
      </c>
      <c r="I971" s="396" t="s">
        <v>781</v>
      </c>
      <c r="J971" s="396" t="s">
        <v>9517</v>
      </c>
      <c r="K971" s="396" t="s">
        <v>781</v>
      </c>
      <c r="L971" s="397">
        <v>5.1100000000000003</v>
      </c>
      <c r="M971" s="396" t="s">
        <v>4599</v>
      </c>
      <c r="N971" s="397">
        <v>580678.03817760001</v>
      </c>
      <c r="O971" s="396" t="s">
        <v>4825</v>
      </c>
    </row>
    <row r="972" spans="1:15" ht="39.6" x14ac:dyDescent="0.4">
      <c r="A972" s="396" t="s">
        <v>4770</v>
      </c>
      <c r="B972" s="394" t="s">
        <v>395</v>
      </c>
      <c r="C972" s="394" t="s">
        <v>4771</v>
      </c>
      <c r="D972" s="394" t="s">
        <v>1039</v>
      </c>
      <c r="E972" s="395" t="s">
        <v>7</v>
      </c>
      <c r="F972" s="396" t="s">
        <v>5380</v>
      </c>
      <c r="G972" s="396" t="s">
        <v>781</v>
      </c>
      <c r="H972" s="396" t="s">
        <v>7451</v>
      </c>
      <c r="I972" s="396" t="s">
        <v>781</v>
      </c>
      <c r="J972" s="396" t="s">
        <v>5574</v>
      </c>
      <c r="K972" s="396" t="s">
        <v>781</v>
      </c>
      <c r="L972" s="397">
        <v>5.093</v>
      </c>
      <c r="M972" s="396" t="s">
        <v>4599</v>
      </c>
      <c r="N972" s="397">
        <v>580683.13117760001</v>
      </c>
      <c r="O972" s="396" t="s">
        <v>4832</v>
      </c>
    </row>
    <row r="973" spans="1:15" x14ac:dyDescent="0.4">
      <c r="A973" s="396" t="s">
        <v>9518</v>
      </c>
      <c r="B973" s="394" t="s">
        <v>2661</v>
      </c>
      <c r="C973" s="394" t="s">
        <v>9519</v>
      </c>
      <c r="D973" s="394" t="s">
        <v>1039</v>
      </c>
      <c r="E973" s="395" t="s">
        <v>7</v>
      </c>
      <c r="F973" s="396" t="s">
        <v>6704</v>
      </c>
      <c r="G973" s="396" t="s">
        <v>781</v>
      </c>
      <c r="H973" s="396" t="s">
        <v>9520</v>
      </c>
      <c r="I973" s="396" t="s">
        <v>781</v>
      </c>
      <c r="J973" s="396" t="s">
        <v>5574</v>
      </c>
      <c r="K973" s="396" t="s">
        <v>781</v>
      </c>
      <c r="L973" s="397">
        <v>5.0881999999999996</v>
      </c>
      <c r="M973" s="396" t="s">
        <v>4599</v>
      </c>
      <c r="N973" s="397">
        <v>580688.21937760001</v>
      </c>
      <c r="O973" s="396" t="s">
        <v>4832</v>
      </c>
    </row>
    <row r="974" spans="1:15" ht="26.4" x14ac:dyDescent="0.4">
      <c r="A974" s="396" t="s">
        <v>1400</v>
      </c>
      <c r="B974" s="394" t="s">
        <v>395</v>
      </c>
      <c r="C974" s="394" t="s">
        <v>230</v>
      </c>
      <c r="D974" s="394" t="s">
        <v>1039</v>
      </c>
      <c r="E974" s="395" t="s">
        <v>4</v>
      </c>
      <c r="F974" s="396" t="s">
        <v>5442</v>
      </c>
      <c r="G974" s="396" t="s">
        <v>781</v>
      </c>
      <c r="H974" s="396" t="s">
        <v>5810</v>
      </c>
      <c r="I974" s="396" t="s">
        <v>781</v>
      </c>
      <c r="J974" s="396" t="s">
        <v>5354</v>
      </c>
      <c r="K974" s="396" t="s">
        <v>781</v>
      </c>
      <c r="L974" s="397">
        <v>5</v>
      </c>
      <c r="M974" s="396" t="s">
        <v>4599</v>
      </c>
      <c r="N974" s="397">
        <v>580693.21937760001</v>
      </c>
      <c r="O974" s="396" t="s">
        <v>4832</v>
      </c>
    </row>
    <row r="975" spans="1:15" x14ac:dyDescent="0.4">
      <c r="A975" s="396" t="s">
        <v>1339</v>
      </c>
      <c r="B975" s="394" t="s">
        <v>395</v>
      </c>
      <c r="C975" s="394" t="s">
        <v>383</v>
      </c>
      <c r="D975" s="394" t="s">
        <v>1039</v>
      </c>
      <c r="E975" s="395" t="s">
        <v>4</v>
      </c>
      <c r="F975" s="396" t="s">
        <v>5273</v>
      </c>
      <c r="G975" s="396" t="s">
        <v>781</v>
      </c>
      <c r="H975" s="396" t="s">
        <v>7452</v>
      </c>
      <c r="I975" s="396" t="s">
        <v>781</v>
      </c>
      <c r="J975" s="396" t="s">
        <v>7453</v>
      </c>
      <c r="K975" s="396" t="s">
        <v>781</v>
      </c>
      <c r="L975" s="397">
        <v>4.96</v>
      </c>
      <c r="M975" s="396" t="s">
        <v>4599</v>
      </c>
      <c r="N975" s="397">
        <v>580698.17937759997</v>
      </c>
      <c r="O975" s="396" t="s">
        <v>4832</v>
      </c>
    </row>
    <row r="976" spans="1:15" x14ac:dyDescent="0.4">
      <c r="A976" s="396" t="s">
        <v>1583</v>
      </c>
      <c r="B976" s="394" t="s">
        <v>408</v>
      </c>
      <c r="C976" s="394" t="s">
        <v>1584</v>
      </c>
      <c r="D976" s="394" t="s">
        <v>1039</v>
      </c>
      <c r="E976" s="395" t="s">
        <v>3</v>
      </c>
      <c r="F976" s="396" t="s">
        <v>5630</v>
      </c>
      <c r="G976" s="396" t="s">
        <v>781</v>
      </c>
      <c r="H976" s="396" t="s">
        <v>7454</v>
      </c>
      <c r="I976" s="396" t="s">
        <v>781</v>
      </c>
      <c r="J976" s="396" t="s">
        <v>7455</v>
      </c>
      <c r="K976" s="396" t="s">
        <v>781</v>
      </c>
      <c r="L976" s="397">
        <v>4.95</v>
      </c>
      <c r="M976" s="396" t="s">
        <v>4599</v>
      </c>
      <c r="N976" s="397">
        <v>580703.12937760004</v>
      </c>
      <c r="O976" s="396" t="s">
        <v>4832</v>
      </c>
    </row>
    <row r="977" spans="1:15" ht="26.4" x14ac:dyDescent="0.4">
      <c r="A977" s="396" t="s">
        <v>1551</v>
      </c>
      <c r="B977" s="394" t="s">
        <v>395</v>
      </c>
      <c r="C977" s="394" t="s">
        <v>308</v>
      </c>
      <c r="D977" s="394" t="s">
        <v>1039</v>
      </c>
      <c r="E977" s="395" t="s">
        <v>7</v>
      </c>
      <c r="F977" s="396" t="s">
        <v>5555</v>
      </c>
      <c r="G977" s="396" t="s">
        <v>781</v>
      </c>
      <c r="H977" s="396" t="s">
        <v>7456</v>
      </c>
      <c r="I977" s="396" t="s">
        <v>781</v>
      </c>
      <c r="J977" s="396" t="s">
        <v>5369</v>
      </c>
      <c r="K977" s="396" t="s">
        <v>781</v>
      </c>
      <c r="L977" s="397">
        <v>4.9225000000000003</v>
      </c>
      <c r="M977" s="396" t="s">
        <v>4599</v>
      </c>
      <c r="N977" s="397">
        <v>580708.05187760002</v>
      </c>
      <c r="O977" s="396" t="s">
        <v>4832</v>
      </c>
    </row>
    <row r="978" spans="1:15" ht="26.4" x14ac:dyDescent="0.4">
      <c r="A978" s="396" t="s">
        <v>4767</v>
      </c>
      <c r="B978" s="394" t="s">
        <v>395</v>
      </c>
      <c r="C978" s="394" t="s">
        <v>4768</v>
      </c>
      <c r="D978" s="394" t="s">
        <v>1317</v>
      </c>
      <c r="E978" s="395" t="s">
        <v>6</v>
      </c>
      <c r="F978" s="396" t="s">
        <v>7310</v>
      </c>
      <c r="G978" s="396" t="s">
        <v>781</v>
      </c>
      <c r="H978" s="396" t="s">
        <v>5718</v>
      </c>
      <c r="I978" s="396" t="s">
        <v>781</v>
      </c>
      <c r="J978" s="396" t="s">
        <v>7460</v>
      </c>
      <c r="K978" s="396" t="s">
        <v>781</v>
      </c>
      <c r="L978" s="397">
        <v>4.7343373800000004</v>
      </c>
      <c r="M978" s="396" t="s">
        <v>4599</v>
      </c>
      <c r="N978" s="397">
        <v>580712.78621499997</v>
      </c>
      <c r="O978" s="396" t="s">
        <v>4832</v>
      </c>
    </row>
    <row r="979" spans="1:15" x14ac:dyDescent="0.4">
      <c r="A979" s="396" t="s">
        <v>7461</v>
      </c>
      <c r="B979" s="394" t="s">
        <v>408</v>
      </c>
      <c r="C979" s="394" t="s">
        <v>7462</v>
      </c>
      <c r="D979" s="394" t="s">
        <v>1039</v>
      </c>
      <c r="E979" s="395" t="s">
        <v>380</v>
      </c>
      <c r="F979" s="396" t="s">
        <v>5284</v>
      </c>
      <c r="G979" s="396" t="s">
        <v>781</v>
      </c>
      <c r="H979" s="396" t="s">
        <v>7463</v>
      </c>
      <c r="I979" s="396" t="s">
        <v>781</v>
      </c>
      <c r="J979" s="396" t="s">
        <v>6588</v>
      </c>
      <c r="K979" s="396" t="s">
        <v>781</v>
      </c>
      <c r="L979" s="397">
        <v>4.68</v>
      </c>
      <c r="M979" s="396" t="s">
        <v>4599</v>
      </c>
      <c r="N979" s="397">
        <v>580717.46621500002</v>
      </c>
      <c r="O979" s="396" t="s">
        <v>4832</v>
      </c>
    </row>
    <row r="980" spans="1:15" x14ac:dyDescent="0.4">
      <c r="A980" s="396" t="s">
        <v>7464</v>
      </c>
      <c r="B980" s="394" t="s">
        <v>408</v>
      </c>
      <c r="C980" s="394" t="s">
        <v>7465</v>
      </c>
      <c r="D980" s="394" t="s">
        <v>1039</v>
      </c>
      <c r="E980" s="395" t="s">
        <v>4</v>
      </c>
      <c r="F980" s="396" t="s">
        <v>7466</v>
      </c>
      <c r="G980" s="396" t="s">
        <v>781</v>
      </c>
      <c r="H980" s="396" t="s">
        <v>5805</v>
      </c>
      <c r="I980" s="396" t="s">
        <v>781</v>
      </c>
      <c r="J980" s="396" t="s">
        <v>6588</v>
      </c>
      <c r="K980" s="396" t="s">
        <v>781</v>
      </c>
      <c r="L980" s="397">
        <v>4.68</v>
      </c>
      <c r="M980" s="396" t="s">
        <v>4599</v>
      </c>
      <c r="N980" s="397">
        <v>580722.14621499996</v>
      </c>
      <c r="O980" s="396" t="s">
        <v>4832</v>
      </c>
    </row>
    <row r="981" spans="1:15" ht="26.4" x14ac:dyDescent="0.4">
      <c r="A981" s="396" t="s">
        <v>4818</v>
      </c>
      <c r="B981" s="394" t="s">
        <v>395</v>
      </c>
      <c r="C981" s="394" t="s">
        <v>4819</v>
      </c>
      <c r="D981" s="394" t="s">
        <v>1039</v>
      </c>
      <c r="E981" s="395" t="s">
        <v>4</v>
      </c>
      <c r="F981" s="396" t="s">
        <v>5269</v>
      </c>
      <c r="G981" s="396" t="s">
        <v>781</v>
      </c>
      <c r="H981" s="396" t="s">
        <v>7467</v>
      </c>
      <c r="I981" s="396" t="s">
        <v>781</v>
      </c>
      <c r="J981" s="396" t="s">
        <v>7467</v>
      </c>
      <c r="K981" s="396" t="s">
        <v>781</v>
      </c>
      <c r="L981" s="397">
        <v>4.67</v>
      </c>
      <c r="M981" s="396" t="s">
        <v>4599</v>
      </c>
      <c r="N981" s="397">
        <v>580726.816215</v>
      </c>
      <c r="O981" s="396" t="s">
        <v>4832</v>
      </c>
    </row>
    <row r="982" spans="1:15" ht="39.6" x14ac:dyDescent="0.4">
      <c r="A982" s="396" t="s">
        <v>1520</v>
      </c>
      <c r="B982" s="394" t="s">
        <v>395</v>
      </c>
      <c r="C982" s="394" t="s">
        <v>288</v>
      </c>
      <c r="D982" s="394" t="s">
        <v>1039</v>
      </c>
      <c r="E982" s="395" t="s">
        <v>7</v>
      </c>
      <c r="F982" s="396" t="s">
        <v>9521</v>
      </c>
      <c r="G982" s="396" t="s">
        <v>781</v>
      </c>
      <c r="H982" s="396" t="s">
        <v>7587</v>
      </c>
      <c r="I982" s="396" t="s">
        <v>781</v>
      </c>
      <c r="J982" s="396" t="s">
        <v>9522</v>
      </c>
      <c r="K982" s="396" t="s">
        <v>781</v>
      </c>
      <c r="L982" s="397">
        <v>4.6061595000000004</v>
      </c>
      <c r="M982" s="396" t="s">
        <v>4599</v>
      </c>
      <c r="N982" s="397">
        <v>580731.42237449996</v>
      </c>
      <c r="O982" s="396" t="s">
        <v>4832</v>
      </c>
    </row>
    <row r="983" spans="1:15" ht="26.4" x14ac:dyDescent="0.4">
      <c r="A983" s="396" t="s">
        <v>4784</v>
      </c>
      <c r="B983" s="394" t="s">
        <v>395</v>
      </c>
      <c r="C983" s="394" t="s">
        <v>4785</v>
      </c>
      <c r="D983" s="394" t="s">
        <v>1039</v>
      </c>
      <c r="E983" s="395" t="s">
        <v>4</v>
      </c>
      <c r="F983" s="396" t="s">
        <v>5601</v>
      </c>
      <c r="G983" s="396" t="s">
        <v>781</v>
      </c>
      <c r="H983" s="396" t="s">
        <v>7468</v>
      </c>
      <c r="I983" s="396" t="s">
        <v>781</v>
      </c>
      <c r="J983" s="396" t="s">
        <v>5520</v>
      </c>
      <c r="K983" s="396" t="s">
        <v>781</v>
      </c>
      <c r="L983" s="397">
        <v>4.5730719999999998</v>
      </c>
      <c r="M983" s="396" t="s">
        <v>4599</v>
      </c>
      <c r="N983" s="397">
        <v>580735.99544650002</v>
      </c>
      <c r="O983" s="396" t="s">
        <v>4832</v>
      </c>
    </row>
    <row r="984" spans="1:15" x14ac:dyDescent="0.4">
      <c r="A984" s="396" t="s">
        <v>7469</v>
      </c>
      <c r="B984" s="394" t="s">
        <v>439</v>
      </c>
      <c r="C984" s="394" t="s">
        <v>1466</v>
      </c>
      <c r="D984" s="394" t="s">
        <v>1053</v>
      </c>
      <c r="E984" s="395" t="s">
        <v>6</v>
      </c>
      <c r="F984" s="396" t="s">
        <v>5661</v>
      </c>
      <c r="G984" s="396" t="s">
        <v>781</v>
      </c>
      <c r="H984" s="396" t="s">
        <v>7470</v>
      </c>
      <c r="I984" s="396" t="s">
        <v>781</v>
      </c>
      <c r="J984" s="396" t="s">
        <v>5385</v>
      </c>
      <c r="K984" s="396" t="s">
        <v>781</v>
      </c>
      <c r="L984" s="397">
        <v>4.5466638560000003</v>
      </c>
      <c r="M984" s="396" t="s">
        <v>4599</v>
      </c>
      <c r="N984" s="397">
        <v>580740.54211040004</v>
      </c>
      <c r="O984" s="396" t="s">
        <v>4836</v>
      </c>
    </row>
    <row r="985" spans="1:15" ht="26.4" x14ac:dyDescent="0.4">
      <c r="A985" s="396" t="s">
        <v>4860</v>
      </c>
      <c r="B985" s="394" t="s">
        <v>395</v>
      </c>
      <c r="C985" s="394" t="s">
        <v>4861</v>
      </c>
      <c r="D985" s="394" t="s">
        <v>1317</v>
      </c>
      <c r="E985" s="395" t="s">
        <v>4</v>
      </c>
      <c r="F985" s="396" t="s">
        <v>7471</v>
      </c>
      <c r="G985" s="396" t="s">
        <v>781</v>
      </c>
      <c r="H985" s="396" t="s">
        <v>7472</v>
      </c>
      <c r="I985" s="396" t="s">
        <v>781</v>
      </c>
      <c r="J985" s="396" t="s">
        <v>7473</v>
      </c>
      <c r="K985" s="396" t="s">
        <v>781</v>
      </c>
      <c r="L985" s="397">
        <v>4.5356556000000001</v>
      </c>
      <c r="M985" s="396" t="s">
        <v>4599</v>
      </c>
      <c r="N985" s="397">
        <v>580745.07776599994</v>
      </c>
      <c r="O985" s="396" t="s">
        <v>4836</v>
      </c>
    </row>
    <row r="986" spans="1:15" x14ac:dyDescent="0.4">
      <c r="A986" s="396" t="s">
        <v>1254</v>
      </c>
      <c r="B986" s="394" t="s">
        <v>408</v>
      </c>
      <c r="C986" s="394" t="s">
        <v>1255</v>
      </c>
      <c r="D986" s="394" t="s">
        <v>1039</v>
      </c>
      <c r="E986" s="395" t="s">
        <v>4</v>
      </c>
      <c r="F986" s="396" t="s">
        <v>5284</v>
      </c>
      <c r="G986" s="396" t="s">
        <v>781</v>
      </c>
      <c r="H986" s="396" t="s">
        <v>5708</v>
      </c>
      <c r="I986" s="396" t="s">
        <v>781</v>
      </c>
      <c r="J986" s="396" t="s">
        <v>7474</v>
      </c>
      <c r="K986" s="396" t="s">
        <v>781</v>
      </c>
      <c r="L986" s="397">
        <v>4.53</v>
      </c>
      <c r="M986" s="396" t="s">
        <v>4599</v>
      </c>
      <c r="N986" s="397">
        <v>580749.60776599997</v>
      </c>
      <c r="O986" s="396" t="s">
        <v>4836</v>
      </c>
    </row>
    <row r="987" spans="1:15" x14ac:dyDescent="0.4">
      <c r="A987" s="396" t="s">
        <v>9523</v>
      </c>
      <c r="B987" s="394" t="s">
        <v>8393</v>
      </c>
      <c r="C987" s="394" t="s">
        <v>9524</v>
      </c>
      <c r="D987" s="394" t="s">
        <v>1053</v>
      </c>
      <c r="E987" s="395" t="s">
        <v>1070</v>
      </c>
      <c r="F987" s="396" t="s">
        <v>5591</v>
      </c>
      <c r="G987" s="396" t="s">
        <v>781</v>
      </c>
      <c r="H987" s="396" t="s">
        <v>9525</v>
      </c>
      <c r="I987" s="396" t="s">
        <v>781</v>
      </c>
      <c r="J987" s="396" t="s">
        <v>6697</v>
      </c>
      <c r="K987" s="396" t="s">
        <v>781</v>
      </c>
      <c r="L987" s="397">
        <v>4.4981999999999998</v>
      </c>
      <c r="M987" s="396" t="s">
        <v>4599</v>
      </c>
      <c r="N987" s="397">
        <v>580754.105966</v>
      </c>
      <c r="O987" s="396" t="s">
        <v>4836</v>
      </c>
    </row>
    <row r="988" spans="1:15" x14ac:dyDescent="0.4">
      <c r="A988" s="396" t="s">
        <v>2430</v>
      </c>
      <c r="B988" s="394" t="s">
        <v>408</v>
      </c>
      <c r="C988" s="394" t="s">
        <v>2431</v>
      </c>
      <c r="D988" s="394" t="s">
        <v>1039</v>
      </c>
      <c r="E988" s="395" t="s">
        <v>7</v>
      </c>
      <c r="F988" s="396" t="s">
        <v>5380</v>
      </c>
      <c r="G988" s="396" t="s">
        <v>781</v>
      </c>
      <c r="H988" s="396" t="s">
        <v>7475</v>
      </c>
      <c r="I988" s="396" t="s">
        <v>781</v>
      </c>
      <c r="J988" s="396" t="s">
        <v>5639</v>
      </c>
      <c r="K988" s="396" t="s">
        <v>781</v>
      </c>
      <c r="L988" s="397">
        <v>4.4880000000000004</v>
      </c>
      <c r="M988" s="396" t="s">
        <v>4599</v>
      </c>
      <c r="N988" s="397">
        <v>580758.59396600001</v>
      </c>
      <c r="O988" s="396" t="s">
        <v>4836</v>
      </c>
    </row>
    <row r="989" spans="1:15" ht="26.4" x14ac:dyDescent="0.4">
      <c r="A989" s="396" t="s">
        <v>4775</v>
      </c>
      <c r="B989" s="394" t="s">
        <v>395</v>
      </c>
      <c r="C989" s="394" t="s">
        <v>4776</v>
      </c>
      <c r="D989" s="394" t="s">
        <v>1039</v>
      </c>
      <c r="E989" s="395" t="s">
        <v>7</v>
      </c>
      <c r="F989" s="396" t="s">
        <v>5598</v>
      </c>
      <c r="G989" s="396" t="s">
        <v>781</v>
      </c>
      <c r="H989" s="396" t="s">
        <v>7476</v>
      </c>
      <c r="I989" s="396" t="s">
        <v>781</v>
      </c>
      <c r="J989" s="396" t="s">
        <v>5639</v>
      </c>
      <c r="K989" s="396" t="s">
        <v>781</v>
      </c>
      <c r="L989" s="397">
        <v>4.4855999999999998</v>
      </c>
      <c r="M989" s="396" t="s">
        <v>4599</v>
      </c>
      <c r="N989" s="397">
        <v>580763.07956600003</v>
      </c>
      <c r="O989" s="396" t="s">
        <v>4836</v>
      </c>
    </row>
    <row r="990" spans="1:15" ht="26.4" x14ac:dyDescent="0.4">
      <c r="A990" s="396" t="s">
        <v>4789</v>
      </c>
      <c r="B990" s="394" t="s">
        <v>395</v>
      </c>
      <c r="C990" s="394" t="s">
        <v>4790</v>
      </c>
      <c r="D990" s="394" t="s">
        <v>1039</v>
      </c>
      <c r="E990" s="395" t="s">
        <v>4</v>
      </c>
      <c r="F990" s="396" t="s">
        <v>5604</v>
      </c>
      <c r="G990" s="396" t="s">
        <v>781</v>
      </c>
      <c r="H990" s="396" t="s">
        <v>6326</v>
      </c>
      <c r="I990" s="396" t="s">
        <v>781</v>
      </c>
      <c r="J990" s="396" t="s">
        <v>7477</v>
      </c>
      <c r="K990" s="396" t="s">
        <v>781</v>
      </c>
      <c r="L990" s="397">
        <v>4.479552</v>
      </c>
      <c r="M990" s="396" t="s">
        <v>4599</v>
      </c>
      <c r="N990" s="397">
        <v>580767.55911799998</v>
      </c>
      <c r="O990" s="396" t="s">
        <v>4836</v>
      </c>
    </row>
    <row r="991" spans="1:15" x14ac:dyDescent="0.4">
      <c r="A991" s="396" t="s">
        <v>1273</v>
      </c>
      <c r="B991" s="394" t="s">
        <v>408</v>
      </c>
      <c r="C991" s="394" t="s">
        <v>1274</v>
      </c>
      <c r="D991" s="394" t="s">
        <v>1039</v>
      </c>
      <c r="E991" s="395" t="s">
        <v>4</v>
      </c>
      <c r="F991" s="396" t="s">
        <v>5703</v>
      </c>
      <c r="G991" s="396" t="s">
        <v>781</v>
      </c>
      <c r="H991" s="396" t="s">
        <v>7478</v>
      </c>
      <c r="I991" s="396" t="s">
        <v>781</v>
      </c>
      <c r="J991" s="396" t="s">
        <v>5641</v>
      </c>
      <c r="K991" s="396" t="s">
        <v>781</v>
      </c>
      <c r="L991" s="397">
        <v>4.4647500000000004</v>
      </c>
      <c r="M991" s="396" t="s">
        <v>4599</v>
      </c>
      <c r="N991" s="397">
        <v>580772.02386800002</v>
      </c>
      <c r="O991" s="396" t="s">
        <v>4836</v>
      </c>
    </row>
    <row r="992" spans="1:15" ht="26.4" x14ac:dyDescent="0.4">
      <c r="A992" s="396" t="s">
        <v>3147</v>
      </c>
      <c r="B992" s="394" t="s">
        <v>5902</v>
      </c>
      <c r="C992" s="394" t="s">
        <v>3148</v>
      </c>
      <c r="D992" s="394" t="s">
        <v>1039</v>
      </c>
      <c r="E992" s="395" t="s">
        <v>4</v>
      </c>
      <c r="F992" s="396" t="s">
        <v>5269</v>
      </c>
      <c r="G992" s="396" t="s">
        <v>781</v>
      </c>
      <c r="H992" s="396" t="s">
        <v>5643</v>
      </c>
      <c r="I992" s="396" t="s">
        <v>781</v>
      </c>
      <c r="J992" s="396" t="s">
        <v>5643</v>
      </c>
      <c r="K992" s="396" t="s">
        <v>781</v>
      </c>
      <c r="L992" s="397">
        <v>4.4400000000000004</v>
      </c>
      <c r="M992" s="396" t="s">
        <v>4599</v>
      </c>
      <c r="N992" s="397">
        <v>580776.46386799996</v>
      </c>
      <c r="O992" s="396" t="s">
        <v>4836</v>
      </c>
    </row>
    <row r="993" spans="1:15" ht="26.4" x14ac:dyDescent="0.4">
      <c r="A993" s="396" t="s">
        <v>1098</v>
      </c>
      <c r="B993" s="394" t="s">
        <v>431</v>
      </c>
      <c r="C993" s="394" t="s">
        <v>1099</v>
      </c>
      <c r="D993" s="394" t="s">
        <v>1039</v>
      </c>
      <c r="E993" s="395" t="s">
        <v>4</v>
      </c>
      <c r="F993" s="396" t="s">
        <v>5269</v>
      </c>
      <c r="G993" s="396" t="s">
        <v>781</v>
      </c>
      <c r="H993" s="396" t="s">
        <v>7479</v>
      </c>
      <c r="I993" s="396" t="s">
        <v>781</v>
      </c>
      <c r="J993" s="396" t="s">
        <v>7479</v>
      </c>
      <c r="K993" s="396" t="s">
        <v>781</v>
      </c>
      <c r="L993" s="397">
        <v>4.4000000000000004</v>
      </c>
      <c r="M993" s="396" t="s">
        <v>4599</v>
      </c>
      <c r="N993" s="397">
        <v>580780.86386799999</v>
      </c>
      <c r="O993" s="396" t="s">
        <v>4836</v>
      </c>
    </row>
    <row r="994" spans="1:15" ht="26.4" x14ac:dyDescent="0.4">
      <c r="A994" s="396" t="s">
        <v>4866</v>
      </c>
      <c r="B994" s="394" t="s">
        <v>439</v>
      </c>
      <c r="C994" s="394" t="s">
        <v>4867</v>
      </c>
      <c r="D994" s="394" t="s">
        <v>2381</v>
      </c>
      <c r="E994" s="395" t="s">
        <v>1109</v>
      </c>
      <c r="F994" s="396" t="s">
        <v>7407</v>
      </c>
      <c r="G994" s="396" t="s">
        <v>781</v>
      </c>
      <c r="H994" s="396" t="s">
        <v>7480</v>
      </c>
      <c r="I994" s="396" t="s">
        <v>781</v>
      </c>
      <c r="J994" s="396" t="s">
        <v>7481</v>
      </c>
      <c r="K994" s="396" t="s">
        <v>781</v>
      </c>
      <c r="L994" s="397">
        <v>4.3895857500000002</v>
      </c>
      <c r="M994" s="396" t="s">
        <v>4599</v>
      </c>
      <c r="N994" s="397">
        <v>580785.25345379999</v>
      </c>
      <c r="O994" s="396" t="s">
        <v>4836</v>
      </c>
    </row>
    <row r="995" spans="1:15" ht="26.4" x14ac:dyDescent="0.4">
      <c r="A995" s="396" t="s">
        <v>4868</v>
      </c>
      <c r="B995" s="394" t="s">
        <v>439</v>
      </c>
      <c r="C995" s="394" t="s">
        <v>4869</v>
      </c>
      <c r="D995" s="394" t="s">
        <v>2381</v>
      </c>
      <c r="E995" s="395" t="s">
        <v>1109</v>
      </c>
      <c r="F995" s="396" t="s">
        <v>7407</v>
      </c>
      <c r="G995" s="396" t="s">
        <v>781</v>
      </c>
      <c r="H995" s="396" t="s">
        <v>7480</v>
      </c>
      <c r="I995" s="396" t="s">
        <v>781</v>
      </c>
      <c r="J995" s="396" t="s">
        <v>7481</v>
      </c>
      <c r="K995" s="396" t="s">
        <v>781</v>
      </c>
      <c r="L995" s="397">
        <v>4.3895857500000002</v>
      </c>
      <c r="M995" s="396" t="s">
        <v>4599</v>
      </c>
      <c r="N995" s="397">
        <v>580789.64303959999</v>
      </c>
      <c r="O995" s="396" t="s">
        <v>4836</v>
      </c>
    </row>
    <row r="996" spans="1:15" x14ac:dyDescent="0.4">
      <c r="A996" s="396" t="s">
        <v>7482</v>
      </c>
      <c r="B996" s="394" t="s">
        <v>395</v>
      </c>
      <c r="C996" s="394" t="s">
        <v>7483</v>
      </c>
      <c r="D996" s="394" t="s">
        <v>1039</v>
      </c>
      <c r="E996" s="395" t="s">
        <v>4</v>
      </c>
      <c r="F996" s="396" t="s">
        <v>7484</v>
      </c>
      <c r="G996" s="396" t="s">
        <v>781</v>
      </c>
      <c r="H996" s="396" t="s">
        <v>7485</v>
      </c>
      <c r="I996" s="396" t="s">
        <v>781</v>
      </c>
      <c r="J996" s="396" t="s">
        <v>7223</v>
      </c>
      <c r="K996" s="396" t="s">
        <v>781</v>
      </c>
      <c r="L996" s="397">
        <v>4.33202</v>
      </c>
      <c r="M996" s="396" t="s">
        <v>4599</v>
      </c>
      <c r="N996" s="397">
        <v>580793.97505959996</v>
      </c>
      <c r="O996" s="396" t="s">
        <v>4836</v>
      </c>
    </row>
    <row r="997" spans="1:15" x14ac:dyDescent="0.4">
      <c r="A997" s="396" t="s">
        <v>4848</v>
      </c>
      <c r="B997" s="394" t="s">
        <v>395</v>
      </c>
      <c r="C997" s="394" t="s">
        <v>4849</v>
      </c>
      <c r="D997" s="394" t="s">
        <v>1039</v>
      </c>
      <c r="E997" s="395" t="s">
        <v>7</v>
      </c>
      <c r="F997" s="396" t="s">
        <v>7486</v>
      </c>
      <c r="G997" s="396" t="s">
        <v>781</v>
      </c>
      <c r="H997" s="396" t="s">
        <v>6843</v>
      </c>
      <c r="I997" s="396" t="s">
        <v>781</v>
      </c>
      <c r="J997" s="396" t="s">
        <v>7487</v>
      </c>
      <c r="K997" s="396" t="s">
        <v>781</v>
      </c>
      <c r="L997" s="397">
        <v>4.2962920000000002</v>
      </c>
      <c r="M997" s="396" t="s">
        <v>4599</v>
      </c>
      <c r="N997" s="397">
        <v>580798.27135159995</v>
      </c>
      <c r="O997" s="396" t="s">
        <v>4847</v>
      </c>
    </row>
    <row r="998" spans="1:15" x14ac:dyDescent="0.4">
      <c r="A998" s="396" t="s">
        <v>2442</v>
      </c>
      <c r="B998" s="394" t="s">
        <v>420</v>
      </c>
      <c r="C998" s="394" t="s">
        <v>1828</v>
      </c>
      <c r="D998" s="394" t="s">
        <v>1039</v>
      </c>
      <c r="E998" s="395" t="s">
        <v>437</v>
      </c>
      <c r="F998" s="396" t="s">
        <v>5345</v>
      </c>
      <c r="G998" s="396" t="s">
        <v>781</v>
      </c>
      <c r="H998" s="396" t="s">
        <v>9526</v>
      </c>
      <c r="I998" s="396" t="s">
        <v>781</v>
      </c>
      <c r="J998" s="396" t="s">
        <v>9527</v>
      </c>
      <c r="K998" s="396" t="s">
        <v>781</v>
      </c>
      <c r="L998" s="397">
        <v>4.2839999999999998</v>
      </c>
      <c r="M998" s="396" t="s">
        <v>4599</v>
      </c>
      <c r="N998" s="397">
        <v>580802.55535160005</v>
      </c>
      <c r="O998" s="396" t="s">
        <v>4847</v>
      </c>
    </row>
    <row r="999" spans="1:15" x14ac:dyDescent="0.4">
      <c r="A999" s="396" t="s">
        <v>1275</v>
      </c>
      <c r="B999" s="394" t="s">
        <v>408</v>
      </c>
      <c r="C999" s="394" t="s">
        <v>1276</v>
      </c>
      <c r="D999" s="394" t="s">
        <v>1039</v>
      </c>
      <c r="E999" s="395" t="s">
        <v>4</v>
      </c>
      <c r="F999" s="396" t="s">
        <v>5612</v>
      </c>
      <c r="G999" s="396" t="s">
        <v>781</v>
      </c>
      <c r="H999" s="396" t="s">
        <v>7488</v>
      </c>
      <c r="I999" s="396" t="s">
        <v>781</v>
      </c>
      <c r="J999" s="396" t="s">
        <v>7449</v>
      </c>
      <c r="K999" s="396" t="s">
        <v>781</v>
      </c>
      <c r="L999" s="397">
        <v>4.1850800000000001</v>
      </c>
      <c r="M999" s="396" t="s">
        <v>4599</v>
      </c>
      <c r="N999" s="397">
        <v>580806.74043160002</v>
      </c>
      <c r="O999" s="396" t="s">
        <v>4847</v>
      </c>
    </row>
    <row r="1000" spans="1:15" x14ac:dyDescent="0.4">
      <c r="A1000" s="396" t="s">
        <v>3171</v>
      </c>
      <c r="B1000" s="394" t="s">
        <v>575</v>
      </c>
      <c r="C1000" s="394" t="s">
        <v>3172</v>
      </c>
      <c r="D1000" s="394" t="s">
        <v>1039</v>
      </c>
      <c r="E1000" s="395" t="s">
        <v>4</v>
      </c>
      <c r="F1000" s="396" t="s">
        <v>5269</v>
      </c>
      <c r="G1000" s="396" t="s">
        <v>781</v>
      </c>
      <c r="H1000" s="396" t="s">
        <v>9528</v>
      </c>
      <c r="I1000" s="396" t="s">
        <v>781</v>
      </c>
      <c r="J1000" s="396" t="s">
        <v>9528</v>
      </c>
      <c r="K1000" s="396" t="s">
        <v>781</v>
      </c>
      <c r="L1000" s="397">
        <v>4.13</v>
      </c>
      <c r="M1000" s="396" t="s">
        <v>4599</v>
      </c>
      <c r="N1000" s="397">
        <v>580810.87043160002</v>
      </c>
      <c r="O1000" s="396" t="s">
        <v>4847</v>
      </c>
    </row>
    <row r="1001" spans="1:15" ht="26.4" x14ac:dyDescent="0.4">
      <c r="A1001" s="396" t="s">
        <v>1306</v>
      </c>
      <c r="B1001" s="394" t="s">
        <v>395</v>
      </c>
      <c r="C1001" s="394" t="s">
        <v>309</v>
      </c>
      <c r="D1001" s="394" t="s">
        <v>1039</v>
      </c>
      <c r="E1001" s="395" t="s">
        <v>7</v>
      </c>
      <c r="F1001" s="396" t="s">
        <v>5648</v>
      </c>
      <c r="G1001" s="396" t="s">
        <v>781</v>
      </c>
      <c r="H1001" s="396" t="s">
        <v>7489</v>
      </c>
      <c r="I1001" s="396" t="s">
        <v>781</v>
      </c>
      <c r="J1001" s="396" t="s">
        <v>7490</v>
      </c>
      <c r="K1001" s="396" t="s">
        <v>781</v>
      </c>
      <c r="L1001" s="397">
        <v>4.0862499999999997</v>
      </c>
      <c r="M1001" s="396" t="s">
        <v>4599</v>
      </c>
      <c r="N1001" s="397">
        <v>580814.95668159996</v>
      </c>
      <c r="O1001" s="396" t="s">
        <v>4847</v>
      </c>
    </row>
    <row r="1002" spans="1:15" ht="26.4" x14ac:dyDescent="0.4">
      <c r="A1002" s="396" t="s">
        <v>3242</v>
      </c>
      <c r="B1002" s="394" t="s">
        <v>5902</v>
      </c>
      <c r="C1002" s="394" t="s">
        <v>3243</v>
      </c>
      <c r="D1002" s="394" t="s">
        <v>1039</v>
      </c>
      <c r="E1002" s="395" t="s">
        <v>8</v>
      </c>
      <c r="F1002" s="396" t="s">
        <v>5617</v>
      </c>
      <c r="G1002" s="396" t="s">
        <v>781</v>
      </c>
      <c r="H1002" s="396" t="s">
        <v>7491</v>
      </c>
      <c r="I1002" s="396" t="s">
        <v>781</v>
      </c>
      <c r="J1002" s="396" t="s">
        <v>7475</v>
      </c>
      <c r="K1002" s="396" t="s">
        <v>781</v>
      </c>
      <c r="L1002" s="397">
        <v>4.08</v>
      </c>
      <c r="M1002" s="396" t="s">
        <v>4599</v>
      </c>
      <c r="N1002" s="397">
        <v>580819.03668160003</v>
      </c>
      <c r="O1002" s="396" t="s">
        <v>4847</v>
      </c>
    </row>
    <row r="1003" spans="1:15" ht="26.4" x14ac:dyDescent="0.4">
      <c r="A1003" s="396" t="s">
        <v>4361</v>
      </c>
      <c r="B1003" s="394" t="s">
        <v>395</v>
      </c>
      <c r="C1003" s="394" t="s">
        <v>4362</v>
      </c>
      <c r="D1003" s="394" t="s">
        <v>1317</v>
      </c>
      <c r="E1003" s="395" t="s">
        <v>6</v>
      </c>
      <c r="F1003" s="396" t="s">
        <v>7492</v>
      </c>
      <c r="G1003" s="396" t="s">
        <v>781</v>
      </c>
      <c r="H1003" s="396" t="s">
        <v>5826</v>
      </c>
      <c r="I1003" s="396" t="s">
        <v>781</v>
      </c>
      <c r="J1003" s="396" t="s">
        <v>7493</v>
      </c>
      <c r="K1003" s="396" t="s">
        <v>781</v>
      </c>
      <c r="L1003" s="397">
        <v>4.0632021780000001</v>
      </c>
      <c r="M1003" s="396" t="s">
        <v>4599</v>
      </c>
      <c r="N1003" s="397">
        <v>580823.09988380002</v>
      </c>
      <c r="O1003" s="396" t="s">
        <v>4847</v>
      </c>
    </row>
    <row r="1004" spans="1:15" ht="26.4" x14ac:dyDescent="0.4">
      <c r="A1004" s="396" t="s">
        <v>4864</v>
      </c>
      <c r="B1004" s="394" t="s">
        <v>395</v>
      </c>
      <c r="C1004" s="394" t="s">
        <v>4865</v>
      </c>
      <c r="D1004" s="394" t="s">
        <v>1039</v>
      </c>
      <c r="E1004" s="395" t="s">
        <v>4</v>
      </c>
      <c r="F1004" s="396" t="s">
        <v>5269</v>
      </c>
      <c r="G1004" s="396" t="s">
        <v>781</v>
      </c>
      <c r="H1004" s="396" t="s">
        <v>7494</v>
      </c>
      <c r="I1004" s="396" t="s">
        <v>781</v>
      </c>
      <c r="J1004" s="396" t="s">
        <v>7494</v>
      </c>
      <c r="K1004" s="396" t="s">
        <v>781</v>
      </c>
      <c r="L1004" s="397">
        <v>4.04</v>
      </c>
      <c r="M1004" s="396" t="s">
        <v>4599</v>
      </c>
      <c r="N1004" s="397">
        <v>580827.13988379994</v>
      </c>
      <c r="O1004" s="396" t="s">
        <v>4847</v>
      </c>
    </row>
    <row r="1005" spans="1:15" ht="26.4" x14ac:dyDescent="0.4">
      <c r="A1005" s="396" t="s">
        <v>3025</v>
      </c>
      <c r="B1005" s="394" t="s">
        <v>395</v>
      </c>
      <c r="C1005" s="394" t="s">
        <v>3026</v>
      </c>
      <c r="D1005" s="394" t="s">
        <v>1039</v>
      </c>
      <c r="E1005" s="395" t="s">
        <v>4</v>
      </c>
      <c r="F1005" s="396" t="s">
        <v>5269</v>
      </c>
      <c r="G1005" s="396" t="s">
        <v>781</v>
      </c>
      <c r="H1005" s="396" t="s">
        <v>7495</v>
      </c>
      <c r="I1005" s="396" t="s">
        <v>781</v>
      </c>
      <c r="J1005" s="396" t="s">
        <v>7495</v>
      </c>
      <c r="K1005" s="396" t="s">
        <v>781</v>
      </c>
      <c r="L1005" s="397">
        <v>4.0199999999999996</v>
      </c>
      <c r="M1005" s="396" t="s">
        <v>4599</v>
      </c>
      <c r="N1005" s="397">
        <v>580831.15988379996</v>
      </c>
      <c r="O1005" s="396" t="s">
        <v>4847</v>
      </c>
    </row>
    <row r="1006" spans="1:15" x14ac:dyDescent="0.4">
      <c r="A1006" s="396" t="s">
        <v>1451</v>
      </c>
      <c r="B1006" s="394" t="s">
        <v>408</v>
      </c>
      <c r="C1006" s="394" t="s">
        <v>1452</v>
      </c>
      <c r="D1006" s="394" t="s">
        <v>1039</v>
      </c>
      <c r="E1006" s="395" t="s">
        <v>4</v>
      </c>
      <c r="F1006" s="396" t="s">
        <v>5305</v>
      </c>
      <c r="G1006" s="396" t="s">
        <v>781</v>
      </c>
      <c r="H1006" s="396" t="s">
        <v>5295</v>
      </c>
      <c r="I1006" s="396" t="s">
        <v>781</v>
      </c>
      <c r="J1006" s="396" t="s">
        <v>5394</v>
      </c>
      <c r="K1006" s="396" t="s">
        <v>781</v>
      </c>
      <c r="L1006" s="397">
        <v>4</v>
      </c>
      <c r="M1006" s="396" t="s">
        <v>4599</v>
      </c>
      <c r="N1006" s="397">
        <v>580835.15988379996</v>
      </c>
      <c r="O1006" s="396" t="s">
        <v>4847</v>
      </c>
    </row>
    <row r="1007" spans="1:15" ht="26.4" x14ac:dyDescent="0.4">
      <c r="A1007" s="396" t="s">
        <v>4885</v>
      </c>
      <c r="B1007" s="394" t="s">
        <v>395</v>
      </c>
      <c r="C1007" s="394" t="s">
        <v>4886</v>
      </c>
      <c r="D1007" s="394" t="s">
        <v>1039</v>
      </c>
      <c r="E1007" s="395" t="s">
        <v>7</v>
      </c>
      <c r="F1007" s="396" t="s">
        <v>7496</v>
      </c>
      <c r="G1007" s="396" t="s">
        <v>781</v>
      </c>
      <c r="H1007" s="396" t="s">
        <v>5510</v>
      </c>
      <c r="I1007" s="396" t="s">
        <v>781</v>
      </c>
      <c r="J1007" s="396" t="s">
        <v>7497</v>
      </c>
      <c r="K1007" s="396" t="s">
        <v>781</v>
      </c>
      <c r="L1007" s="397">
        <v>3.9846555929999998</v>
      </c>
      <c r="M1007" s="396" t="s">
        <v>4599</v>
      </c>
      <c r="N1007" s="397">
        <v>580839.1445394</v>
      </c>
      <c r="O1007" s="396" t="s">
        <v>4847</v>
      </c>
    </row>
    <row r="1008" spans="1:15" ht="26.4" x14ac:dyDescent="0.4">
      <c r="A1008" s="396" t="s">
        <v>4823</v>
      </c>
      <c r="B1008" s="394" t="s">
        <v>395</v>
      </c>
      <c r="C1008" s="394" t="s">
        <v>4824</v>
      </c>
      <c r="D1008" s="394" t="s">
        <v>1039</v>
      </c>
      <c r="E1008" s="395" t="s">
        <v>4</v>
      </c>
      <c r="F1008" s="396" t="s">
        <v>5269</v>
      </c>
      <c r="G1008" s="396" t="s">
        <v>781</v>
      </c>
      <c r="H1008" s="396" t="s">
        <v>7498</v>
      </c>
      <c r="I1008" s="396" t="s">
        <v>781</v>
      </c>
      <c r="J1008" s="396" t="s">
        <v>7498</v>
      </c>
      <c r="K1008" s="396" t="s">
        <v>781</v>
      </c>
      <c r="L1008" s="397">
        <v>3.95</v>
      </c>
      <c r="M1008" s="396" t="s">
        <v>4599</v>
      </c>
      <c r="N1008" s="397">
        <v>580843.09453939996</v>
      </c>
      <c r="O1008" s="396" t="s">
        <v>4847</v>
      </c>
    </row>
    <row r="1009" spans="1:15" x14ac:dyDescent="0.4">
      <c r="A1009" s="396" t="s">
        <v>4845</v>
      </c>
      <c r="B1009" s="394" t="s">
        <v>408</v>
      </c>
      <c r="C1009" s="394" t="s">
        <v>4846</v>
      </c>
      <c r="D1009" s="394" t="s">
        <v>1039</v>
      </c>
      <c r="E1009" s="395" t="s">
        <v>4</v>
      </c>
      <c r="F1009" s="396" t="s">
        <v>5269</v>
      </c>
      <c r="G1009" s="396" t="s">
        <v>781</v>
      </c>
      <c r="H1009" s="396" t="s">
        <v>7498</v>
      </c>
      <c r="I1009" s="396" t="s">
        <v>781</v>
      </c>
      <c r="J1009" s="396" t="s">
        <v>7498</v>
      </c>
      <c r="K1009" s="396" t="s">
        <v>781</v>
      </c>
      <c r="L1009" s="397">
        <v>3.95</v>
      </c>
      <c r="M1009" s="396" t="s">
        <v>4599</v>
      </c>
      <c r="N1009" s="397">
        <v>580847.04453940003</v>
      </c>
      <c r="O1009" s="396" t="s">
        <v>4847</v>
      </c>
    </row>
    <row r="1010" spans="1:15" ht="26.4" x14ac:dyDescent="0.4">
      <c r="A1010" s="396" t="s">
        <v>4856</v>
      </c>
      <c r="B1010" s="394" t="s">
        <v>395</v>
      </c>
      <c r="C1010" s="394" t="s">
        <v>4857</v>
      </c>
      <c r="D1010" s="394" t="s">
        <v>1039</v>
      </c>
      <c r="E1010" s="395" t="s">
        <v>4</v>
      </c>
      <c r="F1010" s="396" t="s">
        <v>5269</v>
      </c>
      <c r="G1010" s="396" t="s">
        <v>781</v>
      </c>
      <c r="H1010" s="396" t="s">
        <v>7499</v>
      </c>
      <c r="I1010" s="396" t="s">
        <v>781</v>
      </c>
      <c r="J1010" s="396" t="s">
        <v>7499</v>
      </c>
      <c r="K1010" s="396" t="s">
        <v>781</v>
      </c>
      <c r="L1010" s="397">
        <v>3.92</v>
      </c>
      <c r="M1010" s="396" t="s">
        <v>4599</v>
      </c>
      <c r="N1010" s="397">
        <v>580850.96453939995</v>
      </c>
      <c r="O1010" s="396" t="s">
        <v>4847</v>
      </c>
    </row>
    <row r="1011" spans="1:15" ht="26.4" x14ac:dyDescent="0.4">
      <c r="A1011" s="396" t="s">
        <v>4887</v>
      </c>
      <c r="B1011" s="394" t="s">
        <v>439</v>
      </c>
      <c r="C1011" s="394" t="s">
        <v>4888</v>
      </c>
      <c r="D1011" s="394" t="s">
        <v>2381</v>
      </c>
      <c r="E1011" s="395" t="s">
        <v>1109</v>
      </c>
      <c r="F1011" s="396" t="s">
        <v>5412</v>
      </c>
      <c r="G1011" s="396" t="s">
        <v>781</v>
      </c>
      <c r="H1011" s="396" t="s">
        <v>5725</v>
      </c>
      <c r="I1011" s="396" t="s">
        <v>781</v>
      </c>
      <c r="J1011" s="396" t="s">
        <v>5653</v>
      </c>
      <c r="K1011" s="396" t="s">
        <v>781</v>
      </c>
      <c r="L1011" s="397">
        <v>3.8575831350000001</v>
      </c>
      <c r="M1011" s="396" t="s">
        <v>4599</v>
      </c>
      <c r="N1011" s="397">
        <v>580854.82212250005</v>
      </c>
      <c r="O1011" s="396" t="s">
        <v>4863</v>
      </c>
    </row>
    <row r="1012" spans="1:15" ht="39.6" x14ac:dyDescent="0.4">
      <c r="A1012" s="396" t="s">
        <v>1172</v>
      </c>
      <c r="B1012" s="394" t="s">
        <v>5902</v>
      </c>
      <c r="C1012" s="394" t="s">
        <v>1173</v>
      </c>
      <c r="D1012" s="394" t="s">
        <v>1039</v>
      </c>
      <c r="E1012" s="395" t="s">
        <v>4</v>
      </c>
      <c r="F1012" s="396" t="s">
        <v>5624</v>
      </c>
      <c r="G1012" s="396" t="s">
        <v>781</v>
      </c>
      <c r="H1012" s="396" t="s">
        <v>5620</v>
      </c>
      <c r="I1012" s="396" t="s">
        <v>781</v>
      </c>
      <c r="J1012" s="396" t="s">
        <v>7500</v>
      </c>
      <c r="K1012" s="396" t="s">
        <v>781</v>
      </c>
      <c r="L1012" s="397">
        <v>3.8220000000000001</v>
      </c>
      <c r="M1012" s="396" t="s">
        <v>4599</v>
      </c>
      <c r="N1012" s="397">
        <v>580858.64412249997</v>
      </c>
      <c r="O1012" s="396" t="s">
        <v>4863</v>
      </c>
    </row>
    <row r="1013" spans="1:15" x14ac:dyDescent="0.4">
      <c r="A1013" s="396" t="s">
        <v>4850</v>
      </c>
      <c r="B1013" s="394" t="s">
        <v>420</v>
      </c>
      <c r="C1013" s="394" t="s">
        <v>4851</v>
      </c>
      <c r="D1013" s="394" t="s">
        <v>1039</v>
      </c>
      <c r="E1013" s="395" t="s">
        <v>422</v>
      </c>
      <c r="F1013" s="396" t="s">
        <v>5651</v>
      </c>
      <c r="G1013" s="396" t="s">
        <v>781</v>
      </c>
      <c r="H1013" s="396" t="s">
        <v>9529</v>
      </c>
      <c r="I1013" s="396" t="s">
        <v>781</v>
      </c>
      <c r="J1013" s="396" t="s">
        <v>7500</v>
      </c>
      <c r="K1013" s="396" t="s">
        <v>781</v>
      </c>
      <c r="L1013" s="397">
        <v>3.82179168</v>
      </c>
      <c r="M1013" s="396" t="s">
        <v>4599</v>
      </c>
      <c r="N1013" s="397">
        <v>580862.46591419994</v>
      </c>
      <c r="O1013" s="396" t="s">
        <v>4863</v>
      </c>
    </row>
    <row r="1014" spans="1:15" ht="26.4" x14ac:dyDescent="0.4">
      <c r="A1014" s="396" t="s">
        <v>4852</v>
      </c>
      <c r="B1014" s="394" t="s">
        <v>395</v>
      </c>
      <c r="C1014" s="394" t="s">
        <v>4853</v>
      </c>
      <c r="D1014" s="394" t="s">
        <v>1317</v>
      </c>
      <c r="E1014" s="395" t="s">
        <v>4</v>
      </c>
      <c r="F1014" s="396" t="s">
        <v>7501</v>
      </c>
      <c r="G1014" s="396" t="s">
        <v>781</v>
      </c>
      <c r="H1014" s="396" t="s">
        <v>7502</v>
      </c>
      <c r="I1014" s="396" t="s">
        <v>781</v>
      </c>
      <c r="J1014" s="396" t="s">
        <v>7500</v>
      </c>
      <c r="K1014" s="396" t="s">
        <v>781</v>
      </c>
      <c r="L1014" s="397">
        <v>3.8205</v>
      </c>
      <c r="M1014" s="396" t="s">
        <v>4599</v>
      </c>
      <c r="N1014" s="397">
        <v>580866.28641419997</v>
      </c>
      <c r="O1014" s="396" t="s">
        <v>4863</v>
      </c>
    </row>
    <row r="1015" spans="1:15" ht="26.4" x14ac:dyDescent="0.4">
      <c r="A1015" s="396" t="s">
        <v>4826</v>
      </c>
      <c r="B1015" s="394" t="s">
        <v>395</v>
      </c>
      <c r="C1015" s="394" t="s">
        <v>4827</v>
      </c>
      <c r="D1015" s="394" t="s">
        <v>1039</v>
      </c>
      <c r="E1015" s="395" t="s">
        <v>4</v>
      </c>
      <c r="F1015" s="396" t="s">
        <v>5284</v>
      </c>
      <c r="G1015" s="396" t="s">
        <v>781</v>
      </c>
      <c r="H1015" s="396" t="s">
        <v>5324</v>
      </c>
      <c r="I1015" s="396" t="s">
        <v>781</v>
      </c>
      <c r="J1015" s="396" t="s">
        <v>7504</v>
      </c>
      <c r="K1015" s="396" t="s">
        <v>781</v>
      </c>
      <c r="L1015" s="397">
        <v>3.78</v>
      </c>
      <c r="M1015" s="396" t="s">
        <v>4599</v>
      </c>
      <c r="N1015" s="397">
        <v>580870.0664142</v>
      </c>
      <c r="O1015" s="396" t="s">
        <v>4863</v>
      </c>
    </row>
    <row r="1016" spans="1:15" ht="26.4" x14ac:dyDescent="0.4">
      <c r="A1016" s="396" t="s">
        <v>2446</v>
      </c>
      <c r="B1016" s="394" t="s">
        <v>484</v>
      </c>
      <c r="C1016" s="394" t="s">
        <v>2447</v>
      </c>
      <c r="D1016" s="394" t="s">
        <v>1039</v>
      </c>
      <c r="E1016" s="395" t="s">
        <v>422</v>
      </c>
      <c r="F1016" s="396" t="s">
        <v>5269</v>
      </c>
      <c r="G1016" s="396" t="s">
        <v>781</v>
      </c>
      <c r="H1016" s="396" t="s">
        <v>7504</v>
      </c>
      <c r="I1016" s="396" t="s">
        <v>781</v>
      </c>
      <c r="J1016" s="396" t="s">
        <v>7504</v>
      </c>
      <c r="K1016" s="396" t="s">
        <v>781</v>
      </c>
      <c r="L1016" s="397">
        <v>3.78</v>
      </c>
      <c r="M1016" s="396" t="s">
        <v>4599</v>
      </c>
      <c r="N1016" s="397">
        <v>580873.84641420003</v>
      </c>
      <c r="O1016" s="396" t="s">
        <v>4863</v>
      </c>
    </row>
    <row r="1017" spans="1:15" ht="39.6" x14ac:dyDescent="0.4">
      <c r="A1017" s="396" t="s">
        <v>4858</v>
      </c>
      <c r="B1017" s="394" t="s">
        <v>395</v>
      </c>
      <c r="C1017" s="394" t="s">
        <v>4859</v>
      </c>
      <c r="D1017" s="394" t="s">
        <v>1039</v>
      </c>
      <c r="E1017" s="395" t="s">
        <v>7</v>
      </c>
      <c r="F1017" s="396" t="s">
        <v>7448</v>
      </c>
      <c r="G1017" s="396" t="s">
        <v>781</v>
      </c>
      <c r="H1017" s="396" t="s">
        <v>5671</v>
      </c>
      <c r="I1017" s="396" t="s">
        <v>781</v>
      </c>
      <c r="J1017" s="396" t="s">
        <v>5650</v>
      </c>
      <c r="K1017" s="396" t="s">
        <v>781</v>
      </c>
      <c r="L1017" s="397">
        <v>3.7302</v>
      </c>
      <c r="M1017" s="396" t="s">
        <v>4599</v>
      </c>
      <c r="N1017" s="397">
        <v>580877.57661420002</v>
      </c>
      <c r="O1017" s="396" t="s">
        <v>4863</v>
      </c>
    </row>
    <row r="1018" spans="1:15" x14ac:dyDescent="0.4">
      <c r="A1018" s="396" t="s">
        <v>7505</v>
      </c>
      <c r="B1018" s="394" t="s">
        <v>408</v>
      </c>
      <c r="C1018" s="394" t="s">
        <v>7506</v>
      </c>
      <c r="D1018" s="394" t="s">
        <v>1039</v>
      </c>
      <c r="E1018" s="395" t="s">
        <v>4</v>
      </c>
      <c r="F1018" s="396" t="s">
        <v>7507</v>
      </c>
      <c r="G1018" s="396" t="s">
        <v>781</v>
      </c>
      <c r="H1018" s="396" t="s">
        <v>5809</v>
      </c>
      <c r="I1018" s="396" t="s">
        <v>781</v>
      </c>
      <c r="J1018" s="396" t="s">
        <v>7508</v>
      </c>
      <c r="K1018" s="396" t="s">
        <v>781</v>
      </c>
      <c r="L1018" s="397">
        <v>3.7</v>
      </c>
      <c r="M1018" s="396" t="s">
        <v>4599</v>
      </c>
      <c r="N1018" s="397">
        <v>580881.27661419997</v>
      </c>
      <c r="O1018" s="396" t="s">
        <v>4863</v>
      </c>
    </row>
    <row r="1019" spans="1:15" x14ac:dyDescent="0.4">
      <c r="A1019" s="396" t="s">
        <v>7509</v>
      </c>
      <c r="B1019" s="394" t="s">
        <v>408</v>
      </c>
      <c r="C1019" s="394" t="s">
        <v>7510</v>
      </c>
      <c r="D1019" s="394" t="s">
        <v>1039</v>
      </c>
      <c r="E1019" s="395" t="s">
        <v>4</v>
      </c>
      <c r="F1019" s="396" t="s">
        <v>5305</v>
      </c>
      <c r="G1019" s="396" t="s">
        <v>781</v>
      </c>
      <c r="H1019" s="396" t="s">
        <v>7511</v>
      </c>
      <c r="I1019" s="396" t="s">
        <v>781</v>
      </c>
      <c r="J1019" s="396" t="s">
        <v>5655</v>
      </c>
      <c r="K1019" s="396" t="s">
        <v>781</v>
      </c>
      <c r="L1019" s="397">
        <v>3.68</v>
      </c>
      <c r="M1019" s="396" t="s">
        <v>4599</v>
      </c>
      <c r="N1019" s="397">
        <v>580884.95661420003</v>
      </c>
      <c r="O1019" s="396" t="s">
        <v>4863</v>
      </c>
    </row>
    <row r="1020" spans="1:15" x14ac:dyDescent="0.4">
      <c r="A1020" s="396" t="s">
        <v>2420</v>
      </c>
      <c r="B1020" s="394" t="s">
        <v>408</v>
      </c>
      <c r="C1020" s="394" t="s">
        <v>2421</v>
      </c>
      <c r="D1020" s="394" t="s">
        <v>1039</v>
      </c>
      <c r="E1020" s="395" t="s">
        <v>4</v>
      </c>
      <c r="F1020" s="396" t="s">
        <v>5617</v>
      </c>
      <c r="G1020" s="396" t="s">
        <v>781</v>
      </c>
      <c r="H1020" s="396" t="s">
        <v>7514</v>
      </c>
      <c r="I1020" s="396" t="s">
        <v>781</v>
      </c>
      <c r="J1020" s="396" t="s">
        <v>5656</v>
      </c>
      <c r="K1020" s="396" t="s">
        <v>781</v>
      </c>
      <c r="L1020" s="397">
        <v>3.6</v>
      </c>
      <c r="M1020" s="396" t="s">
        <v>4599</v>
      </c>
      <c r="N1020" s="397">
        <v>580888.5566142</v>
      </c>
      <c r="O1020" s="396" t="s">
        <v>4863</v>
      </c>
    </row>
    <row r="1021" spans="1:15" ht="26.4" x14ac:dyDescent="0.4">
      <c r="A1021" s="396" t="s">
        <v>9530</v>
      </c>
      <c r="B1021" s="394" t="s">
        <v>5902</v>
      </c>
      <c r="C1021" s="394" t="s">
        <v>9531</v>
      </c>
      <c r="D1021" s="394" t="s">
        <v>1039</v>
      </c>
      <c r="E1021" s="395" t="s">
        <v>713</v>
      </c>
      <c r="F1021" s="396" t="s">
        <v>5735</v>
      </c>
      <c r="G1021" s="396" t="s">
        <v>781</v>
      </c>
      <c r="H1021" s="396" t="s">
        <v>9532</v>
      </c>
      <c r="I1021" s="396" t="s">
        <v>781</v>
      </c>
      <c r="J1021" s="396" t="s">
        <v>9533</v>
      </c>
      <c r="K1021" s="396" t="s">
        <v>781</v>
      </c>
      <c r="L1021" s="397">
        <v>3.5779999999999998</v>
      </c>
      <c r="M1021" s="396" t="s">
        <v>4599</v>
      </c>
      <c r="N1021" s="397">
        <v>580892.13461419998</v>
      </c>
      <c r="O1021" s="396" t="s">
        <v>4863</v>
      </c>
    </row>
    <row r="1022" spans="1:15" ht="26.4" x14ac:dyDescent="0.4">
      <c r="A1022" s="396" t="s">
        <v>4364</v>
      </c>
      <c r="B1022" s="394" t="s">
        <v>395</v>
      </c>
      <c r="C1022" s="394" t="s">
        <v>4365</v>
      </c>
      <c r="D1022" s="394" t="s">
        <v>1317</v>
      </c>
      <c r="E1022" s="395" t="s">
        <v>6</v>
      </c>
      <c r="F1022" s="396" t="s">
        <v>7492</v>
      </c>
      <c r="G1022" s="396" t="s">
        <v>781</v>
      </c>
      <c r="H1022" s="396" t="s">
        <v>5626</v>
      </c>
      <c r="I1022" s="396" t="s">
        <v>781</v>
      </c>
      <c r="J1022" s="396" t="s">
        <v>5658</v>
      </c>
      <c r="K1022" s="396" t="s">
        <v>781</v>
      </c>
      <c r="L1022" s="397">
        <v>3.5576424599999998</v>
      </c>
      <c r="M1022" s="396" t="s">
        <v>4599</v>
      </c>
      <c r="N1022" s="397">
        <v>580895.69225670001</v>
      </c>
      <c r="O1022" s="396" t="s">
        <v>4863</v>
      </c>
    </row>
    <row r="1023" spans="1:15" ht="26.4" x14ac:dyDescent="0.4">
      <c r="A1023" s="396" t="s">
        <v>4879</v>
      </c>
      <c r="B1023" s="394" t="s">
        <v>395</v>
      </c>
      <c r="C1023" s="394" t="s">
        <v>4880</v>
      </c>
      <c r="D1023" s="394" t="s">
        <v>1039</v>
      </c>
      <c r="E1023" s="395" t="s">
        <v>4</v>
      </c>
      <c r="F1023" s="396" t="s">
        <v>5269</v>
      </c>
      <c r="G1023" s="396" t="s">
        <v>781</v>
      </c>
      <c r="H1023" s="396" t="s">
        <v>5457</v>
      </c>
      <c r="I1023" s="396" t="s">
        <v>781</v>
      </c>
      <c r="J1023" s="396" t="s">
        <v>5457</v>
      </c>
      <c r="K1023" s="396" t="s">
        <v>781</v>
      </c>
      <c r="L1023" s="397">
        <v>3.52</v>
      </c>
      <c r="M1023" s="396" t="s">
        <v>4599</v>
      </c>
      <c r="N1023" s="397">
        <v>580899.21225670003</v>
      </c>
      <c r="O1023" s="396" t="s">
        <v>4863</v>
      </c>
    </row>
    <row r="1024" spans="1:15" x14ac:dyDescent="0.4">
      <c r="A1024" s="396" t="s">
        <v>1529</v>
      </c>
      <c r="B1024" s="394" t="s">
        <v>420</v>
      </c>
      <c r="C1024" s="394" t="s">
        <v>4884</v>
      </c>
      <c r="D1024" s="394" t="s">
        <v>1053</v>
      </c>
      <c r="E1024" s="395" t="s">
        <v>1070</v>
      </c>
      <c r="F1024" s="396" t="s">
        <v>5665</v>
      </c>
      <c r="G1024" s="396" t="s">
        <v>781</v>
      </c>
      <c r="H1024" s="396" t="s">
        <v>6254</v>
      </c>
      <c r="I1024" s="396" t="s">
        <v>781</v>
      </c>
      <c r="J1024" s="396" t="s">
        <v>6796</v>
      </c>
      <c r="K1024" s="396" t="s">
        <v>781</v>
      </c>
      <c r="L1024" s="397">
        <v>3.5077500000000001</v>
      </c>
      <c r="M1024" s="396" t="s">
        <v>4599</v>
      </c>
      <c r="N1024" s="397">
        <v>580902.72000670002</v>
      </c>
      <c r="O1024" s="396" t="s">
        <v>4863</v>
      </c>
    </row>
    <row r="1025" spans="1:15" x14ac:dyDescent="0.4">
      <c r="A1025" s="396" t="s">
        <v>1333</v>
      </c>
      <c r="B1025" s="394" t="s">
        <v>408</v>
      </c>
      <c r="C1025" s="394" t="s">
        <v>1334</v>
      </c>
      <c r="D1025" s="394" t="s">
        <v>1039</v>
      </c>
      <c r="E1025" s="395" t="s">
        <v>1332</v>
      </c>
      <c r="F1025" s="396" t="s">
        <v>5467</v>
      </c>
      <c r="G1025" s="396" t="s">
        <v>781</v>
      </c>
      <c r="H1025" s="396" t="s">
        <v>5752</v>
      </c>
      <c r="I1025" s="396" t="s">
        <v>781</v>
      </c>
      <c r="J1025" s="396" t="s">
        <v>7517</v>
      </c>
      <c r="K1025" s="396" t="s">
        <v>781</v>
      </c>
      <c r="L1025" s="397">
        <v>3.4390000000000001</v>
      </c>
      <c r="M1025" s="396" t="s">
        <v>4599</v>
      </c>
      <c r="N1025" s="397">
        <v>580906.15900670004</v>
      </c>
      <c r="O1025" s="396" t="s">
        <v>4863</v>
      </c>
    </row>
    <row r="1026" spans="1:15" x14ac:dyDescent="0.4">
      <c r="A1026" s="396" t="s">
        <v>1140</v>
      </c>
      <c r="B1026" s="394" t="s">
        <v>455</v>
      </c>
      <c r="C1026" s="394" t="s">
        <v>1093</v>
      </c>
      <c r="D1026" s="394" t="s">
        <v>1053</v>
      </c>
      <c r="E1026" s="395" t="s">
        <v>6</v>
      </c>
      <c r="F1026" s="396" t="s">
        <v>5673</v>
      </c>
      <c r="G1026" s="396" t="s">
        <v>781</v>
      </c>
      <c r="H1026" s="396" t="s">
        <v>7518</v>
      </c>
      <c r="I1026" s="396" t="s">
        <v>781</v>
      </c>
      <c r="J1026" s="396" t="s">
        <v>7519</v>
      </c>
      <c r="K1026" s="396" t="s">
        <v>781</v>
      </c>
      <c r="L1026" s="397">
        <v>3.4127999999999998</v>
      </c>
      <c r="M1026" s="396" t="s">
        <v>4599</v>
      </c>
      <c r="N1026" s="397">
        <v>580909.57180669997</v>
      </c>
      <c r="O1026" s="396" t="s">
        <v>4863</v>
      </c>
    </row>
    <row r="1027" spans="1:15" ht="26.4" x14ac:dyDescent="0.4">
      <c r="A1027" s="396" t="s">
        <v>7520</v>
      </c>
      <c r="B1027" s="394" t="s">
        <v>420</v>
      </c>
      <c r="C1027" s="394" t="s">
        <v>7521</v>
      </c>
      <c r="D1027" s="394" t="s">
        <v>1039</v>
      </c>
      <c r="E1027" s="395" t="s">
        <v>422</v>
      </c>
      <c r="F1027" s="396" t="s">
        <v>5631</v>
      </c>
      <c r="G1027" s="396" t="s">
        <v>781</v>
      </c>
      <c r="H1027" s="396" t="s">
        <v>7522</v>
      </c>
      <c r="I1027" s="396" t="s">
        <v>781</v>
      </c>
      <c r="J1027" s="396" t="s">
        <v>5663</v>
      </c>
      <c r="K1027" s="396" t="s">
        <v>781</v>
      </c>
      <c r="L1027" s="397">
        <v>3.37828975</v>
      </c>
      <c r="M1027" s="396" t="s">
        <v>4599</v>
      </c>
      <c r="N1027" s="397">
        <v>580912.95009649999</v>
      </c>
      <c r="O1027" s="396" t="s">
        <v>4881</v>
      </c>
    </row>
    <row r="1028" spans="1:15" ht="26.4" x14ac:dyDescent="0.4">
      <c r="A1028" s="396" t="s">
        <v>7512</v>
      </c>
      <c r="B1028" s="394" t="s">
        <v>420</v>
      </c>
      <c r="C1028" s="394" t="s">
        <v>7513</v>
      </c>
      <c r="D1028" s="394" t="s">
        <v>1039</v>
      </c>
      <c r="E1028" s="395" t="s">
        <v>422</v>
      </c>
      <c r="F1028" s="396" t="s">
        <v>5269</v>
      </c>
      <c r="G1028" s="396" t="s">
        <v>781</v>
      </c>
      <c r="H1028" s="396" t="s">
        <v>9534</v>
      </c>
      <c r="I1028" s="396" t="s">
        <v>781</v>
      </c>
      <c r="J1028" s="396" t="s">
        <v>9534</v>
      </c>
      <c r="K1028" s="396" t="s">
        <v>781</v>
      </c>
      <c r="L1028" s="397">
        <v>3.36</v>
      </c>
      <c r="M1028" s="396" t="s">
        <v>4599</v>
      </c>
      <c r="N1028" s="397">
        <v>580916.31009649998</v>
      </c>
      <c r="O1028" s="396" t="s">
        <v>4881</v>
      </c>
    </row>
    <row r="1029" spans="1:15" x14ac:dyDescent="0.4">
      <c r="A1029" s="396" t="s">
        <v>1321</v>
      </c>
      <c r="B1029" s="394" t="s">
        <v>395</v>
      </c>
      <c r="C1029" s="394" t="s">
        <v>291</v>
      </c>
      <c r="D1029" s="394" t="s">
        <v>1039</v>
      </c>
      <c r="E1029" s="395" t="s">
        <v>7</v>
      </c>
      <c r="F1029" s="396" t="s">
        <v>5269</v>
      </c>
      <c r="G1029" s="396" t="s">
        <v>781</v>
      </c>
      <c r="H1029" s="396" t="s">
        <v>5664</v>
      </c>
      <c r="I1029" s="396" t="s">
        <v>781</v>
      </c>
      <c r="J1029" s="396" t="s">
        <v>5664</v>
      </c>
      <c r="K1029" s="396" t="s">
        <v>781</v>
      </c>
      <c r="L1029" s="397">
        <v>3.35</v>
      </c>
      <c r="M1029" s="396" t="s">
        <v>4599</v>
      </c>
      <c r="N1029" s="397">
        <v>580919.66009649995</v>
      </c>
      <c r="O1029" s="396" t="s">
        <v>4881</v>
      </c>
    </row>
    <row r="1030" spans="1:15" x14ac:dyDescent="0.4">
      <c r="A1030" s="396" t="s">
        <v>4927</v>
      </c>
      <c r="B1030" s="394" t="s">
        <v>395</v>
      </c>
      <c r="C1030" s="394" t="s">
        <v>4928</v>
      </c>
      <c r="D1030" s="394" t="s">
        <v>1053</v>
      </c>
      <c r="E1030" s="395" t="s">
        <v>6</v>
      </c>
      <c r="F1030" s="396" t="s">
        <v>7523</v>
      </c>
      <c r="G1030" s="396" t="s">
        <v>781</v>
      </c>
      <c r="H1030" s="396" t="s">
        <v>7524</v>
      </c>
      <c r="I1030" s="396" t="s">
        <v>781</v>
      </c>
      <c r="J1030" s="396" t="s">
        <v>7525</v>
      </c>
      <c r="K1030" s="396" t="s">
        <v>781</v>
      </c>
      <c r="L1030" s="397">
        <v>3.333335355</v>
      </c>
      <c r="M1030" s="396" t="s">
        <v>4599</v>
      </c>
      <c r="N1030" s="397">
        <v>580922.99343190005</v>
      </c>
      <c r="O1030" s="396" t="s">
        <v>4881</v>
      </c>
    </row>
    <row r="1031" spans="1:15" ht="26.4" x14ac:dyDescent="0.4">
      <c r="A1031" s="396" t="s">
        <v>4902</v>
      </c>
      <c r="B1031" s="394" t="s">
        <v>439</v>
      </c>
      <c r="C1031" s="394" t="s">
        <v>4903</v>
      </c>
      <c r="D1031" s="394" t="s">
        <v>2381</v>
      </c>
      <c r="E1031" s="395" t="s">
        <v>1109</v>
      </c>
      <c r="F1031" s="396" t="s">
        <v>7407</v>
      </c>
      <c r="G1031" s="396" t="s">
        <v>781</v>
      </c>
      <c r="H1031" s="396" t="s">
        <v>5745</v>
      </c>
      <c r="I1031" s="396" t="s">
        <v>781</v>
      </c>
      <c r="J1031" s="396" t="s">
        <v>7525</v>
      </c>
      <c r="K1031" s="396" t="s">
        <v>781</v>
      </c>
      <c r="L1031" s="397">
        <v>3.3254437499999998</v>
      </c>
      <c r="M1031" s="396" t="s">
        <v>4599</v>
      </c>
      <c r="N1031" s="397">
        <v>580926.3188757</v>
      </c>
      <c r="O1031" s="396" t="s">
        <v>4881</v>
      </c>
    </row>
    <row r="1032" spans="1:15" ht="26.4" x14ac:dyDescent="0.4">
      <c r="A1032" s="396" t="s">
        <v>4895</v>
      </c>
      <c r="B1032" s="394" t="s">
        <v>395</v>
      </c>
      <c r="C1032" s="394" t="s">
        <v>4896</v>
      </c>
      <c r="D1032" s="394" t="s">
        <v>1039</v>
      </c>
      <c r="E1032" s="395" t="s">
        <v>4</v>
      </c>
      <c r="F1032" s="396" t="s">
        <v>5269</v>
      </c>
      <c r="G1032" s="396" t="s">
        <v>781</v>
      </c>
      <c r="H1032" s="396" t="s">
        <v>7526</v>
      </c>
      <c r="I1032" s="396" t="s">
        <v>781</v>
      </c>
      <c r="J1032" s="396" t="s">
        <v>7526</v>
      </c>
      <c r="K1032" s="396" t="s">
        <v>781</v>
      </c>
      <c r="L1032" s="397">
        <v>3.26</v>
      </c>
      <c r="M1032" s="396" t="s">
        <v>4599</v>
      </c>
      <c r="N1032" s="397">
        <v>580929.57887570001</v>
      </c>
      <c r="O1032" s="396" t="s">
        <v>4881</v>
      </c>
    </row>
    <row r="1033" spans="1:15" x14ac:dyDescent="0.4">
      <c r="A1033" s="396" t="s">
        <v>1571</v>
      </c>
      <c r="B1033" s="394" t="s">
        <v>490</v>
      </c>
      <c r="C1033" s="394" t="s">
        <v>1572</v>
      </c>
      <c r="D1033" s="394" t="s">
        <v>1039</v>
      </c>
      <c r="E1033" s="395" t="s">
        <v>7</v>
      </c>
      <c r="F1033" s="396" t="s">
        <v>5629</v>
      </c>
      <c r="G1033" s="396" t="s">
        <v>781</v>
      </c>
      <c r="H1033" s="396" t="s">
        <v>5636</v>
      </c>
      <c r="I1033" s="396" t="s">
        <v>781</v>
      </c>
      <c r="J1033" s="396" t="s">
        <v>9535</v>
      </c>
      <c r="K1033" s="396" t="s">
        <v>781</v>
      </c>
      <c r="L1033" s="397">
        <v>3.2227000000000001</v>
      </c>
      <c r="M1033" s="396" t="s">
        <v>4599</v>
      </c>
      <c r="N1033" s="397">
        <v>580932.80157570005</v>
      </c>
      <c r="O1033" s="396" t="s">
        <v>4881</v>
      </c>
    </row>
    <row r="1034" spans="1:15" x14ac:dyDescent="0.4">
      <c r="A1034" s="396" t="s">
        <v>1373</v>
      </c>
      <c r="B1034" s="394" t="s">
        <v>420</v>
      </c>
      <c r="C1034" s="394" t="s">
        <v>1374</v>
      </c>
      <c r="D1034" s="394" t="s">
        <v>1039</v>
      </c>
      <c r="E1034" s="395" t="s">
        <v>422</v>
      </c>
      <c r="F1034" s="396" t="s">
        <v>5273</v>
      </c>
      <c r="G1034" s="396" t="s">
        <v>781</v>
      </c>
      <c r="H1034" s="396" t="s">
        <v>6377</v>
      </c>
      <c r="I1034" s="396" t="s">
        <v>781</v>
      </c>
      <c r="J1034" s="396" t="s">
        <v>5667</v>
      </c>
      <c r="K1034" s="396" t="s">
        <v>781</v>
      </c>
      <c r="L1034" s="397">
        <v>3.2</v>
      </c>
      <c r="M1034" s="396" t="s">
        <v>4599</v>
      </c>
      <c r="N1034" s="397">
        <v>580936.00157570001</v>
      </c>
      <c r="O1034" s="396" t="s">
        <v>4881</v>
      </c>
    </row>
    <row r="1035" spans="1:15" ht="26.4" x14ac:dyDescent="0.4">
      <c r="A1035" s="396" t="s">
        <v>7527</v>
      </c>
      <c r="B1035" s="394" t="s">
        <v>408</v>
      </c>
      <c r="C1035" s="394" t="s">
        <v>7528</v>
      </c>
      <c r="D1035" s="394" t="s">
        <v>1039</v>
      </c>
      <c r="E1035" s="395" t="s">
        <v>4</v>
      </c>
      <c r="F1035" s="396" t="s">
        <v>5305</v>
      </c>
      <c r="G1035" s="396" t="s">
        <v>781</v>
      </c>
      <c r="H1035" s="396" t="s">
        <v>5488</v>
      </c>
      <c r="I1035" s="396" t="s">
        <v>781</v>
      </c>
      <c r="J1035" s="396" t="s">
        <v>5667</v>
      </c>
      <c r="K1035" s="396" t="s">
        <v>781</v>
      </c>
      <c r="L1035" s="397">
        <v>3.2</v>
      </c>
      <c r="M1035" s="396" t="s">
        <v>4599</v>
      </c>
      <c r="N1035" s="397">
        <v>580939.20157569996</v>
      </c>
      <c r="O1035" s="396" t="s">
        <v>4881</v>
      </c>
    </row>
    <row r="1036" spans="1:15" ht="39.6" x14ac:dyDescent="0.4">
      <c r="A1036" s="396" t="s">
        <v>4913</v>
      </c>
      <c r="B1036" s="394" t="s">
        <v>395</v>
      </c>
      <c r="C1036" s="394" t="s">
        <v>4914</v>
      </c>
      <c r="D1036" s="394" t="s">
        <v>1317</v>
      </c>
      <c r="E1036" s="395" t="s">
        <v>4</v>
      </c>
      <c r="F1036" s="396" t="s">
        <v>9536</v>
      </c>
      <c r="G1036" s="396" t="s">
        <v>781</v>
      </c>
      <c r="H1036" s="396" t="s">
        <v>7534</v>
      </c>
      <c r="I1036" s="396" t="s">
        <v>781</v>
      </c>
      <c r="J1036" s="396" t="s">
        <v>9537</v>
      </c>
      <c r="K1036" s="396" t="s">
        <v>781</v>
      </c>
      <c r="L1036" s="397">
        <v>3.1068424800000001</v>
      </c>
      <c r="M1036" s="396" t="s">
        <v>4599</v>
      </c>
      <c r="N1036" s="397">
        <v>580942.3084182</v>
      </c>
      <c r="O1036" s="396" t="s">
        <v>4881</v>
      </c>
    </row>
    <row r="1037" spans="1:15" ht="26.4" x14ac:dyDescent="0.4">
      <c r="A1037" s="396" t="s">
        <v>4976</v>
      </c>
      <c r="B1037" s="394" t="s">
        <v>395</v>
      </c>
      <c r="C1037" s="394" t="s">
        <v>4977</v>
      </c>
      <c r="D1037" s="394" t="s">
        <v>1039</v>
      </c>
      <c r="E1037" s="395" t="s">
        <v>7</v>
      </c>
      <c r="F1037" s="396" t="s">
        <v>9538</v>
      </c>
      <c r="G1037" s="396" t="s">
        <v>781</v>
      </c>
      <c r="H1037" s="396" t="s">
        <v>5776</v>
      </c>
      <c r="I1037" s="396" t="s">
        <v>781</v>
      </c>
      <c r="J1037" s="396" t="s">
        <v>7530</v>
      </c>
      <c r="K1037" s="396" t="s">
        <v>781</v>
      </c>
      <c r="L1037" s="397">
        <v>3.103348</v>
      </c>
      <c r="M1037" s="396" t="s">
        <v>4599</v>
      </c>
      <c r="N1037" s="397">
        <v>580945.41176619998</v>
      </c>
      <c r="O1037" s="396" t="s">
        <v>4881</v>
      </c>
    </row>
    <row r="1038" spans="1:15" x14ac:dyDescent="0.4">
      <c r="A1038" s="396" t="s">
        <v>4900</v>
      </c>
      <c r="B1038" s="394" t="s">
        <v>395</v>
      </c>
      <c r="C1038" s="394" t="s">
        <v>4901</v>
      </c>
      <c r="D1038" s="394" t="s">
        <v>1053</v>
      </c>
      <c r="E1038" s="395" t="s">
        <v>6</v>
      </c>
      <c r="F1038" s="396" t="s">
        <v>7529</v>
      </c>
      <c r="G1038" s="396" t="s">
        <v>781</v>
      </c>
      <c r="H1038" s="396" t="s">
        <v>5359</v>
      </c>
      <c r="I1038" s="396" t="s">
        <v>781</v>
      </c>
      <c r="J1038" s="396" t="s">
        <v>7530</v>
      </c>
      <c r="K1038" s="396" t="s">
        <v>781</v>
      </c>
      <c r="L1038" s="397">
        <v>3.1004561000000002</v>
      </c>
      <c r="M1038" s="396" t="s">
        <v>4599</v>
      </c>
      <c r="N1038" s="397">
        <v>580948.51222230005</v>
      </c>
      <c r="O1038" s="396" t="s">
        <v>4881</v>
      </c>
    </row>
    <row r="1039" spans="1:15" x14ac:dyDescent="0.4">
      <c r="A1039" s="396" t="s">
        <v>1308</v>
      </c>
      <c r="B1039" s="394" t="s">
        <v>395</v>
      </c>
      <c r="C1039" s="394" t="s">
        <v>284</v>
      </c>
      <c r="D1039" s="394" t="s">
        <v>1039</v>
      </c>
      <c r="E1039" s="395" t="s">
        <v>4</v>
      </c>
      <c r="F1039" s="396" t="s">
        <v>5644</v>
      </c>
      <c r="G1039" s="396" t="s">
        <v>781</v>
      </c>
      <c r="H1039" s="396" t="s">
        <v>5314</v>
      </c>
      <c r="I1039" s="396" t="s">
        <v>781</v>
      </c>
      <c r="J1039" s="396" t="s">
        <v>7531</v>
      </c>
      <c r="K1039" s="396" t="s">
        <v>781</v>
      </c>
      <c r="L1039" s="397">
        <v>3.0611158469999999</v>
      </c>
      <c r="M1039" s="396" t="s">
        <v>4599</v>
      </c>
      <c r="N1039" s="397">
        <v>580951.57333809999</v>
      </c>
      <c r="O1039" s="396" t="s">
        <v>4881</v>
      </c>
    </row>
    <row r="1040" spans="1:15" x14ac:dyDescent="0.4">
      <c r="A1040" s="396" t="s">
        <v>4877</v>
      </c>
      <c r="B1040" s="394" t="s">
        <v>395</v>
      </c>
      <c r="C1040" s="394" t="s">
        <v>4878</v>
      </c>
      <c r="D1040" s="394" t="s">
        <v>1039</v>
      </c>
      <c r="E1040" s="395" t="s">
        <v>4</v>
      </c>
      <c r="F1040" s="396" t="s">
        <v>5269</v>
      </c>
      <c r="G1040" s="396" t="s">
        <v>781</v>
      </c>
      <c r="H1040" s="396" t="s">
        <v>5479</v>
      </c>
      <c r="I1040" s="396" t="s">
        <v>781</v>
      </c>
      <c r="J1040" s="396" t="s">
        <v>5479</v>
      </c>
      <c r="K1040" s="396" t="s">
        <v>781</v>
      </c>
      <c r="L1040" s="397">
        <v>3.05</v>
      </c>
      <c r="M1040" s="396" t="s">
        <v>4599</v>
      </c>
      <c r="N1040" s="397">
        <v>580954.62333810003</v>
      </c>
      <c r="O1040" s="396" t="s">
        <v>4881</v>
      </c>
    </row>
    <row r="1041" spans="1:15" x14ac:dyDescent="0.4">
      <c r="A1041" s="396" t="s">
        <v>4854</v>
      </c>
      <c r="B1041" s="394" t="s">
        <v>395</v>
      </c>
      <c r="C1041" s="394" t="s">
        <v>4855</v>
      </c>
      <c r="D1041" s="394" t="s">
        <v>1039</v>
      </c>
      <c r="E1041" s="395" t="s">
        <v>4</v>
      </c>
      <c r="F1041" s="396" t="s">
        <v>5305</v>
      </c>
      <c r="G1041" s="396" t="s">
        <v>781</v>
      </c>
      <c r="H1041" s="396" t="s">
        <v>5466</v>
      </c>
      <c r="I1041" s="396" t="s">
        <v>781</v>
      </c>
      <c r="J1041" s="396" t="s">
        <v>5580</v>
      </c>
      <c r="K1041" s="396" t="s">
        <v>781</v>
      </c>
      <c r="L1041" s="397">
        <v>3.04</v>
      </c>
      <c r="M1041" s="396" t="s">
        <v>4599</v>
      </c>
      <c r="N1041" s="397">
        <v>580957.66333809996</v>
      </c>
      <c r="O1041" s="396" t="s">
        <v>4881</v>
      </c>
    </row>
    <row r="1042" spans="1:15" ht="26.4" x14ac:dyDescent="0.4">
      <c r="A1042" s="396" t="s">
        <v>2400</v>
      </c>
      <c r="B1042" s="394" t="s">
        <v>5902</v>
      </c>
      <c r="C1042" s="394" t="s">
        <v>2401</v>
      </c>
      <c r="D1042" s="394" t="s">
        <v>1039</v>
      </c>
      <c r="E1042" s="395" t="s">
        <v>8</v>
      </c>
      <c r="F1042" s="396" t="s">
        <v>5654</v>
      </c>
      <c r="G1042" s="396" t="s">
        <v>781</v>
      </c>
      <c r="H1042" s="396" t="s">
        <v>7532</v>
      </c>
      <c r="I1042" s="396" t="s">
        <v>781</v>
      </c>
      <c r="J1042" s="396" t="s">
        <v>7533</v>
      </c>
      <c r="K1042" s="396" t="s">
        <v>781</v>
      </c>
      <c r="L1042" s="397">
        <v>3.0327500000000001</v>
      </c>
      <c r="M1042" s="396" t="s">
        <v>4599</v>
      </c>
      <c r="N1042" s="397">
        <v>580960.69608809997</v>
      </c>
      <c r="O1042" s="396" t="s">
        <v>4881</v>
      </c>
    </row>
    <row r="1043" spans="1:15" x14ac:dyDescent="0.4">
      <c r="A1043" s="396" t="s">
        <v>1376</v>
      </c>
      <c r="B1043" s="394" t="s">
        <v>408</v>
      </c>
      <c r="C1043" s="394" t="s">
        <v>1377</v>
      </c>
      <c r="D1043" s="394" t="s">
        <v>1039</v>
      </c>
      <c r="E1043" s="395" t="s">
        <v>4</v>
      </c>
      <c r="F1043" s="396" t="s">
        <v>5269</v>
      </c>
      <c r="G1043" s="396" t="s">
        <v>781</v>
      </c>
      <c r="H1043" s="396" t="s">
        <v>5670</v>
      </c>
      <c r="I1043" s="396" t="s">
        <v>781</v>
      </c>
      <c r="J1043" s="396" t="s">
        <v>5670</v>
      </c>
      <c r="K1043" s="396" t="s">
        <v>781</v>
      </c>
      <c r="L1043" s="397">
        <v>3.01</v>
      </c>
      <c r="M1043" s="396" t="s">
        <v>4599</v>
      </c>
      <c r="N1043" s="397">
        <v>580963.70608809998</v>
      </c>
      <c r="O1043" s="396" t="s">
        <v>4881</v>
      </c>
    </row>
    <row r="1044" spans="1:15" x14ac:dyDescent="0.4">
      <c r="A1044" s="396" t="s">
        <v>2416</v>
      </c>
      <c r="B1044" s="394" t="s">
        <v>408</v>
      </c>
      <c r="C1044" s="394" t="s">
        <v>2417</v>
      </c>
      <c r="D1044" s="394" t="s">
        <v>1039</v>
      </c>
      <c r="E1044" s="395" t="s">
        <v>4</v>
      </c>
      <c r="F1044" s="396" t="s">
        <v>5269</v>
      </c>
      <c r="G1044" s="396" t="s">
        <v>781</v>
      </c>
      <c r="H1044" s="396" t="s">
        <v>5670</v>
      </c>
      <c r="I1044" s="396" t="s">
        <v>781</v>
      </c>
      <c r="J1044" s="396" t="s">
        <v>5670</v>
      </c>
      <c r="K1044" s="396" t="s">
        <v>781</v>
      </c>
      <c r="L1044" s="397">
        <v>3.01</v>
      </c>
      <c r="M1044" s="396" t="s">
        <v>4599</v>
      </c>
      <c r="N1044" s="397">
        <v>580966.71608809999</v>
      </c>
      <c r="O1044" s="396" t="s">
        <v>4881</v>
      </c>
    </row>
    <row r="1045" spans="1:15" x14ac:dyDescent="0.4">
      <c r="A1045" s="396" t="s">
        <v>1079</v>
      </c>
      <c r="B1045" s="394" t="s">
        <v>408</v>
      </c>
      <c r="C1045" s="394" t="s">
        <v>1080</v>
      </c>
      <c r="D1045" s="394" t="s">
        <v>1039</v>
      </c>
      <c r="E1045" s="395" t="s">
        <v>4</v>
      </c>
      <c r="F1045" s="396" t="s">
        <v>5269</v>
      </c>
      <c r="G1045" s="396" t="s">
        <v>781</v>
      </c>
      <c r="H1045" s="396" t="s">
        <v>5670</v>
      </c>
      <c r="I1045" s="396" t="s">
        <v>781</v>
      </c>
      <c r="J1045" s="396" t="s">
        <v>5670</v>
      </c>
      <c r="K1045" s="396" t="s">
        <v>781</v>
      </c>
      <c r="L1045" s="397">
        <v>3.01</v>
      </c>
      <c r="M1045" s="396" t="s">
        <v>4599</v>
      </c>
      <c r="N1045" s="397">
        <v>580969.7260881</v>
      </c>
      <c r="O1045" s="396" t="s">
        <v>4881</v>
      </c>
    </row>
    <row r="1046" spans="1:15" x14ac:dyDescent="0.4">
      <c r="A1046" s="396" t="s">
        <v>1077</v>
      </c>
      <c r="B1046" s="394" t="s">
        <v>408</v>
      </c>
      <c r="C1046" s="394" t="s">
        <v>1078</v>
      </c>
      <c r="D1046" s="394" t="s">
        <v>1039</v>
      </c>
      <c r="E1046" s="395" t="s">
        <v>4</v>
      </c>
      <c r="F1046" s="396" t="s">
        <v>5269</v>
      </c>
      <c r="G1046" s="396" t="s">
        <v>781</v>
      </c>
      <c r="H1046" s="396" t="s">
        <v>5670</v>
      </c>
      <c r="I1046" s="396" t="s">
        <v>781</v>
      </c>
      <c r="J1046" s="396" t="s">
        <v>5670</v>
      </c>
      <c r="K1046" s="396" t="s">
        <v>781</v>
      </c>
      <c r="L1046" s="397">
        <v>3.01</v>
      </c>
      <c r="M1046" s="396" t="s">
        <v>4599</v>
      </c>
      <c r="N1046" s="397">
        <v>580972.73608810001</v>
      </c>
      <c r="O1046" s="396" t="s">
        <v>4897</v>
      </c>
    </row>
    <row r="1047" spans="1:15" x14ac:dyDescent="0.4">
      <c r="A1047" s="396" t="s">
        <v>7537</v>
      </c>
      <c r="B1047" s="394" t="s">
        <v>439</v>
      </c>
      <c r="C1047" s="394" t="s">
        <v>4912</v>
      </c>
      <c r="D1047" s="394" t="s">
        <v>1039</v>
      </c>
      <c r="E1047" s="395" t="s">
        <v>1562</v>
      </c>
      <c r="F1047" s="396" t="s">
        <v>5680</v>
      </c>
      <c r="G1047" s="396" t="s">
        <v>781</v>
      </c>
      <c r="H1047" s="396" t="s">
        <v>5732</v>
      </c>
      <c r="I1047" s="396" t="s">
        <v>781</v>
      </c>
      <c r="J1047" s="396" t="s">
        <v>9341</v>
      </c>
      <c r="K1047" s="396" t="s">
        <v>781</v>
      </c>
      <c r="L1047" s="397">
        <v>2.8908</v>
      </c>
      <c r="M1047" s="396" t="s">
        <v>4599</v>
      </c>
      <c r="N1047" s="397">
        <v>580975.62688810006</v>
      </c>
      <c r="O1047" s="396" t="s">
        <v>4897</v>
      </c>
    </row>
    <row r="1048" spans="1:15" ht="26.4" x14ac:dyDescent="0.4">
      <c r="A1048" s="396" t="s">
        <v>4870</v>
      </c>
      <c r="B1048" s="394" t="s">
        <v>395</v>
      </c>
      <c r="C1048" s="394" t="s">
        <v>4871</v>
      </c>
      <c r="D1048" s="394" t="s">
        <v>1039</v>
      </c>
      <c r="E1048" s="395" t="s">
        <v>4</v>
      </c>
      <c r="F1048" s="396" t="s">
        <v>5284</v>
      </c>
      <c r="G1048" s="396" t="s">
        <v>781</v>
      </c>
      <c r="H1048" s="396" t="s">
        <v>5594</v>
      </c>
      <c r="I1048" s="396" t="s">
        <v>781</v>
      </c>
      <c r="J1048" s="396" t="s">
        <v>7535</v>
      </c>
      <c r="K1048" s="396" t="s">
        <v>781</v>
      </c>
      <c r="L1048" s="397">
        <v>2.79</v>
      </c>
      <c r="M1048" s="396" t="s">
        <v>4599</v>
      </c>
      <c r="N1048" s="397">
        <v>580978.41688809998</v>
      </c>
      <c r="O1048" s="396" t="s">
        <v>4897</v>
      </c>
    </row>
    <row r="1049" spans="1:15" x14ac:dyDescent="0.4">
      <c r="A1049" s="396" t="s">
        <v>4904</v>
      </c>
      <c r="B1049" s="394" t="s">
        <v>395</v>
      </c>
      <c r="C1049" s="394" t="s">
        <v>4905</v>
      </c>
      <c r="D1049" s="394" t="s">
        <v>1039</v>
      </c>
      <c r="E1049" s="395" t="s">
        <v>7</v>
      </c>
      <c r="F1049" s="396" t="s">
        <v>7486</v>
      </c>
      <c r="G1049" s="396" t="s">
        <v>781</v>
      </c>
      <c r="H1049" s="396" t="s">
        <v>7536</v>
      </c>
      <c r="I1049" s="396" t="s">
        <v>781</v>
      </c>
      <c r="J1049" s="396" t="s">
        <v>7535</v>
      </c>
      <c r="K1049" s="396" t="s">
        <v>781</v>
      </c>
      <c r="L1049" s="397">
        <v>2.7867839999999999</v>
      </c>
      <c r="M1049" s="396" t="s">
        <v>4599</v>
      </c>
      <c r="N1049" s="397">
        <v>580981.20367209997</v>
      </c>
      <c r="O1049" s="396" t="s">
        <v>4897</v>
      </c>
    </row>
    <row r="1050" spans="1:15" x14ac:dyDescent="0.4">
      <c r="A1050" s="396" t="s">
        <v>1447</v>
      </c>
      <c r="B1050" s="394" t="s">
        <v>408</v>
      </c>
      <c r="C1050" s="394" t="s">
        <v>1448</v>
      </c>
      <c r="D1050" s="394" t="s">
        <v>1039</v>
      </c>
      <c r="E1050" s="395" t="s">
        <v>713</v>
      </c>
      <c r="F1050" s="396" t="s">
        <v>5691</v>
      </c>
      <c r="G1050" s="396" t="s">
        <v>781</v>
      </c>
      <c r="H1050" s="396" t="s">
        <v>6277</v>
      </c>
      <c r="I1050" s="396" t="s">
        <v>781</v>
      </c>
      <c r="J1050" s="396" t="s">
        <v>7541</v>
      </c>
      <c r="K1050" s="396" t="s">
        <v>781</v>
      </c>
      <c r="L1050" s="397">
        <v>2.73</v>
      </c>
      <c r="M1050" s="396" t="s">
        <v>4599</v>
      </c>
      <c r="N1050" s="397">
        <v>580983.93367209996</v>
      </c>
      <c r="O1050" s="396" t="s">
        <v>4897</v>
      </c>
    </row>
    <row r="1051" spans="1:15" x14ac:dyDescent="0.4">
      <c r="A1051" s="396" t="s">
        <v>1122</v>
      </c>
      <c r="B1051" s="394" t="s">
        <v>408</v>
      </c>
      <c r="C1051" s="394" t="s">
        <v>1123</v>
      </c>
      <c r="D1051" s="394" t="s">
        <v>1039</v>
      </c>
      <c r="E1051" s="395" t="s">
        <v>3</v>
      </c>
      <c r="F1051" s="396" t="s">
        <v>9539</v>
      </c>
      <c r="G1051" s="396" t="s">
        <v>781</v>
      </c>
      <c r="H1051" s="396" t="s">
        <v>7036</v>
      </c>
      <c r="I1051" s="396" t="s">
        <v>781</v>
      </c>
      <c r="J1051" s="396" t="s">
        <v>9540</v>
      </c>
      <c r="K1051" s="396" t="s">
        <v>781</v>
      </c>
      <c r="L1051" s="397">
        <v>2.71848</v>
      </c>
      <c r="M1051" s="396" t="s">
        <v>4599</v>
      </c>
      <c r="N1051" s="397">
        <v>580986.6521521</v>
      </c>
      <c r="O1051" s="396" t="s">
        <v>4897</v>
      </c>
    </row>
    <row r="1052" spans="1:15" ht="39.6" x14ac:dyDescent="0.4">
      <c r="A1052" s="396" t="s">
        <v>4910</v>
      </c>
      <c r="B1052" s="394" t="s">
        <v>395</v>
      </c>
      <c r="C1052" s="394" t="s">
        <v>4911</v>
      </c>
      <c r="D1052" s="394" t="s">
        <v>1317</v>
      </c>
      <c r="E1052" s="395" t="s">
        <v>4</v>
      </c>
      <c r="F1052" s="396" t="s">
        <v>5706</v>
      </c>
      <c r="G1052" s="396" t="s">
        <v>781</v>
      </c>
      <c r="H1052" s="396" t="s">
        <v>7542</v>
      </c>
      <c r="I1052" s="396" t="s">
        <v>781</v>
      </c>
      <c r="J1052" s="396" t="s">
        <v>7543</v>
      </c>
      <c r="K1052" s="396" t="s">
        <v>781</v>
      </c>
      <c r="L1052" s="397">
        <v>2.6452988519999998</v>
      </c>
      <c r="M1052" s="396" t="s">
        <v>4599</v>
      </c>
      <c r="N1052" s="397">
        <v>580989.29745099996</v>
      </c>
      <c r="O1052" s="396" t="s">
        <v>4897</v>
      </c>
    </row>
    <row r="1053" spans="1:15" ht="26.4" x14ac:dyDescent="0.4">
      <c r="A1053" s="396" t="s">
        <v>1103</v>
      </c>
      <c r="B1053" s="394" t="s">
        <v>5902</v>
      </c>
      <c r="C1053" s="394" t="s">
        <v>1104</v>
      </c>
      <c r="D1053" s="394" t="s">
        <v>1039</v>
      </c>
      <c r="E1053" s="395" t="s">
        <v>7</v>
      </c>
      <c r="F1053" s="396" t="s">
        <v>5345</v>
      </c>
      <c r="G1053" s="396" t="s">
        <v>781</v>
      </c>
      <c r="H1053" s="396" t="s">
        <v>5675</v>
      </c>
      <c r="I1053" s="396" t="s">
        <v>781</v>
      </c>
      <c r="J1053" s="396" t="s">
        <v>7544</v>
      </c>
      <c r="K1053" s="396" t="s">
        <v>781</v>
      </c>
      <c r="L1053" s="397">
        <v>2.6316000000000002</v>
      </c>
      <c r="M1053" s="396" t="s">
        <v>4599</v>
      </c>
      <c r="N1053" s="397">
        <v>580991.92905100004</v>
      </c>
      <c r="O1053" s="396" t="s">
        <v>4897</v>
      </c>
    </row>
    <row r="1054" spans="1:15" x14ac:dyDescent="0.4">
      <c r="A1054" s="396" t="s">
        <v>4891</v>
      </c>
      <c r="B1054" s="394" t="s">
        <v>395</v>
      </c>
      <c r="C1054" s="394" t="s">
        <v>4892</v>
      </c>
      <c r="D1054" s="394" t="s">
        <v>1039</v>
      </c>
      <c r="E1054" s="395" t="s">
        <v>4</v>
      </c>
      <c r="F1054" s="396" t="s">
        <v>5269</v>
      </c>
      <c r="G1054" s="396" t="s">
        <v>781</v>
      </c>
      <c r="H1054" s="396" t="s">
        <v>7545</v>
      </c>
      <c r="I1054" s="396" t="s">
        <v>781</v>
      </c>
      <c r="J1054" s="396" t="s">
        <v>7545</v>
      </c>
      <c r="K1054" s="396" t="s">
        <v>781</v>
      </c>
      <c r="L1054" s="397">
        <v>2.54</v>
      </c>
      <c r="M1054" s="396" t="s">
        <v>4599</v>
      </c>
      <c r="N1054" s="397">
        <v>580994.46905099996</v>
      </c>
      <c r="O1054" s="396" t="s">
        <v>4897</v>
      </c>
    </row>
    <row r="1055" spans="1:15" x14ac:dyDescent="0.4">
      <c r="A1055" s="396" t="s">
        <v>4920</v>
      </c>
      <c r="B1055" s="394" t="s">
        <v>395</v>
      </c>
      <c r="C1055" s="394" t="s">
        <v>4921</v>
      </c>
      <c r="D1055" s="394" t="s">
        <v>1053</v>
      </c>
      <c r="E1055" s="395" t="s">
        <v>6</v>
      </c>
      <c r="F1055" s="396" t="s">
        <v>7546</v>
      </c>
      <c r="G1055" s="396" t="s">
        <v>781</v>
      </c>
      <c r="H1055" s="396" t="s">
        <v>7024</v>
      </c>
      <c r="I1055" s="396" t="s">
        <v>781</v>
      </c>
      <c r="J1055" s="396" t="s">
        <v>5674</v>
      </c>
      <c r="K1055" s="396" t="s">
        <v>781</v>
      </c>
      <c r="L1055" s="397">
        <v>2.5327577460000001</v>
      </c>
      <c r="M1055" s="396" t="s">
        <v>4599</v>
      </c>
      <c r="N1055" s="397">
        <v>580997.00180870004</v>
      </c>
      <c r="O1055" s="396" t="s">
        <v>4897</v>
      </c>
    </row>
    <row r="1056" spans="1:15" ht="26.4" x14ac:dyDescent="0.4">
      <c r="A1056" s="396" t="s">
        <v>7539</v>
      </c>
      <c r="B1056" s="394" t="s">
        <v>420</v>
      </c>
      <c r="C1056" s="394" t="s">
        <v>7540</v>
      </c>
      <c r="D1056" s="394" t="s">
        <v>1039</v>
      </c>
      <c r="E1056" s="395" t="s">
        <v>422</v>
      </c>
      <c r="F1056" s="396" t="s">
        <v>5269</v>
      </c>
      <c r="G1056" s="396" t="s">
        <v>781</v>
      </c>
      <c r="H1056" s="396" t="s">
        <v>7362</v>
      </c>
      <c r="I1056" s="396" t="s">
        <v>781</v>
      </c>
      <c r="J1056" s="396" t="s">
        <v>7362</v>
      </c>
      <c r="K1056" s="396" t="s">
        <v>781</v>
      </c>
      <c r="L1056" s="397">
        <v>2.52</v>
      </c>
      <c r="M1056" s="396" t="s">
        <v>4599</v>
      </c>
      <c r="N1056" s="397">
        <v>580999.52180870005</v>
      </c>
      <c r="O1056" s="396" t="s">
        <v>4897</v>
      </c>
    </row>
    <row r="1057" spans="1:15" x14ac:dyDescent="0.4">
      <c r="A1057" s="396" t="s">
        <v>7547</v>
      </c>
      <c r="B1057" s="394" t="s">
        <v>408</v>
      </c>
      <c r="C1057" s="394" t="s">
        <v>7548</v>
      </c>
      <c r="D1057" s="394" t="s">
        <v>1039</v>
      </c>
      <c r="E1057" s="395" t="s">
        <v>7</v>
      </c>
      <c r="F1057" s="396" t="s">
        <v>7439</v>
      </c>
      <c r="G1057" s="396" t="s">
        <v>781</v>
      </c>
      <c r="H1057" s="396" t="s">
        <v>5599</v>
      </c>
      <c r="I1057" s="396" t="s">
        <v>781</v>
      </c>
      <c r="J1057" s="396" t="s">
        <v>7549</v>
      </c>
      <c r="K1057" s="396" t="s">
        <v>781</v>
      </c>
      <c r="L1057" s="397">
        <v>2.5095000000000001</v>
      </c>
      <c r="M1057" s="396" t="s">
        <v>4599</v>
      </c>
      <c r="N1057" s="397">
        <v>581002.03130869998</v>
      </c>
      <c r="O1057" s="396" t="s">
        <v>4897</v>
      </c>
    </row>
    <row r="1058" spans="1:15" x14ac:dyDescent="0.4">
      <c r="A1058" s="396" t="s">
        <v>4933</v>
      </c>
      <c r="B1058" s="394" t="s">
        <v>395</v>
      </c>
      <c r="C1058" s="394" t="s">
        <v>4934</v>
      </c>
      <c r="D1058" s="394" t="s">
        <v>1039</v>
      </c>
      <c r="E1058" s="395" t="s">
        <v>8</v>
      </c>
      <c r="F1058" s="396" t="s">
        <v>7550</v>
      </c>
      <c r="G1058" s="396" t="s">
        <v>781</v>
      </c>
      <c r="H1058" s="396" t="s">
        <v>7551</v>
      </c>
      <c r="I1058" s="396" t="s">
        <v>781</v>
      </c>
      <c r="J1058" s="396" t="s">
        <v>5593</v>
      </c>
      <c r="K1058" s="396" t="s">
        <v>781</v>
      </c>
      <c r="L1058" s="397">
        <v>2.50185528</v>
      </c>
      <c r="M1058" s="396" t="s">
        <v>4599</v>
      </c>
      <c r="N1058" s="397">
        <v>581004.53316400002</v>
      </c>
      <c r="O1058" s="396" t="s">
        <v>4897</v>
      </c>
    </row>
    <row r="1059" spans="1:15" ht="26.4" x14ac:dyDescent="0.4">
      <c r="A1059" s="396" t="s">
        <v>4951</v>
      </c>
      <c r="B1059" s="394" t="s">
        <v>395</v>
      </c>
      <c r="C1059" s="394" t="s">
        <v>4952</v>
      </c>
      <c r="D1059" s="394" t="s">
        <v>1039</v>
      </c>
      <c r="E1059" s="395" t="s">
        <v>4</v>
      </c>
      <c r="F1059" s="396" t="s">
        <v>5269</v>
      </c>
      <c r="G1059" s="396" t="s">
        <v>781</v>
      </c>
      <c r="H1059" s="396" t="s">
        <v>5677</v>
      </c>
      <c r="I1059" s="396" t="s">
        <v>781</v>
      </c>
      <c r="J1059" s="396" t="s">
        <v>5677</v>
      </c>
      <c r="K1059" s="396" t="s">
        <v>781</v>
      </c>
      <c r="L1059" s="397">
        <v>2.4900000000000002</v>
      </c>
      <c r="M1059" s="396" t="s">
        <v>4599</v>
      </c>
      <c r="N1059" s="397">
        <v>581007.02316400001</v>
      </c>
      <c r="O1059" s="396" t="s">
        <v>4897</v>
      </c>
    </row>
    <row r="1060" spans="1:15" ht="26.4" x14ac:dyDescent="0.4">
      <c r="A1060" s="396" t="s">
        <v>4924</v>
      </c>
      <c r="B1060" s="394" t="s">
        <v>439</v>
      </c>
      <c r="C1060" s="394" t="s">
        <v>4925</v>
      </c>
      <c r="D1060" s="394" t="s">
        <v>2381</v>
      </c>
      <c r="E1060" s="395" t="s">
        <v>1109</v>
      </c>
      <c r="F1060" s="396" t="s">
        <v>7407</v>
      </c>
      <c r="G1060" s="396" t="s">
        <v>781</v>
      </c>
      <c r="H1060" s="396" t="s">
        <v>5349</v>
      </c>
      <c r="I1060" s="396" t="s">
        <v>781</v>
      </c>
      <c r="J1060" s="396" t="s">
        <v>7452</v>
      </c>
      <c r="K1060" s="396" t="s">
        <v>781</v>
      </c>
      <c r="L1060" s="397">
        <v>2.4829979999999998</v>
      </c>
      <c r="M1060" s="396" t="s">
        <v>4599</v>
      </c>
      <c r="N1060" s="397">
        <v>581009.50616200001</v>
      </c>
      <c r="O1060" s="396" t="s">
        <v>4897</v>
      </c>
    </row>
    <row r="1061" spans="1:15" x14ac:dyDescent="0.4">
      <c r="A1061" s="396" t="s">
        <v>4960</v>
      </c>
      <c r="B1061" s="394" t="s">
        <v>395</v>
      </c>
      <c r="C1061" s="394" t="s">
        <v>4961</v>
      </c>
      <c r="D1061" s="394" t="s">
        <v>1039</v>
      </c>
      <c r="E1061" s="395" t="s">
        <v>4876</v>
      </c>
      <c r="F1061" s="396" t="s">
        <v>9541</v>
      </c>
      <c r="G1061" s="396" t="s">
        <v>781</v>
      </c>
      <c r="H1061" s="396" t="s">
        <v>7611</v>
      </c>
      <c r="I1061" s="396" t="s">
        <v>781</v>
      </c>
      <c r="J1061" s="396" t="s">
        <v>7452</v>
      </c>
      <c r="K1061" s="396" t="s">
        <v>781</v>
      </c>
      <c r="L1061" s="397">
        <v>2.4804499999999998</v>
      </c>
      <c r="M1061" s="396" t="s">
        <v>4599</v>
      </c>
      <c r="N1061" s="397">
        <v>581011.98661200004</v>
      </c>
      <c r="O1061" s="396" t="s">
        <v>4897</v>
      </c>
    </row>
    <row r="1062" spans="1:15" x14ac:dyDescent="0.4">
      <c r="A1062" s="396" t="s">
        <v>7552</v>
      </c>
      <c r="B1062" s="394" t="s">
        <v>439</v>
      </c>
      <c r="C1062" s="394" t="s">
        <v>4955</v>
      </c>
      <c r="D1062" s="394" t="s">
        <v>1039</v>
      </c>
      <c r="E1062" s="395" t="s">
        <v>713</v>
      </c>
      <c r="F1062" s="396" t="s">
        <v>5728</v>
      </c>
      <c r="G1062" s="396" t="s">
        <v>781</v>
      </c>
      <c r="H1062" s="396" t="s">
        <v>5293</v>
      </c>
      <c r="I1062" s="396" t="s">
        <v>781</v>
      </c>
      <c r="J1062" s="396" t="s">
        <v>9542</v>
      </c>
      <c r="K1062" s="396" t="s">
        <v>781</v>
      </c>
      <c r="L1062" s="397">
        <v>2.4745599999999999</v>
      </c>
      <c r="M1062" s="396" t="s">
        <v>4599</v>
      </c>
      <c r="N1062" s="397">
        <v>581014.46117200004</v>
      </c>
      <c r="O1062" s="396" t="s">
        <v>4897</v>
      </c>
    </row>
    <row r="1063" spans="1:15" x14ac:dyDescent="0.4">
      <c r="A1063" s="396" t="s">
        <v>1138</v>
      </c>
      <c r="B1063" s="394" t="s">
        <v>455</v>
      </c>
      <c r="C1063" s="394" t="s">
        <v>1139</v>
      </c>
      <c r="D1063" s="394" t="s">
        <v>1053</v>
      </c>
      <c r="E1063" s="395" t="s">
        <v>6</v>
      </c>
      <c r="F1063" s="396" t="s">
        <v>5673</v>
      </c>
      <c r="G1063" s="396" t="s">
        <v>781</v>
      </c>
      <c r="H1063" s="396" t="s">
        <v>7553</v>
      </c>
      <c r="I1063" s="396" t="s">
        <v>781</v>
      </c>
      <c r="J1063" s="396" t="s">
        <v>5676</v>
      </c>
      <c r="K1063" s="396" t="s">
        <v>781</v>
      </c>
      <c r="L1063" s="397">
        <v>2.4144000000000001</v>
      </c>
      <c r="M1063" s="396" t="s">
        <v>4599</v>
      </c>
      <c r="N1063" s="397">
        <v>581016.87557200005</v>
      </c>
      <c r="O1063" s="396" t="s">
        <v>4897</v>
      </c>
    </row>
    <row r="1064" spans="1:15" x14ac:dyDescent="0.4">
      <c r="A1064" s="396" t="s">
        <v>2444</v>
      </c>
      <c r="B1064" s="394" t="s">
        <v>420</v>
      </c>
      <c r="C1064" s="394" t="s">
        <v>2445</v>
      </c>
      <c r="D1064" s="394" t="s">
        <v>1039</v>
      </c>
      <c r="E1064" s="395" t="s">
        <v>422</v>
      </c>
      <c r="F1064" s="396" t="s">
        <v>5269</v>
      </c>
      <c r="G1064" s="396" t="s">
        <v>781</v>
      </c>
      <c r="H1064" s="396" t="s">
        <v>7554</v>
      </c>
      <c r="I1064" s="396" t="s">
        <v>781</v>
      </c>
      <c r="J1064" s="396" t="s">
        <v>7554</v>
      </c>
      <c r="K1064" s="396" t="s">
        <v>781</v>
      </c>
      <c r="L1064" s="397">
        <v>2.4</v>
      </c>
      <c r="M1064" s="396" t="s">
        <v>4599</v>
      </c>
      <c r="N1064" s="397">
        <v>581019.27557199995</v>
      </c>
      <c r="O1064" s="396" t="s">
        <v>4897</v>
      </c>
    </row>
    <row r="1065" spans="1:15" x14ac:dyDescent="0.4">
      <c r="A1065" s="396" t="s">
        <v>1428</v>
      </c>
      <c r="B1065" s="394" t="s">
        <v>408</v>
      </c>
      <c r="C1065" s="394" t="s">
        <v>1429</v>
      </c>
      <c r="D1065" s="394" t="s">
        <v>1039</v>
      </c>
      <c r="E1065" s="395" t="s">
        <v>4</v>
      </c>
      <c r="F1065" s="396" t="s">
        <v>9543</v>
      </c>
      <c r="G1065" s="396" t="s">
        <v>781</v>
      </c>
      <c r="H1065" s="396" t="s">
        <v>5432</v>
      </c>
      <c r="I1065" s="396" t="s">
        <v>781</v>
      </c>
      <c r="J1065" s="396" t="s">
        <v>7249</v>
      </c>
      <c r="K1065" s="396" t="s">
        <v>781</v>
      </c>
      <c r="L1065" s="397">
        <v>2.34</v>
      </c>
      <c r="M1065" s="396" t="s">
        <v>4599</v>
      </c>
      <c r="N1065" s="397">
        <v>581021.61557200004</v>
      </c>
      <c r="O1065" s="396" t="s">
        <v>4897</v>
      </c>
    </row>
    <row r="1066" spans="1:15" ht="26.4" x14ac:dyDescent="0.4">
      <c r="A1066" s="396" t="s">
        <v>4841</v>
      </c>
      <c r="B1066" s="394" t="s">
        <v>395</v>
      </c>
      <c r="C1066" s="394" t="s">
        <v>4842</v>
      </c>
      <c r="D1066" s="394" t="s">
        <v>1039</v>
      </c>
      <c r="E1066" s="395" t="s">
        <v>4</v>
      </c>
      <c r="F1066" s="396" t="s">
        <v>5269</v>
      </c>
      <c r="G1066" s="396" t="s">
        <v>781</v>
      </c>
      <c r="H1066" s="396" t="s">
        <v>5685</v>
      </c>
      <c r="I1066" s="396" t="s">
        <v>781</v>
      </c>
      <c r="J1066" s="396" t="s">
        <v>5685</v>
      </c>
      <c r="K1066" s="396" t="s">
        <v>781</v>
      </c>
      <c r="L1066" s="397">
        <v>2.25</v>
      </c>
      <c r="M1066" s="396" t="s">
        <v>4599</v>
      </c>
      <c r="N1066" s="397">
        <v>581023.86557200004</v>
      </c>
      <c r="O1066" s="396" t="s">
        <v>4897</v>
      </c>
    </row>
    <row r="1067" spans="1:15" ht="26.4" x14ac:dyDescent="0.4">
      <c r="A1067" s="396" t="s">
        <v>1524</v>
      </c>
      <c r="B1067" s="394" t="s">
        <v>420</v>
      </c>
      <c r="C1067" s="394" t="s">
        <v>1525</v>
      </c>
      <c r="D1067" s="394" t="s">
        <v>1317</v>
      </c>
      <c r="E1067" s="395" t="s">
        <v>1526</v>
      </c>
      <c r="F1067" s="396" t="s">
        <v>5683</v>
      </c>
      <c r="G1067" s="396" t="s">
        <v>781</v>
      </c>
      <c r="H1067" s="396" t="s">
        <v>5684</v>
      </c>
      <c r="I1067" s="396" t="s">
        <v>781</v>
      </c>
      <c r="J1067" s="396" t="s">
        <v>5685</v>
      </c>
      <c r="K1067" s="396" t="s">
        <v>781</v>
      </c>
      <c r="L1067" s="397">
        <v>2.2480000000000002</v>
      </c>
      <c r="M1067" s="396" t="s">
        <v>4599</v>
      </c>
      <c r="N1067" s="397">
        <v>581026.11357199994</v>
      </c>
      <c r="O1067" s="396" t="s">
        <v>4897</v>
      </c>
    </row>
    <row r="1068" spans="1:15" ht="26.4" x14ac:dyDescent="0.4">
      <c r="A1068" s="396" t="s">
        <v>7555</v>
      </c>
      <c r="B1068" s="394" t="s">
        <v>420</v>
      </c>
      <c r="C1068" s="394" t="s">
        <v>7556</v>
      </c>
      <c r="D1068" s="394" t="s">
        <v>1039</v>
      </c>
      <c r="E1068" s="395" t="s">
        <v>422</v>
      </c>
      <c r="F1068" s="396" t="s">
        <v>5678</v>
      </c>
      <c r="G1068" s="396" t="s">
        <v>781</v>
      </c>
      <c r="H1068" s="396" t="s">
        <v>5481</v>
      </c>
      <c r="I1068" s="396" t="s">
        <v>781</v>
      </c>
      <c r="J1068" s="396" t="s">
        <v>7557</v>
      </c>
      <c r="K1068" s="396" t="s">
        <v>781</v>
      </c>
      <c r="L1068" s="397">
        <v>2.21364765</v>
      </c>
      <c r="M1068" s="396" t="s">
        <v>4599</v>
      </c>
      <c r="N1068" s="397">
        <v>581028.32721969998</v>
      </c>
      <c r="O1068" s="396" t="s">
        <v>4917</v>
      </c>
    </row>
    <row r="1069" spans="1:15" x14ac:dyDescent="0.4">
      <c r="A1069" s="396" t="s">
        <v>1040</v>
      </c>
      <c r="B1069" s="394" t="s">
        <v>408</v>
      </c>
      <c r="C1069" s="394" t="s">
        <v>1041</v>
      </c>
      <c r="D1069" s="394" t="s">
        <v>1039</v>
      </c>
      <c r="E1069" s="395" t="s">
        <v>4</v>
      </c>
      <c r="F1069" s="396" t="s">
        <v>5269</v>
      </c>
      <c r="G1069" s="396" t="s">
        <v>781</v>
      </c>
      <c r="H1069" s="396" t="s">
        <v>7557</v>
      </c>
      <c r="I1069" s="396" t="s">
        <v>781</v>
      </c>
      <c r="J1069" s="396" t="s">
        <v>7557</v>
      </c>
      <c r="K1069" s="396" t="s">
        <v>781</v>
      </c>
      <c r="L1069" s="397">
        <v>2.21</v>
      </c>
      <c r="M1069" s="396" t="s">
        <v>4599</v>
      </c>
      <c r="N1069" s="397">
        <v>581030.53721970005</v>
      </c>
      <c r="O1069" s="396" t="s">
        <v>4917</v>
      </c>
    </row>
    <row r="1070" spans="1:15" x14ac:dyDescent="0.4">
      <c r="A1070" s="396" t="s">
        <v>1546</v>
      </c>
      <c r="B1070" s="394" t="s">
        <v>420</v>
      </c>
      <c r="C1070" s="394" t="s">
        <v>1547</v>
      </c>
      <c r="D1070" s="394" t="s">
        <v>1039</v>
      </c>
      <c r="E1070" s="395" t="s">
        <v>437</v>
      </c>
      <c r="F1070" s="396" t="s">
        <v>5682</v>
      </c>
      <c r="G1070" s="396" t="s">
        <v>781</v>
      </c>
      <c r="H1070" s="396" t="s">
        <v>9544</v>
      </c>
      <c r="I1070" s="396" t="s">
        <v>781</v>
      </c>
      <c r="J1070" s="396" t="s">
        <v>5538</v>
      </c>
      <c r="K1070" s="396" t="s">
        <v>781</v>
      </c>
      <c r="L1070" s="397">
        <v>2.1991200000000002</v>
      </c>
      <c r="M1070" s="396" t="s">
        <v>4599</v>
      </c>
      <c r="N1070" s="397">
        <v>581032.73633969994</v>
      </c>
      <c r="O1070" s="396" t="s">
        <v>4917</v>
      </c>
    </row>
    <row r="1071" spans="1:15" x14ac:dyDescent="0.4">
      <c r="A1071" s="396" t="s">
        <v>1124</v>
      </c>
      <c r="B1071" s="394" t="s">
        <v>408</v>
      </c>
      <c r="C1071" s="394" t="s">
        <v>1125</v>
      </c>
      <c r="D1071" s="394" t="s">
        <v>1039</v>
      </c>
      <c r="E1071" s="395" t="s">
        <v>4</v>
      </c>
      <c r="F1071" s="396" t="s">
        <v>5269</v>
      </c>
      <c r="G1071" s="396" t="s">
        <v>781</v>
      </c>
      <c r="H1071" s="396" t="s">
        <v>5690</v>
      </c>
      <c r="I1071" s="396" t="s">
        <v>781</v>
      </c>
      <c r="J1071" s="396" t="s">
        <v>5690</v>
      </c>
      <c r="K1071" s="396" t="s">
        <v>781</v>
      </c>
      <c r="L1071" s="397">
        <v>2.16</v>
      </c>
      <c r="M1071" s="396" t="s">
        <v>4599</v>
      </c>
      <c r="N1071" s="397">
        <v>581034.89633969998</v>
      </c>
      <c r="O1071" s="396" t="s">
        <v>4917</v>
      </c>
    </row>
    <row r="1072" spans="1:15" ht="52.8" x14ac:dyDescent="0.4">
      <c r="A1072" s="396" t="s">
        <v>7558</v>
      </c>
      <c r="B1072" s="394" t="s">
        <v>439</v>
      </c>
      <c r="C1072" s="394" t="s">
        <v>7559</v>
      </c>
      <c r="D1072" s="394" t="s">
        <v>1039</v>
      </c>
      <c r="E1072" s="395" t="s">
        <v>675</v>
      </c>
      <c r="F1072" s="396" t="s">
        <v>7560</v>
      </c>
      <c r="G1072" s="396" t="s">
        <v>781</v>
      </c>
      <c r="H1072" s="396" t="s">
        <v>7561</v>
      </c>
      <c r="I1072" s="396" t="s">
        <v>781</v>
      </c>
      <c r="J1072" s="396" t="s">
        <v>5690</v>
      </c>
      <c r="K1072" s="396" t="s">
        <v>781</v>
      </c>
      <c r="L1072" s="397">
        <v>2.1582750000000002</v>
      </c>
      <c r="M1072" s="396" t="s">
        <v>4599</v>
      </c>
      <c r="N1072" s="397">
        <v>581037.05461470003</v>
      </c>
      <c r="O1072" s="396" t="s">
        <v>4917</v>
      </c>
    </row>
    <row r="1073" spans="1:15" x14ac:dyDescent="0.4">
      <c r="A1073" s="396" t="s">
        <v>4922</v>
      </c>
      <c r="B1073" s="394" t="s">
        <v>395</v>
      </c>
      <c r="C1073" s="394" t="s">
        <v>4923</v>
      </c>
      <c r="D1073" s="394" t="s">
        <v>1053</v>
      </c>
      <c r="E1073" s="395" t="s">
        <v>6</v>
      </c>
      <c r="F1073" s="396" t="s">
        <v>7563</v>
      </c>
      <c r="G1073" s="396" t="s">
        <v>781</v>
      </c>
      <c r="H1073" s="396" t="s">
        <v>7564</v>
      </c>
      <c r="I1073" s="396" t="s">
        <v>781</v>
      </c>
      <c r="J1073" s="396" t="s">
        <v>5692</v>
      </c>
      <c r="K1073" s="396" t="s">
        <v>781</v>
      </c>
      <c r="L1073" s="397">
        <v>2.0890642349999999</v>
      </c>
      <c r="M1073" s="396" t="s">
        <v>4599</v>
      </c>
      <c r="N1073" s="397">
        <v>581039.14367889997</v>
      </c>
      <c r="O1073" s="396" t="s">
        <v>4917</v>
      </c>
    </row>
    <row r="1074" spans="1:15" ht="26.4" x14ac:dyDescent="0.4">
      <c r="A1074" s="396" t="s">
        <v>4915</v>
      </c>
      <c r="B1074" s="394" t="s">
        <v>395</v>
      </c>
      <c r="C1074" s="394" t="s">
        <v>4916</v>
      </c>
      <c r="D1074" s="394" t="s">
        <v>1039</v>
      </c>
      <c r="E1074" s="395" t="s">
        <v>4</v>
      </c>
      <c r="F1074" s="396" t="s">
        <v>7565</v>
      </c>
      <c r="G1074" s="396" t="s">
        <v>781</v>
      </c>
      <c r="H1074" s="396" t="s">
        <v>5687</v>
      </c>
      <c r="I1074" s="396" t="s">
        <v>781</v>
      </c>
      <c r="J1074" s="396" t="s">
        <v>7402</v>
      </c>
      <c r="K1074" s="396" t="s">
        <v>781</v>
      </c>
      <c r="L1074" s="397">
        <v>2.053770906</v>
      </c>
      <c r="M1074" s="396" t="s">
        <v>4599</v>
      </c>
      <c r="N1074" s="397">
        <v>581041.19744979998</v>
      </c>
      <c r="O1074" s="396" t="s">
        <v>4917</v>
      </c>
    </row>
    <row r="1075" spans="1:15" x14ac:dyDescent="0.4">
      <c r="A1075" s="396" t="s">
        <v>1613</v>
      </c>
      <c r="B1075" s="394" t="s">
        <v>395</v>
      </c>
      <c r="C1075" s="394" t="s">
        <v>274</v>
      </c>
      <c r="D1075" s="394" t="s">
        <v>1039</v>
      </c>
      <c r="E1075" s="395" t="s">
        <v>3</v>
      </c>
      <c r="F1075" s="396" t="s">
        <v>7566</v>
      </c>
      <c r="G1075" s="396" t="s">
        <v>781</v>
      </c>
      <c r="H1075" s="396" t="s">
        <v>7567</v>
      </c>
      <c r="I1075" s="396" t="s">
        <v>781</v>
      </c>
      <c r="J1075" s="396" t="s">
        <v>5693</v>
      </c>
      <c r="K1075" s="396" t="s">
        <v>781</v>
      </c>
      <c r="L1075" s="397">
        <v>2.03241</v>
      </c>
      <c r="M1075" s="396" t="s">
        <v>4599</v>
      </c>
      <c r="N1075" s="397">
        <v>581043.22985979996</v>
      </c>
      <c r="O1075" s="396" t="s">
        <v>4917</v>
      </c>
    </row>
    <row r="1076" spans="1:15" x14ac:dyDescent="0.4">
      <c r="A1076" s="396" t="s">
        <v>1133</v>
      </c>
      <c r="B1076" s="394" t="s">
        <v>420</v>
      </c>
      <c r="C1076" s="394" t="s">
        <v>449</v>
      </c>
      <c r="D1076" s="394" t="s">
        <v>1039</v>
      </c>
      <c r="E1076" s="395" t="s">
        <v>422</v>
      </c>
      <c r="F1076" s="396" t="s">
        <v>5273</v>
      </c>
      <c r="G1076" s="396" t="s">
        <v>781</v>
      </c>
      <c r="H1076" s="396" t="s">
        <v>5295</v>
      </c>
      <c r="I1076" s="396" t="s">
        <v>781</v>
      </c>
      <c r="J1076" s="396" t="s">
        <v>7568</v>
      </c>
      <c r="K1076" s="396" t="s">
        <v>781</v>
      </c>
      <c r="L1076" s="397">
        <v>2</v>
      </c>
      <c r="M1076" s="396" t="s">
        <v>4599</v>
      </c>
      <c r="N1076" s="397">
        <v>581045.22985979996</v>
      </c>
      <c r="O1076" s="396" t="s">
        <v>4917</v>
      </c>
    </row>
    <row r="1077" spans="1:15" x14ac:dyDescent="0.4">
      <c r="A1077" s="396" t="s">
        <v>1585</v>
      </c>
      <c r="B1077" s="394" t="s">
        <v>408</v>
      </c>
      <c r="C1077" s="394" t="s">
        <v>1586</v>
      </c>
      <c r="D1077" s="394" t="s">
        <v>1039</v>
      </c>
      <c r="E1077" s="395" t="s">
        <v>4</v>
      </c>
      <c r="F1077" s="396" t="s">
        <v>5273</v>
      </c>
      <c r="G1077" s="396" t="s">
        <v>781</v>
      </c>
      <c r="H1077" s="396" t="s">
        <v>5295</v>
      </c>
      <c r="I1077" s="396" t="s">
        <v>781</v>
      </c>
      <c r="J1077" s="396" t="s">
        <v>7568</v>
      </c>
      <c r="K1077" s="396" t="s">
        <v>781</v>
      </c>
      <c r="L1077" s="397">
        <v>2</v>
      </c>
      <c r="M1077" s="396" t="s">
        <v>4599</v>
      </c>
      <c r="N1077" s="397">
        <v>581047.22985979996</v>
      </c>
      <c r="O1077" s="396" t="s">
        <v>4917</v>
      </c>
    </row>
    <row r="1078" spans="1:15" x14ac:dyDescent="0.4">
      <c r="A1078" s="396" t="s">
        <v>2573</v>
      </c>
      <c r="B1078" s="394" t="s">
        <v>395</v>
      </c>
      <c r="C1078" s="394" t="s">
        <v>305</v>
      </c>
      <c r="D1078" s="394" t="s">
        <v>1039</v>
      </c>
      <c r="E1078" s="395" t="s">
        <v>675</v>
      </c>
      <c r="F1078" s="396" t="s">
        <v>5698</v>
      </c>
      <c r="G1078" s="396" t="s">
        <v>781</v>
      </c>
      <c r="H1078" s="396" t="s">
        <v>5701</v>
      </c>
      <c r="I1078" s="396" t="s">
        <v>781</v>
      </c>
      <c r="J1078" s="396" t="s">
        <v>5501</v>
      </c>
      <c r="K1078" s="396" t="s">
        <v>781</v>
      </c>
      <c r="L1078" s="397">
        <v>1.9852799999999999</v>
      </c>
      <c r="M1078" s="396" t="s">
        <v>4599</v>
      </c>
      <c r="N1078" s="397">
        <v>581049.21513979998</v>
      </c>
      <c r="O1078" s="396" t="s">
        <v>4917</v>
      </c>
    </row>
    <row r="1079" spans="1:15" x14ac:dyDescent="0.4">
      <c r="A1079" s="396" t="s">
        <v>3265</v>
      </c>
      <c r="B1079" s="394" t="s">
        <v>420</v>
      </c>
      <c r="C1079" s="394" t="s">
        <v>3266</v>
      </c>
      <c r="D1079" s="394" t="s">
        <v>1317</v>
      </c>
      <c r="E1079" s="395" t="s">
        <v>1070</v>
      </c>
      <c r="F1079" s="396" t="s">
        <v>5697</v>
      </c>
      <c r="G1079" s="396" t="s">
        <v>781</v>
      </c>
      <c r="H1079" s="396" t="s">
        <v>7569</v>
      </c>
      <c r="I1079" s="396" t="s">
        <v>781</v>
      </c>
      <c r="J1079" s="396" t="s">
        <v>7570</v>
      </c>
      <c r="K1079" s="396" t="s">
        <v>781</v>
      </c>
      <c r="L1079" s="397">
        <v>1.953293385</v>
      </c>
      <c r="M1079" s="396" t="s">
        <v>4599</v>
      </c>
      <c r="N1079" s="397">
        <v>581051.16843319999</v>
      </c>
      <c r="O1079" s="396" t="s">
        <v>4917</v>
      </c>
    </row>
    <row r="1080" spans="1:15" ht="26.4" x14ac:dyDescent="0.4">
      <c r="A1080" s="396" t="s">
        <v>4962</v>
      </c>
      <c r="B1080" s="394" t="s">
        <v>395</v>
      </c>
      <c r="C1080" s="394" t="s">
        <v>4963</v>
      </c>
      <c r="D1080" s="394" t="s">
        <v>1039</v>
      </c>
      <c r="E1080" s="395" t="s">
        <v>4</v>
      </c>
      <c r="F1080" s="396" t="s">
        <v>7571</v>
      </c>
      <c r="G1080" s="396" t="s">
        <v>781</v>
      </c>
      <c r="H1080" s="396" t="s">
        <v>7572</v>
      </c>
      <c r="I1080" s="396" t="s">
        <v>781</v>
      </c>
      <c r="J1080" s="396" t="s">
        <v>5696</v>
      </c>
      <c r="K1080" s="396" t="s">
        <v>781</v>
      </c>
      <c r="L1080" s="397">
        <v>1.929268902</v>
      </c>
      <c r="M1080" s="396" t="s">
        <v>4599</v>
      </c>
      <c r="N1080" s="397">
        <v>581053.09770210006</v>
      </c>
      <c r="O1080" s="396" t="s">
        <v>4917</v>
      </c>
    </row>
    <row r="1081" spans="1:15" ht="26.4" x14ac:dyDescent="0.4">
      <c r="A1081" s="396" t="s">
        <v>4906</v>
      </c>
      <c r="B1081" s="394" t="s">
        <v>395</v>
      </c>
      <c r="C1081" s="394" t="s">
        <v>4907</v>
      </c>
      <c r="D1081" s="394" t="s">
        <v>1039</v>
      </c>
      <c r="E1081" s="395" t="s">
        <v>4</v>
      </c>
      <c r="F1081" s="396" t="s">
        <v>5269</v>
      </c>
      <c r="G1081" s="396" t="s">
        <v>781</v>
      </c>
      <c r="H1081" s="396" t="s">
        <v>5487</v>
      </c>
      <c r="I1081" s="396" t="s">
        <v>781</v>
      </c>
      <c r="J1081" s="396" t="s">
        <v>5487</v>
      </c>
      <c r="K1081" s="396" t="s">
        <v>781</v>
      </c>
      <c r="L1081" s="397">
        <v>1.88</v>
      </c>
      <c r="M1081" s="396" t="s">
        <v>4599</v>
      </c>
      <c r="N1081" s="397">
        <v>581054.97770209995</v>
      </c>
      <c r="O1081" s="396" t="s">
        <v>4917</v>
      </c>
    </row>
    <row r="1082" spans="1:15" ht="39.6" x14ac:dyDescent="0.4">
      <c r="A1082" s="396" t="s">
        <v>4931</v>
      </c>
      <c r="B1082" s="394" t="s">
        <v>395</v>
      </c>
      <c r="C1082" s="394" t="s">
        <v>4932</v>
      </c>
      <c r="D1082" s="394" t="s">
        <v>1317</v>
      </c>
      <c r="E1082" s="395" t="s">
        <v>4</v>
      </c>
      <c r="F1082" s="396" t="s">
        <v>7573</v>
      </c>
      <c r="G1082" s="396" t="s">
        <v>781</v>
      </c>
      <c r="H1082" s="396" t="s">
        <v>7574</v>
      </c>
      <c r="I1082" s="396" t="s">
        <v>781</v>
      </c>
      <c r="J1082" s="396" t="s">
        <v>5487</v>
      </c>
      <c r="K1082" s="396" t="s">
        <v>781</v>
      </c>
      <c r="L1082" s="397">
        <v>1.8792597120000001</v>
      </c>
      <c r="M1082" s="396" t="s">
        <v>4599</v>
      </c>
      <c r="N1082" s="397">
        <v>581056.85696180002</v>
      </c>
      <c r="O1082" s="396" t="s">
        <v>4917</v>
      </c>
    </row>
    <row r="1083" spans="1:15" ht="26.4" x14ac:dyDescent="0.4">
      <c r="A1083" s="396" t="s">
        <v>1094</v>
      </c>
      <c r="B1083" s="394" t="s">
        <v>431</v>
      </c>
      <c r="C1083" s="394" t="s">
        <v>1095</v>
      </c>
      <c r="D1083" s="394" t="s">
        <v>1039</v>
      </c>
      <c r="E1083" s="395" t="s">
        <v>4</v>
      </c>
      <c r="F1083" s="396" t="s">
        <v>5269</v>
      </c>
      <c r="G1083" s="396" t="s">
        <v>781</v>
      </c>
      <c r="H1083" s="396" t="s">
        <v>5477</v>
      </c>
      <c r="I1083" s="396" t="s">
        <v>781</v>
      </c>
      <c r="J1083" s="396" t="s">
        <v>5477</v>
      </c>
      <c r="K1083" s="396" t="s">
        <v>781</v>
      </c>
      <c r="L1083" s="397">
        <v>1.85</v>
      </c>
      <c r="M1083" s="396" t="s">
        <v>4599</v>
      </c>
      <c r="N1083" s="397">
        <v>581058.7069618</v>
      </c>
      <c r="O1083" s="396" t="s">
        <v>4917</v>
      </c>
    </row>
    <row r="1084" spans="1:15" x14ac:dyDescent="0.4">
      <c r="A1084" s="396" t="s">
        <v>2463</v>
      </c>
      <c r="B1084" s="394" t="s">
        <v>408</v>
      </c>
      <c r="C1084" s="394" t="s">
        <v>2464</v>
      </c>
      <c r="D1084" s="394" t="s">
        <v>1039</v>
      </c>
      <c r="E1084" s="395" t="s">
        <v>4</v>
      </c>
      <c r="F1084" s="396" t="s">
        <v>7439</v>
      </c>
      <c r="G1084" s="396" t="s">
        <v>781</v>
      </c>
      <c r="H1084" s="396" t="s">
        <v>7575</v>
      </c>
      <c r="I1084" s="396" t="s">
        <v>781</v>
      </c>
      <c r="J1084" s="396" t="s">
        <v>7576</v>
      </c>
      <c r="K1084" s="396" t="s">
        <v>781</v>
      </c>
      <c r="L1084" s="397">
        <v>1.827</v>
      </c>
      <c r="M1084" s="396" t="s">
        <v>4599</v>
      </c>
      <c r="N1084" s="397">
        <v>581060.53396180004</v>
      </c>
      <c r="O1084" s="396" t="s">
        <v>4917</v>
      </c>
    </row>
    <row r="1085" spans="1:15" x14ac:dyDescent="0.4">
      <c r="A1085" s="396" t="s">
        <v>7577</v>
      </c>
      <c r="B1085" s="394" t="s">
        <v>408</v>
      </c>
      <c r="C1085" s="394" t="s">
        <v>7578</v>
      </c>
      <c r="D1085" s="394" t="s">
        <v>1039</v>
      </c>
      <c r="E1085" s="395" t="s">
        <v>4</v>
      </c>
      <c r="F1085" s="396" t="s">
        <v>5273</v>
      </c>
      <c r="G1085" s="396" t="s">
        <v>781</v>
      </c>
      <c r="H1085" s="396" t="s">
        <v>7579</v>
      </c>
      <c r="I1085" s="396" t="s">
        <v>781</v>
      </c>
      <c r="J1085" s="396" t="s">
        <v>7580</v>
      </c>
      <c r="K1085" s="396" t="s">
        <v>781</v>
      </c>
      <c r="L1085" s="397">
        <v>1.82</v>
      </c>
      <c r="M1085" s="396" t="s">
        <v>4599</v>
      </c>
      <c r="N1085" s="397">
        <v>581062.35396179999</v>
      </c>
      <c r="O1085" s="396" t="s">
        <v>4917</v>
      </c>
    </row>
    <row r="1086" spans="1:15" ht="26.4" x14ac:dyDescent="0.4">
      <c r="A1086" s="396" t="s">
        <v>9545</v>
      </c>
      <c r="B1086" s="394" t="s">
        <v>5902</v>
      </c>
      <c r="C1086" s="394" t="s">
        <v>9546</v>
      </c>
      <c r="D1086" s="394" t="s">
        <v>1039</v>
      </c>
      <c r="E1086" s="395" t="s">
        <v>4</v>
      </c>
      <c r="F1086" s="396" t="s">
        <v>9547</v>
      </c>
      <c r="G1086" s="396" t="s">
        <v>781</v>
      </c>
      <c r="H1086" s="396" t="s">
        <v>5739</v>
      </c>
      <c r="I1086" s="396" t="s">
        <v>781</v>
      </c>
      <c r="J1086" s="396" t="s">
        <v>7580</v>
      </c>
      <c r="K1086" s="396" t="s">
        <v>781</v>
      </c>
      <c r="L1086" s="397">
        <v>1.8190249999999999</v>
      </c>
      <c r="M1086" s="396" t="s">
        <v>4599</v>
      </c>
      <c r="N1086" s="397">
        <v>581064.17298679997</v>
      </c>
      <c r="O1086" s="396" t="s">
        <v>4917</v>
      </c>
    </row>
    <row r="1087" spans="1:15" ht="26.4" x14ac:dyDescent="0.4">
      <c r="A1087" s="396" t="s">
        <v>3261</v>
      </c>
      <c r="B1087" s="394" t="s">
        <v>420</v>
      </c>
      <c r="C1087" s="394" t="s">
        <v>3262</v>
      </c>
      <c r="D1087" s="394" t="s">
        <v>1039</v>
      </c>
      <c r="E1087" s="395" t="s">
        <v>437</v>
      </c>
      <c r="F1087" s="396" t="s">
        <v>5269</v>
      </c>
      <c r="G1087" s="396" t="s">
        <v>781</v>
      </c>
      <c r="H1087" s="396" t="s">
        <v>5468</v>
      </c>
      <c r="I1087" s="396" t="s">
        <v>781</v>
      </c>
      <c r="J1087" s="396" t="s">
        <v>5468</v>
      </c>
      <c r="K1087" s="396" t="s">
        <v>781</v>
      </c>
      <c r="L1087" s="397">
        <v>1.79</v>
      </c>
      <c r="M1087" s="396" t="s">
        <v>4599</v>
      </c>
      <c r="N1087" s="397">
        <v>581065.9629868</v>
      </c>
      <c r="O1087" s="396" t="s">
        <v>4917</v>
      </c>
    </row>
    <row r="1088" spans="1:15" x14ac:dyDescent="0.4">
      <c r="A1088" s="396" t="s">
        <v>4908</v>
      </c>
      <c r="B1088" s="394" t="s">
        <v>395</v>
      </c>
      <c r="C1088" s="394" t="s">
        <v>4909</v>
      </c>
      <c r="D1088" s="394" t="s">
        <v>1039</v>
      </c>
      <c r="E1088" s="395" t="s">
        <v>3</v>
      </c>
      <c r="F1088" s="396" t="s">
        <v>5679</v>
      </c>
      <c r="G1088" s="396" t="s">
        <v>781</v>
      </c>
      <c r="H1088" s="396" t="s">
        <v>7581</v>
      </c>
      <c r="I1088" s="396" t="s">
        <v>781</v>
      </c>
      <c r="J1088" s="396" t="s">
        <v>5701</v>
      </c>
      <c r="K1088" s="396" t="s">
        <v>781</v>
      </c>
      <c r="L1088" s="397">
        <v>1.7558680499999999</v>
      </c>
      <c r="M1088" s="396" t="s">
        <v>4599</v>
      </c>
      <c r="N1088" s="397">
        <v>581067.71885489998</v>
      </c>
      <c r="O1088" s="396" t="s">
        <v>4917</v>
      </c>
    </row>
    <row r="1089" spans="1:15" ht="39.6" x14ac:dyDescent="0.4">
      <c r="A1089" s="396" t="s">
        <v>2369</v>
      </c>
      <c r="B1089" s="394" t="s">
        <v>5902</v>
      </c>
      <c r="C1089" s="394" t="s">
        <v>2370</v>
      </c>
      <c r="D1089" s="394" t="s">
        <v>1039</v>
      </c>
      <c r="E1089" s="395" t="s">
        <v>3</v>
      </c>
      <c r="F1089" s="396" t="s">
        <v>5269</v>
      </c>
      <c r="G1089" s="396" t="s">
        <v>781</v>
      </c>
      <c r="H1089" s="396" t="s">
        <v>5702</v>
      </c>
      <c r="I1089" s="396" t="s">
        <v>781</v>
      </c>
      <c r="J1089" s="396" t="s">
        <v>5702</v>
      </c>
      <c r="K1089" s="396" t="s">
        <v>781</v>
      </c>
      <c r="L1089" s="397">
        <v>1.75</v>
      </c>
      <c r="M1089" s="396" t="s">
        <v>4599</v>
      </c>
      <c r="N1089" s="397">
        <v>581069.46885489998</v>
      </c>
      <c r="O1089" s="396" t="s">
        <v>4917</v>
      </c>
    </row>
    <row r="1090" spans="1:15" x14ac:dyDescent="0.4">
      <c r="A1090" s="396" t="s">
        <v>4953</v>
      </c>
      <c r="B1090" s="394" t="s">
        <v>395</v>
      </c>
      <c r="C1090" s="394" t="s">
        <v>4954</v>
      </c>
      <c r="D1090" s="394" t="s">
        <v>1053</v>
      </c>
      <c r="E1090" s="395" t="s">
        <v>6</v>
      </c>
      <c r="F1090" s="396" t="s">
        <v>7582</v>
      </c>
      <c r="G1090" s="396" t="s">
        <v>781</v>
      </c>
      <c r="H1090" s="396" t="s">
        <v>6903</v>
      </c>
      <c r="I1090" s="396" t="s">
        <v>781</v>
      </c>
      <c r="J1090" s="396" t="s">
        <v>5705</v>
      </c>
      <c r="K1090" s="396" t="s">
        <v>781</v>
      </c>
      <c r="L1090" s="397">
        <v>1.7087583</v>
      </c>
      <c r="M1090" s="396" t="s">
        <v>4599</v>
      </c>
      <c r="N1090" s="397">
        <v>581071.17761320004</v>
      </c>
      <c r="O1090" s="396" t="s">
        <v>4917</v>
      </c>
    </row>
    <row r="1091" spans="1:15" ht="26.4" x14ac:dyDescent="0.4">
      <c r="A1091" s="396" t="s">
        <v>2498</v>
      </c>
      <c r="B1091" s="394" t="s">
        <v>395</v>
      </c>
      <c r="C1091" s="394" t="s">
        <v>269</v>
      </c>
      <c r="D1091" s="394" t="s">
        <v>1039</v>
      </c>
      <c r="E1091" s="395" t="s">
        <v>4</v>
      </c>
      <c r="F1091" s="396" t="s">
        <v>5699</v>
      </c>
      <c r="G1091" s="396" t="s">
        <v>781</v>
      </c>
      <c r="H1091" s="396" t="s">
        <v>7583</v>
      </c>
      <c r="I1091" s="396" t="s">
        <v>781</v>
      </c>
      <c r="J1091" s="396" t="s">
        <v>7584</v>
      </c>
      <c r="K1091" s="396" t="s">
        <v>781</v>
      </c>
      <c r="L1091" s="397">
        <v>1.6586730000000001</v>
      </c>
      <c r="M1091" s="396" t="s">
        <v>4599</v>
      </c>
      <c r="N1091" s="397">
        <v>581072.83628619998</v>
      </c>
      <c r="O1091" s="396" t="s">
        <v>4917</v>
      </c>
    </row>
    <row r="1092" spans="1:15" ht="26.4" x14ac:dyDescent="0.4">
      <c r="A1092" s="396" t="s">
        <v>4893</v>
      </c>
      <c r="B1092" s="394" t="s">
        <v>395</v>
      </c>
      <c r="C1092" s="394" t="s">
        <v>4894</v>
      </c>
      <c r="D1092" s="394" t="s">
        <v>1317</v>
      </c>
      <c r="E1092" s="395" t="s">
        <v>4</v>
      </c>
      <c r="F1092" s="396" t="s">
        <v>7585</v>
      </c>
      <c r="G1092" s="396" t="s">
        <v>781</v>
      </c>
      <c r="H1092" s="396" t="s">
        <v>7586</v>
      </c>
      <c r="I1092" s="396" t="s">
        <v>781</v>
      </c>
      <c r="J1092" s="396" t="s">
        <v>7584</v>
      </c>
      <c r="K1092" s="396" t="s">
        <v>781</v>
      </c>
      <c r="L1092" s="397">
        <v>1.6580826239999999</v>
      </c>
      <c r="M1092" s="396" t="s">
        <v>4599</v>
      </c>
      <c r="N1092" s="397">
        <v>581074.49436879996</v>
      </c>
      <c r="O1092" s="396" t="s">
        <v>4917</v>
      </c>
    </row>
    <row r="1093" spans="1:15" x14ac:dyDescent="0.4">
      <c r="A1093" s="396" t="s">
        <v>2297</v>
      </c>
      <c r="B1093" s="394" t="s">
        <v>395</v>
      </c>
      <c r="C1093" s="394" t="s">
        <v>277</v>
      </c>
      <c r="D1093" s="394" t="s">
        <v>1039</v>
      </c>
      <c r="E1093" s="395" t="s">
        <v>3</v>
      </c>
      <c r="F1093" s="396" t="s">
        <v>7589</v>
      </c>
      <c r="G1093" s="396" t="s">
        <v>781</v>
      </c>
      <c r="H1093" s="396" t="s">
        <v>5459</v>
      </c>
      <c r="I1093" s="396" t="s">
        <v>781</v>
      </c>
      <c r="J1093" s="396" t="s">
        <v>7588</v>
      </c>
      <c r="K1093" s="396" t="s">
        <v>781</v>
      </c>
      <c r="L1093" s="397">
        <v>1.65354</v>
      </c>
      <c r="M1093" s="396" t="s">
        <v>4599</v>
      </c>
      <c r="N1093" s="397">
        <v>581076.14790880005</v>
      </c>
      <c r="O1093" s="396" t="s">
        <v>4917</v>
      </c>
    </row>
    <row r="1094" spans="1:15" x14ac:dyDescent="0.4">
      <c r="A1094" s="396" t="s">
        <v>7590</v>
      </c>
      <c r="B1094" s="394" t="s">
        <v>395</v>
      </c>
      <c r="C1094" s="394" t="s">
        <v>7591</v>
      </c>
      <c r="D1094" s="394" t="s">
        <v>1039</v>
      </c>
      <c r="E1094" s="395" t="s">
        <v>3</v>
      </c>
      <c r="F1094" s="396" t="s">
        <v>7592</v>
      </c>
      <c r="G1094" s="396" t="s">
        <v>781</v>
      </c>
      <c r="H1094" s="396" t="s">
        <v>7593</v>
      </c>
      <c r="I1094" s="396" t="s">
        <v>781</v>
      </c>
      <c r="J1094" s="396" t="s">
        <v>5634</v>
      </c>
      <c r="K1094" s="396" t="s">
        <v>781</v>
      </c>
      <c r="L1094" s="397">
        <v>1.6389229999999999</v>
      </c>
      <c r="M1094" s="396" t="s">
        <v>4599</v>
      </c>
      <c r="N1094" s="397">
        <v>581077.78683180001</v>
      </c>
      <c r="O1094" s="396" t="s">
        <v>4917</v>
      </c>
    </row>
    <row r="1095" spans="1:15" ht="26.4" x14ac:dyDescent="0.4">
      <c r="A1095" s="396" t="s">
        <v>4918</v>
      </c>
      <c r="B1095" s="394" t="s">
        <v>395</v>
      </c>
      <c r="C1095" s="394" t="s">
        <v>4919</v>
      </c>
      <c r="D1095" s="394" t="s">
        <v>1039</v>
      </c>
      <c r="E1095" s="395" t="s">
        <v>4</v>
      </c>
      <c r="F1095" s="396" t="s">
        <v>5269</v>
      </c>
      <c r="G1095" s="396" t="s">
        <v>781</v>
      </c>
      <c r="H1095" s="396" t="s">
        <v>5510</v>
      </c>
      <c r="I1095" s="396" t="s">
        <v>781</v>
      </c>
      <c r="J1095" s="396" t="s">
        <v>5510</v>
      </c>
      <c r="K1095" s="396" t="s">
        <v>781</v>
      </c>
      <c r="L1095" s="397">
        <v>1.59</v>
      </c>
      <c r="M1095" s="396" t="s">
        <v>4599</v>
      </c>
      <c r="N1095" s="397">
        <v>581079.37683179998</v>
      </c>
      <c r="O1095" s="396" t="s">
        <v>4917</v>
      </c>
    </row>
    <row r="1096" spans="1:15" ht="26.4" x14ac:dyDescent="0.4">
      <c r="A1096" s="396" t="s">
        <v>4936</v>
      </c>
      <c r="B1096" s="394" t="s">
        <v>395</v>
      </c>
      <c r="C1096" s="394" t="s">
        <v>4937</v>
      </c>
      <c r="D1096" s="394" t="s">
        <v>1039</v>
      </c>
      <c r="E1096" s="395" t="s">
        <v>4</v>
      </c>
      <c r="F1096" s="396" t="s">
        <v>7594</v>
      </c>
      <c r="G1096" s="396" t="s">
        <v>781</v>
      </c>
      <c r="H1096" s="396" t="s">
        <v>7595</v>
      </c>
      <c r="I1096" s="396" t="s">
        <v>781</v>
      </c>
      <c r="J1096" s="396" t="s">
        <v>5566</v>
      </c>
      <c r="K1096" s="396" t="s">
        <v>781</v>
      </c>
      <c r="L1096" s="397">
        <v>1.577899776</v>
      </c>
      <c r="M1096" s="396" t="s">
        <v>4599</v>
      </c>
      <c r="N1096" s="397">
        <v>581080.95473160001</v>
      </c>
      <c r="O1096" s="396" t="s">
        <v>4917</v>
      </c>
    </row>
    <row r="1097" spans="1:15" x14ac:dyDescent="0.4">
      <c r="A1097" s="396" t="s">
        <v>1281</v>
      </c>
      <c r="B1097" s="394" t="s">
        <v>408</v>
      </c>
      <c r="C1097" s="394" t="s">
        <v>1282</v>
      </c>
      <c r="D1097" s="394" t="s">
        <v>1039</v>
      </c>
      <c r="E1097" s="395" t="s">
        <v>4</v>
      </c>
      <c r="F1097" s="396" t="s">
        <v>5669</v>
      </c>
      <c r="G1097" s="396" t="s">
        <v>781</v>
      </c>
      <c r="H1097" s="396" t="s">
        <v>6656</v>
      </c>
      <c r="I1097" s="396" t="s">
        <v>781</v>
      </c>
      <c r="J1097" s="396" t="s">
        <v>5566</v>
      </c>
      <c r="K1097" s="396" t="s">
        <v>781</v>
      </c>
      <c r="L1097" s="397">
        <v>1.5773999999999999</v>
      </c>
      <c r="M1097" s="396" t="s">
        <v>4599</v>
      </c>
      <c r="N1097" s="397">
        <v>581082.53213159996</v>
      </c>
      <c r="O1097" s="396" t="s">
        <v>4917</v>
      </c>
    </row>
    <row r="1098" spans="1:15" x14ac:dyDescent="0.4">
      <c r="A1098" s="396" t="s">
        <v>1250</v>
      </c>
      <c r="B1098" s="394" t="s">
        <v>408</v>
      </c>
      <c r="C1098" s="394" t="s">
        <v>1251</v>
      </c>
      <c r="D1098" s="394" t="s">
        <v>1039</v>
      </c>
      <c r="E1098" s="395" t="s">
        <v>4</v>
      </c>
      <c r="F1098" s="396" t="s">
        <v>5273</v>
      </c>
      <c r="G1098" s="396" t="s">
        <v>781</v>
      </c>
      <c r="H1098" s="396" t="s">
        <v>5330</v>
      </c>
      <c r="I1098" s="396" t="s">
        <v>781</v>
      </c>
      <c r="J1098" s="396" t="s">
        <v>7463</v>
      </c>
      <c r="K1098" s="396" t="s">
        <v>781</v>
      </c>
      <c r="L1098" s="397">
        <v>1.56</v>
      </c>
      <c r="M1098" s="396" t="s">
        <v>4599</v>
      </c>
      <c r="N1098" s="397">
        <v>581084.09213160002</v>
      </c>
      <c r="O1098" s="396" t="s">
        <v>4917</v>
      </c>
    </row>
    <row r="1099" spans="1:15" x14ac:dyDescent="0.4">
      <c r="A1099" s="396" t="s">
        <v>7596</v>
      </c>
      <c r="B1099" s="394" t="s">
        <v>408</v>
      </c>
      <c r="C1099" s="394" t="s">
        <v>7597</v>
      </c>
      <c r="D1099" s="394" t="s">
        <v>1039</v>
      </c>
      <c r="E1099" s="395" t="s">
        <v>4</v>
      </c>
      <c r="F1099" s="396" t="s">
        <v>5269</v>
      </c>
      <c r="G1099" s="396" t="s">
        <v>781</v>
      </c>
      <c r="H1099" s="396" t="s">
        <v>7463</v>
      </c>
      <c r="I1099" s="396" t="s">
        <v>781</v>
      </c>
      <c r="J1099" s="396" t="s">
        <v>7463</v>
      </c>
      <c r="K1099" s="396" t="s">
        <v>781</v>
      </c>
      <c r="L1099" s="397">
        <v>1.56</v>
      </c>
      <c r="M1099" s="396" t="s">
        <v>4599</v>
      </c>
      <c r="N1099" s="397">
        <v>581085.65213159996</v>
      </c>
      <c r="O1099" s="396" t="s">
        <v>4917</v>
      </c>
    </row>
    <row r="1100" spans="1:15" x14ac:dyDescent="0.4">
      <c r="A1100" s="396" t="s">
        <v>7598</v>
      </c>
      <c r="B1100" s="394" t="s">
        <v>439</v>
      </c>
      <c r="C1100" s="394" t="s">
        <v>4974</v>
      </c>
      <c r="D1100" s="394" t="s">
        <v>1039</v>
      </c>
      <c r="E1100" s="395" t="s">
        <v>1109</v>
      </c>
      <c r="F1100" s="396" t="s">
        <v>7005</v>
      </c>
      <c r="G1100" s="396" t="s">
        <v>781</v>
      </c>
      <c r="H1100" s="396" t="s">
        <v>5781</v>
      </c>
      <c r="I1100" s="396" t="s">
        <v>781</v>
      </c>
      <c r="J1100" s="396" t="s">
        <v>7599</v>
      </c>
      <c r="K1100" s="396" t="s">
        <v>781</v>
      </c>
      <c r="L1100" s="397">
        <v>1.55137532</v>
      </c>
      <c r="M1100" s="396" t="s">
        <v>4599</v>
      </c>
      <c r="N1100" s="397">
        <v>581087.2035069</v>
      </c>
      <c r="O1100" s="396" t="s">
        <v>4935</v>
      </c>
    </row>
    <row r="1101" spans="1:15" x14ac:dyDescent="0.4">
      <c r="A1101" s="396" t="s">
        <v>4938</v>
      </c>
      <c r="B1101" s="394" t="s">
        <v>395</v>
      </c>
      <c r="C1101" s="394" t="s">
        <v>4939</v>
      </c>
      <c r="D1101" s="394" t="s">
        <v>1053</v>
      </c>
      <c r="E1101" s="395" t="s">
        <v>6</v>
      </c>
      <c r="F1101" s="396" t="s">
        <v>7600</v>
      </c>
      <c r="G1101" s="396" t="s">
        <v>781</v>
      </c>
      <c r="H1101" s="396" t="s">
        <v>7394</v>
      </c>
      <c r="I1101" s="396" t="s">
        <v>781</v>
      </c>
      <c r="J1101" s="396" t="s">
        <v>7599</v>
      </c>
      <c r="K1101" s="396" t="s">
        <v>781</v>
      </c>
      <c r="L1101" s="397">
        <v>1.545168807</v>
      </c>
      <c r="M1101" s="396" t="s">
        <v>4599</v>
      </c>
      <c r="N1101" s="397">
        <v>581088.74867570004</v>
      </c>
      <c r="O1101" s="396" t="s">
        <v>4935</v>
      </c>
    </row>
    <row r="1102" spans="1:15" x14ac:dyDescent="0.4">
      <c r="A1102" s="396" t="s">
        <v>7601</v>
      </c>
      <c r="B1102" s="394" t="s">
        <v>408</v>
      </c>
      <c r="C1102" s="394" t="s">
        <v>7602</v>
      </c>
      <c r="D1102" s="394" t="s">
        <v>1039</v>
      </c>
      <c r="E1102" s="395" t="s">
        <v>7</v>
      </c>
      <c r="F1102" s="396" t="s">
        <v>7603</v>
      </c>
      <c r="G1102" s="396" t="s">
        <v>781</v>
      </c>
      <c r="H1102" s="396" t="s">
        <v>7604</v>
      </c>
      <c r="I1102" s="396" t="s">
        <v>781</v>
      </c>
      <c r="J1102" s="396" t="s">
        <v>5708</v>
      </c>
      <c r="K1102" s="396" t="s">
        <v>781</v>
      </c>
      <c r="L1102" s="397">
        <v>1.50675</v>
      </c>
      <c r="M1102" s="396" t="s">
        <v>4599</v>
      </c>
      <c r="N1102" s="397">
        <v>581090.25542569999</v>
      </c>
      <c r="O1102" s="396" t="s">
        <v>4935</v>
      </c>
    </row>
    <row r="1103" spans="1:15" x14ac:dyDescent="0.4">
      <c r="A1103" s="396" t="s">
        <v>4972</v>
      </c>
      <c r="B1103" s="394" t="s">
        <v>395</v>
      </c>
      <c r="C1103" s="394" t="s">
        <v>4973</v>
      </c>
      <c r="D1103" s="394" t="s">
        <v>1053</v>
      </c>
      <c r="E1103" s="395" t="s">
        <v>6</v>
      </c>
      <c r="F1103" s="396" t="s">
        <v>9548</v>
      </c>
      <c r="G1103" s="396" t="s">
        <v>781</v>
      </c>
      <c r="H1103" s="396" t="s">
        <v>7643</v>
      </c>
      <c r="I1103" s="396" t="s">
        <v>781</v>
      </c>
      <c r="J1103" s="396" t="s">
        <v>9549</v>
      </c>
      <c r="K1103" s="396" t="s">
        <v>781</v>
      </c>
      <c r="L1103" s="397">
        <v>1.4739794580000001</v>
      </c>
      <c r="M1103" s="396" t="s">
        <v>4599</v>
      </c>
      <c r="N1103" s="397">
        <v>581091.72940519999</v>
      </c>
      <c r="O1103" s="396" t="s">
        <v>4935</v>
      </c>
    </row>
    <row r="1104" spans="1:15" ht="26.4" x14ac:dyDescent="0.4">
      <c r="A1104" s="396" t="s">
        <v>4940</v>
      </c>
      <c r="B1104" s="394" t="s">
        <v>395</v>
      </c>
      <c r="C1104" s="394" t="s">
        <v>4941</v>
      </c>
      <c r="D1104" s="394" t="s">
        <v>1039</v>
      </c>
      <c r="E1104" s="395" t="s">
        <v>4</v>
      </c>
      <c r="F1104" s="396" t="s">
        <v>7605</v>
      </c>
      <c r="G1104" s="396" t="s">
        <v>781</v>
      </c>
      <c r="H1104" s="396" t="s">
        <v>7606</v>
      </c>
      <c r="I1104" s="396" t="s">
        <v>781</v>
      </c>
      <c r="J1104" s="396" t="s">
        <v>5709</v>
      </c>
      <c r="K1104" s="396" t="s">
        <v>781</v>
      </c>
      <c r="L1104" s="397">
        <v>1.4636328000000001</v>
      </c>
      <c r="M1104" s="396" t="s">
        <v>4599</v>
      </c>
      <c r="N1104" s="397">
        <v>581093.19303800003</v>
      </c>
      <c r="O1104" s="396" t="s">
        <v>4935</v>
      </c>
    </row>
    <row r="1105" spans="1:15" x14ac:dyDescent="0.4">
      <c r="A1105" s="396" t="s">
        <v>2418</v>
      </c>
      <c r="B1105" s="394" t="s">
        <v>408</v>
      </c>
      <c r="C1105" s="394" t="s">
        <v>2419</v>
      </c>
      <c r="D1105" s="394" t="s">
        <v>1039</v>
      </c>
      <c r="E1105" s="395" t="s">
        <v>4</v>
      </c>
      <c r="F1105" s="396" t="s">
        <v>5617</v>
      </c>
      <c r="G1105" s="396" t="s">
        <v>781</v>
      </c>
      <c r="H1105" s="396" t="s">
        <v>7607</v>
      </c>
      <c r="I1105" s="396" t="s">
        <v>781</v>
      </c>
      <c r="J1105" s="396" t="s">
        <v>5709</v>
      </c>
      <c r="K1105" s="396" t="s">
        <v>781</v>
      </c>
      <c r="L1105" s="397">
        <v>1.4610000000000001</v>
      </c>
      <c r="M1105" s="396" t="s">
        <v>4599</v>
      </c>
      <c r="N1105" s="397">
        <v>581094.65403800004</v>
      </c>
      <c r="O1105" s="396" t="s">
        <v>4935</v>
      </c>
    </row>
    <row r="1106" spans="1:15" x14ac:dyDescent="0.4">
      <c r="A1106" s="396" t="s">
        <v>2484</v>
      </c>
      <c r="B1106" s="394" t="s">
        <v>420</v>
      </c>
      <c r="C1106" s="394" t="s">
        <v>2485</v>
      </c>
      <c r="D1106" s="394" t="s">
        <v>1039</v>
      </c>
      <c r="E1106" s="395" t="s">
        <v>1246</v>
      </c>
      <c r="F1106" s="396" t="s">
        <v>5710</v>
      </c>
      <c r="G1106" s="396" t="s">
        <v>781</v>
      </c>
      <c r="H1106" s="396" t="s">
        <v>7608</v>
      </c>
      <c r="I1106" s="396" t="s">
        <v>781</v>
      </c>
      <c r="J1106" s="396" t="s">
        <v>5709</v>
      </c>
      <c r="K1106" s="396" t="s">
        <v>781</v>
      </c>
      <c r="L1106" s="397">
        <v>1.4604999999999999</v>
      </c>
      <c r="M1106" s="396" t="s">
        <v>4599</v>
      </c>
      <c r="N1106" s="397">
        <v>581096.11453799997</v>
      </c>
      <c r="O1106" s="396" t="s">
        <v>4935</v>
      </c>
    </row>
    <row r="1107" spans="1:15" x14ac:dyDescent="0.4">
      <c r="A1107" s="396" t="s">
        <v>7609</v>
      </c>
      <c r="B1107" s="394" t="s">
        <v>439</v>
      </c>
      <c r="C1107" s="394" t="s">
        <v>4926</v>
      </c>
      <c r="D1107" s="394" t="s">
        <v>1039</v>
      </c>
      <c r="E1107" s="395" t="s">
        <v>422</v>
      </c>
      <c r="F1107" s="396" t="s">
        <v>5694</v>
      </c>
      <c r="G1107" s="396" t="s">
        <v>781</v>
      </c>
      <c r="H1107" s="396" t="s">
        <v>5496</v>
      </c>
      <c r="I1107" s="396" t="s">
        <v>781</v>
      </c>
      <c r="J1107" s="396" t="s">
        <v>7610</v>
      </c>
      <c r="K1107" s="396" t="s">
        <v>781</v>
      </c>
      <c r="L1107" s="397">
        <v>1.453333188</v>
      </c>
      <c r="M1107" s="396" t="s">
        <v>4599</v>
      </c>
      <c r="N1107" s="397">
        <v>581097.56787120004</v>
      </c>
      <c r="O1107" s="396" t="s">
        <v>4935</v>
      </c>
    </row>
    <row r="1108" spans="1:15" ht="26.4" x14ac:dyDescent="0.4">
      <c r="A1108" s="396" t="s">
        <v>3267</v>
      </c>
      <c r="B1108" s="394" t="s">
        <v>420</v>
      </c>
      <c r="C1108" s="394" t="s">
        <v>3268</v>
      </c>
      <c r="D1108" s="394" t="s">
        <v>1317</v>
      </c>
      <c r="E1108" s="395" t="s">
        <v>1070</v>
      </c>
      <c r="F1108" s="396" t="s">
        <v>5712</v>
      </c>
      <c r="G1108" s="396" t="s">
        <v>781</v>
      </c>
      <c r="H1108" s="396" t="s">
        <v>5713</v>
      </c>
      <c r="I1108" s="396" t="s">
        <v>781</v>
      </c>
      <c r="J1108" s="396" t="s">
        <v>5714</v>
      </c>
      <c r="K1108" s="396" t="s">
        <v>781</v>
      </c>
      <c r="L1108" s="397">
        <v>1.395460825</v>
      </c>
      <c r="M1108" s="396" t="s">
        <v>4599</v>
      </c>
      <c r="N1108" s="397">
        <v>581098.96333199996</v>
      </c>
      <c r="O1108" s="396" t="s">
        <v>4935</v>
      </c>
    </row>
    <row r="1109" spans="1:15" ht="26.4" x14ac:dyDescent="0.4">
      <c r="A1109" s="396" t="s">
        <v>4929</v>
      </c>
      <c r="B1109" s="394" t="s">
        <v>395</v>
      </c>
      <c r="C1109" s="394" t="s">
        <v>4930</v>
      </c>
      <c r="D1109" s="394" t="s">
        <v>1039</v>
      </c>
      <c r="E1109" s="395" t="s">
        <v>7</v>
      </c>
      <c r="F1109" s="396" t="s">
        <v>5269</v>
      </c>
      <c r="G1109" s="396" t="s">
        <v>781</v>
      </c>
      <c r="H1109" s="396" t="s">
        <v>7612</v>
      </c>
      <c r="I1109" s="396" t="s">
        <v>781</v>
      </c>
      <c r="J1109" s="396" t="s">
        <v>7612</v>
      </c>
      <c r="K1109" s="396" t="s">
        <v>781</v>
      </c>
      <c r="L1109" s="397">
        <v>1.39</v>
      </c>
      <c r="M1109" s="396" t="s">
        <v>4599</v>
      </c>
      <c r="N1109" s="397">
        <v>581100.35333199997</v>
      </c>
      <c r="O1109" s="396" t="s">
        <v>4935</v>
      </c>
    </row>
    <row r="1110" spans="1:15" ht="26.4" x14ac:dyDescent="0.4">
      <c r="A1110" s="396" t="s">
        <v>9550</v>
      </c>
      <c r="B1110" s="394" t="s">
        <v>395</v>
      </c>
      <c r="C1110" s="394" t="s">
        <v>9551</v>
      </c>
      <c r="D1110" s="394" t="s">
        <v>1039</v>
      </c>
      <c r="E1110" s="395" t="s">
        <v>7</v>
      </c>
      <c r="F1110" s="396" t="s">
        <v>9552</v>
      </c>
      <c r="G1110" s="396" t="s">
        <v>781</v>
      </c>
      <c r="H1110" s="396" t="s">
        <v>9553</v>
      </c>
      <c r="I1110" s="396" t="s">
        <v>781</v>
      </c>
      <c r="J1110" s="396" t="s">
        <v>9554</v>
      </c>
      <c r="K1110" s="396" t="s">
        <v>781</v>
      </c>
      <c r="L1110" s="397">
        <v>1.365</v>
      </c>
      <c r="M1110" s="396" t="s">
        <v>4599</v>
      </c>
      <c r="N1110" s="397">
        <v>581101.71833199996</v>
      </c>
      <c r="O1110" s="396" t="s">
        <v>4935</v>
      </c>
    </row>
    <row r="1111" spans="1:15" ht="39.6" x14ac:dyDescent="0.4">
      <c r="A1111" s="396" t="s">
        <v>7613</v>
      </c>
      <c r="B1111" s="394" t="s">
        <v>439</v>
      </c>
      <c r="C1111" s="394" t="s">
        <v>7614</v>
      </c>
      <c r="D1111" s="394" t="s">
        <v>1039</v>
      </c>
      <c r="E1111" s="395" t="s">
        <v>422</v>
      </c>
      <c r="F1111" s="396" t="s">
        <v>5640</v>
      </c>
      <c r="G1111" s="396" t="s">
        <v>781</v>
      </c>
      <c r="H1111" s="396" t="s">
        <v>5616</v>
      </c>
      <c r="I1111" s="396" t="s">
        <v>781</v>
      </c>
      <c r="J1111" s="396" t="s">
        <v>5716</v>
      </c>
      <c r="K1111" s="396" t="s">
        <v>781</v>
      </c>
      <c r="L1111" s="397">
        <v>1.360000068</v>
      </c>
      <c r="M1111" s="396" t="s">
        <v>4599</v>
      </c>
      <c r="N1111" s="397">
        <v>581103.07833209995</v>
      </c>
      <c r="O1111" s="396" t="s">
        <v>4935</v>
      </c>
    </row>
    <row r="1112" spans="1:15" x14ac:dyDescent="0.4">
      <c r="A1112" s="396" t="s">
        <v>7620</v>
      </c>
      <c r="B1112" s="394" t="s">
        <v>439</v>
      </c>
      <c r="C1112" s="394" t="s">
        <v>4975</v>
      </c>
      <c r="D1112" s="394" t="s">
        <v>1053</v>
      </c>
      <c r="E1112" s="395" t="s">
        <v>6</v>
      </c>
      <c r="F1112" s="396" t="s">
        <v>7621</v>
      </c>
      <c r="G1112" s="396" t="s">
        <v>781</v>
      </c>
      <c r="H1112" s="396" t="s">
        <v>7385</v>
      </c>
      <c r="I1112" s="396" t="s">
        <v>781</v>
      </c>
      <c r="J1112" s="396" t="s">
        <v>5716</v>
      </c>
      <c r="K1112" s="396" t="s">
        <v>781</v>
      </c>
      <c r="L1112" s="397">
        <v>1.3569334879999999</v>
      </c>
      <c r="M1112" s="396" t="s">
        <v>4599</v>
      </c>
      <c r="N1112" s="397">
        <v>581104.43526559998</v>
      </c>
      <c r="O1112" s="396" t="s">
        <v>4935</v>
      </c>
    </row>
    <row r="1113" spans="1:15" ht="26.4" x14ac:dyDescent="0.4">
      <c r="A1113" s="396" t="s">
        <v>2285</v>
      </c>
      <c r="B1113" s="394" t="s">
        <v>5902</v>
      </c>
      <c r="C1113" s="394" t="s">
        <v>2286</v>
      </c>
      <c r="D1113" s="394" t="s">
        <v>1039</v>
      </c>
      <c r="E1113" s="395" t="s">
        <v>3</v>
      </c>
      <c r="F1113" s="396" t="s">
        <v>5731</v>
      </c>
      <c r="G1113" s="396" t="s">
        <v>781</v>
      </c>
      <c r="H1113" s="396" t="s">
        <v>7615</v>
      </c>
      <c r="I1113" s="396" t="s">
        <v>781</v>
      </c>
      <c r="J1113" s="396" t="s">
        <v>6953</v>
      </c>
      <c r="K1113" s="396" t="s">
        <v>781</v>
      </c>
      <c r="L1113" s="397">
        <v>1.3373360000000001</v>
      </c>
      <c r="M1113" s="396" t="s">
        <v>4599</v>
      </c>
      <c r="N1113" s="397">
        <v>581105.77260160004</v>
      </c>
      <c r="O1113" s="396" t="s">
        <v>4935</v>
      </c>
    </row>
    <row r="1114" spans="1:15" x14ac:dyDescent="0.4">
      <c r="A1114" s="396" t="s">
        <v>1555</v>
      </c>
      <c r="B1114" s="394" t="s">
        <v>408</v>
      </c>
      <c r="C1114" s="394" t="s">
        <v>1556</v>
      </c>
      <c r="D1114" s="394" t="s">
        <v>1039</v>
      </c>
      <c r="E1114" s="395" t="s">
        <v>6</v>
      </c>
      <c r="F1114" s="396" t="s">
        <v>7616</v>
      </c>
      <c r="G1114" s="396" t="s">
        <v>781</v>
      </c>
      <c r="H1114" s="396" t="s">
        <v>7617</v>
      </c>
      <c r="I1114" s="396" t="s">
        <v>781</v>
      </c>
      <c r="J1114" s="396" t="s">
        <v>7618</v>
      </c>
      <c r="K1114" s="396" t="s">
        <v>781</v>
      </c>
      <c r="L1114" s="397">
        <v>1.3160000000000001</v>
      </c>
      <c r="M1114" s="396" t="s">
        <v>4599</v>
      </c>
      <c r="N1114" s="397">
        <v>581107.08860160003</v>
      </c>
      <c r="O1114" s="396" t="s">
        <v>4935</v>
      </c>
    </row>
    <row r="1115" spans="1:15" x14ac:dyDescent="0.4">
      <c r="A1115" s="396" t="s">
        <v>4944</v>
      </c>
      <c r="B1115" s="394" t="s">
        <v>420</v>
      </c>
      <c r="C1115" s="394" t="s">
        <v>4945</v>
      </c>
      <c r="D1115" s="394" t="s">
        <v>1039</v>
      </c>
      <c r="E1115" s="395" t="s">
        <v>4946</v>
      </c>
      <c r="F1115" s="396" t="s">
        <v>5717</v>
      </c>
      <c r="G1115" s="396" t="s">
        <v>781</v>
      </c>
      <c r="H1115" s="396" t="s">
        <v>5613</v>
      </c>
      <c r="I1115" s="396" t="s">
        <v>781</v>
      </c>
      <c r="J1115" s="396" t="s">
        <v>5718</v>
      </c>
      <c r="K1115" s="396" t="s">
        <v>781</v>
      </c>
      <c r="L1115" s="397">
        <v>1.3094112</v>
      </c>
      <c r="M1115" s="396" t="s">
        <v>4599</v>
      </c>
      <c r="N1115" s="397">
        <v>581108.39801280003</v>
      </c>
      <c r="O1115" s="396" t="s">
        <v>4935</v>
      </c>
    </row>
    <row r="1116" spans="1:15" x14ac:dyDescent="0.4">
      <c r="A1116" s="396" t="s">
        <v>3273</v>
      </c>
      <c r="B1116" s="394" t="s">
        <v>420</v>
      </c>
      <c r="C1116" s="394" t="s">
        <v>3274</v>
      </c>
      <c r="D1116" s="394" t="s">
        <v>1317</v>
      </c>
      <c r="E1116" s="395" t="s">
        <v>1070</v>
      </c>
      <c r="F1116" s="396" t="s">
        <v>5712</v>
      </c>
      <c r="G1116" s="396" t="s">
        <v>781</v>
      </c>
      <c r="H1116" s="396" t="s">
        <v>7619</v>
      </c>
      <c r="I1116" s="396" t="s">
        <v>781</v>
      </c>
      <c r="J1116" s="396" t="s">
        <v>5718</v>
      </c>
      <c r="K1116" s="396" t="s">
        <v>781</v>
      </c>
      <c r="L1116" s="397">
        <v>1.30711332</v>
      </c>
      <c r="M1116" s="396" t="s">
        <v>4599</v>
      </c>
      <c r="N1116" s="397">
        <v>581109.70512609999</v>
      </c>
      <c r="O1116" s="396" t="s">
        <v>4935</v>
      </c>
    </row>
    <row r="1117" spans="1:15" ht="26.4" x14ac:dyDescent="0.4">
      <c r="A1117" s="396" t="s">
        <v>4958</v>
      </c>
      <c r="B1117" s="394" t="s">
        <v>439</v>
      </c>
      <c r="C1117" s="394" t="s">
        <v>4959</v>
      </c>
      <c r="D1117" s="394" t="s">
        <v>2381</v>
      </c>
      <c r="E1117" s="395" t="s">
        <v>1109</v>
      </c>
      <c r="F1117" s="396" t="s">
        <v>5412</v>
      </c>
      <c r="G1117" s="396" t="s">
        <v>781</v>
      </c>
      <c r="H1117" s="396" t="s">
        <v>5774</v>
      </c>
      <c r="I1117" s="396" t="s">
        <v>781</v>
      </c>
      <c r="J1117" s="396" t="s">
        <v>7252</v>
      </c>
      <c r="K1117" s="396" t="s">
        <v>781</v>
      </c>
      <c r="L1117" s="397">
        <v>1.2966666</v>
      </c>
      <c r="M1117" s="396" t="s">
        <v>4599</v>
      </c>
      <c r="N1117" s="397">
        <v>581111.00179270003</v>
      </c>
      <c r="O1117" s="396" t="s">
        <v>4935</v>
      </c>
    </row>
    <row r="1118" spans="1:15" ht="26.4" x14ac:dyDescent="0.4">
      <c r="A1118" s="396" t="s">
        <v>4949</v>
      </c>
      <c r="B1118" s="394" t="s">
        <v>395</v>
      </c>
      <c r="C1118" s="394" t="s">
        <v>4950</v>
      </c>
      <c r="D1118" s="394" t="s">
        <v>1039</v>
      </c>
      <c r="E1118" s="395" t="s">
        <v>380</v>
      </c>
      <c r="F1118" s="396" t="s">
        <v>5519</v>
      </c>
      <c r="G1118" s="396" t="s">
        <v>781</v>
      </c>
      <c r="H1118" s="396" t="s">
        <v>5404</v>
      </c>
      <c r="I1118" s="396" t="s">
        <v>781</v>
      </c>
      <c r="J1118" s="396" t="s">
        <v>5720</v>
      </c>
      <c r="K1118" s="396" t="s">
        <v>781</v>
      </c>
      <c r="L1118" s="397">
        <v>1.2790713600000001</v>
      </c>
      <c r="M1118" s="396" t="s">
        <v>4599</v>
      </c>
      <c r="N1118" s="397">
        <v>581112.28086409997</v>
      </c>
      <c r="O1118" s="396" t="s">
        <v>4935</v>
      </c>
    </row>
    <row r="1119" spans="1:15" x14ac:dyDescent="0.4">
      <c r="A1119" s="396" t="s">
        <v>1587</v>
      </c>
      <c r="B1119" s="394" t="s">
        <v>408</v>
      </c>
      <c r="C1119" s="394" t="s">
        <v>1588</v>
      </c>
      <c r="D1119" s="394" t="s">
        <v>1039</v>
      </c>
      <c r="E1119" s="395" t="s">
        <v>4</v>
      </c>
      <c r="F1119" s="396" t="s">
        <v>5269</v>
      </c>
      <c r="G1119" s="396" t="s">
        <v>781</v>
      </c>
      <c r="H1119" s="396" t="s">
        <v>5324</v>
      </c>
      <c r="I1119" s="396" t="s">
        <v>781</v>
      </c>
      <c r="J1119" s="396" t="s">
        <v>5324</v>
      </c>
      <c r="K1119" s="396" t="s">
        <v>781</v>
      </c>
      <c r="L1119" s="397">
        <v>1.26</v>
      </c>
      <c r="M1119" s="396" t="s">
        <v>4599</v>
      </c>
      <c r="N1119" s="397">
        <v>581113.54086409998</v>
      </c>
      <c r="O1119" s="396" t="s">
        <v>4935</v>
      </c>
    </row>
    <row r="1120" spans="1:15" x14ac:dyDescent="0.4">
      <c r="A1120" s="396" t="s">
        <v>1252</v>
      </c>
      <c r="B1120" s="394" t="s">
        <v>408</v>
      </c>
      <c r="C1120" s="394" t="s">
        <v>1253</v>
      </c>
      <c r="D1120" s="394" t="s">
        <v>1039</v>
      </c>
      <c r="E1120" s="395" t="s">
        <v>4</v>
      </c>
      <c r="F1120" s="396" t="s">
        <v>5269</v>
      </c>
      <c r="G1120" s="396" t="s">
        <v>781</v>
      </c>
      <c r="H1120" s="396" t="s">
        <v>5723</v>
      </c>
      <c r="I1120" s="396" t="s">
        <v>781</v>
      </c>
      <c r="J1120" s="396" t="s">
        <v>5723</v>
      </c>
      <c r="K1120" s="396" t="s">
        <v>781</v>
      </c>
      <c r="L1120" s="397">
        <v>1.2</v>
      </c>
      <c r="M1120" s="396" t="s">
        <v>4599</v>
      </c>
      <c r="N1120" s="397">
        <v>581114.74086410005</v>
      </c>
      <c r="O1120" s="396" t="s">
        <v>4935</v>
      </c>
    </row>
    <row r="1121" spans="1:15" x14ac:dyDescent="0.4">
      <c r="A1121" s="396" t="s">
        <v>4947</v>
      </c>
      <c r="B1121" s="394" t="s">
        <v>420</v>
      </c>
      <c r="C1121" s="394" t="s">
        <v>4948</v>
      </c>
      <c r="D1121" s="394" t="s">
        <v>1039</v>
      </c>
      <c r="E1121" s="395" t="s">
        <v>422</v>
      </c>
      <c r="F1121" s="396" t="s">
        <v>5722</v>
      </c>
      <c r="G1121" s="396" t="s">
        <v>781</v>
      </c>
      <c r="H1121" s="396" t="s">
        <v>7622</v>
      </c>
      <c r="I1121" s="396" t="s">
        <v>781</v>
      </c>
      <c r="J1121" s="396" t="s">
        <v>5726</v>
      </c>
      <c r="K1121" s="396" t="s">
        <v>781</v>
      </c>
      <c r="L1121" s="397">
        <v>1.1708339999999999</v>
      </c>
      <c r="M1121" s="396" t="s">
        <v>4599</v>
      </c>
      <c r="N1121" s="397">
        <v>581115.91169810004</v>
      </c>
      <c r="O1121" s="396" t="s">
        <v>4935</v>
      </c>
    </row>
    <row r="1122" spans="1:15" ht="26.4" x14ac:dyDescent="0.4">
      <c r="A1122" s="396" t="s">
        <v>4966</v>
      </c>
      <c r="B1122" s="394" t="s">
        <v>439</v>
      </c>
      <c r="C1122" s="394" t="s">
        <v>4967</v>
      </c>
      <c r="D1122" s="394" t="s">
        <v>2381</v>
      </c>
      <c r="E1122" s="395" t="s">
        <v>1109</v>
      </c>
      <c r="F1122" s="396" t="s">
        <v>5412</v>
      </c>
      <c r="G1122" s="396" t="s">
        <v>781</v>
      </c>
      <c r="H1122" s="396" t="s">
        <v>7623</v>
      </c>
      <c r="I1122" s="396" t="s">
        <v>781</v>
      </c>
      <c r="J1122" s="396" t="s">
        <v>5726</v>
      </c>
      <c r="K1122" s="396" t="s">
        <v>781</v>
      </c>
      <c r="L1122" s="397">
        <v>1.16699994</v>
      </c>
      <c r="M1122" s="396" t="s">
        <v>4599</v>
      </c>
      <c r="N1122" s="397">
        <v>581117.07869800006</v>
      </c>
      <c r="O1122" s="396" t="s">
        <v>4935</v>
      </c>
    </row>
    <row r="1123" spans="1:15" x14ac:dyDescent="0.4">
      <c r="A1123" s="396" t="s">
        <v>4956</v>
      </c>
      <c r="B1123" s="394" t="s">
        <v>420</v>
      </c>
      <c r="C1123" s="394" t="s">
        <v>4957</v>
      </c>
      <c r="D1123" s="394" t="s">
        <v>1039</v>
      </c>
      <c r="E1123" s="395" t="s">
        <v>422</v>
      </c>
      <c r="F1123" s="396" t="s">
        <v>5651</v>
      </c>
      <c r="G1123" s="396" t="s">
        <v>781</v>
      </c>
      <c r="H1123" s="396" t="s">
        <v>7624</v>
      </c>
      <c r="I1123" s="396" t="s">
        <v>781</v>
      </c>
      <c r="J1123" s="396" t="s">
        <v>5659</v>
      </c>
      <c r="K1123" s="396" t="s">
        <v>781</v>
      </c>
      <c r="L1123" s="397">
        <v>1.163864912</v>
      </c>
      <c r="M1123" s="396" t="s">
        <v>4599</v>
      </c>
      <c r="N1123" s="397">
        <v>581118.24256289995</v>
      </c>
      <c r="O1123" s="396" t="s">
        <v>4935</v>
      </c>
    </row>
    <row r="1124" spans="1:15" x14ac:dyDescent="0.4">
      <c r="A1124" s="396" t="s">
        <v>2509</v>
      </c>
      <c r="B1124" s="394" t="s">
        <v>420</v>
      </c>
      <c r="C1124" s="394" t="s">
        <v>2510</v>
      </c>
      <c r="D1124" s="394" t="s">
        <v>1039</v>
      </c>
      <c r="E1124" s="395" t="s">
        <v>1246</v>
      </c>
      <c r="F1124" s="396" t="s">
        <v>5727</v>
      </c>
      <c r="G1124" s="396" t="s">
        <v>781</v>
      </c>
      <c r="H1124" s="396" t="s">
        <v>7625</v>
      </c>
      <c r="I1124" s="396" t="s">
        <v>781</v>
      </c>
      <c r="J1124" s="396" t="s">
        <v>5659</v>
      </c>
      <c r="K1124" s="396" t="s">
        <v>781</v>
      </c>
      <c r="L1124" s="397">
        <v>1.16028</v>
      </c>
      <c r="M1124" s="396" t="s">
        <v>4599</v>
      </c>
      <c r="N1124" s="397">
        <v>581119.40284290002</v>
      </c>
      <c r="O1124" s="396" t="s">
        <v>4935</v>
      </c>
    </row>
    <row r="1125" spans="1:15" ht="26.4" x14ac:dyDescent="0.4">
      <c r="A1125" s="396" t="s">
        <v>4942</v>
      </c>
      <c r="B1125" s="394" t="s">
        <v>395</v>
      </c>
      <c r="C1125" s="394" t="s">
        <v>4943</v>
      </c>
      <c r="D1125" s="394" t="s">
        <v>1039</v>
      </c>
      <c r="E1125" s="395" t="s">
        <v>4</v>
      </c>
      <c r="F1125" s="396" t="s">
        <v>5715</v>
      </c>
      <c r="G1125" s="396" t="s">
        <v>781</v>
      </c>
      <c r="H1125" s="396" t="s">
        <v>5676</v>
      </c>
      <c r="I1125" s="396" t="s">
        <v>781</v>
      </c>
      <c r="J1125" s="396" t="s">
        <v>5729</v>
      </c>
      <c r="K1125" s="396" t="s">
        <v>781</v>
      </c>
      <c r="L1125" s="397">
        <v>1.131013</v>
      </c>
      <c r="M1125" s="396" t="s">
        <v>4599</v>
      </c>
      <c r="N1125" s="397">
        <v>581120.53385590005</v>
      </c>
      <c r="O1125" s="396" t="s">
        <v>4935</v>
      </c>
    </row>
    <row r="1126" spans="1:15" ht="26.4" x14ac:dyDescent="0.4">
      <c r="A1126" s="396" t="s">
        <v>4968</v>
      </c>
      <c r="B1126" s="394" t="s">
        <v>439</v>
      </c>
      <c r="C1126" s="394" t="s">
        <v>4969</v>
      </c>
      <c r="D1126" s="394" t="s">
        <v>2381</v>
      </c>
      <c r="E1126" s="395" t="s">
        <v>1109</v>
      </c>
      <c r="F1126" s="396" t="s">
        <v>5545</v>
      </c>
      <c r="G1126" s="396" t="s">
        <v>781</v>
      </c>
      <c r="H1126" s="396" t="s">
        <v>5725</v>
      </c>
      <c r="I1126" s="396" t="s">
        <v>781</v>
      </c>
      <c r="J1126" s="396" t="s">
        <v>5729</v>
      </c>
      <c r="K1126" s="396" t="s">
        <v>781</v>
      </c>
      <c r="L1126" s="397">
        <v>1.1305000000000001</v>
      </c>
      <c r="M1126" s="396" t="s">
        <v>4599</v>
      </c>
      <c r="N1126" s="397">
        <v>581121.66435590002</v>
      </c>
      <c r="O1126" s="396" t="s">
        <v>4935</v>
      </c>
    </row>
    <row r="1127" spans="1:15" ht="26.4" x14ac:dyDescent="0.4">
      <c r="A1127" s="396" t="s">
        <v>7626</v>
      </c>
      <c r="B1127" s="394" t="s">
        <v>420</v>
      </c>
      <c r="C1127" s="394" t="s">
        <v>7627</v>
      </c>
      <c r="D1127" s="394" t="s">
        <v>1039</v>
      </c>
      <c r="E1127" s="395" t="s">
        <v>1249</v>
      </c>
      <c r="F1127" s="396" t="s">
        <v>5735</v>
      </c>
      <c r="G1127" s="396" t="s">
        <v>781</v>
      </c>
      <c r="H1127" s="396" t="s">
        <v>7628</v>
      </c>
      <c r="I1127" s="396" t="s">
        <v>781</v>
      </c>
      <c r="J1127" s="396" t="s">
        <v>5729</v>
      </c>
      <c r="K1127" s="396" t="s">
        <v>781</v>
      </c>
      <c r="L1127" s="397">
        <v>1.1255999999999999</v>
      </c>
      <c r="M1127" s="396" t="s">
        <v>4599</v>
      </c>
      <c r="N1127" s="397">
        <v>581122.78995590005</v>
      </c>
      <c r="O1127" s="396" t="s">
        <v>4935</v>
      </c>
    </row>
    <row r="1128" spans="1:15" ht="26.4" x14ac:dyDescent="0.4">
      <c r="A1128" s="396" t="s">
        <v>7629</v>
      </c>
      <c r="B1128" s="394" t="s">
        <v>420</v>
      </c>
      <c r="C1128" s="394" t="s">
        <v>7630</v>
      </c>
      <c r="D1128" s="394" t="s">
        <v>1039</v>
      </c>
      <c r="E1128" s="395" t="s">
        <v>422</v>
      </c>
      <c r="F1128" s="396" t="s">
        <v>5733</v>
      </c>
      <c r="G1128" s="396" t="s">
        <v>781</v>
      </c>
      <c r="H1128" s="396" t="s">
        <v>7631</v>
      </c>
      <c r="I1128" s="396" t="s">
        <v>781</v>
      </c>
      <c r="J1128" s="396" t="s">
        <v>5446</v>
      </c>
      <c r="K1128" s="396" t="s">
        <v>781</v>
      </c>
      <c r="L1128" s="397">
        <v>1.0991723799999999</v>
      </c>
      <c r="M1128" s="396" t="s">
        <v>4599</v>
      </c>
      <c r="N1128" s="397">
        <v>581123.88912830001</v>
      </c>
      <c r="O1128" s="396" t="s">
        <v>4935</v>
      </c>
    </row>
    <row r="1129" spans="1:15" ht="26.4" x14ac:dyDescent="0.4">
      <c r="A1129" s="396" t="s">
        <v>2488</v>
      </c>
      <c r="B1129" s="394" t="s">
        <v>5902</v>
      </c>
      <c r="C1129" s="394" t="s">
        <v>2489</v>
      </c>
      <c r="D1129" s="394" t="s">
        <v>1039</v>
      </c>
      <c r="E1129" s="395" t="s">
        <v>3</v>
      </c>
      <c r="F1129" s="396" t="s">
        <v>5730</v>
      </c>
      <c r="G1129" s="396" t="s">
        <v>781</v>
      </c>
      <c r="H1129" s="396" t="s">
        <v>7632</v>
      </c>
      <c r="I1129" s="396" t="s">
        <v>781</v>
      </c>
      <c r="J1129" s="396" t="s">
        <v>5512</v>
      </c>
      <c r="K1129" s="396" t="s">
        <v>781</v>
      </c>
      <c r="L1129" s="397">
        <v>1.0824</v>
      </c>
      <c r="M1129" s="396" t="s">
        <v>4599</v>
      </c>
      <c r="N1129" s="397">
        <v>581124.97152829997</v>
      </c>
      <c r="O1129" s="396" t="s">
        <v>4935</v>
      </c>
    </row>
    <row r="1130" spans="1:15" ht="26.4" x14ac:dyDescent="0.4">
      <c r="A1130" s="396" t="s">
        <v>1531</v>
      </c>
      <c r="B1130" s="394" t="s">
        <v>5902</v>
      </c>
      <c r="C1130" s="394" t="s">
        <v>1532</v>
      </c>
      <c r="D1130" s="394" t="s">
        <v>1039</v>
      </c>
      <c r="E1130" s="395" t="s">
        <v>7</v>
      </c>
      <c r="F1130" s="396" t="s">
        <v>5273</v>
      </c>
      <c r="G1130" s="396" t="s">
        <v>781</v>
      </c>
      <c r="H1130" s="396" t="s">
        <v>7633</v>
      </c>
      <c r="I1130" s="396" t="s">
        <v>781</v>
      </c>
      <c r="J1130" s="396" t="s">
        <v>5512</v>
      </c>
      <c r="K1130" s="396" t="s">
        <v>781</v>
      </c>
      <c r="L1130" s="397">
        <v>1.08</v>
      </c>
      <c r="M1130" s="396" t="s">
        <v>4599</v>
      </c>
      <c r="N1130" s="397">
        <v>581126.05152830004</v>
      </c>
      <c r="O1130" s="396" t="s">
        <v>4935</v>
      </c>
    </row>
    <row r="1131" spans="1:15" ht="26.4" x14ac:dyDescent="0.4">
      <c r="A1131" s="396" t="s">
        <v>5007</v>
      </c>
      <c r="B1131" s="394" t="s">
        <v>395</v>
      </c>
      <c r="C1131" s="394" t="s">
        <v>5008</v>
      </c>
      <c r="D1131" s="394" t="s">
        <v>1039</v>
      </c>
      <c r="E1131" s="395" t="s">
        <v>4</v>
      </c>
      <c r="F1131" s="396" t="s">
        <v>9555</v>
      </c>
      <c r="G1131" s="396" t="s">
        <v>781</v>
      </c>
      <c r="H1131" s="396" t="s">
        <v>5784</v>
      </c>
      <c r="I1131" s="396" t="s">
        <v>781</v>
      </c>
      <c r="J1131" s="396" t="s">
        <v>9556</v>
      </c>
      <c r="K1131" s="396" t="s">
        <v>781</v>
      </c>
      <c r="L1131" s="397">
        <v>1.0189760000000001</v>
      </c>
      <c r="M1131" s="396" t="s">
        <v>4599</v>
      </c>
      <c r="N1131" s="397">
        <v>581127.07050429995</v>
      </c>
      <c r="O1131" s="396" t="s">
        <v>4935</v>
      </c>
    </row>
    <row r="1132" spans="1:15" x14ac:dyDescent="0.4">
      <c r="A1132" s="396" t="s">
        <v>7634</v>
      </c>
      <c r="B1132" s="394" t="s">
        <v>408</v>
      </c>
      <c r="C1132" s="394" t="s">
        <v>7635</v>
      </c>
      <c r="D1132" s="394" t="s">
        <v>1039</v>
      </c>
      <c r="E1132" s="395" t="s">
        <v>4</v>
      </c>
      <c r="F1132" s="396" t="s">
        <v>5760</v>
      </c>
      <c r="G1132" s="396" t="s">
        <v>781</v>
      </c>
      <c r="H1132" s="396" t="s">
        <v>5359</v>
      </c>
      <c r="I1132" s="396" t="s">
        <v>781</v>
      </c>
      <c r="J1132" s="396" t="s">
        <v>5295</v>
      </c>
      <c r="K1132" s="396" t="s">
        <v>781</v>
      </c>
      <c r="L1132" s="397">
        <v>0.99750000000000005</v>
      </c>
      <c r="M1132" s="396" t="s">
        <v>4599</v>
      </c>
      <c r="N1132" s="397">
        <v>581128.0680043</v>
      </c>
      <c r="O1132" s="396" t="s">
        <v>4935</v>
      </c>
    </row>
    <row r="1133" spans="1:15" x14ac:dyDescent="0.4">
      <c r="A1133" s="396" t="s">
        <v>3271</v>
      </c>
      <c r="B1133" s="394" t="s">
        <v>420</v>
      </c>
      <c r="C1133" s="394" t="s">
        <v>3272</v>
      </c>
      <c r="D1133" s="394" t="s">
        <v>1317</v>
      </c>
      <c r="E1133" s="395" t="s">
        <v>1070</v>
      </c>
      <c r="F1133" s="396" t="s">
        <v>5712</v>
      </c>
      <c r="G1133" s="396" t="s">
        <v>781</v>
      </c>
      <c r="H1133" s="396" t="s">
        <v>7636</v>
      </c>
      <c r="I1133" s="396" t="s">
        <v>781</v>
      </c>
      <c r="J1133" s="396" t="s">
        <v>7637</v>
      </c>
      <c r="K1133" s="396" t="s">
        <v>781</v>
      </c>
      <c r="L1133" s="397">
        <v>0.97612009499999997</v>
      </c>
      <c r="M1133" s="396" t="s">
        <v>4599</v>
      </c>
      <c r="N1133" s="397">
        <v>581129.04412440001</v>
      </c>
      <c r="O1133" s="396" t="s">
        <v>4935</v>
      </c>
    </row>
    <row r="1134" spans="1:15" ht="26.4" x14ac:dyDescent="0.4">
      <c r="A1134" s="396" t="s">
        <v>5001</v>
      </c>
      <c r="B1134" s="394" t="s">
        <v>395</v>
      </c>
      <c r="C1134" s="394" t="s">
        <v>5002</v>
      </c>
      <c r="D1134" s="394" t="s">
        <v>1317</v>
      </c>
      <c r="E1134" s="395" t="s">
        <v>6</v>
      </c>
      <c r="F1134" s="396" t="s">
        <v>9317</v>
      </c>
      <c r="G1134" s="396" t="s">
        <v>781</v>
      </c>
      <c r="H1134" s="396" t="s">
        <v>5824</v>
      </c>
      <c r="I1134" s="396" t="s">
        <v>781</v>
      </c>
      <c r="J1134" s="396" t="s">
        <v>5652</v>
      </c>
      <c r="K1134" s="396" t="s">
        <v>781</v>
      </c>
      <c r="L1134" s="397">
        <v>0.97462786000000001</v>
      </c>
      <c r="M1134" s="396" t="s">
        <v>4599</v>
      </c>
      <c r="N1134" s="397">
        <v>581130.01875229995</v>
      </c>
      <c r="O1134" s="396" t="s">
        <v>4935</v>
      </c>
    </row>
    <row r="1135" spans="1:15" ht="26.4" x14ac:dyDescent="0.4">
      <c r="A1135" s="396" t="s">
        <v>7638</v>
      </c>
      <c r="B1135" s="394" t="s">
        <v>420</v>
      </c>
      <c r="C1135" s="394" t="s">
        <v>7639</v>
      </c>
      <c r="D1135" s="394" t="s">
        <v>1039</v>
      </c>
      <c r="E1135" s="395" t="s">
        <v>422</v>
      </c>
      <c r="F1135" s="396" t="s">
        <v>5269</v>
      </c>
      <c r="G1135" s="396" t="s">
        <v>781</v>
      </c>
      <c r="H1135" s="396" t="s">
        <v>5652</v>
      </c>
      <c r="I1135" s="396" t="s">
        <v>781</v>
      </c>
      <c r="J1135" s="396" t="s">
        <v>5652</v>
      </c>
      <c r="K1135" s="396" t="s">
        <v>781</v>
      </c>
      <c r="L1135" s="397">
        <v>0.97</v>
      </c>
      <c r="M1135" s="396" t="s">
        <v>4599</v>
      </c>
      <c r="N1135" s="397">
        <v>581130.98875230004</v>
      </c>
      <c r="O1135" s="396" t="s">
        <v>4935</v>
      </c>
    </row>
    <row r="1136" spans="1:15" x14ac:dyDescent="0.4">
      <c r="A1136" s="396" t="s">
        <v>2424</v>
      </c>
      <c r="B1136" s="394" t="s">
        <v>408</v>
      </c>
      <c r="C1136" s="394" t="s">
        <v>2425</v>
      </c>
      <c r="D1136" s="394" t="s">
        <v>1039</v>
      </c>
      <c r="E1136" s="395" t="s">
        <v>4</v>
      </c>
      <c r="F1136" s="396" t="s">
        <v>5617</v>
      </c>
      <c r="G1136" s="396" t="s">
        <v>781</v>
      </c>
      <c r="H1136" s="396" t="s">
        <v>7224</v>
      </c>
      <c r="I1136" s="396" t="s">
        <v>781</v>
      </c>
      <c r="J1136" s="396" t="s">
        <v>5652</v>
      </c>
      <c r="K1136" s="396" t="s">
        <v>781</v>
      </c>
      <c r="L1136" s="397">
        <v>0.96899999999999997</v>
      </c>
      <c r="M1136" s="396" t="s">
        <v>4599</v>
      </c>
      <c r="N1136" s="397">
        <v>581131.95775229996</v>
      </c>
      <c r="O1136" s="396" t="s">
        <v>4935</v>
      </c>
    </row>
    <row r="1137" spans="1:15" x14ac:dyDescent="0.4">
      <c r="A1137" s="396" t="s">
        <v>2465</v>
      </c>
      <c r="B1137" s="394" t="s">
        <v>408</v>
      </c>
      <c r="C1137" s="394" t="s">
        <v>2466</v>
      </c>
      <c r="D1137" s="394" t="s">
        <v>1039</v>
      </c>
      <c r="E1137" s="395" t="s">
        <v>4</v>
      </c>
      <c r="F1137" s="396" t="s">
        <v>5348</v>
      </c>
      <c r="G1137" s="396" t="s">
        <v>781</v>
      </c>
      <c r="H1137" s="396" t="s">
        <v>7640</v>
      </c>
      <c r="I1137" s="396" t="s">
        <v>781</v>
      </c>
      <c r="J1137" s="396" t="s">
        <v>5652</v>
      </c>
      <c r="K1137" s="396" t="s">
        <v>781</v>
      </c>
      <c r="L1137" s="397">
        <v>0.96599999999999997</v>
      </c>
      <c r="M1137" s="396" t="s">
        <v>4599</v>
      </c>
      <c r="N1137" s="397">
        <v>581132.92375229998</v>
      </c>
      <c r="O1137" s="396" t="s">
        <v>4935</v>
      </c>
    </row>
    <row r="1138" spans="1:15" x14ac:dyDescent="0.4">
      <c r="A1138" s="396" t="s">
        <v>3179</v>
      </c>
      <c r="B1138" s="394" t="s">
        <v>408</v>
      </c>
      <c r="C1138" s="394" t="s">
        <v>3180</v>
      </c>
      <c r="D1138" s="394" t="s">
        <v>1039</v>
      </c>
      <c r="E1138" s="395" t="s">
        <v>713</v>
      </c>
      <c r="F1138" s="396" t="s">
        <v>5759</v>
      </c>
      <c r="G1138" s="396" t="s">
        <v>781</v>
      </c>
      <c r="H1138" s="396" t="s">
        <v>7641</v>
      </c>
      <c r="I1138" s="396" t="s">
        <v>781</v>
      </c>
      <c r="J1138" s="396" t="s">
        <v>5742</v>
      </c>
      <c r="K1138" s="396" t="s">
        <v>781</v>
      </c>
      <c r="L1138" s="397">
        <v>0.89131000000000005</v>
      </c>
      <c r="M1138" s="396" t="s">
        <v>4599</v>
      </c>
      <c r="N1138" s="397">
        <v>581133.81506229995</v>
      </c>
      <c r="O1138" s="396" t="s">
        <v>4935</v>
      </c>
    </row>
    <row r="1139" spans="1:15" ht="26.4" x14ac:dyDescent="0.4">
      <c r="A1139" s="396" t="s">
        <v>4984</v>
      </c>
      <c r="B1139" s="394" t="s">
        <v>395</v>
      </c>
      <c r="C1139" s="394" t="s">
        <v>4985</v>
      </c>
      <c r="D1139" s="394" t="s">
        <v>1317</v>
      </c>
      <c r="E1139" s="395" t="s">
        <v>6</v>
      </c>
      <c r="F1139" s="396" t="s">
        <v>5269</v>
      </c>
      <c r="G1139" s="396" t="s">
        <v>781</v>
      </c>
      <c r="H1139" s="396" t="s">
        <v>5743</v>
      </c>
      <c r="I1139" s="396" t="s">
        <v>781</v>
      </c>
      <c r="J1139" s="396" t="s">
        <v>5743</v>
      </c>
      <c r="K1139" s="396" t="s">
        <v>781</v>
      </c>
      <c r="L1139" s="397">
        <v>0.87</v>
      </c>
      <c r="M1139" s="396" t="s">
        <v>4599</v>
      </c>
      <c r="N1139" s="397">
        <v>581134.68506229995</v>
      </c>
      <c r="O1139" s="396" t="s">
        <v>4935</v>
      </c>
    </row>
    <row r="1140" spans="1:15" ht="26.4" x14ac:dyDescent="0.4">
      <c r="A1140" s="396" t="s">
        <v>9557</v>
      </c>
      <c r="B1140" s="394" t="s">
        <v>395</v>
      </c>
      <c r="C1140" s="394" t="s">
        <v>9558</v>
      </c>
      <c r="D1140" s="394" t="s">
        <v>1039</v>
      </c>
      <c r="E1140" s="395" t="s">
        <v>7</v>
      </c>
      <c r="F1140" s="396" t="s">
        <v>9552</v>
      </c>
      <c r="G1140" s="396" t="s">
        <v>781</v>
      </c>
      <c r="H1140" s="396" t="s">
        <v>9559</v>
      </c>
      <c r="I1140" s="396" t="s">
        <v>781</v>
      </c>
      <c r="J1140" s="396" t="s">
        <v>5743</v>
      </c>
      <c r="K1140" s="396" t="s">
        <v>781</v>
      </c>
      <c r="L1140" s="397">
        <v>0.86519999999999997</v>
      </c>
      <c r="M1140" s="396" t="s">
        <v>4599</v>
      </c>
      <c r="N1140" s="397">
        <v>581135.55026229995</v>
      </c>
      <c r="O1140" s="396" t="s">
        <v>4935</v>
      </c>
    </row>
    <row r="1141" spans="1:15" ht="26.4" x14ac:dyDescent="0.4">
      <c r="A1141" s="396" t="s">
        <v>1612</v>
      </c>
      <c r="B1141" s="394" t="s">
        <v>395</v>
      </c>
      <c r="C1141" s="394" t="s">
        <v>236</v>
      </c>
      <c r="D1141" s="394" t="s">
        <v>1039</v>
      </c>
      <c r="E1141" s="395" t="s">
        <v>3</v>
      </c>
      <c r="F1141" s="396" t="s">
        <v>7642</v>
      </c>
      <c r="G1141" s="396" t="s">
        <v>781</v>
      </c>
      <c r="H1141" s="396" t="s">
        <v>6638</v>
      </c>
      <c r="I1141" s="396" t="s">
        <v>781</v>
      </c>
      <c r="J1141" s="396" t="s">
        <v>5563</v>
      </c>
      <c r="K1141" s="396" t="s">
        <v>781</v>
      </c>
      <c r="L1141" s="397">
        <v>0.821025</v>
      </c>
      <c r="M1141" s="396" t="s">
        <v>4599</v>
      </c>
      <c r="N1141" s="397">
        <v>581136.37128730002</v>
      </c>
      <c r="O1141" s="396" t="s">
        <v>4935</v>
      </c>
    </row>
    <row r="1142" spans="1:15" x14ac:dyDescent="0.4">
      <c r="A1142" s="396" t="s">
        <v>1581</v>
      </c>
      <c r="B1142" s="394" t="s">
        <v>408</v>
      </c>
      <c r="C1142" s="394" t="s">
        <v>1582</v>
      </c>
      <c r="D1142" s="394" t="s">
        <v>1039</v>
      </c>
      <c r="E1142" s="395" t="s">
        <v>3</v>
      </c>
      <c r="F1142" s="396" t="s">
        <v>5761</v>
      </c>
      <c r="G1142" s="396" t="s">
        <v>781</v>
      </c>
      <c r="H1142" s="396" t="s">
        <v>5668</v>
      </c>
      <c r="I1142" s="396" t="s">
        <v>781</v>
      </c>
      <c r="J1142" s="396" t="s">
        <v>5563</v>
      </c>
      <c r="K1142" s="396" t="s">
        <v>781</v>
      </c>
      <c r="L1142" s="397">
        <v>0.81620000000000004</v>
      </c>
      <c r="M1142" s="396" t="s">
        <v>4599</v>
      </c>
      <c r="N1142" s="397">
        <v>581137.18748730002</v>
      </c>
      <c r="O1142" s="396" t="s">
        <v>4935</v>
      </c>
    </row>
    <row r="1143" spans="1:15" x14ac:dyDescent="0.4">
      <c r="A1143" s="396" t="s">
        <v>1262</v>
      </c>
      <c r="B1143" s="394" t="s">
        <v>420</v>
      </c>
      <c r="C1143" s="394" t="s">
        <v>1263</v>
      </c>
      <c r="D1143" s="394" t="s">
        <v>1039</v>
      </c>
      <c r="E1143" s="395" t="s">
        <v>437</v>
      </c>
      <c r="F1143" s="396" t="s">
        <v>5429</v>
      </c>
      <c r="G1143" s="396" t="s">
        <v>781</v>
      </c>
      <c r="H1143" s="396" t="s">
        <v>5776</v>
      </c>
      <c r="I1143" s="396" t="s">
        <v>781</v>
      </c>
      <c r="J1143" s="396" t="s">
        <v>5488</v>
      </c>
      <c r="K1143" s="396" t="s">
        <v>781</v>
      </c>
      <c r="L1143" s="397">
        <v>0.80289999999999995</v>
      </c>
      <c r="M1143" s="396" t="s">
        <v>4599</v>
      </c>
      <c r="N1143" s="397">
        <v>581137.99038730003</v>
      </c>
      <c r="O1143" s="396" t="s">
        <v>4935</v>
      </c>
    </row>
    <row r="1144" spans="1:15" x14ac:dyDescent="0.4">
      <c r="A1144" s="396" t="s">
        <v>7644</v>
      </c>
      <c r="B1144" s="394" t="s">
        <v>439</v>
      </c>
      <c r="C1144" s="394" t="s">
        <v>4965</v>
      </c>
      <c r="D1144" s="394" t="s">
        <v>1039</v>
      </c>
      <c r="E1144" s="395" t="s">
        <v>437</v>
      </c>
      <c r="F1144" s="396" t="s">
        <v>5521</v>
      </c>
      <c r="G1144" s="396" t="s">
        <v>781</v>
      </c>
      <c r="H1144" s="396" t="s">
        <v>9560</v>
      </c>
      <c r="I1144" s="396" t="s">
        <v>781</v>
      </c>
      <c r="J1144" s="396" t="s">
        <v>5657</v>
      </c>
      <c r="K1144" s="396" t="s">
        <v>781</v>
      </c>
      <c r="L1144" s="397">
        <v>0.79200000000000004</v>
      </c>
      <c r="M1144" s="396" t="s">
        <v>4599</v>
      </c>
      <c r="N1144" s="397">
        <v>581138.78238730005</v>
      </c>
      <c r="O1144" s="396" t="s">
        <v>4935</v>
      </c>
    </row>
    <row r="1145" spans="1:15" x14ac:dyDescent="0.4">
      <c r="A1145" s="396" t="s">
        <v>1412</v>
      </c>
      <c r="B1145" s="394" t="s">
        <v>408</v>
      </c>
      <c r="C1145" s="394" t="s">
        <v>1413</v>
      </c>
      <c r="D1145" s="394" t="s">
        <v>1039</v>
      </c>
      <c r="E1145" s="395" t="s">
        <v>3</v>
      </c>
      <c r="F1145" s="396" t="s">
        <v>5688</v>
      </c>
      <c r="G1145" s="396" t="s">
        <v>781</v>
      </c>
      <c r="H1145" s="396" t="s">
        <v>7125</v>
      </c>
      <c r="I1145" s="396" t="s">
        <v>781</v>
      </c>
      <c r="J1145" s="396" t="s">
        <v>5466</v>
      </c>
      <c r="K1145" s="396" t="s">
        <v>781</v>
      </c>
      <c r="L1145" s="397">
        <v>0.75960000000000005</v>
      </c>
      <c r="M1145" s="396" t="s">
        <v>4599</v>
      </c>
      <c r="N1145" s="397">
        <v>581139.54198730004</v>
      </c>
      <c r="O1145" s="396" t="s">
        <v>4935</v>
      </c>
    </row>
    <row r="1146" spans="1:15" x14ac:dyDescent="0.4">
      <c r="A1146" s="396" t="s">
        <v>9561</v>
      </c>
      <c r="B1146" s="394" t="s">
        <v>8393</v>
      </c>
      <c r="C1146" s="394" t="s">
        <v>9562</v>
      </c>
      <c r="D1146" s="394" t="s">
        <v>1039</v>
      </c>
      <c r="E1146" s="395" t="s">
        <v>422</v>
      </c>
      <c r="F1146" s="396" t="s">
        <v>5515</v>
      </c>
      <c r="G1146" s="396" t="s">
        <v>781</v>
      </c>
      <c r="H1146" s="396" t="s">
        <v>5432</v>
      </c>
      <c r="I1146" s="396" t="s">
        <v>781</v>
      </c>
      <c r="J1146" s="396" t="s">
        <v>5745</v>
      </c>
      <c r="K1146" s="396" t="s">
        <v>781</v>
      </c>
      <c r="L1146" s="397">
        <v>0.75</v>
      </c>
      <c r="M1146" s="396" t="s">
        <v>4599</v>
      </c>
      <c r="N1146" s="397">
        <v>581140.29198730004</v>
      </c>
      <c r="O1146" s="396" t="s">
        <v>4935</v>
      </c>
    </row>
    <row r="1147" spans="1:15" ht="26.4" x14ac:dyDescent="0.4">
      <c r="A1147" s="396" t="s">
        <v>7645</v>
      </c>
      <c r="B1147" s="394" t="s">
        <v>439</v>
      </c>
      <c r="C1147" s="394" t="s">
        <v>1384</v>
      </c>
      <c r="D1147" s="394" t="s">
        <v>1039</v>
      </c>
      <c r="E1147" s="395" t="s">
        <v>422</v>
      </c>
      <c r="F1147" s="396" t="s">
        <v>5755</v>
      </c>
      <c r="G1147" s="396" t="s">
        <v>781</v>
      </c>
      <c r="H1147" s="396" t="s">
        <v>5686</v>
      </c>
      <c r="I1147" s="396" t="s">
        <v>781</v>
      </c>
      <c r="J1147" s="396" t="s">
        <v>5745</v>
      </c>
      <c r="K1147" s="396" t="s">
        <v>781</v>
      </c>
      <c r="L1147" s="397">
        <v>0.74666659199999996</v>
      </c>
      <c r="M1147" s="396" t="s">
        <v>4599</v>
      </c>
      <c r="N1147" s="397">
        <v>581141.03865390003</v>
      </c>
      <c r="O1147" s="396" t="s">
        <v>4935</v>
      </c>
    </row>
    <row r="1148" spans="1:15" x14ac:dyDescent="0.4">
      <c r="A1148" s="396" t="s">
        <v>4970</v>
      </c>
      <c r="B1148" s="394" t="s">
        <v>395</v>
      </c>
      <c r="C1148" s="394" t="s">
        <v>4971</v>
      </c>
      <c r="D1148" s="394" t="s">
        <v>1039</v>
      </c>
      <c r="E1148" s="395" t="s">
        <v>4</v>
      </c>
      <c r="F1148" s="396" t="s">
        <v>5741</v>
      </c>
      <c r="G1148" s="396" t="s">
        <v>781</v>
      </c>
      <c r="H1148" s="396" t="s">
        <v>7646</v>
      </c>
      <c r="I1148" s="396" t="s">
        <v>781</v>
      </c>
      <c r="J1148" s="396" t="s">
        <v>5388</v>
      </c>
      <c r="K1148" s="396" t="s">
        <v>781</v>
      </c>
      <c r="L1148" s="397">
        <v>0.73726400000000003</v>
      </c>
      <c r="M1148" s="396" t="s">
        <v>4599</v>
      </c>
      <c r="N1148" s="397">
        <v>581141.77591790003</v>
      </c>
      <c r="O1148" s="396" t="s">
        <v>4935</v>
      </c>
    </row>
    <row r="1149" spans="1:15" x14ac:dyDescent="0.4">
      <c r="A1149" s="396" t="s">
        <v>4990</v>
      </c>
      <c r="B1149" s="394" t="s">
        <v>439</v>
      </c>
      <c r="C1149" s="394" t="s">
        <v>4991</v>
      </c>
      <c r="D1149" s="394" t="s">
        <v>2381</v>
      </c>
      <c r="E1149" s="395" t="s">
        <v>1109</v>
      </c>
      <c r="F1149" s="396" t="s">
        <v>5571</v>
      </c>
      <c r="G1149" s="396" t="s">
        <v>781</v>
      </c>
      <c r="H1149" s="396" t="s">
        <v>7612</v>
      </c>
      <c r="I1149" s="396" t="s">
        <v>781</v>
      </c>
      <c r="J1149" s="396" t="s">
        <v>7647</v>
      </c>
      <c r="K1149" s="396" t="s">
        <v>781</v>
      </c>
      <c r="L1149" s="397">
        <v>0.72809506599999996</v>
      </c>
      <c r="M1149" s="396" t="s">
        <v>4599</v>
      </c>
      <c r="N1149" s="397">
        <v>581142.50401300006</v>
      </c>
      <c r="O1149" s="396" t="s">
        <v>4935</v>
      </c>
    </row>
    <row r="1150" spans="1:15" x14ac:dyDescent="0.4">
      <c r="A1150" s="396" t="s">
        <v>4980</v>
      </c>
      <c r="B1150" s="394" t="s">
        <v>420</v>
      </c>
      <c r="C1150" s="394" t="s">
        <v>4981</v>
      </c>
      <c r="D1150" s="394" t="s">
        <v>1039</v>
      </c>
      <c r="E1150" s="395" t="s">
        <v>422</v>
      </c>
      <c r="F1150" s="396" t="s">
        <v>5631</v>
      </c>
      <c r="G1150" s="396" t="s">
        <v>781</v>
      </c>
      <c r="H1150" s="396" t="s">
        <v>5747</v>
      </c>
      <c r="I1150" s="396" t="s">
        <v>781</v>
      </c>
      <c r="J1150" s="396" t="s">
        <v>5748</v>
      </c>
      <c r="K1150" s="396" t="s">
        <v>781</v>
      </c>
      <c r="L1150" s="397">
        <v>0.71050950000000002</v>
      </c>
      <c r="M1150" s="396" t="s">
        <v>4599</v>
      </c>
      <c r="N1150" s="397">
        <v>581143.21452250006</v>
      </c>
      <c r="O1150" s="396" t="s">
        <v>4935</v>
      </c>
    </row>
    <row r="1151" spans="1:15" ht="26.4" x14ac:dyDescent="0.4">
      <c r="A1151" s="396" t="s">
        <v>9563</v>
      </c>
      <c r="B1151" s="394" t="s">
        <v>5902</v>
      </c>
      <c r="C1151" s="394" t="s">
        <v>9564</v>
      </c>
      <c r="D1151" s="394" t="s">
        <v>1039</v>
      </c>
      <c r="E1151" s="395" t="s">
        <v>7</v>
      </c>
      <c r="F1151" s="396" t="s">
        <v>9565</v>
      </c>
      <c r="G1151" s="396" t="s">
        <v>781</v>
      </c>
      <c r="H1151" s="396" t="s">
        <v>9566</v>
      </c>
      <c r="I1151" s="396" t="s">
        <v>781</v>
      </c>
      <c r="J1151" s="396" t="s">
        <v>9567</v>
      </c>
      <c r="K1151" s="396" t="s">
        <v>781</v>
      </c>
      <c r="L1151" s="397">
        <v>0.70125000000000004</v>
      </c>
      <c r="M1151" s="396" t="s">
        <v>4599</v>
      </c>
      <c r="N1151" s="397">
        <v>581143.91577249998</v>
      </c>
      <c r="O1151" s="396" t="s">
        <v>4935</v>
      </c>
    </row>
    <row r="1152" spans="1:15" x14ac:dyDescent="0.4">
      <c r="A1152" s="396" t="s">
        <v>2373</v>
      </c>
      <c r="B1152" s="394" t="s">
        <v>420</v>
      </c>
      <c r="C1152" s="394" t="s">
        <v>4992</v>
      </c>
      <c r="D1152" s="394" t="s">
        <v>1039</v>
      </c>
      <c r="E1152" s="395" t="s">
        <v>422</v>
      </c>
      <c r="F1152" s="396" t="s">
        <v>5756</v>
      </c>
      <c r="G1152" s="396" t="s">
        <v>781</v>
      </c>
      <c r="H1152" s="396" t="s">
        <v>9568</v>
      </c>
      <c r="I1152" s="396" t="s">
        <v>781</v>
      </c>
      <c r="J1152" s="396" t="s">
        <v>7648</v>
      </c>
      <c r="K1152" s="396" t="s">
        <v>781</v>
      </c>
      <c r="L1152" s="397">
        <v>0.67782620000000005</v>
      </c>
      <c r="M1152" s="396" t="s">
        <v>4599</v>
      </c>
      <c r="N1152" s="397">
        <v>581144.59359870001</v>
      </c>
      <c r="O1152" s="396" t="s">
        <v>4935</v>
      </c>
    </row>
    <row r="1153" spans="1:15" ht="26.4" x14ac:dyDescent="0.4">
      <c r="A1153" s="396" t="s">
        <v>9569</v>
      </c>
      <c r="B1153" s="394" t="s">
        <v>2616</v>
      </c>
      <c r="C1153" s="394" t="s">
        <v>9570</v>
      </c>
      <c r="D1153" s="394" t="s">
        <v>1039</v>
      </c>
      <c r="E1153" s="395" t="s">
        <v>3</v>
      </c>
      <c r="F1153" s="396" t="s">
        <v>5269</v>
      </c>
      <c r="G1153" s="396" t="s">
        <v>781</v>
      </c>
      <c r="H1153" s="396" t="s">
        <v>9571</v>
      </c>
      <c r="I1153" s="396" t="s">
        <v>781</v>
      </c>
      <c r="J1153" s="396" t="s">
        <v>9571</v>
      </c>
      <c r="K1153" s="396" t="s">
        <v>781</v>
      </c>
      <c r="L1153" s="397">
        <v>0.65</v>
      </c>
      <c r="M1153" s="396" t="s">
        <v>4599</v>
      </c>
      <c r="N1153" s="397">
        <v>581145.24359870004</v>
      </c>
      <c r="O1153" s="396" t="s">
        <v>4964</v>
      </c>
    </row>
    <row r="1154" spans="1:15" x14ac:dyDescent="0.4">
      <c r="A1154" s="396" t="s">
        <v>3269</v>
      </c>
      <c r="B1154" s="394" t="s">
        <v>420</v>
      </c>
      <c r="C1154" s="394" t="s">
        <v>3270</v>
      </c>
      <c r="D1154" s="394" t="s">
        <v>1317</v>
      </c>
      <c r="E1154" s="395" t="s">
        <v>1070</v>
      </c>
      <c r="F1154" s="396" t="s">
        <v>5712</v>
      </c>
      <c r="G1154" s="396" t="s">
        <v>781</v>
      </c>
      <c r="H1154" s="396" t="s">
        <v>5749</v>
      </c>
      <c r="I1154" s="396" t="s">
        <v>781</v>
      </c>
      <c r="J1154" s="396" t="s">
        <v>5750</v>
      </c>
      <c r="K1154" s="396" t="s">
        <v>781</v>
      </c>
      <c r="L1154" s="397">
        <v>0.64330867999999997</v>
      </c>
      <c r="M1154" s="396" t="s">
        <v>4599</v>
      </c>
      <c r="N1154" s="397">
        <v>581145.88690739998</v>
      </c>
      <c r="O1154" s="396" t="s">
        <v>4964</v>
      </c>
    </row>
    <row r="1155" spans="1:15" x14ac:dyDescent="0.4">
      <c r="A1155" s="396" t="s">
        <v>7649</v>
      </c>
      <c r="B1155" s="394" t="s">
        <v>408</v>
      </c>
      <c r="C1155" s="394" t="s">
        <v>7650</v>
      </c>
      <c r="D1155" s="394" t="s">
        <v>1039</v>
      </c>
      <c r="E1155" s="395" t="s">
        <v>4</v>
      </c>
      <c r="F1155" s="396" t="s">
        <v>5269</v>
      </c>
      <c r="G1155" s="396" t="s">
        <v>781</v>
      </c>
      <c r="H1155" s="396" t="s">
        <v>5750</v>
      </c>
      <c r="I1155" s="396" t="s">
        <v>781</v>
      </c>
      <c r="J1155" s="396" t="s">
        <v>5750</v>
      </c>
      <c r="K1155" s="396" t="s">
        <v>781</v>
      </c>
      <c r="L1155" s="397">
        <v>0.64</v>
      </c>
      <c r="M1155" s="396" t="s">
        <v>4599</v>
      </c>
      <c r="N1155" s="397">
        <v>581146.5269074</v>
      </c>
      <c r="O1155" s="396" t="s">
        <v>4964</v>
      </c>
    </row>
    <row r="1156" spans="1:15" x14ac:dyDescent="0.4">
      <c r="A1156" s="396" t="s">
        <v>1131</v>
      </c>
      <c r="B1156" s="394" t="s">
        <v>420</v>
      </c>
      <c r="C1156" s="394" t="s">
        <v>1132</v>
      </c>
      <c r="D1156" s="394" t="s">
        <v>1039</v>
      </c>
      <c r="E1156" s="395" t="s">
        <v>422</v>
      </c>
      <c r="F1156" s="396" t="s">
        <v>5284</v>
      </c>
      <c r="G1156" s="396" t="s">
        <v>781</v>
      </c>
      <c r="H1156" s="396" t="s">
        <v>5764</v>
      </c>
      <c r="I1156" s="396" t="s">
        <v>781</v>
      </c>
      <c r="J1156" s="396" t="s">
        <v>7651</v>
      </c>
      <c r="K1156" s="396" t="s">
        <v>781</v>
      </c>
      <c r="L1156" s="397">
        <v>0.63</v>
      </c>
      <c r="M1156" s="396" t="s">
        <v>4599</v>
      </c>
      <c r="N1156" s="397">
        <v>581147.1569074</v>
      </c>
      <c r="O1156" s="396" t="s">
        <v>4964</v>
      </c>
    </row>
    <row r="1157" spans="1:15" ht="52.8" x14ac:dyDescent="0.4">
      <c r="A1157" s="396" t="s">
        <v>4988</v>
      </c>
      <c r="B1157" s="394" t="s">
        <v>395</v>
      </c>
      <c r="C1157" s="394" t="s">
        <v>4989</v>
      </c>
      <c r="D1157" s="394" t="s">
        <v>1039</v>
      </c>
      <c r="E1157" s="395" t="s">
        <v>4</v>
      </c>
      <c r="F1157" s="396" t="s">
        <v>7652</v>
      </c>
      <c r="G1157" s="396" t="s">
        <v>781</v>
      </c>
      <c r="H1157" s="396" t="s">
        <v>7653</v>
      </c>
      <c r="I1157" s="396" t="s">
        <v>781</v>
      </c>
      <c r="J1157" s="396" t="s">
        <v>7654</v>
      </c>
      <c r="K1157" s="396" t="s">
        <v>781</v>
      </c>
      <c r="L1157" s="397">
        <v>0.62390000000000001</v>
      </c>
      <c r="M1157" s="396" t="s">
        <v>4599</v>
      </c>
      <c r="N1157" s="397">
        <v>581147.78080740001</v>
      </c>
      <c r="O1157" s="396" t="s">
        <v>4964</v>
      </c>
    </row>
    <row r="1158" spans="1:15" ht="39.6" x14ac:dyDescent="0.4">
      <c r="A1158" s="396" t="s">
        <v>7665</v>
      </c>
      <c r="B1158" s="394" t="s">
        <v>439</v>
      </c>
      <c r="C1158" s="394" t="s">
        <v>1381</v>
      </c>
      <c r="D1158" s="394" t="s">
        <v>1039</v>
      </c>
      <c r="E1158" s="395" t="s">
        <v>422</v>
      </c>
      <c r="F1158" s="396" t="s">
        <v>5273</v>
      </c>
      <c r="G1158" s="396" t="s">
        <v>781</v>
      </c>
      <c r="H1158" s="396" t="s">
        <v>5724</v>
      </c>
      <c r="I1158" s="396" t="s">
        <v>781</v>
      </c>
      <c r="J1158" s="396" t="s">
        <v>9572</v>
      </c>
      <c r="K1158" s="396" t="s">
        <v>781</v>
      </c>
      <c r="L1158" s="397">
        <v>0.6</v>
      </c>
      <c r="M1158" s="396" t="s">
        <v>4599</v>
      </c>
      <c r="N1158" s="397">
        <v>581148.38080739998</v>
      </c>
      <c r="O1158" s="396" t="s">
        <v>4964</v>
      </c>
    </row>
    <row r="1159" spans="1:15" ht="26.4" x14ac:dyDescent="0.4">
      <c r="A1159" s="396" t="s">
        <v>7695</v>
      </c>
      <c r="B1159" s="394" t="s">
        <v>439</v>
      </c>
      <c r="C1159" s="394" t="s">
        <v>1380</v>
      </c>
      <c r="D1159" s="394" t="s">
        <v>1039</v>
      </c>
      <c r="E1159" s="395" t="s">
        <v>422</v>
      </c>
      <c r="F1159" s="396" t="s">
        <v>7663</v>
      </c>
      <c r="G1159" s="396" t="s">
        <v>781</v>
      </c>
      <c r="H1159" s="396" t="s">
        <v>5799</v>
      </c>
      <c r="I1159" s="396" t="s">
        <v>781</v>
      </c>
      <c r="J1159" s="396" t="s">
        <v>9572</v>
      </c>
      <c r="K1159" s="396" t="s">
        <v>781</v>
      </c>
      <c r="L1159" s="397">
        <v>0.59999999400000004</v>
      </c>
      <c r="M1159" s="396" t="s">
        <v>4599</v>
      </c>
      <c r="N1159" s="397">
        <v>581148.98080739996</v>
      </c>
      <c r="O1159" s="396" t="s">
        <v>4964</v>
      </c>
    </row>
    <row r="1160" spans="1:15" ht="26.4" x14ac:dyDescent="0.4">
      <c r="A1160" s="396" t="s">
        <v>2496</v>
      </c>
      <c r="B1160" s="394" t="s">
        <v>395</v>
      </c>
      <c r="C1160" s="394" t="s">
        <v>307</v>
      </c>
      <c r="D1160" s="394" t="s">
        <v>1039</v>
      </c>
      <c r="E1160" s="395" t="s">
        <v>7</v>
      </c>
      <c r="F1160" s="396" t="s">
        <v>7658</v>
      </c>
      <c r="G1160" s="396" t="s">
        <v>781</v>
      </c>
      <c r="H1160" s="396" t="s">
        <v>7538</v>
      </c>
      <c r="I1160" s="396" t="s">
        <v>781</v>
      </c>
      <c r="J1160" s="396" t="s">
        <v>5754</v>
      </c>
      <c r="K1160" s="396" t="s">
        <v>781</v>
      </c>
      <c r="L1160" s="397">
        <v>0.58938702700000001</v>
      </c>
      <c r="M1160" s="396" t="s">
        <v>4599</v>
      </c>
      <c r="N1160" s="397">
        <v>581149.57019440003</v>
      </c>
      <c r="O1160" s="396" t="s">
        <v>4964</v>
      </c>
    </row>
    <row r="1161" spans="1:15" ht="26.4" x14ac:dyDescent="0.4">
      <c r="A1161" s="396" t="s">
        <v>4982</v>
      </c>
      <c r="B1161" s="394" t="s">
        <v>395</v>
      </c>
      <c r="C1161" s="394" t="s">
        <v>4983</v>
      </c>
      <c r="D1161" s="394" t="s">
        <v>1039</v>
      </c>
      <c r="E1161" s="395" t="s">
        <v>4</v>
      </c>
      <c r="F1161" s="396" t="s">
        <v>5715</v>
      </c>
      <c r="G1161" s="396" t="s">
        <v>781</v>
      </c>
      <c r="H1161" s="396" t="s">
        <v>5721</v>
      </c>
      <c r="I1161" s="396" t="s">
        <v>781</v>
      </c>
      <c r="J1161" s="396" t="s">
        <v>5754</v>
      </c>
      <c r="K1161" s="396" t="s">
        <v>781</v>
      </c>
      <c r="L1161" s="397">
        <v>0.58662499999999995</v>
      </c>
      <c r="M1161" s="396" t="s">
        <v>4599</v>
      </c>
      <c r="N1161" s="397">
        <v>581150.15681940003</v>
      </c>
      <c r="O1161" s="396" t="s">
        <v>4964</v>
      </c>
    </row>
    <row r="1162" spans="1:15" x14ac:dyDescent="0.4">
      <c r="A1162" s="396" t="s">
        <v>7659</v>
      </c>
      <c r="B1162" s="394" t="s">
        <v>408</v>
      </c>
      <c r="C1162" s="394" t="s">
        <v>7660</v>
      </c>
      <c r="D1162" s="394" t="s">
        <v>1039</v>
      </c>
      <c r="E1162" s="395" t="s">
        <v>7</v>
      </c>
      <c r="F1162" s="396" t="s">
        <v>7661</v>
      </c>
      <c r="G1162" s="396" t="s">
        <v>781</v>
      </c>
      <c r="H1162" s="396" t="s">
        <v>5802</v>
      </c>
      <c r="I1162" s="396" t="s">
        <v>781</v>
      </c>
      <c r="J1162" s="396" t="s">
        <v>5288</v>
      </c>
      <c r="K1162" s="396" t="s">
        <v>781</v>
      </c>
      <c r="L1162" s="397">
        <v>0.57599999999999996</v>
      </c>
      <c r="M1162" s="396" t="s">
        <v>4599</v>
      </c>
      <c r="N1162" s="397">
        <v>581150.73281940003</v>
      </c>
      <c r="O1162" s="396" t="s">
        <v>4964</v>
      </c>
    </row>
    <row r="1163" spans="1:15" ht="39.6" x14ac:dyDescent="0.4">
      <c r="A1163" s="396" t="s">
        <v>7685</v>
      </c>
      <c r="B1163" s="394" t="s">
        <v>439</v>
      </c>
      <c r="C1163" s="394" t="s">
        <v>7686</v>
      </c>
      <c r="D1163" s="394" t="s">
        <v>1039</v>
      </c>
      <c r="E1163" s="395" t="s">
        <v>422</v>
      </c>
      <c r="F1163" s="396" t="s">
        <v>7687</v>
      </c>
      <c r="G1163" s="396" t="s">
        <v>781</v>
      </c>
      <c r="H1163" s="396" t="s">
        <v>5317</v>
      </c>
      <c r="I1163" s="396" t="s">
        <v>781</v>
      </c>
      <c r="J1163" s="396" t="s">
        <v>5681</v>
      </c>
      <c r="K1163" s="396" t="s">
        <v>781</v>
      </c>
      <c r="L1163" s="397">
        <v>0.57066695199999995</v>
      </c>
      <c r="M1163" s="396" t="s">
        <v>4599</v>
      </c>
      <c r="N1163" s="397">
        <v>581151.30348640005</v>
      </c>
      <c r="O1163" s="396" t="s">
        <v>4964</v>
      </c>
    </row>
    <row r="1164" spans="1:15" ht="26.4" x14ac:dyDescent="0.4">
      <c r="A1164" s="396" t="s">
        <v>2367</v>
      </c>
      <c r="B1164" s="394" t="s">
        <v>5902</v>
      </c>
      <c r="C1164" s="394" t="s">
        <v>2368</v>
      </c>
      <c r="D1164" s="394" t="s">
        <v>1039</v>
      </c>
      <c r="E1164" s="395" t="s">
        <v>3</v>
      </c>
      <c r="F1164" s="396" t="s">
        <v>5770</v>
      </c>
      <c r="G1164" s="396" t="s">
        <v>781</v>
      </c>
      <c r="H1164" s="396" t="s">
        <v>7664</v>
      </c>
      <c r="I1164" s="396" t="s">
        <v>781</v>
      </c>
      <c r="J1164" s="396" t="s">
        <v>5349</v>
      </c>
      <c r="K1164" s="396" t="s">
        <v>781</v>
      </c>
      <c r="L1164" s="397">
        <v>0.56140000000000001</v>
      </c>
      <c r="M1164" s="396" t="s">
        <v>4599</v>
      </c>
      <c r="N1164" s="397">
        <v>581151.86488640006</v>
      </c>
      <c r="O1164" s="396" t="s">
        <v>4964</v>
      </c>
    </row>
    <row r="1165" spans="1:15" ht="39.6" x14ac:dyDescent="0.4">
      <c r="A1165" s="396" t="s">
        <v>2531</v>
      </c>
      <c r="B1165" s="394" t="s">
        <v>439</v>
      </c>
      <c r="C1165" s="394" t="s">
        <v>2532</v>
      </c>
      <c r="D1165" s="394" t="s">
        <v>1039</v>
      </c>
      <c r="E1165" s="395" t="s">
        <v>422</v>
      </c>
      <c r="F1165" s="396" t="s">
        <v>5273</v>
      </c>
      <c r="G1165" s="396" t="s">
        <v>781</v>
      </c>
      <c r="H1165" s="396" t="s">
        <v>5784</v>
      </c>
      <c r="I1165" s="396" t="s">
        <v>781</v>
      </c>
      <c r="J1165" s="396" t="s">
        <v>5349</v>
      </c>
      <c r="K1165" s="396" t="s">
        <v>781</v>
      </c>
      <c r="L1165" s="397">
        <v>0.56000000000000005</v>
      </c>
      <c r="M1165" s="396" t="s">
        <v>4599</v>
      </c>
      <c r="N1165" s="397">
        <v>581152.4248864</v>
      </c>
      <c r="O1165" s="396" t="s">
        <v>4964</v>
      </c>
    </row>
    <row r="1166" spans="1:15" ht="26.4" x14ac:dyDescent="0.4">
      <c r="A1166" s="396" t="s">
        <v>4986</v>
      </c>
      <c r="B1166" s="394" t="s">
        <v>395</v>
      </c>
      <c r="C1166" s="394" t="s">
        <v>4987</v>
      </c>
      <c r="D1166" s="394" t="s">
        <v>1039</v>
      </c>
      <c r="E1166" s="395" t="s">
        <v>4</v>
      </c>
      <c r="F1166" s="396" t="s">
        <v>7666</v>
      </c>
      <c r="G1166" s="396" t="s">
        <v>781</v>
      </c>
      <c r="H1166" s="396" t="s">
        <v>6974</v>
      </c>
      <c r="I1166" s="396" t="s">
        <v>781</v>
      </c>
      <c r="J1166" s="396" t="s">
        <v>7633</v>
      </c>
      <c r="K1166" s="396" t="s">
        <v>781</v>
      </c>
      <c r="L1166" s="397">
        <v>0.53893155199999998</v>
      </c>
      <c r="M1166" s="396" t="s">
        <v>4599</v>
      </c>
      <c r="N1166" s="397">
        <v>581152.96381800005</v>
      </c>
      <c r="O1166" s="396" t="s">
        <v>4964</v>
      </c>
    </row>
    <row r="1167" spans="1:15" ht="26.4" x14ac:dyDescent="0.4">
      <c r="A1167" s="396" t="s">
        <v>7674</v>
      </c>
      <c r="B1167" s="394" t="s">
        <v>420</v>
      </c>
      <c r="C1167" s="394" t="s">
        <v>7675</v>
      </c>
      <c r="D1167" s="394" t="s">
        <v>1039</v>
      </c>
      <c r="E1167" s="395" t="s">
        <v>1249</v>
      </c>
      <c r="F1167" s="396" t="s">
        <v>5730</v>
      </c>
      <c r="G1167" s="396" t="s">
        <v>781</v>
      </c>
      <c r="H1167" s="396" t="s">
        <v>9573</v>
      </c>
      <c r="I1167" s="396" t="s">
        <v>781</v>
      </c>
      <c r="J1167" s="396" t="s">
        <v>7633</v>
      </c>
      <c r="K1167" s="396" t="s">
        <v>781</v>
      </c>
      <c r="L1167" s="397">
        <v>0.53879999999999995</v>
      </c>
      <c r="M1167" s="396" t="s">
        <v>4599</v>
      </c>
      <c r="N1167" s="397">
        <v>581153.50261800003</v>
      </c>
      <c r="O1167" s="396" t="s">
        <v>4964</v>
      </c>
    </row>
    <row r="1168" spans="1:15" x14ac:dyDescent="0.4">
      <c r="A1168" s="396" t="s">
        <v>4993</v>
      </c>
      <c r="B1168" s="394" t="s">
        <v>420</v>
      </c>
      <c r="C1168" s="394" t="s">
        <v>4994</v>
      </c>
      <c r="D1168" s="394" t="s">
        <v>1039</v>
      </c>
      <c r="E1168" s="395" t="s">
        <v>422</v>
      </c>
      <c r="F1168" s="396" t="s">
        <v>5757</v>
      </c>
      <c r="G1168" s="396" t="s">
        <v>781</v>
      </c>
      <c r="H1168" s="396" t="s">
        <v>7667</v>
      </c>
      <c r="I1168" s="396" t="s">
        <v>781</v>
      </c>
      <c r="J1168" s="396" t="s">
        <v>7633</v>
      </c>
      <c r="K1168" s="396" t="s">
        <v>781</v>
      </c>
      <c r="L1168" s="397">
        <v>0.53690559999999998</v>
      </c>
      <c r="M1168" s="396" t="s">
        <v>4599</v>
      </c>
      <c r="N1168" s="397">
        <v>581154.03952360002</v>
      </c>
      <c r="O1168" s="396" t="s">
        <v>4964</v>
      </c>
    </row>
    <row r="1169" spans="1:15" x14ac:dyDescent="0.4">
      <c r="A1169" s="396" t="s">
        <v>5003</v>
      </c>
      <c r="B1169" s="394" t="s">
        <v>420</v>
      </c>
      <c r="C1169" s="394" t="s">
        <v>5004</v>
      </c>
      <c r="D1169" s="394" t="s">
        <v>1039</v>
      </c>
      <c r="E1169" s="395" t="s">
        <v>422</v>
      </c>
      <c r="F1169" s="396" t="s">
        <v>5773</v>
      </c>
      <c r="G1169" s="396" t="s">
        <v>781</v>
      </c>
      <c r="H1169" s="396" t="s">
        <v>5455</v>
      </c>
      <c r="I1169" s="396" t="s">
        <v>781</v>
      </c>
      <c r="J1169" s="396" t="s">
        <v>7633</v>
      </c>
      <c r="K1169" s="396" t="s">
        <v>781</v>
      </c>
      <c r="L1169" s="397">
        <v>0.53663499199999998</v>
      </c>
      <c r="M1169" s="396" t="s">
        <v>4599</v>
      </c>
      <c r="N1169" s="397">
        <v>581154.57615860004</v>
      </c>
      <c r="O1169" s="396" t="s">
        <v>4964</v>
      </c>
    </row>
    <row r="1170" spans="1:15" x14ac:dyDescent="0.4">
      <c r="A1170" s="396" t="s">
        <v>7668</v>
      </c>
      <c r="B1170" s="394" t="s">
        <v>395</v>
      </c>
      <c r="C1170" s="394" t="s">
        <v>7669</v>
      </c>
      <c r="D1170" s="394" t="s">
        <v>1039</v>
      </c>
      <c r="E1170" s="395" t="s">
        <v>3</v>
      </c>
      <c r="F1170" s="396" t="s">
        <v>7670</v>
      </c>
      <c r="G1170" s="396" t="s">
        <v>781</v>
      </c>
      <c r="H1170" s="396" t="s">
        <v>7671</v>
      </c>
      <c r="I1170" s="396" t="s">
        <v>781</v>
      </c>
      <c r="J1170" s="396" t="s">
        <v>5734</v>
      </c>
      <c r="K1170" s="396" t="s">
        <v>781</v>
      </c>
      <c r="L1170" s="397">
        <v>0.51996405000000001</v>
      </c>
      <c r="M1170" s="396" t="s">
        <v>4599</v>
      </c>
      <c r="N1170" s="397">
        <v>581155.09612270002</v>
      </c>
      <c r="O1170" s="396" t="s">
        <v>4964</v>
      </c>
    </row>
    <row r="1171" spans="1:15" x14ac:dyDescent="0.4">
      <c r="A1171" s="396" t="s">
        <v>1434</v>
      </c>
      <c r="B1171" s="394" t="s">
        <v>395</v>
      </c>
      <c r="C1171" s="394" t="s">
        <v>370</v>
      </c>
      <c r="D1171" s="394" t="s">
        <v>1039</v>
      </c>
      <c r="E1171" s="395" t="s">
        <v>8</v>
      </c>
      <c r="F1171" s="396" t="s">
        <v>5758</v>
      </c>
      <c r="G1171" s="396" t="s">
        <v>781</v>
      </c>
      <c r="H1171" s="396" t="s">
        <v>7672</v>
      </c>
      <c r="I1171" s="396" t="s">
        <v>781</v>
      </c>
      <c r="J1171" s="396" t="s">
        <v>5763</v>
      </c>
      <c r="K1171" s="396" t="s">
        <v>781</v>
      </c>
      <c r="L1171" s="397">
        <v>0.50949</v>
      </c>
      <c r="M1171" s="396" t="s">
        <v>4599</v>
      </c>
      <c r="N1171" s="397">
        <v>581155.60561269999</v>
      </c>
      <c r="O1171" s="396" t="s">
        <v>4964</v>
      </c>
    </row>
    <row r="1172" spans="1:15" ht="26.4" x14ac:dyDescent="0.4">
      <c r="A1172" s="396" t="s">
        <v>5005</v>
      </c>
      <c r="B1172" s="394" t="s">
        <v>439</v>
      </c>
      <c r="C1172" s="394" t="s">
        <v>5006</v>
      </c>
      <c r="D1172" s="394" t="s">
        <v>2381</v>
      </c>
      <c r="E1172" s="395" t="s">
        <v>1109</v>
      </c>
      <c r="F1172" s="396" t="s">
        <v>5571</v>
      </c>
      <c r="G1172" s="396" t="s">
        <v>781</v>
      </c>
      <c r="H1172" s="396" t="s">
        <v>5517</v>
      </c>
      <c r="I1172" s="396" t="s">
        <v>781</v>
      </c>
      <c r="J1172" s="396" t="s">
        <v>5443</v>
      </c>
      <c r="K1172" s="396" t="s">
        <v>781</v>
      </c>
      <c r="L1172" s="397">
        <v>0.49761893000000001</v>
      </c>
      <c r="M1172" s="396" t="s">
        <v>4599</v>
      </c>
      <c r="N1172" s="397">
        <v>581156.10323160002</v>
      </c>
      <c r="O1172" s="396" t="s">
        <v>4964</v>
      </c>
    </row>
    <row r="1173" spans="1:15" x14ac:dyDescent="0.4">
      <c r="A1173" s="396" t="s">
        <v>1559</v>
      </c>
      <c r="B1173" s="394" t="s">
        <v>408</v>
      </c>
      <c r="C1173" s="394" t="s">
        <v>1560</v>
      </c>
      <c r="D1173" s="394" t="s">
        <v>1039</v>
      </c>
      <c r="E1173" s="395" t="s">
        <v>6</v>
      </c>
      <c r="F1173" s="396" t="s">
        <v>5793</v>
      </c>
      <c r="G1173" s="396" t="s">
        <v>781</v>
      </c>
      <c r="H1173" s="396" t="s">
        <v>5685</v>
      </c>
      <c r="I1173" s="396" t="s">
        <v>781</v>
      </c>
      <c r="J1173" s="396" t="s">
        <v>7673</v>
      </c>
      <c r="K1173" s="396" t="s">
        <v>781</v>
      </c>
      <c r="L1173" s="397">
        <v>0.49049999999999999</v>
      </c>
      <c r="M1173" s="396" t="s">
        <v>4599</v>
      </c>
      <c r="N1173" s="397">
        <v>581156.59373159998</v>
      </c>
      <c r="O1173" s="396" t="s">
        <v>4964</v>
      </c>
    </row>
    <row r="1174" spans="1:15" x14ac:dyDescent="0.4">
      <c r="A1174" s="396" t="s">
        <v>1326</v>
      </c>
      <c r="B1174" s="394" t="s">
        <v>408</v>
      </c>
      <c r="C1174" s="394" t="s">
        <v>1327</v>
      </c>
      <c r="D1174" s="394" t="s">
        <v>1039</v>
      </c>
      <c r="E1174" s="395" t="s">
        <v>4</v>
      </c>
      <c r="F1174" s="396" t="s">
        <v>5762</v>
      </c>
      <c r="G1174" s="396" t="s">
        <v>781</v>
      </c>
      <c r="H1174" s="396" t="s">
        <v>5326</v>
      </c>
      <c r="I1174" s="396" t="s">
        <v>781</v>
      </c>
      <c r="J1174" s="396" t="s">
        <v>5737</v>
      </c>
      <c r="K1174" s="396" t="s">
        <v>781</v>
      </c>
      <c r="L1174" s="397">
        <v>0.47599999999999998</v>
      </c>
      <c r="M1174" s="396" t="s">
        <v>4599</v>
      </c>
      <c r="N1174" s="397">
        <v>581157.0697316</v>
      </c>
      <c r="O1174" s="396" t="s">
        <v>4964</v>
      </c>
    </row>
    <row r="1175" spans="1:15" ht="26.4" x14ac:dyDescent="0.4">
      <c r="A1175" s="396" t="s">
        <v>4997</v>
      </c>
      <c r="B1175" s="394" t="s">
        <v>395</v>
      </c>
      <c r="C1175" s="394" t="s">
        <v>4998</v>
      </c>
      <c r="D1175" s="394" t="s">
        <v>1039</v>
      </c>
      <c r="E1175" s="395" t="s">
        <v>8</v>
      </c>
      <c r="F1175" s="396" t="s">
        <v>5766</v>
      </c>
      <c r="G1175" s="396" t="s">
        <v>781</v>
      </c>
      <c r="H1175" s="396" t="s">
        <v>7676</v>
      </c>
      <c r="I1175" s="396" t="s">
        <v>781</v>
      </c>
      <c r="J1175" s="396" t="s">
        <v>7677</v>
      </c>
      <c r="K1175" s="396" t="s">
        <v>781</v>
      </c>
      <c r="L1175" s="397">
        <v>0.47384084799999998</v>
      </c>
      <c r="M1175" s="396" t="s">
        <v>4599</v>
      </c>
      <c r="N1175" s="397">
        <v>581157.5435724</v>
      </c>
      <c r="O1175" s="396" t="s">
        <v>4964</v>
      </c>
    </row>
    <row r="1176" spans="1:15" ht="26.4" x14ac:dyDescent="0.4">
      <c r="A1176" s="396" t="s">
        <v>7662</v>
      </c>
      <c r="B1176" s="394" t="s">
        <v>439</v>
      </c>
      <c r="C1176" s="394" t="s">
        <v>1383</v>
      </c>
      <c r="D1176" s="394" t="s">
        <v>1039</v>
      </c>
      <c r="E1176" s="395" t="s">
        <v>422</v>
      </c>
      <c r="F1176" s="396" t="s">
        <v>7663</v>
      </c>
      <c r="G1176" s="396" t="s">
        <v>781</v>
      </c>
      <c r="H1176" s="396" t="s">
        <v>7721</v>
      </c>
      <c r="I1176" s="396" t="s">
        <v>781</v>
      </c>
      <c r="J1176" s="396" t="s">
        <v>7677</v>
      </c>
      <c r="K1176" s="396" t="s">
        <v>781</v>
      </c>
      <c r="L1176" s="397">
        <v>0.46666666200000001</v>
      </c>
      <c r="M1176" s="396" t="s">
        <v>4599</v>
      </c>
      <c r="N1176" s="397">
        <v>581158.01023909997</v>
      </c>
      <c r="O1176" s="396" t="s">
        <v>4964</v>
      </c>
    </row>
    <row r="1177" spans="1:15" ht="26.4" x14ac:dyDescent="0.4">
      <c r="A1177" s="396" t="s">
        <v>1310</v>
      </c>
      <c r="B1177" s="394" t="s">
        <v>5902</v>
      </c>
      <c r="C1177" s="394" t="s">
        <v>1311</v>
      </c>
      <c r="D1177" s="394" t="s">
        <v>1039</v>
      </c>
      <c r="E1177" s="395" t="s">
        <v>7</v>
      </c>
      <c r="F1177" s="396" t="s">
        <v>5493</v>
      </c>
      <c r="G1177" s="396" t="s">
        <v>781</v>
      </c>
      <c r="H1177" s="396" t="s">
        <v>5597</v>
      </c>
      <c r="I1177" s="396" t="s">
        <v>781</v>
      </c>
      <c r="J1177" s="396" t="s">
        <v>5765</v>
      </c>
      <c r="K1177" s="396" t="s">
        <v>781</v>
      </c>
      <c r="L1177" s="397">
        <v>0.45600000000000002</v>
      </c>
      <c r="M1177" s="396" t="s">
        <v>4599</v>
      </c>
      <c r="N1177" s="397">
        <v>581158.46623909997</v>
      </c>
      <c r="O1177" s="396" t="s">
        <v>4964</v>
      </c>
    </row>
    <row r="1178" spans="1:15" ht="26.4" x14ac:dyDescent="0.4">
      <c r="A1178" s="396" t="s">
        <v>1527</v>
      </c>
      <c r="B1178" s="394" t="s">
        <v>420</v>
      </c>
      <c r="C1178" s="394" t="s">
        <v>1528</v>
      </c>
      <c r="D1178" s="394" t="s">
        <v>1039</v>
      </c>
      <c r="E1178" s="395" t="s">
        <v>422</v>
      </c>
      <c r="F1178" s="396" t="s">
        <v>5738</v>
      </c>
      <c r="G1178" s="396" t="s">
        <v>781</v>
      </c>
      <c r="H1178" s="396" t="s">
        <v>7678</v>
      </c>
      <c r="I1178" s="396" t="s">
        <v>781</v>
      </c>
      <c r="J1178" s="396" t="s">
        <v>5353</v>
      </c>
      <c r="K1178" s="396" t="s">
        <v>781</v>
      </c>
      <c r="L1178" s="397">
        <v>0.45151200000000002</v>
      </c>
      <c r="M1178" s="396" t="s">
        <v>4599</v>
      </c>
      <c r="N1178" s="397">
        <v>581158.91775110003</v>
      </c>
      <c r="O1178" s="396" t="s">
        <v>4964</v>
      </c>
    </row>
    <row r="1179" spans="1:15" ht="26.4" x14ac:dyDescent="0.4">
      <c r="A1179" s="396" t="s">
        <v>7691</v>
      </c>
      <c r="B1179" s="394" t="s">
        <v>439</v>
      </c>
      <c r="C1179" s="394" t="s">
        <v>2519</v>
      </c>
      <c r="D1179" s="394" t="s">
        <v>1039</v>
      </c>
      <c r="E1179" s="395" t="s">
        <v>437</v>
      </c>
      <c r="F1179" s="396" t="s">
        <v>5751</v>
      </c>
      <c r="G1179" s="396" t="s">
        <v>781</v>
      </c>
      <c r="H1179" s="396" t="s">
        <v>7721</v>
      </c>
      <c r="I1179" s="396" t="s">
        <v>781</v>
      </c>
      <c r="J1179" s="396" t="s">
        <v>5582</v>
      </c>
      <c r="K1179" s="396" t="s">
        <v>781</v>
      </c>
      <c r="L1179" s="397">
        <v>0.43982294999999999</v>
      </c>
      <c r="M1179" s="396" t="s">
        <v>4599</v>
      </c>
      <c r="N1179" s="397">
        <v>581159.35757410002</v>
      </c>
      <c r="O1179" s="396" t="s">
        <v>4964</v>
      </c>
    </row>
    <row r="1180" spans="1:15" ht="26.4" x14ac:dyDescent="0.4">
      <c r="A1180" s="396" t="s">
        <v>5041</v>
      </c>
      <c r="B1180" s="394" t="s">
        <v>395</v>
      </c>
      <c r="C1180" s="394" t="s">
        <v>5042</v>
      </c>
      <c r="D1180" s="394" t="s">
        <v>1039</v>
      </c>
      <c r="E1180" s="395" t="s">
        <v>4</v>
      </c>
      <c r="F1180" s="396" t="s">
        <v>9574</v>
      </c>
      <c r="G1180" s="396" t="s">
        <v>781</v>
      </c>
      <c r="H1180" s="396" t="s">
        <v>7710</v>
      </c>
      <c r="I1180" s="396" t="s">
        <v>781</v>
      </c>
      <c r="J1180" s="396" t="s">
        <v>5582</v>
      </c>
      <c r="K1180" s="396" t="s">
        <v>781</v>
      </c>
      <c r="L1180" s="397">
        <v>0.439493356</v>
      </c>
      <c r="M1180" s="396" t="s">
        <v>4599</v>
      </c>
      <c r="N1180" s="397">
        <v>581159.79706749995</v>
      </c>
      <c r="O1180" s="396" t="s">
        <v>4964</v>
      </c>
    </row>
    <row r="1181" spans="1:15" ht="26.4" x14ac:dyDescent="0.4">
      <c r="A1181" s="396" t="s">
        <v>7679</v>
      </c>
      <c r="B1181" s="394" t="s">
        <v>439</v>
      </c>
      <c r="C1181" s="394" t="s">
        <v>7680</v>
      </c>
      <c r="D1181" s="394" t="s">
        <v>1053</v>
      </c>
      <c r="E1181" s="395" t="s">
        <v>6</v>
      </c>
      <c r="F1181" s="396" t="s">
        <v>7681</v>
      </c>
      <c r="G1181" s="396" t="s">
        <v>781</v>
      </c>
      <c r="H1181" s="396" t="s">
        <v>6627</v>
      </c>
      <c r="I1181" s="396" t="s">
        <v>781</v>
      </c>
      <c r="J1181" s="396" t="s">
        <v>5582</v>
      </c>
      <c r="K1181" s="396" t="s">
        <v>781</v>
      </c>
      <c r="L1181" s="397">
        <v>0.43597374</v>
      </c>
      <c r="M1181" s="396" t="s">
        <v>4599</v>
      </c>
      <c r="N1181" s="397">
        <v>581160.23304119997</v>
      </c>
      <c r="O1181" s="396" t="s">
        <v>4964</v>
      </c>
    </row>
    <row r="1182" spans="1:15" x14ac:dyDescent="0.4">
      <c r="A1182" s="396" t="s">
        <v>5023</v>
      </c>
      <c r="B1182" s="394" t="s">
        <v>420</v>
      </c>
      <c r="C1182" s="394" t="s">
        <v>5024</v>
      </c>
      <c r="D1182" s="394" t="s">
        <v>1039</v>
      </c>
      <c r="E1182" s="395" t="s">
        <v>422</v>
      </c>
      <c r="F1182" s="396" t="s">
        <v>5783</v>
      </c>
      <c r="G1182" s="396" t="s">
        <v>781</v>
      </c>
      <c r="H1182" s="396" t="s">
        <v>7682</v>
      </c>
      <c r="I1182" s="396" t="s">
        <v>781</v>
      </c>
      <c r="J1182" s="396" t="s">
        <v>5769</v>
      </c>
      <c r="K1182" s="396" t="s">
        <v>781</v>
      </c>
      <c r="L1182" s="397">
        <v>0.43012800000000001</v>
      </c>
      <c r="M1182" s="396" t="s">
        <v>4599</v>
      </c>
      <c r="N1182" s="397">
        <v>581160.66316919995</v>
      </c>
      <c r="O1182" s="396" t="s">
        <v>4964</v>
      </c>
    </row>
    <row r="1183" spans="1:15" ht="26.4" x14ac:dyDescent="0.4">
      <c r="A1183" s="396" t="s">
        <v>7696</v>
      </c>
      <c r="B1183" s="394" t="s">
        <v>439</v>
      </c>
      <c r="C1183" s="394" t="s">
        <v>7697</v>
      </c>
      <c r="D1183" s="394" t="s">
        <v>1039</v>
      </c>
      <c r="E1183" s="395" t="s">
        <v>422</v>
      </c>
      <c r="F1183" s="396" t="s">
        <v>5700</v>
      </c>
      <c r="G1183" s="396" t="s">
        <v>781</v>
      </c>
      <c r="H1183" s="396" t="s">
        <v>5404</v>
      </c>
      <c r="I1183" s="396" t="s">
        <v>781</v>
      </c>
      <c r="J1183" s="396" t="s">
        <v>5769</v>
      </c>
      <c r="K1183" s="396" t="s">
        <v>781</v>
      </c>
      <c r="L1183" s="397">
        <v>0.42666665599999998</v>
      </c>
      <c r="M1183" s="396" t="s">
        <v>4599</v>
      </c>
      <c r="N1183" s="397">
        <v>581161.0898359</v>
      </c>
      <c r="O1183" s="396" t="s">
        <v>4964</v>
      </c>
    </row>
    <row r="1184" spans="1:15" ht="39.6" x14ac:dyDescent="0.4">
      <c r="A1184" s="396" t="s">
        <v>5013</v>
      </c>
      <c r="B1184" s="394" t="s">
        <v>395</v>
      </c>
      <c r="C1184" s="394" t="s">
        <v>5014</v>
      </c>
      <c r="D1184" s="394" t="s">
        <v>1317</v>
      </c>
      <c r="E1184" s="395" t="s">
        <v>4</v>
      </c>
      <c r="F1184" s="396" t="s">
        <v>5736</v>
      </c>
      <c r="G1184" s="396" t="s">
        <v>781</v>
      </c>
      <c r="H1184" s="396" t="s">
        <v>7683</v>
      </c>
      <c r="I1184" s="396" t="s">
        <v>781</v>
      </c>
      <c r="J1184" s="396" t="s">
        <v>7684</v>
      </c>
      <c r="K1184" s="396" t="s">
        <v>781</v>
      </c>
      <c r="L1184" s="397">
        <v>0.41445516700000001</v>
      </c>
      <c r="M1184" s="396" t="s">
        <v>4599</v>
      </c>
      <c r="N1184" s="397">
        <v>581161.50429109996</v>
      </c>
      <c r="O1184" s="396" t="s">
        <v>4964</v>
      </c>
    </row>
    <row r="1185" spans="1:15" ht="26.4" x14ac:dyDescent="0.4">
      <c r="A1185" s="396" t="s">
        <v>1096</v>
      </c>
      <c r="B1185" s="394" t="s">
        <v>431</v>
      </c>
      <c r="C1185" s="394" t="s">
        <v>1097</v>
      </c>
      <c r="D1185" s="394" t="s">
        <v>1039</v>
      </c>
      <c r="E1185" s="395" t="s">
        <v>4</v>
      </c>
      <c r="F1185" s="396" t="s">
        <v>5269</v>
      </c>
      <c r="G1185" s="396" t="s">
        <v>781</v>
      </c>
      <c r="H1185" s="396" t="s">
        <v>5774</v>
      </c>
      <c r="I1185" s="396" t="s">
        <v>781</v>
      </c>
      <c r="J1185" s="396" t="s">
        <v>5774</v>
      </c>
      <c r="K1185" s="396" t="s">
        <v>781</v>
      </c>
      <c r="L1185" s="397">
        <v>0.4</v>
      </c>
      <c r="M1185" s="396" t="s">
        <v>4599</v>
      </c>
      <c r="N1185" s="397">
        <v>581161.90429109999</v>
      </c>
      <c r="O1185" s="396" t="s">
        <v>4964</v>
      </c>
    </row>
    <row r="1186" spans="1:15" x14ac:dyDescent="0.4">
      <c r="A1186" s="396" t="s">
        <v>5035</v>
      </c>
      <c r="B1186" s="394" t="s">
        <v>420</v>
      </c>
      <c r="C1186" s="394" t="s">
        <v>5036</v>
      </c>
      <c r="D1186" s="394" t="s">
        <v>1317</v>
      </c>
      <c r="E1186" s="395" t="s">
        <v>422</v>
      </c>
      <c r="F1186" s="396" t="s">
        <v>5795</v>
      </c>
      <c r="G1186" s="396" t="s">
        <v>781</v>
      </c>
      <c r="H1186" s="396" t="s">
        <v>7689</v>
      </c>
      <c r="I1186" s="396" t="s">
        <v>781</v>
      </c>
      <c r="J1186" s="396" t="s">
        <v>7688</v>
      </c>
      <c r="K1186" s="396" t="s">
        <v>781</v>
      </c>
      <c r="L1186" s="397">
        <v>0.38852919000000002</v>
      </c>
      <c r="M1186" s="396" t="s">
        <v>4599</v>
      </c>
      <c r="N1186" s="397">
        <v>581162.29282029998</v>
      </c>
      <c r="O1186" s="396" t="s">
        <v>4964</v>
      </c>
    </row>
    <row r="1187" spans="1:15" x14ac:dyDescent="0.4">
      <c r="A1187" s="396" t="s">
        <v>5009</v>
      </c>
      <c r="B1187" s="394" t="s">
        <v>439</v>
      </c>
      <c r="C1187" s="394" t="s">
        <v>5010</v>
      </c>
      <c r="D1187" s="394" t="s">
        <v>2381</v>
      </c>
      <c r="E1187" s="395" t="s">
        <v>1109</v>
      </c>
      <c r="F1187" s="396" t="s">
        <v>5661</v>
      </c>
      <c r="G1187" s="396" t="s">
        <v>781</v>
      </c>
      <c r="H1187" s="396" t="s">
        <v>5709</v>
      </c>
      <c r="I1187" s="396" t="s">
        <v>781</v>
      </c>
      <c r="J1187" s="396" t="s">
        <v>7690</v>
      </c>
      <c r="K1187" s="396" t="s">
        <v>781</v>
      </c>
      <c r="L1187" s="397">
        <v>0.38238071600000001</v>
      </c>
      <c r="M1187" s="396" t="s">
        <v>4599</v>
      </c>
      <c r="N1187" s="397">
        <v>581162.67520099995</v>
      </c>
      <c r="O1187" s="396" t="s">
        <v>4964</v>
      </c>
    </row>
    <row r="1188" spans="1:15" x14ac:dyDescent="0.4">
      <c r="A1188" s="396" t="s">
        <v>5015</v>
      </c>
      <c r="B1188" s="394" t="s">
        <v>420</v>
      </c>
      <c r="C1188" s="394" t="s">
        <v>5016</v>
      </c>
      <c r="D1188" s="394" t="s">
        <v>1039</v>
      </c>
      <c r="E1188" s="395" t="s">
        <v>422</v>
      </c>
      <c r="F1188" s="396" t="s">
        <v>5777</v>
      </c>
      <c r="G1188" s="396" t="s">
        <v>781</v>
      </c>
      <c r="H1188" s="396" t="s">
        <v>5788</v>
      </c>
      <c r="I1188" s="396" t="s">
        <v>781</v>
      </c>
      <c r="J1188" s="396" t="s">
        <v>7690</v>
      </c>
      <c r="K1188" s="396" t="s">
        <v>781</v>
      </c>
      <c r="L1188" s="397">
        <v>0.38028624999999999</v>
      </c>
      <c r="M1188" s="396" t="s">
        <v>4599</v>
      </c>
      <c r="N1188" s="397">
        <v>581163.05548730004</v>
      </c>
      <c r="O1188" s="396" t="s">
        <v>4964</v>
      </c>
    </row>
    <row r="1189" spans="1:15" ht="26.4" x14ac:dyDescent="0.4">
      <c r="A1189" s="396" t="s">
        <v>5011</v>
      </c>
      <c r="B1189" s="394" t="s">
        <v>439</v>
      </c>
      <c r="C1189" s="394" t="s">
        <v>5012</v>
      </c>
      <c r="D1189" s="394" t="s">
        <v>2381</v>
      </c>
      <c r="E1189" s="395" t="s">
        <v>1109</v>
      </c>
      <c r="F1189" s="396" t="s">
        <v>5545</v>
      </c>
      <c r="G1189" s="396" t="s">
        <v>781</v>
      </c>
      <c r="H1189" s="396" t="s">
        <v>5774</v>
      </c>
      <c r="I1189" s="396" t="s">
        <v>781</v>
      </c>
      <c r="J1189" s="396" t="s">
        <v>7690</v>
      </c>
      <c r="K1189" s="396" t="s">
        <v>781</v>
      </c>
      <c r="L1189" s="397">
        <v>0.38</v>
      </c>
      <c r="M1189" s="396" t="s">
        <v>4599</v>
      </c>
      <c r="N1189" s="397">
        <v>581163.43548730004</v>
      </c>
      <c r="O1189" s="396" t="s">
        <v>4964</v>
      </c>
    </row>
    <row r="1190" spans="1:15" ht="26.4" x14ac:dyDescent="0.4">
      <c r="A1190" s="396" t="s">
        <v>9575</v>
      </c>
      <c r="B1190" s="394" t="s">
        <v>5902</v>
      </c>
      <c r="C1190" s="394" t="s">
        <v>9576</v>
      </c>
      <c r="D1190" s="394" t="s">
        <v>1039</v>
      </c>
      <c r="E1190" s="395" t="s">
        <v>6</v>
      </c>
      <c r="F1190" s="396" t="s">
        <v>9577</v>
      </c>
      <c r="G1190" s="396" t="s">
        <v>781</v>
      </c>
      <c r="H1190" s="396" t="s">
        <v>9578</v>
      </c>
      <c r="I1190" s="396" t="s">
        <v>781</v>
      </c>
      <c r="J1190" s="396" t="s">
        <v>7690</v>
      </c>
      <c r="K1190" s="396" t="s">
        <v>781</v>
      </c>
      <c r="L1190" s="397">
        <v>0.37922400000000001</v>
      </c>
      <c r="M1190" s="396" t="s">
        <v>4599</v>
      </c>
      <c r="N1190" s="397">
        <v>581163.81471129996</v>
      </c>
      <c r="O1190" s="396" t="s">
        <v>4964</v>
      </c>
    </row>
    <row r="1191" spans="1:15" x14ac:dyDescent="0.4">
      <c r="A1191" s="396" t="s">
        <v>5019</v>
      </c>
      <c r="B1191" s="394" t="s">
        <v>420</v>
      </c>
      <c r="C1191" s="394" t="s">
        <v>5020</v>
      </c>
      <c r="D1191" s="394" t="s">
        <v>1039</v>
      </c>
      <c r="E1191" s="395" t="s">
        <v>422</v>
      </c>
      <c r="F1191" s="396" t="s">
        <v>5779</v>
      </c>
      <c r="G1191" s="396" t="s">
        <v>781</v>
      </c>
      <c r="H1191" s="396" t="s">
        <v>9579</v>
      </c>
      <c r="I1191" s="396" t="s">
        <v>781</v>
      </c>
      <c r="J1191" s="396" t="s">
        <v>9580</v>
      </c>
      <c r="K1191" s="396" t="s">
        <v>781</v>
      </c>
      <c r="L1191" s="397">
        <v>0.37003999999999998</v>
      </c>
      <c r="M1191" s="396" t="s">
        <v>4599</v>
      </c>
      <c r="N1191" s="397">
        <v>581164.18475130002</v>
      </c>
      <c r="O1191" s="396" t="s">
        <v>4964</v>
      </c>
    </row>
    <row r="1192" spans="1:15" x14ac:dyDescent="0.4">
      <c r="A1192" s="396" t="s">
        <v>2559</v>
      </c>
      <c r="B1192" s="394" t="s">
        <v>408</v>
      </c>
      <c r="C1192" s="394" t="s">
        <v>2560</v>
      </c>
      <c r="D1192" s="394" t="s">
        <v>1039</v>
      </c>
      <c r="E1192" s="395" t="s">
        <v>4</v>
      </c>
      <c r="F1192" s="396" t="s">
        <v>5273</v>
      </c>
      <c r="G1192" s="396" t="s">
        <v>781</v>
      </c>
      <c r="H1192" s="396" t="s">
        <v>5799</v>
      </c>
      <c r="I1192" s="396" t="s">
        <v>781</v>
      </c>
      <c r="J1192" s="396" t="s">
        <v>7623</v>
      </c>
      <c r="K1192" s="396" t="s">
        <v>781</v>
      </c>
      <c r="L1192" s="397">
        <v>0.36</v>
      </c>
      <c r="M1192" s="396" t="s">
        <v>4599</v>
      </c>
      <c r="N1192" s="397">
        <v>581164.54475130001</v>
      </c>
      <c r="O1192" s="396" t="s">
        <v>4964</v>
      </c>
    </row>
    <row r="1193" spans="1:15" x14ac:dyDescent="0.4">
      <c r="A1193" s="396" t="s">
        <v>5033</v>
      </c>
      <c r="B1193" s="394" t="s">
        <v>420</v>
      </c>
      <c r="C1193" s="394" t="s">
        <v>5034</v>
      </c>
      <c r="D1193" s="394" t="s">
        <v>1039</v>
      </c>
      <c r="E1193" s="395" t="s">
        <v>422</v>
      </c>
      <c r="F1193" s="396" t="s">
        <v>5794</v>
      </c>
      <c r="G1193" s="396" t="s">
        <v>781</v>
      </c>
      <c r="H1193" s="396" t="s">
        <v>9581</v>
      </c>
      <c r="I1193" s="396" t="s">
        <v>781</v>
      </c>
      <c r="J1193" s="396" t="s">
        <v>5798</v>
      </c>
      <c r="K1193" s="396" t="s">
        <v>781</v>
      </c>
      <c r="L1193" s="397">
        <v>0.343609</v>
      </c>
      <c r="M1193" s="396" t="s">
        <v>4599</v>
      </c>
      <c r="N1193" s="397">
        <v>581164.88836029998</v>
      </c>
      <c r="O1193" s="396" t="s">
        <v>4964</v>
      </c>
    </row>
    <row r="1194" spans="1:15" x14ac:dyDescent="0.4">
      <c r="A1194" s="396" t="s">
        <v>5051</v>
      </c>
      <c r="B1194" s="394" t="s">
        <v>420</v>
      </c>
      <c r="C1194" s="394" t="s">
        <v>5052</v>
      </c>
      <c r="D1194" s="394" t="s">
        <v>1039</v>
      </c>
      <c r="E1194" s="395" t="s">
        <v>422</v>
      </c>
      <c r="F1194" s="396" t="s">
        <v>5803</v>
      </c>
      <c r="G1194" s="396" t="s">
        <v>781</v>
      </c>
      <c r="H1194" s="396" t="s">
        <v>5377</v>
      </c>
      <c r="I1194" s="396" t="s">
        <v>781</v>
      </c>
      <c r="J1194" s="396" t="s">
        <v>5798</v>
      </c>
      <c r="K1194" s="396" t="s">
        <v>781</v>
      </c>
      <c r="L1194" s="397">
        <v>0.34104000000000001</v>
      </c>
      <c r="M1194" s="396" t="s">
        <v>4599</v>
      </c>
      <c r="N1194" s="397">
        <v>581165.22940029996</v>
      </c>
      <c r="O1194" s="396" t="s">
        <v>4964</v>
      </c>
    </row>
    <row r="1195" spans="1:15" ht="26.4" x14ac:dyDescent="0.4">
      <c r="A1195" s="396" t="s">
        <v>7692</v>
      </c>
      <c r="B1195" s="394" t="s">
        <v>439</v>
      </c>
      <c r="C1195" s="394" t="s">
        <v>7693</v>
      </c>
      <c r="D1195" s="394" t="s">
        <v>1053</v>
      </c>
      <c r="E1195" s="395" t="s">
        <v>6</v>
      </c>
      <c r="F1195" s="396" t="s">
        <v>7694</v>
      </c>
      <c r="G1195" s="396" t="s">
        <v>781</v>
      </c>
      <c r="H1195" s="396" t="s">
        <v>5506</v>
      </c>
      <c r="I1195" s="396" t="s">
        <v>781</v>
      </c>
      <c r="J1195" s="396" t="s">
        <v>5798</v>
      </c>
      <c r="K1195" s="396" t="s">
        <v>781</v>
      </c>
      <c r="L1195" s="397">
        <v>0.338254</v>
      </c>
      <c r="M1195" s="396" t="s">
        <v>4599</v>
      </c>
      <c r="N1195" s="397">
        <v>581165.56765430002</v>
      </c>
      <c r="O1195" s="396" t="s">
        <v>4964</v>
      </c>
    </row>
    <row r="1196" spans="1:15" x14ac:dyDescent="0.4">
      <c r="A1196" s="396" t="s">
        <v>9582</v>
      </c>
      <c r="B1196" s="394" t="s">
        <v>408</v>
      </c>
      <c r="C1196" s="394" t="s">
        <v>9583</v>
      </c>
      <c r="D1196" s="394" t="s">
        <v>1039</v>
      </c>
      <c r="E1196" s="395" t="s">
        <v>3</v>
      </c>
      <c r="F1196" s="396" t="s">
        <v>5762</v>
      </c>
      <c r="G1196" s="396" t="s">
        <v>781</v>
      </c>
      <c r="H1196" s="396" t="s">
        <v>7299</v>
      </c>
      <c r="I1196" s="396" t="s">
        <v>781</v>
      </c>
      <c r="J1196" s="396" t="s">
        <v>5798</v>
      </c>
      <c r="K1196" s="396" t="s">
        <v>781</v>
      </c>
      <c r="L1196" s="397">
        <v>0.33795999999999998</v>
      </c>
      <c r="M1196" s="396" t="s">
        <v>4599</v>
      </c>
      <c r="N1196" s="397">
        <v>581165.90561430005</v>
      </c>
      <c r="O1196" s="396" t="s">
        <v>4964</v>
      </c>
    </row>
    <row r="1197" spans="1:15" ht="26.4" x14ac:dyDescent="0.4">
      <c r="A1197" s="396" t="s">
        <v>7700</v>
      </c>
      <c r="B1197" s="394" t="s">
        <v>439</v>
      </c>
      <c r="C1197" s="394" t="s">
        <v>7701</v>
      </c>
      <c r="D1197" s="394" t="s">
        <v>1039</v>
      </c>
      <c r="E1197" s="395" t="s">
        <v>422</v>
      </c>
      <c r="F1197" s="396" t="s">
        <v>5700</v>
      </c>
      <c r="G1197" s="396" t="s">
        <v>781</v>
      </c>
      <c r="H1197" s="396" t="s">
        <v>5746</v>
      </c>
      <c r="I1197" s="396" t="s">
        <v>781</v>
      </c>
      <c r="J1197" s="396" t="s">
        <v>5608</v>
      </c>
      <c r="K1197" s="396" t="s">
        <v>781</v>
      </c>
      <c r="L1197" s="397">
        <v>0.33333332500000001</v>
      </c>
      <c r="M1197" s="396" t="s">
        <v>4599</v>
      </c>
      <c r="N1197" s="397">
        <v>581166.23894760001</v>
      </c>
      <c r="O1197" s="396" t="s">
        <v>4964</v>
      </c>
    </row>
    <row r="1198" spans="1:15" ht="39.6" x14ac:dyDescent="0.4">
      <c r="A1198" s="396" t="s">
        <v>5045</v>
      </c>
      <c r="B1198" s="394" t="s">
        <v>395</v>
      </c>
      <c r="C1198" s="394" t="s">
        <v>5046</v>
      </c>
      <c r="D1198" s="394" t="s">
        <v>1039</v>
      </c>
      <c r="E1198" s="395" t="s">
        <v>4</v>
      </c>
      <c r="F1198" s="396" t="s">
        <v>7698</v>
      </c>
      <c r="G1198" s="396" t="s">
        <v>781</v>
      </c>
      <c r="H1198" s="396" t="s">
        <v>7699</v>
      </c>
      <c r="I1198" s="396" t="s">
        <v>781</v>
      </c>
      <c r="J1198" s="396" t="s">
        <v>5608</v>
      </c>
      <c r="K1198" s="396" t="s">
        <v>781</v>
      </c>
      <c r="L1198" s="397">
        <v>0.32819254399999997</v>
      </c>
      <c r="M1198" s="396" t="s">
        <v>4599</v>
      </c>
      <c r="N1198" s="397">
        <v>581166.56714010006</v>
      </c>
      <c r="O1198" s="396" t="s">
        <v>4964</v>
      </c>
    </row>
    <row r="1199" spans="1:15" x14ac:dyDescent="0.4">
      <c r="A1199" s="396" t="s">
        <v>5017</v>
      </c>
      <c r="B1199" s="394" t="s">
        <v>420</v>
      </c>
      <c r="C1199" s="394" t="s">
        <v>5018</v>
      </c>
      <c r="D1199" s="394" t="s">
        <v>1039</v>
      </c>
      <c r="E1199" s="395" t="s">
        <v>422</v>
      </c>
      <c r="F1199" s="396" t="s">
        <v>5778</v>
      </c>
      <c r="G1199" s="396" t="s">
        <v>781</v>
      </c>
      <c r="H1199" s="396" t="s">
        <v>7667</v>
      </c>
      <c r="I1199" s="396" t="s">
        <v>781</v>
      </c>
      <c r="J1199" s="396" t="s">
        <v>5404</v>
      </c>
      <c r="K1199" s="396" t="s">
        <v>781</v>
      </c>
      <c r="L1199" s="397">
        <v>0.32207999999999998</v>
      </c>
      <c r="M1199" s="396" t="s">
        <v>4599</v>
      </c>
      <c r="N1199" s="397">
        <v>581166.88922010001</v>
      </c>
      <c r="O1199" s="396" t="s">
        <v>4964</v>
      </c>
    </row>
    <row r="1200" spans="1:15" x14ac:dyDescent="0.4">
      <c r="A1200" s="396" t="s">
        <v>9584</v>
      </c>
      <c r="B1200" s="394" t="s">
        <v>8393</v>
      </c>
      <c r="C1200" s="394" t="s">
        <v>9585</v>
      </c>
      <c r="D1200" s="394" t="s">
        <v>1039</v>
      </c>
      <c r="E1200" s="395" t="s">
        <v>1562</v>
      </c>
      <c r="F1200" s="396" t="s">
        <v>9586</v>
      </c>
      <c r="G1200" s="396" t="s">
        <v>781</v>
      </c>
      <c r="H1200" s="396" t="s">
        <v>9587</v>
      </c>
      <c r="I1200" s="396" t="s">
        <v>781</v>
      </c>
      <c r="J1200" s="396" t="s">
        <v>5776</v>
      </c>
      <c r="K1200" s="396" t="s">
        <v>781</v>
      </c>
      <c r="L1200" s="397">
        <v>0.314</v>
      </c>
      <c r="M1200" s="396" t="s">
        <v>4599</v>
      </c>
      <c r="N1200" s="397">
        <v>581167.20322010003</v>
      </c>
      <c r="O1200" s="396" t="s">
        <v>4964</v>
      </c>
    </row>
    <row r="1201" spans="1:15" x14ac:dyDescent="0.4">
      <c r="A1201" s="396" t="s">
        <v>1577</v>
      </c>
      <c r="B1201" s="394" t="s">
        <v>490</v>
      </c>
      <c r="C1201" s="394" t="s">
        <v>1578</v>
      </c>
      <c r="D1201" s="394" t="s">
        <v>1039</v>
      </c>
      <c r="E1201" s="395" t="s">
        <v>3</v>
      </c>
      <c r="F1201" s="396" t="s">
        <v>5760</v>
      </c>
      <c r="G1201" s="396" t="s">
        <v>781</v>
      </c>
      <c r="H1201" s="396" t="s">
        <v>9588</v>
      </c>
      <c r="I1201" s="396" t="s">
        <v>781</v>
      </c>
      <c r="J1201" s="396" t="s">
        <v>5776</v>
      </c>
      <c r="K1201" s="396" t="s">
        <v>781</v>
      </c>
      <c r="L1201" s="397">
        <v>0.31319999999999998</v>
      </c>
      <c r="M1201" s="396" t="s">
        <v>4599</v>
      </c>
      <c r="N1201" s="397">
        <v>581167.5164201</v>
      </c>
      <c r="O1201" s="396" t="s">
        <v>4964</v>
      </c>
    </row>
    <row r="1202" spans="1:15" x14ac:dyDescent="0.4">
      <c r="A1202" s="396" t="s">
        <v>2507</v>
      </c>
      <c r="B1202" s="394" t="s">
        <v>420</v>
      </c>
      <c r="C1202" s="394" t="s">
        <v>2508</v>
      </c>
      <c r="D1202" s="394" t="s">
        <v>1039</v>
      </c>
      <c r="E1202" s="395" t="s">
        <v>1246</v>
      </c>
      <c r="F1202" s="396" t="s">
        <v>5787</v>
      </c>
      <c r="G1202" s="396" t="s">
        <v>781</v>
      </c>
      <c r="H1202" s="396" t="s">
        <v>5444</v>
      </c>
      <c r="I1202" s="396" t="s">
        <v>781</v>
      </c>
      <c r="J1202" s="396" t="s">
        <v>5724</v>
      </c>
      <c r="K1202" s="396" t="s">
        <v>781</v>
      </c>
      <c r="L1202" s="397">
        <v>0.3</v>
      </c>
      <c r="M1202" s="396" t="s">
        <v>4599</v>
      </c>
      <c r="N1202" s="397">
        <v>581167.81642010005</v>
      </c>
      <c r="O1202" s="396" t="s">
        <v>4964</v>
      </c>
    </row>
    <row r="1203" spans="1:15" x14ac:dyDescent="0.4">
      <c r="A1203" s="396" t="s">
        <v>5021</v>
      </c>
      <c r="B1203" s="394" t="s">
        <v>420</v>
      </c>
      <c r="C1203" s="394" t="s">
        <v>5022</v>
      </c>
      <c r="D1203" s="394" t="s">
        <v>1039</v>
      </c>
      <c r="E1203" s="395" t="s">
        <v>422</v>
      </c>
      <c r="F1203" s="396" t="s">
        <v>5782</v>
      </c>
      <c r="G1203" s="396" t="s">
        <v>781</v>
      </c>
      <c r="H1203" s="396" t="s">
        <v>7702</v>
      </c>
      <c r="I1203" s="396" t="s">
        <v>781</v>
      </c>
      <c r="J1203" s="396" t="s">
        <v>5724</v>
      </c>
      <c r="K1203" s="396" t="s">
        <v>781</v>
      </c>
      <c r="L1203" s="397">
        <v>0.29719200000000001</v>
      </c>
      <c r="M1203" s="396" t="s">
        <v>4599</v>
      </c>
      <c r="N1203" s="397">
        <v>581168.11361210002</v>
      </c>
      <c r="O1203" s="396" t="s">
        <v>4964</v>
      </c>
    </row>
    <row r="1204" spans="1:15" ht="26.4" x14ac:dyDescent="0.4">
      <c r="A1204" s="396" t="s">
        <v>1100</v>
      </c>
      <c r="B1204" s="394" t="s">
        <v>431</v>
      </c>
      <c r="C1204" s="394" t="s">
        <v>1101</v>
      </c>
      <c r="D1204" s="394" t="s">
        <v>1039</v>
      </c>
      <c r="E1204" s="395" t="s">
        <v>4</v>
      </c>
      <c r="F1204" s="396" t="s">
        <v>5269</v>
      </c>
      <c r="G1204" s="396" t="s">
        <v>781</v>
      </c>
      <c r="H1204" s="396" t="s">
        <v>5739</v>
      </c>
      <c r="I1204" s="396" t="s">
        <v>781</v>
      </c>
      <c r="J1204" s="396" t="s">
        <v>5739</v>
      </c>
      <c r="K1204" s="396" t="s">
        <v>781</v>
      </c>
      <c r="L1204" s="397">
        <v>0.28999999999999998</v>
      </c>
      <c r="M1204" s="396" t="s">
        <v>4599</v>
      </c>
      <c r="N1204" s="397">
        <v>581168.40361210005</v>
      </c>
      <c r="O1204" s="396" t="s">
        <v>4964</v>
      </c>
    </row>
    <row r="1205" spans="1:15" ht="26.4" x14ac:dyDescent="0.4">
      <c r="A1205" s="396" t="s">
        <v>9589</v>
      </c>
      <c r="B1205" s="394" t="s">
        <v>5902</v>
      </c>
      <c r="C1205" s="394" t="s">
        <v>9590</v>
      </c>
      <c r="D1205" s="394" t="s">
        <v>1039</v>
      </c>
      <c r="E1205" s="395" t="s">
        <v>4</v>
      </c>
      <c r="F1205" s="396" t="s">
        <v>9512</v>
      </c>
      <c r="G1205" s="396" t="s">
        <v>781</v>
      </c>
      <c r="H1205" s="396" t="s">
        <v>6878</v>
      </c>
      <c r="I1205" s="396" t="s">
        <v>781</v>
      </c>
      <c r="J1205" s="396" t="s">
        <v>5784</v>
      </c>
      <c r="K1205" s="396" t="s">
        <v>781</v>
      </c>
      <c r="L1205" s="397">
        <v>0.27989999999999998</v>
      </c>
      <c r="M1205" s="396" t="s">
        <v>4599</v>
      </c>
      <c r="N1205" s="397">
        <v>581168.68351210002</v>
      </c>
      <c r="O1205" s="396" t="s">
        <v>4964</v>
      </c>
    </row>
    <row r="1206" spans="1:15" x14ac:dyDescent="0.4">
      <c r="A1206" s="396" t="s">
        <v>5025</v>
      </c>
      <c r="B1206" s="394" t="s">
        <v>420</v>
      </c>
      <c r="C1206" s="394" t="s">
        <v>5026</v>
      </c>
      <c r="D1206" s="394" t="s">
        <v>1039</v>
      </c>
      <c r="E1206" s="395" t="s">
        <v>422</v>
      </c>
      <c r="F1206" s="396" t="s">
        <v>5785</v>
      </c>
      <c r="G1206" s="396" t="s">
        <v>781</v>
      </c>
      <c r="H1206" s="396" t="s">
        <v>5786</v>
      </c>
      <c r="I1206" s="396" t="s">
        <v>781</v>
      </c>
      <c r="J1206" s="396" t="s">
        <v>5784</v>
      </c>
      <c r="K1206" s="396" t="s">
        <v>781</v>
      </c>
      <c r="L1206" s="397">
        <v>0.27523199999999998</v>
      </c>
      <c r="M1206" s="396" t="s">
        <v>4599</v>
      </c>
      <c r="N1206" s="397">
        <v>581168.95874409995</v>
      </c>
      <c r="O1206" s="396" t="s">
        <v>4964</v>
      </c>
    </row>
    <row r="1207" spans="1:15" x14ac:dyDescent="0.4">
      <c r="A1207" s="396" t="s">
        <v>5049</v>
      </c>
      <c r="B1207" s="394" t="s">
        <v>420</v>
      </c>
      <c r="C1207" s="394" t="s">
        <v>5050</v>
      </c>
      <c r="D1207" s="394" t="s">
        <v>1039</v>
      </c>
      <c r="E1207" s="395" t="s">
        <v>422</v>
      </c>
      <c r="F1207" s="396" t="s">
        <v>5785</v>
      </c>
      <c r="G1207" s="396" t="s">
        <v>781</v>
      </c>
      <c r="H1207" s="396" t="s">
        <v>7703</v>
      </c>
      <c r="I1207" s="396" t="s">
        <v>781</v>
      </c>
      <c r="J1207" s="396" t="s">
        <v>5408</v>
      </c>
      <c r="K1207" s="396" t="s">
        <v>781</v>
      </c>
      <c r="L1207" s="397">
        <v>0.27450000000000002</v>
      </c>
      <c r="M1207" s="396" t="s">
        <v>4599</v>
      </c>
      <c r="N1207" s="397">
        <v>581169.2332441</v>
      </c>
      <c r="O1207" s="396" t="s">
        <v>4964</v>
      </c>
    </row>
    <row r="1208" spans="1:15" x14ac:dyDescent="0.4">
      <c r="A1208" s="396" t="s">
        <v>5027</v>
      </c>
      <c r="B1208" s="394" t="s">
        <v>420</v>
      </c>
      <c r="C1208" s="394" t="s">
        <v>5028</v>
      </c>
      <c r="D1208" s="394" t="s">
        <v>1039</v>
      </c>
      <c r="E1208" s="395" t="s">
        <v>486</v>
      </c>
      <c r="F1208" s="396" t="s">
        <v>5782</v>
      </c>
      <c r="G1208" s="396" t="s">
        <v>781</v>
      </c>
      <c r="H1208" s="396" t="s">
        <v>5568</v>
      </c>
      <c r="I1208" s="396" t="s">
        <v>781</v>
      </c>
      <c r="J1208" s="396" t="s">
        <v>7447</v>
      </c>
      <c r="K1208" s="396" t="s">
        <v>781</v>
      </c>
      <c r="L1208" s="397">
        <v>0.26183640000000002</v>
      </c>
      <c r="M1208" s="396" t="s">
        <v>4599</v>
      </c>
      <c r="N1208" s="397">
        <v>581169.49508050003</v>
      </c>
      <c r="O1208" s="396" t="s">
        <v>4964</v>
      </c>
    </row>
    <row r="1209" spans="1:15" ht="26.4" x14ac:dyDescent="0.4">
      <c r="A1209" s="396" t="s">
        <v>5039</v>
      </c>
      <c r="B1209" s="394" t="s">
        <v>439</v>
      </c>
      <c r="C1209" s="394" t="s">
        <v>5040</v>
      </c>
      <c r="D1209" s="394" t="s">
        <v>2381</v>
      </c>
      <c r="E1209" s="395" t="s">
        <v>1109</v>
      </c>
      <c r="F1209" s="396" t="s">
        <v>5545</v>
      </c>
      <c r="G1209" s="396" t="s">
        <v>781</v>
      </c>
      <c r="H1209" s="396" t="s">
        <v>7447</v>
      </c>
      <c r="I1209" s="396" t="s">
        <v>781</v>
      </c>
      <c r="J1209" s="396" t="s">
        <v>5746</v>
      </c>
      <c r="K1209" s="396" t="s">
        <v>781</v>
      </c>
      <c r="L1209" s="397">
        <v>0.247</v>
      </c>
      <c r="M1209" s="396" t="s">
        <v>4599</v>
      </c>
      <c r="N1209" s="397">
        <v>581169.7420805</v>
      </c>
      <c r="O1209" s="396" t="s">
        <v>4964</v>
      </c>
    </row>
    <row r="1210" spans="1:15" x14ac:dyDescent="0.4">
      <c r="A1210" s="396" t="s">
        <v>1269</v>
      </c>
      <c r="B1210" s="394" t="s">
        <v>436</v>
      </c>
      <c r="C1210" s="394" t="s">
        <v>1270</v>
      </c>
      <c r="D1210" s="394" t="s">
        <v>1039</v>
      </c>
      <c r="E1210" s="395" t="s">
        <v>7</v>
      </c>
      <c r="F1210" s="396" t="s">
        <v>5804</v>
      </c>
      <c r="G1210" s="396" t="s">
        <v>781</v>
      </c>
      <c r="H1210" s="396" t="s">
        <v>7447</v>
      </c>
      <c r="I1210" s="396" t="s">
        <v>781</v>
      </c>
      <c r="J1210" s="396" t="s">
        <v>5789</v>
      </c>
      <c r="K1210" s="396" t="s">
        <v>781</v>
      </c>
      <c r="L1210" s="397">
        <v>0.24440000000000001</v>
      </c>
      <c r="M1210" s="396" t="s">
        <v>4599</v>
      </c>
      <c r="N1210" s="397">
        <v>581169.98648049997</v>
      </c>
      <c r="O1210" s="396" t="s">
        <v>4964</v>
      </c>
    </row>
    <row r="1211" spans="1:15" x14ac:dyDescent="0.4">
      <c r="A1211" s="396" t="s">
        <v>1128</v>
      </c>
      <c r="B1211" s="394" t="s">
        <v>408</v>
      </c>
      <c r="C1211" s="394" t="s">
        <v>1129</v>
      </c>
      <c r="D1211" s="394" t="s">
        <v>1039</v>
      </c>
      <c r="E1211" s="395" t="s">
        <v>4</v>
      </c>
      <c r="F1211" s="396" t="s">
        <v>5269</v>
      </c>
      <c r="G1211" s="396" t="s">
        <v>781</v>
      </c>
      <c r="H1211" s="396" t="s">
        <v>5789</v>
      </c>
      <c r="I1211" s="396" t="s">
        <v>781</v>
      </c>
      <c r="J1211" s="396" t="s">
        <v>5789</v>
      </c>
      <c r="K1211" s="396" t="s">
        <v>781</v>
      </c>
      <c r="L1211" s="397">
        <v>0.24</v>
      </c>
      <c r="M1211" s="396" t="s">
        <v>4599</v>
      </c>
      <c r="N1211" s="397">
        <v>581170.22648049996</v>
      </c>
      <c r="O1211" s="396" t="s">
        <v>4964</v>
      </c>
    </row>
    <row r="1212" spans="1:15" ht="26.4" x14ac:dyDescent="0.4">
      <c r="A1212" s="396" t="s">
        <v>7704</v>
      </c>
      <c r="B1212" s="394" t="s">
        <v>439</v>
      </c>
      <c r="C1212" s="394" t="s">
        <v>7705</v>
      </c>
      <c r="D1212" s="394" t="s">
        <v>1039</v>
      </c>
      <c r="E1212" s="395" t="s">
        <v>1109</v>
      </c>
      <c r="F1212" s="396" t="s">
        <v>7706</v>
      </c>
      <c r="G1212" s="396" t="s">
        <v>781</v>
      </c>
      <c r="H1212" s="396" t="s">
        <v>6953</v>
      </c>
      <c r="I1212" s="396" t="s">
        <v>781</v>
      </c>
      <c r="J1212" s="396" t="s">
        <v>5753</v>
      </c>
      <c r="K1212" s="396" t="s">
        <v>781</v>
      </c>
      <c r="L1212" s="397">
        <v>0.23201845400000001</v>
      </c>
      <c r="M1212" s="396" t="s">
        <v>4599</v>
      </c>
      <c r="N1212" s="397">
        <v>581170.45849899994</v>
      </c>
      <c r="O1212" s="396" t="s">
        <v>4964</v>
      </c>
    </row>
    <row r="1213" spans="1:15" ht="26.4" x14ac:dyDescent="0.4">
      <c r="A1213" s="396" t="s">
        <v>5047</v>
      </c>
      <c r="B1213" s="394" t="s">
        <v>439</v>
      </c>
      <c r="C1213" s="394" t="s">
        <v>5048</v>
      </c>
      <c r="D1213" s="394" t="s">
        <v>2381</v>
      </c>
      <c r="E1213" s="395" t="s">
        <v>1109</v>
      </c>
      <c r="F1213" s="396" t="s">
        <v>5571</v>
      </c>
      <c r="G1213" s="396" t="s">
        <v>781</v>
      </c>
      <c r="H1213" s="396" t="s">
        <v>5769</v>
      </c>
      <c r="I1213" s="396" t="s">
        <v>781</v>
      </c>
      <c r="J1213" s="396" t="s">
        <v>5753</v>
      </c>
      <c r="K1213" s="396" t="s">
        <v>781</v>
      </c>
      <c r="L1213" s="397">
        <v>0.225238042</v>
      </c>
      <c r="M1213" s="396" t="s">
        <v>4599</v>
      </c>
      <c r="N1213" s="397">
        <v>581170.68373699998</v>
      </c>
      <c r="O1213" s="396" t="s">
        <v>4964</v>
      </c>
    </row>
    <row r="1214" spans="1:15" x14ac:dyDescent="0.4">
      <c r="A1214" s="396" t="s">
        <v>5043</v>
      </c>
      <c r="B1214" s="394" t="s">
        <v>420</v>
      </c>
      <c r="C1214" s="394" t="s">
        <v>5044</v>
      </c>
      <c r="D1214" s="394" t="s">
        <v>1039</v>
      </c>
      <c r="E1214" s="395" t="s">
        <v>422</v>
      </c>
      <c r="F1214" s="396" t="s">
        <v>5796</v>
      </c>
      <c r="G1214" s="396" t="s">
        <v>781</v>
      </c>
      <c r="H1214" s="396" t="s">
        <v>7052</v>
      </c>
      <c r="I1214" s="396" t="s">
        <v>781</v>
      </c>
      <c r="J1214" s="396" t="s">
        <v>5687</v>
      </c>
      <c r="K1214" s="396" t="s">
        <v>781</v>
      </c>
      <c r="L1214" s="397">
        <v>0.22321879999999999</v>
      </c>
      <c r="M1214" s="396" t="s">
        <v>4599</v>
      </c>
      <c r="N1214" s="397">
        <v>581170.90695580002</v>
      </c>
      <c r="O1214" s="396" t="s">
        <v>4964</v>
      </c>
    </row>
    <row r="1215" spans="1:15" ht="39.6" x14ac:dyDescent="0.4">
      <c r="A1215" s="396" t="s">
        <v>5029</v>
      </c>
      <c r="B1215" s="394" t="s">
        <v>395</v>
      </c>
      <c r="C1215" s="394" t="s">
        <v>5030</v>
      </c>
      <c r="D1215" s="394" t="s">
        <v>1039</v>
      </c>
      <c r="E1215" s="395" t="s">
        <v>675</v>
      </c>
      <c r="F1215" s="396" t="s">
        <v>5790</v>
      </c>
      <c r="G1215" s="396" t="s">
        <v>781</v>
      </c>
      <c r="H1215" s="396" t="s">
        <v>7707</v>
      </c>
      <c r="I1215" s="396" t="s">
        <v>781</v>
      </c>
      <c r="J1215" s="396" t="s">
        <v>5597</v>
      </c>
      <c r="K1215" s="396" t="s">
        <v>781</v>
      </c>
      <c r="L1215" s="397">
        <v>0.20215737</v>
      </c>
      <c r="M1215" s="396" t="s">
        <v>4599</v>
      </c>
      <c r="N1215" s="397">
        <v>581171.10911319999</v>
      </c>
      <c r="O1215" s="396" t="s">
        <v>4964</v>
      </c>
    </row>
    <row r="1216" spans="1:15" x14ac:dyDescent="0.4">
      <c r="A1216" s="396" t="s">
        <v>4672</v>
      </c>
      <c r="B1216" s="394" t="s">
        <v>395</v>
      </c>
      <c r="C1216" s="394" t="s">
        <v>4673</v>
      </c>
      <c r="D1216" s="394" t="s">
        <v>1053</v>
      </c>
      <c r="E1216" s="395" t="s">
        <v>6</v>
      </c>
      <c r="F1216" s="396" t="s">
        <v>7708</v>
      </c>
      <c r="G1216" s="396" t="s">
        <v>781</v>
      </c>
      <c r="H1216" s="396" t="s">
        <v>7709</v>
      </c>
      <c r="I1216" s="396" t="s">
        <v>781</v>
      </c>
      <c r="J1216" s="396" t="s">
        <v>5597</v>
      </c>
      <c r="K1216" s="396" t="s">
        <v>781</v>
      </c>
      <c r="L1216" s="397">
        <v>0.20042309</v>
      </c>
      <c r="M1216" s="396" t="s">
        <v>4599</v>
      </c>
      <c r="N1216" s="397">
        <v>581171.30953630002</v>
      </c>
      <c r="O1216" s="396" t="s">
        <v>4964</v>
      </c>
    </row>
    <row r="1217" spans="1:15" x14ac:dyDescent="0.4">
      <c r="A1217" s="396" t="s">
        <v>5031</v>
      </c>
      <c r="B1217" s="394" t="s">
        <v>420</v>
      </c>
      <c r="C1217" s="394" t="s">
        <v>5032</v>
      </c>
      <c r="D1217" s="394" t="s">
        <v>1039</v>
      </c>
      <c r="E1217" s="395" t="s">
        <v>422</v>
      </c>
      <c r="F1217" s="396" t="s">
        <v>5792</v>
      </c>
      <c r="G1217" s="396" t="s">
        <v>781</v>
      </c>
      <c r="H1217" s="396" t="s">
        <v>7711</v>
      </c>
      <c r="I1217" s="396" t="s">
        <v>781</v>
      </c>
      <c r="J1217" s="396" t="s">
        <v>5752</v>
      </c>
      <c r="K1217" s="396" t="s">
        <v>781</v>
      </c>
      <c r="L1217" s="397">
        <v>0.194328</v>
      </c>
      <c r="M1217" s="396" t="s">
        <v>4599</v>
      </c>
      <c r="N1217" s="397">
        <v>581171.50386429997</v>
      </c>
      <c r="O1217" s="396" t="s">
        <v>4964</v>
      </c>
    </row>
    <row r="1218" spans="1:15" ht="26.4" x14ac:dyDescent="0.4">
      <c r="A1218" s="396" t="s">
        <v>5053</v>
      </c>
      <c r="B1218" s="394" t="s">
        <v>439</v>
      </c>
      <c r="C1218" s="394" t="s">
        <v>5054</v>
      </c>
      <c r="D1218" s="394" t="s">
        <v>2381</v>
      </c>
      <c r="E1218" s="395" t="s">
        <v>1109</v>
      </c>
      <c r="F1218" s="396" t="s">
        <v>5661</v>
      </c>
      <c r="G1218" s="396" t="s">
        <v>781</v>
      </c>
      <c r="H1218" s="396" t="s">
        <v>5748</v>
      </c>
      <c r="I1218" s="396" t="s">
        <v>781</v>
      </c>
      <c r="J1218" s="396" t="s">
        <v>5752</v>
      </c>
      <c r="K1218" s="396" t="s">
        <v>781</v>
      </c>
      <c r="L1218" s="397">
        <v>0.185952266</v>
      </c>
      <c r="M1218" s="396" t="s">
        <v>4599</v>
      </c>
      <c r="N1218" s="397">
        <v>581171.68981659994</v>
      </c>
      <c r="O1218" s="396" t="s">
        <v>4964</v>
      </c>
    </row>
    <row r="1219" spans="1:15" x14ac:dyDescent="0.4">
      <c r="A1219" s="396" t="s">
        <v>5061</v>
      </c>
      <c r="B1219" s="394" t="s">
        <v>395</v>
      </c>
      <c r="C1219" s="394" t="s">
        <v>5062</v>
      </c>
      <c r="D1219" s="394" t="s">
        <v>1039</v>
      </c>
      <c r="E1219" s="395" t="s">
        <v>4</v>
      </c>
      <c r="F1219" s="396" t="s">
        <v>5807</v>
      </c>
      <c r="G1219" s="396" t="s">
        <v>781</v>
      </c>
      <c r="H1219" s="396" t="s">
        <v>7712</v>
      </c>
      <c r="I1219" s="396" t="s">
        <v>781</v>
      </c>
      <c r="J1219" s="396" t="s">
        <v>5799</v>
      </c>
      <c r="K1219" s="396" t="s">
        <v>781</v>
      </c>
      <c r="L1219" s="397">
        <v>0.17654</v>
      </c>
      <c r="M1219" s="396" t="s">
        <v>4599</v>
      </c>
      <c r="N1219" s="397">
        <v>581171.86635659996</v>
      </c>
      <c r="O1219" s="396" t="s">
        <v>4964</v>
      </c>
    </row>
    <row r="1220" spans="1:15" x14ac:dyDescent="0.4">
      <c r="A1220" s="396" t="s">
        <v>4999</v>
      </c>
      <c r="B1220" s="394" t="s">
        <v>395</v>
      </c>
      <c r="C1220" s="394" t="s">
        <v>5000</v>
      </c>
      <c r="D1220" s="394" t="s">
        <v>1039</v>
      </c>
      <c r="E1220" s="395" t="s">
        <v>4</v>
      </c>
      <c r="F1220" s="396" t="s">
        <v>7713</v>
      </c>
      <c r="G1220" s="396" t="s">
        <v>781</v>
      </c>
      <c r="H1220" s="396" t="s">
        <v>7238</v>
      </c>
      <c r="I1220" s="396" t="s">
        <v>781</v>
      </c>
      <c r="J1220" s="396" t="s">
        <v>5799</v>
      </c>
      <c r="K1220" s="396" t="s">
        <v>781</v>
      </c>
      <c r="L1220" s="397">
        <v>0.17555999999999999</v>
      </c>
      <c r="M1220" s="396" t="s">
        <v>4599</v>
      </c>
      <c r="N1220" s="397">
        <v>581172.04191659996</v>
      </c>
      <c r="O1220" s="396" t="s">
        <v>4964</v>
      </c>
    </row>
    <row r="1221" spans="1:15" ht="26.4" x14ac:dyDescent="0.4">
      <c r="A1221" s="396" t="s">
        <v>7714</v>
      </c>
      <c r="B1221" s="394" t="s">
        <v>439</v>
      </c>
      <c r="C1221" s="394" t="s">
        <v>7715</v>
      </c>
      <c r="D1221" s="394" t="s">
        <v>1039</v>
      </c>
      <c r="E1221" s="395" t="s">
        <v>1109</v>
      </c>
      <c r="F1221" s="396" t="s">
        <v>7706</v>
      </c>
      <c r="G1221" s="396" t="s">
        <v>781</v>
      </c>
      <c r="H1221" s="396" t="s">
        <v>5561</v>
      </c>
      <c r="I1221" s="396" t="s">
        <v>781</v>
      </c>
      <c r="J1221" s="396" t="s">
        <v>5801</v>
      </c>
      <c r="K1221" s="396" t="s">
        <v>781</v>
      </c>
      <c r="L1221" s="397">
        <v>0.166222176</v>
      </c>
      <c r="M1221" s="396" t="s">
        <v>4599</v>
      </c>
      <c r="N1221" s="397">
        <v>581172.20813879999</v>
      </c>
      <c r="O1221" s="396" t="s">
        <v>4964</v>
      </c>
    </row>
    <row r="1222" spans="1:15" x14ac:dyDescent="0.4">
      <c r="A1222" s="396" t="s">
        <v>5075</v>
      </c>
      <c r="B1222" s="394" t="s">
        <v>395</v>
      </c>
      <c r="C1222" s="394" t="s">
        <v>5076</v>
      </c>
      <c r="D1222" s="394" t="s">
        <v>1317</v>
      </c>
      <c r="E1222" s="395" t="s">
        <v>4</v>
      </c>
      <c r="F1222" s="396" t="s">
        <v>7716</v>
      </c>
      <c r="G1222" s="396" t="s">
        <v>781</v>
      </c>
      <c r="H1222" s="396" t="s">
        <v>7717</v>
      </c>
      <c r="I1222" s="396" t="s">
        <v>781</v>
      </c>
      <c r="J1222" s="396" t="s">
        <v>5802</v>
      </c>
      <c r="K1222" s="396" t="s">
        <v>781</v>
      </c>
      <c r="L1222" s="397">
        <v>0.15886223099999999</v>
      </c>
      <c r="M1222" s="396" t="s">
        <v>4599</v>
      </c>
      <c r="N1222" s="397">
        <v>581172.36700099998</v>
      </c>
      <c r="O1222" s="396" t="s">
        <v>4964</v>
      </c>
    </row>
    <row r="1223" spans="1:15" x14ac:dyDescent="0.4">
      <c r="A1223" s="396" t="s">
        <v>656</v>
      </c>
      <c r="B1223" s="394" t="s">
        <v>420</v>
      </c>
      <c r="C1223" s="394" t="s">
        <v>3264</v>
      </c>
      <c r="D1223" s="394" t="s">
        <v>1053</v>
      </c>
      <c r="E1223" s="395" t="s">
        <v>1070</v>
      </c>
      <c r="F1223" s="396" t="s">
        <v>5712</v>
      </c>
      <c r="G1223" s="396" t="s">
        <v>781</v>
      </c>
      <c r="H1223" s="396" t="s">
        <v>5417</v>
      </c>
      <c r="I1223" s="396" t="s">
        <v>781</v>
      </c>
      <c r="J1223" s="396" t="s">
        <v>5401</v>
      </c>
      <c r="K1223" s="396" t="s">
        <v>781</v>
      </c>
      <c r="L1223" s="397">
        <v>0.150331255</v>
      </c>
      <c r="M1223" s="396" t="s">
        <v>4599</v>
      </c>
      <c r="N1223" s="397">
        <v>581172.51733229996</v>
      </c>
      <c r="O1223" s="396" t="s">
        <v>4964</v>
      </c>
    </row>
    <row r="1224" spans="1:15" x14ac:dyDescent="0.4">
      <c r="A1224" s="396" t="s">
        <v>5055</v>
      </c>
      <c r="B1224" s="394" t="s">
        <v>420</v>
      </c>
      <c r="C1224" s="394" t="s">
        <v>5056</v>
      </c>
      <c r="D1224" s="394" t="s">
        <v>1039</v>
      </c>
      <c r="E1224" s="395" t="s">
        <v>422</v>
      </c>
      <c r="F1224" s="396" t="s">
        <v>5783</v>
      </c>
      <c r="G1224" s="396" t="s">
        <v>781</v>
      </c>
      <c r="H1224" s="396" t="s">
        <v>7718</v>
      </c>
      <c r="I1224" s="396" t="s">
        <v>781</v>
      </c>
      <c r="J1224" s="396" t="s">
        <v>5401</v>
      </c>
      <c r="K1224" s="396" t="s">
        <v>781</v>
      </c>
      <c r="L1224" s="397">
        <v>0.14987200000000001</v>
      </c>
      <c r="M1224" s="396" t="s">
        <v>4599</v>
      </c>
      <c r="N1224" s="397">
        <v>581172.66720430006</v>
      </c>
      <c r="O1224" s="396" t="s">
        <v>4964</v>
      </c>
    </row>
    <row r="1225" spans="1:15" x14ac:dyDescent="0.4">
      <c r="A1225" s="396" t="s">
        <v>5057</v>
      </c>
      <c r="B1225" s="394" t="s">
        <v>420</v>
      </c>
      <c r="C1225" s="394" t="s">
        <v>5058</v>
      </c>
      <c r="D1225" s="394" t="s">
        <v>1039</v>
      </c>
      <c r="E1225" s="395" t="s">
        <v>422</v>
      </c>
      <c r="F1225" s="396" t="s">
        <v>5778</v>
      </c>
      <c r="G1225" s="396" t="s">
        <v>781</v>
      </c>
      <c r="H1225" s="396" t="s">
        <v>9416</v>
      </c>
      <c r="I1225" s="396" t="s">
        <v>781</v>
      </c>
      <c r="J1225" s="396" t="s">
        <v>7721</v>
      </c>
      <c r="K1225" s="396" t="s">
        <v>781</v>
      </c>
      <c r="L1225" s="397">
        <v>0.14274000000000001</v>
      </c>
      <c r="M1225" s="396" t="s">
        <v>4599</v>
      </c>
      <c r="N1225" s="397">
        <v>581172.80994429998</v>
      </c>
      <c r="O1225" s="396" t="s">
        <v>4964</v>
      </c>
    </row>
    <row r="1226" spans="1:15" ht="66" x14ac:dyDescent="0.4">
      <c r="A1226" s="396" t="s">
        <v>5059</v>
      </c>
      <c r="B1226" s="394" t="s">
        <v>395</v>
      </c>
      <c r="C1226" s="394" t="s">
        <v>5060</v>
      </c>
      <c r="D1226" s="394" t="s">
        <v>1317</v>
      </c>
      <c r="E1226" s="395" t="s">
        <v>4</v>
      </c>
      <c r="F1226" s="396" t="s">
        <v>7719</v>
      </c>
      <c r="G1226" s="396" t="s">
        <v>781</v>
      </c>
      <c r="H1226" s="396" t="s">
        <v>7720</v>
      </c>
      <c r="I1226" s="396" t="s">
        <v>781</v>
      </c>
      <c r="J1226" s="396" t="s">
        <v>7721</v>
      </c>
      <c r="K1226" s="396" t="s">
        <v>781</v>
      </c>
      <c r="L1226" s="397">
        <v>0.13722452399999999</v>
      </c>
      <c r="M1226" s="396" t="s">
        <v>4599</v>
      </c>
      <c r="N1226" s="397">
        <v>581172.94716880005</v>
      </c>
      <c r="O1226" s="396" t="s">
        <v>4964</v>
      </c>
    </row>
    <row r="1227" spans="1:15" ht="39.6" x14ac:dyDescent="0.4">
      <c r="A1227" s="396" t="s">
        <v>7722</v>
      </c>
      <c r="B1227" s="394" t="s">
        <v>439</v>
      </c>
      <c r="C1227" s="394" t="s">
        <v>3095</v>
      </c>
      <c r="D1227" s="394" t="s">
        <v>1039</v>
      </c>
      <c r="E1227" s="395" t="s">
        <v>422</v>
      </c>
      <c r="F1227" s="396" t="s">
        <v>5772</v>
      </c>
      <c r="G1227" s="396" t="s">
        <v>781</v>
      </c>
      <c r="H1227" s="396" t="s">
        <v>5564</v>
      </c>
      <c r="I1227" s="396" t="s">
        <v>781</v>
      </c>
      <c r="J1227" s="396" t="s">
        <v>5805</v>
      </c>
      <c r="K1227" s="396" t="s">
        <v>781</v>
      </c>
      <c r="L1227" s="397">
        <v>0.12789296999999999</v>
      </c>
      <c r="M1227" s="396" t="s">
        <v>4599</v>
      </c>
      <c r="N1227" s="397">
        <v>581173.07506179996</v>
      </c>
      <c r="O1227" s="396" t="s">
        <v>4964</v>
      </c>
    </row>
    <row r="1228" spans="1:15" ht="39.6" x14ac:dyDescent="0.4">
      <c r="A1228" s="396" t="s">
        <v>5037</v>
      </c>
      <c r="B1228" s="394" t="s">
        <v>395</v>
      </c>
      <c r="C1228" s="394" t="s">
        <v>5038</v>
      </c>
      <c r="D1228" s="394" t="s">
        <v>1317</v>
      </c>
      <c r="E1228" s="395" t="s">
        <v>4</v>
      </c>
      <c r="F1228" s="396" t="s">
        <v>7723</v>
      </c>
      <c r="G1228" s="396" t="s">
        <v>781</v>
      </c>
      <c r="H1228" s="396" t="s">
        <v>7724</v>
      </c>
      <c r="I1228" s="396" t="s">
        <v>781</v>
      </c>
      <c r="J1228" s="396" t="s">
        <v>5806</v>
      </c>
      <c r="K1228" s="396" t="s">
        <v>781</v>
      </c>
      <c r="L1228" s="397">
        <v>0.124756415</v>
      </c>
      <c r="M1228" s="396" t="s">
        <v>4599</v>
      </c>
      <c r="N1228" s="397">
        <v>581173.19981819997</v>
      </c>
      <c r="O1228" s="396" t="s">
        <v>4964</v>
      </c>
    </row>
    <row r="1229" spans="1:15" ht="26.4" x14ac:dyDescent="0.4">
      <c r="A1229" s="396" t="s">
        <v>7725</v>
      </c>
      <c r="B1229" s="394" t="s">
        <v>395</v>
      </c>
      <c r="C1229" s="394" t="s">
        <v>7726</v>
      </c>
      <c r="D1229" s="394" t="s">
        <v>1323</v>
      </c>
      <c r="E1229" s="395" t="s">
        <v>4</v>
      </c>
      <c r="F1229" s="396" t="s">
        <v>7727</v>
      </c>
      <c r="G1229" s="396" t="s">
        <v>781</v>
      </c>
      <c r="H1229" s="396" t="s">
        <v>7728</v>
      </c>
      <c r="I1229" s="396" t="s">
        <v>781</v>
      </c>
      <c r="J1229" s="396" t="s">
        <v>5806</v>
      </c>
      <c r="K1229" s="396" t="s">
        <v>781</v>
      </c>
      <c r="L1229" s="397">
        <v>0.11556887</v>
      </c>
      <c r="M1229" s="396" t="s">
        <v>4599</v>
      </c>
      <c r="N1229" s="397">
        <v>581173.31538709998</v>
      </c>
      <c r="O1229" s="396" t="s">
        <v>4964</v>
      </c>
    </row>
    <row r="1230" spans="1:15" x14ac:dyDescent="0.4">
      <c r="A1230" s="396" t="s">
        <v>7729</v>
      </c>
      <c r="B1230" s="394" t="s">
        <v>395</v>
      </c>
      <c r="C1230" s="394" t="s">
        <v>7730</v>
      </c>
      <c r="D1230" s="394" t="s">
        <v>1039</v>
      </c>
      <c r="E1230" s="395" t="s">
        <v>8</v>
      </c>
      <c r="F1230" s="396" t="s">
        <v>7731</v>
      </c>
      <c r="G1230" s="396" t="s">
        <v>781</v>
      </c>
      <c r="H1230" s="396" t="s">
        <v>5395</v>
      </c>
      <c r="I1230" s="396" t="s">
        <v>781</v>
      </c>
      <c r="J1230" s="396" t="s">
        <v>5781</v>
      </c>
      <c r="K1230" s="396" t="s">
        <v>781</v>
      </c>
      <c r="L1230" s="397">
        <v>0.10947999999999999</v>
      </c>
      <c r="M1230" s="396" t="s">
        <v>4599</v>
      </c>
      <c r="N1230" s="397">
        <v>581173.42486709997</v>
      </c>
      <c r="O1230" s="396" t="s">
        <v>4964</v>
      </c>
    </row>
    <row r="1231" spans="1:15" ht="26.4" x14ac:dyDescent="0.4">
      <c r="A1231" s="396" t="s">
        <v>5063</v>
      </c>
      <c r="B1231" s="394" t="s">
        <v>395</v>
      </c>
      <c r="C1231" s="394" t="s">
        <v>5064</v>
      </c>
      <c r="D1231" s="394" t="s">
        <v>1317</v>
      </c>
      <c r="E1231" s="395" t="s">
        <v>4</v>
      </c>
      <c r="F1231" s="396" t="s">
        <v>7732</v>
      </c>
      <c r="G1231" s="396" t="s">
        <v>781</v>
      </c>
      <c r="H1231" s="396" t="s">
        <v>7733</v>
      </c>
      <c r="I1231" s="396" t="s">
        <v>781</v>
      </c>
      <c r="J1231" s="396" t="s">
        <v>5781</v>
      </c>
      <c r="K1231" s="396" t="s">
        <v>781</v>
      </c>
      <c r="L1231" s="397">
        <v>0.107494383</v>
      </c>
      <c r="M1231" s="396" t="s">
        <v>4599</v>
      </c>
      <c r="N1231" s="397">
        <v>581173.53236149997</v>
      </c>
      <c r="O1231" s="396" t="s">
        <v>4964</v>
      </c>
    </row>
    <row r="1232" spans="1:15" x14ac:dyDescent="0.4">
      <c r="A1232" s="396" t="s">
        <v>5065</v>
      </c>
      <c r="B1232" s="394" t="s">
        <v>420</v>
      </c>
      <c r="C1232" s="394" t="s">
        <v>5066</v>
      </c>
      <c r="D1232" s="394" t="s">
        <v>1039</v>
      </c>
      <c r="E1232" s="395" t="s">
        <v>422</v>
      </c>
      <c r="F1232" s="396" t="s">
        <v>5722</v>
      </c>
      <c r="G1232" s="396" t="s">
        <v>781</v>
      </c>
      <c r="H1232" s="396" t="s">
        <v>5474</v>
      </c>
      <c r="I1232" s="396" t="s">
        <v>781</v>
      </c>
      <c r="J1232" s="396" t="s">
        <v>5809</v>
      </c>
      <c r="K1232" s="396" t="s">
        <v>781</v>
      </c>
      <c r="L1232" s="397">
        <v>0.10248</v>
      </c>
      <c r="M1232" s="396" t="s">
        <v>4599</v>
      </c>
      <c r="N1232" s="397">
        <v>581173.63484149997</v>
      </c>
      <c r="O1232" s="396" t="s">
        <v>4964</v>
      </c>
    </row>
    <row r="1233" spans="1:15" x14ac:dyDescent="0.4">
      <c r="A1233" s="396" t="s">
        <v>1375</v>
      </c>
      <c r="B1233" s="394" t="s">
        <v>420</v>
      </c>
      <c r="C1233" s="394" t="s">
        <v>594</v>
      </c>
      <c r="D1233" s="394" t="s">
        <v>1039</v>
      </c>
      <c r="E1233" s="395" t="s">
        <v>422</v>
      </c>
      <c r="F1233" s="396" t="s">
        <v>5273</v>
      </c>
      <c r="G1233" s="396" t="s">
        <v>781</v>
      </c>
      <c r="H1233" s="396" t="s">
        <v>5810</v>
      </c>
      <c r="I1233" s="396" t="s">
        <v>781</v>
      </c>
      <c r="J1233" s="396" t="s">
        <v>5809</v>
      </c>
      <c r="K1233" s="396" t="s">
        <v>781</v>
      </c>
      <c r="L1233" s="397">
        <v>0.1</v>
      </c>
      <c r="M1233" s="396" t="s">
        <v>4599</v>
      </c>
      <c r="N1233" s="397">
        <v>581173.73484149994</v>
      </c>
      <c r="O1233" s="396" t="s">
        <v>4964</v>
      </c>
    </row>
    <row r="1234" spans="1:15" x14ac:dyDescent="0.4">
      <c r="A1234" s="396" t="s">
        <v>5067</v>
      </c>
      <c r="B1234" s="394" t="s">
        <v>420</v>
      </c>
      <c r="C1234" s="394" t="s">
        <v>5068</v>
      </c>
      <c r="D1234" s="394" t="s">
        <v>1039</v>
      </c>
      <c r="E1234" s="395" t="s">
        <v>422</v>
      </c>
      <c r="F1234" s="396" t="s">
        <v>5778</v>
      </c>
      <c r="G1234" s="396" t="s">
        <v>781</v>
      </c>
      <c r="H1234" s="396" t="s">
        <v>5811</v>
      </c>
      <c r="I1234" s="396" t="s">
        <v>781</v>
      </c>
      <c r="J1234" s="396" t="s">
        <v>5809</v>
      </c>
      <c r="K1234" s="396" t="s">
        <v>781</v>
      </c>
      <c r="L1234" s="397">
        <v>9.8966399999999996E-2</v>
      </c>
      <c r="M1234" s="396" t="s">
        <v>4599</v>
      </c>
      <c r="N1234" s="397">
        <v>581173.83380789997</v>
      </c>
      <c r="O1234" s="396" t="s">
        <v>4964</v>
      </c>
    </row>
    <row r="1235" spans="1:15" x14ac:dyDescent="0.4">
      <c r="A1235" s="396" t="s">
        <v>5069</v>
      </c>
      <c r="B1235" s="394" t="s">
        <v>420</v>
      </c>
      <c r="C1235" s="394" t="s">
        <v>5070</v>
      </c>
      <c r="D1235" s="394" t="s">
        <v>1317</v>
      </c>
      <c r="E1235" s="395" t="s">
        <v>422</v>
      </c>
      <c r="F1235" s="396" t="s">
        <v>5795</v>
      </c>
      <c r="G1235" s="396" t="s">
        <v>781</v>
      </c>
      <c r="H1235" s="396" t="s">
        <v>5812</v>
      </c>
      <c r="I1235" s="396" t="s">
        <v>781</v>
      </c>
      <c r="J1235" s="396" t="s">
        <v>5809</v>
      </c>
      <c r="K1235" s="396" t="s">
        <v>781</v>
      </c>
      <c r="L1235" s="397">
        <v>9.75636E-2</v>
      </c>
      <c r="M1235" s="396" t="s">
        <v>4599</v>
      </c>
      <c r="N1235" s="397">
        <v>581173.93137150002</v>
      </c>
      <c r="O1235" s="396" t="s">
        <v>4964</v>
      </c>
    </row>
    <row r="1236" spans="1:15" x14ac:dyDescent="0.4">
      <c r="A1236" s="396" t="s">
        <v>5071</v>
      </c>
      <c r="B1236" s="394" t="s">
        <v>420</v>
      </c>
      <c r="C1236" s="394" t="s">
        <v>5072</v>
      </c>
      <c r="D1236" s="394" t="s">
        <v>1039</v>
      </c>
      <c r="E1236" s="395" t="s">
        <v>422</v>
      </c>
      <c r="F1236" s="396" t="s">
        <v>5722</v>
      </c>
      <c r="G1236" s="396" t="s">
        <v>781</v>
      </c>
      <c r="H1236" s="396" t="s">
        <v>7734</v>
      </c>
      <c r="I1236" s="396" t="s">
        <v>781</v>
      </c>
      <c r="J1236" s="396" t="s">
        <v>7735</v>
      </c>
      <c r="K1236" s="396" t="s">
        <v>781</v>
      </c>
      <c r="L1236" s="397">
        <v>9.4977000000000006E-2</v>
      </c>
      <c r="M1236" s="396" t="s">
        <v>4599</v>
      </c>
      <c r="N1236" s="397">
        <v>581174.02634850005</v>
      </c>
      <c r="O1236" s="396" t="s">
        <v>4964</v>
      </c>
    </row>
    <row r="1237" spans="1:15" x14ac:dyDescent="0.4">
      <c r="A1237" s="396" t="s">
        <v>5073</v>
      </c>
      <c r="B1237" s="394" t="s">
        <v>420</v>
      </c>
      <c r="C1237" s="394" t="s">
        <v>5074</v>
      </c>
      <c r="D1237" s="394" t="s">
        <v>1039</v>
      </c>
      <c r="E1237" s="395" t="s">
        <v>422</v>
      </c>
      <c r="F1237" s="396" t="s">
        <v>5792</v>
      </c>
      <c r="G1237" s="396" t="s">
        <v>781</v>
      </c>
      <c r="H1237" s="396" t="s">
        <v>6783</v>
      </c>
      <c r="I1237" s="396" t="s">
        <v>781</v>
      </c>
      <c r="J1237" s="396" t="s">
        <v>7735</v>
      </c>
      <c r="K1237" s="396" t="s">
        <v>781</v>
      </c>
      <c r="L1237" s="397">
        <v>8.6255999999999999E-2</v>
      </c>
      <c r="M1237" s="396" t="s">
        <v>4599</v>
      </c>
      <c r="N1237" s="397">
        <v>581174.11260450003</v>
      </c>
      <c r="O1237" s="396" t="s">
        <v>4964</v>
      </c>
    </row>
    <row r="1238" spans="1:15" ht="26.4" x14ac:dyDescent="0.4">
      <c r="A1238" s="396" t="s">
        <v>5083</v>
      </c>
      <c r="B1238" s="394" t="s">
        <v>439</v>
      </c>
      <c r="C1238" s="394" t="s">
        <v>5084</v>
      </c>
      <c r="D1238" s="394" t="s">
        <v>2381</v>
      </c>
      <c r="E1238" s="395" t="s">
        <v>1109</v>
      </c>
      <c r="F1238" s="396" t="s">
        <v>5661</v>
      </c>
      <c r="G1238" s="396" t="s">
        <v>781</v>
      </c>
      <c r="H1238" s="396" t="s">
        <v>5784</v>
      </c>
      <c r="I1238" s="396" t="s">
        <v>781</v>
      </c>
      <c r="J1238" s="396" t="s">
        <v>5813</v>
      </c>
      <c r="K1238" s="396" t="s">
        <v>781</v>
      </c>
      <c r="L1238" s="397">
        <v>7.3333287999999996E-2</v>
      </c>
      <c r="M1238" s="396" t="s">
        <v>4599</v>
      </c>
      <c r="N1238" s="397">
        <v>581174.18593779998</v>
      </c>
      <c r="O1238" s="396" t="s">
        <v>4964</v>
      </c>
    </row>
    <row r="1239" spans="1:15" ht="26.4" x14ac:dyDescent="0.4">
      <c r="A1239" s="396" t="s">
        <v>5081</v>
      </c>
      <c r="B1239" s="394" t="s">
        <v>395</v>
      </c>
      <c r="C1239" s="394" t="s">
        <v>5082</v>
      </c>
      <c r="D1239" s="394" t="s">
        <v>1317</v>
      </c>
      <c r="E1239" s="395" t="s">
        <v>4</v>
      </c>
      <c r="F1239" s="396" t="s">
        <v>5817</v>
      </c>
      <c r="G1239" s="396" t="s">
        <v>781</v>
      </c>
      <c r="H1239" s="396" t="s">
        <v>7736</v>
      </c>
      <c r="I1239" s="396" t="s">
        <v>781</v>
      </c>
      <c r="J1239" s="396" t="s">
        <v>5813</v>
      </c>
      <c r="K1239" s="396" t="s">
        <v>781</v>
      </c>
      <c r="L1239" s="397">
        <v>6.5136717999999996E-2</v>
      </c>
      <c r="M1239" s="396" t="s">
        <v>4599</v>
      </c>
      <c r="N1239" s="397">
        <v>581174.25107450003</v>
      </c>
      <c r="O1239" s="396" t="s">
        <v>4964</v>
      </c>
    </row>
    <row r="1240" spans="1:15" x14ac:dyDescent="0.4">
      <c r="A1240" s="396" t="s">
        <v>5077</v>
      </c>
      <c r="B1240" s="394" t="s">
        <v>420</v>
      </c>
      <c r="C1240" s="394" t="s">
        <v>5078</v>
      </c>
      <c r="D1240" s="394" t="s">
        <v>1039</v>
      </c>
      <c r="E1240" s="395" t="s">
        <v>422</v>
      </c>
      <c r="F1240" s="396" t="s">
        <v>5814</v>
      </c>
      <c r="G1240" s="396" t="s">
        <v>781</v>
      </c>
      <c r="H1240" s="396" t="s">
        <v>5815</v>
      </c>
      <c r="I1240" s="396" t="s">
        <v>781</v>
      </c>
      <c r="J1240" s="396" t="s">
        <v>9591</v>
      </c>
      <c r="K1240" s="396" t="s">
        <v>781</v>
      </c>
      <c r="L1240" s="397">
        <v>6.4399999999999999E-2</v>
      </c>
      <c r="M1240" s="396" t="s">
        <v>4599</v>
      </c>
      <c r="N1240" s="397">
        <v>581174.31547449995</v>
      </c>
      <c r="O1240" s="396" t="s">
        <v>4964</v>
      </c>
    </row>
    <row r="1241" spans="1:15" ht="26.4" x14ac:dyDescent="0.4">
      <c r="A1241" s="396" t="s">
        <v>5085</v>
      </c>
      <c r="B1241" s="394" t="s">
        <v>395</v>
      </c>
      <c r="C1241" s="394" t="s">
        <v>5086</v>
      </c>
      <c r="D1241" s="394" t="s">
        <v>1317</v>
      </c>
      <c r="E1241" s="395" t="s">
        <v>6</v>
      </c>
      <c r="F1241" s="396" t="s">
        <v>5269</v>
      </c>
      <c r="G1241" s="396" t="s">
        <v>781</v>
      </c>
      <c r="H1241" s="396" t="s">
        <v>5810</v>
      </c>
      <c r="I1241" s="396" t="s">
        <v>781</v>
      </c>
      <c r="J1241" s="396" t="s">
        <v>5810</v>
      </c>
      <c r="K1241" s="396" t="s">
        <v>781</v>
      </c>
      <c r="L1241" s="397">
        <v>0.05</v>
      </c>
      <c r="M1241" s="396" t="s">
        <v>4599</v>
      </c>
      <c r="N1241" s="397">
        <v>581174.36547449999</v>
      </c>
      <c r="O1241" s="396" t="s">
        <v>4964</v>
      </c>
    </row>
    <row r="1242" spans="1:15" ht="26.4" x14ac:dyDescent="0.4">
      <c r="A1242" s="396" t="s">
        <v>5093</v>
      </c>
      <c r="B1242" s="394" t="s">
        <v>395</v>
      </c>
      <c r="C1242" s="394" t="s">
        <v>5094</v>
      </c>
      <c r="D1242" s="394" t="s">
        <v>1317</v>
      </c>
      <c r="E1242" s="395" t="s">
        <v>6</v>
      </c>
      <c r="F1242" s="396" t="s">
        <v>7737</v>
      </c>
      <c r="G1242" s="396" t="s">
        <v>781</v>
      </c>
      <c r="H1242" s="396" t="s">
        <v>5433</v>
      </c>
      <c r="I1242" s="396" t="s">
        <v>781</v>
      </c>
      <c r="J1242" s="396" t="s">
        <v>5810</v>
      </c>
      <c r="K1242" s="396" t="s">
        <v>781</v>
      </c>
      <c r="L1242" s="397">
        <v>4.9678272000000002E-2</v>
      </c>
      <c r="M1242" s="396" t="s">
        <v>4599</v>
      </c>
      <c r="N1242" s="397">
        <v>581174.41515280004</v>
      </c>
      <c r="O1242" s="396" t="s">
        <v>4964</v>
      </c>
    </row>
    <row r="1243" spans="1:15" x14ac:dyDescent="0.4">
      <c r="A1243" s="396" t="s">
        <v>5079</v>
      </c>
      <c r="B1243" s="394" t="s">
        <v>395</v>
      </c>
      <c r="C1243" s="394" t="s">
        <v>5080</v>
      </c>
      <c r="D1243" s="394" t="s">
        <v>1039</v>
      </c>
      <c r="E1243" s="395" t="s">
        <v>3</v>
      </c>
      <c r="F1243" s="396" t="s">
        <v>5816</v>
      </c>
      <c r="G1243" s="396" t="s">
        <v>781</v>
      </c>
      <c r="H1243" s="396" t="s">
        <v>7738</v>
      </c>
      <c r="I1243" s="396" t="s">
        <v>781</v>
      </c>
      <c r="J1243" s="396" t="s">
        <v>5810</v>
      </c>
      <c r="K1243" s="396" t="s">
        <v>781</v>
      </c>
      <c r="L1243" s="397">
        <v>4.9211999999999999E-2</v>
      </c>
      <c r="M1243" s="396" t="s">
        <v>4599</v>
      </c>
      <c r="N1243" s="397">
        <v>581174.46436480002</v>
      </c>
      <c r="O1243" s="396" t="s">
        <v>4964</v>
      </c>
    </row>
    <row r="1244" spans="1:15" ht="26.4" x14ac:dyDescent="0.4">
      <c r="A1244" s="396" t="s">
        <v>7739</v>
      </c>
      <c r="B1244" s="394" t="s">
        <v>439</v>
      </c>
      <c r="C1244" s="394" t="s">
        <v>7740</v>
      </c>
      <c r="D1244" s="394" t="s">
        <v>1039</v>
      </c>
      <c r="E1244" s="395" t="s">
        <v>1109</v>
      </c>
      <c r="F1244" s="396" t="s">
        <v>7741</v>
      </c>
      <c r="G1244" s="396" t="s">
        <v>781</v>
      </c>
      <c r="H1244" s="396" t="s">
        <v>7742</v>
      </c>
      <c r="I1244" s="396" t="s">
        <v>781</v>
      </c>
      <c r="J1244" s="396" t="s">
        <v>5810</v>
      </c>
      <c r="K1244" s="396" t="s">
        <v>781</v>
      </c>
      <c r="L1244" s="397">
        <v>4.7000093999999999E-2</v>
      </c>
      <c r="M1244" s="396" t="s">
        <v>4599</v>
      </c>
      <c r="N1244" s="397">
        <v>581174.51136490004</v>
      </c>
      <c r="O1244" s="396" t="s">
        <v>4964</v>
      </c>
    </row>
    <row r="1245" spans="1:15" ht="26.4" x14ac:dyDescent="0.4">
      <c r="A1245" s="396" t="s">
        <v>7743</v>
      </c>
      <c r="B1245" s="394" t="s">
        <v>439</v>
      </c>
      <c r="C1245" s="394" t="s">
        <v>7744</v>
      </c>
      <c r="D1245" s="394" t="s">
        <v>1039</v>
      </c>
      <c r="E1245" s="395" t="s">
        <v>1109</v>
      </c>
      <c r="F1245" s="396" t="s">
        <v>5744</v>
      </c>
      <c r="G1245" s="396" t="s">
        <v>781</v>
      </c>
      <c r="H1245" s="396" t="s">
        <v>5740</v>
      </c>
      <c r="I1245" s="396" t="s">
        <v>781</v>
      </c>
      <c r="J1245" s="396" t="s">
        <v>5810</v>
      </c>
      <c r="K1245" s="396" t="s">
        <v>781</v>
      </c>
      <c r="L1245" s="397">
        <v>4.6530000000000002E-2</v>
      </c>
      <c r="M1245" s="396" t="s">
        <v>4599</v>
      </c>
      <c r="N1245" s="397">
        <v>581174.55789489998</v>
      </c>
      <c r="O1245" s="396" t="s">
        <v>4964</v>
      </c>
    </row>
    <row r="1246" spans="1:15" x14ac:dyDescent="0.4">
      <c r="A1246" s="396" t="s">
        <v>1387</v>
      </c>
      <c r="B1246" s="394" t="s">
        <v>420</v>
      </c>
      <c r="C1246" s="394" t="s">
        <v>5089</v>
      </c>
      <c r="D1246" s="394" t="s">
        <v>1039</v>
      </c>
      <c r="E1246" s="395" t="s">
        <v>422</v>
      </c>
      <c r="F1246" s="396" t="s">
        <v>5819</v>
      </c>
      <c r="G1246" s="396" t="s">
        <v>781</v>
      </c>
      <c r="H1246" s="396" t="s">
        <v>7745</v>
      </c>
      <c r="I1246" s="396" t="s">
        <v>781</v>
      </c>
      <c r="J1246" s="396" t="s">
        <v>5820</v>
      </c>
      <c r="K1246" s="396" t="s">
        <v>781</v>
      </c>
      <c r="L1246" s="397">
        <v>4.3998799999999998E-2</v>
      </c>
      <c r="M1246" s="396" t="s">
        <v>4599</v>
      </c>
      <c r="N1246" s="397">
        <v>581174.60189369996</v>
      </c>
      <c r="O1246" s="396" t="s">
        <v>4964</v>
      </c>
    </row>
    <row r="1247" spans="1:15" x14ac:dyDescent="0.4">
      <c r="A1247" s="396" t="s">
        <v>5087</v>
      </c>
      <c r="B1247" s="394" t="s">
        <v>420</v>
      </c>
      <c r="C1247" s="394" t="s">
        <v>5088</v>
      </c>
      <c r="D1247" s="394" t="s">
        <v>1039</v>
      </c>
      <c r="E1247" s="395" t="s">
        <v>422</v>
      </c>
      <c r="F1247" s="396" t="s">
        <v>5818</v>
      </c>
      <c r="G1247" s="396" t="s">
        <v>781</v>
      </c>
      <c r="H1247" s="396" t="s">
        <v>5316</v>
      </c>
      <c r="I1247" s="396" t="s">
        <v>781</v>
      </c>
      <c r="J1247" s="396" t="s">
        <v>5820</v>
      </c>
      <c r="K1247" s="396" t="s">
        <v>781</v>
      </c>
      <c r="L1247" s="397">
        <v>4.3040000000000002E-2</v>
      </c>
      <c r="M1247" s="396" t="s">
        <v>4599</v>
      </c>
      <c r="N1247" s="397">
        <v>581174.64493369998</v>
      </c>
      <c r="O1247" s="396" t="s">
        <v>4964</v>
      </c>
    </row>
    <row r="1248" spans="1:15" ht="26.4" x14ac:dyDescent="0.4">
      <c r="A1248" s="396" t="s">
        <v>5091</v>
      </c>
      <c r="B1248" s="394" t="s">
        <v>395</v>
      </c>
      <c r="C1248" s="394" t="s">
        <v>5092</v>
      </c>
      <c r="D1248" s="394" t="s">
        <v>1317</v>
      </c>
      <c r="E1248" s="395" t="s">
        <v>4</v>
      </c>
      <c r="F1248" s="396" t="s">
        <v>7746</v>
      </c>
      <c r="G1248" s="396" t="s">
        <v>781</v>
      </c>
      <c r="H1248" s="396" t="s">
        <v>7747</v>
      </c>
      <c r="I1248" s="396" t="s">
        <v>781</v>
      </c>
      <c r="J1248" s="396" t="s">
        <v>5820</v>
      </c>
      <c r="K1248" s="396" t="s">
        <v>781</v>
      </c>
      <c r="L1248" s="397">
        <v>4.1819744999999998E-2</v>
      </c>
      <c r="M1248" s="396" t="s">
        <v>4599</v>
      </c>
      <c r="N1248" s="397">
        <v>581174.68675340002</v>
      </c>
      <c r="O1248" s="396" t="s">
        <v>4964</v>
      </c>
    </row>
    <row r="1249" spans="1:15" x14ac:dyDescent="0.4">
      <c r="A1249" s="396" t="s">
        <v>5099</v>
      </c>
      <c r="B1249" s="394" t="s">
        <v>395</v>
      </c>
      <c r="C1249" s="394" t="s">
        <v>5100</v>
      </c>
      <c r="D1249" s="394" t="s">
        <v>1053</v>
      </c>
      <c r="E1249" s="395" t="s">
        <v>6</v>
      </c>
      <c r="F1249" s="396" t="s">
        <v>7748</v>
      </c>
      <c r="G1249" s="396" t="s">
        <v>781</v>
      </c>
      <c r="H1249" s="396" t="s">
        <v>7749</v>
      </c>
      <c r="I1249" s="396" t="s">
        <v>781</v>
      </c>
      <c r="J1249" s="396" t="s">
        <v>5821</v>
      </c>
      <c r="K1249" s="396" t="s">
        <v>781</v>
      </c>
      <c r="L1249" s="397">
        <v>3.1836490000000002E-2</v>
      </c>
      <c r="M1249" s="396" t="s">
        <v>4599</v>
      </c>
      <c r="N1249" s="397">
        <v>581174.71858989995</v>
      </c>
      <c r="O1249" s="396" t="s">
        <v>4964</v>
      </c>
    </row>
    <row r="1250" spans="1:15" x14ac:dyDescent="0.4">
      <c r="A1250" s="396" t="s">
        <v>5095</v>
      </c>
      <c r="B1250" s="394" t="s">
        <v>420</v>
      </c>
      <c r="C1250" s="394" t="s">
        <v>5096</v>
      </c>
      <c r="D1250" s="394" t="s">
        <v>1039</v>
      </c>
      <c r="E1250" s="395" t="s">
        <v>422</v>
      </c>
      <c r="F1250" s="396" t="s">
        <v>5822</v>
      </c>
      <c r="G1250" s="396" t="s">
        <v>781</v>
      </c>
      <c r="H1250" s="396" t="s">
        <v>6616</v>
      </c>
      <c r="I1250" s="396" t="s">
        <v>781</v>
      </c>
      <c r="J1250" s="396" t="s">
        <v>5821</v>
      </c>
      <c r="K1250" s="396" t="s">
        <v>781</v>
      </c>
      <c r="L1250" s="397">
        <v>3.1014119999999999E-2</v>
      </c>
      <c r="M1250" s="396" t="s">
        <v>4599</v>
      </c>
      <c r="N1250" s="397">
        <v>581174.74960400001</v>
      </c>
      <c r="O1250" s="396" t="s">
        <v>4964</v>
      </c>
    </row>
    <row r="1251" spans="1:15" ht="39.6" x14ac:dyDescent="0.4">
      <c r="A1251" s="396" t="s">
        <v>9592</v>
      </c>
      <c r="B1251" s="394" t="s">
        <v>8393</v>
      </c>
      <c r="C1251" s="394" t="s">
        <v>9593</v>
      </c>
      <c r="D1251" s="394" t="s">
        <v>4030</v>
      </c>
      <c r="E1251" s="395" t="s">
        <v>163</v>
      </c>
      <c r="F1251" s="396" t="s">
        <v>5269</v>
      </c>
      <c r="G1251" s="396" t="s">
        <v>781</v>
      </c>
      <c r="H1251" s="396" t="s">
        <v>5821</v>
      </c>
      <c r="I1251" s="396" t="s">
        <v>781</v>
      </c>
      <c r="J1251" s="396" t="s">
        <v>5821</v>
      </c>
      <c r="K1251" s="396" t="s">
        <v>781</v>
      </c>
      <c r="L1251" s="397">
        <v>0.03</v>
      </c>
      <c r="M1251" s="396" t="s">
        <v>4599</v>
      </c>
      <c r="N1251" s="397">
        <v>581174.77960400004</v>
      </c>
      <c r="O1251" s="396" t="s">
        <v>4964</v>
      </c>
    </row>
    <row r="1252" spans="1:15" ht="39.6" x14ac:dyDescent="0.4">
      <c r="A1252" s="396" t="s">
        <v>7750</v>
      </c>
      <c r="B1252" s="394" t="s">
        <v>439</v>
      </c>
      <c r="C1252" s="394" t="s">
        <v>5101</v>
      </c>
      <c r="D1252" s="394" t="s">
        <v>1317</v>
      </c>
      <c r="E1252" s="395" t="s">
        <v>6</v>
      </c>
      <c r="F1252" s="396" t="s">
        <v>5825</v>
      </c>
      <c r="G1252" s="396" t="s">
        <v>5832</v>
      </c>
      <c r="H1252" s="396" t="s">
        <v>9594</v>
      </c>
      <c r="I1252" s="396" t="s">
        <v>781</v>
      </c>
      <c r="J1252" s="396" t="s">
        <v>5821</v>
      </c>
      <c r="K1252" s="396" t="s">
        <v>781</v>
      </c>
      <c r="L1252" s="397">
        <v>2.827E-2</v>
      </c>
      <c r="M1252" s="396" t="s">
        <v>4599</v>
      </c>
      <c r="N1252" s="397">
        <v>581174.80787400005</v>
      </c>
      <c r="O1252" s="396" t="s">
        <v>4964</v>
      </c>
    </row>
    <row r="1253" spans="1:15" x14ac:dyDescent="0.4">
      <c r="A1253" s="396" t="s">
        <v>5102</v>
      </c>
      <c r="B1253" s="394" t="s">
        <v>420</v>
      </c>
      <c r="C1253" s="394" t="s">
        <v>5103</v>
      </c>
      <c r="D1253" s="394" t="s">
        <v>1039</v>
      </c>
      <c r="E1253" s="395" t="s">
        <v>422</v>
      </c>
      <c r="F1253" s="396" t="s">
        <v>5819</v>
      </c>
      <c r="G1253" s="396" t="s">
        <v>781</v>
      </c>
      <c r="H1253" s="396" t="s">
        <v>5827</v>
      </c>
      <c r="I1253" s="396" t="s">
        <v>781</v>
      </c>
      <c r="J1253" s="396" t="s">
        <v>5824</v>
      </c>
      <c r="K1253" s="396" t="s">
        <v>781</v>
      </c>
      <c r="L1253" s="397">
        <v>2.2701200000000001E-2</v>
      </c>
      <c r="M1253" s="396" t="s">
        <v>4599</v>
      </c>
      <c r="N1253" s="397">
        <v>581174.83057520003</v>
      </c>
      <c r="O1253" s="396" t="s">
        <v>4964</v>
      </c>
    </row>
    <row r="1254" spans="1:15" x14ac:dyDescent="0.4">
      <c r="A1254" s="396" t="s">
        <v>5097</v>
      </c>
      <c r="B1254" s="394" t="s">
        <v>395</v>
      </c>
      <c r="C1254" s="394" t="s">
        <v>5098</v>
      </c>
      <c r="D1254" s="394" t="s">
        <v>1039</v>
      </c>
      <c r="E1254" s="395" t="s">
        <v>3</v>
      </c>
      <c r="F1254" s="396" t="s">
        <v>5823</v>
      </c>
      <c r="G1254" s="396" t="s">
        <v>781</v>
      </c>
      <c r="H1254" s="396" t="s">
        <v>7751</v>
      </c>
      <c r="I1254" s="396" t="s">
        <v>781</v>
      </c>
      <c r="J1254" s="396" t="s">
        <v>5824</v>
      </c>
      <c r="K1254" s="396" t="s">
        <v>781</v>
      </c>
      <c r="L1254" s="397">
        <v>2.0083515999999999E-2</v>
      </c>
      <c r="M1254" s="396" t="s">
        <v>4599</v>
      </c>
      <c r="N1254" s="397">
        <v>581174.85065869999</v>
      </c>
      <c r="O1254" s="396" t="s">
        <v>4964</v>
      </c>
    </row>
    <row r="1255" spans="1:15" x14ac:dyDescent="0.4">
      <c r="A1255" s="396" t="s">
        <v>5104</v>
      </c>
      <c r="B1255" s="394" t="s">
        <v>420</v>
      </c>
      <c r="C1255" s="394" t="s">
        <v>5105</v>
      </c>
      <c r="D1255" s="394" t="s">
        <v>1039</v>
      </c>
      <c r="E1255" s="395" t="s">
        <v>422</v>
      </c>
      <c r="F1255" s="396" t="s">
        <v>5822</v>
      </c>
      <c r="G1255" s="396" t="s">
        <v>781</v>
      </c>
      <c r="H1255" s="396" t="s">
        <v>6656</v>
      </c>
      <c r="I1255" s="396" t="s">
        <v>781</v>
      </c>
      <c r="J1255" s="396" t="s">
        <v>5824</v>
      </c>
      <c r="K1255" s="396" t="s">
        <v>781</v>
      </c>
      <c r="L1255" s="397">
        <v>1.8957479999999999E-2</v>
      </c>
      <c r="M1255" s="396" t="s">
        <v>4599</v>
      </c>
      <c r="N1255" s="397">
        <v>581174.86961619998</v>
      </c>
      <c r="O1255" s="396" t="s">
        <v>4964</v>
      </c>
    </row>
    <row r="1256" spans="1:15" ht="26.4" x14ac:dyDescent="0.4">
      <c r="A1256" s="396" t="s">
        <v>9595</v>
      </c>
      <c r="B1256" s="394" t="s">
        <v>395</v>
      </c>
      <c r="C1256" s="394" t="s">
        <v>9596</v>
      </c>
      <c r="D1256" s="394" t="s">
        <v>1323</v>
      </c>
      <c r="E1256" s="395" t="s">
        <v>4</v>
      </c>
      <c r="F1256" s="396" t="s">
        <v>9597</v>
      </c>
      <c r="G1256" s="396" t="s">
        <v>781</v>
      </c>
      <c r="H1256" s="396" t="s">
        <v>9598</v>
      </c>
      <c r="I1256" s="396" t="s">
        <v>781</v>
      </c>
      <c r="J1256" s="396" t="s">
        <v>5824</v>
      </c>
      <c r="K1256" s="396" t="s">
        <v>781</v>
      </c>
      <c r="L1256" s="397">
        <v>1.7828426000000001E-2</v>
      </c>
      <c r="M1256" s="396" t="s">
        <v>4599</v>
      </c>
      <c r="N1256" s="397">
        <v>581174.8874446</v>
      </c>
      <c r="O1256" s="396" t="s">
        <v>4964</v>
      </c>
    </row>
    <row r="1257" spans="1:15" x14ac:dyDescent="0.4">
      <c r="A1257" s="396" t="s">
        <v>5106</v>
      </c>
      <c r="B1257" s="394" t="s">
        <v>420</v>
      </c>
      <c r="C1257" s="394" t="s">
        <v>5107</v>
      </c>
      <c r="D1257" s="394" t="s">
        <v>1039</v>
      </c>
      <c r="E1257" s="395" t="s">
        <v>422</v>
      </c>
      <c r="F1257" s="396" t="s">
        <v>5795</v>
      </c>
      <c r="G1257" s="396" t="s">
        <v>781</v>
      </c>
      <c r="H1257" s="396" t="s">
        <v>7752</v>
      </c>
      <c r="I1257" s="396" t="s">
        <v>781</v>
      </c>
      <c r="J1257" s="396" t="s">
        <v>5768</v>
      </c>
      <c r="K1257" s="396" t="s">
        <v>781</v>
      </c>
      <c r="L1257" s="397">
        <v>1.42776E-2</v>
      </c>
      <c r="M1257" s="396" t="s">
        <v>4599</v>
      </c>
      <c r="N1257" s="397">
        <v>581174.90172219998</v>
      </c>
      <c r="O1257" s="396" t="s">
        <v>4964</v>
      </c>
    </row>
    <row r="1258" spans="1:15" ht="26.4" x14ac:dyDescent="0.4">
      <c r="A1258" s="396" t="s">
        <v>7753</v>
      </c>
      <c r="B1258" s="394" t="s">
        <v>395</v>
      </c>
      <c r="C1258" s="394" t="s">
        <v>7754</v>
      </c>
      <c r="D1258" s="394" t="s">
        <v>1323</v>
      </c>
      <c r="E1258" s="395" t="s">
        <v>4</v>
      </c>
      <c r="F1258" s="396" t="s">
        <v>7755</v>
      </c>
      <c r="G1258" s="396" t="s">
        <v>781</v>
      </c>
      <c r="H1258" s="396" t="s">
        <v>7756</v>
      </c>
      <c r="I1258" s="396" t="s">
        <v>781</v>
      </c>
      <c r="J1258" s="396" t="s">
        <v>5768</v>
      </c>
      <c r="K1258" s="396" t="s">
        <v>781</v>
      </c>
      <c r="L1258" s="397">
        <v>1.4228838000000001E-2</v>
      </c>
      <c r="M1258" s="396" t="s">
        <v>4599</v>
      </c>
      <c r="N1258" s="397">
        <v>581174.91595099994</v>
      </c>
      <c r="O1258" s="396" t="s">
        <v>4964</v>
      </c>
    </row>
    <row r="1259" spans="1:15" ht="26.4" x14ac:dyDescent="0.4">
      <c r="A1259" s="396" t="s">
        <v>7757</v>
      </c>
      <c r="B1259" s="394" t="s">
        <v>439</v>
      </c>
      <c r="C1259" s="394" t="s">
        <v>7758</v>
      </c>
      <c r="D1259" s="394" t="s">
        <v>1039</v>
      </c>
      <c r="E1259" s="395" t="s">
        <v>1109</v>
      </c>
      <c r="F1259" s="396" t="s">
        <v>7741</v>
      </c>
      <c r="G1259" s="396" t="s">
        <v>781</v>
      </c>
      <c r="H1259" s="396" t="s">
        <v>5798</v>
      </c>
      <c r="I1259" s="396" t="s">
        <v>781</v>
      </c>
      <c r="J1259" s="396" t="s">
        <v>5768</v>
      </c>
      <c r="K1259" s="396" t="s">
        <v>781</v>
      </c>
      <c r="L1259" s="397">
        <v>1.1333355999999999E-2</v>
      </c>
      <c r="M1259" s="396" t="s">
        <v>4599</v>
      </c>
      <c r="N1259" s="397">
        <v>581174.92728439998</v>
      </c>
      <c r="O1259" s="396" t="s">
        <v>4964</v>
      </c>
    </row>
    <row r="1260" spans="1:15" x14ac:dyDescent="0.4">
      <c r="A1260" s="396" t="s">
        <v>5108</v>
      </c>
      <c r="B1260" s="394" t="s">
        <v>420</v>
      </c>
      <c r="C1260" s="394" t="s">
        <v>5109</v>
      </c>
      <c r="D1260" s="394" t="s">
        <v>1039</v>
      </c>
      <c r="E1260" s="395" t="s">
        <v>422</v>
      </c>
      <c r="F1260" s="396" t="s">
        <v>5828</v>
      </c>
      <c r="G1260" s="396" t="s">
        <v>781</v>
      </c>
      <c r="H1260" s="396" t="s">
        <v>7759</v>
      </c>
      <c r="I1260" s="396" t="s">
        <v>781</v>
      </c>
      <c r="J1260" s="396" t="s">
        <v>5768</v>
      </c>
      <c r="K1260" s="396" t="s">
        <v>781</v>
      </c>
      <c r="L1260" s="397">
        <v>1.07648E-2</v>
      </c>
      <c r="M1260" s="396" t="s">
        <v>4599</v>
      </c>
      <c r="N1260" s="397">
        <v>581174.93804919999</v>
      </c>
      <c r="O1260" s="396" t="s">
        <v>4964</v>
      </c>
    </row>
    <row r="1261" spans="1:15" x14ac:dyDescent="0.4">
      <c r="A1261" s="396" t="s">
        <v>5112</v>
      </c>
      <c r="B1261" s="394" t="s">
        <v>420</v>
      </c>
      <c r="C1261" s="394" t="s">
        <v>5113</v>
      </c>
      <c r="D1261" s="394" t="s">
        <v>1039</v>
      </c>
      <c r="E1261" s="395" t="s">
        <v>422</v>
      </c>
      <c r="F1261" s="396" t="s">
        <v>5829</v>
      </c>
      <c r="G1261" s="396" t="s">
        <v>781</v>
      </c>
      <c r="H1261" s="396" t="s">
        <v>6970</v>
      </c>
      <c r="I1261" s="396" t="s">
        <v>781</v>
      </c>
      <c r="J1261" s="396" t="s">
        <v>5768</v>
      </c>
      <c r="K1261" s="396" t="s">
        <v>781</v>
      </c>
      <c r="L1261" s="397">
        <v>9.5549999999999993E-3</v>
      </c>
      <c r="M1261" s="396" t="s">
        <v>4599</v>
      </c>
      <c r="N1261" s="397">
        <v>581174.94760419999</v>
      </c>
      <c r="O1261" s="396" t="s">
        <v>4964</v>
      </c>
    </row>
    <row r="1262" spans="1:15" ht="26.4" x14ac:dyDescent="0.4">
      <c r="A1262" s="396" t="s">
        <v>9599</v>
      </c>
      <c r="B1262" s="394" t="s">
        <v>395</v>
      </c>
      <c r="C1262" s="394" t="s">
        <v>9600</v>
      </c>
      <c r="D1262" s="394" t="s">
        <v>1039</v>
      </c>
      <c r="E1262" s="395" t="s">
        <v>8</v>
      </c>
      <c r="F1262" s="396" t="s">
        <v>9601</v>
      </c>
      <c r="G1262" s="396" t="s">
        <v>781</v>
      </c>
      <c r="H1262" s="396" t="s">
        <v>9602</v>
      </c>
      <c r="I1262" s="396" t="s">
        <v>781</v>
      </c>
      <c r="J1262" s="396" t="s">
        <v>5768</v>
      </c>
      <c r="K1262" s="396" t="s">
        <v>781</v>
      </c>
      <c r="L1262" s="397">
        <v>5.6624400000000004E-3</v>
      </c>
      <c r="M1262" s="396" t="s">
        <v>4599</v>
      </c>
      <c r="N1262" s="397">
        <v>581174.95326660003</v>
      </c>
      <c r="O1262" s="396" t="s">
        <v>4964</v>
      </c>
    </row>
    <row r="1263" spans="1:15" x14ac:dyDescent="0.4">
      <c r="A1263" s="396" t="s">
        <v>5114</v>
      </c>
      <c r="B1263" s="394" t="s">
        <v>420</v>
      </c>
      <c r="C1263" s="394" t="s">
        <v>5115</v>
      </c>
      <c r="D1263" s="394" t="s">
        <v>1039</v>
      </c>
      <c r="E1263" s="395" t="s">
        <v>422</v>
      </c>
      <c r="F1263" s="396" t="s">
        <v>5829</v>
      </c>
      <c r="G1263" s="396" t="s">
        <v>781</v>
      </c>
      <c r="H1263" s="396" t="s">
        <v>5513</v>
      </c>
      <c r="I1263" s="396" t="s">
        <v>781</v>
      </c>
      <c r="J1263" s="396" t="s">
        <v>5830</v>
      </c>
      <c r="K1263" s="396" t="s">
        <v>781</v>
      </c>
      <c r="L1263" s="397">
        <v>4.8877499999999997E-3</v>
      </c>
      <c r="M1263" s="396" t="s">
        <v>4599</v>
      </c>
      <c r="N1263" s="397">
        <v>581174.9581544</v>
      </c>
      <c r="O1263" s="396" t="s">
        <v>4964</v>
      </c>
    </row>
    <row r="1264" spans="1:15" ht="26.4" x14ac:dyDescent="0.4">
      <c r="A1264" s="396" t="s">
        <v>5110</v>
      </c>
      <c r="B1264" s="394" t="s">
        <v>395</v>
      </c>
      <c r="C1264" s="394" t="s">
        <v>5111</v>
      </c>
      <c r="D1264" s="394" t="s">
        <v>1317</v>
      </c>
      <c r="E1264" s="395" t="s">
        <v>4</v>
      </c>
      <c r="F1264" s="396" t="s">
        <v>7760</v>
      </c>
      <c r="G1264" s="396" t="s">
        <v>781</v>
      </c>
      <c r="H1264" s="396" t="s">
        <v>7761</v>
      </c>
      <c r="I1264" s="396" t="s">
        <v>781</v>
      </c>
      <c r="J1264" s="396" t="s">
        <v>5830</v>
      </c>
      <c r="K1264" s="396" t="s">
        <v>781</v>
      </c>
      <c r="L1264" s="397">
        <v>4.8092040000000001E-3</v>
      </c>
      <c r="M1264" s="396" t="s">
        <v>4599</v>
      </c>
      <c r="N1264" s="397">
        <v>581174.96296359994</v>
      </c>
      <c r="O1264" s="396" t="s">
        <v>4964</v>
      </c>
    </row>
    <row r="1265" spans="1:15" ht="26.4" x14ac:dyDescent="0.4">
      <c r="A1265" s="396" t="s">
        <v>5117</v>
      </c>
      <c r="B1265" s="394" t="s">
        <v>395</v>
      </c>
      <c r="C1265" s="394" t="s">
        <v>5118</v>
      </c>
      <c r="D1265" s="394" t="s">
        <v>1317</v>
      </c>
      <c r="E1265" s="395" t="s">
        <v>6</v>
      </c>
      <c r="F1265" s="396" t="s">
        <v>7737</v>
      </c>
      <c r="G1265" s="396" t="s">
        <v>781</v>
      </c>
      <c r="H1265" s="396" t="s">
        <v>5781</v>
      </c>
      <c r="I1265" s="396" t="s">
        <v>781</v>
      </c>
      <c r="J1265" s="396" t="s">
        <v>5830</v>
      </c>
      <c r="K1265" s="396" t="s">
        <v>781</v>
      </c>
      <c r="L1265" s="397">
        <v>3.692304E-3</v>
      </c>
      <c r="M1265" s="396" t="s">
        <v>4599</v>
      </c>
      <c r="N1265" s="397">
        <v>581174.9666559</v>
      </c>
      <c r="O1265" s="396" t="s">
        <v>4964</v>
      </c>
    </row>
    <row r="1266" spans="1:15" ht="26.4" x14ac:dyDescent="0.4">
      <c r="A1266" s="396" t="s">
        <v>7762</v>
      </c>
      <c r="B1266" s="394" t="s">
        <v>439</v>
      </c>
      <c r="C1266" s="394" t="s">
        <v>7763</v>
      </c>
      <c r="D1266" s="394" t="s">
        <v>1039</v>
      </c>
      <c r="E1266" s="395" t="s">
        <v>1109</v>
      </c>
      <c r="F1266" s="396" t="s">
        <v>5744</v>
      </c>
      <c r="G1266" s="396" t="s">
        <v>781</v>
      </c>
      <c r="H1266" s="396" t="s">
        <v>5821</v>
      </c>
      <c r="I1266" s="396" t="s">
        <v>781</v>
      </c>
      <c r="J1266" s="396" t="s">
        <v>5830</v>
      </c>
      <c r="K1266" s="396" t="s">
        <v>781</v>
      </c>
      <c r="L1266" s="397">
        <v>1.5510000000000001E-3</v>
      </c>
      <c r="M1266" s="396" t="s">
        <v>4599</v>
      </c>
      <c r="N1266" s="397">
        <v>581174.96820690006</v>
      </c>
      <c r="O1266" s="396" t="s">
        <v>4964</v>
      </c>
    </row>
    <row r="1267" spans="1:15" ht="26.4" x14ac:dyDescent="0.4">
      <c r="A1267" s="396" t="s">
        <v>1550</v>
      </c>
      <c r="B1267" s="394" t="s">
        <v>395</v>
      </c>
      <c r="C1267" s="394" t="s">
        <v>257</v>
      </c>
      <c r="D1267" s="394" t="s">
        <v>1039</v>
      </c>
      <c r="E1267" s="395" t="s">
        <v>8</v>
      </c>
      <c r="F1267" s="396" t="s">
        <v>7764</v>
      </c>
      <c r="G1267" s="396" t="s">
        <v>781</v>
      </c>
      <c r="H1267" s="396" t="s">
        <v>7765</v>
      </c>
      <c r="I1267" s="396" t="s">
        <v>781</v>
      </c>
      <c r="J1267" s="396" t="s">
        <v>5830</v>
      </c>
      <c r="K1267" s="396" t="s">
        <v>781</v>
      </c>
      <c r="L1267" s="397">
        <v>1.2272590000000001E-3</v>
      </c>
      <c r="M1267" s="396" t="s">
        <v>4599</v>
      </c>
      <c r="N1267" s="397">
        <v>581174.96943419997</v>
      </c>
      <c r="O1267" s="396" t="s">
        <v>4964</v>
      </c>
    </row>
    <row r="1268" spans="1:15" ht="26.4" x14ac:dyDescent="0.4">
      <c r="A1268" s="396" t="s">
        <v>5120</v>
      </c>
      <c r="B1268" s="394" t="s">
        <v>395</v>
      </c>
      <c r="C1268" s="394" t="s">
        <v>5121</v>
      </c>
      <c r="D1268" s="394" t="s">
        <v>1317</v>
      </c>
      <c r="E1268" s="395" t="s">
        <v>6</v>
      </c>
      <c r="F1268" s="396" t="s">
        <v>5831</v>
      </c>
      <c r="G1268" s="396" t="s">
        <v>781</v>
      </c>
      <c r="H1268" s="396" t="s">
        <v>5317</v>
      </c>
      <c r="I1268" s="396" t="s">
        <v>781</v>
      </c>
      <c r="J1268" s="396" t="s">
        <v>5830</v>
      </c>
      <c r="K1268" s="396" t="s">
        <v>781</v>
      </c>
      <c r="L1268" s="397">
        <v>2.14E-4</v>
      </c>
      <c r="M1268" s="396" t="s">
        <v>4599</v>
      </c>
      <c r="N1268" s="397">
        <v>581174.96964819997</v>
      </c>
      <c r="O1268" s="396" t="s">
        <v>4964</v>
      </c>
    </row>
    <row r="1269" spans="1:15" ht="26.4" x14ac:dyDescent="0.4">
      <c r="A1269" s="396" t="s">
        <v>5122</v>
      </c>
      <c r="B1269" s="394" t="s">
        <v>395</v>
      </c>
      <c r="C1269" s="394" t="s">
        <v>5123</v>
      </c>
      <c r="D1269" s="394" t="s">
        <v>1317</v>
      </c>
      <c r="E1269" s="395" t="s">
        <v>6</v>
      </c>
      <c r="F1269" s="396" t="s">
        <v>5831</v>
      </c>
      <c r="G1269" s="396" t="s">
        <v>781</v>
      </c>
      <c r="H1269" s="396" t="s">
        <v>5824</v>
      </c>
      <c r="I1269" s="396" t="s">
        <v>781</v>
      </c>
      <c r="J1269" s="396" t="s">
        <v>5830</v>
      </c>
      <c r="K1269" s="396" t="s">
        <v>781</v>
      </c>
      <c r="L1269" s="397">
        <v>3.9999999999999998E-6</v>
      </c>
      <c r="M1269" s="396" t="s">
        <v>4599</v>
      </c>
      <c r="N1269" s="397">
        <v>581174.9696522</v>
      </c>
      <c r="O1269" s="396" t="s">
        <v>4964</v>
      </c>
    </row>
    <row r="1270" spans="1:15" ht="26.4" x14ac:dyDescent="0.4">
      <c r="A1270" s="396" t="s">
        <v>1342</v>
      </c>
      <c r="B1270" s="394" t="s">
        <v>575</v>
      </c>
      <c r="C1270" s="394" t="s">
        <v>581</v>
      </c>
      <c r="D1270" s="394" t="s">
        <v>1317</v>
      </c>
      <c r="E1270" s="395" t="s">
        <v>1335</v>
      </c>
      <c r="F1270" s="396" t="s">
        <v>5269</v>
      </c>
      <c r="G1270" s="396" t="s">
        <v>5832</v>
      </c>
      <c r="H1270" s="396" t="s">
        <v>5830</v>
      </c>
      <c r="I1270" s="396" t="s">
        <v>5830</v>
      </c>
      <c r="J1270" s="396" t="s">
        <v>5830</v>
      </c>
      <c r="K1270" s="396" t="s">
        <v>5830</v>
      </c>
      <c r="L1270" s="397">
        <v>0</v>
      </c>
      <c r="M1270" s="396" t="s">
        <v>4599</v>
      </c>
      <c r="N1270" s="397">
        <v>581174.9696522</v>
      </c>
      <c r="O1270" s="396" t="s">
        <v>4964</v>
      </c>
    </row>
    <row r="1271" spans="1:15" x14ac:dyDescent="0.4">
      <c r="A1271" s="396" t="s">
        <v>2294</v>
      </c>
      <c r="B1271" s="394" t="s">
        <v>408</v>
      </c>
      <c r="C1271" s="394" t="s">
        <v>2295</v>
      </c>
      <c r="D1271" s="394" t="s">
        <v>1039</v>
      </c>
      <c r="E1271" s="395" t="s">
        <v>675</v>
      </c>
      <c r="F1271" s="396" t="s">
        <v>5832</v>
      </c>
      <c r="G1271" s="396" t="s">
        <v>781</v>
      </c>
      <c r="H1271" s="396" t="s">
        <v>6707</v>
      </c>
      <c r="I1271" s="396" t="s">
        <v>781</v>
      </c>
      <c r="J1271" s="396" t="s">
        <v>5830</v>
      </c>
      <c r="K1271" s="396" t="s">
        <v>781</v>
      </c>
      <c r="L1271" s="397">
        <v>0</v>
      </c>
      <c r="M1271" s="396" t="s">
        <v>4599</v>
      </c>
      <c r="N1271" s="397">
        <v>581174.9696522</v>
      </c>
      <c r="O1271" s="396" t="s">
        <v>4964</v>
      </c>
    </row>
    <row r="1272" spans="1:15" ht="52.8" x14ac:dyDescent="0.4">
      <c r="A1272" s="396" t="s">
        <v>9603</v>
      </c>
      <c r="B1272" s="394" t="s">
        <v>395</v>
      </c>
      <c r="C1272" s="394" t="s">
        <v>9604</v>
      </c>
      <c r="D1272" s="394" t="s">
        <v>1039</v>
      </c>
      <c r="E1272" s="395" t="s">
        <v>4</v>
      </c>
      <c r="F1272" s="396" t="s">
        <v>9605</v>
      </c>
      <c r="G1272" s="396" t="s">
        <v>781</v>
      </c>
      <c r="H1272" s="396" t="s">
        <v>5830</v>
      </c>
      <c r="I1272" s="396" t="s">
        <v>781</v>
      </c>
      <c r="J1272" s="396" t="s">
        <v>5830</v>
      </c>
      <c r="K1272" s="396" t="s">
        <v>781</v>
      </c>
      <c r="L1272" s="397">
        <v>0</v>
      </c>
      <c r="M1272" s="396" t="s">
        <v>4599</v>
      </c>
      <c r="N1272" s="397">
        <v>581174.9696522</v>
      </c>
      <c r="O1272" s="396" t="s">
        <v>4964</v>
      </c>
    </row>
    <row r="1273" spans="1:15" ht="26.4" x14ac:dyDescent="0.4">
      <c r="A1273" s="396" t="s">
        <v>9606</v>
      </c>
      <c r="B1273" s="394" t="s">
        <v>395</v>
      </c>
      <c r="C1273" s="394" t="s">
        <v>9607</v>
      </c>
      <c r="D1273" s="394" t="s">
        <v>1039</v>
      </c>
      <c r="E1273" s="395" t="s">
        <v>4</v>
      </c>
      <c r="F1273" s="396" t="s">
        <v>9605</v>
      </c>
      <c r="G1273" s="396" t="s">
        <v>781</v>
      </c>
      <c r="H1273" s="396" t="s">
        <v>5830</v>
      </c>
      <c r="I1273" s="396" t="s">
        <v>781</v>
      </c>
      <c r="J1273" s="396" t="s">
        <v>5830</v>
      </c>
      <c r="K1273" s="396" t="s">
        <v>781</v>
      </c>
      <c r="L1273" s="397">
        <v>0</v>
      </c>
      <c r="M1273" s="396" t="s">
        <v>4599</v>
      </c>
      <c r="N1273" s="397">
        <v>581174.9696522</v>
      </c>
      <c r="O1273" s="396" t="s">
        <v>4964</v>
      </c>
    </row>
    <row r="1274" spans="1:15" ht="26.4" x14ac:dyDescent="0.4">
      <c r="A1274" s="396" t="s">
        <v>9608</v>
      </c>
      <c r="B1274" s="394" t="s">
        <v>395</v>
      </c>
      <c r="C1274" s="394" t="s">
        <v>9609</v>
      </c>
      <c r="D1274" s="394" t="s">
        <v>1039</v>
      </c>
      <c r="E1274" s="395" t="s">
        <v>4</v>
      </c>
      <c r="F1274" s="396" t="s">
        <v>5305</v>
      </c>
      <c r="G1274" s="396" t="s">
        <v>781</v>
      </c>
      <c r="H1274" s="396" t="s">
        <v>5830</v>
      </c>
      <c r="I1274" s="396" t="s">
        <v>781</v>
      </c>
      <c r="J1274" s="396" t="s">
        <v>5830</v>
      </c>
      <c r="K1274" s="396" t="s">
        <v>781</v>
      </c>
      <c r="L1274" s="397">
        <v>0</v>
      </c>
      <c r="M1274" s="396" t="s">
        <v>4599</v>
      </c>
      <c r="N1274" s="397">
        <v>581174.9696522</v>
      </c>
      <c r="O1274" s="396" t="s">
        <v>4964</v>
      </c>
    </row>
    <row r="1275" spans="1:15" ht="26.4" x14ac:dyDescent="0.4">
      <c r="A1275" s="396" t="s">
        <v>9610</v>
      </c>
      <c r="B1275" s="394" t="s">
        <v>395</v>
      </c>
      <c r="C1275" s="394" t="s">
        <v>9611</v>
      </c>
      <c r="D1275" s="394" t="s">
        <v>1039</v>
      </c>
      <c r="E1275" s="395" t="s">
        <v>4</v>
      </c>
      <c r="F1275" s="396" t="s">
        <v>5269</v>
      </c>
      <c r="G1275" s="396" t="s">
        <v>781</v>
      </c>
      <c r="H1275" s="396" t="s">
        <v>5830</v>
      </c>
      <c r="I1275" s="396" t="s">
        <v>781</v>
      </c>
      <c r="J1275" s="396" t="s">
        <v>5830</v>
      </c>
      <c r="K1275" s="396" t="s">
        <v>781</v>
      </c>
      <c r="L1275" s="397">
        <v>0</v>
      </c>
      <c r="M1275" s="396" t="s">
        <v>4599</v>
      </c>
      <c r="N1275" s="397">
        <v>581174.9696522</v>
      </c>
      <c r="O1275" s="396" t="s">
        <v>4964</v>
      </c>
    </row>
    <row r="1276" spans="1:15" ht="26.4" x14ac:dyDescent="0.4">
      <c r="A1276" s="396" t="s">
        <v>9612</v>
      </c>
      <c r="B1276" s="394" t="s">
        <v>395</v>
      </c>
      <c r="C1276" s="394" t="s">
        <v>9613</v>
      </c>
      <c r="D1276" s="394" t="s">
        <v>1039</v>
      </c>
      <c r="E1276" s="395" t="s">
        <v>4</v>
      </c>
      <c r="F1276" s="396" t="s">
        <v>5269</v>
      </c>
      <c r="G1276" s="396" t="s">
        <v>781</v>
      </c>
      <c r="H1276" s="396" t="s">
        <v>5830</v>
      </c>
      <c r="I1276" s="396" t="s">
        <v>781</v>
      </c>
      <c r="J1276" s="396" t="s">
        <v>5830</v>
      </c>
      <c r="K1276" s="396" t="s">
        <v>781</v>
      </c>
      <c r="L1276" s="397">
        <v>0</v>
      </c>
      <c r="M1276" s="396" t="s">
        <v>4599</v>
      </c>
      <c r="N1276" s="397">
        <v>581174.9696522</v>
      </c>
      <c r="O1276" s="396" t="s">
        <v>4964</v>
      </c>
    </row>
    <row r="1277" spans="1:15" ht="26.4" x14ac:dyDescent="0.4">
      <c r="A1277" s="396" t="s">
        <v>9614</v>
      </c>
      <c r="B1277" s="394" t="s">
        <v>395</v>
      </c>
      <c r="C1277" s="394" t="s">
        <v>9615</v>
      </c>
      <c r="D1277" s="394" t="s">
        <v>1039</v>
      </c>
      <c r="E1277" s="395" t="s">
        <v>4</v>
      </c>
      <c r="F1277" s="396" t="s">
        <v>5269</v>
      </c>
      <c r="G1277" s="396" t="s">
        <v>781</v>
      </c>
      <c r="H1277" s="396" t="s">
        <v>5830</v>
      </c>
      <c r="I1277" s="396" t="s">
        <v>781</v>
      </c>
      <c r="J1277" s="396" t="s">
        <v>5830</v>
      </c>
      <c r="K1277" s="396" t="s">
        <v>781</v>
      </c>
      <c r="L1277" s="397">
        <v>0</v>
      </c>
      <c r="M1277" s="396" t="s">
        <v>4599</v>
      </c>
      <c r="N1277" s="397">
        <v>581174.9696522</v>
      </c>
      <c r="O1277" s="396" t="s">
        <v>4964</v>
      </c>
    </row>
    <row r="1278" spans="1:15" ht="26.4" x14ac:dyDescent="0.4">
      <c r="A1278" s="396" t="s">
        <v>9616</v>
      </c>
      <c r="B1278" s="394" t="s">
        <v>395</v>
      </c>
      <c r="C1278" s="394" t="s">
        <v>9617</v>
      </c>
      <c r="D1278" s="394" t="s">
        <v>1039</v>
      </c>
      <c r="E1278" s="395" t="s">
        <v>675</v>
      </c>
      <c r="F1278" s="396" t="s">
        <v>5269</v>
      </c>
      <c r="G1278" s="396" t="s">
        <v>781</v>
      </c>
      <c r="H1278" s="396" t="s">
        <v>5830</v>
      </c>
      <c r="I1278" s="396" t="s">
        <v>781</v>
      </c>
      <c r="J1278" s="396" t="s">
        <v>5830</v>
      </c>
      <c r="K1278" s="396" t="s">
        <v>781</v>
      </c>
      <c r="L1278" s="397">
        <v>0</v>
      </c>
      <c r="M1278" s="396" t="s">
        <v>4599</v>
      </c>
      <c r="N1278" s="397">
        <v>581174.9696522</v>
      </c>
      <c r="O1278" s="396" t="s">
        <v>4964</v>
      </c>
    </row>
    <row r="1279" spans="1:15" ht="26.4" x14ac:dyDescent="0.4">
      <c r="A1279" s="396" t="s">
        <v>9618</v>
      </c>
      <c r="B1279" s="394" t="s">
        <v>395</v>
      </c>
      <c r="C1279" s="394" t="s">
        <v>9619</v>
      </c>
      <c r="D1279" s="394" t="s">
        <v>1039</v>
      </c>
      <c r="E1279" s="395" t="s">
        <v>7</v>
      </c>
      <c r="F1279" s="396" t="s">
        <v>9620</v>
      </c>
      <c r="G1279" s="396" t="s">
        <v>781</v>
      </c>
      <c r="H1279" s="396" t="s">
        <v>5830</v>
      </c>
      <c r="I1279" s="396" t="s">
        <v>781</v>
      </c>
      <c r="J1279" s="396" t="s">
        <v>5830</v>
      </c>
      <c r="K1279" s="396" t="s">
        <v>781</v>
      </c>
      <c r="L1279" s="397">
        <v>0</v>
      </c>
      <c r="M1279" s="396" t="s">
        <v>4599</v>
      </c>
      <c r="N1279" s="397">
        <v>581174.9696522</v>
      </c>
      <c r="O1279" s="396" t="s">
        <v>4964</v>
      </c>
    </row>
  </sheetData>
  <mergeCells count="16">
    <mergeCell ref="C4:C5"/>
    <mergeCell ref="D4:D5"/>
    <mergeCell ref="E4:E5"/>
    <mergeCell ref="E1:G1"/>
    <mergeCell ref="H1:O1"/>
    <mergeCell ref="E2:G2"/>
    <mergeCell ref="H2:O2"/>
    <mergeCell ref="A3:O3"/>
    <mergeCell ref="O4:O5"/>
    <mergeCell ref="G4"/>
    <mergeCell ref="I4"/>
    <mergeCell ref="L4"/>
    <mergeCell ref="M4:M5"/>
    <mergeCell ref="N4:N5"/>
    <mergeCell ref="A4:A5"/>
    <mergeCell ref="B4:B5"/>
  </mergeCells>
  <pageMargins left="0.51181102362204722" right="0.51181102362204722" top="0.78740157480314965" bottom="0.78740157480314965" header="0.31496062992125984" footer="0.31496062992125984"/>
  <pageSetup paperSize="9" scale="52" fitToHeight="0" orientation="landscape"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45178-76DC-4B37-A997-6C7DFBE7DA16}">
  <sheetPr>
    <tabColor rgb="FF92D050"/>
    <pageSetUpPr fitToPage="1"/>
  </sheetPr>
  <dimension ref="A1:L10307"/>
  <sheetViews>
    <sheetView showGridLines="0" zoomScale="85" zoomScaleNormal="85" zoomScaleSheetLayoutView="90" workbookViewId="0">
      <pane xSplit="4" ySplit="4" topLeftCell="E10144" activePane="bottomRight" state="frozen"/>
      <selection activeCell="G14" sqref="G14"/>
      <selection pane="topRight" activeCell="G14" sqref="G14"/>
      <selection pane="bottomLeft" activeCell="G14" sqref="G14"/>
      <selection pane="bottomRight" activeCell="I10164" sqref="I10164"/>
    </sheetView>
  </sheetViews>
  <sheetFormatPr defaultColWidth="9.109375" defaultRowHeight="16.8" x14ac:dyDescent="0.4"/>
  <cols>
    <col min="1" max="1" width="11.44140625" style="41" bestFit="1" customWidth="1"/>
    <col min="2" max="2" width="17.88671875" style="41" customWidth="1"/>
    <col min="3" max="3" width="11.44140625" style="41" bestFit="1" customWidth="1"/>
    <col min="4" max="4" width="68.5546875" style="41" bestFit="1" customWidth="1"/>
    <col min="5" max="5" width="17.109375" style="41" bestFit="1" customWidth="1"/>
    <col min="6" max="8" width="13.6640625" style="41" bestFit="1" customWidth="1"/>
    <col min="9" max="9" width="14.88671875" style="41" bestFit="1" customWidth="1"/>
    <col min="10" max="10" width="16" style="41" bestFit="1" customWidth="1"/>
    <col min="11" max="11" width="9.88671875" style="41" bestFit="1" customWidth="1"/>
    <col min="12" max="12" width="14.109375" style="161" bestFit="1" customWidth="1"/>
    <col min="13" max="16384" width="9.109375" style="162"/>
  </cols>
  <sheetData>
    <row r="1" spans="1:12" ht="15" customHeight="1" x14ac:dyDescent="0.3">
      <c r="A1" s="310"/>
      <c r="B1" s="310"/>
      <c r="C1" s="587" t="s">
        <v>7766</v>
      </c>
      <c r="D1" s="587"/>
      <c r="E1" s="587" t="s">
        <v>412</v>
      </c>
      <c r="F1" s="587"/>
      <c r="G1" s="587" t="s">
        <v>1027</v>
      </c>
      <c r="H1" s="587"/>
      <c r="I1" s="587" t="s">
        <v>1028</v>
      </c>
      <c r="J1" s="587"/>
      <c r="K1" s="589"/>
    </row>
    <row r="2" spans="1:12" ht="15" customHeight="1" x14ac:dyDescent="0.3">
      <c r="A2" s="311"/>
      <c r="B2" s="311"/>
      <c r="C2" s="582" t="s">
        <v>5901</v>
      </c>
      <c r="D2" s="582"/>
      <c r="E2" s="582" t="s">
        <v>8392</v>
      </c>
      <c r="F2" s="582"/>
      <c r="G2" s="582" t="s">
        <v>2254</v>
      </c>
      <c r="H2" s="582"/>
      <c r="I2" s="582" t="s">
        <v>3765</v>
      </c>
      <c r="J2" s="582"/>
      <c r="K2" s="589"/>
      <c r="L2" s="163"/>
    </row>
    <row r="3" spans="1:12" ht="15.75" customHeight="1" x14ac:dyDescent="0.3">
      <c r="A3" s="588" t="s">
        <v>7766</v>
      </c>
      <c r="B3" s="589"/>
      <c r="C3" s="589"/>
      <c r="D3" s="589"/>
      <c r="E3" s="589"/>
      <c r="F3" s="589"/>
      <c r="G3" s="589"/>
      <c r="H3" s="589"/>
      <c r="I3" s="589"/>
      <c r="J3" s="589"/>
      <c r="K3" s="589"/>
    </row>
    <row r="4" spans="1:12" ht="15.75" customHeight="1" x14ac:dyDescent="0.3">
      <c r="A4" s="588" t="s">
        <v>7767</v>
      </c>
      <c r="B4" s="589"/>
      <c r="C4" s="589"/>
      <c r="D4" s="589"/>
      <c r="E4" s="589"/>
      <c r="F4" s="589"/>
      <c r="G4" s="589"/>
      <c r="H4" s="589"/>
      <c r="I4" s="589"/>
      <c r="J4" s="589"/>
      <c r="K4" s="589"/>
    </row>
    <row r="5" spans="1:12" ht="15.75" customHeight="1" x14ac:dyDescent="0.3">
      <c r="A5" s="382" t="s">
        <v>603</v>
      </c>
      <c r="B5" s="312" t="s">
        <v>413</v>
      </c>
      <c r="C5" s="382" t="s">
        <v>414</v>
      </c>
      <c r="D5" s="382" t="s">
        <v>415</v>
      </c>
      <c r="E5" s="586" t="s">
        <v>1029</v>
      </c>
      <c r="F5" s="586"/>
      <c r="G5" s="383" t="s">
        <v>416</v>
      </c>
      <c r="H5" s="312" t="s">
        <v>1030</v>
      </c>
      <c r="I5" s="312" t="s">
        <v>3016</v>
      </c>
      <c r="J5" s="312" t="s">
        <v>1031</v>
      </c>
      <c r="K5" s="312" t="s">
        <v>1032</v>
      </c>
    </row>
    <row r="6" spans="1:12" ht="27.75" customHeight="1" x14ac:dyDescent="0.3">
      <c r="A6" s="313" t="s">
        <v>1033</v>
      </c>
      <c r="B6" s="315" t="s">
        <v>3766</v>
      </c>
      <c r="C6" s="313" t="s">
        <v>395</v>
      </c>
      <c r="D6" s="313" t="s">
        <v>156</v>
      </c>
      <c r="E6" s="603" t="s">
        <v>7768</v>
      </c>
      <c r="F6" s="603"/>
      <c r="G6" s="314" t="s">
        <v>10</v>
      </c>
      <c r="H6" s="399">
        <v>1</v>
      </c>
      <c r="I6" s="316"/>
      <c r="J6" s="316">
        <v>28769.19</v>
      </c>
      <c r="K6" s="316">
        <v>28769.19</v>
      </c>
    </row>
    <row r="7" spans="1:12" ht="12.75" customHeight="1" x14ac:dyDescent="0.3">
      <c r="A7" s="400" t="s">
        <v>1038</v>
      </c>
      <c r="B7" s="401" t="s">
        <v>4016</v>
      </c>
      <c r="C7" s="400" t="s">
        <v>395</v>
      </c>
      <c r="D7" s="400" t="s">
        <v>4017</v>
      </c>
      <c r="E7" s="605" t="s">
        <v>1053</v>
      </c>
      <c r="F7" s="605"/>
      <c r="G7" s="402" t="s">
        <v>10</v>
      </c>
      <c r="H7" s="403">
        <v>1</v>
      </c>
      <c r="I7" s="403">
        <v>0</v>
      </c>
      <c r="J7" s="404">
        <v>27549.86</v>
      </c>
      <c r="K7" s="404">
        <v>27549.86</v>
      </c>
    </row>
    <row r="8" spans="1:12" ht="12.75" customHeight="1" x14ac:dyDescent="0.3">
      <c r="A8" s="400" t="s">
        <v>1038</v>
      </c>
      <c r="B8" s="401" t="s">
        <v>6124</v>
      </c>
      <c r="C8" s="400" t="s">
        <v>395</v>
      </c>
      <c r="D8" s="400" t="s">
        <v>6125</v>
      </c>
      <c r="E8" s="605" t="s">
        <v>6126</v>
      </c>
      <c r="F8" s="605"/>
      <c r="G8" s="402" t="s">
        <v>10</v>
      </c>
      <c r="H8" s="403">
        <v>1</v>
      </c>
      <c r="I8" s="403">
        <v>0</v>
      </c>
      <c r="J8" s="404">
        <v>806.06</v>
      </c>
      <c r="K8" s="404">
        <v>806.06</v>
      </c>
    </row>
    <row r="9" spans="1:12" s="165" customFormat="1" ht="20.100000000000001" customHeight="1" x14ac:dyDescent="0.3">
      <c r="A9" s="400" t="s">
        <v>1038</v>
      </c>
      <c r="B9" s="401" t="s">
        <v>4061</v>
      </c>
      <c r="C9" s="400" t="s">
        <v>395</v>
      </c>
      <c r="D9" s="400" t="s">
        <v>4062</v>
      </c>
      <c r="E9" s="605" t="s">
        <v>1039</v>
      </c>
      <c r="F9" s="605"/>
      <c r="G9" s="402" t="s">
        <v>10</v>
      </c>
      <c r="H9" s="403">
        <v>1</v>
      </c>
      <c r="I9" s="403">
        <v>0</v>
      </c>
      <c r="J9" s="404">
        <v>210.14</v>
      </c>
      <c r="K9" s="404">
        <v>210.14</v>
      </c>
      <c r="L9" s="164"/>
    </row>
    <row r="10" spans="1:12" ht="15" x14ac:dyDescent="0.3">
      <c r="A10" s="400" t="s">
        <v>1038</v>
      </c>
      <c r="B10" s="401" t="s">
        <v>4222</v>
      </c>
      <c r="C10" s="400" t="s">
        <v>395</v>
      </c>
      <c r="D10" s="400" t="s">
        <v>4223</v>
      </c>
      <c r="E10" s="605" t="s">
        <v>1039</v>
      </c>
      <c r="F10" s="605"/>
      <c r="G10" s="402" t="s">
        <v>10</v>
      </c>
      <c r="H10" s="403">
        <v>1</v>
      </c>
      <c r="I10" s="403">
        <v>0</v>
      </c>
      <c r="J10" s="404">
        <v>18.28</v>
      </c>
      <c r="K10" s="404">
        <v>18.28</v>
      </c>
      <c r="L10" s="166"/>
    </row>
    <row r="11" spans="1:12" ht="26.4" x14ac:dyDescent="0.3">
      <c r="A11" s="400" t="s">
        <v>1038</v>
      </c>
      <c r="B11" s="401" t="s">
        <v>4821</v>
      </c>
      <c r="C11" s="400" t="s">
        <v>395</v>
      </c>
      <c r="D11" s="400" t="s">
        <v>4822</v>
      </c>
      <c r="E11" s="605" t="s">
        <v>1317</v>
      </c>
      <c r="F11" s="605"/>
      <c r="G11" s="402" t="s">
        <v>10</v>
      </c>
      <c r="H11" s="403">
        <v>1</v>
      </c>
      <c r="I11" s="403">
        <v>0</v>
      </c>
      <c r="J11" s="404">
        <v>4.33</v>
      </c>
      <c r="K11" s="404">
        <v>4.33</v>
      </c>
      <c r="L11" s="167"/>
    </row>
    <row r="12" spans="1:12" ht="26.4" x14ac:dyDescent="0.3">
      <c r="A12" s="400" t="s">
        <v>1038</v>
      </c>
      <c r="B12" s="401" t="s">
        <v>4137</v>
      </c>
      <c r="C12" s="400" t="s">
        <v>395</v>
      </c>
      <c r="D12" s="400" t="s">
        <v>4138</v>
      </c>
      <c r="E12" s="605" t="s">
        <v>1317</v>
      </c>
      <c r="F12" s="605"/>
      <c r="G12" s="402" t="s">
        <v>10</v>
      </c>
      <c r="H12" s="403">
        <v>1</v>
      </c>
      <c r="I12" s="403">
        <v>0</v>
      </c>
      <c r="J12" s="404">
        <v>180.52</v>
      </c>
      <c r="K12" s="404">
        <v>180.52</v>
      </c>
      <c r="L12" s="168"/>
    </row>
    <row r="13" spans="1:12" ht="14.25" customHeight="1" x14ac:dyDescent="0.3">
      <c r="A13" s="405"/>
      <c r="B13" s="405"/>
      <c r="C13" s="405"/>
      <c r="D13" s="405"/>
      <c r="E13" s="405" t="s">
        <v>1046</v>
      </c>
      <c r="F13" s="406">
        <v>27549.86</v>
      </c>
      <c r="G13" s="405" t="s">
        <v>1047</v>
      </c>
      <c r="H13" s="406">
        <v>0</v>
      </c>
      <c r="I13" s="405" t="s">
        <v>1048</v>
      </c>
      <c r="J13" s="406">
        <v>27549.86</v>
      </c>
      <c r="K13"/>
      <c r="L13" s="168"/>
    </row>
    <row r="14" spans="1:12" ht="17.399999999999999" customHeight="1" thickBot="1" x14ac:dyDescent="0.35">
      <c r="A14" s="405"/>
      <c r="B14" s="405"/>
      <c r="C14" s="405"/>
      <c r="D14" s="405"/>
      <c r="E14" s="405" t="s">
        <v>1049</v>
      </c>
      <c r="F14" s="406">
        <v>0</v>
      </c>
      <c r="G14" s="405"/>
      <c r="H14" s="606"/>
      <c r="I14" s="606" t="s">
        <v>1050</v>
      </c>
      <c r="J14" s="406">
        <v>28769.19</v>
      </c>
      <c r="K14"/>
      <c r="L14" s="168"/>
    </row>
    <row r="15" spans="1:12" ht="15" customHeight="1" thickTop="1" x14ac:dyDescent="0.3">
      <c r="A15" s="407"/>
      <c r="B15" s="407"/>
      <c r="C15" s="407"/>
      <c r="D15" s="407"/>
      <c r="E15" s="407"/>
      <c r="F15" s="407"/>
      <c r="G15" s="407"/>
      <c r="H15" s="407"/>
      <c r="I15" s="407"/>
      <c r="J15" s="407"/>
      <c r="K15" s="407"/>
      <c r="L15" s="166"/>
    </row>
    <row r="16" spans="1:12" ht="15" x14ac:dyDescent="0.3">
      <c r="A16" s="382" t="s">
        <v>604</v>
      </c>
      <c r="B16" s="312" t="s">
        <v>413</v>
      </c>
      <c r="C16" s="382" t="s">
        <v>414</v>
      </c>
      <c r="D16" s="382" t="s">
        <v>415</v>
      </c>
      <c r="E16" s="586" t="s">
        <v>1029</v>
      </c>
      <c r="F16" s="586"/>
      <c r="G16" s="383" t="s">
        <v>416</v>
      </c>
      <c r="H16" s="312" t="s">
        <v>1030</v>
      </c>
      <c r="I16" s="312" t="s">
        <v>3016</v>
      </c>
      <c r="J16" s="312" t="s">
        <v>1031</v>
      </c>
      <c r="K16" s="312" t="s">
        <v>1032</v>
      </c>
      <c r="L16" s="166"/>
    </row>
    <row r="17" spans="1:12" ht="12.75" customHeight="1" x14ac:dyDescent="0.3">
      <c r="A17" s="313" t="s">
        <v>1033</v>
      </c>
      <c r="B17" s="315" t="s">
        <v>9621</v>
      </c>
      <c r="C17" s="313" t="s">
        <v>439</v>
      </c>
      <c r="D17" s="313" t="s">
        <v>8371</v>
      </c>
      <c r="E17" s="603" t="s">
        <v>7770</v>
      </c>
      <c r="F17" s="603"/>
      <c r="G17" s="314" t="s">
        <v>2627</v>
      </c>
      <c r="H17" s="399">
        <v>1</v>
      </c>
      <c r="I17" s="316"/>
      <c r="J17" s="316">
        <v>24788.99</v>
      </c>
      <c r="K17" s="316">
        <v>24788.99</v>
      </c>
      <c r="L17" s="168"/>
    </row>
    <row r="18" spans="1:12" ht="25.5" customHeight="1" x14ac:dyDescent="0.3">
      <c r="A18" s="586" t="s">
        <v>3312</v>
      </c>
      <c r="B18" s="584" t="s">
        <v>413</v>
      </c>
      <c r="C18" s="586" t="s">
        <v>414</v>
      </c>
      <c r="D18" s="586" t="s">
        <v>7901</v>
      </c>
      <c r="E18" s="585" t="s">
        <v>7902</v>
      </c>
      <c r="F18" s="584"/>
      <c r="G18" s="585" t="s">
        <v>7903</v>
      </c>
      <c r="H18" s="584"/>
      <c r="I18" s="584" t="s">
        <v>7904</v>
      </c>
      <c r="J18" s="584" t="s">
        <v>7905</v>
      </c>
      <c r="K18"/>
      <c r="L18" s="168"/>
    </row>
    <row r="19" spans="1:12" ht="15" x14ac:dyDescent="0.3">
      <c r="A19" s="584"/>
      <c r="B19" s="584"/>
      <c r="C19" s="584"/>
      <c r="D19" s="584"/>
      <c r="E19" s="312" t="s">
        <v>4013</v>
      </c>
      <c r="F19" s="312" t="s">
        <v>4014</v>
      </c>
      <c r="G19" s="312" t="s">
        <v>4013</v>
      </c>
      <c r="H19" s="312" t="s">
        <v>4014</v>
      </c>
      <c r="I19" s="584"/>
      <c r="J19" s="584"/>
      <c r="K19"/>
      <c r="L19" s="168"/>
    </row>
    <row r="20" spans="1:12" ht="15" x14ac:dyDescent="0.3">
      <c r="A20" s="581"/>
      <c r="B20" s="581"/>
      <c r="C20" s="581"/>
      <c r="D20" s="581"/>
      <c r="E20" s="581"/>
      <c r="F20" s="581" t="s">
        <v>7906</v>
      </c>
      <c r="G20" s="581"/>
      <c r="H20" s="581"/>
      <c r="I20" s="581"/>
      <c r="J20" s="381">
        <v>0</v>
      </c>
      <c r="K20"/>
      <c r="L20" s="166"/>
    </row>
    <row r="21" spans="1:12" ht="15" x14ac:dyDescent="0.3">
      <c r="A21" s="382" t="s">
        <v>371</v>
      </c>
      <c r="B21" s="312" t="s">
        <v>413</v>
      </c>
      <c r="C21" s="382" t="s">
        <v>414</v>
      </c>
      <c r="D21" s="382" t="s">
        <v>1053</v>
      </c>
      <c r="E21" s="312"/>
      <c r="F21" s="584"/>
      <c r="G21" s="584" t="s">
        <v>7907</v>
      </c>
      <c r="H21" s="584" t="s">
        <v>7908</v>
      </c>
      <c r="I21" s="584" t="s">
        <v>7904</v>
      </c>
      <c r="J21" s="312" t="s">
        <v>7905</v>
      </c>
      <c r="K21"/>
      <c r="L21" s="166"/>
    </row>
    <row r="22" spans="1:12" ht="26.4" x14ac:dyDescent="0.3">
      <c r="A22" s="400" t="s">
        <v>1038</v>
      </c>
      <c r="B22" s="401" t="s">
        <v>9622</v>
      </c>
      <c r="C22" s="400" t="s">
        <v>439</v>
      </c>
      <c r="D22" s="400" t="s">
        <v>8632</v>
      </c>
      <c r="E22" s="403"/>
      <c r="F22" s="400"/>
      <c r="G22" s="400" t="s">
        <v>6</v>
      </c>
      <c r="H22" s="400">
        <v>23951.34</v>
      </c>
      <c r="I22" s="404">
        <v>1</v>
      </c>
      <c r="J22" s="404">
        <v>23951.34</v>
      </c>
      <c r="K22"/>
      <c r="L22" s="168"/>
    </row>
    <row r="23" spans="1:12" ht="15" x14ac:dyDescent="0.3">
      <c r="A23" s="581"/>
      <c r="B23" s="581"/>
      <c r="C23" s="581"/>
      <c r="D23" s="581"/>
      <c r="E23" s="581"/>
      <c r="F23" s="581" t="s">
        <v>7910</v>
      </c>
      <c r="G23" s="581"/>
      <c r="H23" s="581"/>
      <c r="I23" s="581"/>
      <c r="J23" s="381">
        <v>23951.34</v>
      </c>
      <c r="K23"/>
      <c r="L23" s="168"/>
    </row>
    <row r="24" spans="1:12" ht="15" customHeight="1" x14ac:dyDescent="0.3">
      <c r="A24" s="581"/>
      <c r="B24" s="581"/>
      <c r="C24" s="581"/>
      <c r="D24" s="581"/>
      <c r="E24" s="581"/>
      <c r="F24" s="581" t="s">
        <v>7911</v>
      </c>
      <c r="G24" s="581"/>
      <c r="H24" s="581"/>
      <c r="I24" s="581"/>
      <c r="J24" s="381">
        <v>23951.34</v>
      </c>
      <c r="K24"/>
      <c r="L24" s="168"/>
    </row>
    <row r="25" spans="1:12" ht="14.25" customHeight="1" x14ac:dyDescent="0.3">
      <c r="A25" s="581"/>
      <c r="B25" s="581"/>
      <c r="C25" s="581"/>
      <c r="D25" s="581"/>
      <c r="E25" s="581"/>
      <c r="F25" s="581" t="s">
        <v>7912</v>
      </c>
      <c r="G25" s="581"/>
      <c r="H25" s="581"/>
      <c r="I25" s="581"/>
      <c r="J25" s="381">
        <v>1</v>
      </c>
      <c r="K25"/>
      <c r="L25" s="166"/>
    </row>
    <row r="26" spans="1:12" ht="15" x14ac:dyDescent="0.3">
      <c r="A26" s="581"/>
      <c r="B26" s="581"/>
      <c r="C26" s="581"/>
      <c r="D26" s="581"/>
      <c r="E26" s="581"/>
      <c r="F26" s="581" t="s">
        <v>7913</v>
      </c>
      <c r="G26" s="581"/>
      <c r="H26" s="581"/>
      <c r="I26" s="581"/>
      <c r="J26" s="381">
        <v>23951.34</v>
      </c>
      <c r="K26"/>
      <c r="L26" s="166"/>
    </row>
    <row r="27" spans="1:12" ht="27.6" x14ac:dyDescent="0.3">
      <c r="A27" s="382" t="s">
        <v>7914</v>
      </c>
      <c r="B27" s="312" t="s">
        <v>414</v>
      </c>
      <c r="C27" s="382" t="s">
        <v>413</v>
      </c>
      <c r="D27" s="382" t="s">
        <v>1039</v>
      </c>
      <c r="E27" s="312"/>
      <c r="F27" s="312"/>
      <c r="G27" s="312" t="s">
        <v>7907</v>
      </c>
      <c r="H27" s="312" t="s">
        <v>7908</v>
      </c>
      <c r="I27" s="312" t="s">
        <v>1552</v>
      </c>
      <c r="J27" s="312" t="s">
        <v>7905</v>
      </c>
      <c r="K27"/>
      <c r="L27" s="168"/>
    </row>
    <row r="28" spans="1:12" ht="30" customHeight="1" x14ac:dyDescent="0.3">
      <c r="A28" s="400" t="s">
        <v>1038</v>
      </c>
      <c r="B28" s="401" t="s">
        <v>439</v>
      </c>
      <c r="C28" s="400" t="s">
        <v>9623</v>
      </c>
      <c r="D28" s="400" t="s">
        <v>9010</v>
      </c>
      <c r="E28" s="400"/>
      <c r="F28" s="400" t="s">
        <v>7916</v>
      </c>
      <c r="G28" s="402" t="s">
        <v>2627</v>
      </c>
      <c r="H28" s="404">
        <v>262.29000000000002</v>
      </c>
      <c r="I28" s="403">
        <v>1</v>
      </c>
      <c r="J28" s="404">
        <v>262.29000000000002</v>
      </c>
      <c r="K28"/>
      <c r="L28" s="168"/>
    </row>
    <row r="29" spans="1:12" ht="25.5" customHeight="1" x14ac:dyDescent="0.3">
      <c r="A29" s="400" t="s">
        <v>1038</v>
      </c>
      <c r="B29" s="401" t="s">
        <v>439</v>
      </c>
      <c r="C29" s="400" t="s">
        <v>9624</v>
      </c>
      <c r="D29" s="400" t="s">
        <v>9420</v>
      </c>
      <c r="E29" s="400"/>
      <c r="F29" s="400" t="s">
        <v>7916</v>
      </c>
      <c r="G29" s="402" t="s">
        <v>2627</v>
      </c>
      <c r="H29" s="404">
        <v>18.28</v>
      </c>
      <c r="I29" s="403">
        <v>1</v>
      </c>
      <c r="J29" s="404">
        <v>18.28</v>
      </c>
      <c r="K29"/>
      <c r="L29" s="168"/>
    </row>
    <row r="30" spans="1:12" ht="25.5" customHeight="1" x14ac:dyDescent="0.3">
      <c r="A30" s="400" t="s">
        <v>1038</v>
      </c>
      <c r="B30" s="401" t="s">
        <v>439</v>
      </c>
      <c r="C30" s="400" t="s">
        <v>9625</v>
      </c>
      <c r="D30" s="400" t="s">
        <v>8932</v>
      </c>
      <c r="E30" s="400"/>
      <c r="F30" s="400" t="s">
        <v>7916</v>
      </c>
      <c r="G30" s="402" t="s">
        <v>2627</v>
      </c>
      <c r="H30" s="404">
        <v>402.54</v>
      </c>
      <c r="I30" s="403">
        <v>1</v>
      </c>
      <c r="J30" s="404">
        <v>402.54</v>
      </c>
      <c r="K30"/>
      <c r="L30" s="168"/>
    </row>
    <row r="31" spans="1:12" ht="15" x14ac:dyDescent="0.3">
      <c r="A31" s="581"/>
      <c r="B31" s="581"/>
      <c r="C31" s="581"/>
      <c r="D31" s="581"/>
      <c r="E31" s="581"/>
      <c r="F31" s="581" t="s">
        <v>7920</v>
      </c>
      <c r="G31" s="581"/>
      <c r="H31" s="581"/>
      <c r="I31" s="581"/>
      <c r="J31" s="381">
        <v>683.11</v>
      </c>
      <c r="K31"/>
      <c r="L31" s="168"/>
    </row>
    <row r="32" spans="1:12" ht="27.6" x14ac:dyDescent="0.3">
      <c r="A32" s="382" t="s">
        <v>7921</v>
      </c>
      <c r="B32" s="312" t="s">
        <v>414</v>
      </c>
      <c r="C32" s="382" t="s">
        <v>413</v>
      </c>
      <c r="D32" s="382" t="s">
        <v>2381</v>
      </c>
      <c r="E32" s="312"/>
      <c r="F32" s="312"/>
      <c r="G32" s="312" t="s">
        <v>7907</v>
      </c>
      <c r="H32" s="312" t="s">
        <v>7908</v>
      </c>
      <c r="I32" s="312" t="s">
        <v>1552</v>
      </c>
      <c r="J32" s="312" t="s">
        <v>7905</v>
      </c>
      <c r="K32"/>
      <c r="L32" s="168"/>
    </row>
    <row r="33" spans="1:12" ht="15" customHeight="1" x14ac:dyDescent="0.3">
      <c r="A33" s="408" t="s">
        <v>7922</v>
      </c>
      <c r="B33" s="409" t="s">
        <v>439</v>
      </c>
      <c r="C33" s="408" t="s">
        <v>9626</v>
      </c>
      <c r="D33" s="408" t="s">
        <v>9627</v>
      </c>
      <c r="E33" s="408"/>
      <c r="F33" s="408" t="s">
        <v>7916</v>
      </c>
      <c r="G33" s="410" t="s">
        <v>2627</v>
      </c>
      <c r="H33" s="411">
        <v>149.43</v>
      </c>
      <c r="I33" s="412">
        <v>1</v>
      </c>
      <c r="J33" s="411">
        <v>149.43</v>
      </c>
      <c r="K33"/>
      <c r="L33" s="168"/>
    </row>
    <row r="34" spans="1:12" ht="39.6" x14ac:dyDescent="0.3">
      <c r="A34" s="408" t="s">
        <v>7922</v>
      </c>
      <c r="B34" s="409" t="s">
        <v>439</v>
      </c>
      <c r="C34" s="408" t="s">
        <v>9628</v>
      </c>
      <c r="D34" s="408" t="s">
        <v>9629</v>
      </c>
      <c r="E34" s="408"/>
      <c r="F34" s="408" t="s">
        <v>7916</v>
      </c>
      <c r="G34" s="410" t="s">
        <v>2627</v>
      </c>
      <c r="H34" s="411">
        <v>5.1100000000000003</v>
      </c>
      <c r="I34" s="412">
        <v>1</v>
      </c>
      <c r="J34" s="411">
        <v>5.1100000000000003</v>
      </c>
      <c r="K34"/>
      <c r="L34" s="168"/>
    </row>
    <row r="35" spans="1:12" ht="15" x14ac:dyDescent="0.3">
      <c r="A35" s="581"/>
      <c r="B35" s="581"/>
      <c r="C35" s="581"/>
      <c r="D35" s="581"/>
      <c r="E35" s="581"/>
      <c r="F35" s="581" t="s">
        <v>7929</v>
      </c>
      <c r="G35" s="581"/>
      <c r="H35" s="581"/>
      <c r="I35" s="581"/>
      <c r="J35" s="381">
        <v>154.54</v>
      </c>
      <c r="K35"/>
      <c r="L35" s="168"/>
    </row>
    <row r="36" spans="1:12" ht="27.6" x14ac:dyDescent="0.3">
      <c r="A36" s="382" t="s">
        <v>6</v>
      </c>
      <c r="B36" s="312" t="s">
        <v>414</v>
      </c>
      <c r="C36" s="382" t="s">
        <v>413</v>
      </c>
      <c r="D36" s="382" t="s">
        <v>7930</v>
      </c>
      <c r="E36" s="312" t="s">
        <v>7931</v>
      </c>
      <c r="F36" s="312" t="s">
        <v>7932</v>
      </c>
      <c r="G36" s="312" t="s">
        <v>7907</v>
      </c>
      <c r="H36" s="312" t="s">
        <v>7908</v>
      </c>
      <c r="I36" s="312" t="s">
        <v>1552</v>
      </c>
      <c r="J36" s="312" t="s">
        <v>7905</v>
      </c>
      <c r="K36"/>
      <c r="L36" s="168"/>
    </row>
    <row r="37" spans="1:12" ht="15" customHeight="1" x14ac:dyDescent="0.3">
      <c r="A37" s="581"/>
      <c r="B37" s="581"/>
      <c r="C37" s="581"/>
      <c r="D37" s="581"/>
      <c r="E37" s="581"/>
      <c r="F37" s="581" t="s">
        <v>7933</v>
      </c>
      <c r="G37" s="581"/>
      <c r="H37" s="581"/>
      <c r="I37" s="581"/>
      <c r="J37" s="381">
        <v>0</v>
      </c>
      <c r="K37"/>
      <c r="L37" s="168"/>
    </row>
    <row r="38" spans="1:12" ht="25.5" customHeight="1" x14ac:dyDescent="0.3">
      <c r="A38" s="405"/>
      <c r="B38" s="405"/>
      <c r="C38" s="405"/>
      <c r="D38" s="405"/>
      <c r="E38" s="405" t="s">
        <v>1046</v>
      </c>
      <c r="F38" s="406">
        <v>23951.34</v>
      </c>
      <c r="G38" s="405" t="s">
        <v>1047</v>
      </c>
      <c r="H38" s="406">
        <v>0</v>
      </c>
      <c r="I38" s="405" t="s">
        <v>1048</v>
      </c>
      <c r="J38" s="406">
        <v>23951.34</v>
      </c>
      <c r="K38"/>
      <c r="L38" s="168"/>
    </row>
    <row r="39" spans="1:12" ht="25.5" customHeight="1" thickBot="1" x14ac:dyDescent="0.35">
      <c r="A39" s="405"/>
      <c r="B39" s="405"/>
      <c r="C39" s="405"/>
      <c r="D39" s="405"/>
      <c r="E39" s="405" t="s">
        <v>1049</v>
      </c>
      <c r="F39" s="406">
        <v>0</v>
      </c>
      <c r="G39" s="405"/>
      <c r="H39" s="606"/>
      <c r="I39" s="606" t="s">
        <v>1050</v>
      </c>
      <c r="J39" s="406">
        <v>24788.99</v>
      </c>
      <c r="K39"/>
      <c r="L39" s="168"/>
    </row>
    <row r="40" spans="1:12" ht="15" customHeight="1" thickTop="1" x14ac:dyDescent="0.3">
      <c r="A40" s="407"/>
      <c r="B40" s="407"/>
      <c r="C40" s="407"/>
      <c r="D40" s="407"/>
      <c r="E40" s="407"/>
      <c r="F40" s="407"/>
      <c r="G40" s="407"/>
      <c r="H40" s="407"/>
      <c r="I40" s="407"/>
      <c r="J40" s="407"/>
      <c r="K40" s="407"/>
      <c r="L40" s="168"/>
    </row>
    <row r="41" spans="1:12" ht="12.75" customHeight="1" x14ac:dyDescent="0.3">
      <c r="A41" s="382" t="s">
        <v>605</v>
      </c>
      <c r="B41" s="312" t="s">
        <v>413</v>
      </c>
      <c r="C41" s="382" t="s">
        <v>414</v>
      </c>
      <c r="D41" s="382" t="s">
        <v>415</v>
      </c>
      <c r="E41" s="586" t="s">
        <v>1029</v>
      </c>
      <c r="F41" s="586"/>
      <c r="G41" s="383" t="s">
        <v>416</v>
      </c>
      <c r="H41" s="312" t="s">
        <v>1030</v>
      </c>
      <c r="I41" s="312" t="s">
        <v>3016</v>
      </c>
      <c r="J41" s="312" t="s">
        <v>1031</v>
      </c>
      <c r="K41" s="312" t="s">
        <v>1032</v>
      </c>
      <c r="L41" s="168"/>
    </row>
    <row r="42" spans="1:12" ht="15" customHeight="1" x14ac:dyDescent="0.3">
      <c r="A42" s="313" t="s">
        <v>1033</v>
      </c>
      <c r="B42" s="315" t="s">
        <v>3767</v>
      </c>
      <c r="C42" s="313" t="s">
        <v>395</v>
      </c>
      <c r="D42" s="313" t="s">
        <v>297</v>
      </c>
      <c r="E42" s="603" t="s">
        <v>7768</v>
      </c>
      <c r="F42" s="603"/>
      <c r="G42" s="314" t="s">
        <v>10</v>
      </c>
      <c r="H42" s="399">
        <v>1</v>
      </c>
      <c r="I42" s="316"/>
      <c r="J42" s="316">
        <v>8554.41</v>
      </c>
      <c r="K42" s="316">
        <v>8554.41</v>
      </c>
      <c r="L42" s="168"/>
    </row>
    <row r="43" spans="1:12" ht="26.4" x14ac:dyDescent="0.3">
      <c r="A43" s="400" t="s">
        <v>1038</v>
      </c>
      <c r="B43" s="401" t="s">
        <v>6169</v>
      </c>
      <c r="C43" s="400" t="s">
        <v>395</v>
      </c>
      <c r="D43" s="400" t="s">
        <v>6170</v>
      </c>
      <c r="E43" s="605" t="s">
        <v>6126</v>
      </c>
      <c r="F43" s="605"/>
      <c r="G43" s="402" t="s">
        <v>10</v>
      </c>
      <c r="H43" s="403">
        <v>1</v>
      </c>
      <c r="I43" s="403">
        <v>0</v>
      </c>
      <c r="J43" s="404">
        <v>289.5</v>
      </c>
      <c r="K43" s="404">
        <v>289.5</v>
      </c>
      <c r="L43" s="166"/>
    </row>
    <row r="44" spans="1:12" ht="26.4" x14ac:dyDescent="0.3">
      <c r="A44" s="400" t="s">
        <v>1038</v>
      </c>
      <c r="B44" s="401" t="s">
        <v>6124</v>
      </c>
      <c r="C44" s="400" t="s">
        <v>395</v>
      </c>
      <c r="D44" s="400" t="s">
        <v>6125</v>
      </c>
      <c r="E44" s="605" t="s">
        <v>6126</v>
      </c>
      <c r="F44" s="605"/>
      <c r="G44" s="402" t="s">
        <v>10</v>
      </c>
      <c r="H44" s="403">
        <v>1</v>
      </c>
      <c r="I44" s="403">
        <v>0</v>
      </c>
      <c r="J44" s="404">
        <v>806.06</v>
      </c>
      <c r="K44" s="404">
        <v>806.06</v>
      </c>
      <c r="L44" s="168"/>
    </row>
    <row r="45" spans="1:12" ht="15" x14ac:dyDescent="0.3">
      <c r="A45" s="400" t="s">
        <v>1038</v>
      </c>
      <c r="B45" s="401" t="s">
        <v>4061</v>
      </c>
      <c r="C45" s="400" t="s">
        <v>395</v>
      </c>
      <c r="D45" s="400" t="s">
        <v>4062</v>
      </c>
      <c r="E45" s="605" t="s">
        <v>1039</v>
      </c>
      <c r="F45" s="605"/>
      <c r="G45" s="402" t="s">
        <v>10</v>
      </c>
      <c r="H45" s="403">
        <v>1</v>
      </c>
      <c r="I45" s="403">
        <v>0</v>
      </c>
      <c r="J45" s="404">
        <v>210.14</v>
      </c>
      <c r="K45" s="404">
        <v>210.14</v>
      </c>
      <c r="L45" s="168"/>
    </row>
    <row r="46" spans="1:12" ht="15" customHeight="1" x14ac:dyDescent="0.3">
      <c r="A46" s="400" t="s">
        <v>1038</v>
      </c>
      <c r="B46" s="401" t="s">
        <v>4222</v>
      </c>
      <c r="C46" s="400" t="s">
        <v>395</v>
      </c>
      <c r="D46" s="400" t="s">
        <v>4223</v>
      </c>
      <c r="E46" s="605" t="s">
        <v>1039</v>
      </c>
      <c r="F46" s="605"/>
      <c r="G46" s="402" t="s">
        <v>10</v>
      </c>
      <c r="H46" s="403">
        <v>1</v>
      </c>
      <c r="I46" s="403">
        <v>0</v>
      </c>
      <c r="J46" s="404">
        <v>18.28</v>
      </c>
      <c r="K46" s="404">
        <v>18.28</v>
      </c>
      <c r="L46" s="168"/>
    </row>
    <row r="47" spans="1:12" ht="25.5" customHeight="1" x14ac:dyDescent="0.3">
      <c r="A47" s="400" t="s">
        <v>1038</v>
      </c>
      <c r="B47" s="401" t="s">
        <v>4024</v>
      </c>
      <c r="C47" s="400" t="s">
        <v>395</v>
      </c>
      <c r="D47" s="400" t="s">
        <v>4025</v>
      </c>
      <c r="E47" s="605" t="s">
        <v>1053</v>
      </c>
      <c r="F47" s="605"/>
      <c r="G47" s="402" t="s">
        <v>10</v>
      </c>
      <c r="H47" s="403">
        <v>1</v>
      </c>
      <c r="I47" s="403">
        <v>0</v>
      </c>
      <c r="J47" s="404">
        <v>7045.58</v>
      </c>
      <c r="K47" s="404">
        <v>7045.58</v>
      </c>
      <c r="L47" s="168"/>
    </row>
    <row r="48" spans="1:12" ht="26.4" x14ac:dyDescent="0.3">
      <c r="A48" s="400" t="s">
        <v>1038</v>
      </c>
      <c r="B48" s="401" t="s">
        <v>4821</v>
      </c>
      <c r="C48" s="400" t="s">
        <v>395</v>
      </c>
      <c r="D48" s="400" t="s">
        <v>4822</v>
      </c>
      <c r="E48" s="605" t="s">
        <v>1317</v>
      </c>
      <c r="F48" s="605"/>
      <c r="G48" s="402" t="s">
        <v>10</v>
      </c>
      <c r="H48" s="403">
        <v>1</v>
      </c>
      <c r="I48" s="403">
        <v>0</v>
      </c>
      <c r="J48" s="404">
        <v>4.33</v>
      </c>
      <c r="K48" s="404">
        <v>4.33</v>
      </c>
      <c r="L48" s="166"/>
    </row>
    <row r="49" spans="1:12" ht="14.25" customHeight="1" x14ac:dyDescent="0.3">
      <c r="A49" s="400" t="s">
        <v>1038</v>
      </c>
      <c r="B49" s="401" t="s">
        <v>4137</v>
      </c>
      <c r="C49" s="400" t="s">
        <v>395</v>
      </c>
      <c r="D49" s="400" t="s">
        <v>4138</v>
      </c>
      <c r="E49" s="605" t="s">
        <v>1317</v>
      </c>
      <c r="F49" s="605"/>
      <c r="G49" s="402" t="s">
        <v>10</v>
      </c>
      <c r="H49" s="403">
        <v>1</v>
      </c>
      <c r="I49" s="403">
        <v>0</v>
      </c>
      <c r="J49" s="404">
        <v>180.52</v>
      </c>
      <c r="K49" s="404">
        <v>180.52</v>
      </c>
      <c r="L49" s="168"/>
    </row>
    <row r="50" spans="1:12" ht="15" customHeight="1" x14ac:dyDescent="0.3">
      <c r="A50" s="405"/>
      <c r="B50" s="405"/>
      <c r="C50" s="405"/>
      <c r="D50" s="405"/>
      <c r="E50" s="405" t="s">
        <v>1046</v>
      </c>
      <c r="F50" s="406">
        <v>7045.58</v>
      </c>
      <c r="G50" s="405" t="s">
        <v>1047</v>
      </c>
      <c r="H50" s="406">
        <v>0</v>
      </c>
      <c r="I50" s="405" t="s">
        <v>1048</v>
      </c>
      <c r="J50" s="406">
        <v>7045.58</v>
      </c>
      <c r="K50"/>
      <c r="L50" s="168"/>
    </row>
    <row r="51" spans="1:12" ht="15.6" thickBot="1" x14ac:dyDescent="0.35">
      <c r="A51" s="405"/>
      <c r="B51" s="405"/>
      <c r="C51" s="405"/>
      <c r="D51" s="405"/>
      <c r="E51" s="405" t="s">
        <v>1049</v>
      </c>
      <c r="F51" s="406">
        <v>0</v>
      </c>
      <c r="G51" s="405"/>
      <c r="H51" s="606"/>
      <c r="I51" s="606" t="s">
        <v>1050</v>
      </c>
      <c r="J51" s="406">
        <v>8554.41</v>
      </c>
      <c r="K51"/>
      <c r="L51" s="168"/>
    </row>
    <row r="52" spans="1:12" ht="15" customHeight="1" thickTop="1" x14ac:dyDescent="0.3">
      <c r="A52" s="407"/>
      <c r="B52" s="407"/>
      <c r="C52" s="407"/>
      <c r="D52" s="407"/>
      <c r="E52" s="407"/>
      <c r="F52" s="407"/>
      <c r="G52" s="407"/>
      <c r="H52" s="407"/>
      <c r="I52" s="407"/>
      <c r="J52" s="407"/>
      <c r="K52" s="407"/>
      <c r="L52" s="168"/>
    </row>
    <row r="53" spans="1:12" ht="12.75" customHeight="1" x14ac:dyDescent="0.3">
      <c r="A53" s="382" t="s">
        <v>606</v>
      </c>
      <c r="B53" s="312" t="s">
        <v>413</v>
      </c>
      <c r="C53" s="382" t="s">
        <v>414</v>
      </c>
      <c r="D53" s="382" t="s">
        <v>415</v>
      </c>
      <c r="E53" s="586" t="s">
        <v>1029</v>
      </c>
      <c r="F53" s="586"/>
      <c r="G53" s="383" t="s">
        <v>416</v>
      </c>
      <c r="H53" s="312" t="s">
        <v>1030</v>
      </c>
      <c r="I53" s="312" t="s">
        <v>3016</v>
      </c>
      <c r="J53" s="312" t="s">
        <v>1031</v>
      </c>
      <c r="K53" s="312" t="s">
        <v>1032</v>
      </c>
      <c r="L53" s="168"/>
    </row>
    <row r="54" spans="1:12" ht="15" customHeight="1" x14ac:dyDescent="0.3">
      <c r="A54" s="313" t="s">
        <v>1033</v>
      </c>
      <c r="B54" s="315" t="s">
        <v>3768</v>
      </c>
      <c r="C54" s="313" t="s">
        <v>395</v>
      </c>
      <c r="D54" s="313" t="s">
        <v>229</v>
      </c>
      <c r="E54" s="603" t="s">
        <v>7768</v>
      </c>
      <c r="F54" s="603"/>
      <c r="G54" s="314" t="s">
        <v>10</v>
      </c>
      <c r="H54" s="399">
        <v>1</v>
      </c>
      <c r="I54" s="316"/>
      <c r="J54" s="316">
        <v>5464.76</v>
      </c>
      <c r="K54" s="316">
        <v>5464.76</v>
      </c>
      <c r="L54" s="168"/>
    </row>
    <row r="55" spans="1:12" ht="25.5" customHeight="1" x14ac:dyDescent="0.3">
      <c r="A55" s="400" t="s">
        <v>1038</v>
      </c>
      <c r="B55" s="401" t="s">
        <v>6169</v>
      </c>
      <c r="C55" s="400" t="s">
        <v>395</v>
      </c>
      <c r="D55" s="400" t="s">
        <v>6170</v>
      </c>
      <c r="E55" s="605" t="s">
        <v>6126</v>
      </c>
      <c r="F55" s="605"/>
      <c r="G55" s="402" t="s">
        <v>10</v>
      </c>
      <c r="H55" s="403">
        <v>1</v>
      </c>
      <c r="I55" s="403">
        <v>0</v>
      </c>
      <c r="J55" s="404">
        <v>289.5</v>
      </c>
      <c r="K55" s="404">
        <v>289.5</v>
      </c>
      <c r="L55" s="168"/>
    </row>
    <row r="56" spans="1:12" ht="25.5" customHeight="1" x14ac:dyDescent="0.3">
      <c r="A56" s="400" t="s">
        <v>1038</v>
      </c>
      <c r="B56" s="401" t="s">
        <v>6124</v>
      </c>
      <c r="C56" s="400" t="s">
        <v>395</v>
      </c>
      <c r="D56" s="400" t="s">
        <v>6125</v>
      </c>
      <c r="E56" s="605" t="s">
        <v>6126</v>
      </c>
      <c r="F56" s="605"/>
      <c r="G56" s="402" t="s">
        <v>10</v>
      </c>
      <c r="H56" s="403">
        <v>1</v>
      </c>
      <c r="I56" s="403">
        <v>0</v>
      </c>
      <c r="J56" s="404">
        <v>806.06</v>
      </c>
      <c r="K56" s="404">
        <v>806.06</v>
      </c>
      <c r="L56" s="168"/>
    </row>
    <row r="57" spans="1:12" ht="15" x14ac:dyDescent="0.3">
      <c r="A57" s="400" t="s">
        <v>1038</v>
      </c>
      <c r="B57" s="401" t="s">
        <v>4061</v>
      </c>
      <c r="C57" s="400" t="s">
        <v>395</v>
      </c>
      <c r="D57" s="400" t="s">
        <v>4062</v>
      </c>
      <c r="E57" s="605" t="s">
        <v>1039</v>
      </c>
      <c r="F57" s="605"/>
      <c r="G57" s="402" t="s">
        <v>10</v>
      </c>
      <c r="H57" s="403">
        <v>1</v>
      </c>
      <c r="I57" s="403">
        <v>0</v>
      </c>
      <c r="J57" s="404">
        <v>210.14</v>
      </c>
      <c r="K57" s="404">
        <v>210.14</v>
      </c>
      <c r="L57" s="166"/>
    </row>
    <row r="58" spans="1:12" ht="15" x14ac:dyDescent="0.3">
      <c r="A58" s="400" t="s">
        <v>1038</v>
      </c>
      <c r="B58" s="401" t="s">
        <v>4222</v>
      </c>
      <c r="C58" s="400" t="s">
        <v>395</v>
      </c>
      <c r="D58" s="400" t="s">
        <v>4223</v>
      </c>
      <c r="E58" s="605" t="s">
        <v>1039</v>
      </c>
      <c r="F58" s="605"/>
      <c r="G58" s="402" t="s">
        <v>10</v>
      </c>
      <c r="H58" s="403">
        <v>1</v>
      </c>
      <c r="I58" s="403">
        <v>0</v>
      </c>
      <c r="J58" s="404">
        <v>18.28</v>
      </c>
      <c r="K58" s="404">
        <v>18.28</v>
      </c>
      <c r="L58" s="168"/>
    </row>
    <row r="59" spans="1:12" ht="15" customHeight="1" x14ac:dyDescent="0.3">
      <c r="A59" s="400" t="s">
        <v>1038</v>
      </c>
      <c r="B59" s="401" t="s">
        <v>4026</v>
      </c>
      <c r="C59" s="400" t="s">
        <v>395</v>
      </c>
      <c r="D59" s="400" t="s">
        <v>4027</v>
      </c>
      <c r="E59" s="605" t="s">
        <v>1053</v>
      </c>
      <c r="F59" s="605"/>
      <c r="G59" s="402" t="s">
        <v>10</v>
      </c>
      <c r="H59" s="403">
        <v>1</v>
      </c>
      <c r="I59" s="403">
        <v>0</v>
      </c>
      <c r="J59" s="404">
        <v>3984.31</v>
      </c>
      <c r="K59" s="404">
        <v>3984.31</v>
      </c>
      <c r="L59" s="168"/>
    </row>
    <row r="60" spans="1:12" ht="26.4" x14ac:dyDescent="0.4">
      <c r="A60" s="400" t="s">
        <v>1038</v>
      </c>
      <c r="B60" s="401" t="s">
        <v>4461</v>
      </c>
      <c r="C60" s="400" t="s">
        <v>395</v>
      </c>
      <c r="D60" s="400" t="s">
        <v>4462</v>
      </c>
      <c r="E60" s="605" t="s">
        <v>1317</v>
      </c>
      <c r="F60" s="605"/>
      <c r="G60" s="402" t="s">
        <v>10</v>
      </c>
      <c r="H60" s="403">
        <v>1</v>
      </c>
      <c r="I60" s="403">
        <v>0</v>
      </c>
      <c r="J60" s="404">
        <v>9.52</v>
      </c>
      <c r="K60" s="404">
        <v>9.52</v>
      </c>
      <c r="L60" s="160"/>
    </row>
    <row r="61" spans="1:12" ht="14.25" customHeight="1" x14ac:dyDescent="0.3">
      <c r="A61" s="400" t="s">
        <v>1038</v>
      </c>
      <c r="B61" s="401" t="s">
        <v>4110</v>
      </c>
      <c r="C61" s="400" t="s">
        <v>395</v>
      </c>
      <c r="D61" s="400" t="s">
        <v>4111</v>
      </c>
      <c r="E61" s="605" t="s">
        <v>1317</v>
      </c>
      <c r="F61" s="605"/>
      <c r="G61" s="402" t="s">
        <v>10</v>
      </c>
      <c r="H61" s="403">
        <v>1</v>
      </c>
      <c r="I61" s="403">
        <v>0</v>
      </c>
      <c r="J61" s="404">
        <v>146.94999999999999</v>
      </c>
      <c r="K61" s="404">
        <v>146.94999999999999</v>
      </c>
      <c r="L61" s="168"/>
    </row>
    <row r="62" spans="1:12" ht="15" x14ac:dyDescent="0.3">
      <c r="A62" s="405"/>
      <c r="B62" s="405"/>
      <c r="C62" s="405"/>
      <c r="D62" s="405"/>
      <c r="E62" s="405" t="s">
        <v>1046</v>
      </c>
      <c r="F62" s="406">
        <v>3984.31</v>
      </c>
      <c r="G62" s="405" t="s">
        <v>1047</v>
      </c>
      <c r="H62" s="406">
        <v>0</v>
      </c>
      <c r="I62" s="405" t="s">
        <v>1048</v>
      </c>
      <c r="J62" s="406">
        <v>3984.31</v>
      </c>
      <c r="K62"/>
      <c r="L62" s="168"/>
    </row>
    <row r="63" spans="1:12" ht="15" customHeight="1" thickBot="1" x14ac:dyDescent="0.35">
      <c r="A63" s="405"/>
      <c r="B63" s="405"/>
      <c r="C63" s="405"/>
      <c r="D63" s="405"/>
      <c r="E63" s="405" t="s">
        <v>1049</v>
      </c>
      <c r="F63" s="406">
        <v>0</v>
      </c>
      <c r="G63" s="405"/>
      <c r="H63" s="606"/>
      <c r="I63" s="606" t="s">
        <v>1050</v>
      </c>
      <c r="J63" s="406">
        <v>5464.76</v>
      </c>
      <c r="K63"/>
      <c r="L63" s="168"/>
    </row>
    <row r="64" spans="1:12" ht="25.5" customHeight="1" thickTop="1" x14ac:dyDescent="0.3">
      <c r="A64" s="407"/>
      <c r="B64" s="407"/>
      <c r="C64" s="407"/>
      <c r="D64" s="407"/>
      <c r="E64" s="407"/>
      <c r="F64" s="407"/>
      <c r="G64" s="407"/>
      <c r="H64" s="407"/>
      <c r="I64" s="407"/>
      <c r="J64" s="407"/>
      <c r="K64" s="407"/>
      <c r="L64" s="168"/>
    </row>
    <row r="65" spans="1:12" ht="25.5" customHeight="1" x14ac:dyDescent="0.3">
      <c r="A65" s="382" t="s">
        <v>607</v>
      </c>
      <c r="B65" s="312" t="s">
        <v>413</v>
      </c>
      <c r="C65" s="382" t="s">
        <v>414</v>
      </c>
      <c r="D65" s="382" t="s">
        <v>415</v>
      </c>
      <c r="E65" s="586" t="s">
        <v>1029</v>
      </c>
      <c r="F65" s="586"/>
      <c r="G65" s="383" t="s">
        <v>416</v>
      </c>
      <c r="H65" s="312" t="s">
        <v>1030</v>
      </c>
      <c r="I65" s="312" t="s">
        <v>3016</v>
      </c>
      <c r="J65" s="312" t="s">
        <v>1031</v>
      </c>
      <c r="K65" s="312" t="s">
        <v>1032</v>
      </c>
      <c r="L65" s="168"/>
    </row>
    <row r="66" spans="1:12" ht="25.5" customHeight="1" x14ac:dyDescent="0.3">
      <c r="A66" s="313" t="s">
        <v>1033</v>
      </c>
      <c r="B66" s="315" t="s">
        <v>3769</v>
      </c>
      <c r="C66" s="313" t="s">
        <v>395</v>
      </c>
      <c r="D66" s="313" t="s">
        <v>157</v>
      </c>
      <c r="E66" s="603" t="s">
        <v>7768</v>
      </c>
      <c r="F66" s="603"/>
      <c r="G66" s="314" t="s">
        <v>10</v>
      </c>
      <c r="H66" s="399">
        <v>1</v>
      </c>
      <c r="I66" s="316"/>
      <c r="J66" s="316">
        <v>13625.29</v>
      </c>
      <c r="K66" s="316">
        <v>13625.29</v>
      </c>
      <c r="L66" s="168"/>
    </row>
    <row r="67" spans="1:12" ht="15" x14ac:dyDescent="0.3">
      <c r="A67" s="400" t="s">
        <v>1038</v>
      </c>
      <c r="B67" s="401" t="s">
        <v>4018</v>
      </c>
      <c r="C67" s="400" t="s">
        <v>395</v>
      </c>
      <c r="D67" s="400" t="s">
        <v>4019</v>
      </c>
      <c r="E67" s="605" t="s">
        <v>1053</v>
      </c>
      <c r="F67" s="605"/>
      <c r="G67" s="402" t="s">
        <v>10</v>
      </c>
      <c r="H67" s="403">
        <v>1</v>
      </c>
      <c r="I67" s="403">
        <v>0</v>
      </c>
      <c r="J67" s="404">
        <v>12031.26</v>
      </c>
      <c r="K67" s="404">
        <v>12031.26</v>
      </c>
      <c r="L67" s="168"/>
    </row>
    <row r="68" spans="1:12" ht="26.4" x14ac:dyDescent="0.3">
      <c r="A68" s="400" t="s">
        <v>1038</v>
      </c>
      <c r="B68" s="401" t="s">
        <v>6169</v>
      </c>
      <c r="C68" s="400" t="s">
        <v>395</v>
      </c>
      <c r="D68" s="400" t="s">
        <v>6170</v>
      </c>
      <c r="E68" s="605" t="s">
        <v>6126</v>
      </c>
      <c r="F68" s="605"/>
      <c r="G68" s="402" t="s">
        <v>10</v>
      </c>
      <c r="H68" s="403">
        <v>1</v>
      </c>
      <c r="I68" s="403">
        <v>0</v>
      </c>
      <c r="J68" s="404">
        <v>289.5</v>
      </c>
      <c r="K68" s="404">
        <v>289.5</v>
      </c>
      <c r="L68" s="168"/>
    </row>
    <row r="69" spans="1:12" ht="26.4" x14ac:dyDescent="0.3">
      <c r="A69" s="400" t="s">
        <v>1038</v>
      </c>
      <c r="B69" s="401" t="s">
        <v>6124</v>
      </c>
      <c r="C69" s="400" t="s">
        <v>395</v>
      </c>
      <c r="D69" s="400" t="s">
        <v>6125</v>
      </c>
      <c r="E69" s="605" t="s">
        <v>6126</v>
      </c>
      <c r="F69" s="605"/>
      <c r="G69" s="402" t="s">
        <v>10</v>
      </c>
      <c r="H69" s="403">
        <v>1</v>
      </c>
      <c r="I69" s="403">
        <v>0</v>
      </c>
      <c r="J69" s="404">
        <v>806.06</v>
      </c>
      <c r="K69" s="404">
        <v>806.06</v>
      </c>
      <c r="L69" s="166"/>
    </row>
    <row r="70" spans="1:12" ht="15" customHeight="1" x14ac:dyDescent="0.3">
      <c r="A70" s="400" t="s">
        <v>1038</v>
      </c>
      <c r="B70" s="401" t="s">
        <v>4061</v>
      </c>
      <c r="C70" s="400" t="s">
        <v>395</v>
      </c>
      <c r="D70" s="400" t="s">
        <v>4062</v>
      </c>
      <c r="E70" s="605" t="s">
        <v>1039</v>
      </c>
      <c r="F70" s="605"/>
      <c r="G70" s="402" t="s">
        <v>10</v>
      </c>
      <c r="H70" s="403">
        <v>1</v>
      </c>
      <c r="I70" s="403">
        <v>0</v>
      </c>
      <c r="J70" s="404">
        <v>210.14</v>
      </c>
      <c r="K70" s="404">
        <v>210.14</v>
      </c>
      <c r="L70" s="168"/>
    </row>
    <row r="71" spans="1:12" ht="15" x14ac:dyDescent="0.3">
      <c r="A71" s="400" t="s">
        <v>1038</v>
      </c>
      <c r="B71" s="401" t="s">
        <v>4222</v>
      </c>
      <c r="C71" s="400" t="s">
        <v>395</v>
      </c>
      <c r="D71" s="400" t="s">
        <v>4223</v>
      </c>
      <c r="E71" s="605" t="s">
        <v>1039</v>
      </c>
      <c r="F71" s="605"/>
      <c r="G71" s="402" t="s">
        <v>10</v>
      </c>
      <c r="H71" s="403">
        <v>1</v>
      </c>
      <c r="I71" s="403">
        <v>0</v>
      </c>
      <c r="J71" s="404">
        <v>18.28</v>
      </c>
      <c r="K71" s="404">
        <v>18.28</v>
      </c>
      <c r="L71" s="168"/>
    </row>
    <row r="72" spans="1:12" ht="26.4" x14ac:dyDescent="0.3">
      <c r="A72" s="400" t="s">
        <v>1038</v>
      </c>
      <c r="B72" s="401" t="s">
        <v>4457</v>
      </c>
      <c r="C72" s="400" t="s">
        <v>395</v>
      </c>
      <c r="D72" s="400" t="s">
        <v>4458</v>
      </c>
      <c r="E72" s="605" t="s">
        <v>1317</v>
      </c>
      <c r="F72" s="605"/>
      <c r="G72" s="402" t="s">
        <v>10</v>
      </c>
      <c r="H72" s="403">
        <v>1</v>
      </c>
      <c r="I72" s="403">
        <v>0</v>
      </c>
      <c r="J72" s="404">
        <v>19.29</v>
      </c>
      <c r="K72" s="404">
        <v>19.29</v>
      </c>
      <c r="L72" s="168"/>
    </row>
    <row r="73" spans="1:12" ht="14.25" customHeight="1" x14ac:dyDescent="0.3">
      <c r="A73" s="400" t="s">
        <v>1038</v>
      </c>
      <c r="B73" s="401" t="s">
        <v>4125</v>
      </c>
      <c r="C73" s="400" t="s">
        <v>395</v>
      </c>
      <c r="D73" s="400" t="s">
        <v>4126</v>
      </c>
      <c r="E73" s="605" t="s">
        <v>1317</v>
      </c>
      <c r="F73" s="605"/>
      <c r="G73" s="402" t="s">
        <v>10</v>
      </c>
      <c r="H73" s="403">
        <v>1</v>
      </c>
      <c r="I73" s="403">
        <v>0</v>
      </c>
      <c r="J73" s="404">
        <v>250.76</v>
      </c>
      <c r="K73" s="404">
        <v>250.76</v>
      </c>
      <c r="L73" s="168"/>
    </row>
    <row r="74" spans="1:12" ht="15" x14ac:dyDescent="0.3">
      <c r="A74" s="405"/>
      <c r="B74" s="405"/>
      <c r="C74" s="405"/>
      <c r="D74" s="405"/>
      <c r="E74" s="405" t="s">
        <v>1046</v>
      </c>
      <c r="F74" s="406">
        <v>12031.26</v>
      </c>
      <c r="G74" s="405" t="s">
        <v>1047</v>
      </c>
      <c r="H74" s="406">
        <v>0</v>
      </c>
      <c r="I74" s="405" t="s">
        <v>1048</v>
      </c>
      <c r="J74" s="406">
        <v>12031.26</v>
      </c>
      <c r="K74"/>
      <c r="L74" s="168"/>
    </row>
    <row r="75" spans="1:12" ht="15.6" thickBot="1" x14ac:dyDescent="0.35">
      <c r="A75" s="405"/>
      <c r="B75" s="405"/>
      <c r="C75" s="405"/>
      <c r="D75" s="405"/>
      <c r="E75" s="405" t="s">
        <v>1049</v>
      </c>
      <c r="F75" s="406">
        <v>0</v>
      </c>
      <c r="G75" s="405"/>
      <c r="H75" s="606"/>
      <c r="I75" s="606" t="s">
        <v>1050</v>
      </c>
      <c r="J75" s="406">
        <v>13625.29</v>
      </c>
      <c r="K75"/>
      <c r="L75" s="168"/>
    </row>
    <row r="76" spans="1:12" ht="30" customHeight="1" thickTop="1" x14ac:dyDescent="0.3">
      <c r="A76" s="407"/>
      <c r="B76" s="407"/>
      <c r="C76" s="407"/>
      <c r="D76" s="407"/>
      <c r="E76" s="407"/>
      <c r="F76" s="407"/>
      <c r="G76" s="407"/>
      <c r="H76" s="407"/>
      <c r="I76" s="407"/>
      <c r="J76" s="407"/>
      <c r="K76" s="407"/>
      <c r="L76" s="168"/>
    </row>
    <row r="77" spans="1:12" ht="25.5" customHeight="1" x14ac:dyDescent="0.3">
      <c r="A77" s="382" t="s">
        <v>608</v>
      </c>
      <c r="B77" s="312" t="s">
        <v>413</v>
      </c>
      <c r="C77" s="382" t="s">
        <v>414</v>
      </c>
      <c r="D77" s="382" t="s">
        <v>415</v>
      </c>
      <c r="E77" s="586" t="s">
        <v>1029</v>
      </c>
      <c r="F77" s="586"/>
      <c r="G77" s="383" t="s">
        <v>416</v>
      </c>
      <c r="H77" s="312" t="s">
        <v>1030</v>
      </c>
      <c r="I77" s="312" t="s">
        <v>3016</v>
      </c>
      <c r="J77" s="312" t="s">
        <v>1031</v>
      </c>
      <c r="K77" s="312" t="s">
        <v>1032</v>
      </c>
      <c r="L77" s="168"/>
    </row>
    <row r="78" spans="1:12" ht="25.5" customHeight="1" x14ac:dyDescent="0.3">
      <c r="A78" s="313" t="s">
        <v>1033</v>
      </c>
      <c r="B78" s="315" t="s">
        <v>3770</v>
      </c>
      <c r="C78" s="313" t="s">
        <v>395</v>
      </c>
      <c r="D78" s="313" t="s">
        <v>159</v>
      </c>
      <c r="E78" s="603" t="s">
        <v>7768</v>
      </c>
      <c r="F78" s="603"/>
      <c r="G78" s="314" t="s">
        <v>10</v>
      </c>
      <c r="H78" s="399">
        <v>1</v>
      </c>
      <c r="I78" s="316"/>
      <c r="J78" s="316">
        <v>10350.52</v>
      </c>
      <c r="K78" s="316">
        <v>10350.52</v>
      </c>
      <c r="L78" s="168"/>
    </row>
    <row r="79" spans="1:12" ht="15" x14ac:dyDescent="0.3">
      <c r="A79" s="400" t="s">
        <v>1038</v>
      </c>
      <c r="B79" s="401" t="s">
        <v>4022</v>
      </c>
      <c r="C79" s="400" t="s">
        <v>395</v>
      </c>
      <c r="D79" s="400" t="s">
        <v>4023</v>
      </c>
      <c r="E79" s="605" t="s">
        <v>1053</v>
      </c>
      <c r="F79" s="605"/>
      <c r="G79" s="402" t="s">
        <v>10</v>
      </c>
      <c r="H79" s="403">
        <v>1</v>
      </c>
      <c r="I79" s="403">
        <v>0</v>
      </c>
      <c r="J79" s="404">
        <v>8756.49</v>
      </c>
      <c r="K79" s="404">
        <v>8756.49</v>
      </c>
      <c r="L79" s="168"/>
    </row>
    <row r="80" spans="1:12" ht="15" customHeight="1" x14ac:dyDescent="0.3">
      <c r="A80" s="400" t="s">
        <v>1038</v>
      </c>
      <c r="B80" s="401" t="s">
        <v>6169</v>
      </c>
      <c r="C80" s="400" t="s">
        <v>395</v>
      </c>
      <c r="D80" s="400" t="s">
        <v>6170</v>
      </c>
      <c r="E80" s="605" t="s">
        <v>6126</v>
      </c>
      <c r="F80" s="605"/>
      <c r="G80" s="402" t="s">
        <v>10</v>
      </c>
      <c r="H80" s="403">
        <v>1</v>
      </c>
      <c r="I80" s="403">
        <v>0</v>
      </c>
      <c r="J80" s="404">
        <v>289.5</v>
      </c>
      <c r="K80" s="404">
        <v>289.5</v>
      </c>
      <c r="L80" s="168"/>
    </row>
    <row r="81" spans="1:12" ht="26.4" x14ac:dyDescent="0.3">
      <c r="A81" s="400" t="s">
        <v>1038</v>
      </c>
      <c r="B81" s="401" t="s">
        <v>6124</v>
      </c>
      <c r="C81" s="400" t="s">
        <v>395</v>
      </c>
      <c r="D81" s="400" t="s">
        <v>6125</v>
      </c>
      <c r="E81" s="605" t="s">
        <v>6126</v>
      </c>
      <c r="F81" s="605"/>
      <c r="G81" s="402" t="s">
        <v>10</v>
      </c>
      <c r="H81" s="403">
        <v>1</v>
      </c>
      <c r="I81" s="403">
        <v>0</v>
      </c>
      <c r="J81" s="404">
        <v>806.06</v>
      </c>
      <c r="K81" s="404">
        <v>806.06</v>
      </c>
      <c r="L81" s="168"/>
    </row>
    <row r="82" spans="1:12" ht="15" x14ac:dyDescent="0.3">
      <c r="A82" s="400" t="s">
        <v>1038</v>
      </c>
      <c r="B82" s="401" t="s">
        <v>4061</v>
      </c>
      <c r="C82" s="400" t="s">
        <v>395</v>
      </c>
      <c r="D82" s="400" t="s">
        <v>4062</v>
      </c>
      <c r="E82" s="605" t="s">
        <v>1039</v>
      </c>
      <c r="F82" s="605"/>
      <c r="G82" s="402" t="s">
        <v>10</v>
      </c>
      <c r="H82" s="403">
        <v>1</v>
      </c>
      <c r="I82" s="403">
        <v>0</v>
      </c>
      <c r="J82" s="404">
        <v>210.14</v>
      </c>
      <c r="K82" s="404">
        <v>210.14</v>
      </c>
      <c r="L82" s="168"/>
    </row>
    <row r="83" spans="1:12" ht="15" x14ac:dyDescent="0.3">
      <c r="A83" s="400" t="s">
        <v>1038</v>
      </c>
      <c r="B83" s="401" t="s">
        <v>4222</v>
      </c>
      <c r="C83" s="400" t="s">
        <v>395</v>
      </c>
      <c r="D83" s="400" t="s">
        <v>4223</v>
      </c>
      <c r="E83" s="605" t="s">
        <v>1039</v>
      </c>
      <c r="F83" s="605"/>
      <c r="G83" s="402" t="s">
        <v>10</v>
      </c>
      <c r="H83" s="403">
        <v>1</v>
      </c>
      <c r="I83" s="403">
        <v>0</v>
      </c>
      <c r="J83" s="404">
        <v>18.28</v>
      </c>
      <c r="K83" s="404">
        <v>18.28</v>
      </c>
      <c r="L83" s="168"/>
    </row>
    <row r="84" spans="1:12" ht="15" customHeight="1" x14ac:dyDescent="0.3">
      <c r="A84" s="400" t="s">
        <v>1038</v>
      </c>
      <c r="B84" s="401" t="s">
        <v>4457</v>
      </c>
      <c r="C84" s="400" t="s">
        <v>395</v>
      </c>
      <c r="D84" s="400" t="s">
        <v>4458</v>
      </c>
      <c r="E84" s="605" t="s">
        <v>1317</v>
      </c>
      <c r="F84" s="605"/>
      <c r="G84" s="402" t="s">
        <v>10</v>
      </c>
      <c r="H84" s="403">
        <v>1</v>
      </c>
      <c r="I84" s="403">
        <v>0</v>
      </c>
      <c r="J84" s="404">
        <v>19.29</v>
      </c>
      <c r="K84" s="404">
        <v>19.29</v>
      </c>
      <c r="L84" s="168"/>
    </row>
    <row r="85" spans="1:12" ht="25.5" customHeight="1" x14ac:dyDescent="0.3">
      <c r="A85" s="400" t="s">
        <v>1038</v>
      </c>
      <c r="B85" s="401" t="s">
        <v>4125</v>
      </c>
      <c r="C85" s="400" t="s">
        <v>395</v>
      </c>
      <c r="D85" s="400" t="s">
        <v>4126</v>
      </c>
      <c r="E85" s="605" t="s">
        <v>1317</v>
      </c>
      <c r="F85" s="605"/>
      <c r="G85" s="402" t="s">
        <v>10</v>
      </c>
      <c r="H85" s="403">
        <v>1</v>
      </c>
      <c r="I85" s="403">
        <v>0</v>
      </c>
      <c r="J85" s="404">
        <v>250.76</v>
      </c>
      <c r="K85" s="404">
        <v>250.76</v>
      </c>
      <c r="L85" s="168"/>
    </row>
    <row r="86" spans="1:12" ht="25.5" customHeight="1" x14ac:dyDescent="0.3">
      <c r="A86" s="405"/>
      <c r="B86" s="405"/>
      <c r="C86" s="405"/>
      <c r="D86" s="405"/>
      <c r="E86" s="405" t="s">
        <v>1046</v>
      </c>
      <c r="F86" s="406">
        <v>8756.49</v>
      </c>
      <c r="G86" s="405" t="s">
        <v>1047</v>
      </c>
      <c r="H86" s="406">
        <v>0</v>
      </c>
      <c r="I86" s="405" t="s">
        <v>1048</v>
      </c>
      <c r="J86" s="406">
        <v>8756.49</v>
      </c>
      <c r="K86"/>
      <c r="L86" s="168"/>
    </row>
    <row r="87" spans="1:12" ht="15.6" thickBot="1" x14ac:dyDescent="0.35">
      <c r="A87" s="405"/>
      <c r="B87" s="405"/>
      <c r="C87" s="405"/>
      <c r="D87" s="405"/>
      <c r="E87" s="405" t="s">
        <v>1049</v>
      </c>
      <c r="F87" s="406">
        <v>0</v>
      </c>
      <c r="G87" s="405"/>
      <c r="H87" s="606"/>
      <c r="I87" s="606" t="s">
        <v>1050</v>
      </c>
      <c r="J87" s="406">
        <v>10350.52</v>
      </c>
      <c r="K87"/>
      <c r="L87" s="168"/>
    </row>
    <row r="88" spans="1:12" ht="15.6" thickTop="1" x14ac:dyDescent="0.3">
      <c r="A88" s="407"/>
      <c r="B88" s="407"/>
      <c r="C88" s="407"/>
      <c r="D88" s="407"/>
      <c r="E88" s="407"/>
      <c r="F88" s="407"/>
      <c r="G88" s="407"/>
      <c r="H88" s="407"/>
      <c r="I88" s="407"/>
      <c r="J88" s="407"/>
      <c r="K88" s="407"/>
      <c r="L88" s="168"/>
    </row>
    <row r="89" spans="1:12" ht="15" customHeight="1" x14ac:dyDescent="0.3">
      <c r="A89" s="382" t="s">
        <v>609</v>
      </c>
      <c r="B89" s="312" t="s">
        <v>413</v>
      </c>
      <c r="C89" s="382" t="s">
        <v>414</v>
      </c>
      <c r="D89" s="382" t="s">
        <v>415</v>
      </c>
      <c r="E89" s="586" t="s">
        <v>1029</v>
      </c>
      <c r="F89" s="586"/>
      <c r="G89" s="383" t="s">
        <v>416</v>
      </c>
      <c r="H89" s="312" t="s">
        <v>1030</v>
      </c>
      <c r="I89" s="312" t="s">
        <v>3016</v>
      </c>
      <c r="J89" s="312" t="s">
        <v>1031</v>
      </c>
      <c r="K89" s="312" t="s">
        <v>1032</v>
      </c>
      <c r="L89" s="168"/>
    </row>
    <row r="90" spans="1:12" ht="25.5" customHeight="1" x14ac:dyDescent="0.3">
      <c r="A90" s="313" t="s">
        <v>1033</v>
      </c>
      <c r="B90" s="315" t="s">
        <v>3771</v>
      </c>
      <c r="C90" s="313" t="s">
        <v>395</v>
      </c>
      <c r="D90" s="313" t="s">
        <v>228</v>
      </c>
      <c r="E90" s="603" t="s">
        <v>7768</v>
      </c>
      <c r="F90" s="603"/>
      <c r="G90" s="314" t="s">
        <v>6</v>
      </c>
      <c r="H90" s="399">
        <v>1</v>
      </c>
      <c r="I90" s="316"/>
      <c r="J90" s="316">
        <v>57.42</v>
      </c>
      <c r="K90" s="316">
        <v>57.42</v>
      </c>
      <c r="L90" s="168"/>
    </row>
    <row r="91" spans="1:12" ht="26.4" x14ac:dyDescent="0.3">
      <c r="A91" s="408" t="s">
        <v>1034</v>
      </c>
      <c r="B91" s="409" t="s">
        <v>5124</v>
      </c>
      <c r="C91" s="408" t="s">
        <v>395</v>
      </c>
      <c r="D91" s="408" t="s">
        <v>5125</v>
      </c>
      <c r="E91" s="604" t="s">
        <v>7768</v>
      </c>
      <c r="F91" s="604"/>
      <c r="G91" s="410" t="s">
        <v>6</v>
      </c>
      <c r="H91" s="412">
        <v>1</v>
      </c>
      <c r="I91" s="412">
        <v>0</v>
      </c>
      <c r="J91" s="411">
        <v>0.86</v>
      </c>
      <c r="K91" s="411">
        <v>0.86</v>
      </c>
      <c r="L91" s="168"/>
    </row>
    <row r="92" spans="1:12" ht="12.75" customHeight="1" x14ac:dyDescent="0.3">
      <c r="A92" s="400" t="s">
        <v>1038</v>
      </c>
      <c r="B92" s="401" t="s">
        <v>4028</v>
      </c>
      <c r="C92" s="400" t="s">
        <v>395</v>
      </c>
      <c r="D92" s="400" t="s">
        <v>4029</v>
      </c>
      <c r="E92" s="605" t="s">
        <v>4030</v>
      </c>
      <c r="F92" s="605"/>
      <c r="G92" s="402" t="s">
        <v>6</v>
      </c>
      <c r="H92" s="403">
        <v>1</v>
      </c>
      <c r="I92" s="403">
        <v>0</v>
      </c>
      <c r="J92" s="404">
        <v>4.78</v>
      </c>
      <c r="K92" s="404">
        <v>4.78</v>
      </c>
      <c r="L92" s="168"/>
    </row>
    <row r="93" spans="1:12" ht="15" customHeight="1" x14ac:dyDescent="0.3">
      <c r="A93" s="400" t="s">
        <v>1038</v>
      </c>
      <c r="B93" s="401" t="s">
        <v>4066</v>
      </c>
      <c r="C93" s="400" t="s">
        <v>395</v>
      </c>
      <c r="D93" s="400" t="s">
        <v>4067</v>
      </c>
      <c r="E93" s="605" t="s">
        <v>2381</v>
      </c>
      <c r="F93" s="605"/>
      <c r="G93" s="402" t="s">
        <v>6</v>
      </c>
      <c r="H93" s="403">
        <v>1</v>
      </c>
      <c r="I93" s="403">
        <v>0</v>
      </c>
      <c r="J93" s="404">
        <v>1.72</v>
      </c>
      <c r="K93" s="404">
        <v>1.72</v>
      </c>
      <c r="L93" s="168"/>
    </row>
    <row r="94" spans="1:12" ht="25.5" customHeight="1" x14ac:dyDescent="0.3">
      <c r="A94" s="400" t="s">
        <v>1038</v>
      </c>
      <c r="B94" s="401" t="s">
        <v>4078</v>
      </c>
      <c r="C94" s="400" t="s">
        <v>395</v>
      </c>
      <c r="D94" s="400" t="s">
        <v>4079</v>
      </c>
      <c r="E94" s="605" t="s">
        <v>4030</v>
      </c>
      <c r="F94" s="605"/>
      <c r="G94" s="402" t="s">
        <v>6</v>
      </c>
      <c r="H94" s="403">
        <v>1</v>
      </c>
      <c r="I94" s="403">
        <v>0</v>
      </c>
      <c r="J94" s="404">
        <v>1.25</v>
      </c>
      <c r="K94" s="404">
        <v>1.25</v>
      </c>
      <c r="L94" s="168"/>
    </row>
    <row r="95" spans="1:12" ht="25.5" customHeight="1" x14ac:dyDescent="0.3">
      <c r="A95" s="400" t="s">
        <v>1038</v>
      </c>
      <c r="B95" s="401" t="s">
        <v>4274</v>
      </c>
      <c r="C95" s="400" t="s">
        <v>395</v>
      </c>
      <c r="D95" s="400" t="s">
        <v>4275</v>
      </c>
      <c r="E95" s="605" t="s">
        <v>2386</v>
      </c>
      <c r="F95" s="605"/>
      <c r="G95" s="402" t="s">
        <v>6</v>
      </c>
      <c r="H95" s="403">
        <v>1</v>
      </c>
      <c r="I95" s="403">
        <v>0</v>
      </c>
      <c r="J95" s="404">
        <v>0.11</v>
      </c>
      <c r="K95" s="404">
        <v>0.11</v>
      </c>
      <c r="L95" s="168"/>
    </row>
    <row r="96" spans="1:12" ht="14.25" customHeight="1" x14ac:dyDescent="0.3">
      <c r="A96" s="400" t="s">
        <v>1038</v>
      </c>
      <c r="B96" s="401" t="s">
        <v>4446</v>
      </c>
      <c r="C96" s="400" t="s">
        <v>395</v>
      </c>
      <c r="D96" s="400" t="s">
        <v>4447</v>
      </c>
      <c r="E96" s="605" t="s">
        <v>1053</v>
      </c>
      <c r="F96" s="605"/>
      <c r="G96" s="402" t="s">
        <v>6</v>
      </c>
      <c r="H96" s="403">
        <v>1</v>
      </c>
      <c r="I96" s="403">
        <v>0</v>
      </c>
      <c r="J96" s="404">
        <v>47.78</v>
      </c>
      <c r="K96" s="404">
        <v>47.78</v>
      </c>
      <c r="L96" s="168"/>
    </row>
    <row r="97" spans="1:12" ht="14.25" customHeight="1" x14ac:dyDescent="0.3">
      <c r="A97" s="400" t="s">
        <v>1038</v>
      </c>
      <c r="B97" s="401" t="s">
        <v>5085</v>
      </c>
      <c r="C97" s="400" t="s">
        <v>395</v>
      </c>
      <c r="D97" s="400" t="s">
        <v>5086</v>
      </c>
      <c r="E97" s="605" t="s">
        <v>1317</v>
      </c>
      <c r="F97" s="605"/>
      <c r="G97" s="402" t="s">
        <v>6</v>
      </c>
      <c r="H97" s="403">
        <v>1</v>
      </c>
      <c r="I97" s="403">
        <v>0</v>
      </c>
      <c r="J97" s="404">
        <v>0.05</v>
      </c>
      <c r="K97" s="404">
        <v>0.05</v>
      </c>
      <c r="L97" s="168"/>
    </row>
    <row r="98" spans="1:12" ht="15" customHeight="1" x14ac:dyDescent="0.3">
      <c r="A98" s="400" t="s">
        <v>1038</v>
      </c>
      <c r="B98" s="401" t="s">
        <v>4984</v>
      </c>
      <c r="C98" s="400" t="s">
        <v>395</v>
      </c>
      <c r="D98" s="400" t="s">
        <v>4985</v>
      </c>
      <c r="E98" s="605" t="s">
        <v>1317</v>
      </c>
      <c r="F98" s="605"/>
      <c r="G98" s="402" t="s">
        <v>6</v>
      </c>
      <c r="H98" s="403">
        <v>1</v>
      </c>
      <c r="I98" s="403">
        <v>0</v>
      </c>
      <c r="J98" s="404">
        <v>0.87</v>
      </c>
      <c r="K98" s="404">
        <v>0.87</v>
      </c>
      <c r="L98" s="168"/>
    </row>
    <row r="99" spans="1:12" ht="15" x14ac:dyDescent="0.3">
      <c r="A99" s="405"/>
      <c r="B99" s="405"/>
      <c r="C99" s="405"/>
      <c r="D99" s="405"/>
      <c r="E99" s="405" t="s">
        <v>1046</v>
      </c>
      <c r="F99" s="406">
        <v>48.64</v>
      </c>
      <c r="G99" s="405" t="s">
        <v>1047</v>
      </c>
      <c r="H99" s="406">
        <v>0</v>
      </c>
      <c r="I99" s="405" t="s">
        <v>1048</v>
      </c>
      <c r="J99" s="406">
        <v>48.64</v>
      </c>
      <c r="K99"/>
      <c r="L99" s="168"/>
    </row>
    <row r="100" spans="1:12" ht="15.6" thickBot="1" x14ac:dyDescent="0.35">
      <c r="A100" s="405"/>
      <c r="B100" s="405"/>
      <c r="C100" s="405"/>
      <c r="D100" s="405"/>
      <c r="E100" s="405" t="s">
        <v>1049</v>
      </c>
      <c r="F100" s="406">
        <v>0</v>
      </c>
      <c r="G100" s="405"/>
      <c r="H100" s="606"/>
      <c r="I100" s="606" t="s">
        <v>1050</v>
      </c>
      <c r="J100" s="406">
        <v>57.42</v>
      </c>
      <c r="K100"/>
      <c r="L100" s="168"/>
    </row>
    <row r="101" spans="1:12" ht="15.6" thickTop="1" x14ac:dyDescent="0.3">
      <c r="A101" s="407"/>
      <c r="B101" s="407"/>
      <c r="C101" s="407"/>
      <c r="D101" s="407"/>
      <c r="E101" s="407"/>
      <c r="F101" s="407"/>
      <c r="G101" s="407"/>
      <c r="H101" s="407"/>
      <c r="I101" s="407"/>
      <c r="J101" s="407"/>
      <c r="K101" s="407"/>
      <c r="L101" s="168"/>
    </row>
    <row r="102" spans="1:12" ht="25.5" customHeight="1" x14ac:dyDescent="0.3">
      <c r="A102" s="382" t="s">
        <v>611</v>
      </c>
      <c r="B102" s="312" t="s">
        <v>413</v>
      </c>
      <c r="C102" s="382" t="s">
        <v>414</v>
      </c>
      <c r="D102" s="382" t="s">
        <v>415</v>
      </c>
      <c r="E102" s="586" t="s">
        <v>1029</v>
      </c>
      <c r="F102" s="586"/>
      <c r="G102" s="383" t="s">
        <v>416</v>
      </c>
      <c r="H102" s="312" t="s">
        <v>1030</v>
      </c>
      <c r="I102" s="312" t="s">
        <v>3016</v>
      </c>
      <c r="J102" s="312" t="s">
        <v>1031</v>
      </c>
      <c r="K102" s="312" t="s">
        <v>1032</v>
      </c>
      <c r="L102" s="168"/>
    </row>
    <row r="103" spans="1:12" ht="15" x14ac:dyDescent="0.3">
      <c r="A103" s="313" t="s">
        <v>1033</v>
      </c>
      <c r="B103" s="315" t="s">
        <v>2928</v>
      </c>
      <c r="C103" s="313" t="s">
        <v>2616</v>
      </c>
      <c r="D103" s="313" t="s">
        <v>2620</v>
      </c>
      <c r="E103" s="603">
        <v>5</v>
      </c>
      <c r="F103" s="603"/>
      <c r="G103" s="314" t="s">
        <v>10</v>
      </c>
      <c r="H103" s="399">
        <v>1</v>
      </c>
      <c r="I103" s="316"/>
      <c r="J103" s="316">
        <v>5836.16</v>
      </c>
      <c r="K103" s="316">
        <v>5836.16</v>
      </c>
      <c r="L103" s="168"/>
    </row>
    <row r="104" spans="1:12" ht="14.25" customHeight="1" x14ac:dyDescent="0.3">
      <c r="A104" s="400" t="s">
        <v>1038</v>
      </c>
      <c r="B104" s="401" t="s">
        <v>3027</v>
      </c>
      <c r="C104" s="400" t="s">
        <v>2616</v>
      </c>
      <c r="D104" s="400" t="s">
        <v>3028</v>
      </c>
      <c r="E104" s="605" t="s">
        <v>1053</v>
      </c>
      <c r="F104" s="605"/>
      <c r="G104" s="402" t="s">
        <v>6</v>
      </c>
      <c r="H104" s="403">
        <v>176</v>
      </c>
      <c r="I104" s="403">
        <v>0</v>
      </c>
      <c r="J104" s="404">
        <v>33.159999999999997</v>
      </c>
      <c r="K104" s="404">
        <v>5836.16</v>
      </c>
      <c r="L104" s="168"/>
    </row>
    <row r="105" spans="1:12" ht="15" x14ac:dyDescent="0.3">
      <c r="A105" s="405"/>
      <c r="B105" s="405"/>
      <c r="C105" s="405"/>
      <c r="D105" s="405"/>
      <c r="E105" s="405" t="s">
        <v>1046</v>
      </c>
      <c r="F105" s="406">
        <v>5836.16</v>
      </c>
      <c r="G105" s="405" t="s">
        <v>1047</v>
      </c>
      <c r="H105" s="406">
        <v>0</v>
      </c>
      <c r="I105" s="405" t="s">
        <v>1048</v>
      </c>
      <c r="J105" s="406">
        <v>5836.16</v>
      </c>
      <c r="K105"/>
      <c r="L105" s="168"/>
    </row>
    <row r="106" spans="1:12" ht="15.6" thickBot="1" x14ac:dyDescent="0.35">
      <c r="A106" s="405"/>
      <c r="B106" s="405"/>
      <c r="C106" s="405"/>
      <c r="D106" s="405"/>
      <c r="E106" s="405" t="s">
        <v>1049</v>
      </c>
      <c r="F106" s="406">
        <v>0</v>
      </c>
      <c r="G106" s="405"/>
      <c r="H106" s="606"/>
      <c r="I106" s="606" t="s">
        <v>1050</v>
      </c>
      <c r="J106" s="406">
        <v>5836.16</v>
      </c>
      <c r="K106"/>
      <c r="L106" s="168"/>
    </row>
    <row r="107" spans="1:12" ht="15" customHeight="1" thickTop="1" x14ac:dyDescent="0.3">
      <c r="A107" s="407"/>
      <c r="B107" s="407"/>
      <c r="C107" s="407"/>
      <c r="D107" s="407"/>
      <c r="E107" s="407"/>
      <c r="F107" s="407"/>
      <c r="G107" s="407"/>
      <c r="H107" s="407"/>
      <c r="I107" s="407"/>
      <c r="J107" s="407"/>
      <c r="K107" s="407"/>
      <c r="L107" s="168"/>
    </row>
    <row r="108" spans="1:12" ht="12.75" customHeight="1" x14ac:dyDescent="0.3">
      <c r="A108" s="382" t="s">
        <v>612</v>
      </c>
      <c r="B108" s="312" t="s">
        <v>413</v>
      </c>
      <c r="C108" s="382" t="s">
        <v>414</v>
      </c>
      <c r="D108" s="382" t="s">
        <v>415</v>
      </c>
      <c r="E108" s="586" t="s">
        <v>1029</v>
      </c>
      <c r="F108" s="586"/>
      <c r="G108" s="383" t="s">
        <v>416</v>
      </c>
      <c r="H108" s="312" t="s">
        <v>1030</v>
      </c>
      <c r="I108" s="312" t="s">
        <v>3016</v>
      </c>
      <c r="J108" s="312" t="s">
        <v>1031</v>
      </c>
      <c r="K108" s="312" t="s">
        <v>1032</v>
      </c>
      <c r="L108" s="168"/>
    </row>
    <row r="109" spans="1:12" ht="15" customHeight="1" x14ac:dyDescent="0.3">
      <c r="A109" s="313" t="s">
        <v>1033</v>
      </c>
      <c r="B109" s="315" t="s">
        <v>3772</v>
      </c>
      <c r="C109" s="313" t="s">
        <v>395</v>
      </c>
      <c r="D109" s="313" t="s">
        <v>154</v>
      </c>
      <c r="E109" s="603" t="s">
        <v>7768</v>
      </c>
      <c r="F109" s="603"/>
      <c r="G109" s="314" t="s">
        <v>10</v>
      </c>
      <c r="H109" s="399">
        <v>1</v>
      </c>
      <c r="I109" s="316"/>
      <c r="J109" s="316">
        <v>6069.85</v>
      </c>
      <c r="K109" s="316">
        <v>6069.85</v>
      </c>
      <c r="L109" s="168"/>
    </row>
    <row r="110" spans="1:12" ht="15" x14ac:dyDescent="0.3">
      <c r="A110" s="400" t="s">
        <v>1038</v>
      </c>
      <c r="B110" s="401" t="s">
        <v>4039</v>
      </c>
      <c r="C110" s="400" t="s">
        <v>395</v>
      </c>
      <c r="D110" s="400" t="s">
        <v>4040</v>
      </c>
      <c r="E110" s="605" t="s">
        <v>1053</v>
      </c>
      <c r="F110" s="605"/>
      <c r="G110" s="402" t="s">
        <v>10</v>
      </c>
      <c r="H110" s="403">
        <v>1</v>
      </c>
      <c r="I110" s="403">
        <v>0</v>
      </c>
      <c r="J110" s="404">
        <v>4589.3999999999996</v>
      </c>
      <c r="K110" s="404">
        <v>4589.3999999999996</v>
      </c>
      <c r="L110" s="168"/>
    </row>
    <row r="111" spans="1:12" ht="26.4" x14ac:dyDescent="0.3">
      <c r="A111" s="400" t="s">
        <v>1038</v>
      </c>
      <c r="B111" s="401" t="s">
        <v>6169</v>
      </c>
      <c r="C111" s="400" t="s">
        <v>395</v>
      </c>
      <c r="D111" s="400" t="s">
        <v>6170</v>
      </c>
      <c r="E111" s="605" t="s">
        <v>6126</v>
      </c>
      <c r="F111" s="605"/>
      <c r="G111" s="402" t="s">
        <v>10</v>
      </c>
      <c r="H111" s="403">
        <v>1</v>
      </c>
      <c r="I111" s="403">
        <v>0</v>
      </c>
      <c r="J111" s="404">
        <v>289.5</v>
      </c>
      <c r="K111" s="404">
        <v>289.5</v>
      </c>
      <c r="L111" s="168"/>
    </row>
    <row r="112" spans="1:12" ht="26.4" x14ac:dyDescent="0.3">
      <c r="A112" s="400" t="s">
        <v>1038</v>
      </c>
      <c r="B112" s="401" t="s">
        <v>6124</v>
      </c>
      <c r="C112" s="400" t="s">
        <v>395</v>
      </c>
      <c r="D112" s="400" t="s">
        <v>6125</v>
      </c>
      <c r="E112" s="605" t="s">
        <v>6126</v>
      </c>
      <c r="F112" s="605"/>
      <c r="G112" s="402" t="s">
        <v>10</v>
      </c>
      <c r="H112" s="403">
        <v>1</v>
      </c>
      <c r="I112" s="403">
        <v>0</v>
      </c>
      <c r="J112" s="404">
        <v>806.06</v>
      </c>
      <c r="K112" s="404">
        <v>806.06</v>
      </c>
      <c r="L112" s="168"/>
    </row>
    <row r="113" spans="1:12" ht="25.5" customHeight="1" x14ac:dyDescent="0.3">
      <c r="A113" s="400" t="s">
        <v>1038</v>
      </c>
      <c r="B113" s="401" t="s">
        <v>4061</v>
      </c>
      <c r="C113" s="400" t="s">
        <v>395</v>
      </c>
      <c r="D113" s="400" t="s">
        <v>4062</v>
      </c>
      <c r="E113" s="605" t="s">
        <v>1039</v>
      </c>
      <c r="F113" s="605"/>
      <c r="G113" s="402" t="s">
        <v>10</v>
      </c>
      <c r="H113" s="403">
        <v>1</v>
      </c>
      <c r="I113" s="403">
        <v>0</v>
      </c>
      <c r="J113" s="404">
        <v>210.14</v>
      </c>
      <c r="K113" s="404">
        <v>210.14</v>
      </c>
      <c r="L113" s="168"/>
    </row>
    <row r="114" spans="1:12" ht="15" x14ac:dyDescent="0.3">
      <c r="A114" s="400" t="s">
        <v>1038</v>
      </c>
      <c r="B114" s="401" t="s">
        <v>4222</v>
      </c>
      <c r="C114" s="400" t="s">
        <v>395</v>
      </c>
      <c r="D114" s="400" t="s">
        <v>4223</v>
      </c>
      <c r="E114" s="605" t="s">
        <v>1039</v>
      </c>
      <c r="F114" s="605"/>
      <c r="G114" s="402" t="s">
        <v>10</v>
      </c>
      <c r="H114" s="403">
        <v>1</v>
      </c>
      <c r="I114" s="403">
        <v>0</v>
      </c>
      <c r="J114" s="404">
        <v>18.28</v>
      </c>
      <c r="K114" s="404">
        <v>18.28</v>
      </c>
      <c r="L114" s="168"/>
    </row>
    <row r="115" spans="1:12" ht="26.4" x14ac:dyDescent="0.3">
      <c r="A115" s="400" t="s">
        <v>1038</v>
      </c>
      <c r="B115" s="401" t="s">
        <v>4461</v>
      </c>
      <c r="C115" s="400" t="s">
        <v>395</v>
      </c>
      <c r="D115" s="400" t="s">
        <v>4462</v>
      </c>
      <c r="E115" s="605" t="s">
        <v>1317</v>
      </c>
      <c r="F115" s="605"/>
      <c r="G115" s="402" t="s">
        <v>10</v>
      </c>
      <c r="H115" s="403">
        <v>1</v>
      </c>
      <c r="I115" s="403">
        <v>0</v>
      </c>
      <c r="J115" s="404">
        <v>9.52</v>
      </c>
      <c r="K115" s="404">
        <v>9.52</v>
      </c>
      <c r="L115" s="168"/>
    </row>
    <row r="116" spans="1:12" ht="14.25" customHeight="1" x14ac:dyDescent="0.3">
      <c r="A116" s="400" t="s">
        <v>1038</v>
      </c>
      <c r="B116" s="401" t="s">
        <v>4110</v>
      </c>
      <c r="C116" s="400" t="s">
        <v>395</v>
      </c>
      <c r="D116" s="400" t="s">
        <v>4111</v>
      </c>
      <c r="E116" s="605" t="s">
        <v>1317</v>
      </c>
      <c r="F116" s="605"/>
      <c r="G116" s="402" t="s">
        <v>10</v>
      </c>
      <c r="H116" s="403">
        <v>1</v>
      </c>
      <c r="I116" s="403">
        <v>0</v>
      </c>
      <c r="J116" s="404">
        <v>146.94999999999999</v>
      </c>
      <c r="K116" s="404">
        <v>146.94999999999999</v>
      </c>
      <c r="L116" s="168"/>
    </row>
    <row r="117" spans="1:12" ht="15" x14ac:dyDescent="0.3">
      <c r="A117" s="405"/>
      <c r="B117" s="405"/>
      <c r="C117" s="405"/>
      <c r="D117" s="405"/>
      <c r="E117" s="405" t="s">
        <v>1046</v>
      </c>
      <c r="F117" s="406">
        <v>4589.3999999999996</v>
      </c>
      <c r="G117" s="405" t="s">
        <v>1047</v>
      </c>
      <c r="H117" s="406">
        <v>0</v>
      </c>
      <c r="I117" s="405" t="s">
        <v>1048</v>
      </c>
      <c r="J117" s="406">
        <v>4589.3999999999996</v>
      </c>
      <c r="K117"/>
      <c r="L117" s="168"/>
    </row>
    <row r="118" spans="1:12" ht="14.25" customHeight="1" thickBot="1" x14ac:dyDescent="0.35">
      <c r="A118" s="405"/>
      <c r="B118" s="405"/>
      <c r="C118" s="405"/>
      <c r="D118" s="405"/>
      <c r="E118" s="405" t="s">
        <v>1049</v>
      </c>
      <c r="F118" s="406">
        <v>0</v>
      </c>
      <c r="G118" s="405"/>
      <c r="H118" s="606"/>
      <c r="I118" s="606" t="s">
        <v>1050</v>
      </c>
      <c r="J118" s="406">
        <v>6069.85</v>
      </c>
      <c r="K118"/>
      <c r="L118" s="168"/>
    </row>
    <row r="119" spans="1:12" ht="15" customHeight="1" thickTop="1" x14ac:dyDescent="0.3">
      <c r="A119" s="407"/>
      <c r="B119" s="407"/>
      <c r="C119" s="407"/>
      <c r="D119" s="407"/>
      <c r="E119" s="407"/>
      <c r="F119" s="407"/>
      <c r="G119" s="407"/>
      <c r="H119" s="407"/>
      <c r="I119" s="407"/>
      <c r="J119" s="407"/>
      <c r="K119" s="407"/>
      <c r="L119" s="168"/>
    </row>
    <row r="120" spans="1:12" ht="15" customHeight="1" x14ac:dyDescent="0.3">
      <c r="A120" s="382" t="s">
        <v>613</v>
      </c>
      <c r="B120" s="312" t="s">
        <v>413</v>
      </c>
      <c r="C120" s="382" t="s">
        <v>414</v>
      </c>
      <c r="D120" s="382" t="s">
        <v>415</v>
      </c>
      <c r="E120" s="586" t="s">
        <v>1029</v>
      </c>
      <c r="F120" s="586"/>
      <c r="G120" s="383" t="s">
        <v>416</v>
      </c>
      <c r="H120" s="312" t="s">
        <v>1030</v>
      </c>
      <c r="I120" s="312" t="s">
        <v>3016</v>
      </c>
      <c r="J120" s="312" t="s">
        <v>1031</v>
      </c>
      <c r="K120" s="312" t="s">
        <v>1032</v>
      </c>
      <c r="L120" s="168"/>
    </row>
    <row r="121" spans="1:12" ht="25.5" customHeight="1" x14ac:dyDescent="0.3">
      <c r="A121" s="313" t="s">
        <v>1033</v>
      </c>
      <c r="B121" s="315" t="s">
        <v>3773</v>
      </c>
      <c r="C121" s="313" t="s">
        <v>395</v>
      </c>
      <c r="D121" s="313" t="s">
        <v>153</v>
      </c>
      <c r="E121" s="603" t="s">
        <v>7768</v>
      </c>
      <c r="F121" s="603"/>
      <c r="G121" s="314" t="s">
        <v>10</v>
      </c>
      <c r="H121" s="399">
        <v>1</v>
      </c>
      <c r="I121" s="316"/>
      <c r="J121" s="316">
        <v>7650.3</v>
      </c>
      <c r="K121" s="316">
        <v>7650.3</v>
      </c>
      <c r="L121" s="168"/>
    </row>
    <row r="122" spans="1:12" ht="12.75" customHeight="1" x14ac:dyDescent="0.3">
      <c r="A122" s="400" t="s">
        <v>1038</v>
      </c>
      <c r="B122" s="401" t="s">
        <v>4031</v>
      </c>
      <c r="C122" s="400" t="s">
        <v>395</v>
      </c>
      <c r="D122" s="400" t="s">
        <v>4032</v>
      </c>
      <c r="E122" s="605" t="s">
        <v>1053</v>
      </c>
      <c r="F122" s="605"/>
      <c r="G122" s="402" t="s">
        <v>10</v>
      </c>
      <c r="H122" s="403">
        <v>1</v>
      </c>
      <c r="I122" s="403">
        <v>0</v>
      </c>
      <c r="J122" s="404">
        <v>6169.85</v>
      </c>
      <c r="K122" s="404">
        <v>6169.85</v>
      </c>
      <c r="L122" s="168"/>
    </row>
    <row r="123" spans="1:12" ht="25.5" customHeight="1" x14ac:dyDescent="0.3">
      <c r="A123" s="400" t="s">
        <v>1038</v>
      </c>
      <c r="B123" s="401" t="s">
        <v>6169</v>
      </c>
      <c r="C123" s="400" t="s">
        <v>395</v>
      </c>
      <c r="D123" s="400" t="s">
        <v>6170</v>
      </c>
      <c r="E123" s="605" t="s">
        <v>6126</v>
      </c>
      <c r="F123" s="605"/>
      <c r="G123" s="402" t="s">
        <v>10</v>
      </c>
      <c r="H123" s="403">
        <v>1</v>
      </c>
      <c r="I123" s="403">
        <v>0</v>
      </c>
      <c r="J123" s="404">
        <v>289.5</v>
      </c>
      <c r="K123" s="404">
        <v>289.5</v>
      </c>
      <c r="L123" s="168"/>
    </row>
    <row r="124" spans="1:12" ht="15" customHeight="1" x14ac:dyDescent="0.3">
      <c r="A124" s="400" t="s">
        <v>1038</v>
      </c>
      <c r="B124" s="401" t="s">
        <v>6124</v>
      </c>
      <c r="C124" s="400" t="s">
        <v>395</v>
      </c>
      <c r="D124" s="400" t="s">
        <v>6125</v>
      </c>
      <c r="E124" s="605" t="s">
        <v>6126</v>
      </c>
      <c r="F124" s="605"/>
      <c r="G124" s="402" t="s">
        <v>10</v>
      </c>
      <c r="H124" s="403">
        <v>1</v>
      </c>
      <c r="I124" s="403">
        <v>0</v>
      </c>
      <c r="J124" s="404">
        <v>806.06</v>
      </c>
      <c r="K124" s="404">
        <v>806.06</v>
      </c>
      <c r="L124" s="168"/>
    </row>
    <row r="125" spans="1:12" ht="25.5" customHeight="1" x14ac:dyDescent="0.3">
      <c r="A125" s="400" t="s">
        <v>1038</v>
      </c>
      <c r="B125" s="401" t="s">
        <v>4061</v>
      </c>
      <c r="C125" s="400" t="s">
        <v>395</v>
      </c>
      <c r="D125" s="400" t="s">
        <v>4062</v>
      </c>
      <c r="E125" s="605" t="s">
        <v>1039</v>
      </c>
      <c r="F125" s="605"/>
      <c r="G125" s="402" t="s">
        <v>10</v>
      </c>
      <c r="H125" s="403">
        <v>1</v>
      </c>
      <c r="I125" s="403">
        <v>0</v>
      </c>
      <c r="J125" s="404">
        <v>210.14</v>
      </c>
      <c r="K125" s="404">
        <v>210.14</v>
      </c>
      <c r="L125" s="168"/>
    </row>
    <row r="126" spans="1:12" ht="25.5" customHeight="1" x14ac:dyDescent="0.3">
      <c r="A126" s="400" t="s">
        <v>1038</v>
      </c>
      <c r="B126" s="401" t="s">
        <v>4222</v>
      </c>
      <c r="C126" s="400" t="s">
        <v>395</v>
      </c>
      <c r="D126" s="400" t="s">
        <v>4223</v>
      </c>
      <c r="E126" s="605" t="s">
        <v>1039</v>
      </c>
      <c r="F126" s="605"/>
      <c r="G126" s="402" t="s">
        <v>10</v>
      </c>
      <c r="H126" s="403">
        <v>1</v>
      </c>
      <c r="I126" s="403">
        <v>0</v>
      </c>
      <c r="J126" s="404">
        <v>18.28</v>
      </c>
      <c r="K126" s="404">
        <v>18.28</v>
      </c>
      <c r="L126" s="168"/>
    </row>
    <row r="127" spans="1:12" ht="26.4" x14ac:dyDescent="0.3">
      <c r="A127" s="400" t="s">
        <v>1038</v>
      </c>
      <c r="B127" s="401" t="s">
        <v>4461</v>
      </c>
      <c r="C127" s="400" t="s">
        <v>395</v>
      </c>
      <c r="D127" s="400" t="s">
        <v>4462</v>
      </c>
      <c r="E127" s="605" t="s">
        <v>1317</v>
      </c>
      <c r="F127" s="605"/>
      <c r="G127" s="402" t="s">
        <v>10</v>
      </c>
      <c r="H127" s="403">
        <v>1</v>
      </c>
      <c r="I127" s="403">
        <v>0</v>
      </c>
      <c r="J127" s="404">
        <v>9.52</v>
      </c>
      <c r="K127" s="404">
        <v>9.52</v>
      </c>
      <c r="L127" s="168"/>
    </row>
    <row r="128" spans="1:12" ht="14.25" customHeight="1" x14ac:dyDescent="0.3">
      <c r="A128" s="400" t="s">
        <v>1038</v>
      </c>
      <c r="B128" s="401" t="s">
        <v>4110</v>
      </c>
      <c r="C128" s="400" t="s">
        <v>395</v>
      </c>
      <c r="D128" s="400" t="s">
        <v>4111</v>
      </c>
      <c r="E128" s="605" t="s">
        <v>1317</v>
      </c>
      <c r="F128" s="605"/>
      <c r="G128" s="402" t="s">
        <v>10</v>
      </c>
      <c r="H128" s="403">
        <v>1</v>
      </c>
      <c r="I128" s="403">
        <v>0</v>
      </c>
      <c r="J128" s="404">
        <v>146.94999999999999</v>
      </c>
      <c r="K128" s="404">
        <v>146.94999999999999</v>
      </c>
      <c r="L128" s="168"/>
    </row>
    <row r="129" spans="1:12" ht="15" customHeight="1" x14ac:dyDescent="0.3">
      <c r="A129" s="405"/>
      <c r="B129" s="405"/>
      <c r="C129" s="405"/>
      <c r="D129" s="405"/>
      <c r="E129" s="405" t="s">
        <v>1046</v>
      </c>
      <c r="F129" s="406">
        <v>6169.85</v>
      </c>
      <c r="G129" s="405" t="s">
        <v>1047</v>
      </c>
      <c r="H129" s="406">
        <v>0</v>
      </c>
      <c r="I129" s="405" t="s">
        <v>1048</v>
      </c>
      <c r="J129" s="406">
        <v>6169.85</v>
      </c>
      <c r="K129"/>
      <c r="L129" s="168"/>
    </row>
    <row r="130" spans="1:12" ht="15.6" thickBot="1" x14ac:dyDescent="0.35">
      <c r="A130" s="405"/>
      <c r="B130" s="405"/>
      <c r="C130" s="405"/>
      <c r="D130" s="405"/>
      <c r="E130" s="405" t="s">
        <v>1049</v>
      </c>
      <c r="F130" s="406">
        <v>0</v>
      </c>
      <c r="G130" s="405"/>
      <c r="H130" s="606"/>
      <c r="I130" s="606" t="s">
        <v>1050</v>
      </c>
      <c r="J130" s="406">
        <v>7650.3</v>
      </c>
      <c r="K130"/>
      <c r="L130" s="168"/>
    </row>
    <row r="131" spans="1:12" ht="15.6" thickTop="1" x14ac:dyDescent="0.3">
      <c r="A131" s="407"/>
      <c r="B131" s="407"/>
      <c r="C131" s="407"/>
      <c r="D131" s="407"/>
      <c r="E131" s="407"/>
      <c r="F131" s="407"/>
      <c r="G131" s="407"/>
      <c r="H131" s="407"/>
      <c r="I131" s="407"/>
      <c r="J131" s="407"/>
      <c r="K131" s="407"/>
      <c r="L131" s="168"/>
    </row>
    <row r="132" spans="1:12" ht="12.75" customHeight="1" x14ac:dyDescent="0.3">
      <c r="A132" s="382" t="s">
        <v>614</v>
      </c>
      <c r="B132" s="312" t="s">
        <v>413</v>
      </c>
      <c r="C132" s="382" t="s">
        <v>414</v>
      </c>
      <c r="D132" s="382" t="s">
        <v>415</v>
      </c>
      <c r="E132" s="586" t="s">
        <v>1029</v>
      </c>
      <c r="F132" s="586"/>
      <c r="G132" s="383" t="s">
        <v>416</v>
      </c>
      <c r="H132" s="312" t="s">
        <v>1030</v>
      </c>
      <c r="I132" s="312" t="s">
        <v>3016</v>
      </c>
      <c r="J132" s="312" t="s">
        <v>1031</v>
      </c>
      <c r="K132" s="312" t="s">
        <v>1032</v>
      </c>
      <c r="L132" s="168"/>
    </row>
    <row r="133" spans="1:12" ht="15" customHeight="1" x14ac:dyDescent="0.3">
      <c r="A133" s="313" t="s">
        <v>1033</v>
      </c>
      <c r="B133" s="315" t="s">
        <v>3774</v>
      </c>
      <c r="C133" s="313" t="s">
        <v>395</v>
      </c>
      <c r="D133" s="313" t="s">
        <v>150</v>
      </c>
      <c r="E133" s="603" t="s">
        <v>1036</v>
      </c>
      <c r="F133" s="603"/>
      <c r="G133" s="314" t="s">
        <v>6</v>
      </c>
      <c r="H133" s="399">
        <v>1</v>
      </c>
      <c r="I133" s="316"/>
      <c r="J133" s="316">
        <v>40.950000000000003</v>
      </c>
      <c r="K133" s="316">
        <v>40.950000000000003</v>
      </c>
      <c r="L133" s="168"/>
    </row>
    <row r="134" spans="1:12" ht="25.5" customHeight="1" x14ac:dyDescent="0.3">
      <c r="A134" s="408" t="s">
        <v>1034</v>
      </c>
      <c r="B134" s="409" t="s">
        <v>5126</v>
      </c>
      <c r="C134" s="408" t="s">
        <v>395</v>
      </c>
      <c r="D134" s="408" t="s">
        <v>5127</v>
      </c>
      <c r="E134" s="604" t="s">
        <v>1036</v>
      </c>
      <c r="F134" s="604"/>
      <c r="G134" s="410" t="s">
        <v>6</v>
      </c>
      <c r="H134" s="412">
        <v>1</v>
      </c>
      <c r="I134" s="412">
        <v>0</v>
      </c>
      <c r="J134" s="411">
        <v>0.13</v>
      </c>
      <c r="K134" s="411">
        <v>0.13</v>
      </c>
      <c r="L134" s="168"/>
    </row>
    <row r="135" spans="1:12" ht="25.5" customHeight="1" x14ac:dyDescent="0.3">
      <c r="A135" s="400" t="s">
        <v>1038</v>
      </c>
      <c r="B135" s="401" t="s">
        <v>4028</v>
      </c>
      <c r="C135" s="400" t="s">
        <v>395</v>
      </c>
      <c r="D135" s="400" t="s">
        <v>4029</v>
      </c>
      <c r="E135" s="605" t="s">
        <v>4030</v>
      </c>
      <c r="F135" s="605"/>
      <c r="G135" s="402" t="s">
        <v>6</v>
      </c>
      <c r="H135" s="403">
        <v>1</v>
      </c>
      <c r="I135" s="403">
        <v>0</v>
      </c>
      <c r="J135" s="404">
        <v>4.78</v>
      </c>
      <c r="K135" s="404">
        <v>4.78</v>
      </c>
      <c r="L135" s="168"/>
    </row>
    <row r="136" spans="1:12" ht="12.75" customHeight="1" x14ac:dyDescent="0.3">
      <c r="A136" s="400" t="s">
        <v>1038</v>
      </c>
      <c r="B136" s="401" t="s">
        <v>4146</v>
      </c>
      <c r="C136" s="400" t="s">
        <v>395</v>
      </c>
      <c r="D136" s="400" t="s">
        <v>4147</v>
      </c>
      <c r="E136" s="605" t="s">
        <v>1317</v>
      </c>
      <c r="F136" s="605"/>
      <c r="G136" s="402" t="s">
        <v>6</v>
      </c>
      <c r="H136" s="403">
        <v>1</v>
      </c>
      <c r="I136" s="403">
        <v>0</v>
      </c>
      <c r="J136" s="404">
        <v>1.79</v>
      </c>
      <c r="K136" s="404">
        <v>1.79</v>
      </c>
      <c r="L136" s="168"/>
    </row>
    <row r="137" spans="1:12" ht="25.5" customHeight="1" x14ac:dyDescent="0.3">
      <c r="A137" s="400" t="s">
        <v>1038</v>
      </c>
      <c r="B137" s="401" t="s">
        <v>4078</v>
      </c>
      <c r="C137" s="400" t="s">
        <v>395</v>
      </c>
      <c r="D137" s="400" t="s">
        <v>4079</v>
      </c>
      <c r="E137" s="605" t="s">
        <v>4030</v>
      </c>
      <c r="F137" s="605"/>
      <c r="G137" s="402" t="s">
        <v>6</v>
      </c>
      <c r="H137" s="403">
        <v>1</v>
      </c>
      <c r="I137" s="403">
        <v>0</v>
      </c>
      <c r="J137" s="404">
        <v>1.25</v>
      </c>
      <c r="K137" s="404">
        <v>1.25</v>
      </c>
      <c r="L137" s="168"/>
    </row>
    <row r="138" spans="1:12" ht="15" customHeight="1" x14ac:dyDescent="0.3">
      <c r="A138" s="400" t="s">
        <v>1038</v>
      </c>
      <c r="B138" s="401" t="s">
        <v>4200</v>
      </c>
      <c r="C138" s="400" t="s">
        <v>395</v>
      </c>
      <c r="D138" s="400" t="s">
        <v>4201</v>
      </c>
      <c r="E138" s="605" t="s">
        <v>1317</v>
      </c>
      <c r="F138" s="605"/>
      <c r="G138" s="402" t="s">
        <v>6</v>
      </c>
      <c r="H138" s="403">
        <v>1</v>
      </c>
      <c r="I138" s="403">
        <v>0</v>
      </c>
      <c r="J138" s="404">
        <v>0.56000000000000005</v>
      </c>
      <c r="K138" s="404">
        <v>0.56000000000000005</v>
      </c>
      <c r="L138" s="168"/>
    </row>
    <row r="139" spans="1:12" ht="15" x14ac:dyDescent="0.3">
      <c r="A139" s="400" t="s">
        <v>1038</v>
      </c>
      <c r="B139" s="401" t="s">
        <v>4274</v>
      </c>
      <c r="C139" s="400" t="s">
        <v>395</v>
      </c>
      <c r="D139" s="400" t="s">
        <v>4275</v>
      </c>
      <c r="E139" s="605" t="s">
        <v>2386</v>
      </c>
      <c r="F139" s="605"/>
      <c r="G139" s="402" t="s">
        <v>6</v>
      </c>
      <c r="H139" s="403">
        <v>1</v>
      </c>
      <c r="I139" s="403">
        <v>0</v>
      </c>
      <c r="J139" s="404">
        <v>0.11</v>
      </c>
      <c r="K139" s="404">
        <v>0.11</v>
      </c>
      <c r="L139" s="168"/>
    </row>
    <row r="140" spans="1:12" ht="15" x14ac:dyDescent="0.3">
      <c r="A140" s="400" t="s">
        <v>1038</v>
      </c>
      <c r="B140" s="401" t="s">
        <v>4066</v>
      </c>
      <c r="C140" s="400" t="s">
        <v>395</v>
      </c>
      <c r="D140" s="400" t="s">
        <v>4067</v>
      </c>
      <c r="E140" s="605" t="s">
        <v>2381</v>
      </c>
      <c r="F140" s="605"/>
      <c r="G140" s="402" t="s">
        <v>6</v>
      </c>
      <c r="H140" s="403">
        <v>1</v>
      </c>
      <c r="I140" s="403">
        <v>0</v>
      </c>
      <c r="J140" s="404">
        <v>1.72</v>
      </c>
      <c r="K140" s="404">
        <v>1.72</v>
      </c>
      <c r="L140" s="168"/>
    </row>
    <row r="141" spans="1:12" ht="26.4" x14ac:dyDescent="0.3">
      <c r="A141" s="400" t="s">
        <v>1038</v>
      </c>
      <c r="B141" s="401" t="s">
        <v>4572</v>
      </c>
      <c r="C141" s="400" t="s">
        <v>395</v>
      </c>
      <c r="D141" s="400" t="s">
        <v>4573</v>
      </c>
      <c r="E141" s="605" t="s">
        <v>1053</v>
      </c>
      <c r="F141" s="605"/>
      <c r="G141" s="402" t="s">
        <v>6</v>
      </c>
      <c r="H141" s="403">
        <v>1</v>
      </c>
      <c r="I141" s="403">
        <v>0</v>
      </c>
      <c r="J141" s="404">
        <v>30.61</v>
      </c>
      <c r="K141" s="404">
        <v>30.61</v>
      </c>
      <c r="L141" s="168"/>
    </row>
    <row r="142" spans="1:12" ht="15" customHeight="1" x14ac:dyDescent="0.3">
      <c r="A142" s="405"/>
      <c r="B142" s="405"/>
      <c r="C142" s="405"/>
      <c r="D142" s="405"/>
      <c r="E142" s="405" t="s">
        <v>1046</v>
      </c>
      <c r="F142" s="406">
        <v>30.74</v>
      </c>
      <c r="G142" s="405" t="s">
        <v>1047</v>
      </c>
      <c r="H142" s="406">
        <v>0</v>
      </c>
      <c r="I142" s="405" t="s">
        <v>1048</v>
      </c>
      <c r="J142" s="406">
        <v>30.74</v>
      </c>
      <c r="K142"/>
      <c r="L142" s="168"/>
    </row>
    <row r="143" spans="1:12" ht="25.5" customHeight="1" thickBot="1" x14ac:dyDescent="0.35">
      <c r="A143" s="405"/>
      <c r="B143" s="405"/>
      <c r="C143" s="405"/>
      <c r="D143" s="405"/>
      <c r="E143" s="405" t="s">
        <v>1049</v>
      </c>
      <c r="F143" s="406">
        <v>0</v>
      </c>
      <c r="G143" s="405"/>
      <c r="H143" s="606"/>
      <c r="I143" s="606" t="s">
        <v>1050</v>
      </c>
      <c r="J143" s="406">
        <v>40.950000000000003</v>
      </c>
      <c r="K143"/>
      <c r="L143" s="168"/>
    </row>
    <row r="144" spans="1:12" ht="25.5" customHeight="1" thickTop="1" x14ac:dyDescent="0.3">
      <c r="A144" s="407"/>
      <c r="B144" s="407"/>
      <c r="C144" s="407"/>
      <c r="D144" s="407"/>
      <c r="E144" s="407"/>
      <c r="F144" s="407"/>
      <c r="G144" s="407"/>
      <c r="H144" s="407"/>
      <c r="I144" s="407"/>
      <c r="J144" s="407"/>
      <c r="K144" s="407"/>
      <c r="L144" s="168"/>
    </row>
    <row r="145" spans="1:12" ht="15" customHeight="1" x14ac:dyDescent="0.3">
      <c r="A145" s="382" t="s">
        <v>615</v>
      </c>
      <c r="B145" s="312" t="s">
        <v>413</v>
      </c>
      <c r="C145" s="382" t="s">
        <v>414</v>
      </c>
      <c r="D145" s="382" t="s">
        <v>415</v>
      </c>
      <c r="E145" s="586" t="s">
        <v>1029</v>
      </c>
      <c r="F145" s="586"/>
      <c r="G145" s="383" t="s">
        <v>416</v>
      </c>
      <c r="H145" s="312" t="s">
        <v>1030</v>
      </c>
      <c r="I145" s="312" t="s">
        <v>3016</v>
      </c>
      <c r="J145" s="312" t="s">
        <v>1031</v>
      </c>
      <c r="K145" s="312" t="s">
        <v>1032</v>
      </c>
      <c r="L145" s="168"/>
    </row>
    <row r="146" spans="1:12" ht="12.75" customHeight="1" x14ac:dyDescent="0.3">
      <c r="A146" s="313" t="s">
        <v>1033</v>
      </c>
      <c r="B146" s="315" t="s">
        <v>3775</v>
      </c>
      <c r="C146" s="313" t="s">
        <v>395</v>
      </c>
      <c r="D146" s="313" t="s">
        <v>227</v>
      </c>
      <c r="E146" s="603" t="s">
        <v>7768</v>
      </c>
      <c r="F146" s="603"/>
      <c r="G146" s="314" t="s">
        <v>6</v>
      </c>
      <c r="H146" s="399">
        <v>1</v>
      </c>
      <c r="I146" s="316"/>
      <c r="J146" s="316">
        <v>35.11</v>
      </c>
      <c r="K146" s="316">
        <v>35.11</v>
      </c>
      <c r="L146" s="168"/>
    </row>
    <row r="147" spans="1:12" ht="15" customHeight="1" x14ac:dyDescent="0.3">
      <c r="A147" s="408" t="s">
        <v>1034</v>
      </c>
      <c r="B147" s="409" t="s">
        <v>5128</v>
      </c>
      <c r="C147" s="408" t="s">
        <v>395</v>
      </c>
      <c r="D147" s="408" t="s">
        <v>5129</v>
      </c>
      <c r="E147" s="604" t="s">
        <v>7768</v>
      </c>
      <c r="F147" s="604"/>
      <c r="G147" s="410" t="s">
        <v>6</v>
      </c>
      <c r="H147" s="412">
        <v>1</v>
      </c>
      <c r="I147" s="412">
        <v>0</v>
      </c>
      <c r="J147" s="411">
        <v>0.13</v>
      </c>
      <c r="K147" s="411">
        <v>0.13</v>
      </c>
      <c r="L147" s="168"/>
    </row>
    <row r="148" spans="1:12" ht="15" x14ac:dyDescent="0.3">
      <c r="A148" s="400" t="s">
        <v>1038</v>
      </c>
      <c r="B148" s="401" t="s">
        <v>4640</v>
      </c>
      <c r="C148" s="400" t="s">
        <v>395</v>
      </c>
      <c r="D148" s="400" t="s">
        <v>4641</v>
      </c>
      <c r="E148" s="605" t="s">
        <v>1053</v>
      </c>
      <c r="F148" s="605"/>
      <c r="G148" s="402" t="s">
        <v>6</v>
      </c>
      <c r="H148" s="403">
        <v>1</v>
      </c>
      <c r="I148" s="403">
        <v>0</v>
      </c>
      <c r="J148" s="404">
        <v>24.77</v>
      </c>
      <c r="K148" s="404">
        <v>24.77</v>
      </c>
      <c r="L148" s="168"/>
    </row>
    <row r="149" spans="1:12" ht="15" x14ac:dyDescent="0.3">
      <c r="A149" s="400" t="s">
        <v>1038</v>
      </c>
      <c r="B149" s="401" t="s">
        <v>4028</v>
      </c>
      <c r="C149" s="400" t="s">
        <v>395</v>
      </c>
      <c r="D149" s="400" t="s">
        <v>4029</v>
      </c>
      <c r="E149" s="605" t="s">
        <v>4030</v>
      </c>
      <c r="F149" s="605"/>
      <c r="G149" s="402" t="s">
        <v>6</v>
      </c>
      <c r="H149" s="403">
        <v>1</v>
      </c>
      <c r="I149" s="403">
        <v>0</v>
      </c>
      <c r="J149" s="404">
        <v>4.78</v>
      </c>
      <c r="K149" s="404">
        <v>4.78</v>
      </c>
      <c r="L149" s="168"/>
    </row>
    <row r="150" spans="1:12" ht="15" x14ac:dyDescent="0.3">
      <c r="A150" s="400" t="s">
        <v>1038</v>
      </c>
      <c r="B150" s="401" t="s">
        <v>4066</v>
      </c>
      <c r="C150" s="400" t="s">
        <v>395</v>
      </c>
      <c r="D150" s="400" t="s">
        <v>4067</v>
      </c>
      <c r="E150" s="605" t="s">
        <v>2381</v>
      </c>
      <c r="F150" s="605"/>
      <c r="G150" s="402" t="s">
        <v>6</v>
      </c>
      <c r="H150" s="403">
        <v>1</v>
      </c>
      <c r="I150" s="403">
        <v>0</v>
      </c>
      <c r="J150" s="404">
        <v>1.72</v>
      </c>
      <c r="K150" s="404">
        <v>1.72</v>
      </c>
      <c r="L150" s="168"/>
    </row>
    <row r="151" spans="1:12" ht="15" customHeight="1" x14ac:dyDescent="0.3">
      <c r="A151" s="400" t="s">
        <v>1038</v>
      </c>
      <c r="B151" s="401" t="s">
        <v>4078</v>
      </c>
      <c r="C151" s="400" t="s">
        <v>395</v>
      </c>
      <c r="D151" s="400" t="s">
        <v>4079</v>
      </c>
      <c r="E151" s="605" t="s">
        <v>4030</v>
      </c>
      <c r="F151" s="605"/>
      <c r="G151" s="402" t="s">
        <v>6</v>
      </c>
      <c r="H151" s="403">
        <v>1</v>
      </c>
      <c r="I151" s="403">
        <v>0</v>
      </c>
      <c r="J151" s="404">
        <v>1.25</v>
      </c>
      <c r="K151" s="404">
        <v>1.25</v>
      </c>
      <c r="L151" s="168"/>
    </row>
    <row r="152" spans="1:12" ht="25.5" customHeight="1" x14ac:dyDescent="0.3">
      <c r="A152" s="400" t="s">
        <v>1038</v>
      </c>
      <c r="B152" s="401" t="s">
        <v>4274</v>
      </c>
      <c r="C152" s="400" t="s">
        <v>395</v>
      </c>
      <c r="D152" s="400" t="s">
        <v>4275</v>
      </c>
      <c r="E152" s="605" t="s">
        <v>2386</v>
      </c>
      <c r="F152" s="605"/>
      <c r="G152" s="402" t="s">
        <v>6</v>
      </c>
      <c r="H152" s="403">
        <v>1</v>
      </c>
      <c r="I152" s="403">
        <v>0</v>
      </c>
      <c r="J152" s="404">
        <v>0.11</v>
      </c>
      <c r="K152" s="404">
        <v>0.11</v>
      </c>
      <c r="L152" s="168"/>
    </row>
    <row r="153" spans="1:12" ht="25.5" customHeight="1" x14ac:dyDescent="0.3">
      <c r="A153" s="400" t="s">
        <v>1038</v>
      </c>
      <c r="B153" s="401" t="s">
        <v>4200</v>
      </c>
      <c r="C153" s="400" t="s">
        <v>395</v>
      </c>
      <c r="D153" s="400" t="s">
        <v>4201</v>
      </c>
      <c r="E153" s="605" t="s">
        <v>1317</v>
      </c>
      <c r="F153" s="605"/>
      <c r="G153" s="402" t="s">
        <v>6</v>
      </c>
      <c r="H153" s="403">
        <v>1</v>
      </c>
      <c r="I153" s="403">
        <v>0</v>
      </c>
      <c r="J153" s="404">
        <v>0.56000000000000005</v>
      </c>
      <c r="K153" s="404">
        <v>0.56000000000000005</v>
      </c>
      <c r="L153" s="168"/>
    </row>
    <row r="154" spans="1:12" ht="17.399999999999999" customHeight="1" x14ac:dyDescent="0.3">
      <c r="A154" s="400" t="s">
        <v>1038</v>
      </c>
      <c r="B154" s="401" t="s">
        <v>4146</v>
      </c>
      <c r="C154" s="400" t="s">
        <v>395</v>
      </c>
      <c r="D154" s="400" t="s">
        <v>4147</v>
      </c>
      <c r="E154" s="605" t="s">
        <v>1317</v>
      </c>
      <c r="F154" s="605"/>
      <c r="G154" s="402" t="s">
        <v>6</v>
      </c>
      <c r="H154" s="403">
        <v>1</v>
      </c>
      <c r="I154" s="403">
        <v>0</v>
      </c>
      <c r="J154" s="404">
        <v>1.79</v>
      </c>
      <c r="K154" s="404">
        <v>1.79</v>
      </c>
      <c r="L154" s="168"/>
    </row>
    <row r="155" spans="1:12" ht="15" x14ac:dyDescent="0.3">
      <c r="A155" s="405"/>
      <c r="B155" s="405"/>
      <c r="C155" s="405"/>
      <c r="D155" s="405"/>
      <c r="E155" s="405" t="s">
        <v>1046</v>
      </c>
      <c r="F155" s="406">
        <v>24.9</v>
      </c>
      <c r="G155" s="405" t="s">
        <v>1047</v>
      </c>
      <c r="H155" s="406">
        <v>0</v>
      </c>
      <c r="I155" s="405" t="s">
        <v>1048</v>
      </c>
      <c r="J155" s="406">
        <v>24.9</v>
      </c>
      <c r="K155"/>
      <c r="L155" s="168"/>
    </row>
    <row r="156" spans="1:12" ht="15" customHeight="1" thickBot="1" x14ac:dyDescent="0.35">
      <c r="A156" s="405"/>
      <c r="B156" s="405"/>
      <c r="C156" s="405"/>
      <c r="D156" s="405"/>
      <c r="E156" s="405" t="s">
        <v>1049</v>
      </c>
      <c r="F156" s="406">
        <v>0</v>
      </c>
      <c r="G156" s="405"/>
      <c r="H156" s="606"/>
      <c r="I156" s="606" t="s">
        <v>1050</v>
      </c>
      <c r="J156" s="406">
        <v>35.11</v>
      </c>
      <c r="K156"/>
      <c r="L156" s="166"/>
    </row>
    <row r="157" spans="1:12" ht="15" customHeight="1" thickTop="1" x14ac:dyDescent="0.3">
      <c r="A157" s="407"/>
      <c r="B157" s="407"/>
      <c r="C157" s="407"/>
      <c r="D157" s="407"/>
      <c r="E157" s="407"/>
      <c r="F157" s="407"/>
      <c r="G157" s="407"/>
      <c r="H157" s="407"/>
      <c r="I157" s="407"/>
      <c r="J157" s="407"/>
      <c r="K157" s="407"/>
      <c r="L157" s="168"/>
    </row>
    <row r="158" spans="1:12" ht="15" x14ac:dyDescent="0.3">
      <c r="A158" s="382" t="s">
        <v>616</v>
      </c>
      <c r="B158" s="312" t="s">
        <v>413</v>
      </c>
      <c r="C158" s="382" t="s">
        <v>414</v>
      </c>
      <c r="D158" s="382" t="s">
        <v>415</v>
      </c>
      <c r="E158" s="586" t="s">
        <v>1029</v>
      </c>
      <c r="F158" s="586"/>
      <c r="G158" s="383" t="s">
        <v>416</v>
      </c>
      <c r="H158" s="312" t="s">
        <v>1030</v>
      </c>
      <c r="I158" s="312" t="s">
        <v>3016</v>
      </c>
      <c r="J158" s="312" t="s">
        <v>1031</v>
      </c>
      <c r="K158" s="312" t="s">
        <v>1032</v>
      </c>
      <c r="L158" s="168"/>
    </row>
    <row r="159" spans="1:12" ht="15" x14ac:dyDescent="0.3">
      <c r="A159" s="313" t="s">
        <v>1033</v>
      </c>
      <c r="B159" s="315" t="s">
        <v>3776</v>
      </c>
      <c r="C159" s="313" t="s">
        <v>395</v>
      </c>
      <c r="D159" s="313" t="s">
        <v>158</v>
      </c>
      <c r="E159" s="603" t="s">
        <v>7768</v>
      </c>
      <c r="F159" s="603"/>
      <c r="G159" s="314" t="s">
        <v>10</v>
      </c>
      <c r="H159" s="399">
        <v>1</v>
      </c>
      <c r="I159" s="316"/>
      <c r="J159" s="316">
        <v>6525.75</v>
      </c>
      <c r="K159" s="316">
        <v>6525.75</v>
      </c>
      <c r="L159" s="168"/>
    </row>
    <row r="160" spans="1:12" ht="15" customHeight="1" x14ac:dyDescent="0.3">
      <c r="A160" s="400" t="s">
        <v>1038</v>
      </c>
      <c r="B160" s="401" t="s">
        <v>4037</v>
      </c>
      <c r="C160" s="400" t="s">
        <v>395</v>
      </c>
      <c r="D160" s="400" t="s">
        <v>4038</v>
      </c>
      <c r="E160" s="605" t="s">
        <v>1053</v>
      </c>
      <c r="F160" s="605"/>
      <c r="G160" s="402" t="s">
        <v>10</v>
      </c>
      <c r="H160" s="403">
        <v>1</v>
      </c>
      <c r="I160" s="403">
        <v>0</v>
      </c>
      <c r="J160" s="404">
        <v>5042.63</v>
      </c>
      <c r="K160" s="404">
        <v>5042.63</v>
      </c>
      <c r="L160" s="168"/>
    </row>
    <row r="161" spans="1:12" ht="25.5" customHeight="1" x14ac:dyDescent="0.3">
      <c r="A161" s="400" t="s">
        <v>1038</v>
      </c>
      <c r="B161" s="401" t="s">
        <v>6169</v>
      </c>
      <c r="C161" s="400" t="s">
        <v>395</v>
      </c>
      <c r="D161" s="400" t="s">
        <v>6170</v>
      </c>
      <c r="E161" s="605" t="s">
        <v>6126</v>
      </c>
      <c r="F161" s="605"/>
      <c r="G161" s="402" t="s">
        <v>10</v>
      </c>
      <c r="H161" s="403">
        <v>1</v>
      </c>
      <c r="I161" s="403">
        <v>0</v>
      </c>
      <c r="J161" s="404">
        <v>289.5</v>
      </c>
      <c r="K161" s="404">
        <v>289.5</v>
      </c>
      <c r="L161" s="168"/>
    </row>
    <row r="162" spans="1:12" ht="25.5" customHeight="1" x14ac:dyDescent="0.3">
      <c r="A162" s="400" t="s">
        <v>1038</v>
      </c>
      <c r="B162" s="401" t="s">
        <v>6124</v>
      </c>
      <c r="C162" s="400" t="s">
        <v>395</v>
      </c>
      <c r="D162" s="400" t="s">
        <v>6125</v>
      </c>
      <c r="E162" s="605" t="s">
        <v>6126</v>
      </c>
      <c r="F162" s="605"/>
      <c r="G162" s="402" t="s">
        <v>10</v>
      </c>
      <c r="H162" s="403">
        <v>1</v>
      </c>
      <c r="I162" s="403">
        <v>0</v>
      </c>
      <c r="J162" s="404">
        <v>806.06</v>
      </c>
      <c r="K162" s="404">
        <v>806.06</v>
      </c>
      <c r="L162" s="168"/>
    </row>
    <row r="163" spans="1:12" ht="15" x14ac:dyDescent="0.3">
      <c r="A163" s="400" t="s">
        <v>1038</v>
      </c>
      <c r="B163" s="401" t="s">
        <v>4061</v>
      </c>
      <c r="C163" s="400" t="s">
        <v>395</v>
      </c>
      <c r="D163" s="400" t="s">
        <v>4062</v>
      </c>
      <c r="E163" s="605" t="s">
        <v>1039</v>
      </c>
      <c r="F163" s="605"/>
      <c r="G163" s="402" t="s">
        <v>10</v>
      </c>
      <c r="H163" s="403">
        <v>1</v>
      </c>
      <c r="I163" s="403">
        <v>0</v>
      </c>
      <c r="J163" s="404">
        <v>210.14</v>
      </c>
      <c r="K163" s="404">
        <v>210.14</v>
      </c>
      <c r="L163" s="168"/>
    </row>
    <row r="164" spans="1:12" ht="15" x14ac:dyDescent="0.3">
      <c r="A164" s="400" t="s">
        <v>1038</v>
      </c>
      <c r="B164" s="401" t="s">
        <v>4222</v>
      </c>
      <c r="C164" s="400" t="s">
        <v>395</v>
      </c>
      <c r="D164" s="400" t="s">
        <v>4223</v>
      </c>
      <c r="E164" s="605" t="s">
        <v>1039</v>
      </c>
      <c r="F164" s="605"/>
      <c r="G164" s="402" t="s">
        <v>10</v>
      </c>
      <c r="H164" s="403">
        <v>1</v>
      </c>
      <c r="I164" s="403">
        <v>0</v>
      </c>
      <c r="J164" s="404">
        <v>18.28</v>
      </c>
      <c r="K164" s="404">
        <v>18.28</v>
      </c>
      <c r="L164" s="168"/>
    </row>
    <row r="165" spans="1:12" ht="15" customHeight="1" x14ac:dyDescent="0.3">
      <c r="A165" s="400" t="s">
        <v>1038</v>
      </c>
      <c r="B165" s="401" t="s">
        <v>4553</v>
      </c>
      <c r="C165" s="400" t="s">
        <v>395</v>
      </c>
      <c r="D165" s="400" t="s">
        <v>4554</v>
      </c>
      <c r="E165" s="605" t="s">
        <v>1317</v>
      </c>
      <c r="F165" s="605"/>
      <c r="G165" s="402" t="s">
        <v>10</v>
      </c>
      <c r="H165" s="403">
        <v>1</v>
      </c>
      <c r="I165" s="403">
        <v>0</v>
      </c>
      <c r="J165" s="404">
        <v>12.19</v>
      </c>
      <c r="K165" s="404">
        <v>12.19</v>
      </c>
      <c r="L165" s="168"/>
    </row>
    <row r="166" spans="1:12" ht="17.399999999999999" customHeight="1" x14ac:dyDescent="0.3">
      <c r="A166" s="400" t="s">
        <v>1038</v>
      </c>
      <c r="B166" s="401" t="s">
        <v>4162</v>
      </c>
      <c r="C166" s="400" t="s">
        <v>395</v>
      </c>
      <c r="D166" s="400" t="s">
        <v>4163</v>
      </c>
      <c r="E166" s="605" t="s">
        <v>1317</v>
      </c>
      <c r="F166" s="605"/>
      <c r="G166" s="402" t="s">
        <v>10</v>
      </c>
      <c r="H166" s="403">
        <v>1</v>
      </c>
      <c r="I166" s="403">
        <v>0</v>
      </c>
      <c r="J166" s="404">
        <v>146.94999999999999</v>
      </c>
      <c r="K166" s="404">
        <v>146.94999999999999</v>
      </c>
      <c r="L166" s="169"/>
    </row>
    <row r="167" spans="1:12" ht="15" x14ac:dyDescent="0.3">
      <c r="A167" s="405"/>
      <c r="B167" s="405"/>
      <c r="C167" s="405"/>
      <c r="D167" s="405"/>
      <c r="E167" s="405" t="s">
        <v>1046</v>
      </c>
      <c r="F167" s="406">
        <v>5042.63</v>
      </c>
      <c r="G167" s="405" t="s">
        <v>1047</v>
      </c>
      <c r="H167" s="406">
        <v>0</v>
      </c>
      <c r="I167" s="405" t="s">
        <v>1048</v>
      </c>
      <c r="J167" s="406">
        <v>5042.63</v>
      </c>
      <c r="K167"/>
      <c r="L167" s="168"/>
    </row>
    <row r="168" spans="1:12" ht="14.25" customHeight="1" thickBot="1" x14ac:dyDescent="0.35">
      <c r="A168" s="405"/>
      <c r="B168" s="405"/>
      <c r="C168" s="405"/>
      <c r="D168" s="405"/>
      <c r="E168" s="405" t="s">
        <v>1049</v>
      </c>
      <c r="F168" s="406">
        <v>0</v>
      </c>
      <c r="G168" s="405"/>
      <c r="H168" s="606"/>
      <c r="I168" s="606" t="s">
        <v>1050</v>
      </c>
      <c r="J168" s="406">
        <v>6525.75</v>
      </c>
      <c r="K168"/>
      <c r="L168" s="168"/>
    </row>
    <row r="169" spans="1:12" ht="15" customHeight="1" thickTop="1" x14ac:dyDescent="0.3">
      <c r="A169" s="407"/>
      <c r="B169" s="407"/>
      <c r="C169" s="407"/>
      <c r="D169" s="407"/>
      <c r="E169" s="407"/>
      <c r="F169" s="407"/>
      <c r="G169" s="407"/>
      <c r="H169" s="407"/>
      <c r="I169" s="407"/>
      <c r="J169" s="407"/>
      <c r="K169" s="407"/>
      <c r="L169" s="166"/>
    </row>
    <row r="170" spans="1:12" ht="25.5" customHeight="1" x14ac:dyDescent="0.3">
      <c r="A170" s="382" t="s">
        <v>617</v>
      </c>
      <c r="B170" s="312" t="s">
        <v>413</v>
      </c>
      <c r="C170" s="382" t="s">
        <v>414</v>
      </c>
      <c r="D170" s="382" t="s">
        <v>415</v>
      </c>
      <c r="E170" s="586" t="s">
        <v>1029</v>
      </c>
      <c r="F170" s="586"/>
      <c r="G170" s="383" t="s">
        <v>416</v>
      </c>
      <c r="H170" s="312" t="s">
        <v>1030</v>
      </c>
      <c r="I170" s="312" t="s">
        <v>3016</v>
      </c>
      <c r="J170" s="312" t="s">
        <v>1031</v>
      </c>
      <c r="K170" s="312" t="s">
        <v>1032</v>
      </c>
      <c r="L170" s="166"/>
    </row>
    <row r="171" spans="1:12" ht="25.5" customHeight="1" x14ac:dyDescent="0.3">
      <c r="A171" s="313" t="s">
        <v>1033</v>
      </c>
      <c r="B171" s="315" t="s">
        <v>3777</v>
      </c>
      <c r="C171" s="313" t="s">
        <v>395</v>
      </c>
      <c r="D171" s="313" t="s">
        <v>132</v>
      </c>
      <c r="E171" s="603" t="s">
        <v>7768</v>
      </c>
      <c r="F171" s="603"/>
      <c r="G171" s="314" t="s">
        <v>10</v>
      </c>
      <c r="H171" s="399">
        <v>1</v>
      </c>
      <c r="I171" s="316"/>
      <c r="J171" s="316">
        <v>3752.45</v>
      </c>
      <c r="K171" s="316">
        <v>3752.45</v>
      </c>
      <c r="L171" s="166"/>
    </row>
    <row r="172" spans="1:12" ht="12.75" customHeight="1" x14ac:dyDescent="0.3">
      <c r="A172" s="400" t="s">
        <v>1038</v>
      </c>
      <c r="B172" s="401" t="s">
        <v>6169</v>
      </c>
      <c r="C172" s="400" t="s">
        <v>395</v>
      </c>
      <c r="D172" s="400" t="s">
        <v>6170</v>
      </c>
      <c r="E172" s="605" t="s">
        <v>6126</v>
      </c>
      <c r="F172" s="605"/>
      <c r="G172" s="402" t="s">
        <v>10</v>
      </c>
      <c r="H172" s="403">
        <v>1</v>
      </c>
      <c r="I172" s="403">
        <v>0</v>
      </c>
      <c r="J172" s="404">
        <v>289.5</v>
      </c>
      <c r="K172" s="404">
        <v>289.5</v>
      </c>
      <c r="L172" s="166"/>
    </row>
    <row r="173" spans="1:12" ht="25.5" customHeight="1" x14ac:dyDescent="0.3">
      <c r="A173" s="400" t="s">
        <v>1038</v>
      </c>
      <c r="B173" s="401" t="s">
        <v>6124</v>
      </c>
      <c r="C173" s="400" t="s">
        <v>395</v>
      </c>
      <c r="D173" s="400" t="s">
        <v>6125</v>
      </c>
      <c r="E173" s="605" t="s">
        <v>6126</v>
      </c>
      <c r="F173" s="605"/>
      <c r="G173" s="402" t="s">
        <v>10</v>
      </c>
      <c r="H173" s="403">
        <v>1</v>
      </c>
      <c r="I173" s="403">
        <v>0</v>
      </c>
      <c r="J173" s="404">
        <v>806.06</v>
      </c>
      <c r="K173" s="404">
        <v>806.06</v>
      </c>
      <c r="L173" s="167"/>
    </row>
    <row r="174" spans="1:12" ht="15" customHeight="1" x14ac:dyDescent="0.3">
      <c r="A174" s="400" t="s">
        <v>1038</v>
      </c>
      <c r="B174" s="401" t="s">
        <v>4061</v>
      </c>
      <c r="C174" s="400" t="s">
        <v>395</v>
      </c>
      <c r="D174" s="400" t="s">
        <v>4062</v>
      </c>
      <c r="E174" s="605" t="s">
        <v>1039</v>
      </c>
      <c r="F174" s="605"/>
      <c r="G174" s="402" t="s">
        <v>10</v>
      </c>
      <c r="H174" s="403">
        <v>1</v>
      </c>
      <c r="I174" s="403">
        <v>0</v>
      </c>
      <c r="J174" s="404">
        <v>210.14</v>
      </c>
      <c r="K174" s="404">
        <v>210.14</v>
      </c>
      <c r="L174" s="168"/>
    </row>
    <row r="175" spans="1:12" ht="15" x14ac:dyDescent="0.3">
      <c r="A175" s="400" t="s">
        <v>1038</v>
      </c>
      <c r="B175" s="401" t="s">
        <v>4222</v>
      </c>
      <c r="C175" s="400" t="s">
        <v>395</v>
      </c>
      <c r="D175" s="400" t="s">
        <v>4223</v>
      </c>
      <c r="E175" s="605" t="s">
        <v>1039</v>
      </c>
      <c r="F175" s="605"/>
      <c r="G175" s="402" t="s">
        <v>10</v>
      </c>
      <c r="H175" s="403">
        <v>1</v>
      </c>
      <c r="I175" s="403">
        <v>0</v>
      </c>
      <c r="J175" s="404">
        <v>18.28</v>
      </c>
      <c r="K175" s="404">
        <v>18.28</v>
      </c>
      <c r="L175" s="168"/>
    </row>
    <row r="176" spans="1:12" ht="15" x14ac:dyDescent="0.3">
      <c r="A176" s="400" t="s">
        <v>1038</v>
      </c>
      <c r="B176" s="401" t="s">
        <v>4057</v>
      </c>
      <c r="C176" s="400" t="s">
        <v>395</v>
      </c>
      <c r="D176" s="400" t="s">
        <v>4058</v>
      </c>
      <c r="E176" s="605" t="s">
        <v>1053</v>
      </c>
      <c r="F176" s="605"/>
      <c r="G176" s="402" t="s">
        <v>10</v>
      </c>
      <c r="H176" s="403">
        <v>1</v>
      </c>
      <c r="I176" s="403">
        <v>0</v>
      </c>
      <c r="J176" s="404">
        <v>2269.33</v>
      </c>
      <c r="K176" s="404">
        <v>2269.33</v>
      </c>
      <c r="L176" s="168"/>
    </row>
    <row r="177" spans="1:12" ht="17.399999999999999" customHeight="1" x14ac:dyDescent="0.3">
      <c r="A177" s="400" t="s">
        <v>1038</v>
      </c>
      <c r="B177" s="401" t="s">
        <v>4553</v>
      </c>
      <c r="C177" s="400" t="s">
        <v>395</v>
      </c>
      <c r="D177" s="400" t="s">
        <v>4554</v>
      </c>
      <c r="E177" s="605" t="s">
        <v>1317</v>
      </c>
      <c r="F177" s="605"/>
      <c r="G177" s="402" t="s">
        <v>10</v>
      </c>
      <c r="H177" s="403">
        <v>1</v>
      </c>
      <c r="I177" s="403">
        <v>0</v>
      </c>
      <c r="J177" s="404">
        <v>12.19</v>
      </c>
      <c r="K177" s="404">
        <v>12.19</v>
      </c>
      <c r="L177" s="166"/>
    </row>
    <row r="178" spans="1:12" ht="15" customHeight="1" x14ac:dyDescent="0.3">
      <c r="A178" s="400" t="s">
        <v>1038</v>
      </c>
      <c r="B178" s="401" t="s">
        <v>4162</v>
      </c>
      <c r="C178" s="400" t="s">
        <v>395</v>
      </c>
      <c r="D178" s="400" t="s">
        <v>4163</v>
      </c>
      <c r="E178" s="605" t="s">
        <v>1317</v>
      </c>
      <c r="F178" s="605"/>
      <c r="G178" s="402" t="s">
        <v>10</v>
      </c>
      <c r="H178" s="403">
        <v>1</v>
      </c>
      <c r="I178" s="403">
        <v>0</v>
      </c>
      <c r="J178" s="404">
        <v>146.94999999999999</v>
      </c>
      <c r="K178" s="404">
        <v>146.94999999999999</v>
      </c>
      <c r="L178" s="166"/>
    </row>
    <row r="179" spans="1:12" ht="15" x14ac:dyDescent="0.3">
      <c r="A179" s="405"/>
      <c r="B179" s="405"/>
      <c r="C179" s="405"/>
      <c r="D179" s="405"/>
      <c r="E179" s="405" t="s">
        <v>1046</v>
      </c>
      <c r="F179" s="406">
        <v>2269.33</v>
      </c>
      <c r="G179" s="405" t="s">
        <v>1047</v>
      </c>
      <c r="H179" s="406">
        <v>0</v>
      </c>
      <c r="I179" s="405" t="s">
        <v>1048</v>
      </c>
      <c r="J179" s="406">
        <v>2269.33</v>
      </c>
      <c r="K179"/>
      <c r="L179" s="168"/>
    </row>
    <row r="180" spans="1:12" ht="14.25" customHeight="1" thickBot="1" x14ac:dyDescent="0.35">
      <c r="A180" s="405"/>
      <c r="B180" s="405"/>
      <c r="C180" s="405"/>
      <c r="D180" s="405"/>
      <c r="E180" s="405" t="s">
        <v>1049</v>
      </c>
      <c r="F180" s="406">
        <v>0</v>
      </c>
      <c r="G180" s="405"/>
      <c r="H180" s="606"/>
      <c r="I180" s="606" t="s">
        <v>1050</v>
      </c>
      <c r="J180" s="406">
        <v>3752.45</v>
      </c>
      <c r="K180"/>
      <c r="L180" s="168"/>
    </row>
    <row r="181" spans="1:12" ht="15.6" thickTop="1" x14ac:dyDescent="0.3">
      <c r="A181" s="407"/>
      <c r="B181" s="407"/>
      <c r="C181" s="407"/>
      <c r="D181" s="407"/>
      <c r="E181" s="407"/>
      <c r="F181" s="407"/>
      <c r="G181" s="407"/>
      <c r="H181" s="407"/>
      <c r="I181" s="407"/>
      <c r="J181" s="407"/>
      <c r="K181" s="407"/>
      <c r="L181" s="168"/>
    </row>
    <row r="182" spans="1:12" ht="15" x14ac:dyDescent="0.3">
      <c r="A182" s="382" t="s">
        <v>618</v>
      </c>
      <c r="B182" s="312" t="s">
        <v>413</v>
      </c>
      <c r="C182" s="382" t="s">
        <v>414</v>
      </c>
      <c r="D182" s="382" t="s">
        <v>415</v>
      </c>
      <c r="E182" s="586" t="s">
        <v>1029</v>
      </c>
      <c r="F182" s="586"/>
      <c r="G182" s="383" t="s">
        <v>416</v>
      </c>
      <c r="H182" s="312" t="s">
        <v>1030</v>
      </c>
      <c r="I182" s="312" t="s">
        <v>3016</v>
      </c>
      <c r="J182" s="312" t="s">
        <v>1031</v>
      </c>
      <c r="K182" s="312" t="s">
        <v>1032</v>
      </c>
      <c r="L182" s="166"/>
    </row>
    <row r="183" spans="1:12" ht="26.4" x14ac:dyDescent="0.3">
      <c r="A183" s="313" t="s">
        <v>1033</v>
      </c>
      <c r="B183" s="315" t="s">
        <v>851</v>
      </c>
      <c r="C183" s="313" t="s">
        <v>5902</v>
      </c>
      <c r="D183" s="313" t="s">
        <v>852</v>
      </c>
      <c r="E183" s="603">
        <v>2.02</v>
      </c>
      <c r="F183" s="603"/>
      <c r="G183" s="314" t="s">
        <v>853</v>
      </c>
      <c r="H183" s="399">
        <v>1</v>
      </c>
      <c r="I183" s="316"/>
      <c r="J183" s="316">
        <v>1588.65</v>
      </c>
      <c r="K183" s="316">
        <v>1588.65</v>
      </c>
      <c r="L183" s="166"/>
    </row>
    <row r="184" spans="1:12" ht="26.4" x14ac:dyDescent="0.3">
      <c r="A184" s="400" t="s">
        <v>1038</v>
      </c>
      <c r="B184" s="401" t="s">
        <v>1051</v>
      </c>
      <c r="C184" s="400" t="s">
        <v>5902</v>
      </c>
      <c r="D184" s="400" t="s">
        <v>1052</v>
      </c>
      <c r="E184" s="605" t="s">
        <v>1053</v>
      </c>
      <c r="F184" s="605"/>
      <c r="G184" s="402" t="s">
        <v>6</v>
      </c>
      <c r="H184" s="403">
        <v>0.99</v>
      </c>
      <c r="I184" s="403">
        <v>0</v>
      </c>
      <c r="J184" s="404">
        <v>33.119999999999997</v>
      </c>
      <c r="K184" s="404">
        <v>32.788800000000002</v>
      </c>
      <c r="L184" s="168"/>
    </row>
    <row r="185" spans="1:12" ht="39.6" x14ac:dyDescent="0.3">
      <c r="A185" s="400" t="s">
        <v>1038</v>
      </c>
      <c r="B185" s="401" t="s">
        <v>1633</v>
      </c>
      <c r="C185" s="400" t="s">
        <v>5902</v>
      </c>
      <c r="D185" s="400" t="s">
        <v>1634</v>
      </c>
      <c r="E185" s="605" t="s">
        <v>1039</v>
      </c>
      <c r="F185" s="605"/>
      <c r="G185" s="402" t="s">
        <v>853</v>
      </c>
      <c r="H185" s="403">
        <v>1</v>
      </c>
      <c r="I185" s="403">
        <v>0</v>
      </c>
      <c r="J185" s="404">
        <v>1433.14</v>
      </c>
      <c r="K185" s="404">
        <v>1433.14</v>
      </c>
      <c r="L185" s="168"/>
    </row>
    <row r="186" spans="1:12" ht="15" customHeight="1" x14ac:dyDescent="0.3">
      <c r="A186" s="400" t="s">
        <v>1038</v>
      </c>
      <c r="B186" s="401" t="s">
        <v>1054</v>
      </c>
      <c r="C186" s="400" t="s">
        <v>5902</v>
      </c>
      <c r="D186" s="400" t="s">
        <v>1055</v>
      </c>
      <c r="E186" s="605" t="s">
        <v>1053</v>
      </c>
      <c r="F186" s="605"/>
      <c r="G186" s="402" t="s">
        <v>6</v>
      </c>
      <c r="H186" s="403">
        <v>1.32</v>
      </c>
      <c r="I186" s="403">
        <v>0</v>
      </c>
      <c r="J186" s="404">
        <v>22.71</v>
      </c>
      <c r="K186" s="404">
        <v>29.9772</v>
      </c>
      <c r="L186" s="168"/>
    </row>
    <row r="187" spans="1:12" ht="26.4" x14ac:dyDescent="0.3">
      <c r="A187" s="400" t="s">
        <v>1038</v>
      </c>
      <c r="B187" s="401" t="s">
        <v>1358</v>
      </c>
      <c r="C187" s="400" t="s">
        <v>5902</v>
      </c>
      <c r="D187" s="400" t="s">
        <v>1359</v>
      </c>
      <c r="E187" s="605" t="s">
        <v>1053</v>
      </c>
      <c r="F187" s="605"/>
      <c r="G187" s="402" t="s">
        <v>6</v>
      </c>
      <c r="H187" s="403">
        <v>1.32</v>
      </c>
      <c r="I187" s="403">
        <v>0</v>
      </c>
      <c r="J187" s="404">
        <v>22.71</v>
      </c>
      <c r="K187" s="404">
        <v>29.9772</v>
      </c>
      <c r="L187" s="166"/>
    </row>
    <row r="188" spans="1:12" ht="12.75" customHeight="1" x14ac:dyDescent="0.3">
      <c r="A188" s="400" t="s">
        <v>1038</v>
      </c>
      <c r="B188" s="401" t="s">
        <v>1631</v>
      </c>
      <c r="C188" s="400" t="s">
        <v>5902</v>
      </c>
      <c r="D188" s="400" t="s">
        <v>1632</v>
      </c>
      <c r="E188" s="605" t="s">
        <v>1053</v>
      </c>
      <c r="F188" s="605"/>
      <c r="G188" s="402" t="s">
        <v>6</v>
      </c>
      <c r="H188" s="403">
        <v>1.32</v>
      </c>
      <c r="I188" s="403">
        <v>0</v>
      </c>
      <c r="J188" s="404">
        <v>22.71</v>
      </c>
      <c r="K188" s="404">
        <v>29.9772</v>
      </c>
      <c r="L188" s="166"/>
    </row>
    <row r="189" spans="1:12" ht="26.4" x14ac:dyDescent="0.3">
      <c r="A189" s="400" t="s">
        <v>1038</v>
      </c>
      <c r="B189" s="401" t="s">
        <v>1360</v>
      </c>
      <c r="C189" s="400" t="s">
        <v>5902</v>
      </c>
      <c r="D189" s="400" t="s">
        <v>1361</v>
      </c>
      <c r="E189" s="605" t="s">
        <v>1053</v>
      </c>
      <c r="F189" s="605"/>
      <c r="G189" s="402" t="s">
        <v>6</v>
      </c>
      <c r="H189" s="403">
        <v>0.99</v>
      </c>
      <c r="I189" s="403">
        <v>0</v>
      </c>
      <c r="J189" s="404">
        <v>33.119999999999997</v>
      </c>
      <c r="K189" s="404">
        <v>32.788800000000002</v>
      </c>
      <c r="L189" s="168"/>
    </row>
    <row r="190" spans="1:12" ht="15" customHeight="1" x14ac:dyDescent="0.3">
      <c r="A190" s="405"/>
      <c r="B190" s="405"/>
      <c r="C190" s="405"/>
      <c r="D190" s="405"/>
      <c r="E190" s="405" t="s">
        <v>1046</v>
      </c>
      <c r="F190" s="406">
        <v>155.52000000000001</v>
      </c>
      <c r="G190" s="405" t="s">
        <v>1047</v>
      </c>
      <c r="H190" s="406">
        <v>0</v>
      </c>
      <c r="I190" s="405" t="s">
        <v>1048</v>
      </c>
      <c r="J190" s="406">
        <v>155.52000000000001</v>
      </c>
      <c r="K190"/>
      <c r="L190" s="168"/>
    </row>
    <row r="191" spans="1:12" ht="25.5" customHeight="1" thickBot="1" x14ac:dyDescent="0.35">
      <c r="A191" s="405"/>
      <c r="B191" s="405"/>
      <c r="C191" s="405"/>
      <c r="D191" s="405"/>
      <c r="E191" s="405" t="s">
        <v>1049</v>
      </c>
      <c r="F191" s="406">
        <v>0</v>
      </c>
      <c r="G191" s="405"/>
      <c r="H191" s="606"/>
      <c r="I191" s="606" t="s">
        <v>1050</v>
      </c>
      <c r="J191" s="406">
        <v>1588.65</v>
      </c>
      <c r="K191"/>
      <c r="L191" s="168"/>
    </row>
    <row r="192" spans="1:12" ht="25.5" customHeight="1" thickTop="1" x14ac:dyDescent="0.3">
      <c r="A192" s="407"/>
      <c r="B192" s="407"/>
      <c r="C192" s="407"/>
      <c r="D192" s="407"/>
      <c r="E192" s="407"/>
      <c r="F192" s="407"/>
      <c r="G192" s="407"/>
      <c r="H192" s="407"/>
      <c r="I192" s="407"/>
      <c r="J192" s="407"/>
      <c r="K192" s="407"/>
      <c r="L192" s="166"/>
    </row>
    <row r="193" spans="1:12" ht="15" x14ac:dyDescent="0.3">
      <c r="A193" s="382" t="s">
        <v>619</v>
      </c>
      <c r="B193" s="312" t="s">
        <v>413</v>
      </c>
      <c r="C193" s="382" t="s">
        <v>414</v>
      </c>
      <c r="D193" s="382" t="s">
        <v>415</v>
      </c>
      <c r="E193" s="586" t="s">
        <v>1029</v>
      </c>
      <c r="F193" s="586"/>
      <c r="G193" s="383" t="s">
        <v>416</v>
      </c>
      <c r="H193" s="312" t="s">
        <v>1030</v>
      </c>
      <c r="I193" s="312" t="s">
        <v>3016</v>
      </c>
      <c r="J193" s="312" t="s">
        <v>1031</v>
      </c>
      <c r="K193" s="312" t="s">
        <v>1032</v>
      </c>
      <c r="L193" s="166"/>
    </row>
    <row r="194" spans="1:12" ht="26.4" x14ac:dyDescent="0.3">
      <c r="A194" s="313" t="s">
        <v>1033</v>
      </c>
      <c r="B194" s="315" t="s">
        <v>855</v>
      </c>
      <c r="C194" s="313" t="s">
        <v>5902</v>
      </c>
      <c r="D194" s="313" t="s">
        <v>856</v>
      </c>
      <c r="E194" s="603">
        <v>2.02</v>
      </c>
      <c r="F194" s="603"/>
      <c r="G194" s="314" t="s">
        <v>853</v>
      </c>
      <c r="H194" s="399">
        <v>1</v>
      </c>
      <c r="I194" s="316"/>
      <c r="J194" s="316">
        <v>1532.04</v>
      </c>
      <c r="K194" s="316">
        <v>1532.04</v>
      </c>
      <c r="L194" s="166"/>
    </row>
    <row r="195" spans="1:12" ht="15" customHeight="1" x14ac:dyDescent="0.3">
      <c r="A195" s="400" t="s">
        <v>1038</v>
      </c>
      <c r="B195" s="401" t="s">
        <v>1635</v>
      </c>
      <c r="C195" s="400" t="s">
        <v>5902</v>
      </c>
      <c r="D195" s="400" t="s">
        <v>1636</v>
      </c>
      <c r="E195" s="605" t="s">
        <v>1039</v>
      </c>
      <c r="F195" s="605"/>
      <c r="G195" s="402" t="s">
        <v>853</v>
      </c>
      <c r="H195" s="403">
        <v>1</v>
      </c>
      <c r="I195" s="403">
        <v>0</v>
      </c>
      <c r="J195" s="404">
        <v>1376.53</v>
      </c>
      <c r="K195" s="404">
        <v>1376.53</v>
      </c>
      <c r="L195" s="166"/>
    </row>
    <row r="196" spans="1:12" ht="26.4" x14ac:dyDescent="0.3">
      <c r="A196" s="400" t="s">
        <v>1038</v>
      </c>
      <c r="B196" s="401" t="s">
        <v>1631</v>
      </c>
      <c r="C196" s="400" t="s">
        <v>5902</v>
      </c>
      <c r="D196" s="400" t="s">
        <v>1632</v>
      </c>
      <c r="E196" s="605" t="s">
        <v>1053</v>
      </c>
      <c r="F196" s="605"/>
      <c r="G196" s="402" t="s">
        <v>6</v>
      </c>
      <c r="H196" s="403">
        <v>1.32</v>
      </c>
      <c r="I196" s="403">
        <v>0</v>
      </c>
      <c r="J196" s="404">
        <v>22.71</v>
      </c>
      <c r="K196" s="404">
        <v>29.9772</v>
      </c>
      <c r="L196" s="166"/>
    </row>
    <row r="197" spans="1:12" ht="17.399999999999999" customHeight="1" x14ac:dyDescent="0.3">
      <c r="A197" s="400" t="s">
        <v>1038</v>
      </c>
      <c r="B197" s="401" t="s">
        <v>1051</v>
      </c>
      <c r="C197" s="400" t="s">
        <v>5902</v>
      </c>
      <c r="D197" s="400" t="s">
        <v>1052</v>
      </c>
      <c r="E197" s="605" t="s">
        <v>1053</v>
      </c>
      <c r="F197" s="605"/>
      <c r="G197" s="402" t="s">
        <v>6</v>
      </c>
      <c r="H197" s="403">
        <v>0.99</v>
      </c>
      <c r="I197" s="403">
        <v>0</v>
      </c>
      <c r="J197" s="404">
        <v>33.119999999999997</v>
      </c>
      <c r="K197" s="404">
        <v>32.788800000000002</v>
      </c>
      <c r="L197" s="166"/>
    </row>
    <row r="198" spans="1:12" ht="12.75" customHeight="1" x14ac:dyDescent="0.3">
      <c r="A198" s="400" t="s">
        <v>1038</v>
      </c>
      <c r="B198" s="401" t="s">
        <v>1054</v>
      </c>
      <c r="C198" s="400" t="s">
        <v>5902</v>
      </c>
      <c r="D198" s="400" t="s">
        <v>1055</v>
      </c>
      <c r="E198" s="605" t="s">
        <v>1053</v>
      </c>
      <c r="F198" s="605"/>
      <c r="G198" s="402" t="s">
        <v>6</v>
      </c>
      <c r="H198" s="403">
        <v>1.32</v>
      </c>
      <c r="I198" s="403">
        <v>0</v>
      </c>
      <c r="J198" s="404">
        <v>22.71</v>
      </c>
      <c r="K198" s="404">
        <v>29.9772</v>
      </c>
      <c r="L198" s="166"/>
    </row>
    <row r="199" spans="1:12" ht="26.4" x14ac:dyDescent="0.3">
      <c r="A199" s="400" t="s">
        <v>1038</v>
      </c>
      <c r="B199" s="401" t="s">
        <v>1360</v>
      </c>
      <c r="C199" s="400" t="s">
        <v>5902</v>
      </c>
      <c r="D199" s="400" t="s">
        <v>1361</v>
      </c>
      <c r="E199" s="605" t="s">
        <v>1053</v>
      </c>
      <c r="F199" s="605"/>
      <c r="G199" s="402" t="s">
        <v>6</v>
      </c>
      <c r="H199" s="403">
        <v>0.99</v>
      </c>
      <c r="I199" s="403">
        <v>0</v>
      </c>
      <c r="J199" s="404">
        <v>33.119999999999997</v>
      </c>
      <c r="K199" s="404">
        <v>32.788800000000002</v>
      </c>
      <c r="L199" s="166"/>
    </row>
    <row r="200" spans="1:12" ht="26.4" x14ac:dyDescent="0.3">
      <c r="A200" s="400" t="s">
        <v>1038</v>
      </c>
      <c r="B200" s="401" t="s">
        <v>1358</v>
      </c>
      <c r="C200" s="400" t="s">
        <v>5902</v>
      </c>
      <c r="D200" s="400" t="s">
        <v>1359</v>
      </c>
      <c r="E200" s="605" t="s">
        <v>1053</v>
      </c>
      <c r="F200" s="605"/>
      <c r="G200" s="402" t="s">
        <v>6</v>
      </c>
      <c r="H200" s="403">
        <v>1.32</v>
      </c>
      <c r="I200" s="403">
        <v>0</v>
      </c>
      <c r="J200" s="404">
        <v>22.71</v>
      </c>
      <c r="K200" s="404">
        <v>29.9772</v>
      </c>
      <c r="L200" s="167"/>
    </row>
    <row r="201" spans="1:12" ht="15" x14ac:dyDescent="0.3">
      <c r="A201" s="405"/>
      <c r="B201" s="405"/>
      <c r="C201" s="405"/>
      <c r="D201" s="405"/>
      <c r="E201" s="405" t="s">
        <v>1046</v>
      </c>
      <c r="F201" s="406">
        <v>155.52000000000001</v>
      </c>
      <c r="G201" s="405" t="s">
        <v>1047</v>
      </c>
      <c r="H201" s="406">
        <v>0</v>
      </c>
      <c r="I201" s="405" t="s">
        <v>1048</v>
      </c>
      <c r="J201" s="406">
        <v>155.52000000000001</v>
      </c>
      <c r="K201"/>
      <c r="L201" s="168"/>
    </row>
    <row r="202" spans="1:12" ht="15.6" thickBot="1" x14ac:dyDescent="0.35">
      <c r="A202" s="405"/>
      <c r="B202" s="405"/>
      <c r="C202" s="405"/>
      <c r="D202" s="405"/>
      <c r="E202" s="405" t="s">
        <v>1049</v>
      </c>
      <c r="F202" s="406">
        <v>0</v>
      </c>
      <c r="G202" s="405"/>
      <c r="H202" s="606"/>
      <c r="I202" s="606" t="s">
        <v>1050</v>
      </c>
      <c r="J202" s="406">
        <v>1532.04</v>
      </c>
      <c r="K202"/>
      <c r="L202" s="168"/>
    </row>
    <row r="203" spans="1:12" ht="15.6" thickTop="1" x14ac:dyDescent="0.3">
      <c r="A203" s="407"/>
      <c r="B203" s="407"/>
      <c r="C203" s="407"/>
      <c r="D203" s="407"/>
      <c r="E203" s="407"/>
      <c r="F203" s="407"/>
      <c r="G203" s="407"/>
      <c r="H203" s="407"/>
      <c r="I203" s="407"/>
      <c r="J203" s="407"/>
      <c r="K203" s="407"/>
      <c r="L203" s="168"/>
    </row>
    <row r="204" spans="1:12" ht="15" customHeight="1" x14ac:dyDescent="0.3">
      <c r="A204" s="382" t="s">
        <v>620</v>
      </c>
      <c r="B204" s="312" t="s">
        <v>413</v>
      </c>
      <c r="C204" s="382" t="s">
        <v>414</v>
      </c>
      <c r="D204" s="382" t="s">
        <v>415</v>
      </c>
      <c r="E204" s="586" t="s">
        <v>1029</v>
      </c>
      <c r="F204" s="586"/>
      <c r="G204" s="383" t="s">
        <v>416</v>
      </c>
      <c r="H204" s="312" t="s">
        <v>1030</v>
      </c>
      <c r="I204" s="312" t="s">
        <v>3016</v>
      </c>
      <c r="J204" s="312" t="s">
        <v>1031</v>
      </c>
      <c r="K204" s="312" t="s">
        <v>1032</v>
      </c>
      <c r="L204" s="166"/>
    </row>
    <row r="205" spans="1:12" ht="79.2" x14ac:dyDescent="0.3">
      <c r="A205" s="313" t="s">
        <v>1033</v>
      </c>
      <c r="B205" s="315" t="s">
        <v>2931</v>
      </c>
      <c r="C205" s="313" t="s">
        <v>439</v>
      </c>
      <c r="D205" s="313" t="s">
        <v>2626</v>
      </c>
      <c r="E205" s="603" t="s">
        <v>781</v>
      </c>
      <c r="F205" s="603"/>
      <c r="G205" s="314" t="s">
        <v>2627</v>
      </c>
      <c r="H205" s="399">
        <v>1</v>
      </c>
      <c r="I205" s="316"/>
      <c r="J205" s="316">
        <v>965.14</v>
      </c>
      <c r="K205" s="316">
        <v>965.14</v>
      </c>
      <c r="L205" s="166"/>
    </row>
    <row r="206" spans="1:12" ht="17.399999999999999" customHeight="1" x14ac:dyDescent="0.3">
      <c r="A206" s="408" t="s">
        <v>1034</v>
      </c>
      <c r="B206" s="409" t="s">
        <v>3097</v>
      </c>
      <c r="C206" s="408" t="s">
        <v>439</v>
      </c>
      <c r="D206" s="408" t="s">
        <v>7769</v>
      </c>
      <c r="E206" s="604" t="s">
        <v>7770</v>
      </c>
      <c r="F206" s="604"/>
      <c r="G206" s="410" t="s">
        <v>422</v>
      </c>
      <c r="H206" s="412">
        <v>6.6666699999999995E-2</v>
      </c>
      <c r="I206" s="412">
        <v>0</v>
      </c>
      <c r="J206" s="411">
        <v>55.9</v>
      </c>
      <c r="K206" s="411">
        <v>3.7266685000000002</v>
      </c>
      <c r="L206" s="168"/>
    </row>
    <row r="207" spans="1:12" ht="79.2" x14ac:dyDescent="0.3">
      <c r="A207" s="400" t="s">
        <v>1038</v>
      </c>
      <c r="B207" s="401" t="s">
        <v>6261</v>
      </c>
      <c r="C207" s="400" t="s">
        <v>439</v>
      </c>
      <c r="D207" s="400" t="s">
        <v>3096</v>
      </c>
      <c r="E207" s="605" t="s">
        <v>1039</v>
      </c>
      <c r="F207" s="605"/>
      <c r="G207" s="402" t="s">
        <v>422</v>
      </c>
      <c r="H207" s="403">
        <v>1</v>
      </c>
      <c r="I207" s="403">
        <v>0</v>
      </c>
      <c r="J207" s="404">
        <v>934.47</v>
      </c>
      <c r="K207" s="404">
        <v>934.47</v>
      </c>
      <c r="L207" s="168"/>
    </row>
    <row r="208" spans="1:12" ht="39.6" x14ac:dyDescent="0.3">
      <c r="A208" s="400" t="s">
        <v>1038</v>
      </c>
      <c r="B208" s="401" t="s">
        <v>7038</v>
      </c>
      <c r="C208" s="400" t="s">
        <v>439</v>
      </c>
      <c r="D208" s="400" t="s">
        <v>3094</v>
      </c>
      <c r="E208" s="605" t="s">
        <v>1039</v>
      </c>
      <c r="F208" s="605"/>
      <c r="G208" s="402" t="s">
        <v>422</v>
      </c>
      <c r="H208" s="403">
        <v>4.1666700000000001E-2</v>
      </c>
      <c r="I208" s="403">
        <v>0</v>
      </c>
      <c r="J208" s="404">
        <v>643.5</v>
      </c>
      <c r="K208" s="404">
        <v>26.812521499999999</v>
      </c>
      <c r="L208" s="168"/>
    </row>
    <row r="209" spans="1:12" ht="39.6" x14ac:dyDescent="0.3">
      <c r="A209" s="400" t="s">
        <v>1038</v>
      </c>
      <c r="B209" s="401" t="s">
        <v>7722</v>
      </c>
      <c r="C209" s="400" t="s">
        <v>439</v>
      </c>
      <c r="D209" s="400" t="s">
        <v>3095</v>
      </c>
      <c r="E209" s="605" t="s">
        <v>1039</v>
      </c>
      <c r="F209" s="605"/>
      <c r="G209" s="402" t="s">
        <v>422</v>
      </c>
      <c r="H209" s="403">
        <v>1.17333E-2</v>
      </c>
      <c r="I209" s="403">
        <v>0</v>
      </c>
      <c r="J209" s="404">
        <v>10.9</v>
      </c>
      <c r="K209" s="404">
        <v>0.12789300000000001</v>
      </c>
      <c r="L209" s="166"/>
    </row>
    <row r="210" spans="1:12" ht="15" x14ac:dyDescent="0.3">
      <c r="A210" s="405"/>
      <c r="B210" s="405"/>
      <c r="C210" s="405"/>
      <c r="D210" s="405"/>
      <c r="E210" s="405" t="s">
        <v>1046</v>
      </c>
      <c r="F210" s="406">
        <v>0.77</v>
      </c>
      <c r="G210" s="405" t="s">
        <v>1047</v>
      </c>
      <c r="H210" s="406">
        <v>0</v>
      </c>
      <c r="I210" s="405" t="s">
        <v>1048</v>
      </c>
      <c r="J210" s="406">
        <v>0.77</v>
      </c>
      <c r="K210"/>
      <c r="L210" s="166"/>
    </row>
    <row r="211" spans="1:12" ht="15.6" thickBot="1" x14ac:dyDescent="0.35">
      <c r="A211" s="405"/>
      <c r="B211" s="405"/>
      <c r="C211" s="405"/>
      <c r="D211" s="405"/>
      <c r="E211" s="405" t="s">
        <v>1049</v>
      </c>
      <c r="F211" s="406">
        <v>0</v>
      </c>
      <c r="G211" s="405"/>
      <c r="H211" s="606"/>
      <c r="I211" s="606" t="s">
        <v>1050</v>
      </c>
      <c r="J211" s="406">
        <v>965.14</v>
      </c>
      <c r="K211"/>
      <c r="L211" s="168"/>
    </row>
    <row r="212" spans="1:12" ht="12.75" customHeight="1" thickTop="1" x14ac:dyDescent="0.3">
      <c r="A212" s="407"/>
      <c r="B212" s="407"/>
      <c r="C212" s="407"/>
      <c r="D212" s="407"/>
      <c r="E212" s="407"/>
      <c r="F212" s="407"/>
      <c r="G212" s="407"/>
      <c r="H212" s="407"/>
      <c r="I212" s="407"/>
      <c r="J212" s="407"/>
      <c r="K212" s="407"/>
      <c r="L212" s="168"/>
    </row>
    <row r="213" spans="1:12" ht="15" customHeight="1" x14ac:dyDescent="0.3">
      <c r="A213" s="382" t="s">
        <v>621</v>
      </c>
      <c r="B213" s="312" t="s">
        <v>413</v>
      </c>
      <c r="C213" s="382" t="s">
        <v>414</v>
      </c>
      <c r="D213" s="382" t="s">
        <v>415</v>
      </c>
      <c r="E213" s="586" t="s">
        <v>1029</v>
      </c>
      <c r="F213" s="586"/>
      <c r="G213" s="383" t="s">
        <v>416</v>
      </c>
      <c r="H213" s="312" t="s">
        <v>1030</v>
      </c>
      <c r="I213" s="312" t="s">
        <v>3016</v>
      </c>
      <c r="J213" s="312" t="s">
        <v>1031</v>
      </c>
      <c r="K213" s="312" t="s">
        <v>1032</v>
      </c>
      <c r="L213" s="168"/>
    </row>
    <row r="214" spans="1:12" ht="14.25" customHeight="1" x14ac:dyDescent="0.3">
      <c r="A214" s="313" t="s">
        <v>1033</v>
      </c>
      <c r="B214" s="315" t="s">
        <v>858</v>
      </c>
      <c r="C214" s="313" t="s">
        <v>5902</v>
      </c>
      <c r="D214" s="313" t="s">
        <v>859</v>
      </c>
      <c r="E214" s="603">
        <v>2.02</v>
      </c>
      <c r="F214" s="603"/>
      <c r="G214" s="314" t="s">
        <v>853</v>
      </c>
      <c r="H214" s="399">
        <v>1</v>
      </c>
      <c r="I214" s="316"/>
      <c r="J214" s="316">
        <v>999.51</v>
      </c>
      <c r="K214" s="316">
        <v>999.51</v>
      </c>
      <c r="L214" s="166"/>
    </row>
    <row r="215" spans="1:12" ht="17.399999999999999" customHeight="1" x14ac:dyDescent="0.3">
      <c r="A215" s="400" t="s">
        <v>1038</v>
      </c>
      <c r="B215" s="401" t="s">
        <v>1637</v>
      </c>
      <c r="C215" s="400" t="s">
        <v>5902</v>
      </c>
      <c r="D215" s="400" t="s">
        <v>1638</v>
      </c>
      <c r="E215" s="605" t="s">
        <v>1039</v>
      </c>
      <c r="F215" s="605"/>
      <c r="G215" s="402" t="s">
        <v>853</v>
      </c>
      <c r="H215" s="403">
        <v>1</v>
      </c>
      <c r="I215" s="403">
        <v>0</v>
      </c>
      <c r="J215" s="404">
        <v>906.77</v>
      </c>
      <c r="K215" s="404">
        <v>906.77</v>
      </c>
      <c r="L215" s="166"/>
    </row>
    <row r="216" spans="1:12" ht="14.25" customHeight="1" x14ac:dyDescent="0.3">
      <c r="A216" s="400" t="s">
        <v>1038</v>
      </c>
      <c r="B216" s="401" t="s">
        <v>1631</v>
      </c>
      <c r="C216" s="400" t="s">
        <v>5902</v>
      </c>
      <c r="D216" s="400" t="s">
        <v>1632</v>
      </c>
      <c r="E216" s="605" t="s">
        <v>1053</v>
      </c>
      <c r="F216" s="605"/>
      <c r="G216" s="402" t="s">
        <v>6</v>
      </c>
      <c r="H216" s="403">
        <v>1.32</v>
      </c>
      <c r="I216" s="403">
        <v>0</v>
      </c>
      <c r="J216" s="404">
        <v>22.71</v>
      </c>
      <c r="K216" s="404">
        <v>29.9772</v>
      </c>
      <c r="L216" s="168"/>
    </row>
    <row r="217" spans="1:12" ht="25.5" customHeight="1" x14ac:dyDescent="0.3">
      <c r="A217" s="400" t="s">
        <v>1038</v>
      </c>
      <c r="B217" s="401" t="s">
        <v>1051</v>
      </c>
      <c r="C217" s="400" t="s">
        <v>5902</v>
      </c>
      <c r="D217" s="400" t="s">
        <v>1052</v>
      </c>
      <c r="E217" s="605" t="s">
        <v>1053</v>
      </c>
      <c r="F217" s="605"/>
      <c r="G217" s="402" t="s">
        <v>6</v>
      </c>
      <c r="H217" s="403">
        <v>0.99</v>
      </c>
      <c r="I217" s="403">
        <v>0</v>
      </c>
      <c r="J217" s="404">
        <v>33.119999999999997</v>
      </c>
      <c r="K217" s="404">
        <v>32.788800000000002</v>
      </c>
      <c r="L217" s="168"/>
    </row>
    <row r="218" spans="1:12" ht="25.5" customHeight="1" x14ac:dyDescent="0.3">
      <c r="A218" s="400" t="s">
        <v>1038</v>
      </c>
      <c r="B218" s="401" t="s">
        <v>1054</v>
      </c>
      <c r="C218" s="400" t="s">
        <v>5902</v>
      </c>
      <c r="D218" s="400" t="s">
        <v>1055</v>
      </c>
      <c r="E218" s="605" t="s">
        <v>1053</v>
      </c>
      <c r="F218" s="605"/>
      <c r="G218" s="402" t="s">
        <v>6</v>
      </c>
      <c r="H218" s="403">
        <v>1.32</v>
      </c>
      <c r="I218" s="403">
        <v>0</v>
      </c>
      <c r="J218" s="404">
        <v>22.71</v>
      </c>
      <c r="K218" s="404">
        <v>29.9772</v>
      </c>
      <c r="L218" s="168"/>
    </row>
    <row r="219" spans="1:12" ht="25.5" customHeight="1" x14ac:dyDescent="0.3">
      <c r="A219" s="405"/>
      <c r="B219" s="405"/>
      <c r="C219" s="405"/>
      <c r="D219" s="405"/>
      <c r="E219" s="405" t="s">
        <v>1046</v>
      </c>
      <c r="F219" s="406">
        <v>92.75</v>
      </c>
      <c r="G219" s="405" t="s">
        <v>1047</v>
      </c>
      <c r="H219" s="406">
        <v>0</v>
      </c>
      <c r="I219" s="405" t="s">
        <v>1048</v>
      </c>
      <c r="J219" s="406">
        <v>92.75</v>
      </c>
      <c r="K219"/>
      <c r="L219" s="166"/>
    </row>
    <row r="220" spans="1:12" ht="25.5" customHeight="1" thickBot="1" x14ac:dyDescent="0.35">
      <c r="A220" s="405"/>
      <c r="B220" s="405"/>
      <c r="C220" s="405"/>
      <c r="D220" s="405"/>
      <c r="E220" s="405" t="s">
        <v>1049</v>
      </c>
      <c r="F220" s="406">
        <v>0</v>
      </c>
      <c r="G220" s="405"/>
      <c r="H220" s="606"/>
      <c r="I220" s="606" t="s">
        <v>1050</v>
      </c>
      <c r="J220" s="406">
        <v>999.51</v>
      </c>
      <c r="K220"/>
      <c r="L220" s="166"/>
    </row>
    <row r="221" spans="1:12" ht="25.5" customHeight="1" thickTop="1" x14ac:dyDescent="0.3">
      <c r="A221" s="407"/>
      <c r="B221" s="407"/>
      <c r="C221" s="407"/>
      <c r="D221" s="407"/>
      <c r="E221" s="407"/>
      <c r="F221" s="407"/>
      <c r="G221" s="407"/>
      <c r="H221" s="407"/>
      <c r="I221" s="407"/>
      <c r="J221" s="407"/>
      <c r="K221" s="407"/>
      <c r="L221" s="166"/>
    </row>
    <row r="222" spans="1:12" ht="15" customHeight="1" x14ac:dyDescent="0.3">
      <c r="A222" s="382" t="s">
        <v>622</v>
      </c>
      <c r="B222" s="312" t="s">
        <v>413</v>
      </c>
      <c r="C222" s="382" t="s">
        <v>414</v>
      </c>
      <c r="D222" s="382" t="s">
        <v>415</v>
      </c>
      <c r="E222" s="586" t="s">
        <v>1029</v>
      </c>
      <c r="F222" s="586"/>
      <c r="G222" s="383" t="s">
        <v>416</v>
      </c>
      <c r="H222" s="312" t="s">
        <v>1030</v>
      </c>
      <c r="I222" s="312" t="s">
        <v>3016</v>
      </c>
      <c r="J222" s="312" t="s">
        <v>1031</v>
      </c>
      <c r="K222" s="312" t="s">
        <v>1032</v>
      </c>
      <c r="L222" s="166"/>
    </row>
    <row r="223" spans="1:12" ht="26.4" x14ac:dyDescent="0.3">
      <c r="A223" s="313" t="s">
        <v>1033</v>
      </c>
      <c r="B223" s="315" t="s">
        <v>2136</v>
      </c>
      <c r="C223" s="313" t="s">
        <v>5902</v>
      </c>
      <c r="D223" s="313" t="s">
        <v>1795</v>
      </c>
      <c r="E223" s="603">
        <v>2.02</v>
      </c>
      <c r="F223" s="603"/>
      <c r="G223" s="314" t="s">
        <v>853</v>
      </c>
      <c r="H223" s="399">
        <v>1</v>
      </c>
      <c r="I223" s="316"/>
      <c r="J223" s="316">
        <v>1017.42</v>
      </c>
      <c r="K223" s="316">
        <v>1017.42</v>
      </c>
      <c r="L223" s="166"/>
    </row>
    <row r="224" spans="1:12" ht="14.25" customHeight="1" x14ac:dyDescent="0.3">
      <c r="A224" s="400" t="s">
        <v>1038</v>
      </c>
      <c r="B224" s="401" t="s">
        <v>1051</v>
      </c>
      <c r="C224" s="400" t="s">
        <v>5902</v>
      </c>
      <c r="D224" s="400" t="s">
        <v>1052</v>
      </c>
      <c r="E224" s="605" t="s">
        <v>1053</v>
      </c>
      <c r="F224" s="605"/>
      <c r="G224" s="402" t="s">
        <v>6</v>
      </c>
      <c r="H224" s="403">
        <v>0.33</v>
      </c>
      <c r="I224" s="403">
        <v>0</v>
      </c>
      <c r="J224" s="404">
        <v>33.119999999999997</v>
      </c>
      <c r="K224" s="404">
        <v>10.929600000000001</v>
      </c>
      <c r="L224" s="166"/>
    </row>
    <row r="225" spans="1:12" ht="39.6" x14ac:dyDescent="0.3">
      <c r="A225" s="400" t="s">
        <v>1038</v>
      </c>
      <c r="B225" s="401" t="s">
        <v>2394</v>
      </c>
      <c r="C225" s="400" t="s">
        <v>5902</v>
      </c>
      <c r="D225" s="400" t="s">
        <v>2395</v>
      </c>
      <c r="E225" s="605" t="s">
        <v>1039</v>
      </c>
      <c r="F225" s="605"/>
      <c r="G225" s="402" t="s">
        <v>853</v>
      </c>
      <c r="H225" s="403">
        <v>1</v>
      </c>
      <c r="I225" s="403">
        <v>0</v>
      </c>
      <c r="J225" s="404">
        <v>986.51</v>
      </c>
      <c r="K225" s="404">
        <v>986.51</v>
      </c>
      <c r="L225" s="166"/>
    </row>
    <row r="226" spans="1:12" ht="15" customHeight="1" x14ac:dyDescent="0.3">
      <c r="A226" s="400" t="s">
        <v>1038</v>
      </c>
      <c r="B226" s="401" t="s">
        <v>1054</v>
      </c>
      <c r="C226" s="400" t="s">
        <v>5902</v>
      </c>
      <c r="D226" s="400" t="s">
        <v>1055</v>
      </c>
      <c r="E226" s="605" t="s">
        <v>1053</v>
      </c>
      <c r="F226" s="605"/>
      <c r="G226" s="402" t="s">
        <v>6</v>
      </c>
      <c r="H226" s="403">
        <v>0.44</v>
      </c>
      <c r="I226" s="403">
        <v>0</v>
      </c>
      <c r="J226" s="404">
        <v>22.71</v>
      </c>
      <c r="K226" s="404">
        <v>9.9923999999999999</v>
      </c>
      <c r="L226" s="166"/>
    </row>
    <row r="227" spans="1:12" ht="15" customHeight="1" x14ac:dyDescent="0.3">
      <c r="A227" s="400" t="s">
        <v>1038</v>
      </c>
      <c r="B227" s="401" t="s">
        <v>1631</v>
      </c>
      <c r="C227" s="400" t="s">
        <v>5902</v>
      </c>
      <c r="D227" s="400" t="s">
        <v>1632</v>
      </c>
      <c r="E227" s="605" t="s">
        <v>1053</v>
      </c>
      <c r="F227" s="605"/>
      <c r="G227" s="402" t="s">
        <v>6</v>
      </c>
      <c r="H227" s="403">
        <v>0.44</v>
      </c>
      <c r="I227" s="403">
        <v>0</v>
      </c>
      <c r="J227" s="404">
        <v>22.71</v>
      </c>
      <c r="K227" s="404">
        <v>9.9923999999999999</v>
      </c>
      <c r="L227" s="167"/>
    </row>
    <row r="228" spans="1:12" ht="17.399999999999999" customHeight="1" x14ac:dyDescent="0.3">
      <c r="A228" s="405"/>
      <c r="B228" s="405"/>
      <c r="C228" s="405"/>
      <c r="D228" s="405"/>
      <c r="E228" s="405" t="s">
        <v>1046</v>
      </c>
      <c r="F228" s="406">
        <v>30.91</v>
      </c>
      <c r="G228" s="405" t="s">
        <v>1047</v>
      </c>
      <c r="H228" s="406">
        <v>0</v>
      </c>
      <c r="I228" s="405" t="s">
        <v>1048</v>
      </c>
      <c r="J228" s="406">
        <v>30.91</v>
      </c>
      <c r="K228"/>
      <c r="L228" s="168"/>
    </row>
    <row r="229" spans="1:12" ht="15.6" thickBot="1" x14ac:dyDescent="0.35">
      <c r="A229" s="405"/>
      <c r="B229" s="405"/>
      <c r="C229" s="405"/>
      <c r="D229" s="405"/>
      <c r="E229" s="405" t="s">
        <v>1049</v>
      </c>
      <c r="F229" s="406">
        <v>0</v>
      </c>
      <c r="G229" s="405"/>
      <c r="H229" s="606"/>
      <c r="I229" s="606" t="s">
        <v>1050</v>
      </c>
      <c r="J229" s="406">
        <v>1017.42</v>
      </c>
      <c r="K229"/>
      <c r="L229" s="168"/>
    </row>
    <row r="230" spans="1:12" ht="15.6" thickTop="1" x14ac:dyDescent="0.3">
      <c r="A230" s="407"/>
      <c r="B230" s="407"/>
      <c r="C230" s="407"/>
      <c r="D230" s="407"/>
      <c r="E230" s="407"/>
      <c r="F230" s="407"/>
      <c r="G230" s="407"/>
      <c r="H230" s="407"/>
      <c r="I230" s="407"/>
      <c r="J230" s="407"/>
      <c r="K230" s="407"/>
      <c r="L230" s="168"/>
    </row>
    <row r="231" spans="1:12" ht="15" customHeight="1" x14ac:dyDescent="0.3">
      <c r="A231" s="382" t="s">
        <v>623</v>
      </c>
      <c r="B231" s="312" t="s">
        <v>413</v>
      </c>
      <c r="C231" s="382" t="s">
        <v>414</v>
      </c>
      <c r="D231" s="382" t="s">
        <v>415</v>
      </c>
      <c r="E231" s="586" t="s">
        <v>1029</v>
      </c>
      <c r="F231" s="586"/>
      <c r="G231" s="383" t="s">
        <v>416</v>
      </c>
      <c r="H231" s="312" t="s">
        <v>1030</v>
      </c>
      <c r="I231" s="312" t="s">
        <v>3016</v>
      </c>
      <c r="J231" s="312" t="s">
        <v>1031</v>
      </c>
      <c r="K231" s="312" t="s">
        <v>1032</v>
      </c>
      <c r="L231" s="166"/>
    </row>
    <row r="232" spans="1:12" ht="30" customHeight="1" x14ac:dyDescent="0.3">
      <c r="A232" s="313" t="s">
        <v>1033</v>
      </c>
      <c r="B232" s="315" t="s">
        <v>2137</v>
      </c>
      <c r="C232" s="313" t="s">
        <v>5902</v>
      </c>
      <c r="D232" s="313" t="s">
        <v>1797</v>
      </c>
      <c r="E232" s="603">
        <v>2.0299999999999998</v>
      </c>
      <c r="F232" s="603"/>
      <c r="G232" s="314" t="s">
        <v>675</v>
      </c>
      <c r="H232" s="399">
        <v>1</v>
      </c>
      <c r="I232" s="316"/>
      <c r="J232" s="316">
        <v>109.46</v>
      </c>
      <c r="K232" s="316">
        <v>109.46</v>
      </c>
      <c r="L232" s="166"/>
    </row>
    <row r="233" spans="1:12" ht="30" customHeight="1" x14ac:dyDescent="0.3">
      <c r="A233" s="400" t="s">
        <v>1038</v>
      </c>
      <c r="B233" s="401" t="s">
        <v>1618</v>
      </c>
      <c r="C233" s="400" t="s">
        <v>5902</v>
      </c>
      <c r="D233" s="400" t="s">
        <v>1619</v>
      </c>
      <c r="E233" s="605" t="s">
        <v>1053</v>
      </c>
      <c r="F233" s="605"/>
      <c r="G233" s="402" t="s">
        <v>6</v>
      </c>
      <c r="H233" s="403">
        <v>0.8</v>
      </c>
      <c r="I233" s="403">
        <v>0</v>
      </c>
      <c r="J233" s="404">
        <v>22.71</v>
      </c>
      <c r="K233" s="404">
        <v>18.167999999999999</v>
      </c>
      <c r="L233" s="168"/>
    </row>
    <row r="234" spans="1:12" ht="14.25" customHeight="1" x14ac:dyDescent="0.3">
      <c r="A234" s="400" t="s">
        <v>1038</v>
      </c>
      <c r="B234" s="401" t="s">
        <v>1616</v>
      </c>
      <c r="C234" s="400" t="s">
        <v>5902</v>
      </c>
      <c r="D234" s="400" t="s">
        <v>1617</v>
      </c>
      <c r="E234" s="605" t="s">
        <v>1053</v>
      </c>
      <c r="F234" s="605"/>
      <c r="G234" s="402" t="s">
        <v>6</v>
      </c>
      <c r="H234" s="403">
        <v>0.92649999999999999</v>
      </c>
      <c r="I234" s="403">
        <v>0</v>
      </c>
      <c r="J234" s="404">
        <v>27.64</v>
      </c>
      <c r="K234" s="404">
        <v>25.608460000000001</v>
      </c>
      <c r="L234" s="168"/>
    </row>
    <row r="235" spans="1:12" ht="15" customHeight="1" x14ac:dyDescent="0.3">
      <c r="A235" s="400" t="s">
        <v>1038</v>
      </c>
      <c r="B235" s="401" t="s">
        <v>2303</v>
      </c>
      <c r="C235" s="400" t="s">
        <v>5902</v>
      </c>
      <c r="D235" s="400" t="s">
        <v>2304</v>
      </c>
      <c r="E235" s="605" t="s">
        <v>1053</v>
      </c>
      <c r="F235" s="605"/>
      <c r="G235" s="402" t="s">
        <v>6</v>
      </c>
      <c r="H235" s="403">
        <v>0.315</v>
      </c>
      <c r="I235" s="403">
        <v>0</v>
      </c>
      <c r="J235" s="404">
        <v>33.119999999999997</v>
      </c>
      <c r="K235" s="404">
        <v>10.4328</v>
      </c>
      <c r="L235" s="168"/>
    </row>
    <row r="236" spans="1:12" ht="26.4" x14ac:dyDescent="0.3">
      <c r="A236" s="400" t="s">
        <v>1038</v>
      </c>
      <c r="B236" s="401" t="s">
        <v>2301</v>
      </c>
      <c r="C236" s="400" t="s">
        <v>5902</v>
      </c>
      <c r="D236" s="400" t="s">
        <v>2302</v>
      </c>
      <c r="E236" s="605" t="s">
        <v>1053</v>
      </c>
      <c r="F236" s="605"/>
      <c r="G236" s="402" t="s">
        <v>6</v>
      </c>
      <c r="H236" s="403">
        <v>0.28000000000000003</v>
      </c>
      <c r="I236" s="403">
        <v>0</v>
      </c>
      <c r="J236" s="404">
        <v>22.71</v>
      </c>
      <c r="K236" s="404">
        <v>6.3587999999999996</v>
      </c>
      <c r="L236" s="166"/>
    </row>
    <row r="237" spans="1:12" ht="26.4" x14ac:dyDescent="0.3">
      <c r="A237" s="400" t="s">
        <v>1038</v>
      </c>
      <c r="B237" s="401" t="s">
        <v>2398</v>
      </c>
      <c r="C237" s="400" t="s">
        <v>5902</v>
      </c>
      <c r="D237" s="400" t="s">
        <v>2399</v>
      </c>
      <c r="E237" s="605" t="s">
        <v>1039</v>
      </c>
      <c r="F237" s="605"/>
      <c r="G237" s="402" t="s">
        <v>7</v>
      </c>
      <c r="H237" s="403">
        <v>1.58</v>
      </c>
      <c r="I237" s="403">
        <v>0</v>
      </c>
      <c r="J237" s="404">
        <v>22.76</v>
      </c>
      <c r="K237" s="404">
        <v>35.960799999999999</v>
      </c>
      <c r="L237" s="166"/>
    </row>
    <row r="238" spans="1:12" ht="25.5" customHeight="1" x14ac:dyDescent="0.3">
      <c r="A238" s="400" t="s">
        <v>1038</v>
      </c>
      <c r="B238" s="401" t="s">
        <v>2396</v>
      </c>
      <c r="C238" s="400" t="s">
        <v>5902</v>
      </c>
      <c r="D238" s="400" t="s">
        <v>2397</v>
      </c>
      <c r="E238" s="605" t="s">
        <v>1039</v>
      </c>
      <c r="F238" s="605"/>
      <c r="G238" s="402" t="s">
        <v>675</v>
      </c>
      <c r="H238" s="403">
        <v>0.55000000000000004</v>
      </c>
      <c r="I238" s="403">
        <v>0</v>
      </c>
      <c r="J238" s="404">
        <v>15.3</v>
      </c>
      <c r="K238" s="404">
        <v>8.4149999999999991</v>
      </c>
      <c r="L238" s="168"/>
    </row>
    <row r="239" spans="1:12" ht="38.25" customHeight="1" x14ac:dyDescent="0.3">
      <c r="A239" s="400" t="s">
        <v>1038</v>
      </c>
      <c r="B239" s="401" t="s">
        <v>1627</v>
      </c>
      <c r="C239" s="400" t="s">
        <v>5902</v>
      </c>
      <c r="D239" s="400" t="s">
        <v>1628</v>
      </c>
      <c r="E239" s="605" t="s">
        <v>1039</v>
      </c>
      <c r="F239" s="605"/>
      <c r="G239" s="402" t="s">
        <v>3</v>
      </c>
      <c r="H239" s="403">
        <v>0.15</v>
      </c>
      <c r="I239" s="403">
        <v>0</v>
      </c>
      <c r="J239" s="404">
        <v>9.9</v>
      </c>
      <c r="K239" s="404">
        <v>1.4850000000000001</v>
      </c>
      <c r="L239" s="168"/>
    </row>
    <row r="240" spans="1:12" ht="15" customHeight="1" x14ac:dyDescent="0.3">
      <c r="A240" s="400" t="s">
        <v>1038</v>
      </c>
      <c r="B240" s="401" t="s">
        <v>2400</v>
      </c>
      <c r="C240" s="400" t="s">
        <v>5902</v>
      </c>
      <c r="D240" s="400" t="s">
        <v>2401</v>
      </c>
      <c r="E240" s="605" t="s">
        <v>1039</v>
      </c>
      <c r="F240" s="605"/>
      <c r="G240" s="402" t="s">
        <v>8</v>
      </c>
      <c r="H240" s="403">
        <v>0.17499999999999999</v>
      </c>
      <c r="I240" s="403">
        <v>0</v>
      </c>
      <c r="J240" s="404">
        <v>17.329999999999998</v>
      </c>
      <c r="K240" s="404">
        <v>3.0327500000000001</v>
      </c>
      <c r="L240" s="168"/>
    </row>
    <row r="241" spans="1:12" ht="38.25" customHeight="1" x14ac:dyDescent="0.3">
      <c r="A241" s="405"/>
      <c r="B241" s="405"/>
      <c r="C241" s="405"/>
      <c r="D241" s="405"/>
      <c r="E241" s="405" t="s">
        <v>1046</v>
      </c>
      <c r="F241" s="406">
        <v>60.57</v>
      </c>
      <c r="G241" s="405" t="s">
        <v>1047</v>
      </c>
      <c r="H241" s="406">
        <v>0</v>
      </c>
      <c r="I241" s="405" t="s">
        <v>1048</v>
      </c>
      <c r="J241" s="406">
        <v>60.57</v>
      </c>
      <c r="K241"/>
      <c r="L241" s="166"/>
    </row>
    <row r="242" spans="1:12" ht="38.25" customHeight="1" thickBot="1" x14ac:dyDescent="0.35">
      <c r="A242" s="405"/>
      <c r="B242" s="405"/>
      <c r="C242" s="405"/>
      <c r="D242" s="405"/>
      <c r="E242" s="405" t="s">
        <v>1049</v>
      </c>
      <c r="F242" s="406">
        <v>0</v>
      </c>
      <c r="G242" s="405"/>
      <c r="H242" s="606"/>
      <c r="I242" s="606" t="s">
        <v>1050</v>
      </c>
      <c r="J242" s="406">
        <v>109.46</v>
      </c>
      <c r="K242"/>
      <c r="L242" s="166"/>
    </row>
    <row r="243" spans="1:12" ht="38.25" customHeight="1" thickTop="1" x14ac:dyDescent="0.3">
      <c r="A243" s="407"/>
      <c r="B243" s="407"/>
      <c r="C243" s="407"/>
      <c r="D243" s="407"/>
      <c r="E243" s="407"/>
      <c r="F243" s="407"/>
      <c r="G243" s="407"/>
      <c r="H243" s="407"/>
      <c r="I243" s="407"/>
      <c r="J243" s="407"/>
      <c r="K243" s="407"/>
      <c r="L243" s="168"/>
    </row>
    <row r="244" spans="1:12" ht="25.5" customHeight="1" x14ac:dyDescent="0.3">
      <c r="A244" s="382" t="s">
        <v>624</v>
      </c>
      <c r="B244" s="312" t="s">
        <v>413</v>
      </c>
      <c r="C244" s="382" t="s">
        <v>414</v>
      </c>
      <c r="D244" s="382" t="s">
        <v>415</v>
      </c>
      <c r="E244" s="586" t="s">
        <v>1029</v>
      </c>
      <c r="F244" s="586"/>
      <c r="G244" s="383" t="s">
        <v>416</v>
      </c>
      <c r="H244" s="312" t="s">
        <v>1030</v>
      </c>
      <c r="I244" s="312" t="s">
        <v>3016</v>
      </c>
      <c r="J244" s="312" t="s">
        <v>1031</v>
      </c>
      <c r="K244" s="312" t="s">
        <v>1032</v>
      </c>
      <c r="L244" s="168"/>
    </row>
    <row r="245" spans="1:12" ht="38.25" customHeight="1" x14ac:dyDescent="0.3">
      <c r="A245" s="313" t="s">
        <v>1033</v>
      </c>
      <c r="B245" s="315" t="s">
        <v>3778</v>
      </c>
      <c r="C245" s="313" t="s">
        <v>395</v>
      </c>
      <c r="D245" s="313" t="s">
        <v>5903</v>
      </c>
      <c r="E245" s="603" t="s">
        <v>7771</v>
      </c>
      <c r="F245" s="603"/>
      <c r="G245" s="314" t="s">
        <v>675</v>
      </c>
      <c r="H245" s="399">
        <v>1</v>
      </c>
      <c r="I245" s="316"/>
      <c r="J245" s="316">
        <v>101.84</v>
      </c>
      <c r="K245" s="316">
        <v>101.84</v>
      </c>
      <c r="L245" s="168"/>
    </row>
    <row r="246" spans="1:12" ht="25.5" customHeight="1" x14ac:dyDescent="0.3">
      <c r="A246" s="408" t="s">
        <v>1034</v>
      </c>
      <c r="B246" s="409" t="s">
        <v>1288</v>
      </c>
      <c r="C246" s="408" t="s">
        <v>395</v>
      </c>
      <c r="D246" s="408" t="s">
        <v>124</v>
      </c>
      <c r="E246" s="604" t="s">
        <v>7768</v>
      </c>
      <c r="F246" s="604"/>
      <c r="G246" s="410" t="s">
        <v>6</v>
      </c>
      <c r="H246" s="412">
        <v>0.49199999999999999</v>
      </c>
      <c r="I246" s="412">
        <v>0</v>
      </c>
      <c r="J246" s="411">
        <v>33.47</v>
      </c>
      <c r="K246" s="411">
        <v>16.46724</v>
      </c>
      <c r="L246" s="166"/>
    </row>
    <row r="247" spans="1:12" ht="25.5" customHeight="1" x14ac:dyDescent="0.3">
      <c r="A247" s="408" t="s">
        <v>1034</v>
      </c>
      <c r="B247" s="409" t="s">
        <v>1287</v>
      </c>
      <c r="C247" s="408" t="s">
        <v>395</v>
      </c>
      <c r="D247" s="408" t="s">
        <v>134</v>
      </c>
      <c r="E247" s="604" t="s">
        <v>7768</v>
      </c>
      <c r="F247" s="604"/>
      <c r="G247" s="410" t="s">
        <v>6</v>
      </c>
      <c r="H247" s="412">
        <v>0.73499999999999999</v>
      </c>
      <c r="I247" s="412">
        <v>0</v>
      </c>
      <c r="J247" s="411">
        <v>42.08</v>
      </c>
      <c r="K247" s="411">
        <v>30.928799999999999</v>
      </c>
      <c r="L247" s="166"/>
    </row>
    <row r="248" spans="1:12" ht="14.25" customHeight="1" x14ac:dyDescent="0.3">
      <c r="A248" s="408" t="s">
        <v>1034</v>
      </c>
      <c r="B248" s="409" t="s">
        <v>5130</v>
      </c>
      <c r="C248" s="408" t="s">
        <v>395</v>
      </c>
      <c r="D248" s="408" t="s">
        <v>5131</v>
      </c>
      <c r="E248" s="604" t="s">
        <v>7772</v>
      </c>
      <c r="F248" s="604"/>
      <c r="G248" s="410" t="s">
        <v>15</v>
      </c>
      <c r="H248" s="412">
        <v>6.6E-3</v>
      </c>
      <c r="I248" s="412">
        <v>0</v>
      </c>
      <c r="J248" s="411">
        <v>44.3</v>
      </c>
      <c r="K248" s="411">
        <v>0.29237999999999997</v>
      </c>
      <c r="L248" s="166"/>
    </row>
    <row r="249" spans="1:12" ht="15" customHeight="1" x14ac:dyDescent="0.3">
      <c r="A249" s="408" t="s">
        <v>1034</v>
      </c>
      <c r="B249" s="409" t="s">
        <v>5132</v>
      </c>
      <c r="C249" s="408" t="s">
        <v>395</v>
      </c>
      <c r="D249" s="408" t="s">
        <v>5133</v>
      </c>
      <c r="E249" s="604" t="s">
        <v>7772</v>
      </c>
      <c r="F249" s="604"/>
      <c r="G249" s="410" t="s">
        <v>19</v>
      </c>
      <c r="H249" s="412">
        <v>2.64E-2</v>
      </c>
      <c r="I249" s="412">
        <v>0</v>
      </c>
      <c r="J249" s="411">
        <v>42.49</v>
      </c>
      <c r="K249" s="411">
        <v>1.1217360000000001</v>
      </c>
      <c r="L249" s="166"/>
    </row>
    <row r="250" spans="1:12" ht="25.5" customHeight="1" x14ac:dyDescent="0.3">
      <c r="A250" s="408" t="s">
        <v>1034</v>
      </c>
      <c r="B250" s="409" t="s">
        <v>5134</v>
      </c>
      <c r="C250" s="408" t="s">
        <v>395</v>
      </c>
      <c r="D250" s="408" t="s">
        <v>5135</v>
      </c>
      <c r="E250" s="604" t="s">
        <v>7773</v>
      </c>
      <c r="F250" s="604"/>
      <c r="G250" s="410" t="s">
        <v>713</v>
      </c>
      <c r="H250" s="412">
        <v>6.1000000000000004E-3</v>
      </c>
      <c r="I250" s="412">
        <v>0</v>
      </c>
      <c r="J250" s="411">
        <v>535.80999999999995</v>
      </c>
      <c r="K250" s="411">
        <v>3.2684410000000002</v>
      </c>
      <c r="L250" s="166"/>
    </row>
    <row r="251" spans="1:12" ht="25.5" customHeight="1" x14ac:dyDescent="0.3">
      <c r="A251" s="400" t="s">
        <v>1038</v>
      </c>
      <c r="B251" s="401" t="s">
        <v>2495</v>
      </c>
      <c r="C251" s="400" t="s">
        <v>395</v>
      </c>
      <c r="D251" s="400" t="s">
        <v>306</v>
      </c>
      <c r="E251" s="605" t="s">
        <v>1039</v>
      </c>
      <c r="F251" s="605"/>
      <c r="G251" s="402" t="s">
        <v>7</v>
      </c>
      <c r="H251" s="403">
        <v>1.2273000000000001</v>
      </c>
      <c r="I251" s="403">
        <v>0</v>
      </c>
      <c r="J251" s="404">
        <v>7.92</v>
      </c>
      <c r="K251" s="404">
        <v>9.7202160000000006</v>
      </c>
      <c r="L251" s="166"/>
    </row>
    <row r="252" spans="1:12" ht="12.75" customHeight="1" x14ac:dyDescent="0.3">
      <c r="A252" s="400" t="s">
        <v>1038</v>
      </c>
      <c r="B252" s="401" t="s">
        <v>1305</v>
      </c>
      <c r="C252" s="400" t="s">
        <v>395</v>
      </c>
      <c r="D252" s="400" t="s">
        <v>275</v>
      </c>
      <c r="E252" s="605" t="s">
        <v>1039</v>
      </c>
      <c r="F252" s="605"/>
      <c r="G252" s="402" t="s">
        <v>3</v>
      </c>
      <c r="H252" s="403">
        <v>6.8000000000000005E-2</v>
      </c>
      <c r="I252" s="403">
        <v>0</v>
      </c>
      <c r="J252" s="404">
        <v>18</v>
      </c>
      <c r="K252" s="404">
        <v>1.224</v>
      </c>
      <c r="L252" s="166"/>
    </row>
    <row r="253" spans="1:12" ht="15" customHeight="1" x14ac:dyDescent="0.3">
      <c r="A253" s="400" t="s">
        <v>1038</v>
      </c>
      <c r="B253" s="401" t="s">
        <v>6537</v>
      </c>
      <c r="C253" s="400" t="s">
        <v>395</v>
      </c>
      <c r="D253" s="400" t="s">
        <v>6538</v>
      </c>
      <c r="E253" s="605" t="s">
        <v>1039</v>
      </c>
      <c r="F253" s="605"/>
      <c r="G253" s="402" t="s">
        <v>7</v>
      </c>
      <c r="H253" s="403">
        <v>2</v>
      </c>
      <c r="I253" s="403">
        <v>0</v>
      </c>
      <c r="J253" s="404">
        <v>5.65</v>
      </c>
      <c r="K253" s="404">
        <v>11.3</v>
      </c>
      <c r="L253" s="166"/>
    </row>
    <row r="254" spans="1:12" ht="25.5" customHeight="1" x14ac:dyDescent="0.3">
      <c r="A254" s="400" t="s">
        <v>1038</v>
      </c>
      <c r="B254" s="401" t="s">
        <v>4425</v>
      </c>
      <c r="C254" s="400" t="s">
        <v>395</v>
      </c>
      <c r="D254" s="400" t="s">
        <v>4426</v>
      </c>
      <c r="E254" s="605" t="s">
        <v>1039</v>
      </c>
      <c r="F254" s="605"/>
      <c r="G254" s="402" t="s">
        <v>675</v>
      </c>
      <c r="H254" s="403">
        <v>0.58530000000000004</v>
      </c>
      <c r="I254" s="403">
        <v>0</v>
      </c>
      <c r="J254" s="404">
        <v>47.02</v>
      </c>
      <c r="K254" s="404">
        <v>27.520806</v>
      </c>
      <c r="L254" s="167"/>
    </row>
    <row r="255" spans="1:12" ht="25.5" customHeight="1" x14ac:dyDescent="0.3">
      <c r="A255" s="405"/>
      <c r="B255" s="405"/>
      <c r="C255" s="405"/>
      <c r="D255" s="405"/>
      <c r="E255" s="405" t="s">
        <v>1046</v>
      </c>
      <c r="F255" s="406">
        <v>37.32</v>
      </c>
      <c r="G255" s="405" t="s">
        <v>1047</v>
      </c>
      <c r="H255" s="406">
        <v>0</v>
      </c>
      <c r="I255" s="405" t="s">
        <v>1048</v>
      </c>
      <c r="J255" s="406">
        <v>37.32</v>
      </c>
      <c r="K255"/>
      <c r="L255" s="168"/>
    </row>
    <row r="256" spans="1:12" ht="25.5" customHeight="1" thickBot="1" x14ac:dyDescent="0.35">
      <c r="A256" s="405"/>
      <c r="B256" s="405"/>
      <c r="C256" s="405"/>
      <c r="D256" s="405"/>
      <c r="E256" s="405" t="s">
        <v>1049</v>
      </c>
      <c r="F256" s="406">
        <v>0</v>
      </c>
      <c r="G256" s="405"/>
      <c r="H256" s="606"/>
      <c r="I256" s="606" t="s">
        <v>1050</v>
      </c>
      <c r="J256" s="406">
        <v>101.84</v>
      </c>
      <c r="K256"/>
      <c r="L256" s="168"/>
    </row>
    <row r="257" spans="1:12" ht="25.5" customHeight="1" thickTop="1" x14ac:dyDescent="0.3">
      <c r="A257" s="407"/>
      <c r="B257" s="407"/>
      <c r="C257" s="407"/>
      <c r="D257" s="407"/>
      <c r="E257" s="407"/>
      <c r="F257" s="407"/>
      <c r="G257" s="407"/>
      <c r="H257" s="407"/>
      <c r="I257" s="407"/>
      <c r="J257" s="407"/>
      <c r="K257" s="407"/>
      <c r="L257" s="168"/>
    </row>
    <row r="258" spans="1:12" ht="30" customHeight="1" x14ac:dyDescent="0.3">
      <c r="A258" s="382" t="s">
        <v>625</v>
      </c>
      <c r="B258" s="312" t="s">
        <v>413</v>
      </c>
      <c r="C258" s="382" t="s">
        <v>414</v>
      </c>
      <c r="D258" s="382" t="s">
        <v>415</v>
      </c>
      <c r="E258" s="586" t="s">
        <v>1029</v>
      </c>
      <c r="F258" s="586"/>
      <c r="G258" s="383" t="s">
        <v>416</v>
      </c>
      <c r="H258" s="312" t="s">
        <v>1030</v>
      </c>
      <c r="I258" s="312" t="s">
        <v>3016</v>
      </c>
      <c r="J258" s="312" t="s">
        <v>1031</v>
      </c>
      <c r="K258" s="312" t="s">
        <v>1032</v>
      </c>
      <c r="L258" s="166"/>
    </row>
    <row r="259" spans="1:12" ht="15" customHeight="1" x14ac:dyDescent="0.3">
      <c r="A259" s="313" t="s">
        <v>1033</v>
      </c>
      <c r="B259" s="315" t="s">
        <v>3779</v>
      </c>
      <c r="C259" s="313" t="s">
        <v>395</v>
      </c>
      <c r="D259" s="313" t="s">
        <v>12</v>
      </c>
      <c r="E259" s="603" t="s">
        <v>3195</v>
      </c>
      <c r="F259" s="603"/>
      <c r="G259" s="314" t="s">
        <v>675</v>
      </c>
      <c r="H259" s="399">
        <v>1</v>
      </c>
      <c r="I259" s="316"/>
      <c r="J259" s="316">
        <v>339.43</v>
      </c>
      <c r="K259" s="316">
        <v>339.43</v>
      </c>
      <c r="L259" s="166"/>
    </row>
    <row r="260" spans="1:12" ht="30" customHeight="1" x14ac:dyDescent="0.3">
      <c r="A260" s="408" t="s">
        <v>1034</v>
      </c>
      <c r="B260" s="409" t="s">
        <v>5136</v>
      </c>
      <c r="C260" s="408" t="s">
        <v>395</v>
      </c>
      <c r="D260" s="408" t="s">
        <v>5137</v>
      </c>
      <c r="E260" s="604" t="s">
        <v>3195</v>
      </c>
      <c r="F260" s="604"/>
      <c r="G260" s="410" t="s">
        <v>675</v>
      </c>
      <c r="H260" s="412">
        <v>0.1129</v>
      </c>
      <c r="I260" s="412">
        <v>0</v>
      </c>
      <c r="J260" s="411">
        <v>179.64</v>
      </c>
      <c r="K260" s="411">
        <v>20.281355999999999</v>
      </c>
      <c r="L260" s="168"/>
    </row>
    <row r="261" spans="1:12" ht="30" customHeight="1" x14ac:dyDescent="0.3">
      <c r="A261" s="408" t="s">
        <v>1034</v>
      </c>
      <c r="B261" s="409" t="s">
        <v>5138</v>
      </c>
      <c r="C261" s="408" t="s">
        <v>395</v>
      </c>
      <c r="D261" s="408" t="s">
        <v>7774</v>
      </c>
      <c r="E261" s="604" t="s">
        <v>7771</v>
      </c>
      <c r="F261" s="604"/>
      <c r="G261" s="410" t="s">
        <v>675</v>
      </c>
      <c r="H261" s="412">
        <v>0.1532</v>
      </c>
      <c r="I261" s="412">
        <v>0</v>
      </c>
      <c r="J261" s="411">
        <v>129.85</v>
      </c>
      <c r="K261" s="411">
        <v>19.89302</v>
      </c>
      <c r="L261" s="168"/>
    </row>
    <row r="262" spans="1:12" ht="45" customHeight="1" x14ac:dyDescent="0.3">
      <c r="A262" s="408" t="s">
        <v>1034</v>
      </c>
      <c r="B262" s="409" t="s">
        <v>5139</v>
      </c>
      <c r="C262" s="408" t="s">
        <v>395</v>
      </c>
      <c r="D262" s="408" t="s">
        <v>7775</v>
      </c>
      <c r="E262" s="604" t="s">
        <v>7771</v>
      </c>
      <c r="F262" s="604"/>
      <c r="G262" s="410" t="s">
        <v>675</v>
      </c>
      <c r="H262" s="412">
        <v>9.8100000000000007E-2</v>
      </c>
      <c r="I262" s="412">
        <v>0</v>
      </c>
      <c r="J262" s="411">
        <v>109.02</v>
      </c>
      <c r="K262" s="411">
        <v>10.694862000000001</v>
      </c>
      <c r="L262" s="168"/>
    </row>
    <row r="263" spans="1:12" ht="15" customHeight="1" x14ac:dyDescent="0.3">
      <c r="A263" s="408" t="s">
        <v>1034</v>
      </c>
      <c r="B263" s="409" t="s">
        <v>5140</v>
      </c>
      <c r="C263" s="408" t="s">
        <v>395</v>
      </c>
      <c r="D263" s="408" t="s">
        <v>7776</v>
      </c>
      <c r="E263" s="604" t="s">
        <v>7771</v>
      </c>
      <c r="F263" s="604"/>
      <c r="G263" s="410" t="s">
        <v>675</v>
      </c>
      <c r="H263" s="412">
        <v>0.1195</v>
      </c>
      <c r="I263" s="412">
        <v>0</v>
      </c>
      <c r="J263" s="411">
        <v>169.83</v>
      </c>
      <c r="K263" s="411">
        <v>20.294685000000001</v>
      </c>
      <c r="L263" s="166"/>
    </row>
    <row r="264" spans="1:12" ht="30" customHeight="1" x14ac:dyDescent="0.3">
      <c r="A264" s="408" t="s">
        <v>1034</v>
      </c>
      <c r="B264" s="409" t="s">
        <v>5141</v>
      </c>
      <c r="C264" s="408" t="s">
        <v>395</v>
      </c>
      <c r="D264" s="408" t="s">
        <v>7777</v>
      </c>
      <c r="E264" s="604" t="s">
        <v>7778</v>
      </c>
      <c r="F264" s="604"/>
      <c r="G264" s="410" t="s">
        <v>675</v>
      </c>
      <c r="H264" s="412">
        <v>1.2466999999999999</v>
      </c>
      <c r="I264" s="412">
        <v>0</v>
      </c>
      <c r="J264" s="411">
        <v>33.82</v>
      </c>
      <c r="K264" s="411">
        <v>42.163393999999997</v>
      </c>
      <c r="L264" s="166"/>
    </row>
    <row r="265" spans="1:12" ht="30" customHeight="1" x14ac:dyDescent="0.3">
      <c r="A265" s="408" t="s">
        <v>1034</v>
      </c>
      <c r="B265" s="409" t="s">
        <v>5142</v>
      </c>
      <c r="C265" s="408" t="s">
        <v>395</v>
      </c>
      <c r="D265" s="408" t="s">
        <v>5143</v>
      </c>
      <c r="E265" s="604" t="s">
        <v>7779</v>
      </c>
      <c r="F265" s="604"/>
      <c r="G265" s="410" t="s">
        <v>675</v>
      </c>
      <c r="H265" s="412">
        <v>1.2466999999999999</v>
      </c>
      <c r="I265" s="412">
        <v>0</v>
      </c>
      <c r="J265" s="411">
        <v>60.44</v>
      </c>
      <c r="K265" s="411">
        <v>75.350548000000003</v>
      </c>
      <c r="L265" s="168"/>
    </row>
    <row r="266" spans="1:12" ht="30" customHeight="1" x14ac:dyDescent="0.3">
      <c r="A266" s="408" t="s">
        <v>1034</v>
      </c>
      <c r="B266" s="409" t="s">
        <v>5144</v>
      </c>
      <c r="C266" s="408" t="s">
        <v>395</v>
      </c>
      <c r="D266" s="408" t="s">
        <v>7780</v>
      </c>
      <c r="E266" s="604" t="s">
        <v>7781</v>
      </c>
      <c r="F266" s="604"/>
      <c r="G266" s="410" t="s">
        <v>675</v>
      </c>
      <c r="H266" s="412">
        <v>1.2466999999999999</v>
      </c>
      <c r="I266" s="412">
        <v>0</v>
      </c>
      <c r="J266" s="411">
        <v>44.18</v>
      </c>
      <c r="K266" s="411">
        <v>55.079205999999999</v>
      </c>
      <c r="L266" s="168"/>
    </row>
    <row r="267" spans="1:12" ht="25.5" customHeight="1" x14ac:dyDescent="0.3">
      <c r="A267" s="408" t="s">
        <v>1034</v>
      </c>
      <c r="B267" s="409" t="s">
        <v>5145</v>
      </c>
      <c r="C267" s="408" t="s">
        <v>395</v>
      </c>
      <c r="D267" s="408" t="s">
        <v>7782</v>
      </c>
      <c r="E267" s="604" t="s">
        <v>7783</v>
      </c>
      <c r="F267" s="604"/>
      <c r="G267" s="410" t="s">
        <v>7</v>
      </c>
      <c r="H267" s="412">
        <v>0.3397</v>
      </c>
      <c r="I267" s="412">
        <v>0</v>
      </c>
      <c r="J267" s="411">
        <v>11.7</v>
      </c>
      <c r="K267" s="411">
        <v>3.9744899999999999</v>
      </c>
      <c r="L267" s="168"/>
    </row>
    <row r="268" spans="1:12" ht="15" customHeight="1" x14ac:dyDescent="0.3">
      <c r="A268" s="408" t="s">
        <v>1034</v>
      </c>
      <c r="B268" s="409" t="s">
        <v>5146</v>
      </c>
      <c r="C268" s="408" t="s">
        <v>395</v>
      </c>
      <c r="D268" s="408" t="s">
        <v>7784</v>
      </c>
      <c r="E268" s="604" t="s">
        <v>7783</v>
      </c>
      <c r="F268" s="604"/>
      <c r="G268" s="410" t="s">
        <v>7</v>
      </c>
      <c r="H268" s="412">
        <v>0.22189999999999999</v>
      </c>
      <c r="I268" s="412">
        <v>0</v>
      </c>
      <c r="J268" s="411">
        <v>16.13</v>
      </c>
      <c r="K268" s="411">
        <v>3.5792470000000001</v>
      </c>
      <c r="L268" s="166"/>
    </row>
    <row r="269" spans="1:12" ht="39.6" x14ac:dyDescent="0.3">
      <c r="A269" s="408" t="s">
        <v>1034</v>
      </c>
      <c r="B269" s="409" t="s">
        <v>3873</v>
      </c>
      <c r="C269" s="408" t="s">
        <v>395</v>
      </c>
      <c r="D269" s="408" t="s">
        <v>5988</v>
      </c>
      <c r="E269" s="604" t="s">
        <v>7783</v>
      </c>
      <c r="F269" s="604"/>
      <c r="G269" s="410" t="s">
        <v>7</v>
      </c>
      <c r="H269" s="412">
        <v>0.94720000000000004</v>
      </c>
      <c r="I269" s="412">
        <v>0</v>
      </c>
      <c r="J269" s="411">
        <v>5.42</v>
      </c>
      <c r="K269" s="411">
        <v>5.1338239999999997</v>
      </c>
      <c r="L269" s="166"/>
    </row>
    <row r="270" spans="1:12" ht="25.5" customHeight="1" x14ac:dyDescent="0.3">
      <c r="A270" s="408" t="s">
        <v>1034</v>
      </c>
      <c r="B270" s="409" t="s">
        <v>5147</v>
      </c>
      <c r="C270" s="408" t="s">
        <v>395</v>
      </c>
      <c r="D270" s="408" t="s">
        <v>7785</v>
      </c>
      <c r="E270" s="604" t="s">
        <v>7786</v>
      </c>
      <c r="F270" s="604"/>
      <c r="G270" s="410" t="s">
        <v>4</v>
      </c>
      <c r="H270" s="412">
        <v>6.6199999999999995E-2</v>
      </c>
      <c r="I270" s="412">
        <v>0</v>
      </c>
      <c r="J270" s="411">
        <v>27.21</v>
      </c>
      <c r="K270" s="411">
        <v>1.801302</v>
      </c>
      <c r="L270" s="168"/>
    </row>
    <row r="271" spans="1:12" ht="38.25" customHeight="1" x14ac:dyDescent="0.3">
      <c r="A271" s="408" t="s">
        <v>1034</v>
      </c>
      <c r="B271" s="409" t="s">
        <v>5148</v>
      </c>
      <c r="C271" s="408" t="s">
        <v>395</v>
      </c>
      <c r="D271" s="408" t="s">
        <v>7787</v>
      </c>
      <c r="E271" s="604" t="s">
        <v>7783</v>
      </c>
      <c r="F271" s="604"/>
      <c r="G271" s="410" t="s">
        <v>7</v>
      </c>
      <c r="H271" s="412">
        <v>0.93340000000000001</v>
      </c>
      <c r="I271" s="412">
        <v>0</v>
      </c>
      <c r="J271" s="411">
        <v>3.79</v>
      </c>
      <c r="K271" s="411">
        <v>3.5375860000000001</v>
      </c>
      <c r="L271" s="168"/>
    </row>
    <row r="272" spans="1:12" ht="15" customHeight="1" x14ac:dyDescent="0.3">
      <c r="A272" s="408" t="s">
        <v>1034</v>
      </c>
      <c r="B272" s="409" t="s">
        <v>5149</v>
      </c>
      <c r="C272" s="408" t="s">
        <v>395</v>
      </c>
      <c r="D272" s="408" t="s">
        <v>5150</v>
      </c>
      <c r="E272" s="604" t="s">
        <v>1227</v>
      </c>
      <c r="F272" s="604"/>
      <c r="G272" s="410" t="s">
        <v>7</v>
      </c>
      <c r="H272" s="412">
        <v>0.1656</v>
      </c>
      <c r="I272" s="412">
        <v>0</v>
      </c>
      <c r="J272" s="411">
        <v>17.95</v>
      </c>
      <c r="K272" s="411">
        <v>2.9725199999999998</v>
      </c>
      <c r="L272" s="168"/>
    </row>
    <row r="273" spans="1:12" ht="38.25" customHeight="1" x14ac:dyDescent="0.3">
      <c r="A273" s="408" t="s">
        <v>1034</v>
      </c>
      <c r="B273" s="409" t="s">
        <v>5151</v>
      </c>
      <c r="C273" s="408" t="s">
        <v>395</v>
      </c>
      <c r="D273" s="408" t="s">
        <v>5152</v>
      </c>
      <c r="E273" s="604" t="s">
        <v>7788</v>
      </c>
      <c r="F273" s="604"/>
      <c r="G273" s="410" t="s">
        <v>4</v>
      </c>
      <c r="H273" s="412">
        <v>3.3099999999999997E-2</v>
      </c>
      <c r="I273" s="412">
        <v>0</v>
      </c>
      <c r="J273" s="411">
        <v>215.71</v>
      </c>
      <c r="K273" s="411">
        <v>7.1400009999999998</v>
      </c>
      <c r="L273" s="166"/>
    </row>
    <row r="274" spans="1:12" ht="25.5" customHeight="1" x14ac:dyDescent="0.3">
      <c r="A274" s="408" t="s">
        <v>1034</v>
      </c>
      <c r="B274" s="409" t="s">
        <v>5153</v>
      </c>
      <c r="C274" s="408" t="s">
        <v>395</v>
      </c>
      <c r="D274" s="408" t="s">
        <v>7789</v>
      </c>
      <c r="E274" s="604" t="s">
        <v>7783</v>
      </c>
      <c r="F274" s="604"/>
      <c r="G274" s="410" t="s">
        <v>4</v>
      </c>
      <c r="H274" s="412">
        <v>1.66E-2</v>
      </c>
      <c r="I274" s="412">
        <v>0</v>
      </c>
      <c r="J274" s="411">
        <v>55.47</v>
      </c>
      <c r="K274" s="411">
        <v>0.92080200000000001</v>
      </c>
      <c r="L274" s="166"/>
    </row>
    <row r="275" spans="1:12" ht="38.25" customHeight="1" x14ac:dyDescent="0.3">
      <c r="A275" s="408" t="s">
        <v>1034</v>
      </c>
      <c r="B275" s="409" t="s">
        <v>5154</v>
      </c>
      <c r="C275" s="408" t="s">
        <v>395</v>
      </c>
      <c r="D275" s="408" t="s">
        <v>7790</v>
      </c>
      <c r="E275" s="604" t="s">
        <v>7791</v>
      </c>
      <c r="F275" s="604"/>
      <c r="G275" s="410" t="s">
        <v>4</v>
      </c>
      <c r="H275" s="412">
        <v>8.2799999999999999E-2</v>
      </c>
      <c r="I275" s="412">
        <v>0</v>
      </c>
      <c r="J275" s="411">
        <v>28.2</v>
      </c>
      <c r="K275" s="411">
        <v>2.3349600000000001</v>
      </c>
      <c r="L275" s="166"/>
    </row>
    <row r="276" spans="1:12" ht="38.25" customHeight="1" x14ac:dyDescent="0.3">
      <c r="A276" s="408" t="s">
        <v>1034</v>
      </c>
      <c r="B276" s="409" t="s">
        <v>5155</v>
      </c>
      <c r="C276" s="408" t="s">
        <v>395</v>
      </c>
      <c r="D276" s="408" t="s">
        <v>7792</v>
      </c>
      <c r="E276" s="604" t="s">
        <v>7791</v>
      </c>
      <c r="F276" s="604"/>
      <c r="G276" s="410" t="s">
        <v>4</v>
      </c>
      <c r="H276" s="412">
        <v>1.66E-2</v>
      </c>
      <c r="I276" s="412">
        <v>0</v>
      </c>
      <c r="J276" s="411">
        <v>150.12</v>
      </c>
      <c r="K276" s="411">
        <v>2.4919920000000002</v>
      </c>
      <c r="L276" s="166"/>
    </row>
    <row r="277" spans="1:12" ht="15" customHeight="1" x14ac:dyDescent="0.3">
      <c r="A277" s="408" t="s">
        <v>1034</v>
      </c>
      <c r="B277" s="409" t="s">
        <v>5156</v>
      </c>
      <c r="C277" s="408" t="s">
        <v>395</v>
      </c>
      <c r="D277" s="408" t="s">
        <v>5157</v>
      </c>
      <c r="E277" s="604" t="s">
        <v>1227</v>
      </c>
      <c r="F277" s="604"/>
      <c r="G277" s="410" t="s">
        <v>4</v>
      </c>
      <c r="H277" s="412">
        <v>0.13250000000000001</v>
      </c>
      <c r="I277" s="412">
        <v>0</v>
      </c>
      <c r="J277" s="411">
        <v>284.12</v>
      </c>
      <c r="K277" s="411">
        <v>37.645899999999997</v>
      </c>
      <c r="L277" s="166"/>
    </row>
    <row r="278" spans="1:12" ht="38.25" customHeight="1" x14ac:dyDescent="0.3">
      <c r="A278" s="408" t="s">
        <v>1034</v>
      </c>
      <c r="B278" s="409" t="s">
        <v>5158</v>
      </c>
      <c r="C278" s="408" t="s">
        <v>395</v>
      </c>
      <c r="D278" s="408" t="s">
        <v>7793</v>
      </c>
      <c r="E278" s="604" t="s">
        <v>7783</v>
      </c>
      <c r="F278" s="604"/>
      <c r="G278" s="410" t="s">
        <v>4</v>
      </c>
      <c r="H278" s="412">
        <v>3.3099999999999997E-2</v>
      </c>
      <c r="I278" s="412">
        <v>0</v>
      </c>
      <c r="J278" s="411">
        <v>38.369999999999997</v>
      </c>
      <c r="K278" s="411">
        <v>1.2700469999999999</v>
      </c>
      <c r="L278" s="166"/>
    </row>
    <row r="279" spans="1:12" ht="38.25" customHeight="1" x14ac:dyDescent="0.3">
      <c r="A279" s="408" t="s">
        <v>1034</v>
      </c>
      <c r="B279" s="409" t="s">
        <v>5159</v>
      </c>
      <c r="C279" s="408" t="s">
        <v>395</v>
      </c>
      <c r="D279" s="408" t="s">
        <v>7794</v>
      </c>
      <c r="E279" s="604" t="s">
        <v>7783</v>
      </c>
      <c r="F279" s="604"/>
      <c r="G279" s="410" t="s">
        <v>4</v>
      </c>
      <c r="H279" s="412">
        <v>3.3099999999999997E-2</v>
      </c>
      <c r="I279" s="412">
        <v>0</v>
      </c>
      <c r="J279" s="411">
        <v>40.17</v>
      </c>
      <c r="K279" s="411">
        <v>1.3296269999999999</v>
      </c>
      <c r="L279" s="166"/>
    </row>
    <row r="280" spans="1:12" ht="25.5" customHeight="1" x14ac:dyDescent="0.3">
      <c r="A280" s="408" t="s">
        <v>1034</v>
      </c>
      <c r="B280" s="409" t="s">
        <v>3852</v>
      </c>
      <c r="C280" s="408" t="s">
        <v>395</v>
      </c>
      <c r="D280" s="408" t="s">
        <v>5964</v>
      </c>
      <c r="E280" s="604" t="s">
        <v>7795</v>
      </c>
      <c r="F280" s="604"/>
      <c r="G280" s="410" t="s">
        <v>4</v>
      </c>
      <c r="H280" s="412">
        <v>3.3099999999999997E-2</v>
      </c>
      <c r="I280" s="412">
        <v>0</v>
      </c>
      <c r="J280" s="411">
        <v>78</v>
      </c>
      <c r="K280" s="411">
        <v>2.5817999999999999</v>
      </c>
      <c r="L280" s="166"/>
    </row>
    <row r="281" spans="1:12" ht="15" customHeight="1" x14ac:dyDescent="0.3">
      <c r="A281" s="408" t="s">
        <v>1034</v>
      </c>
      <c r="B281" s="409" t="s">
        <v>5160</v>
      </c>
      <c r="C281" s="408" t="s">
        <v>395</v>
      </c>
      <c r="D281" s="408" t="s">
        <v>7796</v>
      </c>
      <c r="E281" s="604" t="s">
        <v>7797</v>
      </c>
      <c r="F281" s="604"/>
      <c r="G281" s="410" t="s">
        <v>7</v>
      </c>
      <c r="H281" s="412">
        <v>0.22189999999999999</v>
      </c>
      <c r="I281" s="412">
        <v>0</v>
      </c>
      <c r="J281" s="411">
        <v>12.98</v>
      </c>
      <c r="K281" s="411">
        <v>2.8802620000000001</v>
      </c>
      <c r="L281" s="167"/>
    </row>
    <row r="282" spans="1:12" ht="25.5" customHeight="1" x14ac:dyDescent="0.3">
      <c r="A282" s="408" t="s">
        <v>1034</v>
      </c>
      <c r="B282" s="409" t="s">
        <v>5161</v>
      </c>
      <c r="C282" s="408" t="s">
        <v>395</v>
      </c>
      <c r="D282" s="408" t="s">
        <v>7798</v>
      </c>
      <c r="E282" s="604" t="s">
        <v>7799</v>
      </c>
      <c r="F282" s="604"/>
      <c r="G282" s="410" t="s">
        <v>713</v>
      </c>
      <c r="H282" s="412">
        <v>1.2999999999999999E-3</v>
      </c>
      <c r="I282" s="412">
        <v>0</v>
      </c>
      <c r="J282" s="411">
        <v>129.83000000000001</v>
      </c>
      <c r="K282" s="411">
        <v>0.16877900000000001</v>
      </c>
      <c r="L282" s="168"/>
    </row>
    <row r="283" spans="1:12" ht="25.5" customHeight="1" x14ac:dyDescent="0.3">
      <c r="A283" s="408" t="s">
        <v>1034</v>
      </c>
      <c r="B283" s="409" t="s">
        <v>996</v>
      </c>
      <c r="C283" s="408" t="s">
        <v>395</v>
      </c>
      <c r="D283" s="408" t="s">
        <v>7800</v>
      </c>
      <c r="E283" s="604" t="s">
        <v>7801</v>
      </c>
      <c r="F283" s="604"/>
      <c r="G283" s="410" t="s">
        <v>675</v>
      </c>
      <c r="H283" s="412">
        <v>0.48370000000000002</v>
      </c>
      <c r="I283" s="412">
        <v>0</v>
      </c>
      <c r="J283" s="411">
        <v>16.059999999999999</v>
      </c>
      <c r="K283" s="411">
        <v>7.7682219999999997</v>
      </c>
      <c r="L283" s="168"/>
    </row>
    <row r="284" spans="1:12" ht="38.25" customHeight="1" x14ac:dyDescent="0.3">
      <c r="A284" s="400" t="s">
        <v>1038</v>
      </c>
      <c r="B284" s="401" t="s">
        <v>4569</v>
      </c>
      <c r="C284" s="400" t="s">
        <v>395</v>
      </c>
      <c r="D284" s="400" t="s">
        <v>4570</v>
      </c>
      <c r="E284" s="605" t="s">
        <v>1039</v>
      </c>
      <c r="F284" s="605"/>
      <c r="G284" s="402" t="s">
        <v>4</v>
      </c>
      <c r="H284" s="403">
        <v>1.66E-2</v>
      </c>
      <c r="I284" s="403">
        <v>0</v>
      </c>
      <c r="J284" s="404">
        <v>249.37</v>
      </c>
      <c r="K284" s="404">
        <v>4.1395419999999996</v>
      </c>
      <c r="L284" s="168"/>
    </row>
    <row r="285" spans="1:12" ht="38.25" customHeight="1" x14ac:dyDescent="0.3">
      <c r="A285" s="400" t="s">
        <v>1038</v>
      </c>
      <c r="B285" s="401" t="s">
        <v>4584</v>
      </c>
      <c r="C285" s="400" t="s">
        <v>395</v>
      </c>
      <c r="D285" s="400" t="s">
        <v>4585</v>
      </c>
      <c r="E285" s="605" t="s">
        <v>1039</v>
      </c>
      <c r="F285" s="605"/>
      <c r="G285" s="402" t="s">
        <v>4</v>
      </c>
      <c r="H285" s="403">
        <v>1.66E-2</v>
      </c>
      <c r="I285" s="403">
        <v>0</v>
      </c>
      <c r="J285" s="404">
        <v>241.15</v>
      </c>
      <c r="K285" s="404">
        <v>4.0030900000000003</v>
      </c>
      <c r="L285" s="168"/>
    </row>
    <row r="286" spans="1:12" ht="15" customHeight="1" x14ac:dyDescent="0.3">
      <c r="A286" s="405"/>
      <c r="B286" s="405"/>
      <c r="C286" s="405"/>
      <c r="D286" s="405"/>
      <c r="E286" s="405" t="s">
        <v>1046</v>
      </c>
      <c r="F286" s="406">
        <v>88.83</v>
      </c>
      <c r="G286" s="405" t="s">
        <v>1047</v>
      </c>
      <c r="H286" s="406">
        <v>0.02</v>
      </c>
      <c r="I286" s="405" t="s">
        <v>1048</v>
      </c>
      <c r="J286" s="406">
        <v>88.85</v>
      </c>
      <c r="K286"/>
      <c r="L286" s="166"/>
    </row>
    <row r="287" spans="1:12" ht="25.5" customHeight="1" thickBot="1" x14ac:dyDescent="0.35">
      <c r="A287" s="405"/>
      <c r="B287" s="405"/>
      <c r="C287" s="405"/>
      <c r="D287" s="405"/>
      <c r="E287" s="405" t="s">
        <v>1049</v>
      </c>
      <c r="F287" s="406">
        <v>0</v>
      </c>
      <c r="G287" s="405"/>
      <c r="H287" s="606"/>
      <c r="I287" s="606" t="s">
        <v>1050</v>
      </c>
      <c r="J287" s="406">
        <v>339.43</v>
      </c>
      <c r="K287"/>
      <c r="L287" s="166"/>
    </row>
    <row r="288" spans="1:12" ht="25.5" customHeight="1" thickTop="1" x14ac:dyDescent="0.3">
      <c r="A288" s="407"/>
      <c r="B288" s="407"/>
      <c r="C288" s="407"/>
      <c r="D288" s="407"/>
      <c r="E288" s="407"/>
      <c r="F288" s="407"/>
      <c r="G288" s="407"/>
      <c r="H288" s="407"/>
      <c r="I288" s="407"/>
      <c r="J288" s="407"/>
      <c r="K288" s="407"/>
      <c r="L288" s="168"/>
    </row>
    <row r="289" spans="1:12" ht="30" customHeight="1" x14ac:dyDescent="0.3">
      <c r="A289" s="382" t="s">
        <v>626</v>
      </c>
      <c r="B289" s="312" t="s">
        <v>413</v>
      </c>
      <c r="C289" s="382" t="s">
        <v>414</v>
      </c>
      <c r="D289" s="382" t="s">
        <v>415</v>
      </c>
      <c r="E289" s="586" t="s">
        <v>1029</v>
      </c>
      <c r="F289" s="586"/>
      <c r="G289" s="383" t="s">
        <v>416</v>
      </c>
      <c r="H289" s="312" t="s">
        <v>1030</v>
      </c>
      <c r="I289" s="312" t="s">
        <v>3016</v>
      </c>
      <c r="J289" s="312" t="s">
        <v>1031</v>
      </c>
      <c r="K289" s="312" t="s">
        <v>1032</v>
      </c>
      <c r="L289" s="168"/>
    </row>
    <row r="290" spans="1:12" ht="15" customHeight="1" x14ac:dyDescent="0.3">
      <c r="A290" s="313" t="s">
        <v>1033</v>
      </c>
      <c r="B290" s="315" t="s">
        <v>3780</v>
      </c>
      <c r="C290" s="313" t="s">
        <v>395</v>
      </c>
      <c r="D290" s="313" t="s">
        <v>13</v>
      </c>
      <c r="E290" s="603" t="s">
        <v>3195</v>
      </c>
      <c r="F290" s="603"/>
      <c r="G290" s="314" t="s">
        <v>675</v>
      </c>
      <c r="H290" s="399">
        <v>1</v>
      </c>
      <c r="I290" s="316"/>
      <c r="J290" s="316">
        <v>576.44000000000005</v>
      </c>
      <c r="K290" s="316">
        <v>576.44000000000005</v>
      </c>
      <c r="L290" s="168"/>
    </row>
    <row r="291" spans="1:12" ht="25.5" customHeight="1" x14ac:dyDescent="0.3">
      <c r="A291" s="408" t="s">
        <v>1034</v>
      </c>
      <c r="B291" s="409" t="s">
        <v>5136</v>
      </c>
      <c r="C291" s="408" t="s">
        <v>395</v>
      </c>
      <c r="D291" s="408" t="s">
        <v>5137</v>
      </c>
      <c r="E291" s="604" t="s">
        <v>3195</v>
      </c>
      <c r="F291" s="604"/>
      <c r="G291" s="410" t="s">
        <v>675</v>
      </c>
      <c r="H291" s="412">
        <v>0.1111</v>
      </c>
      <c r="I291" s="412">
        <v>0</v>
      </c>
      <c r="J291" s="411">
        <v>179.64</v>
      </c>
      <c r="K291" s="411">
        <v>19.958003999999999</v>
      </c>
      <c r="L291" s="166"/>
    </row>
    <row r="292" spans="1:12" ht="25.5" customHeight="1" x14ac:dyDescent="0.3">
      <c r="A292" s="408" t="s">
        <v>1034</v>
      </c>
      <c r="B292" s="409" t="s">
        <v>5138</v>
      </c>
      <c r="C292" s="408" t="s">
        <v>395</v>
      </c>
      <c r="D292" s="408" t="s">
        <v>7774</v>
      </c>
      <c r="E292" s="604" t="s">
        <v>7771</v>
      </c>
      <c r="F292" s="604"/>
      <c r="G292" s="410" t="s">
        <v>675</v>
      </c>
      <c r="H292" s="412">
        <v>0.15079999999999999</v>
      </c>
      <c r="I292" s="412">
        <v>0</v>
      </c>
      <c r="J292" s="411">
        <v>129.85</v>
      </c>
      <c r="K292" s="411">
        <v>19.581379999999999</v>
      </c>
      <c r="L292" s="166"/>
    </row>
    <row r="293" spans="1:12" ht="30" customHeight="1" x14ac:dyDescent="0.3">
      <c r="A293" s="408" t="s">
        <v>1034</v>
      </c>
      <c r="B293" s="409" t="s">
        <v>5139</v>
      </c>
      <c r="C293" s="408" t="s">
        <v>395</v>
      </c>
      <c r="D293" s="408" t="s">
        <v>7775</v>
      </c>
      <c r="E293" s="604" t="s">
        <v>7771</v>
      </c>
      <c r="F293" s="604"/>
      <c r="G293" s="410" t="s">
        <v>675</v>
      </c>
      <c r="H293" s="412">
        <v>9.6600000000000005E-2</v>
      </c>
      <c r="I293" s="412">
        <v>0</v>
      </c>
      <c r="J293" s="411">
        <v>109.02</v>
      </c>
      <c r="K293" s="411">
        <v>10.531332000000001</v>
      </c>
      <c r="L293" s="168"/>
    </row>
    <row r="294" spans="1:12" ht="45" customHeight="1" x14ac:dyDescent="0.3">
      <c r="A294" s="408" t="s">
        <v>1034</v>
      </c>
      <c r="B294" s="409" t="s">
        <v>5140</v>
      </c>
      <c r="C294" s="408" t="s">
        <v>395</v>
      </c>
      <c r="D294" s="408" t="s">
        <v>7776</v>
      </c>
      <c r="E294" s="604" t="s">
        <v>7771</v>
      </c>
      <c r="F294" s="604"/>
      <c r="G294" s="410" t="s">
        <v>675</v>
      </c>
      <c r="H294" s="412">
        <v>0.1176</v>
      </c>
      <c r="I294" s="412">
        <v>0</v>
      </c>
      <c r="J294" s="411">
        <v>169.83</v>
      </c>
      <c r="K294" s="411">
        <v>19.972007999999999</v>
      </c>
      <c r="L294" s="168"/>
    </row>
    <row r="295" spans="1:12" ht="15" customHeight="1" x14ac:dyDescent="0.3">
      <c r="A295" s="408" t="s">
        <v>1034</v>
      </c>
      <c r="B295" s="409" t="s">
        <v>5141</v>
      </c>
      <c r="C295" s="408" t="s">
        <v>395</v>
      </c>
      <c r="D295" s="408" t="s">
        <v>7777</v>
      </c>
      <c r="E295" s="604" t="s">
        <v>7778</v>
      </c>
      <c r="F295" s="604"/>
      <c r="G295" s="410" t="s">
        <v>675</v>
      </c>
      <c r="H295" s="412">
        <v>1.9256</v>
      </c>
      <c r="I295" s="412">
        <v>0</v>
      </c>
      <c r="J295" s="411">
        <v>33.82</v>
      </c>
      <c r="K295" s="411">
        <v>65.123791999999995</v>
      </c>
      <c r="L295" s="168"/>
    </row>
    <row r="296" spans="1:12" ht="30" customHeight="1" x14ac:dyDescent="0.3">
      <c r="A296" s="408" t="s">
        <v>1034</v>
      </c>
      <c r="B296" s="409" t="s">
        <v>5142</v>
      </c>
      <c r="C296" s="408" t="s">
        <v>395</v>
      </c>
      <c r="D296" s="408" t="s">
        <v>5143</v>
      </c>
      <c r="E296" s="604" t="s">
        <v>7779</v>
      </c>
      <c r="F296" s="604"/>
      <c r="G296" s="410" t="s">
        <v>675</v>
      </c>
      <c r="H296" s="412">
        <v>1.9256</v>
      </c>
      <c r="I296" s="412">
        <v>0</v>
      </c>
      <c r="J296" s="411">
        <v>60.44</v>
      </c>
      <c r="K296" s="411">
        <v>116.383264</v>
      </c>
      <c r="L296" s="166"/>
    </row>
    <row r="297" spans="1:12" ht="14.25" customHeight="1" x14ac:dyDescent="0.3">
      <c r="A297" s="408" t="s">
        <v>1034</v>
      </c>
      <c r="B297" s="409" t="s">
        <v>5144</v>
      </c>
      <c r="C297" s="408" t="s">
        <v>395</v>
      </c>
      <c r="D297" s="408" t="s">
        <v>7780</v>
      </c>
      <c r="E297" s="604" t="s">
        <v>7781</v>
      </c>
      <c r="F297" s="604"/>
      <c r="G297" s="410" t="s">
        <v>675</v>
      </c>
      <c r="H297" s="412">
        <v>1.9256</v>
      </c>
      <c r="I297" s="412">
        <v>0</v>
      </c>
      <c r="J297" s="411">
        <v>44.18</v>
      </c>
      <c r="K297" s="411">
        <v>85.073008000000002</v>
      </c>
      <c r="L297" s="166"/>
    </row>
    <row r="298" spans="1:12" ht="39.6" x14ac:dyDescent="0.3">
      <c r="A298" s="408" t="s">
        <v>1034</v>
      </c>
      <c r="B298" s="409" t="s">
        <v>5145</v>
      </c>
      <c r="C298" s="408" t="s">
        <v>395</v>
      </c>
      <c r="D298" s="408" t="s">
        <v>7782</v>
      </c>
      <c r="E298" s="604" t="s">
        <v>7783</v>
      </c>
      <c r="F298" s="604"/>
      <c r="G298" s="410" t="s">
        <v>7</v>
      </c>
      <c r="H298" s="412">
        <v>0.42509999999999998</v>
      </c>
      <c r="I298" s="412">
        <v>0</v>
      </c>
      <c r="J298" s="411">
        <v>11.7</v>
      </c>
      <c r="K298" s="411">
        <v>4.9736700000000003</v>
      </c>
      <c r="L298" s="168"/>
    </row>
    <row r="299" spans="1:12" ht="39.6" x14ac:dyDescent="0.3">
      <c r="A299" s="408" t="s">
        <v>1034</v>
      </c>
      <c r="B299" s="409" t="s">
        <v>5146</v>
      </c>
      <c r="C299" s="408" t="s">
        <v>395</v>
      </c>
      <c r="D299" s="408" t="s">
        <v>7784</v>
      </c>
      <c r="E299" s="604" t="s">
        <v>7783</v>
      </c>
      <c r="F299" s="604"/>
      <c r="G299" s="410" t="s">
        <v>7</v>
      </c>
      <c r="H299" s="412">
        <v>0.46379999999999999</v>
      </c>
      <c r="I299" s="412">
        <v>0</v>
      </c>
      <c r="J299" s="411">
        <v>16.13</v>
      </c>
      <c r="K299" s="411">
        <v>7.4810939999999997</v>
      </c>
      <c r="L299" s="168"/>
    </row>
    <row r="300" spans="1:12" ht="39.6" x14ac:dyDescent="0.3">
      <c r="A300" s="408" t="s">
        <v>1034</v>
      </c>
      <c r="B300" s="409" t="s">
        <v>3873</v>
      </c>
      <c r="C300" s="408" t="s">
        <v>395</v>
      </c>
      <c r="D300" s="408" t="s">
        <v>5988</v>
      </c>
      <c r="E300" s="604" t="s">
        <v>7783</v>
      </c>
      <c r="F300" s="604"/>
      <c r="G300" s="410" t="s">
        <v>7</v>
      </c>
      <c r="H300" s="412">
        <v>2.0870000000000002</v>
      </c>
      <c r="I300" s="412">
        <v>0</v>
      </c>
      <c r="J300" s="411">
        <v>5.42</v>
      </c>
      <c r="K300" s="411">
        <v>11.311540000000001</v>
      </c>
      <c r="L300" s="168"/>
    </row>
    <row r="301" spans="1:12" ht="26.4" x14ac:dyDescent="0.3">
      <c r="A301" s="408" t="s">
        <v>1034</v>
      </c>
      <c r="B301" s="409" t="s">
        <v>5147</v>
      </c>
      <c r="C301" s="408" t="s">
        <v>395</v>
      </c>
      <c r="D301" s="408" t="s">
        <v>7785</v>
      </c>
      <c r="E301" s="604" t="s">
        <v>7786</v>
      </c>
      <c r="F301" s="604"/>
      <c r="G301" s="410" t="s">
        <v>4</v>
      </c>
      <c r="H301" s="412">
        <v>0.38650000000000001</v>
      </c>
      <c r="I301" s="412">
        <v>0</v>
      </c>
      <c r="J301" s="411">
        <v>27.21</v>
      </c>
      <c r="K301" s="411">
        <v>10.516665</v>
      </c>
      <c r="L301" s="166"/>
    </row>
    <row r="302" spans="1:12" ht="25.5" customHeight="1" x14ac:dyDescent="0.3">
      <c r="A302" s="408" t="s">
        <v>1034</v>
      </c>
      <c r="B302" s="409" t="s">
        <v>5148</v>
      </c>
      <c r="C302" s="408" t="s">
        <v>395</v>
      </c>
      <c r="D302" s="408" t="s">
        <v>7787</v>
      </c>
      <c r="E302" s="604" t="s">
        <v>7783</v>
      </c>
      <c r="F302" s="604"/>
      <c r="G302" s="410" t="s">
        <v>7</v>
      </c>
      <c r="H302" s="412">
        <v>1.0821000000000001</v>
      </c>
      <c r="I302" s="412">
        <v>0</v>
      </c>
      <c r="J302" s="411">
        <v>3.79</v>
      </c>
      <c r="K302" s="411">
        <v>4.101159</v>
      </c>
      <c r="L302" s="166"/>
    </row>
    <row r="303" spans="1:12" ht="38.25" customHeight="1" x14ac:dyDescent="0.3">
      <c r="A303" s="408" t="s">
        <v>1034</v>
      </c>
      <c r="B303" s="409" t="s">
        <v>5149</v>
      </c>
      <c r="C303" s="408" t="s">
        <v>395</v>
      </c>
      <c r="D303" s="408" t="s">
        <v>5150</v>
      </c>
      <c r="E303" s="604" t="s">
        <v>1227</v>
      </c>
      <c r="F303" s="604"/>
      <c r="G303" s="410" t="s">
        <v>7</v>
      </c>
      <c r="H303" s="412">
        <v>0.48309999999999997</v>
      </c>
      <c r="I303" s="412">
        <v>0</v>
      </c>
      <c r="J303" s="411">
        <v>17.95</v>
      </c>
      <c r="K303" s="411">
        <v>8.6716449999999998</v>
      </c>
      <c r="L303" s="166"/>
    </row>
    <row r="304" spans="1:12" ht="15" customHeight="1" x14ac:dyDescent="0.3">
      <c r="A304" s="408" t="s">
        <v>1034</v>
      </c>
      <c r="B304" s="409" t="s">
        <v>5151</v>
      </c>
      <c r="C304" s="408" t="s">
        <v>395</v>
      </c>
      <c r="D304" s="408" t="s">
        <v>5152</v>
      </c>
      <c r="E304" s="604" t="s">
        <v>7788</v>
      </c>
      <c r="F304" s="604"/>
      <c r="G304" s="410" t="s">
        <v>4</v>
      </c>
      <c r="H304" s="412">
        <v>9.6600000000000005E-2</v>
      </c>
      <c r="I304" s="412">
        <v>0</v>
      </c>
      <c r="J304" s="411">
        <v>215.71</v>
      </c>
      <c r="K304" s="411">
        <v>20.837586000000002</v>
      </c>
      <c r="L304" s="166"/>
    </row>
    <row r="305" spans="1:12" ht="38.25" customHeight="1" x14ac:dyDescent="0.3">
      <c r="A305" s="408" t="s">
        <v>1034</v>
      </c>
      <c r="B305" s="409" t="s">
        <v>5154</v>
      </c>
      <c r="C305" s="408" t="s">
        <v>395</v>
      </c>
      <c r="D305" s="408" t="s">
        <v>7790</v>
      </c>
      <c r="E305" s="604" t="s">
        <v>7791</v>
      </c>
      <c r="F305" s="604"/>
      <c r="G305" s="410" t="s">
        <v>4</v>
      </c>
      <c r="H305" s="412">
        <v>0.28989999999999999</v>
      </c>
      <c r="I305" s="412">
        <v>0</v>
      </c>
      <c r="J305" s="411">
        <v>28.2</v>
      </c>
      <c r="K305" s="411">
        <v>8.1751799999999992</v>
      </c>
      <c r="L305" s="166"/>
    </row>
    <row r="306" spans="1:12" ht="25.5" customHeight="1" x14ac:dyDescent="0.3">
      <c r="A306" s="408" t="s">
        <v>1034</v>
      </c>
      <c r="B306" s="409" t="s">
        <v>5155</v>
      </c>
      <c r="C306" s="408" t="s">
        <v>395</v>
      </c>
      <c r="D306" s="408" t="s">
        <v>7792</v>
      </c>
      <c r="E306" s="604" t="s">
        <v>7791</v>
      </c>
      <c r="F306" s="604"/>
      <c r="G306" s="410" t="s">
        <v>4</v>
      </c>
      <c r="H306" s="412">
        <v>9.6600000000000005E-2</v>
      </c>
      <c r="I306" s="412">
        <v>0</v>
      </c>
      <c r="J306" s="411">
        <v>150.12</v>
      </c>
      <c r="K306" s="411">
        <v>14.501592</v>
      </c>
      <c r="L306" s="166"/>
    </row>
    <row r="307" spans="1:12" ht="38.25" customHeight="1" x14ac:dyDescent="0.3">
      <c r="A307" s="408" t="s">
        <v>1034</v>
      </c>
      <c r="B307" s="409" t="s">
        <v>5162</v>
      </c>
      <c r="C307" s="408" t="s">
        <v>395</v>
      </c>
      <c r="D307" s="408" t="s">
        <v>7802</v>
      </c>
      <c r="E307" s="604" t="s">
        <v>7783</v>
      </c>
      <c r="F307" s="604"/>
      <c r="G307" s="410" t="s">
        <v>4</v>
      </c>
      <c r="H307" s="412">
        <v>9.6600000000000005E-2</v>
      </c>
      <c r="I307" s="412">
        <v>0</v>
      </c>
      <c r="J307" s="411">
        <v>62.67</v>
      </c>
      <c r="K307" s="411">
        <v>6.053922</v>
      </c>
      <c r="L307" s="166"/>
    </row>
    <row r="308" spans="1:12" ht="15" customHeight="1" x14ac:dyDescent="0.3">
      <c r="A308" s="408" t="s">
        <v>1034</v>
      </c>
      <c r="B308" s="409" t="s">
        <v>5156</v>
      </c>
      <c r="C308" s="408" t="s">
        <v>395</v>
      </c>
      <c r="D308" s="408" t="s">
        <v>5157</v>
      </c>
      <c r="E308" s="604" t="s">
        <v>1227</v>
      </c>
      <c r="F308" s="604"/>
      <c r="G308" s="410" t="s">
        <v>4</v>
      </c>
      <c r="H308" s="412">
        <v>0.19320000000000001</v>
      </c>
      <c r="I308" s="412">
        <v>0</v>
      </c>
      <c r="J308" s="411">
        <v>284.12</v>
      </c>
      <c r="K308" s="411">
        <v>54.891984000000001</v>
      </c>
      <c r="L308" s="166"/>
    </row>
    <row r="309" spans="1:12" ht="25.5" customHeight="1" x14ac:dyDescent="0.3">
      <c r="A309" s="408" t="s">
        <v>1034</v>
      </c>
      <c r="B309" s="409" t="s">
        <v>5163</v>
      </c>
      <c r="C309" s="408" t="s">
        <v>395</v>
      </c>
      <c r="D309" s="408" t="s">
        <v>7803</v>
      </c>
      <c r="E309" s="604" t="s">
        <v>7783</v>
      </c>
      <c r="F309" s="604"/>
      <c r="G309" s="410" t="s">
        <v>4</v>
      </c>
      <c r="H309" s="412">
        <v>0.28989999999999999</v>
      </c>
      <c r="I309" s="412">
        <v>0</v>
      </c>
      <c r="J309" s="411">
        <v>58.5</v>
      </c>
      <c r="K309" s="411">
        <v>16.959150000000001</v>
      </c>
      <c r="L309" s="167"/>
    </row>
    <row r="310" spans="1:12" ht="25.5" customHeight="1" x14ac:dyDescent="0.3">
      <c r="A310" s="408" t="s">
        <v>1034</v>
      </c>
      <c r="B310" s="409" t="s">
        <v>3852</v>
      </c>
      <c r="C310" s="408" t="s">
        <v>395</v>
      </c>
      <c r="D310" s="408" t="s">
        <v>5964</v>
      </c>
      <c r="E310" s="604" t="s">
        <v>7795</v>
      </c>
      <c r="F310" s="604"/>
      <c r="G310" s="410" t="s">
        <v>4</v>
      </c>
      <c r="H310" s="412">
        <v>9.6600000000000005E-2</v>
      </c>
      <c r="I310" s="412">
        <v>0</v>
      </c>
      <c r="J310" s="411">
        <v>78</v>
      </c>
      <c r="K310" s="411">
        <v>7.5347999999999997</v>
      </c>
      <c r="L310" s="168"/>
    </row>
    <row r="311" spans="1:12" ht="38.25" customHeight="1" x14ac:dyDescent="0.3">
      <c r="A311" s="408" t="s">
        <v>1034</v>
      </c>
      <c r="B311" s="409" t="s">
        <v>5164</v>
      </c>
      <c r="C311" s="408" t="s">
        <v>395</v>
      </c>
      <c r="D311" s="408" t="s">
        <v>7804</v>
      </c>
      <c r="E311" s="604" t="s">
        <v>7797</v>
      </c>
      <c r="F311" s="604"/>
      <c r="G311" s="410" t="s">
        <v>7</v>
      </c>
      <c r="H311" s="412">
        <v>0.46379999999999999</v>
      </c>
      <c r="I311" s="412">
        <v>0</v>
      </c>
      <c r="J311" s="411">
        <v>4.8499999999999996</v>
      </c>
      <c r="K311" s="411">
        <v>2.2494299999999998</v>
      </c>
      <c r="L311" s="168"/>
    </row>
    <row r="312" spans="1:12" ht="25.5" customHeight="1" x14ac:dyDescent="0.3">
      <c r="A312" s="408" t="s">
        <v>1034</v>
      </c>
      <c r="B312" s="409" t="s">
        <v>5160</v>
      </c>
      <c r="C312" s="408" t="s">
        <v>395</v>
      </c>
      <c r="D312" s="408" t="s">
        <v>7796</v>
      </c>
      <c r="E312" s="604" t="s">
        <v>7797</v>
      </c>
      <c r="F312" s="604"/>
      <c r="G312" s="410" t="s">
        <v>7</v>
      </c>
      <c r="H312" s="412">
        <v>0.42509999999999998</v>
      </c>
      <c r="I312" s="412">
        <v>0</v>
      </c>
      <c r="J312" s="411">
        <v>12.98</v>
      </c>
      <c r="K312" s="411">
        <v>5.517798</v>
      </c>
      <c r="L312" s="168"/>
    </row>
    <row r="313" spans="1:12" ht="15" customHeight="1" x14ac:dyDescent="0.3">
      <c r="A313" s="408" t="s">
        <v>1034</v>
      </c>
      <c r="B313" s="409" t="s">
        <v>5161</v>
      </c>
      <c r="C313" s="408" t="s">
        <v>395</v>
      </c>
      <c r="D313" s="408" t="s">
        <v>7798</v>
      </c>
      <c r="E313" s="604" t="s">
        <v>7799</v>
      </c>
      <c r="F313" s="604"/>
      <c r="G313" s="410" t="s">
        <v>713</v>
      </c>
      <c r="H313" s="412">
        <v>7.7999999999999996E-3</v>
      </c>
      <c r="I313" s="412">
        <v>0</v>
      </c>
      <c r="J313" s="411">
        <v>129.83000000000001</v>
      </c>
      <c r="K313" s="411">
        <v>1.0126740000000001</v>
      </c>
      <c r="L313" s="166"/>
    </row>
    <row r="314" spans="1:12" ht="25.5" customHeight="1" x14ac:dyDescent="0.3">
      <c r="A314" s="408" t="s">
        <v>1034</v>
      </c>
      <c r="B314" s="409" t="s">
        <v>996</v>
      </c>
      <c r="C314" s="408" t="s">
        <v>395</v>
      </c>
      <c r="D314" s="408" t="s">
        <v>7800</v>
      </c>
      <c r="E314" s="604" t="s">
        <v>7801</v>
      </c>
      <c r="F314" s="604"/>
      <c r="G314" s="410" t="s">
        <v>675</v>
      </c>
      <c r="H314" s="412">
        <v>0.47610000000000002</v>
      </c>
      <c r="I314" s="412">
        <v>0</v>
      </c>
      <c r="J314" s="411">
        <v>16.059999999999999</v>
      </c>
      <c r="K314" s="411">
        <v>7.646166</v>
      </c>
      <c r="L314" s="166"/>
    </row>
    <row r="315" spans="1:12" ht="38.25" customHeight="1" x14ac:dyDescent="0.3">
      <c r="A315" s="400" t="s">
        <v>1038</v>
      </c>
      <c r="B315" s="401" t="s">
        <v>4569</v>
      </c>
      <c r="C315" s="400" t="s">
        <v>395</v>
      </c>
      <c r="D315" s="400" t="s">
        <v>4570</v>
      </c>
      <c r="E315" s="605" t="s">
        <v>1039</v>
      </c>
      <c r="F315" s="605"/>
      <c r="G315" s="402" t="s">
        <v>4</v>
      </c>
      <c r="H315" s="403">
        <v>9.6600000000000005E-2</v>
      </c>
      <c r="I315" s="403">
        <v>0</v>
      </c>
      <c r="J315" s="404">
        <v>249.37</v>
      </c>
      <c r="K315" s="404">
        <v>24.089141999999999</v>
      </c>
      <c r="L315" s="168"/>
    </row>
    <row r="316" spans="1:12" ht="38.25" customHeight="1" x14ac:dyDescent="0.3">
      <c r="A316" s="400" t="s">
        <v>1038</v>
      </c>
      <c r="B316" s="401" t="s">
        <v>4584</v>
      </c>
      <c r="C316" s="400" t="s">
        <v>395</v>
      </c>
      <c r="D316" s="400" t="s">
        <v>4585</v>
      </c>
      <c r="E316" s="605" t="s">
        <v>1039</v>
      </c>
      <c r="F316" s="605"/>
      <c r="G316" s="402" t="s">
        <v>4</v>
      </c>
      <c r="H316" s="403">
        <v>9.6600000000000005E-2</v>
      </c>
      <c r="I316" s="403">
        <v>0</v>
      </c>
      <c r="J316" s="404">
        <v>241.15</v>
      </c>
      <c r="K316" s="404">
        <v>23.295089999999998</v>
      </c>
      <c r="L316" s="168"/>
    </row>
    <row r="317" spans="1:12" ht="15" customHeight="1" x14ac:dyDescent="0.3">
      <c r="A317" s="405"/>
      <c r="B317" s="405"/>
      <c r="C317" s="405"/>
      <c r="D317" s="405"/>
      <c r="E317" s="405" t="s">
        <v>1046</v>
      </c>
      <c r="F317" s="406">
        <v>146.87</v>
      </c>
      <c r="G317" s="405" t="s">
        <v>1047</v>
      </c>
      <c r="H317" s="406">
        <v>0.03</v>
      </c>
      <c r="I317" s="405" t="s">
        <v>1048</v>
      </c>
      <c r="J317" s="406">
        <v>146.9</v>
      </c>
      <c r="K317"/>
      <c r="L317" s="168"/>
    </row>
    <row r="318" spans="1:12" ht="25.5" customHeight="1" thickBot="1" x14ac:dyDescent="0.35">
      <c r="A318" s="405"/>
      <c r="B318" s="405"/>
      <c r="C318" s="405"/>
      <c r="D318" s="405"/>
      <c r="E318" s="405" t="s">
        <v>1049</v>
      </c>
      <c r="F318" s="406">
        <v>0</v>
      </c>
      <c r="G318" s="405"/>
      <c r="H318" s="606"/>
      <c r="I318" s="606" t="s">
        <v>1050</v>
      </c>
      <c r="J318" s="406">
        <v>576.44000000000005</v>
      </c>
      <c r="K318"/>
      <c r="L318" s="166"/>
    </row>
    <row r="319" spans="1:12" ht="25.5" customHeight="1" thickTop="1" x14ac:dyDescent="0.3">
      <c r="A319" s="407"/>
      <c r="B319" s="407"/>
      <c r="C319" s="407"/>
      <c r="D319" s="407"/>
      <c r="E319" s="407"/>
      <c r="F319" s="407"/>
      <c r="G319" s="407"/>
      <c r="H319" s="407"/>
      <c r="I319" s="407"/>
      <c r="J319" s="407"/>
      <c r="K319" s="407"/>
      <c r="L319" s="166"/>
    </row>
    <row r="320" spans="1:12" ht="38.25" customHeight="1" x14ac:dyDescent="0.3">
      <c r="A320" s="382" t="s">
        <v>628</v>
      </c>
      <c r="B320" s="312" t="s">
        <v>413</v>
      </c>
      <c r="C320" s="382" t="s">
        <v>414</v>
      </c>
      <c r="D320" s="382" t="s">
        <v>415</v>
      </c>
      <c r="E320" s="586" t="s">
        <v>1029</v>
      </c>
      <c r="F320" s="586"/>
      <c r="G320" s="383" t="s">
        <v>416</v>
      </c>
      <c r="H320" s="312" t="s">
        <v>1030</v>
      </c>
      <c r="I320" s="312" t="s">
        <v>3016</v>
      </c>
      <c r="J320" s="312" t="s">
        <v>1031</v>
      </c>
      <c r="K320" s="312" t="s">
        <v>1032</v>
      </c>
      <c r="L320" s="168"/>
    </row>
    <row r="321" spans="1:12" ht="26.4" x14ac:dyDescent="0.3">
      <c r="A321" s="313" t="s">
        <v>1033</v>
      </c>
      <c r="B321" s="315" t="s">
        <v>3782</v>
      </c>
      <c r="C321" s="313" t="s">
        <v>395</v>
      </c>
      <c r="D321" s="313" t="s">
        <v>190</v>
      </c>
      <c r="E321" s="603" t="s">
        <v>3195</v>
      </c>
      <c r="F321" s="603"/>
      <c r="G321" s="314" t="s">
        <v>4</v>
      </c>
      <c r="H321" s="399">
        <v>1</v>
      </c>
      <c r="I321" s="316"/>
      <c r="J321" s="316">
        <v>13317.27</v>
      </c>
      <c r="K321" s="316">
        <v>13317.27</v>
      </c>
      <c r="L321" s="168"/>
    </row>
    <row r="322" spans="1:12" ht="15" customHeight="1" x14ac:dyDescent="0.3">
      <c r="A322" s="408" t="s">
        <v>1034</v>
      </c>
      <c r="B322" s="409" t="s">
        <v>5165</v>
      </c>
      <c r="C322" s="408" t="s">
        <v>395</v>
      </c>
      <c r="D322" s="408" t="s">
        <v>7805</v>
      </c>
      <c r="E322" s="604" t="s">
        <v>7771</v>
      </c>
      <c r="F322" s="604"/>
      <c r="G322" s="410" t="s">
        <v>4</v>
      </c>
      <c r="H322" s="412">
        <v>1</v>
      </c>
      <c r="I322" s="412">
        <v>0</v>
      </c>
      <c r="J322" s="411">
        <v>11817.68</v>
      </c>
      <c r="K322" s="411">
        <v>11817.68</v>
      </c>
      <c r="L322" s="168"/>
    </row>
    <row r="323" spans="1:12" ht="17.399999999999999" customHeight="1" x14ac:dyDescent="0.3">
      <c r="A323" s="408" t="s">
        <v>1034</v>
      </c>
      <c r="B323" s="409" t="s">
        <v>3898</v>
      </c>
      <c r="C323" s="408" t="s">
        <v>395</v>
      </c>
      <c r="D323" s="408" t="s">
        <v>6014</v>
      </c>
      <c r="E323" s="604" t="s">
        <v>7806</v>
      </c>
      <c r="F323" s="604"/>
      <c r="G323" s="410" t="s">
        <v>7</v>
      </c>
      <c r="H323" s="412">
        <v>20</v>
      </c>
      <c r="I323" s="412">
        <v>0</v>
      </c>
      <c r="J323" s="411">
        <v>7.99</v>
      </c>
      <c r="K323" s="411">
        <v>159.80000000000001</v>
      </c>
      <c r="L323" s="166"/>
    </row>
    <row r="324" spans="1:12" ht="26.4" x14ac:dyDescent="0.3">
      <c r="A324" s="408" t="s">
        <v>1034</v>
      </c>
      <c r="B324" s="409" t="s">
        <v>5166</v>
      </c>
      <c r="C324" s="408" t="s">
        <v>395</v>
      </c>
      <c r="D324" s="408" t="s">
        <v>7807</v>
      </c>
      <c r="E324" s="604" t="s">
        <v>7808</v>
      </c>
      <c r="F324" s="604"/>
      <c r="G324" s="410" t="s">
        <v>4</v>
      </c>
      <c r="H324" s="412">
        <v>3</v>
      </c>
      <c r="I324" s="412">
        <v>0</v>
      </c>
      <c r="J324" s="411">
        <v>12.13</v>
      </c>
      <c r="K324" s="411">
        <v>36.39</v>
      </c>
      <c r="L324" s="166"/>
    </row>
    <row r="325" spans="1:12" ht="26.4" x14ac:dyDescent="0.3">
      <c r="A325" s="408" t="s">
        <v>1034</v>
      </c>
      <c r="B325" s="409" t="s">
        <v>5167</v>
      </c>
      <c r="C325" s="408" t="s">
        <v>395</v>
      </c>
      <c r="D325" s="408" t="s">
        <v>7809</v>
      </c>
      <c r="E325" s="604" t="s">
        <v>7806</v>
      </c>
      <c r="F325" s="604"/>
      <c r="G325" s="410" t="s">
        <v>4</v>
      </c>
      <c r="H325" s="412">
        <v>2</v>
      </c>
      <c r="I325" s="412">
        <v>0</v>
      </c>
      <c r="J325" s="411">
        <v>8.85</v>
      </c>
      <c r="K325" s="411">
        <v>17.7</v>
      </c>
      <c r="L325" s="168"/>
    </row>
    <row r="326" spans="1:12" ht="15" customHeight="1" x14ac:dyDescent="0.3">
      <c r="A326" s="408" t="s">
        <v>1034</v>
      </c>
      <c r="B326" s="409" t="s">
        <v>5168</v>
      </c>
      <c r="C326" s="408" t="s">
        <v>395</v>
      </c>
      <c r="D326" s="408" t="s">
        <v>7810</v>
      </c>
      <c r="E326" s="604" t="s">
        <v>7806</v>
      </c>
      <c r="F326" s="604"/>
      <c r="G326" s="410" t="s">
        <v>4</v>
      </c>
      <c r="H326" s="412">
        <v>1</v>
      </c>
      <c r="I326" s="412">
        <v>0</v>
      </c>
      <c r="J326" s="411">
        <v>23.4</v>
      </c>
      <c r="K326" s="411">
        <v>23.4</v>
      </c>
      <c r="L326" s="168"/>
    </row>
    <row r="327" spans="1:12" ht="14.25" customHeight="1" x14ac:dyDescent="0.3">
      <c r="A327" s="408" t="s">
        <v>1034</v>
      </c>
      <c r="B327" s="409" t="s">
        <v>5169</v>
      </c>
      <c r="C327" s="408" t="s">
        <v>395</v>
      </c>
      <c r="D327" s="408" t="s">
        <v>5170</v>
      </c>
      <c r="E327" s="604" t="s">
        <v>7811</v>
      </c>
      <c r="F327" s="604"/>
      <c r="G327" s="410" t="s">
        <v>4</v>
      </c>
      <c r="H327" s="412">
        <v>1</v>
      </c>
      <c r="I327" s="412">
        <v>0</v>
      </c>
      <c r="J327" s="411">
        <v>60.66</v>
      </c>
      <c r="K327" s="411">
        <v>60.66</v>
      </c>
      <c r="L327" s="168"/>
    </row>
    <row r="328" spans="1:12" ht="39.6" x14ac:dyDescent="0.3">
      <c r="A328" s="408" t="s">
        <v>1034</v>
      </c>
      <c r="B328" s="409" t="s">
        <v>5171</v>
      </c>
      <c r="C328" s="408" t="s">
        <v>395</v>
      </c>
      <c r="D328" s="408" t="s">
        <v>5172</v>
      </c>
      <c r="E328" s="604" t="s">
        <v>1319</v>
      </c>
      <c r="F328" s="604"/>
      <c r="G328" s="410" t="s">
        <v>4</v>
      </c>
      <c r="H328" s="412">
        <v>1</v>
      </c>
      <c r="I328" s="412">
        <v>0</v>
      </c>
      <c r="J328" s="411">
        <v>52.22</v>
      </c>
      <c r="K328" s="411">
        <v>52.22</v>
      </c>
      <c r="L328" s="166"/>
    </row>
    <row r="329" spans="1:12" ht="15" x14ac:dyDescent="0.3">
      <c r="A329" s="400" t="s">
        <v>1038</v>
      </c>
      <c r="B329" s="401" t="s">
        <v>4085</v>
      </c>
      <c r="C329" s="400" t="s">
        <v>395</v>
      </c>
      <c r="D329" s="400" t="s">
        <v>4086</v>
      </c>
      <c r="E329" s="605" t="s">
        <v>1039</v>
      </c>
      <c r="F329" s="605"/>
      <c r="G329" s="402" t="s">
        <v>4</v>
      </c>
      <c r="H329" s="403">
        <v>1</v>
      </c>
      <c r="I329" s="403">
        <v>0</v>
      </c>
      <c r="J329" s="404">
        <v>1149.42</v>
      </c>
      <c r="K329" s="404">
        <v>1149.42</v>
      </c>
      <c r="L329" s="166"/>
    </row>
    <row r="330" spans="1:12" ht="15" x14ac:dyDescent="0.3">
      <c r="A330" s="405"/>
      <c r="B330" s="405"/>
      <c r="C330" s="405"/>
      <c r="D330" s="405"/>
      <c r="E330" s="405" t="s">
        <v>1046</v>
      </c>
      <c r="F330" s="406">
        <v>3181.51</v>
      </c>
      <c r="G330" s="405" t="s">
        <v>1047</v>
      </c>
      <c r="H330" s="406">
        <v>0.13</v>
      </c>
      <c r="I330" s="405" t="s">
        <v>1048</v>
      </c>
      <c r="J330" s="406">
        <v>3181.64</v>
      </c>
      <c r="K330"/>
      <c r="L330" s="166"/>
    </row>
    <row r="331" spans="1:12" ht="15.6" thickBot="1" x14ac:dyDescent="0.35">
      <c r="A331" s="405"/>
      <c r="B331" s="405"/>
      <c r="C331" s="405"/>
      <c r="D331" s="405"/>
      <c r="E331" s="405" t="s">
        <v>1049</v>
      </c>
      <c r="F331" s="406">
        <v>0</v>
      </c>
      <c r="G331" s="405"/>
      <c r="H331" s="606"/>
      <c r="I331" s="606" t="s">
        <v>1050</v>
      </c>
      <c r="J331" s="406">
        <v>13317.27</v>
      </c>
      <c r="K331"/>
      <c r="L331" s="166"/>
    </row>
    <row r="332" spans="1:12" ht="15.6" thickTop="1" x14ac:dyDescent="0.3">
      <c r="A332" s="407"/>
      <c r="B332" s="407"/>
      <c r="C332" s="407"/>
      <c r="D332" s="407"/>
      <c r="E332" s="407"/>
      <c r="F332" s="407"/>
      <c r="G332" s="407"/>
      <c r="H332" s="407"/>
      <c r="I332" s="407"/>
      <c r="J332" s="407"/>
      <c r="K332" s="407"/>
      <c r="L332" s="166"/>
    </row>
    <row r="333" spans="1:12" ht="15" customHeight="1" x14ac:dyDescent="0.3">
      <c r="A333" s="382" t="s">
        <v>629</v>
      </c>
      <c r="B333" s="312" t="s">
        <v>413</v>
      </c>
      <c r="C333" s="382" t="s">
        <v>414</v>
      </c>
      <c r="D333" s="382" t="s">
        <v>415</v>
      </c>
      <c r="E333" s="586" t="s">
        <v>1029</v>
      </c>
      <c r="F333" s="586"/>
      <c r="G333" s="383" t="s">
        <v>416</v>
      </c>
      <c r="H333" s="312" t="s">
        <v>1030</v>
      </c>
      <c r="I333" s="312" t="s">
        <v>3016</v>
      </c>
      <c r="J333" s="312" t="s">
        <v>1031</v>
      </c>
      <c r="K333" s="312" t="s">
        <v>1032</v>
      </c>
      <c r="L333" s="166"/>
    </row>
    <row r="334" spans="1:12" ht="14.25" customHeight="1" x14ac:dyDescent="0.3">
      <c r="A334" s="313" t="s">
        <v>1033</v>
      </c>
      <c r="B334" s="315" t="s">
        <v>2934</v>
      </c>
      <c r="C334" s="313" t="s">
        <v>408</v>
      </c>
      <c r="D334" s="313" t="s">
        <v>5904</v>
      </c>
      <c r="E334" s="603" t="s">
        <v>3110</v>
      </c>
      <c r="F334" s="603"/>
      <c r="G334" s="314" t="s">
        <v>4</v>
      </c>
      <c r="H334" s="399">
        <v>1</v>
      </c>
      <c r="I334" s="316"/>
      <c r="J334" s="316">
        <v>370</v>
      </c>
      <c r="K334" s="316">
        <v>370</v>
      </c>
      <c r="L334" s="166"/>
    </row>
    <row r="335" spans="1:12" ht="15" x14ac:dyDescent="0.3">
      <c r="A335" s="400" t="s">
        <v>1038</v>
      </c>
      <c r="B335" s="401" t="s">
        <v>3111</v>
      </c>
      <c r="C335" s="400" t="s">
        <v>408</v>
      </c>
      <c r="D335" s="400" t="s">
        <v>3112</v>
      </c>
      <c r="E335" s="605" t="s">
        <v>1039</v>
      </c>
      <c r="F335" s="605"/>
      <c r="G335" s="402" t="s">
        <v>4</v>
      </c>
      <c r="H335" s="403">
        <v>1</v>
      </c>
      <c r="I335" s="403">
        <v>0</v>
      </c>
      <c r="J335" s="404">
        <v>370</v>
      </c>
      <c r="K335" s="404">
        <v>370</v>
      </c>
      <c r="L335" s="166"/>
    </row>
    <row r="336" spans="1:12" ht="15" x14ac:dyDescent="0.3">
      <c r="A336" s="405"/>
      <c r="B336" s="405"/>
      <c r="C336" s="405"/>
      <c r="D336" s="405"/>
      <c r="E336" s="405" t="s">
        <v>1046</v>
      </c>
      <c r="F336" s="406">
        <v>0</v>
      </c>
      <c r="G336" s="405" t="s">
        <v>1047</v>
      </c>
      <c r="H336" s="406">
        <v>0</v>
      </c>
      <c r="I336" s="405" t="s">
        <v>1048</v>
      </c>
      <c r="J336" s="406">
        <v>0</v>
      </c>
      <c r="K336"/>
      <c r="L336" s="167"/>
    </row>
    <row r="337" spans="1:12" ht="15" customHeight="1" thickBot="1" x14ac:dyDescent="0.35">
      <c r="A337" s="405"/>
      <c r="B337" s="405"/>
      <c r="C337" s="405"/>
      <c r="D337" s="405"/>
      <c r="E337" s="405" t="s">
        <v>1049</v>
      </c>
      <c r="F337" s="406">
        <v>0</v>
      </c>
      <c r="G337" s="405"/>
      <c r="H337" s="606"/>
      <c r="I337" s="606" t="s">
        <v>1050</v>
      </c>
      <c r="J337" s="406">
        <v>370</v>
      </c>
      <c r="K337"/>
      <c r="L337" s="168"/>
    </row>
    <row r="338" spans="1:12" ht="25.5" customHeight="1" thickTop="1" x14ac:dyDescent="0.3">
      <c r="A338" s="407"/>
      <c r="B338" s="407"/>
      <c r="C338" s="407"/>
      <c r="D338" s="407"/>
      <c r="E338" s="407"/>
      <c r="F338" s="407"/>
      <c r="G338" s="407"/>
      <c r="H338" s="407"/>
      <c r="I338" s="407"/>
      <c r="J338" s="407"/>
      <c r="K338" s="407"/>
      <c r="L338" s="168"/>
    </row>
    <row r="339" spans="1:12" ht="38.25" customHeight="1" x14ac:dyDescent="0.3">
      <c r="A339" s="382" t="s">
        <v>630</v>
      </c>
      <c r="B339" s="312" t="s">
        <v>413</v>
      </c>
      <c r="C339" s="382" t="s">
        <v>414</v>
      </c>
      <c r="D339" s="382" t="s">
        <v>415</v>
      </c>
      <c r="E339" s="586" t="s">
        <v>1029</v>
      </c>
      <c r="F339" s="586"/>
      <c r="G339" s="383" t="s">
        <v>416</v>
      </c>
      <c r="H339" s="312" t="s">
        <v>1030</v>
      </c>
      <c r="I339" s="312" t="s">
        <v>3016</v>
      </c>
      <c r="J339" s="312" t="s">
        <v>1031</v>
      </c>
      <c r="K339" s="312" t="s">
        <v>1032</v>
      </c>
      <c r="L339" s="168"/>
    </row>
    <row r="340" spans="1:12" ht="38.25" customHeight="1" x14ac:dyDescent="0.3">
      <c r="A340" s="313" t="s">
        <v>1033</v>
      </c>
      <c r="B340" s="315" t="s">
        <v>2975</v>
      </c>
      <c r="C340" s="313" t="s">
        <v>575</v>
      </c>
      <c r="D340" s="313" t="s">
        <v>2761</v>
      </c>
      <c r="E340" s="603" t="s">
        <v>3195</v>
      </c>
      <c r="F340" s="603"/>
      <c r="G340" s="314" t="s">
        <v>380</v>
      </c>
      <c r="H340" s="399">
        <v>1</v>
      </c>
      <c r="I340" s="316"/>
      <c r="J340" s="316">
        <v>10244.879999999999</v>
      </c>
      <c r="K340" s="316">
        <v>10244.879999999999</v>
      </c>
      <c r="L340" s="166"/>
    </row>
    <row r="341" spans="1:12" ht="38.25" customHeight="1" x14ac:dyDescent="0.3">
      <c r="A341" s="400" t="s">
        <v>1038</v>
      </c>
      <c r="B341" s="401" t="s">
        <v>3196</v>
      </c>
      <c r="C341" s="400" t="s">
        <v>408</v>
      </c>
      <c r="D341" s="400" t="s">
        <v>3197</v>
      </c>
      <c r="E341" s="605" t="s">
        <v>1039</v>
      </c>
      <c r="F341" s="605"/>
      <c r="G341" s="402" t="s">
        <v>4</v>
      </c>
      <c r="H341" s="403">
        <v>1</v>
      </c>
      <c r="I341" s="403">
        <v>0</v>
      </c>
      <c r="J341" s="404">
        <v>287.5</v>
      </c>
      <c r="K341" s="404">
        <v>287.5</v>
      </c>
      <c r="L341" s="166"/>
    </row>
    <row r="342" spans="1:12" ht="15" x14ac:dyDescent="0.3">
      <c r="A342" s="400" t="s">
        <v>1038</v>
      </c>
      <c r="B342" s="401" t="s">
        <v>3198</v>
      </c>
      <c r="C342" s="400" t="s">
        <v>408</v>
      </c>
      <c r="D342" s="400" t="s">
        <v>3199</v>
      </c>
      <c r="E342" s="605" t="s">
        <v>1039</v>
      </c>
      <c r="F342" s="605"/>
      <c r="G342" s="402" t="s">
        <v>4</v>
      </c>
      <c r="H342" s="403">
        <v>2</v>
      </c>
      <c r="I342" s="403">
        <v>0</v>
      </c>
      <c r="J342" s="404">
        <v>295</v>
      </c>
      <c r="K342" s="404">
        <v>590</v>
      </c>
      <c r="L342" s="168"/>
    </row>
    <row r="343" spans="1:12" ht="25.5" customHeight="1" x14ac:dyDescent="0.3">
      <c r="A343" s="400" t="s">
        <v>1038</v>
      </c>
      <c r="B343" s="401" t="s">
        <v>3200</v>
      </c>
      <c r="C343" s="400" t="s">
        <v>408</v>
      </c>
      <c r="D343" s="400" t="s">
        <v>3201</v>
      </c>
      <c r="E343" s="605" t="s">
        <v>1039</v>
      </c>
      <c r="F343" s="605"/>
      <c r="G343" s="402" t="s">
        <v>4</v>
      </c>
      <c r="H343" s="403">
        <v>2</v>
      </c>
      <c r="I343" s="403">
        <v>0</v>
      </c>
      <c r="J343" s="404">
        <v>287.5</v>
      </c>
      <c r="K343" s="404">
        <v>575</v>
      </c>
      <c r="L343" s="168"/>
    </row>
    <row r="344" spans="1:12" ht="15" customHeight="1" x14ac:dyDescent="0.3">
      <c r="A344" s="400" t="s">
        <v>1038</v>
      </c>
      <c r="B344" s="401" t="s">
        <v>3202</v>
      </c>
      <c r="C344" s="400" t="s">
        <v>408</v>
      </c>
      <c r="D344" s="400" t="s">
        <v>3203</v>
      </c>
      <c r="E344" s="605" t="s">
        <v>1039</v>
      </c>
      <c r="F344" s="605"/>
      <c r="G344" s="402" t="s">
        <v>4</v>
      </c>
      <c r="H344" s="403">
        <v>4</v>
      </c>
      <c r="I344" s="403">
        <v>0</v>
      </c>
      <c r="J344" s="404">
        <v>149.5</v>
      </c>
      <c r="K344" s="404">
        <v>598</v>
      </c>
      <c r="L344" s="168"/>
    </row>
    <row r="345" spans="1:12" ht="15" x14ac:dyDescent="0.3">
      <c r="A345" s="400" t="s">
        <v>1038</v>
      </c>
      <c r="B345" s="401" t="s">
        <v>3204</v>
      </c>
      <c r="C345" s="400" t="s">
        <v>408</v>
      </c>
      <c r="D345" s="400" t="s">
        <v>3205</v>
      </c>
      <c r="E345" s="605" t="s">
        <v>1039</v>
      </c>
      <c r="F345" s="605"/>
      <c r="G345" s="402" t="s">
        <v>4</v>
      </c>
      <c r="H345" s="403">
        <v>8</v>
      </c>
      <c r="I345" s="403">
        <v>0</v>
      </c>
      <c r="J345" s="404">
        <v>32.25</v>
      </c>
      <c r="K345" s="404">
        <v>258</v>
      </c>
      <c r="L345" s="166"/>
    </row>
    <row r="346" spans="1:12" ht="15" x14ac:dyDescent="0.3">
      <c r="A346" s="400" t="s">
        <v>1038</v>
      </c>
      <c r="B346" s="401" t="s">
        <v>3206</v>
      </c>
      <c r="C346" s="400" t="s">
        <v>408</v>
      </c>
      <c r="D346" s="400" t="s">
        <v>3207</v>
      </c>
      <c r="E346" s="605" t="s">
        <v>1039</v>
      </c>
      <c r="F346" s="605"/>
      <c r="G346" s="402" t="s">
        <v>4</v>
      </c>
      <c r="H346" s="403">
        <v>2</v>
      </c>
      <c r="I346" s="403">
        <v>0</v>
      </c>
      <c r="J346" s="404">
        <v>56.25</v>
      </c>
      <c r="K346" s="404">
        <v>112.5</v>
      </c>
      <c r="L346" s="166"/>
    </row>
    <row r="347" spans="1:12" ht="14.25" customHeight="1" x14ac:dyDescent="0.3">
      <c r="A347" s="400" t="s">
        <v>1038</v>
      </c>
      <c r="B347" s="401" t="s">
        <v>3208</v>
      </c>
      <c r="C347" s="400" t="s">
        <v>408</v>
      </c>
      <c r="D347" s="400" t="s">
        <v>3209</v>
      </c>
      <c r="E347" s="605" t="s">
        <v>1039</v>
      </c>
      <c r="F347" s="605"/>
      <c r="G347" s="402" t="s">
        <v>675</v>
      </c>
      <c r="H347" s="403">
        <v>2</v>
      </c>
      <c r="I347" s="403">
        <v>0</v>
      </c>
      <c r="J347" s="404">
        <v>545</v>
      </c>
      <c r="K347" s="404">
        <v>1090</v>
      </c>
      <c r="L347" s="168"/>
    </row>
    <row r="348" spans="1:12" ht="15" customHeight="1" x14ac:dyDescent="0.3">
      <c r="A348" s="400" t="s">
        <v>1038</v>
      </c>
      <c r="B348" s="401" t="s">
        <v>3210</v>
      </c>
      <c r="C348" s="400" t="s">
        <v>408</v>
      </c>
      <c r="D348" s="400" t="s">
        <v>3211</v>
      </c>
      <c r="E348" s="605" t="s">
        <v>1039</v>
      </c>
      <c r="F348" s="605"/>
      <c r="G348" s="402" t="s">
        <v>675</v>
      </c>
      <c r="H348" s="403">
        <v>3</v>
      </c>
      <c r="I348" s="403">
        <v>0</v>
      </c>
      <c r="J348" s="404">
        <v>287.5</v>
      </c>
      <c r="K348" s="404">
        <v>862.5</v>
      </c>
      <c r="L348" s="168"/>
    </row>
    <row r="349" spans="1:12" ht="15" x14ac:dyDescent="0.3">
      <c r="A349" s="400" t="s">
        <v>1038</v>
      </c>
      <c r="B349" s="401" t="s">
        <v>3212</v>
      </c>
      <c r="C349" s="400" t="s">
        <v>408</v>
      </c>
      <c r="D349" s="400" t="s">
        <v>3213</v>
      </c>
      <c r="E349" s="605" t="s">
        <v>1039</v>
      </c>
      <c r="F349" s="605"/>
      <c r="G349" s="402" t="s">
        <v>4</v>
      </c>
      <c r="H349" s="403">
        <v>2</v>
      </c>
      <c r="I349" s="403">
        <v>0</v>
      </c>
      <c r="J349" s="404">
        <v>336.25</v>
      </c>
      <c r="K349" s="404">
        <v>672.5</v>
      </c>
      <c r="L349" s="168"/>
    </row>
    <row r="350" spans="1:12" ht="15" x14ac:dyDescent="0.3">
      <c r="A350" s="400" t="s">
        <v>1038</v>
      </c>
      <c r="B350" s="401" t="s">
        <v>3214</v>
      </c>
      <c r="C350" s="400" t="s">
        <v>408</v>
      </c>
      <c r="D350" s="400" t="s">
        <v>3215</v>
      </c>
      <c r="E350" s="605" t="s">
        <v>1039</v>
      </c>
      <c r="F350" s="605"/>
      <c r="G350" s="402" t="s">
        <v>4</v>
      </c>
      <c r="H350" s="403">
        <v>2</v>
      </c>
      <c r="I350" s="403">
        <v>0</v>
      </c>
      <c r="J350" s="404">
        <v>2599.44</v>
      </c>
      <c r="K350" s="404">
        <v>5198.88</v>
      </c>
      <c r="L350" s="166"/>
    </row>
    <row r="351" spans="1:12" ht="15" x14ac:dyDescent="0.3">
      <c r="A351" s="405"/>
      <c r="B351" s="405"/>
      <c r="C351" s="405"/>
      <c r="D351" s="405"/>
      <c r="E351" s="405" t="s">
        <v>1046</v>
      </c>
      <c r="F351" s="406">
        <v>0</v>
      </c>
      <c r="G351" s="405" t="s">
        <v>1047</v>
      </c>
      <c r="H351" s="406">
        <v>0</v>
      </c>
      <c r="I351" s="405" t="s">
        <v>1048</v>
      </c>
      <c r="J351" s="406">
        <v>0</v>
      </c>
      <c r="K351"/>
      <c r="L351" s="166"/>
    </row>
    <row r="352" spans="1:12" ht="15.6" thickBot="1" x14ac:dyDescent="0.35">
      <c r="A352" s="405"/>
      <c r="B352" s="405"/>
      <c r="C352" s="405"/>
      <c r="D352" s="405"/>
      <c r="E352" s="405" t="s">
        <v>1049</v>
      </c>
      <c r="F352" s="406">
        <v>0</v>
      </c>
      <c r="G352" s="405"/>
      <c r="H352" s="606"/>
      <c r="I352" s="606" t="s">
        <v>1050</v>
      </c>
      <c r="J352" s="406">
        <v>10244.879999999999</v>
      </c>
      <c r="K352"/>
      <c r="L352" s="168"/>
    </row>
    <row r="353" spans="1:12" ht="17.399999999999999" customHeight="1" thickTop="1" x14ac:dyDescent="0.3">
      <c r="A353" s="407"/>
      <c r="B353" s="407"/>
      <c r="C353" s="407"/>
      <c r="D353" s="407"/>
      <c r="E353" s="407"/>
      <c r="F353" s="407"/>
      <c r="G353" s="407"/>
      <c r="H353" s="407"/>
      <c r="I353" s="407"/>
      <c r="J353" s="407"/>
      <c r="K353" s="407"/>
      <c r="L353" s="168"/>
    </row>
    <row r="354" spans="1:12" ht="14.25" customHeight="1" x14ac:dyDescent="0.3">
      <c r="A354" s="382" t="s">
        <v>631</v>
      </c>
      <c r="B354" s="312" t="s">
        <v>413</v>
      </c>
      <c r="C354" s="382" t="s">
        <v>414</v>
      </c>
      <c r="D354" s="382" t="s">
        <v>415</v>
      </c>
      <c r="E354" s="586" t="s">
        <v>1029</v>
      </c>
      <c r="F354" s="586"/>
      <c r="G354" s="383" t="s">
        <v>416</v>
      </c>
      <c r="H354" s="312" t="s">
        <v>1030</v>
      </c>
      <c r="I354" s="312" t="s">
        <v>3016</v>
      </c>
      <c r="J354" s="312" t="s">
        <v>1031</v>
      </c>
      <c r="K354" s="312" t="s">
        <v>1032</v>
      </c>
      <c r="L354" s="168"/>
    </row>
    <row r="355" spans="1:12" ht="15" customHeight="1" x14ac:dyDescent="0.3">
      <c r="A355" s="313" t="s">
        <v>1033</v>
      </c>
      <c r="B355" s="315" t="s">
        <v>2976</v>
      </c>
      <c r="C355" s="313" t="s">
        <v>420</v>
      </c>
      <c r="D355" s="313" t="s">
        <v>5905</v>
      </c>
      <c r="E355" s="603" t="s">
        <v>3216</v>
      </c>
      <c r="F355" s="603"/>
      <c r="G355" s="314" t="s">
        <v>2763</v>
      </c>
      <c r="H355" s="399">
        <v>1</v>
      </c>
      <c r="I355" s="316"/>
      <c r="J355" s="316">
        <v>945.34</v>
      </c>
      <c r="K355" s="316">
        <v>945.34</v>
      </c>
      <c r="L355" s="166"/>
    </row>
    <row r="356" spans="1:12" ht="15" x14ac:dyDescent="0.3">
      <c r="A356" s="400" t="s">
        <v>1038</v>
      </c>
      <c r="B356" s="401" t="s">
        <v>6649</v>
      </c>
      <c r="C356" s="400" t="s">
        <v>420</v>
      </c>
      <c r="D356" s="400" t="s">
        <v>6650</v>
      </c>
      <c r="E356" s="605" t="s">
        <v>1317</v>
      </c>
      <c r="F356" s="605"/>
      <c r="G356" s="402" t="s">
        <v>1070</v>
      </c>
      <c r="H356" s="403">
        <v>8</v>
      </c>
      <c r="I356" s="403">
        <v>0</v>
      </c>
      <c r="J356" s="404">
        <v>13.18</v>
      </c>
      <c r="K356" s="404">
        <v>105.44</v>
      </c>
      <c r="L356" s="166"/>
    </row>
    <row r="357" spans="1:12" ht="15" x14ac:dyDescent="0.3">
      <c r="A357" s="400" t="s">
        <v>1038</v>
      </c>
      <c r="B357" s="401" t="s">
        <v>4164</v>
      </c>
      <c r="C357" s="400" t="s">
        <v>420</v>
      </c>
      <c r="D357" s="400" t="s">
        <v>4165</v>
      </c>
      <c r="E357" s="605" t="s">
        <v>1053</v>
      </c>
      <c r="F357" s="605"/>
      <c r="G357" s="402" t="s">
        <v>2627</v>
      </c>
      <c r="H357" s="403">
        <v>9.0899999999999995E-2</v>
      </c>
      <c r="I357" s="403">
        <v>0</v>
      </c>
      <c r="J357" s="404">
        <v>4769.55</v>
      </c>
      <c r="K357" s="404">
        <v>433.55209500000001</v>
      </c>
      <c r="L357" s="166"/>
    </row>
    <row r="358" spans="1:12" ht="12.75" customHeight="1" x14ac:dyDescent="0.3">
      <c r="A358" s="400" t="s">
        <v>1038</v>
      </c>
      <c r="B358" s="401" t="s">
        <v>4181</v>
      </c>
      <c r="C358" s="400" t="s">
        <v>420</v>
      </c>
      <c r="D358" s="400" t="s">
        <v>4182</v>
      </c>
      <c r="E358" s="605" t="s">
        <v>1053</v>
      </c>
      <c r="F358" s="605"/>
      <c r="G358" s="402" t="s">
        <v>2627</v>
      </c>
      <c r="H358" s="403">
        <v>4.5499999999999999E-2</v>
      </c>
      <c r="I358" s="403">
        <v>0</v>
      </c>
      <c r="J358" s="404">
        <v>8091.95</v>
      </c>
      <c r="K358" s="404">
        <v>368.18372499999998</v>
      </c>
      <c r="L358" s="166"/>
    </row>
    <row r="359" spans="1:12" ht="15" customHeight="1" x14ac:dyDescent="0.3">
      <c r="A359" s="400" t="s">
        <v>1038</v>
      </c>
      <c r="B359" s="401" t="s">
        <v>6975</v>
      </c>
      <c r="C359" s="400" t="s">
        <v>420</v>
      </c>
      <c r="D359" s="400" t="s">
        <v>6976</v>
      </c>
      <c r="E359" s="605" t="s">
        <v>1317</v>
      </c>
      <c r="F359" s="605"/>
      <c r="G359" s="402" t="s">
        <v>6977</v>
      </c>
      <c r="H359" s="403">
        <v>8</v>
      </c>
      <c r="I359" s="403">
        <v>0</v>
      </c>
      <c r="J359" s="404">
        <v>4.7699999999999996</v>
      </c>
      <c r="K359" s="404">
        <v>38.159999999999997</v>
      </c>
      <c r="L359" s="166"/>
    </row>
    <row r="360" spans="1:12" ht="25.5" customHeight="1" x14ac:dyDescent="0.3">
      <c r="A360" s="405"/>
      <c r="B360" s="405"/>
      <c r="C360" s="405"/>
      <c r="D360" s="405"/>
      <c r="E360" s="405" t="s">
        <v>1046</v>
      </c>
      <c r="F360" s="406">
        <v>801.73</v>
      </c>
      <c r="G360" s="405" t="s">
        <v>1047</v>
      </c>
      <c r="H360" s="406">
        <v>0</v>
      </c>
      <c r="I360" s="405" t="s">
        <v>1048</v>
      </c>
      <c r="J360" s="406">
        <v>801.73</v>
      </c>
      <c r="K360"/>
      <c r="L360" s="166"/>
    </row>
    <row r="361" spans="1:12" ht="25.5" customHeight="1" thickBot="1" x14ac:dyDescent="0.35">
      <c r="A361" s="405"/>
      <c r="B361" s="405"/>
      <c r="C361" s="405"/>
      <c r="D361" s="405"/>
      <c r="E361" s="405" t="s">
        <v>1049</v>
      </c>
      <c r="F361" s="406">
        <v>0</v>
      </c>
      <c r="G361" s="405"/>
      <c r="H361" s="606"/>
      <c r="I361" s="606" t="s">
        <v>1050</v>
      </c>
      <c r="J361" s="406">
        <v>945.34</v>
      </c>
      <c r="K361"/>
      <c r="L361" s="166"/>
    </row>
    <row r="362" spans="1:12" ht="25.5" customHeight="1" thickTop="1" x14ac:dyDescent="0.3">
      <c r="A362" s="407"/>
      <c r="B362" s="407"/>
      <c r="C362" s="407"/>
      <c r="D362" s="407"/>
      <c r="E362" s="407"/>
      <c r="F362" s="407"/>
      <c r="G362" s="407"/>
      <c r="H362" s="407"/>
      <c r="I362" s="407"/>
      <c r="J362" s="407"/>
      <c r="K362" s="407"/>
      <c r="L362" s="166"/>
    </row>
    <row r="363" spans="1:12" ht="25.5" customHeight="1" x14ac:dyDescent="0.3">
      <c r="A363" s="382" t="s">
        <v>632</v>
      </c>
      <c r="B363" s="312" t="s">
        <v>413</v>
      </c>
      <c r="C363" s="382" t="s">
        <v>414</v>
      </c>
      <c r="D363" s="382" t="s">
        <v>415</v>
      </c>
      <c r="E363" s="586" t="s">
        <v>1029</v>
      </c>
      <c r="F363" s="586"/>
      <c r="G363" s="383" t="s">
        <v>416</v>
      </c>
      <c r="H363" s="312" t="s">
        <v>1030</v>
      </c>
      <c r="I363" s="312" t="s">
        <v>3016</v>
      </c>
      <c r="J363" s="312" t="s">
        <v>1031</v>
      </c>
      <c r="K363" s="312" t="s">
        <v>1032</v>
      </c>
      <c r="L363" s="167"/>
    </row>
    <row r="364" spans="1:12" ht="25.5" customHeight="1" x14ac:dyDescent="0.3">
      <c r="A364" s="313" t="s">
        <v>1033</v>
      </c>
      <c r="B364" s="315" t="s">
        <v>2977</v>
      </c>
      <c r="C364" s="313" t="s">
        <v>2616</v>
      </c>
      <c r="D364" s="313" t="s">
        <v>2765</v>
      </c>
      <c r="E364" s="603">
        <v>1</v>
      </c>
      <c r="F364" s="603"/>
      <c r="G364" s="314" t="s">
        <v>10</v>
      </c>
      <c r="H364" s="399">
        <v>1</v>
      </c>
      <c r="I364" s="316"/>
      <c r="J364" s="316">
        <v>37429.919999999998</v>
      </c>
      <c r="K364" s="316">
        <v>37429.919999999998</v>
      </c>
      <c r="L364" s="168"/>
    </row>
    <row r="365" spans="1:12" ht="25.5" customHeight="1" x14ac:dyDescent="0.3">
      <c r="A365" s="400" t="s">
        <v>1038</v>
      </c>
      <c r="B365" s="401" t="s">
        <v>3217</v>
      </c>
      <c r="C365" s="400" t="s">
        <v>2616</v>
      </c>
      <c r="D365" s="400" t="s">
        <v>3218</v>
      </c>
      <c r="E365" s="605" t="s">
        <v>1053</v>
      </c>
      <c r="F365" s="605"/>
      <c r="G365" s="402" t="s">
        <v>6</v>
      </c>
      <c r="H365" s="403">
        <v>176</v>
      </c>
      <c r="I365" s="403">
        <v>0</v>
      </c>
      <c r="J365" s="404">
        <v>212.67</v>
      </c>
      <c r="K365" s="404">
        <v>37429.919999999998</v>
      </c>
      <c r="L365" s="168"/>
    </row>
    <row r="366" spans="1:12" ht="15" customHeight="1" x14ac:dyDescent="0.3">
      <c r="A366" s="405"/>
      <c r="B366" s="405"/>
      <c r="C366" s="405"/>
      <c r="D366" s="405"/>
      <c r="E366" s="405" t="s">
        <v>1046</v>
      </c>
      <c r="F366" s="406">
        <v>37429.919999999998</v>
      </c>
      <c r="G366" s="405" t="s">
        <v>1047</v>
      </c>
      <c r="H366" s="406">
        <v>0</v>
      </c>
      <c r="I366" s="405" t="s">
        <v>1048</v>
      </c>
      <c r="J366" s="406">
        <v>37429.919999999998</v>
      </c>
      <c r="K366"/>
      <c r="L366" s="168"/>
    </row>
    <row r="367" spans="1:12" ht="15.6" thickBot="1" x14ac:dyDescent="0.35">
      <c r="A367" s="405"/>
      <c r="B367" s="405"/>
      <c r="C367" s="405"/>
      <c r="D367" s="405"/>
      <c r="E367" s="405" t="s">
        <v>1049</v>
      </c>
      <c r="F367" s="406">
        <v>0</v>
      </c>
      <c r="G367" s="405"/>
      <c r="H367" s="606"/>
      <c r="I367" s="606" t="s">
        <v>1050</v>
      </c>
      <c r="J367" s="406">
        <v>37429.919999999998</v>
      </c>
      <c r="K367"/>
      <c r="L367" s="168"/>
    </row>
    <row r="368" spans="1:12" ht="15.6" thickTop="1" x14ac:dyDescent="0.3">
      <c r="A368" s="407"/>
      <c r="B368" s="407"/>
      <c r="C368" s="407"/>
      <c r="D368" s="407"/>
      <c r="E368" s="407"/>
      <c r="F368" s="407"/>
      <c r="G368" s="407"/>
      <c r="H368" s="407"/>
      <c r="I368" s="407"/>
      <c r="J368" s="407"/>
      <c r="K368" s="407"/>
      <c r="L368" s="168"/>
    </row>
    <row r="369" spans="1:12" ht="15" x14ac:dyDescent="0.3">
      <c r="A369" s="382" t="s">
        <v>633</v>
      </c>
      <c r="B369" s="312" t="s">
        <v>413</v>
      </c>
      <c r="C369" s="382" t="s">
        <v>414</v>
      </c>
      <c r="D369" s="382" t="s">
        <v>415</v>
      </c>
      <c r="E369" s="586" t="s">
        <v>1029</v>
      </c>
      <c r="F369" s="586"/>
      <c r="G369" s="383" t="s">
        <v>416</v>
      </c>
      <c r="H369" s="312" t="s">
        <v>1030</v>
      </c>
      <c r="I369" s="312" t="s">
        <v>3016</v>
      </c>
      <c r="J369" s="312" t="s">
        <v>1031</v>
      </c>
      <c r="K369" s="312" t="s">
        <v>1032</v>
      </c>
      <c r="L369" s="168"/>
    </row>
    <row r="370" spans="1:12" ht="15" customHeight="1" x14ac:dyDescent="0.3">
      <c r="A370" s="313" t="s">
        <v>1033</v>
      </c>
      <c r="B370" s="315" t="s">
        <v>2978</v>
      </c>
      <c r="C370" s="313" t="s">
        <v>2616</v>
      </c>
      <c r="D370" s="313" t="s">
        <v>5906</v>
      </c>
      <c r="E370" s="603">
        <v>5</v>
      </c>
      <c r="F370" s="603"/>
      <c r="G370" s="314" t="s">
        <v>2768</v>
      </c>
      <c r="H370" s="399">
        <v>1</v>
      </c>
      <c r="I370" s="316"/>
      <c r="J370" s="316">
        <v>37.42</v>
      </c>
      <c r="K370" s="316">
        <v>37.42</v>
      </c>
      <c r="L370" s="168"/>
    </row>
    <row r="371" spans="1:12" ht="15" x14ac:dyDescent="0.3">
      <c r="A371" s="400" t="s">
        <v>1038</v>
      </c>
      <c r="B371" s="401" t="s">
        <v>3219</v>
      </c>
      <c r="C371" s="400" t="s">
        <v>2616</v>
      </c>
      <c r="D371" s="400" t="s">
        <v>3220</v>
      </c>
      <c r="E371" s="605" t="s">
        <v>1039</v>
      </c>
      <c r="F371" s="605"/>
      <c r="G371" s="402" t="s">
        <v>4</v>
      </c>
      <c r="H371" s="403">
        <v>1</v>
      </c>
      <c r="I371" s="403">
        <v>0</v>
      </c>
      <c r="J371" s="404">
        <v>37.42</v>
      </c>
      <c r="K371" s="404">
        <v>37.42</v>
      </c>
      <c r="L371" s="168"/>
    </row>
    <row r="372" spans="1:12" ht="14.25" customHeight="1" x14ac:dyDescent="0.3">
      <c r="A372" s="405"/>
      <c r="B372" s="405"/>
      <c r="C372" s="405"/>
      <c r="D372" s="405"/>
      <c r="E372" s="405" t="s">
        <v>1046</v>
      </c>
      <c r="F372" s="406">
        <v>0</v>
      </c>
      <c r="G372" s="405" t="s">
        <v>1047</v>
      </c>
      <c r="H372" s="406">
        <v>0</v>
      </c>
      <c r="I372" s="405" t="s">
        <v>1048</v>
      </c>
      <c r="J372" s="406">
        <v>0</v>
      </c>
      <c r="K372"/>
      <c r="L372" s="166"/>
    </row>
    <row r="373" spans="1:12" ht="15.6" thickBot="1" x14ac:dyDescent="0.35">
      <c r="A373" s="405"/>
      <c r="B373" s="405"/>
      <c r="C373" s="405"/>
      <c r="D373" s="405"/>
      <c r="E373" s="405" t="s">
        <v>1049</v>
      </c>
      <c r="F373" s="406">
        <v>0</v>
      </c>
      <c r="G373" s="405"/>
      <c r="H373" s="606"/>
      <c r="I373" s="606" t="s">
        <v>1050</v>
      </c>
      <c r="J373" s="406">
        <v>37.42</v>
      </c>
      <c r="K373"/>
      <c r="L373" s="166"/>
    </row>
    <row r="374" spans="1:12" ht="25.5" customHeight="1" thickTop="1" x14ac:dyDescent="0.3">
      <c r="A374" s="407"/>
      <c r="B374" s="407"/>
      <c r="C374" s="407"/>
      <c r="D374" s="407"/>
      <c r="E374" s="407"/>
      <c r="F374" s="407"/>
      <c r="G374" s="407"/>
      <c r="H374" s="407"/>
      <c r="I374" s="407"/>
      <c r="J374" s="407"/>
      <c r="K374" s="407"/>
      <c r="L374" s="168"/>
    </row>
    <row r="375" spans="1:12" ht="15" customHeight="1" x14ac:dyDescent="0.3">
      <c r="A375" s="382" t="s">
        <v>634</v>
      </c>
      <c r="B375" s="312" t="s">
        <v>413</v>
      </c>
      <c r="C375" s="382" t="s">
        <v>414</v>
      </c>
      <c r="D375" s="382" t="s">
        <v>415</v>
      </c>
      <c r="E375" s="586" t="s">
        <v>1029</v>
      </c>
      <c r="F375" s="586"/>
      <c r="G375" s="383" t="s">
        <v>416</v>
      </c>
      <c r="H375" s="312" t="s">
        <v>1030</v>
      </c>
      <c r="I375" s="312" t="s">
        <v>3016</v>
      </c>
      <c r="J375" s="312" t="s">
        <v>1031</v>
      </c>
      <c r="K375" s="312" t="s">
        <v>1032</v>
      </c>
      <c r="L375" s="168"/>
    </row>
    <row r="376" spans="1:12" ht="26.4" x14ac:dyDescent="0.3">
      <c r="A376" s="313" t="s">
        <v>1033</v>
      </c>
      <c r="B376" s="315" t="s">
        <v>3783</v>
      </c>
      <c r="C376" s="313" t="s">
        <v>395</v>
      </c>
      <c r="D376" s="313" t="s">
        <v>5907</v>
      </c>
      <c r="E376" s="603" t="s">
        <v>7812</v>
      </c>
      <c r="F376" s="603"/>
      <c r="G376" s="314" t="s">
        <v>7</v>
      </c>
      <c r="H376" s="399">
        <v>1</v>
      </c>
      <c r="I376" s="316"/>
      <c r="J376" s="316">
        <v>85.37</v>
      </c>
      <c r="K376" s="316">
        <v>85.37</v>
      </c>
      <c r="L376" s="168"/>
    </row>
    <row r="377" spans="1:12" ht="14.25" customHeight="1" x14ac:dyDescent="0.3">
      <c r="A377" s="408" t="s">
        <v>1034</v>
      </c>
      <c r="B377" s="409" t="s">
        <v>1288</v>
      </c>
      <c r="C377" s="408" t="s">
        <v>395</v>
      </c>
      <c r="D377" s="408" t="s">
        <v>124</v>
      </c>
      <c r="E377" s="604" t="s">
        <v>7768</v>
      </c>
      <c r="F377" s="604"/>
      <c r="G377" s="410" t="s">
        <v>6</v>
      </c>
      <c r="H377" s="412">
        <v>0.72470000000000001</v>
      </c>
      <c r="I377" s="412">
        <v>0</v>
      </c>
      <c r="J377" s="411">
        <v>33.47</v>
      </c>
      <c r="K377" s="411">
        <v>24.255709</v>
      </c>
      <c r="L377" s="166"/>
    </row>
    <row r="378" spans="1:12" ht="25.5" customHeight="1" x14ac:dyDescent="0.3">
      <c r="A378" s="408" t="s">
        <v>1034</v>
      </c>
      <c r="B378" s="409" t="s">
        <v>1287</v>
      </c>
      <c r="C378" s="408" t="s">
        <v>395</v>
      </c>
      <c r="D378" s="408" t="s">
        <v>134</v>
      </c>
      <c r="E378" s="604" t="s">
        <v>7768</v>
      </c>
      <c r="F378" s="604"/>
      <c r="G378" s="410" t="s">
        <v>6</v>
      </c>
      <c r="H378" s="412">
        <v>0.72470000000000001</v>
      </c>
      <c r="I378" s="412">
        <v>0</v>
      </c>
      <c r="J378" s="411">
        <v>42.08</v>
      </c>
      <c r="K378" s="411">
        <v>30.495376</v>
      </c>
      <c r="L378" s="166"/>
    </row>
    <row r="379" spans="1:12" ht="15" customHeight="1" x14ac:dyDescent="0.3">
      <c r="A379" s="408" t="s">
        <v>1034</v>
      </c>
      <c r="B379" s="409" t="s">
        <v>5130</v>
      </c>
      <c r="C379" s="408" t="s">
        <v>395</v>
      </c>
      <c r="D379" s="408" t="s">
        <v>5131</v>
      </c>
      <c r="E379" s="604" t="s">
        <v>7772</v>
      </c>
      <c r="F379" s="604"/>
      <c r="G379" s="410" t="s">
        <v>15</v>
      </c>
      <c r="H379" s="412">
        <v>7.0000000000000001E-3</v>
      </c>
      <c r="I379" s="412">
        <v>0</v>
      </c>
      <c r="J379" s="411">
        <v>44.3</v>
      </c>
      <c r="K379" s="411">
        <v>0.31009999999999999</v>
      </c>
      <c r="L379" s="168"/>
    </row>
    <row r="380" spans="1:12" ht="25.5" customHeight="1" x14ac:dyDescent="0.3">
      <c r="A380" s="408" t="s">
        <v>1034</v>
      </c>
      <c r="B380" s="409" t="s">
        <v>5132</v>
      </c>
      <c r="C380" s="408" t="s">
        <v>395</v>
      </c>
      <c r="D380" s="408" t="s">
        <v>5133</v>
      </c>
      <c r="E380" s="604" t="s">
        <v>7772</v>
      </c>
      <c r="F380" s="604"/>
      <c r="G380" s="410" t="s">
        <v>19</v>
      </c>
      <c r="H380" s="412">
        <v>2.8000000000000001E-2</v>
      </c>
      <c r="I380" s="412">
        <v>0</v>
      </c>
      <c r="J380" s="411">
        <v>42.49</v>
      </c>
      <c r="K380" s="411">
        <v>1.1897200000000001</v>
      </c>
      <c r="L380" s="168"/>
    </row>
    <row r="381" spans="1:12" ht="25.5" customHeight="1" x14ac:dyDescent="0.3">
      <c r="A381" s="408" t="s">
        <v>1034</v>
      </c>
      <c r="B381" s="409" t="s">
        <v>5134</v>
      </c>
      <c r="C381" s="408" t="s">
        <v>395</v>
      </c>
      <c r="D381" s="408" t="s">
        <v>5135</v>
      </c>
      <c r="E381" s="604" t="s">
        <v>7773</v>
      </c>
      <c r="F381" s="604"/>
      <c r="G381" s="410" t="s">
        <v>713</v>
      </c>
      <c r="H381" s="412">
        <v>4.0000000000000001E-3</v>
      </c>
      <c r="I381" s="412">
        <v>0</v>
      </c>
      <c r="J381" s="411">
        <v>535.80999999999995</v>
      </c>
      <c r="K381" s="411">
        <v>2.14324</v>
      </c>
      <c r="L381" s="168"/>
    </row>
    <row r="382" spans="1:12" ht="12.75" customHeight="1" x14ac:dyDescent="0.3">
      <c r="A382" s="400" t="s">
        <v>1038</v>
      </c>
      <c r="B382" s="401" t="s">
        <v>4800</v>
      </c>
      <c r="C382" s="400" t="s">
        <v>395</v>
      </c>
      <c r="D382" s="400" t="s">
        <v>4801</v>
      </c>
      <c r="E382" s="605" t="s">
        <v>1039</v>
      </c>
      <c r="F382" s="605"/>
      <c r="G382" s="402" t="s">
        <v>7</v>
      </c>
      <c r="H382" s="403">
        <v>0.74450000000000005</v>
      </c>
      <c r="I382" s="403">
        <v>0</v>
      </c>
      <c r="J382" s="404">
        <v>8.6199999999999992</v>
      </c>
      <c r="K382" s="404">
        <v>6.4175899999999997</v>
      </c>
      <c r="L382" s="166"/>
    </row>
    <row r="383" spans="1:12" ht="17.399999999999999" customHeight="1" x14ac:dyDescent="0.3">
      <c r="A383" s="400" t="s">
        <v>1038</v>
      </c>
      <c r="B383" s="401" t="s">
        <v>4063</v>
      </c>
      <c r="C383" s="400" t="s">
        <v>395</v>
      </c>
      <c r="D383" s="400" t="s">
        <v>4064</v>
      </c>
      <c r="E383" s="605" t="s">
        <v>1039</v>
      </c>
      <c r="F383" s="605"/>
      <c r="G383" s="402" t="s">
        <v>7</v>
      </c>
      <c r="H383" s="403">
        <v>0.41249999999999998</v>
      </c>
      <c r="I383" s="403">
        <v>0</v>
      </c>
      <c r="J383" s="404">
        <v>30.99</v>
      </c>
      <c r="K383" s="404">
        <v>12.783374999999999</v>
      </c>
      <c r="L383" s="166"/>
    </row>
    <row r="384" spans="1:12" ht="15" customHeight="1" x14ac:dyDescent="0.3">
      <c r="A384" s="400" t="s">
        <v>1038</v>
      </c>
      <c r="B384" s="401" t="s">
        <v>1613</v>
      </c>
      <c r="C384" s="400" t="s">
        <v>395</v>
      </c>
      <c r="D384" s="400" t="s">
        <v>274</v>
      </c>
      <c r="E384" s="605" t="s">
        <v>1039</v>
      </c>
      <c r="F384" s="605"/>
      <c r="G384" s="402" t="s">
        <v>3</v>
      </c>
      <c r="H384" s="403">
        <v>0.111</v>
      </c>
      <c r="I384" s="403">
        <v>0</v>
      </c>
      <c r="J384" s="404">
        <v>18.309999999999999</v>
      </c>
      <c r="K384" s="404">
        <v>2.03241</v>
      </c>
      <c r="L384" s="168"/>
    </row>
    <row r="385" spans="1:12" ht="15" x14ac:dyDescent="0.3">
      <c r="A385" s="400" t="s">
        <v>1038</v>
      </c>
      <c r="B385" s="401" t="s">
        <v>1436</v>
      </c>
      <c r="C385" s="400" t="s">
        <v>395</v>
      </c>
      <c r="D385" s="400" t="s">
        <v>369</v>
      </c>
      <c r="E385" s="605" t="s">
        <v>1039</v>
      </c>
      <c r="F385" s="605"/>
      <c r="G385" s="402" t="s">
        <v>8</v>
      </c>
      <c r="H385" s="403">
        <v>2.5600000000000001E-2</v>
      </c>
      <c r="I385" s="403">
        <v>0</v>
      </c>
      <c r="J385" s="404">
        <v>31.86</v>
      </c>
      <c r="K385" s="404">
        <v>0.81561600000000001</v>
      </c>
      <c r="L385" s="168"/>
    </row>
    <row r="386" spans="1:12" ht="25.5" customHeight="1" x14ac:dyDescent="0.3">
      <c r="A386" s="400" t="s">
        <v>1038</v>
      </c>
      <c r="B386" s="401" t="s">
        <v>1551</v>
      </c>
      <c r="C386" s="400" t="s">
        <v>395</v>
      </c>
      <c r="D386" s="400" t="s">
        <v>308</v>
      </c>
      <c r="E386" s="605" t="s">
        <v>1039</v>
      </c>
      <c r="F386" s="605"/>
      <c r="G386" s="402" t="s">
        <v>7</v>
      </c>
      <c r="H386" s="403">
        <v>0.55000000000000004</v>
      </c>
      <c r="I386" s="403">
        <v>0</v>
      </c>
      <c r="J386" s="404">
        <v>8.9499999999999993</v>
      </c>
      <c r="K386" s="404">
        <v>4.9225000000000003</v>
      </c>
      <c r="L386" s="168"/>
    </row>
    <row r="387" spans="1:12" ht="25.5" customHeight="1" x14ac:dyDescent="0.3">
      <c r="A387" s="405"/>
      <c r="B387" s="405"/>
      <c r="C387" s="405"/>
      <c r="D387" s="405"/>
      <c r="E387" s="405" t="s">
        <v>1046</v>
      </c>
      <c r="F387" s="406">
        <v>42.26</v>
      </c>
      <c r="G387" s="405" t="s">
        <v>1047</v>
      </c>
      <c r="H387" s="406">
        <v>0</v>
      </c>
      <c r="I387" s="405" t="s">
        <v>1048</v>
      </c>
      <c r="J387" s="406">
        <v>42.26</v>
      </c>
      <c r="K387"/>
      <c r="L387" s="166"/>
    </row>
    <row r="388" spans="1:12" ht="15" customHeight="1" thickBot="1" x14ac:dyDescent="0.35">
      <c r="A388" s="405"/>
      <c r="B388" s="405"/>
      <c r="C388" s="405"/>
      <c r="D388" s="405"/>
      <c r="E388" s="405" t="s">
        <v>1049</v>
      </c>
      <c r="F388" s="406">
        <v>0</v>
      </c>
      <c r="G388" s="405"/>
      <c r="H388" s="606"/>
      <c r="I388" s="606" t="s">
        <v>1050</v>
      </c>
      <c r="J388" s="406">
        <v>85.37</v>
      </c>
      <c r="K388"/>
      <c r="L388" s="166"/>
    </row>
    <row r="389" spans="1:12" ht="25.5" customHeight="1" thickTop="1" x14ac:dyDescent="0.3">
      <c r="A389" s="407"/>
      <c r="B389" s="407"/>
      <c r="C389" s="407"/>
      <c r="D389" s="407"/>
      <c r="E389" s="407"/>
      <c r="F389" s="407"/>
      <c r="G389" s="407"/>
      <c r="H389" s="407"/>
      <c r="I389" s="407"/>
      <c r="J389" s="407"/>
      <c r="K389" s="407"/>
      <c r="L389" s="166"/>
    </row>
    <row r="390" spans="1:12" ht="25.5" customHeight="1" x14ac:dyDescent="0.3">
      <c r="A390" s="382" t="s">
        <v>635</v>
      </c>
      <c r="B390" s="312" t="s">
        <v>413</v>
      </c>
      <c r="C390" s="382" t="s">
        <v>414</v>
      </c>
      <c r="D390" s="382" t="s">
        <v>415</v>
      </c>
      <c r="E390" s="586" t="s">
        <v>1029</v>
      </c>
      <c r="F390" s="586"/>
      <c r="G390" s="383" t="s">
        <v>416</v>
      </c>
      <c r="H390" s="312" t="s">
        <v>1030</v>
      </c>
      <c r="I390" s="312" t="s">
        <v>3016</v>
      </c>
      <c r="J390" s="312" t="s">
        <v>1031</v>
      </c>
      <c r="K390" s="312" t="s">
        <v>1032</v>
      </c>
      <c r="L390" s="166"/>
    </row>
    <row r="391" spans="1:12" ht="14.25" customHeight="1" x14ac:dyDescent="0.3">
      <c r="A391" s="313" t="s">
        <v>1033</v>
      </c>
      <c r="B391" s="315" t="s">
        <v>3784</v>
      </c>
      <c r="C391" s="313" t="s">
        <v>395</v>
      </c>
      <c r="D391" s="313" t="s">
        <v>340</v>
      </c>
      <c r="E391" s="603" t="s">
        <v>7813</v>
      </c>
      <c r="F391" s="603"/>
      <c r="G391" s="314" t="s">
        <v>713</v>
      </c>
      <c r="H391" s="399">
        <v>1</v>
      </c>
      <c r="I391" s="316"/>
      <c r="J391" s="316">
        <v>17.78</v>
      </c>
      <c r="K391" s="316">
        <v>17.78</v>
      </c>
      <c r="L391" s="166"/>
    </row>
    <row r="392" spans="1:12" ht="52.8" x14ac:dyDescent="0.3">
      <c r="A392" s="408" t="s">
        <v>1034</v>
      </c>
      <c r="B392" s="409" t="s">
        <v>5177</v>
      </c>
      <c r="C392" s="408" t="s">
        <v>395</v>
      </c>
      <c r="D392" s="408" t="s">
        <v>7814</v>
      </c>
      <c r="E392" s="604" t="s">
        <v>7815</v>
      </c>
      <c r="F392" s="604"/>
      <c r="G392" s="410" t="s">
        <v>713</v>
      </c>
      <c r="H392" s="412">
        <v>1.25</v>
      </c>
      <c r="I392" s="412">
        <v>0</v>
      </c>
      <c r="J392" s="411">
        <v>9.93</v>
      </c>
      <c r="K392" s="411">
        <v>12.4125</v>
      </c>
      <c r="L392" s="166"/>
    </row>
    <row r="393" spans="1:12" ht="26.4" x14ac:dyDescent="0.3">
      <c r="A393" s="408" t="s">
        <v>1034</v>
      </c>
      <c r="B393" s="409" t="s">
        <v>1290</v>
      </c>
      <c r="C393" s="408" t="s">
        <v>395</v>
      </c>
      <c r="D393" s="408" t="s">
        <v>147</v>
      </c>
      <c r="E393" s="604" t="s">
        <v>7768</v>
      </c>
      <c r="F393" s="604"/>
      <c r="G393" s="410" t="s">
        <v>6</v>
      </c>
      <c r="H393" s="412">
        <v>3.1E-2</v>
      </c>
      <c r="I393" s="412">
        <v>0</v>
      </c>
      <c r="J393" s="411">
        <v>32.82</v>
      </c>
      <c r="K393" s="411">
        <v>1.01742</v>
      </c>
      <c r="L393" s="166"/>
    </row>
    <row r="394" spans="1:12" ht="25.5" customHeight="1" x14ac:dyDescent="0.3">
      <c r="A394" s="408" t="s">
        <v>1034</v>
      </c>
      <c r="B394" s="409" t="s">
        <v>5173</v>
      </c>
      <c r="C394" s="408" t="s">
        <v>395</v>
      </c>
      <c r="D394" s="408" t="s">
        <v>5174</v>
      </c>
      <c r="E394" s="604" t="s">
        <v>7772</v>
      </c>
      <c r="F394" s="604"/>
      <c r="G394" s="410" t="s">
        <v>19</v>
      </c>
      <c r="H394" s="412">
        <v>1.95E-2</v>
      </c>
      <c r="I394" s="412">
        <v>0</v>
      </c>
      <c r="J394" s="411">
        <v>90.75</v>
      </c>
      <c r="K394" s="411">
        <v>1.769625</v>
      </c>
      <c r="L394" s="166"/>
    </row>
    <row r="395" spans="1:12" ht="25.5" customHeight="1" x14ac:dyDescent="0.3">
      <c r="A395" s="408" t="s">
        <v>1034</v>
      </c>
      <c r="B395" s="409" t="s">
        <v>5175</v>
      </c>
      <c r="C395" s="408" t="s">
        <v>395</v>
      </c>
      <c r="D395" s="408" t="s">
        <v>5176</v>
      </c>
      <c r="E395" s="604" t="s">
        <v>7772</v>
      </c>
      <c r="F395" s="604"/>
      <c r="G395" s="410" t="s">
        <v>15</v>
      </c>
      <c r="H395" s="412">
        <v>1.15E-2</v>
      </c>
      <c r="I395" s="412">
        <v>0</v>
      </c>
      <c r="J395" s="411">
        <v>224.71</v>
      </c>
      <c r="K395" s="411">
        <v>2.584165</v>
      </c>
      <c r="L395" s="167"/>
    </row>
    <row r="396" spans="1:12" ht="25.5" customHeight="1" x14ac:dyDescent="0.3">
      <c r="A396" s="405"/>
      <c r="B396" s="405"/>
      <c r="C396" s="405"/>
      <c r="D396" s="405"/>
      <c r="E396" s="405" t="s">
        <v>1046</v>
      </c>
      <c r="F396" s="406">
        <v>4.29</v>
      </c>
      <c r="G396" s="405" t="s">
        <v>1047</v>
      </c>
      <c r="H396" s="406">
        <v>0</v>
      </c>
      <c r="I396" s="405" t="s">
        <v>1048</v>
      </c>
      <c r="J396" s="406">
        <v>4.29</v>
      </c>
      <c r="K396"/>
      <c r="L396" s="168"/>
    </row>
    <row r="397" spans="1:12" ht="15" customHeight="1" thickBot="1" x14ac:dyDescent="0.35">
      <c r="A397" s="405"/>
      <c r="B397" s="405"/>
      <c r="C397" s="405"/>
      <c r="D397" s="405"/>
      <c r="E397" s="405" t="s">
        <v>1049</v>
      </c>
      <c r="F397" s="406">
        <v>0</v>
      </c>
      <c r="G397" s="405"/>
      <c r="H397" s="606"/>
      <c r="I397" s="606" t="s">
        <v>1050</v>
      </c>
      <c r="J397" s="406">
        <v>17.78</v>
      </c>
      <c r="K397"/>
      <c r="L397" s="168"/>
    </row>
    <row r="398" spans="1:12" ht="25.5" customHeight="1" thickTop="1" x14ac:dyDescent="0.3">
      <c r="A398" s="407"/>
      <c r="B398" s="407"/>
      <c r="C398" s="407"/>
      <c r="D398" s="407"/>
      <c r="E398" s="407"/>
      <c r="F398" s="407"/>
      <c r="G398" s="407"/>
      <c r="H398" s="407"/>
      <c r="I398" s="407"/>
      <c r="J398" s="407"/>
      <c r="K398" s="407"/>
      <c r="L398" s="168"/>
    </row>
    <row r="399" spans="1:12" ht="25.5" customHeight="1" x14ac:dyDescent="0.3">
      <c r="A399" s="382" t="s">
        <v>636</v>
      </c>
      <c r="B399" s="312" t="s">
        <v>413</v>
      </c>
      <c r="C399" s="382" t="s">
        <v>414</v>
      </c>
      <c r="D399" s="382" t="s">
        <v>415</v>
      </c>
      <c r="E399" s="586" t="s">
        <v>1029</v>
      </c>
      <c r="F399" s="586"/>
      <c r="G399" s="383" t="s">
        <v>416</v>
      </c>
      <c r="H399" s="312" t="s">
        <v>1030</v>
      </c>
      <c r="I399" s="312" t="s">
        <v>3016</v>
      </c>
      <c r="J399" s="312" t="s">
        <v>1031</v>
      </c>
      <c r="K399" s="312" t="s">
        <v>1032</v>
      </c>
      <c r="L399" s="166"/>
    </row>
    <row r="400" spans="1:12" ht="25.5" customHeight="1" x14ac:dyDescent="0.3">
      <c r="A400" s="313" t="s">
        <v>1033</v>
      </c>
      <c r="B400" s="315" t="s">
        <v>3785</v>
      </c>
      <c r="C400" s="313" t="s">
        <v>395</v>
      </c>
      <c r="D400" s="313" t="s">
        <v>5908</v>
      </c>
      <c r="E400" s="603" t="s">
        <v>7816</v>
      </c>
      <c r="F400" s="603"/>
      <c r="G400" s="314" t="s">
        <v>713</v>
      </c>
      <c r="H400" s="399">
        <v>1</v>
      </c>
      <c r="I400" s="316"/>
      <c r="J400" s="316">
        <v>143.22999999999999</v>
      </c>
      <c r="K400" s="316">
        <v>143.22999999999999</v>
      </c>
      <c r="L400" s="166"/>
    </row>
    <row r="401" spans="1:12" ht="15" customHeight="1" x14ac:dyDescent="0.3">
      <c r="A401" s="408" t="s">
        <v>1034</v>
      </c>
      <c r="B401" s="409" t="s">
        <v>1302</v>
      </c>
      <c r="C401" s="408" t="s">
        <v>395</v>
      </c>
      <c r="D401" s="408" t="s">
        <v>144</v>
      </c>
      <c r="E401" s="604" t="s">
        <v>7768</v>
      </c>
      <c r="F401" s="604"/>
      <c r="G401" s="410" t="s">
        <v>6</v>
      </c>
      <c r="H401" s="412">
        <v>0.96599999999999997</v>
      </c>
      <c r="I401" s="412">
        <v>0</v>
      </c>
      <c r="J401" s="411">
        <v>42.06</v>
      </c>
      <c r="K401" s="411">
        <v>40.629959999999997</v>
      </c>
      <c r="L401" s="168"/>
    </row>
    <row r="402" spans="1:12" ht="25.5" customHeight="1" x14ac:dyDescent="0.3">
      <c r="A402" s="408" t="s">
        <v>1034</v>
      </c>
      <c r="B402" s="409" t="s">
        <v>1290</v>
      </c>
      <c r="C402" s="408" t="s">
        <v>395</v>
      </c>
      <c r="D402" s="408" t="s">
        <v>147</v>
      </c>
      <c r="E402" s="604" t="s">
        <v>7768</v>
      </c>
      <c r="F402" s="604"/>
      <c r="G402" s="410" t="s">
        <v>6</v>
      </c>
      <c r="H402" s="412">
        <v>3.1259999999999999</v>
      </c>
      <c r="I402" s="412">
        <v>0</v>
      </c>
      <c r="J402" s="411">
        <v>32.82</v>
      </c>
      <c r="K402" s="411">
        <v>102.59532</v>
      </c>
      <c r="L402" s="168"/>
    </row>
    <row r="403" spans="1:12" ht="25.5" customHeight="1" x14ac:dyDescent="0.3">
      <c r="A403" s="405"/>
      <c r="B403" s="405"/>
      <c r="C403" s="405"/>
      <c r="D403" s="405"/>
      <c r="E403" s="405" t="s">
        <v>1046</v>
      </c>
      <c r="F403" s="406">
        <v>101.45</v>
      </c>
      <c r="G403" s="405" t="s">
        <v>1047</v>
      </c>
      <c r="H403" s="406">
        <v>0</v>
      </c>
      <c r="I403" s="405" t="s">
        <v>1048</v>
      </c>
      <c r="J403" s="406">
        <v>101.45</v>
      </c>
      <c r="K403"/>
      <c r="L403" s="168"/>
    </row>
    <row r="404" spans="1:12" ht="30" customHeight="1" thickBot="1" x14ac:dyDescent="0.35">
      <c r="A404" s="405"/>
      <c r="B404" s="405"/>
      <c r="C404" s="405"/>
      <c r="D404" s="405"/>
      <c r="E404" s="405" t="s">
        <v>1049</v>
      </c>
      <c r="F404" s="406">
        <v>0</v>
      </c>
      <c r="G404" s="405"/>
      <c r="H404" s="606"/>
      <c r="I404" s="606" t="s">
        <v>1050</v>
      </c>
      <c r="J404" s="406">
        <v>143.22999999999999</v>
      </c>
      <c r="K404"/>
      <c r="L404" s="166"/>
    </row>
    <row r="405" spans="1:12" ht="45" customHeight="1" thickTop="1" x14ac:dyDescent="0.3">
      <c r="A405" s="407"/>
      <c r="B405" s="407"/>
      <c r="C405" s="407"/>
      <c r="D405" s="407"/>
      <c r="E405" s="407"/>
      <c r="F405" s="407"/>
      <c r="G405" s="407"/>
      <c r="H405" s="407"/>
      <c r="I405" s="407"/>
      <c r="J405" s="407"/>
      <c r="K405" s="407"/>
      <c r="L405" s="166"/>
    </row>
    <row r="406" spans="1:12" ht="15" customHeight="1" x14ac:dyDescent="0.3">
      <c r="A406" s="382" t="s">
        <v>637</v>
      </c>
      <c r="B406" s="312" t="s">
        <v>413</v>
      </c>
      <c r="C406" s="382" t="s">
        <v>414</v>
      </c>
      <c r="D406" s="382" t="s">
        <v>415</v>
      </c>
      <c r="E406" s="586" t="s">
        <v>1029</v>
      </c>
      <c r="F406" s="586"/>
      <c r="G406" s="383" t="s">
        <v>416</v>
      </c>
      <c r="H406" s="312" t="s">
        <v>1030</v>
      </c>
      <c r="I406" s="312" t="s">
        <v>3016</v>
      </c>
      <c r="J406" s="312" t="s">
        <v>1031</v>
      </c>
      <c r="K406" s="312" t="s">
        <v>1032</v>
      </c>
      <c r="L406" s="168"/>
    </row>
    <row r="407" spans="1:12" ht="38.25" customHeight="1" x14ac:dyDescent="0.3">
      <c r="A407" s="313" t="s">
        <v>1033</v>
      </c>
      <c r="B407" s="315" t="s">
        <v>3786</v>
      </c>
      <c r="C407" s="313" t="s">
        <v>395</v>
      </c>
      <c r="D407" s="313" t="s">
        <v>5909</v>
      </c>
      <c r="E407" s="603" t="s">
        <v>7817</v>
      </c>
      <c r="F407" s="603"/>
      <c r="G407" s="314" t="s">
        <v>713</v>
      </c>
      <c r="H407" s="399">
        <v>1</v>
      </c>
      <c r="I407" s="316"/>
      <c r="J407" s="316">
        <v>38.03</v>
      </c>
      <c r="K407" s="316">
        <v>38.03</v>
      </c>
      <c r="L407" s="168"/>
    </row>
    <row r="408" spans="1:12" ht="14.25" customHeight="1" x14ac:dyDescent="0.3">
      <c r="A408" s="408" t="s">
        <v>1034</v>
      </c>
      <c r="B408" s="409" t="s">
        <v>5229</v>
      </c>
      <c r="C408" s="408" t="s">
        <v>395</v>
      </c>
      <c r="D408" s="408" t="s">
        <v>5230</v>
      </c>
      <c r="E408" s="604" t="s">
        <v>7772</v>
      </c>
      <c r="F408" s="604"/>
      <c r="G408" s="410" t="s">
        <v>15</v>
      </c>
      <c r="H408" s="412">
        <v>5.4000000000000003E-3</v>
      </c>
      <c r="I408" s="412">
        <v>0</v>
      </c>
      <c r="J408" s="411">
        <v>386.33</v>
      </c>
      <c r="K408" s="411">
        <v>2.086182</v>
      </c>
      <c r="L408" s="168"/>
    </row>
    <row r="409" spans="1:12" ht="52.8" x14ac:dyDescent="0.3">
      <c r="A409" s="408" t="s">
        <v>1034</v>
      </c>
      <c r="B409" s="409" t="s">
        <v>5223</v>
      </c>
      <c r="C409" s="408" t="s">
        <v>395</v>
      </c>
      <c r="D409" s="408" t="s">
        <v>5224</v>
      </c>
      <c r="E409" s="604" t="s">
        <v>7772</v>
      </c>
      <c r="F409" s="604"/>
      <c r="G409" s="410" t="s">
        <v>19</v>
      </c>
      <c r="H409" s="412">
        <v>5.9999999999999995E-4</v>
      </c>
      <c r="I409" s="412">
        <v>0</v>
      </c>
      <c r="J409" s="411">
        <v>104.38</v>
      </c>
      <c r="K409" s="411">
        <v>6.2628000000000003E-2</v>
      </c>
      <c r="L409" s="166"/>
    </row>
    <row r="410" spans="1:12" ht="15" customHeight="1" x14ac:dyDescent="0.3">
      <c r="A410" s="408" t="s">
        <v>1034</v>
      </c>
      <c r="B410" s="409" t="s">
        <v>1290</v>
      </c>
      <c r="C410" s="408" t="s">
        <v>395</v>
      </c>
      <c r="D410" s="408" t="s">
        <v>147</v>
      </c>
      <c r="E410" s="604" t="s">
        <v>7768</v>
      </c>
      <c r="F410" s="604"/>
      <c r="G410" s="410" t="s">
        <v>6</v>
      </c>
      <c r="H410" s="412">
        <v>0.78659999999999997</v>
      </c>
      <c r="I410" s="412">
        <v>0</v>
      </c>
      <c r="J410" s="411">
        <v>32.82</v>
      </c>
      <c r="K410" s="411">
        <v>25.816212</v>
      </c>
      <c r="L410" s="166"/>
    </row>
    <row r="411" spans="1:12" ht="25.5" customHeight="1" x14ac:dyDescent="0.3">
      <c r="A411" s="408" t="s">
        <v>1034</v>
      </c>
      <c r="B411" s="409" t="s">
        <v>5178</v>
      </c>
      <c r="C411" s="408" t="s">
        <v>395</v>
      </c>
      <c r="D411" s="408" t="s">
        <v>5179</v>
      </c>
      <c r="E411" s="604" t="s">
        <v>7772</v>
      </c>
      <c r="F411" s="604"/>
      <c r="G411" s="410" t="s">
        <v>15</v>
      </c>
      <c r="H411" s="412">
        <v>0.19620000000000001</v>
      </c>
      <c r="I411" s="412">
        <v>0</v>
      </c>
      <c r="J411" s="411">
        <v>51.31</v>
      </c>
      <c r="K411" s="411">
        <v>10.067022</v>
      </c>
      <c r="L411" s="168"/>
    </row>
    <row r="412" spans="1:12" ht="25.5" customHeight="1" x14ac:dyDescent="0.3">
      <c r="A412" s="405"/>
      <c r="B412" s="405"/>
      <c r="C412" s="405"/>
      <c r="D412" s="405"/>
      <c r="E412" s="405" t="s">
        <v>1046</v>
      </c>
      <c r="F412" s="406">
        <v>24.63</v>
      </c>
      <c r="G412" s="405" t="s">
        <v>1047</v>
      </c>
      <c r="H412" s="406">
        <v>0.01</v>
      </c>
      <c r="I412" s="405" t="s">
        <v>1048</v>
      </c>
      <c r="J412" s="406">
        <v>24.64</v>
      </c>
      <c r="K412"/>
      <c r="L412" s="168"/>
    </row>
    <row r="413" spans="1:12" ht="25.5" customHeight="1" thickBot="1" x14ac:dyDescent="0.35">
      <c r="A413" s="405"/>
      <c r="B413" s="405"/>
      <c r="C413" s="405"/>
      <c r="D413" s="405"/>
      <c r="E413" s="405" t="s">
        <v>1049</v>
      </c>
      <c r="F413" s="406">
        <v>0</v>
      </c>
      <c r="G413" s="405"/>
      <c r="H413" s="606"/>
      <c r="I413" s="606" t="s">
        <v>1050</v>
      </c>
      <c r="J413" s="406">
        <v>38.03</v>
      </c>
      <c r="K413"/>
      <c r="L413" s="168"/>
    </row>
    <row r="414" spans="1:12" ht="25.5" customHeight="1" thickTop="1" x14ac:dyDescent="0.3">
      <c r="A414" s="407"/>
      <c r="B414" s="407"/>
      <c r="C414" s="407"/>
      <c r="D414" s="407"/>
      <c r="E414" s="407"/>
      <c r="F414" s="407"/>
      <c r="G414" s="407"/>
      <c r="H414" s="407"/>
      <c r="I414" s="407"/>
      <c r="J414" s="407"/>
      <c r="K414" s="407"/>
      <c r="L414" s="166"/>
    </row>
    <row r="415" spans="1:12" ht="15" customHeight="1" x14ac:dyDescent="0.3">
      <c r="A415" s="382" t="s">
        <v>638</v>
      </c>
      <c r="B415" s="312" t="s">
        <v>413</v>
      </c>
      <c r="C415" s="382" t="s">
        <v>414</v>
      </c>
      <c r="D415" s="382" t="s">
        <v>415</v>
      </c>
      <c r="E415" s="586" t="s">
        <v>1029</v>
      </c>
      <c r="F415" s="586"/>
      <c r="G415" s="383" t="s">
        <v>416</v>
      </c>
      <c r="H415" s="312" t="s">
        <v>1030</v>
      </c>
      <c r="I415" s="312" t="s">
        <v>3016</v>
      </c>
      <c r="J415" s="312" t="s">
        <v>1031</v>
      </c>
      <c r="K415" s="312" t="s">
        <v>1032</v>
      </c>
      <c r="L415" s="166"/>
    </row>
    <row r="416" spans="1:12" ht="25.5" customHeight="1" x14ac:dyDescent="0.3">
      <c r="A416" s="313" t="s">
        <v>1033</v>
      </c>
      <c r="B416" s="315" t="s">
        <v>3787</v>
      </c>
      <c r="C416" s="313" t="s">
        <v>395</v>
      </c>
      <c r="D416" s="313" t="s">
        <v>5910</v>
      </c>
      <c r="E416" s="603" t="s">
        <v>7815</v>
      </c>
      <c r="F416" s="603"/>
      <c r="G416" s="314" t="s">
        <v>713</v>
      </c>
      <c r="H416" s="399">
        <v>1</v>
      </c>
      <c r="I416" s="316"/>
      <c r="J416" s="316">
        <v>11.52</v>
      </c>
      <c r="K416" s="316">
        <v>11.52</v>
      </c>
      <c r="L416" s="166"/>
    </row>
    <row r="417" spans="1:12" ht="26.4" x14ac:dyDescent="0.3">
      <c r="A417" s="408" t="s">
        <v>1034</v>
      </c>
      <c r="B417" s="409" t="s">
        <v>1300</v>
      </c>
      <c r="C417" s="408" t="s">
        <v>395</v>
      </c>
      <c r="D417" s="408" t="s">
        <v>14</v>
      </c>
      <c r="E417" s="604" t="s">
        <v>7772</v>
      </c>
      <c r="F417" s="604"/>
      <c r="G417" s="410" t="s">
        <v>15</v>
      </c>
      <c r="H417" s="412">
        <v>8.3333000000000001E-3</v>
      </c>
      <c r="I417" s="412">
        <v>0</v>
      </c>
      <c r="J417" s="411">
        <v>231.47</v>
      </c>
      <c r="K417" s="411">
        <v>1.928909</v>
      </c>
      <c r="L417" s="166"/>
    </row>
    <row r="418" spans="1:12" ht="14.25" customHeight="1" x14ac:dyDescent="0.3">
      <c r="A418" s="408" t="s">
        <v>1034</v>
      </c>
      <c r="B418" s="409" t="s">
        <v>2522</v>
      </c>
      <c r="C418" s="408" t="s">
        <v>395</v>
      </c>
      <c r="D418" s="408" t="s">
        <v>18</v>
      </c>
      <c r="E418" s="604" t="s">
        <v>7772</v>
      </c>
      <c r="F418" s="604"/>
      <c r="G418" s="410" t="s">
        <v>19</v>
      </c>
      <c r="H418" s="412">
        <v>1.47124E-2</v>
      </c>
      <c r="I418" s="412">
        <v>0</v>
      </c>
      <c r="J418" s="411">
        <v>99.22</v>
      </c>
      <c r="K418" s="411">
        <v>1.4597643</v>
      </c>
      <c r="L418" s="166"/>
    </row>
    <row r="419" spans="1:12" ht="15" customHeight="1" x14ac:dyDescent="0.3">
      <c r="A419" s="408" t="s">
        <v>1034</v>
      </c>
      <c r="B419" s="409" t="s">
        <v>5182</v>
      </c>
      <c r="C419" s="408" t="s">
        <v>395</v>
      </c>
      <c r="D419" s="408" t="s">
        <v>5183</v>
      </c>
      <c r="E419" s="604" t="s">
        <v>7772</v>
      </c>
      <c r="F419" s="604"/>
      <c r="G419" s="410" t="s">
        <v>15</v>
      </c>
      <c r="H419" s="412">
        <v>2.6814500000000002E-2</v>
      </c>
      <c r="I419" s="412">
        <v>0</v>
      </c>
      <c r="J419" s="411">
        <v>235.48</v>
      </c>
      <c r="K419" s="411">
        <v>6.3142785000000003</v>
      </c>
      <c r="L419" s="166"/>
    </row>
    <row r="420" spans="1:12" ht="25.5" customHeight="1" x14ac:dyDescent="0.3">
      <c r="A420" s="408" t="s">
        <v>1034</v>
      </c>
      <c r="B420" s="409" t="s">
        <v>5180</v>
      </c>
      <c r="C420" s="408" t="s">
        <v>395</v>
      </c>
      <c r="D420" s="408" t="s">
        <v>5181</v>
      </c>
      <c r="E420" s="604" t="s">
        <v>7772</v>
      </c>
      <c r="F420" s="604"/>
      <c r="G420" s="410" t="s">
        <v>19</v>
      </c>
      <c r="H420" s="412">
        <v>1.8897400000000002E-2</v>
      </c>
      <c r="I420" s="412">
        <v>0</v>
      </c>
      <c r="J420" s="411">
        <v>95.89</v>
      </c>
      <c r="K420" s="411">
        <v>1.8120717</v>
      </c>
      <c r="L420" s="166"/>
    </row>
    <row r="421" spans="1:12" ht="25.5" customHeight="1" x14ac:dyDescent="0.3">
      <c r="A421" s="405"/>
      <c r="B421" s="405"/>
      <c r="C421" s="405"/>
      <c r="D421" s="405"/>
      <c r="E421" s="405" t="s">
        <v>1046</v>
      </c>
      <c r="F421" s="406">
        <v>3.06</v>
      </c>
      <c r="G421" s="405" t="s">
        <v>1047</v>
      </c>
      <c r="H421" s="406">
        <v>0</v>
      </c>
      <c r="I421" s="405" t="s">
        <v>1048</v>
      </c>
      <c r="J421" s="406">
        <v>3.06</v>
      </c>
      <c r="K421"/>
      <c r="L421" s="166"/>
    </row>
    <row r="422" spans="1:12" ht="25.5" customHeight="1" thickBot="1" x14ac:dyDescent="0.35">
      <c r="A422" s="405"/>
      <c r="B422" s="405"/>
      <c r="C422" s="405"/>
      <c r="D422" s="405"/>
      <c r="E422" s="405" t="s">
        <v>1049</v>
      </c>
      <c r="F422" s="406">
        <v>0</v>
      </c>
      <c r="G422" s="405"/>
      <c r="H422" s="606"/>
      <c r="I422" s="606" t="s">
        <v>1050</v>
      </c>
      <c r="J422" s="406">
        <v>11.52</v>
      </c>
      <c r="K422"/>
      <c r="L422" s="167"/>
    </row>
    <row r="423" spans="1:12" ht="25.5" customHeight="1" thickTop="1" x14ac:dyDescent="0.3">
      <c r="A423" s="407"/>
      <c r="B423" s="407"/>
      <c r="C423" s="407"/>
      <c r="D423" s="407"/>
      <c r="E423" s="407"/>
      <c r="F423" s="407"/>
      <c r="G423" s="407"/>
      <c r="H423" s="407"/>
      <c r="I423" s="407"/>
      <c r="J423" s="407"/>
      <c r="K423" s="407"/>
      <c r="L423" s="168"/>
    </row>
    <row r="424" spans="1:12" ht="15" customHeight="1" x14ac:dyDescent="0.3">
      <c r="A424" s="382" t="s">
        <v>639</v>
      </c>
      <c r="B424" s="312" t="s">
        <v>413</v>
      </c>
      <c r="C424" s="382" t="s">
        <v>414</v>
      </c>
      <c r="D424" s="382" t="s">
        <v>415</v>
      </c>
      <c r="E424" s="586" t="s">
        <v>1029</v>
      </c>
      <c r="F424" s="586"/>
      <c r="G424" s="383" t="s">
        <v>416</v>
      </c>
      <c r="H424" s="312" t="s">
        <v>1030</v>
      </c>
      <c r="I424" s="312" t="s">
        <v>3016</v>
      </c>
      <c r="J424" s="312" t="s">
        <v>1031</v>
      </c>
      <c r="K424" s="312" t="s">
        <v>1032</v>
      </c>
      <c r="L424" s="168"/>
    </row>
    <row r="425" spans="1:12" ht="26.4" x14ac:dyDescent="0.3">
      <c r="A425" s="313" t="s">
        <v>1033</v>
      </c>
      <c r="B425" s="315" t="s">
        <v>3788</v>
      </c>
      <c r="C425" s="313" t="s">
        <v>395</v>
      </c>
      <c r="D425" s="313" t="s">
        <v>5911</v>
      </c>
      <c r="E425" s="603" t="s">
        <v>7815</v>
      </c>
      <c r="F425" s="603"/>
      <c r="G425" s="314" t="s">
        <v>120</v>
      </c>
      <c r="H425" s="399">
        <v>1</v>
      </c>
      <c r="I425" s="316"/>
      <c r="J425" s="316">
        <v>3.2</v>
      </c>
      <c r="K425" s="316">
        <v>3.2</v>
      </c>
      <c r="L425" s="168"/>
    </row>
    <row r="426" spans="1:12" ht="14.25" customHeight="1" x14ac:dyDescent="0.3">
      <c r="A426" s="408" t="s">
        <v>1034</v>
      </c>
      <c r="B426" s="409" t="s">
        <v>5184</v>
      </c>
      <c r="C426" s="408" t="s">
        <v>395</v>
      </c>
      <c r="D426" s="408" t="s">
        <v>5185</v>
      </c>
      <c r="E426" s="604" t="s">
        <v>7772</v>
      </c>
      <c r="F426" s="604"/>
      <c r="G426" s="410" t="s">
        <v>15</v>
      </c>
      <c r="H426" s="412">
        <v>8.6957000000000007E-3</v>
      </c>
      <c r="I426" s="412">
        <v>0</v>
      </c>
      <c r="J426" s="411">
        <v>328.42</v>
      </c>
      <c r="K426" s="411">
        <v>2.8558417999999999</v>
      </c>
      <c r="L426" s="166"/>
    </row>
    <row r="427" spans="1:12" ht="52.8" x14ac:dyDescent="0.3">
      <c r="A427" s="408" t="s">
        <v>1034</v>
      </c>
      <c r="B427" s="409" t="s">
        <v>5186</v>
      </c>
      <c r="C427" s="408" t="s">
        <v>395</v>
      </c>
      <c r="D427" s="408" t="s">
        <v>5187</v>
      </c>
      <c r="E427" s="604" t="s">
        <v>7772</v>
      </c>
      <c r="F427" s="604"/>
      <c r="G427" s="410" t="s">
        <v>19</v>
      </c>
      <c r="H427" s="412">
        <v>3.2672000000000001E-3</v>
      </c>
      <c r="I427" s="412">
        <v>0</v>
      </c>
      <c r="J427" s="411">
        <v>105.85</v>
      </c>
      <c r="K427" s="411">
        <v>0.3458331</v>
      </c>
      <c r="L427" s="166"/>
    </row>
    <row r="428" spans="1:12" ht="15" customHeight="1" x14ac:dyDescent="0.3">
      <c r="A428" s="405"/>
      <c r="B428" s="405"/>
      <c r="C428" s="405"/>
      <c r="D428" s="405"/>
      <c r="E428" s="405" t="s">
        <v>1046</v>
      </c>
      <c r="F428" s="406">
        <v>0.6</v>
      </c>
      <c r="G428" s="405" t="s">
        <v>1047</v>
      </c>
      <c r="H428" s="406">
        <v>0</v>
      </c>
      <c r="I428" s="405" t="s">
        <v>1048</v>
      </c>
      <c r="J428" s="406">
        <v>0.6</v>
      </c>
      <c r="K428"/>
      <c r="L428" s="168"/>
    </row>
    <row r="429" spans="1:12" ht="25.5" customHeight="1" thickBot="1" x14ac:dyDescent="0.35">
      <c r="A429" s="405"/>
      <c r="B429" s="405"/>
      <c r="C429" s="405"/>
      <c r="D429" s="405"/>
      <c r="E429" s="405" t="s">
        <v>1049</v>
      </c>
      <c r="F429" s="406">
        <v>0</v>
      </c>
      <c r="G429" s="405"/>
      <c r="H429" s="606"/>
      <c r="I429" s="606" t="s">
        <v>1050</v>
      </c>
      <c r="J429" s="406">
        <v>3.2</v>
      </c>
      <c r="K429"/>
      <c r="L429" s="168"/>
    </row>
    <row r="430" spans="1:12" ht="25.5" customHeight="1" thickTop="1" x14ac:dyDescent="0.3">
      <c r="A430" s="407"/>
      <c r="B430" s="407"/>
      <c r="C430" s="407"/>
      <c r="D430" s="407"/>
      <c r="E430" s="407"/>
      <c r="F430" s="407"/>
      <c r="G430" s="407"/>
      <c r="H430" s="407"/>
      <c r="I430" s="407"/>
      <c r="J430" s="407"/>
      <c r="K430" s="407"/>
      <c r="L430" s="168"/>
    </row>
    <row r="431" spans="1:12" ht="25.5" customHeight="1" x14ac:dyDescent="0.3">
      <c r="A431" s="382" t="s">
        <v>640</v>
      </c>
      <c r="B431" s="312" t="s">
        <v>413</v>
      </c>
      <c r="C431" s="382" t="s">
        <v>414</v>
      </c>
      <c r="D431" s="382" t="s">
        <v>415</v>
      </c>
      <c r="E431" s="586" t="s">
        <v>1029</v>
      </c>
      <c r="F431" s="586"/>
      <c r="G431" s="383" t="s">
        <v>416</v>
      </c>
      <c r="H431" s="312" t="s">
        <v>1030</v>
      </c>
      <c r="I431" s="312" t="s">
        <v>3016</v>
      </c>
      <c r="J431" s="312" t="s">
        <v>1031</v>
      </c>
      <c r="K431" s="312" t="s">
        <v>1032</v>
      </c>
      <c r="L431" s="166"/>
    </row>
    <row r="432" spans="1:12" ht="15" customHeight="1" x14ac:dyDescent="0.3">
      <c r="A432" s="313" t="s">
        <v>1033</v>
      </c>
      <c r="B432" s="315" t="s">
        <v>3789</v>
      </c>
      <c r="C432" s="313" t="s">
        <v>395</v>
      </c>
      <c r="D432" s="313" t="s">
        <v>5912</v>
      </c>
      <c r="E432" s="603" t="s">
        <v>7815</v>
      </c>
      <c r="F432" s="603"/>
      <c r="G432" s="314" t="s">
        <v>120</v>
      </c>
      <c r="H432" s="399">
        <v>1</v>
      </c>
      <c r="I432" s="316"/>
      <c r="J432" s="316">
        <v>1.23</v>
      </c>
      <c r="K432" s="316">
        <v>1.23</v>
      </c>
      <c r="L432" s="166"/>
    </row>
    <row r="433" spans="1:12" ht="25.5" customHeight="1" x14ac:dyDescent="0.3">
      <c r="A433" s="408" t="s">
        <v>1034</v>
      </c>
      <c r="B433" s="409" t="s">
        <v>5184</v>
      </c>
      <c r="C433" s="408" t="s">
        <v>395</v>
      </c>
      <c r="D433" s="408" t="s">
        <v>5185</v>
      </c>
      <c r="E433" s="604" t="s">
        <v>7772</v>
      </c>
      <c r="F433" s="604"/>
      <c r="G433" s="410" t="s">
        <v>15</v>
      </c>
      <c r="H433" s="412">
        <v>3.3333E-3</v>
      </c>
      <c r="I433" s="412">
        <v>0</v>
      </c>
      <c r="J433" s="411">
        <v>328.42</v>
      </c>
      <c r="K433" s="411">
        <v>1.0947224</v>
      </c>
      <c r="L433" s="168"/>
    </row>
    <row r="434" spans="1:12" ht="25.5" customHeight="1" x14ac:dyDescent="0.3">
      <c r="A434" s="408" t="s">
        <v>1034</v>
      </c>
      <c r="B434" s="409" t="s">
        <v>5186</v>
      </c>
      <c r="C434" s="408" t="s">
        <v>395</v>
      </c>
      <c r="D434" s="408" t="s">
        <v>5187</v>
      </c>
      <c r="E434" s="604" t="s">
        <v>7772</v>
      </c>
      <c r="F434" s="604"/>
      <c r="G434" s="410" t="s">
        <v>19</v>
      </c>
      <c r="H434" s="412">
        <v>1.2524999999999999E-3</v>
      </c>
      <c r="I434" s="412">
        <v>0</v>
      </c>
      <c r="J434" s="411">
        <v>105.85</v>
      </c>
      <c r="K434" s="411">
        <v>0.1325771</v>
      </c>
      <c r="L434" s="168"/>
    </row>
    <row r="435" spans="1:12" ht="14.25" customHeight="1" x14ac:dyDescent="0.3">
      <c r="A435" s="405"/>
      <c r="B435" s="405"/>
      <c r="C435" s="405"/>
      <c r="D435" s="405"/>
      <c r="E435" s="405" t="s">
        <v>1046</v>
      </c>
      <c r="F435" s="406">
        <v>0.23</v>
      </c>
      <c r="G435" s="405" t="s">
        <v>1047</v>
      </c>
      <c r="H435" s="406">
        <v>0</v>
      </c>
      <c r="I435" s="405" t="s">
        <v>1048</v>
      </c>
      <c r="J435" s="406">
        <v>0.23</v>
      </c>
      <c r="K435"/>
      <c r="L435" s="168"/>
    </row>
    <row r="436" spans="1:12" ht="25.5" customHeight="1" thickBot="1" x14ac:dyDescent="0.35">
      <c r="A436" s="405"/>
      <c r="B436" s="405"/>
      <c r="C436" s="405"/>
      <c r="D436" s="405"/>
      <c r="E436" s="405" t="s">
        <v>1049</v>
      </c>
      <c r="F436" s="406">
        <v>0</v>
      </c>
      <c r="G436" s="405"/>
      <c r="H436" s="606"/>
      <c r="I436" s="606" t="s">
        <v>1050</v>
      </c>
      <c r="J436" s="406">
        <v>1.23</v>
      </c>
      <c r="K436"/>
      <c r="L436" s="166"/>
    </row>
    <row r="437" spans="1:12" ht="30" customHeight="1" thickTop="1" x14ac:dyDescent="0.3">
      <c r="A437" s="407"/>
      <c r="B437" s="407"/>
      <c r="C437" s="407"/>
      <c r="D437" s="407"/>
      <c r="E437" s="407"/>
      <c r="F437" s="407"/>
      <c r="G437" s="407"/>
      <c r="H437" s="407"/>
      <c r="I437" s="407"/>
      <c r="J437" s="407"/>
      <c r="K437" s="407"/>
      <c r="L437" s="166"/>
    </row>
    <row r="438" spans="1:12" ht="30" customHeight="1" x14ac:dyDescent="0.3">
      <c r="A438" s="382" t="s">
        <v>641</v>
      </c>
      <c r="B438" s="312" t="s">
        <v>413</v>
      </c>
      <c r="C438" s="382" t="s">
        <v>414</v>
      </c>
      <c r="D438" s="382" t="s">
        <v>415</v>
      </c>
      <c r="E438" s="586" t="s">
        <v>1029</v>
      </c>
      <c r="F438" s="586"/>
      <c r="G438" s="383" t="s">
        <v>416</v>
      </c>
      <c r="H438" s="312" t="s">
        <v>1030</v>
      </c>
      <c r="I438" s="312" t="s">
        <v>3016</v>
      </c>
      <c r="J438" s="312" t="s">
        <v>1031</v>
      </c>
      <c r="K438" s="312" t="s">
        <v>1032</v>
      </c>
      <c r="L438" s="168"/>
    </row>
    <row r="439" spans="1:12" ht="30" customHeight="1" x14ac:dyDescent="0.3">
      <c r="A439" s="313" t="s">
        <v>1033</v>
      </c>
      <c r="B439" s="315" t="s">
        <v>1013</v>
      </c>
      <c r="C439" s="313" t="s">
        <v>5902</v>
      </c>
      <c r="D439" s="313" t="s">
        <v>756</v>
      </c>
      <c r="E439" s="603">
        <v>12.12</v>
      </c>
      <c r="F439" s="603"/>
      <c r="G439" s="314" t="s">
        <v>757</v>
      </c>
      <c r="H439" s="399">
        <v>1</v>
      </c>
      <c r="I439" s="316"/>
      <c r="J439" s="316">
        <v>43853.17</v>
      </c>
      <c r="K439" s="316">
        <v>43853.17</v>
      </c>
      <c r="L439" s="168"/>
    </row>
    <row r="440" spans="1:12" ht="39.6" customHeight="1" x14ac:dyDescent="0.3">
      <c r="A440" s="400" t="s">
        <v>1038</v>
      </c>
      <c r="B440" s="401" t="s">
        <v>1535</v>
      </c>
      <c r="C440" s="400" t="s">
        <v>5902</v>
      </c>
      <c r="D440" s="400" t="s">
        <v>756</v>
      </c>
      <c r="E440" s="605" t="s">
        <v>1039</v>
      </c>
      <c r="F440" s="605"/>
      <c r="G440" s="402" t="s">
        <v>757</v>
      </c>
      <c r="H440" s="403">
        <v>1</v>
      </c>
      <c r="I440" s="403">
        <v>0</v>
      </c>
      <c r="J440" s="404">
        <v>43853.17</v>
      </c>
      <c r="K440" s="404">
        <v>43853.17</v>
      </c>
      <c r="L440" s="168"/>
    </row>
    <row r="441" spans="1:12" ht="15" x14ac:dyDescent="0.3">
      <c r="A441" s="405"/>
      <c r="B441" s="405"/>
      <c r="C441" s="405"/>
      <c r="D441" s="405"/>
      <c r="E441" s="405" t="s">
        <v>1046</v>
      </c>
      <c r="F441" s="406">
        <v>0</v>
      </c>
      <c r="G441" s="405" t="s">
        <v>1047</v>
      </c>
      <c r="H441" s="406">
        <v>0</v>
      </c>
      <c r="I441" s="405" t="s">
        <v>1048</v>
      </c>
      <c r="J441" s="406">
        <v>0</v>
      </c>
      <c r="K441"/>
      <c r="L441" s="166"/>
    </row>
    <row r="442" spans="1:12" ht="15.6" thickBot="1" x14ac:dyDescent="0.35">
      <c r="A442" s="405"/>
      <c r="B442" s="405"/>
      <c r="C442" s="405"/>
      <c r="D442" s="405"/>
      <c r="E442" s="405" t="s">
        <v>1049</v>
      </c>
      <c r="F442" s="406">
        <v>0</v>
      </c>
      <c r="G442" s="405"/>
      <c r="H442" s="606"/>
      <c r="I442" s="606" t="s">
        <v>1050</v>
      </c>
      <c r="J442" s="406">
        <v>43853.17</v>
      </c>
      <c r="K442"/>
      <c r="L442" s="166"/>
    </row>
    <row r="443" spans="1:12" ht="15" customHeight="1" thickTop="1" x14ac:dyDescent="0.3">
      <c r="A443" s="407"/>
      <c r="B443" s="407"/>
      <c r="C443" s="407"/>
      <c r="D443" s="407"/>
      <c r="E443" s="407"/>
      <c r="F443" s="407"/>
      <c r="G443" s="407"/>
      <c r="H443" s="407"/>
      <c r="I443" s="407"/>
      <c r="J443" s="407"/>
      <c r="K443" s="407"/>
      <c r="L443" s="166"/>
    </row>
    <row r="444" spans="1:12" ht="38.25" customHeight="1" x14ac:dyDescent="0.3">
      <c r="A444" s="382" t="s">
        <v>642</v>
      </c>
      <c r="B444" s="312" t="s">
        <v>413</v>
      </c>
      <c r="C444" s="382" t="s">
        <v>414</v>
      </c>
      <c r="D444" s="382" t="s">
        <v>415</v>
      </c>
      <c r="E444" s="586" t="s">
        <v>1029</v>
      </c>
      <c r="F444" s="586"/>
      <c r="G444" s="383" t="s">
        <v>416</v>
      </c>
      <c r="H444" s="312" t="s">
        <v>1030</v>
      </c>
      <c r="I444" s="312" t="s">
        <v>3016</v>
      </c>
      <c r="J444" s="312" t="s">
        <v>1031</v>
      </c>
      <c r="K444" s="312" t="s">
        <v>1032</v>
      </c>
      <c r="L444" s="166"/>
    </row>
    <row r="445" spans="1:12" ht="26.4" x14ac:dyDescent="0.3">
      <c r="A445" s="313" t="s">
        <v>1033</v>
      </c>
      <c r="B445" s="315" t="s">
        <v>833</v>
      </c>
      <c r="C445" s="313" t="s">
        <v>439</v>
      </c>
      <c r="D445" s="313" t="s">
        <v>791</v>
      </c>
      <c r="E445" s="603" t="s">
        <v>781</v>
      </c>
      <c r="F445" s="603"/>
      <c r="G445" s="314" t="s">
        <v>437</v>
      </c>
      <c r="H445" s="399">
        <v>1</v>
      </c>
      <c r="I445" s="316"/>
      <c r="J445" s="316">
        <v>77.64</v>
      </c>
      <c r="K445" s="316">
        <v>77.64</v>
      </c>
      <c r="L445" s="166"/>
    </row>
    <row r="446" spans="1:12" ht="14.25" customHeight="1" x14ac:dyDescent="0.3">
      <c r="A446" s="400" t="s">
        <v>1038</v>
      </c>
      <c r="B446" s="401" t="s">
        <v>1589</v>
      </c>
      <c r="C446" s="400" t="s">
        <v>439</v>
      </c>
      <c r="D446" s="400" t="s">
        <v>1590</v>
      </c>
      <c r="E446" s="605" t="s">
        <v>1039</v>
      </c>
      <c r="F446" s="605"/>
      <c r="G446" s="402" t="s">
        <v>437</v>
      </c>
      <c r="H446" s="403">
        <v>1</v>
      </c>
      <c r="I446" s="403">
        <v>0</v>
      </c>
      <c r="J446" s="404">
        <v>77.64</v>
      </c>
      <c r="K446" s="404">
        <v>77.64</v>
      </c>
      <c r="L446" s="166"/>
    </row>
    <row r="447" spans="1:12" ht="15" customHeight="1" x14ac:dyDescent="0.3">
      <c r="A447" s="405"/>
      <c r="B447" s="405"/>
      <c r="C447" s="405"/>
      <c r="D447" s="405"/>
      <c r="E447" s="405" t="s">
        <v>1046</v>
      </c>
      <c r="F447" s="406">
        <v>0</v>
      </c>
      <c r="G447" s="405" t="s">
        <v>1047</v>
      </c>
      <c r="H447" s="406">
        <v>0</v>
      </c>
      <c r="I447" s="405" t="s">
        <v>1048</v>
      </c>
      <c r="J447" s="406">
        <v>0</v>
      </c>
      <c r="K447"/>
      <c r="L447" s="166"/>
    </row>
    <row r="448" spans="1:12" ht="30" customHeight="1" thickBot="1" x14ac:dyDescent="0.35">
      <c r="A448" s="405"/>
      <c r="B448" s="405"/>
      <c r="C448" s="405"/>
      <c r="D448" s="405"/>
      <c r="E448" s="405" t="s">
        <v>1049</v>
      </c>
      <c r="F448" s="406">
        <v>0</v>
      </c>
      <c r="G448" s="405"/>
      <c r="H448" s="606"/>
      <c r="I448" s="606" t="s">
        <v>1050</v>
      </c>
      <c r="J448" s="406">
        <v>77.64</v>
      </c>
      <c r="K448"/>
      <c r="L448" s="168"/>
    </row>
    <row r="449" spans="1:12" ht="30" customHeight="1" thickTop="1" x14ac:dyDescent="0.3">
      <c r="A449" s="407"/>
      <c r="B449" s="407"/>
      <c r="C449" s="407"/>
      <c r="D449" s="407"/>
      <c r="E449" s="407"/>
      <c r="F449" s="407"/>
      <c r="G449" s="407"/>
      <c r="H449" s="407"/>
      <c r="I449" s="407"/>
      <c r="J449" s="407"/>
      <c r="K449" s="407"/>
      <c r="L449" s="167"/>
    </row>
    <row r="450" spans="1:12" ht="25.5" customHeight="1" x14ac:dyDescent="0.3">
      <c r="A450" s="382" t="s">
        <v>643</v>
      </c>
      <c r="B450" s="312" t="s">
        <v>413</v>
      </c>
      <c r="C450" s="382" t="s">
        <v>414</v>
      </c>
      <c r="D450" s="382" t="s">
        <v>415</v>
      </c>
      <c r="E450" s="586" t="s">
        <v>1029</v>
      </c>
      <c r="F450" s="586"/>
      <c r="G450" s="383" t="s">
        <v>416</v>
      </c>
      <c r="H450" s="312" t="s">
        <v>1030</v>
      </c>
      <c r="I450" s="312" t="s">
        <v>3016</v>
      </c>
      <c r="J450" s="312" t="s">
        <v>1031</v>
      </c>
      <c r="K450" s="312" t="s">
        <v>1032</v>
      </c>
      <c r="L450" s="168"/>
    </row>
    <row r="451" spans="1:12" ht="12.75" customHeight="1" x14ac:dyDescent="0.3">
      <c r="A451" s="313" t="s">
        <v>1033</v>
      </c>
      <c r="B451" s="315" t="s">
        <v>3790</v>
      </c>
      <c r="C451" s="313" t="s">
        <v>395</v>
      </c>
      <c r="D451" s="313" t="s">
        <v>5913</v>
      </c>
      <c r="E451" s="603" t="s">
        <v>7816</v>
      </c>
      <c r="F451" s="603"/>
      <c r="G451" s="314" t="s">
        <v>3</v>
      </c>
      <c r="H451" s="399">
        <v>1</v>
      </c>
      <c r="I451" s="316"/>
      <c r="J451" s="316">
        <v>19.260000000000002</v>
      </c>
      <c r="K451" s="316">
        <v>19.260000000000002</v>
      </c>
      <c r="L451" s="168"/>
    </row>
    <row r="452" spans="1:12" ht="26.4" x14ac:dyDescent="0.3">
      <c r="A452" s="408" t="s">
        <v>1034</v>
      </c>
      <c r="B452" s="409" t="s">
        <v>1315</v>
      </c>
      <c r="C452" s="408" t="s">
        <v>395</v>
      </c>
      <c r="D452" s="408" t="s">
        <v>123</v>
      </c>
      <c r="E452" s="604" t="s">
        <v>7768</v>
      </c>
      <c r="F452" s="604"/>
      <c r="G452" s="410" t="s">
        <v>6</v>
      </c>
      <c r="H452" s="412">
        <v>5.7000000000000002E-2</v>
      </c>
      <c r="I452" s="412">
        <v>0</v>
      </c>
      <c r="J452" s="411">
        <v>33.79</v>
      </c>
      <c r="K452" s="411">
        <v>1.9260299999999999</v>
      </c>
      <c r="L452" s="168"/>
    </row>
    <row r="453" spans="1:12" ht="26.4" x14ac:dyDescent="0.3">
      <c r="A453" s="408" t="s">
        <v>1034</v>
      </c>
      <c r="B453" s="409" t="s">
        <v>1301</v>
      </c>
      <c r="C453" s="408" t="s">
        <v>395</v>
      </c>
      <c r="D453" s="408" t="s">
        <v>126</v>
      </c>
      <c r="E453" s="604" t="s">
        <v>7768</v>
      </c>
      <c r="F453" s="604"/>
      <c r="G453" s="410" t="s">
        <v>6</v>
      </c>
      <c r="H453" s="412">
        <v>0.15</v>
      </c>
      <c r="I453" s="412">
        <v>0</v>
      </c>
      <c r="J453" s="411">
        <v>40.86</v>
      </c>
      <c r="K453" s="411">
        <v>6.1289999999999996</v>
      </c>
      <c r="L453" s="166"/>
    </row>
    <row r="454" spans="1:12" ht="15" customHeight="1" x14ac:dyDescent="0.3">
      <c r="A454" s="408" t="s">
        <v>1034</v>
      </c>
      <c r="B454" s="409" t="s">
        <v>7818</v>
      </c>
      <c r="C454" s="408" t="s">
        <v>395</v>
      </c>
      <c r="D454" s="408" t="s">
        <v>7819</v>
      </c>
      <c r="E454" s="604" t="s">
        <v>7820</v>
      </c>
      <c r="F454" s="604"/>
      <c r="G454" s="410" t="s">
        <v>3</v>
      </c>
      <c r="H454" s="412">
        <v>1</v>
      </c>
      <c r="I454" s="412">
        <v>0</v>
      </c>
      <c r="J454" s="411">
        <v>10.51</v>
      </c>
      <c r="K454" s="411">
        <v>10.51</v>
      </c>
      <c r="L454" s="166"/>
    </row>
    <row r="455" spans="1:12" ht="25.5" customHeight="1" x14ac:dyDescent="0.3">
      <c r="A455" s="400" t="s">
        <v>1038</v>
      </c>
      <c r="B455" s="401" t="s">
        <v>4915</v>
      </c>
      <c r="C455" s="400" t="s">
        <v>395</v>
      </c>
      <c r="D455" s="400" t="s">
        <v>4916</v>
      </c>
      <c r="E455" s="605" t="s">
        <v>1039</v>
      </c>
      <c r="F455" s="605"/>
      <c r="G455" s="402" t="s">
        <v>4</v>
      </c>
      <c r="H455" s="403">
        <v>0.63500000000000001</v>
      </c>
      <c r="I455" s="403">
        <v>0</v>
      </c>
      <c r="J455" s="404">
        <v>0.22</v>
      </c>
      <c r="K455" s="404">
        <v>0.13969999999999999</v>
      </c>
      <c r="L455" s="168"/>
    </row>
    <row r="456" spans="1:12" ht="25.5" customHeight="1" x14ac:dyDescent="0.3">
      <c r="A456" s="400" t="s">
        <v>1038</v>
      </c>
      <c r="B456" s="401" t="s">
        <v>1548</v>
      </c>
      <c r="C456" s="400" t="s">
        <v>395</v>
      </c>
      <c r="D456" s="400" t="s">
        <v>237</v>
      </c>
      <c r="E456" s="605" t="s">
        <v>1039</v>
      </c>
      <c r="F456" s="605"/>
      <c r="G456" s="402" t="s">
        <v>3</v>
      </c>
      <c r="H456" s="403">
        <v>2.5000000000000001E-2</v>
      </c>
      <c r="I456" s="403">
        <v>0</v>
      </c>
      <c r="J456" s="404">
        <v>22.25</v>
      </c>
      <c r="K456" s="404">
        <v>0.55625000000000002</v>
      </c>
      <c r="L456" s="168"/>
    </row>
    <row r="457" spans="1:12" ht="25.5" customHeight="1" x14ac:dyDescent="0.3">
      <c r="A457" s="405"/>
      <c r="B457" s="405"/>
      <c r="C457" s="405"/>
      <c r="D457" s="405"/>
      <c r="E457" s="405" t="s">
        <v>1046</v>
      </c>
      <c r="F457" s="406">
        <v>6.5</v>
      </c>
      <c r="G457" s="405" t="s">
        <v>1047</v>
      </c>
      <c r="H457" s="406">
        <v>0</v>
      </c>
      <c r="I457" s="405" t="s">
        <v>1048</v>
      </c>
      <c r="J457" s="406">
        <v>6.5</v>
      </c>
      <c r="K457"/>
      <c r="L457" s="168"/>
    </row>
    <row r="458" spans="1:12" ht="38.25" customHeight="1" thickBot="1" x14ac:dyDescent="0.35">
      <c r="A458" s="405"/>
      <c r="B458" s="405"/>
      <c r="C458" s="405"/>
      <c r="D458" s="405"/>
      <c r="E458" s="405" t="s">
        <v>1049</v>
      </c>
      <c r="F458" s="406">
        <v>0</v>
      </c>
      <c r="G458" s="405"/>
      <c r="H458" s="606"/>
      <c r="I458" s="606" t="s">
        <v>1050</v>
      </c>
      <c r="J458" s="406">
        <v>19.260000000000002</v>
      </c>
      <c r="K458"/>
      <c r="L458" s="168"/>
    </row>
    <row r="459" spans="1:12" ht="15.6" thickTop="1" x14ac:dyDescent="0.3">
      <c r="A459" s="407"/>
      <c r="B459" s="407"/>
      <c r="C459" s="407"/>
      <c r="D459" s="407"/>
      <c r="E459" s="407"/>
      <c r="F459" s="407"/>
      <c r="G459" s="407"/>
      <c r="H459" s="407"/>
      <c r="I459" s="407"/>
      <c r="J459" s="407"/>
      <c r="K459" s="407"/>
      <c r="L459" s="166"/>
    </row>
    <row r="460" spans="1:12" ht="17.399999999999999" customHeight="1" x14ac:dyDescent="0.3">
      <c r="A460" s="382" t="s">
        <v>644</v>
      </c>
      <c r="B460" s="312" t="s">
        <v>413</v>
      </c>
      <c r="C460" s="382" t="s">
        <v>414</v>
      </c>
      <c r="D460" s="382" t="s">
        <v>415</v>
      </c>
      <c r="E460" s="586" t="s">
        <v>1029</v>
      </c>
      <c r="F460" s="586"/>
      <c r="G460" s="383" t="s">
        <v>416</v>
      </c>
      <c r="H460" s="312" t="s">
        <v>1030</v>
      </c>
      <c r="I460" s="312" t="s">
        <v>3016</v>
      </c>
      <c r="J460" s="312" t="s">
        <v>1031</v>
      </c>
      <c r="K460" s="312" t="s">
        <v>1032</v>
      </c>
      <c r="L460" s="168"/>
    </row>
    <row r="461" spans="1:12" ht="26.4" x14ac:dyDescent="0.3">
      <c r="A461" s="313" t="s">
        <v>1033</v>
      </c>
      <c r="B461" s="315" t="s">
        <v>3791</v>
      </c>
      <c r="C461" s="313" t="s">
        <v>395</v>
      </c>
      <c r="D461" s="313" t="s">
        <v>188</v>
      </c>
      <c r="E461" s="603" t="s">
        <v>2277</v>
      </c>
      <c r="F461" s="603"/>
      <c r="G461" s="314" t="s">
        <v>3</v>
      </c>
      <c r="H461" s="399">
        <v>1</v>
      </c>
      <c r="I461" s="316"/>
      <c r="J461" s="316">
        <v>11.28</v>
      </c>
      <c r="K461" s="316">
        <v>11.28</v>
      </c>
      <c r="L461" s="168"/>
    </row>
    <row r="462" spans="1:12" ht="14.25" customHeight="1" x14ac:dyDescent="0.3">
      <c r="A462" s="408" t="s">
        <v>1034</v>
      </c>
      <c r="B462" s="409" t="s">
        <v>5190</v>
      </c>
      <c r="C462" s="408" t="s">
        <v>395</v>
      </c>
      <c r="D462" s="408" t="s">
        <v>5191</v>
      </c>
      <c r="E462" s="604" t="s">
        <v>2277</v>
      </c>
      <c r="F462" s="604"/>
      <c r="G462" s="410" t="s">
        <v>3</v>
      </c>
      <c r="H462" s="412">
        <v>1</v>
      </c>
      <c r="I462" s="412">
        <v>0</v>
      </c>
      <c r="J462" s="411">
        <v>8.1199999999999992</v>
      </c>
      <c r="K462" s="411">
        <v>8.1199999999999992</v>
      </c>
      <c r="L462" s="168"/>
    </row>
    <row r="463" spans="1:12" ht="15" customHeight="1" x14ac:dyDescent="0.3">
      <c r="A463" s="408" t="s">
        <v>1034</v>
      </c>
      <c r="B463" s="409" t="s">
        <v>1315</v>
      </c>
      <c r="C463" s="408" t="s">
        <v>395</v>
      </c>
      <c r="D463" s="408" t="s">
        <v>123</v>
      </c>
      <c r="E463" s="604" t="s">
        <v>7768</v>
      </c>
      <c r="F463" s="604"/>
      <c r="G463" s="410" t="s">
        <v>6</v>
      </c>
      <c r="H463" s="412">
        <v>1.6E-2</v>
      </c>
      <c r="I463" s="412">
        <v>0</v>
      </c>
      <c r="J463" s="411">
        <v>33.79</v>
      </c>
      <c r="K463" s="411">
        <v>0.54064000000000001</v>
      </c>
      <c r="L463" s="166"/>
    </row>
    <row r="464" spans="1:12" ht="30" customHeight="1" x14ac:dyDescent="0.3">
      <c r="A464" s="408" t="s">
        <v>1034</v>
      </c>
      <c r="B464" s="409" t="s">
        <v>1301</v>
      </c>
      <c r="C464" s="408" t="s">
        <v>395</v>
      </c>
      <c r="D464" s="408" t="s">
        <v>126</v>
      </c>
      <c r="E464" s="604" t="s">
        <v>7768</v>
      </c>
      <c r="F464" s="604"/>
      <c r="G464" s="410" t="s">
        <v>6</v>
      </c>
      <c r="H464" s="412">
        <v>4.9500000000000002E-2</v>
      </c>
      <c r="I464" s="412">
        <v>0</v>
      </c>
      <c r="J464" s="411">
        <v>40.86</v>
      </c>
      <c r="K464" s="411">
        <v>2.02257</v>
      </c>
      <c r="L464" s="166"/>
    </row>
    <row r="465" spans="1:12" ht="30" customHeight="1" x14ac:dyDescent="0.3">
      <c r="A465" s="400" t="s">
        <v>1038</v>
      </c>
      <c r="B465" s="401" t="s">
        <v>1548</v>
      </c>
      <c r="C465" s="400" t="s">
        <v>395</v>
      </c>
      <c r="D465" s="400" t="s">
        <v>237</v>
      </c>
      <c r="E465" s="605" t="s">
        <v>1039</v>
      </c>
      <c r="F465" s="605"/>
      <c r="G465" s="402" t="s">
        <v>3</v>
      </c>
      <c r="H465" s="403">
        <v>2.5000000000000001E-2</v>
      </c>
      <c r="I465" s="403">
        <v>0</v>
      </c>
      <c r="J465" s="404">
        <v>22.25</v>
      </c>
      <c r="K465" s="404">
        <v>0.55625000000000002</v>
      </c>
      <c r="L465" s="168"/>
    </row>
    <row r="466" spans="1:12" ht="25.5" customHeight="1" x14ac:dyDescent="0.3">
      <c r="A466" s="400" t="s">
        <v>1038</v>
      </c>
      <c r="B466" s="401" t="s">
        <v>4915</v>
      </c>
      <c r="C466" s="400" t="s">
        <v>395</v>
      </c>
      <c r="D466" s="400" t="s">
        <v>4916</v>
      </c>
      <c r="E466" s="605" t="s">
        <v>1039</v>
      </c>
      <c r="F466" s="605"/>
      <c r="G466" s="402" t="s">
        <v>4</v>
      </c>
      <c r="H466" s="403">
        <v>0.19750000000000001</v>
      </c>
      <c r="I466" s="403">
        <v>0</v>
      </c>
      <c r="J466" s="404">
        <v>0.22</v>
      </c>
      <c r="K466" s="404">
        <v>4.3450000000000003E-2</v>
      </c>
      <c r="L466" s="168"/>
    </row>
    <row r="467" spans="1:12" ht="25.5" customHeight="1" x14ac:dyDescent="0.3">
      <c r="A467" s="405"/>
      <c r="B467" s="405"/>
      <c r="C467" s="405"/>
      <c r="D467" s="405"/>
      <c r="E467" s="405" t="s">
        <v>1046</v>
      </c>
      <c r="F467" s="406">
        <v>2</v>
      </c>
      <c r="G467" s="405" t="s">
        <v>1047</v>
      </c>
      <c r="H467" s="406">
        <v>0.01</v>
      </c>
      <c r="I467" s="405" t="s">
        <v>1048</v>
      </c>
      <c r="J467" s="406">
        <v>2.0099999999999998</v>
      </c>
      <c r="K467"/>
      <c r="L467" s="168"/>
    </row>
    <row r="468" spans="1:12" ht="25.5" customHeight="1" thickBot="1" x14ac:dyDescent="0.35">
      <c r="A468" s="405"/>
      <c r="B468" s="405"/>
      <c r="C468" s="405"/>
      <c r="D468" s="405"/>
      <c r="E468" s="405" t="s">
        <v>1049</v>
      </c>
      <c r="F468" s="406">
        <v>0</v>
      </c>
      <c r="G468" s="405"/>
      <c r="H468" s="606"/>
      <c r="I468" s="606" t="s">
        <v>1050</v>
      </c>
      <c r="J468" s="406">
        <v>11.28</v>
      </c>
      <c r="K468"/>
      <c r="L468" s="166"/>
    </row>
    <row r="469" spans="1:12" ht="14.25" customHeight="1" thickTop="1" x14ac:dyDescent="0.3">
      <c r="A469" s="407"/>
      <c r="B469" s="407"/>
      <c r="C469" s="407"/>
      <c r="D469" s="407"/>
      <c r="E469" s="407"/>
      <c r="F469" s="407"/>
      <c r="G469" s="407"/>
      <c r="H469" s="407"/>
      <c r="I469" s="407"/>
      <c r="J469" s="407"/>
      <c r="K469" s="407"/>
      <c r="L469" s="166"/>
    </row>
    <row r="470" spans="1:12" ht="15" x14ac:dyDescent="0.3">
      <c r="A470" s="382" t="s">
        <v>645</v>
      </c>
      <c r="B470" s="312" t="s">
        <v>413</v>
      </c>
      <c r="C470" s="382" t="s">
        <v>414</v>
      </c>
      <c r="D470" s="382" t="s">
        <v>415</v>
      </c>
      <c r="E470" s="586" t="s">
        <v>1029</v>
      </c>
      <c r="F470" s="586"/>
      <c r="G470" s="383" t="s">
        <v>416</v>
      </c>
      <c r="H470" s="312" t="s">
        <v>1030</v>
      </c>
      <c r="I470" s="312" t="s">
        <v>3016</v>
      </c>
      <c r="J470" s="312" t="s">
        <v>1031</v>
      </c>
      <c r="K470" s="312" t="s">
        <v>1032</v>
      </c>
      <c r="L470" s="166"/>
    </row>
    <row r="471" spans="1:12" ht="26.4" x14ac:dyDescent="0.3">
      <c r="A471" s="313" t="s">
        <v>1033</v>
      </c>
      <c r="B471" s="315" t="s">
        <v>1014</v>
      </c>
      <c r="C471" s="313" t="s">
        <v>5902</v>
      </c>
      <c r="D471" s="313" t="s">
        <v>759</v>
      </c>
      <c r="E471" s="603">
        <v>11.01</v>
      </c>
      <c r="F471" s="603"/>
      <c r="G471" s="314" t="s">
        <v>713</v>
      </c>
      <c r="H471" s="399">
        <v>1</v>
      </c>
      <c r="I471" s="316"/>
      <c r="J471" s="316">
        <v>598.41999999999996</v>
      </c>
      <c r="K471" s="316">
        <v>598.41999999999996</v>
      </c>
      <c r="L471" s="166"/>
    </row>
    <row r="472" spans="1:12" ht="15" customHeight="1" x14ac:dyDescent="0.3">
      <c r="A472" s="400" t="s">
        <v>1038</v>
      </c>
      <c r="B472" s="401" t="s">
        <v>1536</v>
      </c>
      <c r="C472" s="400" t="s">
        <v>5902</v>
      </c>
      <c r="D472" s="400" t="s">
        <v>1537</v>
      </c>
      <c r="E472" s="605" t="s">
        <v>1039</v>
      </c>
      <c r="F472" s="605"/>
      <c r="G472" s="402" t="s">
        <v>713</v>
      </c>
      <c r="H472" s="403">
        <v>1.03</v>
      </c>
      <c r="I472" s="403">
        <v>0</v>
      </c>
      <c r="J472" s="404">
        <v>580.99</v>
      </c>
      <c r="K472" s="404">
        <v>598.41970000000003</v>
      </c>
      <c r="L472" s="166"/>
    </row>
    <row r="473" spans="1:12" ht="12.75" customHeight="1" x14ac:dyDescent="0.3">
      <c r="A473" s="405"/>
      <c r="B473" s="405"/>
      <c r="C473" s="405"/>
      <c r="D473" s="405"/>
      <c r="E473" s="405" t="s">
        <v>1046</v>
      </c>
      <c r="F473" s="406">
        <v>0</v>
      </c>
      <c r="G473" s="405" t="s">
        <v>1047</v>
      </c>
      <c r="H473" s="406">
        <v>0</v>
      </c>
      <c r="I473" s="405" t="s">
        <v>1048</v>
      </c>
      <c r="J473" s="406">
        <v>0</v>
      </c>
      <c r="K473"/>
      <c r="L473" s="166"/>
    </row>
    <row r="474" spans="1:12" ht="15.6" thickBot="1" x14ac:dyDescent="0.35">
      <c r="A474" s="405"/>
      <c r="B474" s="405"/>
      <c r="C474" s="405"/>
      <c r="D474" s="405"/>
      <c r="E474" s="405" t="s">
        <v>1049</v>
      </c>
      <c r="F474" s="406">
        <v>0</v>
      </c>
      <c r="G474" s="405"/>
      <c r="H474" s="606"/>
      <c r="I474" s="606" t="s">
        <v>1050</v>
      </c>
      <c r="J474" s="406">
        <v>598.41999999999996</v>
      </c>
      <c r="K474"/>
      <c r="L474" s="166"/>
    </row>
    <row r="475" spans="1:12" ht="15.6" thickTop="1" x14ac:dyDescent="0.3">
      <c r="A475" s="407"/>
      <c r="B475" s="407"/>
      <c r="C475" s="407"/>
      <c r="D475" s="407"/>
      <c r="E475" s="407"/>
      <c r="F475" s="407"/>
      <c r="G475" s="407"/>
      <c r="H475" s="407"/>
      <c r="I475" s="407"/>
      <c r="J475" s="407"/>
      <c r="K475" s="407"/>
      <c r="L475" s="168"/>
    </row>
    <row r="476" spans="1:12" ht="14.25" customHeight="1" x14ac:dyDescent="0.3">
      <c r="A476" s="382" t="s">
        <v>646</v>
      </c>
      <c r="B476" s="312" t="s">
        <v>413</v>
      </c>
      <c r="C476" s="382" t="s">
        <v>414</v>
      </c>
      <c r="D476" s="382" t="s">
        <v>415</v>
      </c>
      <c r="E476" s="586" t="s">
        <v>1029</v>
      </c>
      <c r="F476" s="586"/>
      <c r="G476" s="383" t="s">
        <v>416</v>
      </c>
      <c r="H476" s="312" t="s">
        <v>1030</v>
      </c>
      <c r="I476" s="312" t="s">
        <v>3016</v>
      </c>
      <c r="J476" s="312" t="s">
        <v>1031</v>
      </c>
      <c r="K476" s="312" t="s">
        <v>1032</v>
      </c>
      <c r="L476" s="167"/>
    </row>
    <row r="477" spans="1:12" ht="25.5" customHeight="1" x14ac:dyDescent="0.3">
      <c r="A477" s="313" t="s">
        <v>1033</v>
      </c>
      <c r="B477" s="315" t="s">
        <v>3792</v>
      </c>
      <c r="C477" s="313" t="s">
        <v>395</v>
      </c>
      <c r="D477" s="313" t="s">
        <v>312</v>
      </c>
      <c r="E477" s="603" t="s">
        <v>7821</v>
      </c>
      <c r="F477" s="603"/>
      <c r="G477" s="314" t="s">
        <v>4</v>
      </c>
      <c r="H477" s="399">
        <v>1</v>
      </c>
      <c r="I477" s="316"/>
      <c r="J477" s="316">
        <v>43.22</v>
      </c>
      <c r="K477" s="316">
        <v>43.22</v>
      </c>
      <c r="L477" s="168"/>
    </row>
    <row r="478" spans="1:12" ht="25.5" customHeight="1" x14ac:dyDescent="0.3">
      <c r="A478" s="408" t="s">
        <v>1034</v>
      </c>
      <c r="B478" s="409" t="s">
        <v>5194</v>
      </c>
      <c r="C478" s="408" t="s">
        <v>395</v>
      </c>
      <c r="D478" s="408" t="s">
        <v>7822</v>
      </c>
      <c r="E478" s="604" t="s">
        <v>7772</v>
      </c>
      <c r="F478" s="604"/>
      <c r="G478" s="410" t="s">
        <v>19</v>
      </c>
      <c r="H478" s="412">
        <v>0.32050000000000001</v>
      </c>
      <c r="I478" s="412">
        <v>0</v>
      </c>
      <c r="J478" s="411">
        <v>40.200000000000003</v>
      </c>
      <c r="K478" s="411">
        <v>12.8841</v>
      </c>
      <c r="L478" s="168"/>
    </row>
    <row r="479" spans="1:12" ht="25.5" customHeight="1" x14ac:dyDescent="0.3">
      <c r="A479" s="408" t="s">
        <v>1034</v>
      </c>
      <c r="B479" s="409" t="s">
        <v>5192</v>
      </c>
      <c r="C479" s="408" t="s">
        <v>395</v>
      </c>
      <c r="D479" s="408" t="s">
        <v>5193</v>
      </c>
      <c r="E479" s="604" t="s">
        <v>7772</v>
      </c>
      <c r="F479" s="604"/>
      <c r="G479" s="410" t="s">
        <v>15</v>
      </c>
      <c r="H479" s="412">
        <v>0.26029999999999998</v>
      </c>
      <c r="I479" s="412">
        <v>0</v>
      </c>
      <c r="J479" s="411">
        <v>43.32</v>
      </c>
      <c r="K479" s="411">
        <v>11.276196000000001</v>
      </c>
      <c r="L479" s="168"/>
    </row>
    <row r="480" spans="1:12" ht="25.5" customHeight="1" x14ac:dyDescent="0.3">
      <c r="A480" s="408" t="s">
        <v>1034</v>
      </c>
      <c r="B480" s="409" t="s">
        <v>1290</v>
      </c>
      <c r="C480" s="408" t="s">
        <v>395</v>
      </c>
      <c r="D480" s="408" t="s">
        <v>147</v>
      </c>
      <c r="E480" s="604" t="s">
        <v>7768</v>
      </c>
      <c r="F480" s="604"/>
      <c r="G480" s="410" t="s">
        <v>6</v>
      </c>
      <c r="H480" s="412">
        <v>0.58079999999999998</v>
      </c>
      <c r="I480" s="412">
        <v>0</v>
      </c>
      <c r="J480" s="411">
        <v>32.82</v>
      </c>
      <c r="K480" s="411">
        <v>19.061855999999999</v>
      </c>
      <c r="L480" s="166"/>
    </row>
    <row r="481" spans="1:12" ht="15" customHeight="1" x14ac:dyDescent="0.3">
      <c r="A481" s="405"/>
      <c r="B481" s="405"/>
      <c r="C481" s="405"/>
      <c r="D481" s="405"/>
      <c r="E481" s="405" t="s">
        <v>1046</v>
      </c>
      <c r="F481" s="406">
        <v>30.74</v>
      </c>
      <c r="G481" s="405" t="s">
        <v>1047</v>
      </c>
      <c r="H481" s="406">
        <v>0</v>
      </c>
      <c r="I481" s="405" t="s">
        <v>1048</v>
      </c>
      <c r="J481" s="406">
        <v>30.74</v>
      </c>
      <c r="K481"/>
      <c r="L481" s="166"/>
    </row>
    <row r="482" spans="1:12" ht="25.5" customHeight="1" thickBot="1" x14ac:dyDescent="0.35">
      <c r="A482" s="405"/>
      <c r="B482" s="405"/>
      <c r="C482" s="405"/>
      <c r="D482" s="405"/>
      <c r="E482" s="405" t="s">
        <v>1049</v>
      </c>
      <c r="F482" s="406">
        <v>0</v>
      </c>
      <c r="G482" s="405"/>
      <c r="H482" s="606"/>
      <c r="I482" s="606" t="s">
        <v>1050</v>
      </c>
      <c r="J482" s="406">
        <v>43.22</v>
      </c>
      <c r="K482"/>
      <c r="L482" s="168"/>
    </row>
    <row r="483" spans="1:12" ht="25.5" customHeight="1" thickTop="1" x14ac:dyDescent="0.3">
      <c r="A483" s="407"/>
      <c r="B483" s="407"/>
      <c r="C483" s="407"/>
      <c r="D483" s="407"/>
      <c r="E483" s="407"/>
      <c r="F483" s="407"/>
      <c r="G483" s="407"/>
      <c r="H483" s="407"/>
      <c r="I483" s="407"/>
      <c r="J483" s="407"/>
      <c r="K483" s="407"/>
      <c r="L483" s="168"/>
    </row>
    <row r="484" spans="1:12" ht="12.75" customHeight="1" x14ac:dyDescent="0.3">
      <c r="A484" s="382" t="s">
        <v>647</v>
      </c>
      <c r="B484" s="312" t="s">
        <v>413</v>
      </c>
      <c r="C484" s="382" t="s">
        <v>414</v>
      </c>
      <c r="D484" s="382" t="s">
        <v>415</v>
      </c>
      <c r="E484" s="586" t="s">
        <v>1029</v>
      </c>
      <c r="F484" s="586"/>
      <c r="G484" s="383" t="s">
        <v>416</v>
      </c>
      <c r="H484" s="312" t="s">
        <v>1030</v>
      </c>
      <c r="I484" s="312" t="s">
        <v>3016</v>
      </c>
      <c r="J484" s="312" t="s">
        <v>1031</v>
      </c>
      <c r="K484" s="312" t="s">
        <v>1032</v>
      </c>
      <c r="L484" s="168"/>
    </row>
    <row r="485" spans="1:12" ht="26.4" x14ac:dyDescent="0.3">
      <c r="A485" s="313" t="s">
        <v>1033</v>
      </c>
      <c r="B485" s="315" t="s">
        <v>3793</v>
      </c>
      <c r="C485" s="313" t="s">
        <v>395</v>
      </c>
      <c r="D485" s="313" t="s">
        <v>5914</v>
      </c>
      <c r="E485" s="603" t="s">
        <v>7781</v>
      </c>
      <c r="F485" s="603"/>
      <c r="G485" s="314" t="s">
        <v>713</v>
      </c>
      <c r="H485" s="399">
        <v>1</v>
      </c>
      <c r="I485" s="316"/>
      <c r="J485" s="316">
        <v>975.14</v>
      </c>
      <c r="K485" s="316">
        <v>975.14</v>
      </c>
      <c r="L485" s="168"/>
    </row>
    <row r="486" spans="1:12" ht="26.4" x14ac:dyDescent="0.3">
      <c r="A486" s="408" t="s">
        <v>1034</v>
      </c>
      <c r="B486" s="409" t="s">
        <v>1302</v>
      </c>
      <c r="C486" s="408" t="s">
        <v>395</v>
      </c>
      <c r="D486" s="408" t="s">
        <v>144</v>
      </c>
      <c r="E486" s="604" t="s">
        <v>7768</v>
      </c>
      <c r="F486" s="604"/>
      <c r="G486" s="410" t="s">
        <v>6</v>
      </c>
      <c r="H486" s="412">
        <v>6.7809999999999997</v>
      </c>
      <c r="I486" s="412">
        <v>0</v>
      </c>
      <c r="J486" s="411">
        <v>42.06</v>
      </c>
      <c r="K486" s="411">
        <v>285.20886000000002</v>
      </c>
      <c r="L486" s="166"/>
    </row>
    <row r="487" spans="1:12" ht="14.25" customHeight="1" x14ac:dyDescent="0.3">
      <c r="A487" s="408" t="s">
        <v>1034</v>
      </c>
      <c r="B487" s="409" t="s">
        <v>1290</v>
      </c>
      <c r="C487" s="408" t="s">
        <v>395</v>
      </c>
      <c r="D487" s="408" t="s">
        <v>147</v>
      </c>
      <c r="E487" s="604" t="s">
        <v>7768</v>
      </c>
      <c r="F487" s="604"/>
      <c r="G487" s="410" t="s">
        <v>6</v>
      </c>
      <c r="H487" s="412">
        <v>2.4529999999999998</v>
      </c>
      <c r="I487" s="412">
        <v>0</v>
      </c>
      <c r="J487" s="411">
        <v>32.82</v>
      </c>
      <c r="K487" s="411">
        <v>80.507459999999995</v>
      </c>
      <c r="L487" s="168"/>
    </row>
    <row r="488" spans="1:12" ht="25.5" customHeight="1" x14ac:dyDescent="0.3">
      <c r="A488" s="408" t="s">
        <v>1034</v>
      </c>
      <c r="B488" s="409" t="s">
        <v>5195</v>
      </c>
      <c r="C488" s="408" t="s">
        <v>395</v>
      </c>
      <c r="D488" s="408" t="s">
        <v>5196</v>
      </c>
      <c r="E488" s="604" t="s">
        <v>7773</v>
      </c>
      <c r="F488" s="604"/>
      <c r="G488" s="410" t="s">
        <v>713</v>
      </c>
      <c r="H488" s="412">
        <v>1.38</v>
      </c>
      <c r="I488" s="412">
        <v>0</v>
      </c>
      <c r="J488" s="411">
        <v>441.61</v>
      </c>
      <c r="K488" s="411">
        <v>609.42179999999996</v>
      </c>
      <c r="L488" s="168"/>
    </row>
    <row r="489" spans="1:12" ht="15" customHeight="1" x14ac:dyDescent="0.3">
      <c r="A489" s="405"/>
      <c r="B489" s="405"/>
      <c r="C489" s="405"/>
      <c r="D489" s="405"/>
      <c r="E489" s="405" t="s">
        <v>1046</v>
      </c>
      <c r="F489" s="406">
        <v>383.38</v>
      </c>
      <c r="G489" s="405" t="s">
        <v>1047</v>
      </c>
      <c r="H489" s="406">
        <v>0</v>
      </c>
      <c r="I489" s="405" t="s">
        <v>1048</v>
      </c>
      <c r="J489" s="406">
        <v>383.38</v>
      </c>
      <c r="K489"/>
      <c r="L489" s="168"/>
    </row>
    <row r="490" spans="1:12" ht="25.5" customHeight="1" thickBot="1" x14ac:dyDescent="0.35">
      <c r="A490" s="405"/>
      <c r="B490" s="405"/>
      <c r="C490" s="405"/>
      <c r="D490" s="405"/>
      <c r="E490" s="405" t="s">
        <v>1049</v>
      </c>
      <c r="F490" s="406">
        <v>0</v>
      </c>
      <c r="G490" s="405"/>
      <c r="H490" s="606"/>
      <c r="I490" s="606" t="s">
        <v>1050</v>
      </c>
      <c r="J490" s="406">
        <v>975.14</v>
      </c>
      <c r="K490"/>
      <c r="L490" s="166"/>
    </row>
    <row r="491" spans="1:12" ht="25.5" customHeight="1" thickTop="1" x14ac:dyDescent="0.3">
      <c r="A491" s="407"/>
      <c r="B491" s="407"/>
      <c r="C491" s="407"/>
      <c r="D491" s="407"/>
      <c r="E491" s="407"/>
      <c r="F491" s="407"/>
      <c r="G491" s="407"/>
      <c r="H491" s="407"/>
      <c r="I491" s="407"/>
      <c r="J491" s="407"/>
      <c r="K491" s="407"/>
      <c r="L491" s="166"/>
    </row>
    <row r="492" spans="1:12" ht="25.5" customHeight="1" x14ac:dyDescent="0.3">
      <c r="A492" s="382" t="s">
        <v>648</v>
      </c>
      <c r="B492" s="312" t="s">
        <v>413</v>
      </c>
      <c r="C492" s="382" t="s">
        <v>414</v>
      </c>
      <c r="D492" s="382" t="s">
        <v>415</v>
      </c>
      <c r="E492" s="586" t="s">
        <v>1029</v>
      </c>
      <c r="F492" s="586"/>
      <c r="G492" s="383" t="s">
        <v>416</v>
      </c>
      <c r="H492" s="312" t="s">
        <v>1030</v>
      </c>
      <c r="I492" s="312" t="s">
        <v>3016</v>
      </c>
      <c r="J492" s="312" t="s">
        <v>1031</v>
      </c>
      <c r="K492" s="312" t="s">
        <v>1032</v>
      </c>
      <c r="L492" s="168"/>
    </row>
    <row r="493" spans="1:12" ht="25.5" customHeight="1" x14ac:dyDescent="0.3">
      <c r="A493" s="313" t="s">
        <v>1033</v>
      </c>
      <c r="B493" s="315" t="s">
        <v>1016</v>
      </c>
      <c r="C493" s="313" t="s">
        <v>420</v>
      </c>
      <c r="D493" s="313" t="s">
        <v>765</v>
      </c>
      <c r="E493" s="603" t="s">
        <v>1541</v>
      </c>
      <c r="F493" s="603"/>
      <c r="G493" s="314" t="s">
        <v>675</v>
      </c>
      <c r="H493" s="399">
        <v>1</v>
      </c>
      <c r="I493" s="316"/>
      <c r="J493" s="316">
        <v>102.22</v>
      </c>
      <c r="K493" s="316">
        <v>102.22</v>
      </c>
      <c r="L493" s="168"/>
    </row>
    <row r="494" spans="1:12" ht="25.5" customHeight="1" x14ac:dyDescent="0.3">
      <c r="A494" s="408" t="s">
        <v>1034</v>
      </c>
      <c r="B494" s="409" t="s">
        <v>1071</v>
      </c>
      <c r="C494" s="408" t="s">
        <v>420</v>
      </c>
      <c r="D494" s="408" t="s">
        <v>1072</v>
      </c>
      <c r="E494" s="604" t="s">
        <v>1069</v>
      </c>
      <c r="F494" s="604"/>
      <c r="G494" s="410" t="s">
        <v>1070</v>
      </c>
      <c r="H494" s="412">
        <v>0.33</v>
      </c>
      <c r="I494" s="412">
        <v>0</v>
      </c>
      <c r="J494" s="411">
        <v>3.95</v>
      </c>
      <c r="K494" s="411">
        <v>1.3035000000000001</v>
      </c>
      <c r="L494" s="168"/>
    </row>
    <row r="495" spans="1:12" ht="12.75" customHeight="1" x14ac:dyDescent="0.3">
      <c r="A495" s="408" t="s">
        <v>1034</v>
      </c>
      <c r="B495" s="409" t="s">
        <v>1542</v>
      </c>
      <c r="C495" s="408" t="s">
        <v>420</v>
      </c>
      <c r="D495" s="408" t="s">
        <v>1543</v>
      </c>
      <c r="E495" s="604" t="s">
        <v>1069</v>
      </c>
      <c r="F495" s="604"/>
      <c r="G495" s="410" t="s">
        <v>1070</v>
      </c>
      <c r="H495" s="412">
        <v>1.3220000000000001</v>
      </c>
      <c r="I495" s="412">
        <v>0</v>
      </c>
      <c r="J495" s="411">
        <v>3.91</v>
      </c>
      <c r="K495" s="411">
        <v>5.1690199999999997</v>
      </c>
      <c r="L495" s="166"/>
    </row>
    <row r="496" spans="1:12" ht="30" customHeight="1" x14ac:dyDescent="0.3">
      <c r="A496" s="400" t="s">
        <v>1038</v>
      </c>
      <c r="B496" s="401" t="s">
        <v>1544</v>
      </c>
      <c r="C496" s="400" t="s">
        <v>420</v>
      </c>
      <c r="D496" s="400" t="s">
        <v>1545</v>
      </c>
      <c r="E496" s="605" t="s">
        <v>1039</v>
      </c>
      <c r="F496" s="605"/>
      <c r="G496" s="402" t="s">
        <v>437</v>
      </c>
      <c r="H496" s="403">
        <v>1.758</v>
      </c>
      <c r="I496" s="403">
        <v>0</v>
      </c>
      <c r="J496" s="404">
        <v>6.69</v>
      </c>
      <c r="K496" s="404">
        <v>11.76102</v>
      </c>
      <c r="L496" s="166"/>
    </row>
    <row r="497" spans="1:12" ht="30" customHeight="1" x14ac:dyDescent="0.3">
      <c r="A497" s="400" t="s">
        <v>1038</v>
      </c>
      <c r="B497" s="401" t="s">
        <v>1546</v>
      </c>
      <c r="C497" s="400" t="s">
        <v>420</v>
      </c>
      <c r="D497" s="400" t="s">
        <v>1547</v>
      </c>
      <c r="E497" s="605" t="s">
        <v>1039</v>
      </c>
      <c r="F497" s="605"/>
      <c r="G497" s="402" t="s">
        <v>437</v>
      </c>
      <c r="H497" s="403">
        <v>0.19600000000000001</v>
      </c>
      <c r="I497" s="403">
        <v>0</v>
      </c>
      <c r="J497" s="404">
        <v>3.74</v>
      </c>
      <c r="K497" s="404">
        <v>0.73304000000000002</v>
      </c>
      <c r="L497" s="166"/>
    </row>
    <row r="498" spans="1:12" ht="14.25" customHeight="1" x14ac:dyDescent="0.3">
      <c r="A498" s="400" t="s">
        <v>1038</v>
      </c>
      <c r="B498" s="401" t="s">
        <v>6749</v>
      </c>
      <c r="C498" s="400" t="s">
        <v>420</v>
      </c>
      <c r="D498" s="400" t="s">
        <v>6750</v>
      </c>
      <c r="E498" s="605" t="s">
        <v>1053</v>
      </c>
      <c r="F498" s="605"/>
      <c r="G498" s="402" t="s">
        <v>1070</v>
      </c>
      <c r="H498" s="403">
        <v>1.3220000000000001</v>
      </c>
      <c r="I498" s="403">
        <v>0</v>
      </c>
      <c r="J498" s="404">
        <v>20.45</v>
      </c>
      <c r="K498" s="404">
        <v>27.0349</v>
      </c>
      <c r="L498" s="166"/>
    </row>
    <row r="499" spans="1:12" ht="25.5" customHeight="1" x14ac:dyDescent="0.3">
      <c r="A499" s="400" t="s">
        <v>1038</v>
      </c>
      <c r="B499" s="401" t="s">
        <v>7674</v>
      </c>
      <c r="C499" s="400" t="s">
        <v>420</v>
      </c>
      <c r="D499" s="400" t="s">
        <v>7675</v>
      </c>
      <c r="E499" s="605" t="s">
        <v>1039</v>
      </c>
      <c r="F499" s="605"/>
      <c r="G499" s="402" t="s">
        <v>1249</v>
      </c>
      <c r="H499" s="403">
        <v>0.02</v>
      </c>
      <c r="I499" s="403">
        <v>0</v>
      </c>
      <c r="J499" s="404">
        <v>8.98</v>
      </c>
      <c r="K499" s="404">
        <v>0.17960000000000001</v>
      </c>
      <c r="L499" s="166"/>
    </row>
    <row r="500" spans="1:12" ht="15" customHeight="1" x14ac:dyDescent="0.3">
      <c r="A500" s="400" t="s">
        <v>1038</v>
      </c>
      <c r="B500" s="401" t="s">
        <v>7414</v>
      </c>
      <c r="C500" s="400" t="s">
        <v>420</v>
      </c>
      <c r="D500" s="400" t="s">
        <v>7415</v>
      </c>
      <c r="E500" s="605" t="s">
        <v>1039</v>
      </c>
      <c r="F500" s="605"/>
      <c r="G500" s="402" t="s">
        <v>1246</v>
      </c>
      <c r="H500" s="403">
        <v>0.125</v>
      </c>
      <c r="I500" s="403">
        <v>0</v>
      </c>
      <c r="J500" s="404">
        <v>15.77</v>
      </c>
      <c r="K500" s="404">
        <v>1.9712499999999999</v>
      </c>
      <c r="L500" s="166"/>
    </row>
    <row r="501" spans="1:12" ht="25.5" customHeight="1" x14ac:dyDescent="0.3">
      <c r="A501" s="400" t="s">
        <v>1038</v>
      </c>
      <c r="B501" s="401" t="s">
        <v>6251</v>
      </c>
      <c r="C501" s="400" t="s">
        <v>420</v>
      </c>
      <c r="D501" s="400" t="s">
        <v>6252</v>
      </c>
      <c r="E501" s="605" t="s">
        <v>1053</v>
      </c>
      <c r="F501" s="605"/>
      <c r="G501" s="402" t="s">
        <v>1070</v>
      </c>
      <c r="H501" s="403">
        <v>0.33</v>
      </c>
      <c r="I501" s="403">
        <v>0</v>
      </c>
      <c r="J501" s="404">
        <v>15.59</v>
      </c>
      <c r="K501" s="404">
        <v>5.1447000000000003</v>
      </c>
      <c r="L501" s="166"/>
    </row>
    <row r="502" spans="1:12" ht="25.5" customHeight="1" x14ac:dyDescent="0.3">
      <c r="A502" s="400" t="s">
        <v>1038</v>
      </c>
      <c r="B502" s="401" t="s">
        <v>6585</v>
      </c>
      <c r="C502" s="400" t="s">
        <v>420</v>
      </c>
      <c r="D502" s="400" t="s">
        <v>6586</v>
      </c>
      <c r="E502" s="605" t="s">
        <v>1039</v>
      </c>
      <c r="F502" s="605"/>
      <c r="G502" s="402" t="s">
        <v>437</v>
      </c>
      <c r="H502" s="403">
        <v>3.125</v>
      </c>
      <c r="I502" s="403">
        <v>0</v>
      </c>
      <c r="J502" s="404">
        <v>14.31</v>
      </c>
      <c r="K502" s="404">
        <v>44.71875</v>
      </c>
      <c r="L502" s="168"/>
    </row>
    <row r="503" spans="1:12" ht="26.4" x14ac:dyDescent="0.3">
      <c r="A503" s="400" t="s">
        <v>1038</v>
      </c>
      <c r="B503" s="401" t="s">
        <v>7263</v>
      </c>
      <c r="C503" s="400" t="s">
        <v>420</v>
      </c>
      <c r="D503" s="400" t="s">
        <v>7264</v>
      </c>
      <c r="E503" s="605" t="s">
        <v>1039</v>
      </c>
      <c r="F503" s="605"/>
      <c r="G503" s="402" t="s">
        <v>1246</v>
      </c>
      <c r="H503" s="403">
        <v>0.15</v>
      </c>
      <c r="I503" s="403">
        <v>0</v>
      </c>
      <c r="J503" s="404">
        <v>28</v>
      </c>
      <c r="K503" s="404">
        <v>4.2</v>
      </c>
      <c r="L503" s="167"/>
    </row>
    <row r="504" spans="1:12" ht="15" customHeight="1" x14ac:dyDescent="0.3">
      <c r="A504" s="405"/>
      <c r="B504" s="405"/>
      <c r="C504" s="405"/>
      <c r="D504" s="405"/>
      <c r="E504" s="405" t="s">
        <v>1046</v>
      </c>
      <c r="F504" s="406">
        <v>32.17</v>
      </c>
      <c r="G504" s="405" t="s">
        <v>1047</v>
      </c>
      <c r="H504" s="406">
        <v>0</v>
      </c>
      <c r="I504" s="405" t="s">
        <v>1048</v>
      </c>
      <c r="J504" s="406">
        <v>32.17</v>
      </c>
      <c r="K504"/>
      <c r="L504" s="168"/>
    </row>
    <row r="505" spans="1:12" ht="14.25" customHeight="1" thickBot="1" x14ac:dyDescent="0.35">
      <c r="A505" s="405"/>
      <c r="B505" s="405"/>
      <c r="C505" s="405"/>
      <c r="D505" s="405"/>
      <c r="E505" s="405" t="s">
        <v>1049</v>
      </c>
      <c r="F505" s="406">
        <v>0</v>
      </c>
      <c r="G505" s="405"/>
      <c r="H505" s="606"/>
      <c r="I505" s="606" t="s">
        <v>1050</v>
      </c>
      <c r="J505" s="406">
        <v>102.22</v>
      </c>
      <c r="K505"/>
      <c r="L505" s="168"/>
    </row>
    <row r="506" spans="1:12" ht="14.25" customHeight="1" thickTop="1" x14ac:dyDescent="0.3">
      <c r="A506" s="407"/>
      <c r="B506" s="407"/>
      <c r="C506" s="407"/>
      <c r="D506" s="407"/>
      <c r="E506" s="407"/>
      <c r="F506" s="407"/>
      <c r="G506" s="407"/>
      <c r="H506" s="407"/>
      <c r="I506" s="407"/>
      <c r="J506" s="407"/>
      <c r="K506" s="407"/>
      <c r="L506" s="168"/>
    </row>
    <row r="507" spans="1:12" ht="30" customHeight="1" x14ac:dyDescent="0.3">
      <c r="A507" s="382" t="s">
        <v>649</v>
      </c>
      <c r="B507" s="312" t="s">
        <v>413</v>
      </c>
      <c r="C507" s="382" t="s">
        <v>414</v>
      </c>
      <c r="D507" s="382" t="s">
        <v>415</v>
      </c>
      <c r="E507" s="586" t="s">
        <v>1029</v>
      </c>
      <c r="F507" s="586"/>
      <c r="G507" s="383" t="s">
        <v>416</v>
      </c>
      <c r="H507" s="312" t="s">
        <v>1030</v>
      </c>
      <c r="I507" s="312" t="s">
        <v>3016</v>
      </c>
      <c r="J507" s="312" t="s">
        <v>1031</v>
      </c>
      <c r="K507" s="312" t="s">
        <v>1032</v>
      </c>
      <c r="L507" s="166"/>
    </row>
    <row r="508" spans="1:12" ht="26.4" x14ac:dyDescent="0.3">
      <c r="A508" s="313" t="s">
        <v>1033</v>
      </c>
      <c r="B508" s="315" t="s">
        <v>3794</v>
      </c>
      <c r="C508" s="313" t="s">
        <v>395</v>
      </c>
      <c r="D508" s="313" t="s">
        <v>5915</v>
      </c>
      <c r="E508" s="603" t="s">
        <v>7816</v>
      </c>
      <c r="F508" s="603"/>
      <c r="G508" s="314" t="s">
        <v>3</v>
      </c>
      <c r="H508" s="399">
        <v>1</v>
      </c>
      <c r="I508" s="316"/>
      <c r="J508" s="316">
        <v>22.08</v>
      </c>
      <c r="K508" s="316">
        <v>22.08</v>
      </c>
      <c r="L508" s="166"/>
    </row>
    <row r="509" spans="1:12" ht="25.5" customHeight="1" x14ac:dyDescent="0.3">
      <c r="A509" s="408" t="s">
        <v>1034</v>
      </c>
      <c r="B509" s="409" t="s">
        <v>1315</v>
      </c>
      <c r="C509" s="408" t="s">
        <v>395</v>
      </c>
      <c r="D509" s="408" t="s">
        <v>123</v>
      </c>
      <c r="E509" s="604" t="s">
        <v>7768</v>
      </c>
      <c r="F509" s="604"/>
      <c r="G509" s="410" t="s">
        <v>6</v>
      </c>
      <c r="H509" s="412">
        <v>7.4999999999999997E-2</v>
      </c>
      <c r="I509" s="412">
        <v>0</v>
      </c>
      <c r="J509" s="411">
        <v>33.79</v>
      </c>
      <c r="K509" s="411">
        <v>2.5342500000000001</v>
      </c>
      <c r="L509" s="168"/>
    </row>
    <row r="510" spans="1:12" ht="25.5" customHeight="1" x14ac:dyDescent="0.3">
      <c r="A510" s="408" t="s">
        <v>1034</v>
      </c>
      <c r="B510" s="409" t="s">
        <v>1301</v>
      </c>
      <c r="C510" s="408" t="s">
        <v>395</v>
      </c>
      <c r="D510" s="408" t="s">
        <v>126</v>
      </c>
      <c r="E510" s="604" t="s">
        <v>7768</v>
      </c>
      <c r="F510" s="604"/>
      <c r="G510" s="410" t="s">
        <v>6</v>
      </c>
      <c r="H510" s="412">
        <v>0.19600000000000001</v>
      </c>
      <c r="I510" s="412">
        <v>0</v>
      </c>
      <c r="J510" s="411">
        <v>40.86</v>
      </c>
      <c r="K510" s="411">
        <v>8.0085599999999992</v>
      </c>
      <c r="L510" s="168"/>
    </row>
    <row r="511" spans="1:12" ht="15" customHeight="1" x14ac:dyDescent="0.3">
      <c r="A511" s="408" t="s">
        <v>1034</v>
      </c>
      <c r="B511" s="409" t="s">
        <v>7823</v>
      </c>
      <c r="C511" s="408" t="s">
        <v>395</v>
      </c>
      <c r="D511" s="408" t="s">
        <v>7824</v>
      </c>
      <c r="E511" s="604" t="s">
        <v>7820</v>
      </c>
      <c r="F511" s="604"/>
      <c r="G511" s="410" t="s">
        <v>3</v>
      </c>
      <c r="H511" s="412">
        <v>1</v>
      </c>
      <c r="I511" s="412">
        <v>0</v>
      </c>
      <c r="J511" s="411">
        <v>10.79</v>
      </c>
      <c r="K511" s="411">
        <v>10.79</v>
      </c>
      <c r="L511" s="168"/>
    </row>
    <row r="512" spans="1:12" ht="25.5" customHeight="1" x14ac:dyDescent="0.3">
      <c r="A512" s="400" t="s">
        <v>1038</v>
      </c>
      <c r="B512" s="401" t="s">
        <v>4915</v>
      </c>
      <c r="C512" s="400" t="s">
        <v>395</v>
      </c>
      <c r="D512" s="400" t="s">
        <v>4916</v>
      </c>
      <c r="E512" s="605" t="s">
        <v>1039</v>
      </c>
      <c r="F512" s="605"/>
      <c r="G512" s="402" t="s">
        <v>4</v>
      </c>
      <c r="H512" s="403">
        <v>0.85599999999999998</v>
      </c>
      <c r="I512" s="403">
        <v>0</v>
      </c>
      <c r="J512" s="404">
        <v>0.22</v>
      </c>
      <c r="K512" s="404">
        <v>0.18831999999999999</v>
      </c>
      <c r="L512" s="168"/>
    </row>
    <row r="513" spans="1:12" ht="25.5" customHeight="1" x14ac:dyDescent="0.3">
      <c r="A513" s="400" t="s">
        <v>1038</v>
      </c>
      <c r="B513" s="401" t="s">
        <v>1548</v>
      </c>
      <c r="C513" s="400" t="s">
        <v>395</v>
      </c>
      <c r="D513" s="400" t="s">
        <v>237</v>
      </c>
      <c r="E513" s="605" t="s">
        <v>1039</v>
      </c>
      <c r="F513" s="605"/>
      <c r="G513" s="402" t="s">
        <v>3</v>
      </c>
      <c r="H513" s="403">
        <v>2.5000000000000001E-2</v>
      </c>
      <c r="I513" s="403">
        <v>0</v>
      </c>
      <c r="J513" s="404">
        <v>22.25</v>
      </c>
      <c r="K513" s="404">
        <v>0.55625000000000002</v>
      </c>
      <c r="L513" s="166"/>
    </row>
    <row r="514" spans="1:12" ht="14.25" customHeight="1" x14ac:dyDescent="0.3">
      <c r="A514" s="405"/>
      <c r="B514" s="405"/>
      <c r="C514" s="405"/>
      <c r="D514" s="405"/>
      <c r="E514" s="405" t="s">
        <v>1046</v>
      </c>
      <c r="F514" s="406">
        <v>8.85</v>
      </c>
      <c r="G514" s="405" t="s">
        <v>1047</v>
      </c>
      <c r="H514" s="406">
        <v>0</v>
      </c>
      <c r="I514" s="405" t="s">
        <v>1048</v>
      </c>
      <c r="J514" s="406">
        <v>8.85</v>
      </c>
      <c r="K514"/>
      <c r="L514" s="168"/>
    </row>
    <row r="515" spans="1:12" ht="15" customHeight="1" thickBot="1" x14ac:dyDescent="0.35">
      <c r="A515" s="405"/>
      <c r="B515" s="405"/>
      <c r="C515" s="405"/>
      <c r="D515" s="405"/>
      <c r="E515" s="405" t="s">
        <v>1049</v>
      </c>
      <c r="F515" s="406">
        <v>0</v>
      </c>
      <c r="G515" s="405"/>
      <c r="H515" s="606"/>
      <c r="I515" s="606" t="s">
        <v>1050</v>
      </c>
      <c r="J515" s="406">
        <v>22.08</v>
      </c>
      <c r="K515"/>
      <c r="L515" s="168"/>
    </row>
    <row r="516" spans="1:12" ht="25.5" customHeight="1" thickTop="1" x14ac:dyDescent="0.3">
      <c r="A516" s="407"/>
      <c r="B516" s="407"/>
      <c r="C516" s="407"/>
      <c r="D516" s="407"/>
      <c r="E516" s="407"/>
      <c r="F516" s="407"/>
      <c r="G516" s="407"/>
      <c r="H516" s="407"/>
      <c r="I516" s="407"/>
      <c r="J516" s="407"/>
      <c r="K516" s="407"/>
      <c r="L516" s="168"/>
    </row>
    <row r="517" spans="1:12" ht="25.5" customHeight="1" x14ac:dyDescent="0.3">
      <c r="A517" s="382" t="s">
        <v>651</v>
      </c>
      <c r="B517" s="312" t="s">
        <v>413</v>
      </c>
      <c r="C517" s="382" t="s">
        <v>414</v>
      </c>
      <c r="D517" s="382" t="s">
        <v>415</v>
      </c>
      <c r="E517" s="586" t="s">
        <v>1029</v>
      </c>
      <c r="F517" s="586"/>
      <c r="G517" s="383" t="s">
        <v>416</v>
      </c>
      <c r="H517" s="312" t="s">
        <v>1030</v>
      </c>
      <c r="I517" s="312" t="s">
        <v>3016</v>
      </c>
      <c r="J517" s="312" t="s">
        <v>1031</v>
      </c>
      <c r="K517" s="312" t="s">
        <v>1032</v>
      </c>
      <c r="L517" s="166"/>
    </row>
    <row r="518" spans="1:12" ht="25.5" customHeight="1" x14ac:dyDescent="0.3">
      <c r="A518" s="313" t="s">
        <v>1033</v>
      </c>
      <c r="B518" s="315" t="s">
        <v>3795</v>
      </c>
      <c r="C518" s="313" t="s">
        <v>395</v>
      </c>
      <c r="D518" s="313" t="s">
        <v>5916</v>
      </c>
      <c r="E518" s="603" t="s">
        <v>7816</v>
      </c>
      <c r="F518" s="603"/>
      <c r="G518" s="314" t="s">
        <v>3</v>
      </c>
      <c r="H518" s="399">
        <v>1</v>
      </c>
      <c r="I518" s="316"/>
      <c r="J518" s="316">
        <v>16.5</v>
      </c>
      <c r="K518" s="316">
        <v>16.5</v>
      </c>
      <c r="L518" s="166"/>
    </row>
    <row r="519" spans="1:12" ht="26.4" x14ac:dyDescent="0.3">
      <c r="A519" s="408" t="s">
        <v>1034</v>
      </c>
      <c r="B519" s="409" t="s">
        <v>1315</v>
      </c>
      <c r="C519" s="408" t="s">
        <v>395</v>
      </c>
      <c r="D519" s="408" t="s">
        <v>123</v>
      </c>
      <c r="E519" s="604" t="s">
        <v>7768</v>
      </c>
      <c r="F519" s="604"/>
      <c r="G519" s="410" t="s">
        <v>6</v>
      </c>
      <c r="H519" s="412">
        <v>4.3999999999999997E-2</v>
      </c>
      <c r="I519" s="412">
        <v>0</v>
      </c>
      <c r="J519" s="411">
        <v>33.79</v>
      </c>
      <c r="K519" s="411">
        <v>1.4867600000000001</v>
      </c>
      <c r="L519" s="168"/>
    </row>
    <row r="520" spans="1:12" ht="15" customHeight="1" x14ac:dyDescent="0.3">
      <c r="A520" s="408" t="s">
        <v>1034</v>
      </c>
      <c r="B520" s="409" t="s">
        <v>1301</v>
      </c>
      <c r="C520" s="408" t="s">
        <v>395</v>
      </c>
      <c r="D520" s="408" t="s">
        <v>126</v>
      </c>
      <c r="E520" s="604" t="s">
        <v>7768</v>
      </c>
      <c r="F520" s="604"/>
      <c r="G520" s="410" t="s">
        <v>6</v>
      </c>
      <c r="H520" s="412">
        <v>0.11600000000000001</v>
      </c>
      <c r="I520" s="412">
        <v>0</v>
      </c>
      <c r="J520" s="411">
        <v>40.86</v>
      </c>
      <c r="K520" s="411">
        <v>4.7397600000000004</v>
      </c>
      <c r="L520" s="168"/>
    </row>
    <row r="521" spans="1:12" ht="25.5" customHeight="1" x14ac:dyDescent="0.3">
      <c r="A521" s="408" t="s">
        <v>1034</v>
      </c>
      <c r="B521" s="409" t="s">
        <v>7825</v>
      </c>
      <c r="C521" s="408" t="s">
        <v>395</v>
      </c>
      <c r="D521" s="408" t="s">
        <v>7826</v>
      </c>
      <c r="E521" s="604" t="s">
        <v>7820</v>
      </c>
      <c r="F521" s="604"/>
      <c r="G521" s="410" t="s">
        <v>3</v>
      </c>
      <c r="H521" s="412">
        <v>1</v>
      </c>
      <c r="I521" s="412">
        <v>0</v>
      </c>
      <c r="J521" s="411">
        <v>9.61</v>
      </c>
      <c r="K521" s="411">
        <v>9.61</v>
      </c>
      <c r="L521" s="168"/>
    </row>
    <row r="522" spans="1:12" ht="26.4" x14ac:dyDescent="0.3">
      <c r="A522" s="400" t="s">
        <v>1038</v>
      </c>
      <c r="B522" s="401" t="s">
        <v>4915</v>
      </c>
      <c r="C522" s="400" t="s">
        <v>395</v>
      </c>
      <c r="D522" s="400" t="s">
        <v>4916</v>
      </c>
      <c r="E522" s="605" t="s">
        <v>1039</v>
      </c>
      <c r="F522" s="605"/>
      <c r="G522" s="402" t="s">
        <v>4</v>
      </c>
      <c r="H522" s="403">
        <v>0.48</v>
      </c>
      <c r="I522" s="403">
        <v>0</v>
      </c>
      <c r="J522" s="404">
        <v>0.22</v>
      </c>
      <c r="K522" s="404">
        <v>0.1056</v>
      </c>
      <c r="L522" s="166"/>
    </row>
    <row r="523" spans="1:12" ht="14.25" customHeight="1" x14ac:dyDescent="0.3">
      <c r="A523" s="400" t="s">
        <v>1038</v>
      </c>
      <c r="B523" s="401" t="s">
        <v>1548</v>
      </c>
      <c r="C523" s="400" t="s">
        <v>395</v>
      </c>
      <c r="D523" s="400" t="s">
        <v>237</v>
      </c>
      <c r="E523" s="605" t="s">
        <v>1039</v>
      </c>
      <c r="F523" s="605"/>
      <c r="G523" s="402" t="s">
        <v>3</v>
      </c>
      <c r="H523" s="403">
        <v>2.5000000000000001E-2</v>
      </c>
      <c r="I523" s="403">
        <v>0</v>
      </c>
      <c r="J523" s="404">
        <v>22.25</v>
      </c>
      <c r="K523" s="404">
        <v>0.55625000000000002</v>
      </c>
      <c r="L523" s="166"/>
    </row>
    <row r="524" spans="1:12" ht="15" customHeight="1" x14ac:dyDescent="0.3">
      <c r="A524" s="405"/>
      <c r="B524" s="405"/>
      <c r="C524" s="405"/>
      <c r="D524" s="405"/>
      <c r="E524" s="405" t="s">
        <v>1046</v>
      </c>
      <c r="F524" s="406">
        <v>4.9000000000000004</v>
      </c>
      <c r="G524" s="405" t="s">
        <v>1047</v>
      </c>
      <c r="H524" s="406">
        <v>0</v>
      </c>
      <c r="I524" s="405" t="s">
        <v>1048</v>
      </c>
      <c r="J524" s="406">
        <v>4.9000000000000004</v>
      </c>
      <c r="K524"/>
      <c r="L524" s="166"/>
    </row>
    <row r="525" spans="1:12" ht="25.5" customHeight="1" thickBot="1" x14ac:dyDescent="0.35">
      <c r="A525" s="405"/>
      <c r="B525" s="405"/>
      <c r="C525" s="405"/>
      <c r="D525" s="405"/>
      <c r="E525" s="405" t="s">
        <v>1049</v>
      </c>
      <c r="F525" s="406">
        <v>0</v>
      </c>
      <c r="G525" s="405"/>
      <c r="H525" s="606"/>
      <c r="I525" s="606" t="s">
        <v>1050</v>
      </c>
      <c r="J525" s="406">
        <v>16.5</v>
      </c>
      <c r="K525"/>
      <c r="L525" s="166"/>
    </row>
    <row r="526" spans="1:12" ht="25.5" customHeight="1" thickTop="1" x14ac:dyDescent="0.3">
      <c r="A526" s="407"/>
      <c r="B526" s="407"/>
      <c r="C526" s="407"/>
      <c r="D526" s="407"/>
      <c r="E526" s="407"/>
      <c r="F526" s="407"/>
      <c r="G526" s="407"/>
      <c r="H526" s="407"/>
      <c r="I526" s="407"/>
      <c r="J526" s="407"/>
      <c r="K526" s="407"/>
      <c r="L526" s="166"/>
    </row>
    <row r="527" spans="1:12" ht="30" customHeight="1" x14ac:dyDescent="0.3">
      <c r="A527" s="382" t="s">
        <v>652</v>
      </c>
      <c r="B527" s="312" t="s">
        <v>413</v>
      </c>
      <c r="C527" s="382" t="s">
        <v>414</v>
      </c>
      <c r="D527" s="382" t="s">
        <v>415</v>
      </c>
      <c r="E527" s="586" t="s">
        <v>1029</v>
      </c>
      <c r="F527" s="586"/>
      <c r="G527" s="383" t="s">
        <v>416</v>
      </c>
      <c r="H527" s="312" t="s">
        <v>1030</v>
      </c>
      <c r="I527" s="312" t="s">
        <v>3016</v>
      </c>
      <c r="J527" s="312" t="s">
        <v>1031</v>
      </c>
      <c r="K527" s="312" t="s">
        <v>1032</v>
      </c>
      <c r="L527" s="166"/>
    </row>
    <row r="528" spans="1:12" ht="26.4" x14ac:dyDescent="0.3">
      <c r="A528" s="313" t="s">
        <v>1033</v>
      </c>
      <c r="B528" s="315" t="s">
        <v>3796</v>
      </c>
      <c r="C528" s="313" t="s">
        <v>395</v>
      </c>
      <c r="D528" s="313" t="s">
        <v>187</v>
      </c>
      <c r="E528" s="603" t="s">
        <v>2277</v>
      </c>
      <c r="F528" s="603"/>
      <c r="G528" s="314" t="s">
        <v>3</v>
      </c>
      <c r="H528" s="399">
        <v>1</v>
      </c>
      <c r="I528" s="316"/>
      <c r="J528" s="316">
        <v>12.44</v>
      </c>
      <c r="K528" s="316">
        <v>12.44</v>
      </c>
      <c r="L528" s="166"/>
    </row>
    <row r="529" spans="1:12" ht="15" customHeight="1" x14ac:dyDescent="0.3">
      <c r="A529" s="408" t="s">
        <v>1034</v>
      </c>
      <c r="B529" s="409" t="s">
        <v>5201</v>
      </c>
      <c r="C529" s="408" t="s">
        <v>395</v>
      </c>
      <c r="D529" s="408" t="s">
        <v>5202</v>
      </c>
      <c r="E529" s="604" t="s">
        <v>2277</v>
      </c>
      <c r="F529" s="604"/>
      <c r="G529" s="410" t="s">
        <v>3</v>
      </c>
      <c r="H529" s="412">
        <v>1</v>
      </c>
      <c r="I529" s="412">
        <v>0</v>
      </c>
      <c r="J529" s="411">
        <v>8.2899999999999991</v>
      </c>
      <c r="K529" s="411">
        <v>8.2899999999999991</v>
      </c>
      <c r="L529" s="168"/>
    </row>
    <row r="530" spans="1:12" ht="38.25" customHeight="1" x14ac:dyDescent="0.3">
      <c r="A530" s="408" t="s">
        <v>1034</v>
      </c>
      <c r="B530" s="409" t="s">
        <v>1315</v>
      </c>
      <c r="C530" s="408" t="s">
        <v>395</v>
      </c>
      <c r="D530" s="408" t="s">
        <v>123</v>
      </c>
      <c r="E530" s="604" t="s">
        <v>7768</v>
      </c>
      <c r="F530" s="604"/>
      <c r="G530" s="410" t="s">
        <v>6</v>
      </c>
      <c r="H530" s="412">
        <v>2.1999999999999999E-2</v>
      </c>
      <c r="I530" s="412">
        <v>0</v>
      </c>
      <c r="J530" s="411">
        <v>33.79</v>
      </c>
      <c r="K530" s="411">
        <v>0.74338000000000004</v>
      </c>
      <c r="L530" s="167"/>
    </row>
    <row r="531" spans="1:12" ht="25.5" customHeight="1" x14ac:dyDescent="0.3">
      <c r="A531" s="408" t="s">
        <v>1034</v>
      </c>
      <c r="B531" s="409" t="s">
        <v>1301</v>
      </c>
      <c r="C531" s="408" t="s">
        <v>395</v>
      </c>
      <c r="D531" s="408" t="s">
        <v>126</v>
      </c>
      <c r="E531" s="604" t="s">
        <v>7768</v>
      </c>
      <c r="F531" s="604"/>
      <c r="G531" s="410" t="s">
        <v>6</v>
      </c>
      <c r="H531" s="412">
        <v>6.8000000000000005E-2</v>
      </c>
      <c r="I531" s="412">
        <v>0</v>
      </c>
      <c r="J531" s="411">
        <v>40.86</v>
      </c>
      <c r="K531" s="411">
        <v>2.7784800000000001</v>
      </c>
      <c r="L531" s="168"/>
    </row>
    <row r="532" spans="1:12" ht="25.5" customHeight="1" x14ac:dyDescent="0.3">
      <c r="A532" s="400" t="s">
        <v>1038</v>
      </c>
      <c r="B532" s="401" t="s">
        <v>1548</v>
      </c>
      <c r="C532" s="400" t="s">
        <v>395</v>
      </c>
      <c r="D532" s="400" t="s">
        <v>237</v>
      </c>
      <c r="E532" s="605" t="s">
        <v>1039</v>
      </c>
      <c r="F532" s="605"/>
      <c r="G532" s="402" t="s">
        <v>3</v>
      </c>
      <c r="H532" s="403">
        <v>2.5000000000000001E-2</v>
      </c>
      <c r="I532" s="403">
        <v>0</v>
      </c>
      <c r="J532" s="404">
        <v>22.25</v>
      </c>
      <c r="K532" s="404">
        <v>0.55625000000000002</v>
      </c>
      <c r="L532" s="168"/>
    </row>
    <row r="533" spans="1:12" ht="26.4" x14ac:dyDescent="0.3">
      <c r="A533" s="400" t="s">
        <v>1038</v>
      </c>
      <c r="B533" s="401" t="s">
        <v>4915</v>
      </c>
      <c r="C533" s="400" t="s">
        <v>395</v>
      </c>
      <c r="D533" s="400" t="s">
        <v>4916</v>
      </c>
      <c r="E533" s="605" t="s">
        <v>1039</v>
      </c>
      <c r="F533" s="605"/>
      <c r="G533" s="402" t="s">
        <v>4</v>
      </c>
      <c r="H533" s="403">
        <v>0.30599999999999999</v>
      </c>
      <c r="I533" s="403">
        <v>0</v>
      </c>
      <c r="J533" s="404">
        <v>0.22</v>
      </c>
      <c r="K533" s="404">
        <v>6.7320000000000005E-2</v>
      </c>
      <c r="L533" s="168"/>
    </row>
    <row r="534" spans="1:12" ht="15" x14ac:dyDescent="0.3">
      <c r="A534" s="405"/>
      <c r="B534" s="405"/>
      <c r="C534" s="405"/>
      <c r="D534" s="405"/>
      <c r="E534" s="405" t="s">
        <v>1046</v>
      </c>
      <c r="F534" s="406">
        <v>2.83</v>
      </c>
      <c r="G534" s="405" t="s">
        <v>1047</v>
      </c>
      <c r="H534" s="406">
        <v>0</v>
      </c>
      <c r="I534" s="405" t="s">
        <v>1048</v>
      </c>
      <c r="J534" s="406">
        <v>2.83</v>
      </c>
      <c r="K534"/>
      <c r="L534" s="166"/>
    </row>
    <row r="535" spans="1:12" ht="30" customHeight="1" thickBot="1" x14ac:dyDescent="0.35">
      <c r="A535" s="405"/>
      <c r="B535" s="405"/>
      <c r="C535" s="405"/>
      <c r="D535" s="405"/>
      <c r="E535" s="405" t="s">
        <v>1049</v>
      </c>
      <c r="F535" s="406">
        <v>0</v>
      </c>
      <c r="G535" s="405"/>
      <c r="H535" s="606"/>
      <c r="I535" s="606" t="s">
        <v>1050</v>
      </c>
      <c r="J535" s="406">
        <v>12.44</v>
      </c>
      <c r="K535"/>
      <c r="L535" s="166"/>
    </row>
    <row r="536" spans="1:12" ht="30" customHeight="1" thickTop="1" x14ac:dyDescent="0.3">
      <c r="A536" s="407"/>
      <c r="B536" s="407"/>
      <c r="C536" s="407"/>
      <c r="D536" s="407"/>
      <c r="E536" s="407"/>
      <c r="F536" s="407"/>
      <c r="G536" s="407"/>
      <c r="H536" s="407"/>
      <c r="I536" s="407"/>
      <c r="J536" s="407"/>
      <c r="K536" s="407"/>
      <c r="L536" s="168"/>
    </row>
    <row r="537" spans="1:12" ht="45" customHeight="1" x14ac:dyDescent="0.3">
      <c r="A537" s="382" t="s">
        <v>654</v>
      </c>
      <c r="B537" s="312" t="s">
        <v>413</v>
      </c>
      <c r="C537" s="382" t="s">
        <v>414</v>
      </c>
      <c r="D537" s="382" t="s">
        <v>415</v>
      </c>
      <c r="E537" s="586" t="s">
        <v>1029</v>
      </c>
      <c r="F537" s="586"/>
      <c r="G537" s="383" t="s">
        <v>416</v>
      </c>
      <c r="H537" s="312" t="s">
        <v>1030</v>
      </c>
      <c r="I537" s="312" t="s">
        <v>3016</v>
      </c>
      <c r="J537" s="312" t="s">
        <v>1031</v>
      </c>
      <c r="K537" s="312" t="s">
        <v>1032</v>
      </c>
      <c r="L537" s="168"/>
    </row>
    <row r="538" spans="1:12" ht="15" customHeight="1" x14ac:dyDescent="0.3">
      <c r="A538" s="313" t="s">
        <v>1033</v>
      </c>
      <c r="B538" s="315" t="s">
        <v>3797</v>
      </c>
      <c r="C538" s="313" t="s">
        <v>395</v>
      </c>
      <c r="D538" s="313" t="s">
        <v>189</v>
      </c>
      <c r="E538" s="603" t="s">
        <v>2277</v>
      </c>
      <c r="F538" s="603"/>
      <c r="G538" s="314" t="s">
        <v>3</v>
      </c>
      <c r="H538" s="399">
        <v>1</v>
      </c>
      <c r="I538" s="316"/>
      <c r="J538" s="316">
        <v>12</v>
      </c>
      <c r="K538" s="316">
        <v>12</v>
      </c>
      <c r="L538" s="168"/>
    </row>
    <row r="539" spans="1:12" ht="14.25" customHeight="1" x14ac:dyDescent="0.3">
      <c r="A539" s="408" t="s">
        <v>1034</v>
      </c>
      <c r="B539" s="409" t="s">
        <v>5203</v>
      </c>
      <c r="C539" s="408" t="s">
        <v>395</v>
      </c>
      <c r="D539" s="408" t="s">
        <v>5204</v>
      </c>
      <c r="E539" s="604" t="s">
        <v>2277</v>
      </c>
      <c r="F539" s="604"/>
      <c r="G539" s="410" t="s">
        <v>3</v>
      </c>
      <c r="H539" s="412">
        <v>1</v>
      </c>
      <c r="I539" s="412">
        <v>0</v>
      </c>
      <c r="J539" s="411">
        <v>9.52</v>
      </c>
      <c r="K539" s="411">
        <v>9.52</v>
      </c>
      <c r="L539" s="168"/>
    </row>
    <row r="540" spans="1:12" ht="26.4" x14ac:dyDescent="0.3">
      <c r="A540" s="408" t="s">
        <v>1034</v>
      </c>
      <c r="B540" s="409" t="s">
        <v>1315</v>
      </c>
      <c r="C540" s="408" t="s">
        <v>395</v>
      </c>
      <c r="D540" s="408" t="s">
        <v>123</v>
      </c>
      <c r="E540" s="604" t="s">
        <v>7768</v>
      </c>
      <c r="F540" s="604"/>
      <c r="G540" s="410" t="s">
        <v>6</v>
      </c>
      <c r="H540" s="412">
        <v>1.2E-2</v>
      </c>
      <c r="I540" s="412">
        <v>0</v>
      </c>
      <c r="J540" s="411">
        <v>33.79</v>
      </c>
      <c r="K540" s="411">
        <v>0.40548000000000001</v>
      </c>
      <c r="L540" s="166"/>
    </row>
    <row r="541" spans="1:12" ht="26.4" x14ac:dyDescent="0.3">
      <c r="A541" s="408" t="s">
        <v>1034</v>
      </c>
      <c r="B541" s="409" t="s">
        <v>1301</v>
      </c>
      <c r="C541" s="408" t="s">
        <v>395</v>
      </c>
      <c r="D541" s="408" t="s">
        <v>126</v>
      </c>
      <c r="E541" s="604" t="s">
        <v>7768</v>
      </c>
      <c r="F541" s="604"/>
      <c r="G541" s="410" t="s">
        <v>6</v>
      </c>
      <c r="H541" s="412">
        <v>3.6499999999999998E-2</v>
      </c>
      <c r="I541" s="412">
        <v>0</v>
      </c>
      <c r="J541" s="411">
        <v>40.86</v>
      </c>
      <c r="K541" s="411">
        <v>1.49139</v>
      </c>
      <c r="L541" s="168"/>
    </row>
    <row r="542" spans="1:12" ht="15" customHeight="1" x14ac:dyDescent="0.3">
      <c r="A542" s="400" t="s">
        <v>1038</v>
      </c>
      <c r="B542" s="401" t="s">
        <v>1548</v>
      </c>
      <c r="C542" s="400" t="s">
        <v>395</v>
      </c>
      <c r="D542" s="400" t="s">
        <v>237</v>
      </c>
      <c r="E542" s="605" t="s">
        <v>1039</v>
      </c>
      <c r="F542" s="605"/>
      <c r="G542" s="402" t="s">
        <v>3</v>
      </c>
      <c r="H542" s="403">
        <v>2.5000000000000001E-2</v>
      </c>
      <c r="I542" s="403">
        <v>0</v>
      </c>
      <c r="J542" s="404">
        <v>22.25</v>
      </c>
      <c r="K542" s="404">
        <v>0.55625000000000002</v>
      </c>
      <c r="L542" s="168"/>
    </row>
    <row r="543" spans="1:12" ht="25.5" customHeight="1" x14ac:dyDescent="0.3">
      <c r="A543" s="400" t="s">
        <v>1038</v>
      </c>
      <c r="B543" s="401" t="s">
        <v>4915</v>
      </c>
      <c r="C543" s="400" t="s">
        <v>395</v>
      </c>
      <c r="D543" s="400" t="s">
        <v>4916</v>
      </c>
      <c r="E543" s="605" t="s">
        <v>1039</v>
      </c>
      <c r="F543" s="605"/>
      <c r="G543" s="402" t="s">
        <v>4</v>
      </c>
      <c r="H543" s="403">
        <v>0.13600000000000001</v>
      </c>
      <c r="I543" s="403">
        <v>0</v>
      </c>
      <c r="J543" s="404">
        <v>0.22</v>
      </c>
      <c r="K543" s="404">
        <v>2.9919999999999999E-2</v>
      </c>
      <c r="L543" s="168"/>
    </row>
    <row r="544" spans="1:12" ht="25.5" customHeight="1" x14ac:dyDescent="0.3">
      <c r="A544" s="405"/>
      <c r="B544" s="405"/>
      <c r="C544" s="405"/>
      <c r="D544" s="405"/>
      <c r="E544" s="405" t="s">
        <v>1046</v>
      </c>
      <c r="F544" s="406">
        <v>1.46</v>
      </c>
      <c r="G544" s="405" t="s">
        <v>1047</v>
      </c>
      <c r="H544" s="406">
        <v>0</v>
      </c>
      <c r="I544" s="405" t="s">
        <v>1048</v>
      </c>
      <c r="J544" s="406">
        <v>1.46</v>
      </c>
      <c r="K544"/>
      <c r="L544" s="166"/>
    </row>
    <row r="545" spans="1:12" ht="25.5" customHeight="1" thickBot="1" x14ac:dyDescent="0.35">
      <c r="A545" s="405"/>
      <c r="B545" s="405"/>
      <c r="C545" s="405"/>
      <c r="D545" s="405"/>
      <c r="E545" s="405" t="s">
        <v>1049</v>
      </c>
      <c r="F545" s="406">
        <v>0</v>
      </c>
      <c r="G545" s="405"/>
      <c r="H545" s="606"/>
      <c r="I545" s="606" t="s">
        <v>1050</v>
      </c>
      <c r="J545" s="406">
        <v>12</v>
      </c>
      <c r="K545"/>
      <c r="L545" s="166"/>
    </row>
    <row r="546" spans="1:12" ht="25.5" customHeight="1" thickTop="1" x14ac:dyDescent="0.3">
      <c r="A546" s="407"/>
      <c r="B546" s="407"/>
      <c r="C546" s="407"/>
      <c r="D546" s="407"/>
      <c r="E546" s="407"/>
      <c r="F546" s="407"/>
      <c r="G546" s="407"/>
      <c r="H546" s="407"/>
      <c r="I546" s="407"/>
      <c r="J546" s="407"/>
      <c r="K546" s="407"/>
      <c r="L546" s="168"/>
    </row>
    <row r="547" spans="1:12" ht="15" x14ac:dyDescent="0.3">
      <c r="A547" s="382" t="s">
        <v>656</v>
      </c>
      <c r="B547" s="312" t="s">
        <v>413</v>
      </c>
      <c r="C547" s="382" t="s">
        <v>414</v>
      </c>
      <c r="D547" s="382" t="s">
        <v>415</v>
      </c>
      <c r="E547" s="586" t="s">
        <v>1029</v>
      </c>
      <c r="F547" s="586"/>
      <c r="G547" s="383" t="s">
        <v>416</v>
      </c>
      <c r="H547" s="312" t="s">
        <v>1030</v>
      </c>
      <c r="I547" s="312" t="s">
        <v>3016</v>
      </c>
      <c r="J547" s="312" t="s">
        <v>1031</v>
      </c>
      <c r="K547" s="312" t="s">
        <v>1032</v>
      </c>
      <c r="L547" s="168"/>
    </row>
    <row r="548" spans="1:12" ht="15" customHeight="1" x14ac:dyDescent="0.3">
      <c r="A548" s="313" t="s">
        <v>1033</v>
      </c>
      <c r="B548" s="315" t="s">
        <v>2114</v>
      </c>
      <c r="C548" s="313" t="s">
        <v>395</v>
      </c>
      <c r="D548" s="313" t="s">
        <v>348</v>
      </c>
      <c r="E548" s="603" t="s">
        <v>7827</v>
      </c>
      <c r="F548" s="603"/>
      <c r="G548" s="314" t="s">
        <v>713</v>
      </c>
      <c r="H548" s="399">
        <v>1</v>
      </c>
      <c r="I548" s="316"/>
      <c r="J548" s="316">
        <v>768.58</v>
      </c>
      <c r="K548" s="316">
        <v>768.58</v>
      </c>
      <c r="L548" s="168"/>
    </row>
    <row r="549" spans="1:12" ht="26.4" x14ac:dyDescent="0.3">
      <c r="A549" s="408" t="s">
        <v>1034</v>
      </c>
      <c r="B549" s="409" t="s">
        <v>1290</v>
      </c>
      <c r="C549" s="408" t="s">
        <v>395</v>
      </c>
      <c r="D549" s="408" t="s">
        <v>147</v>
      </c>
      <c r="E549" s="604" t="s">
        <v>7768</v>
      </c>
      <c r="F549" s="604"/>
      <c r="G549" s="410" t="s">
        <v>6</v>
      </c>
      <c r="H549" s="412">
        <v>2.4224999999999999</v>
      </c>
      <c r="I549" s="412">
        <v>0</v>
      </c>
      <c r="J549" s="411">
        <v>32.82</v>
      </c>
      <c r="K549" s="411">
        <v>79.506450000000001</v>
      </c>
      <c r="L549" s="166"/>
    </row>
    <row r="550" spans="1:12" ht="14.25" customHeight="1" x14ac:dyDescent="0.3">
      <c r="A550" s="408" t="s">
        <v>1034</v>
      </c>
      <c r="B550" s="409" t="s">
        <v>2280</v>
      </c>
      <c r="C550" s="408" t="s">
        <v>395</v>
      </c>
      <c r="D550" s="408" t="s">
        <v>151</v>
      </c>
      <c r="E550" s="604" t="s">
        <v>7768</v>
      </c>
      <c r="F550" s="604"/>
      <c r="G550" s="410" t="s">
        <v>6</v>
      </c>
      <c r="H550" s="412">
        <v>1.5251999999999999</v>
      </c>
      <c r="I550" s="412">
        <v>0</v>
      </c>
      <c r="J550" s="411">
        <v>34.119999999999997</v>
      </c>
      <c r="K550" s="411">
        <v>52.039824000000003</v>
      </c>
      <c r="L550" s="166"/>
    </row>
    <row r="551" spans="1:12" ht="17.399999999999999" customHeight="1" x14ac:dyDescent="0.3">
      <c r="A551" s="408" t="s">
        <v>1034</v>
      </c>
      <c r="B551" s="409" t="s">
        <v>2278</v>
      </c>
      <c r="C551" s="408" t="s">
        <v>395</v>
      </c>
      <c r="D551" s="408" t="s">
        <v>7828</v>
      </c>
      <c r="E551" s="604" t="s">
        <v>7772</v>
      </c>
      <c r="F551" s="604"/>
      <c r="G551" s="410" t="s">
        <v>15</v>
      </c>
      <c r="H551" s="412">
        <v>1.0570999999999999</v>
      </c>
      <c r="I551" s="412">
        <v>0</v>
      </c>
      <c r="J551" s="411">
        <v>2.46</v>
      </c>
      <c r="K551" s="411">
        <v>2.6004659999999999</v>
      </c>
      <c r="L551" s="166"/>
    </row>
    <row r="552" spans="1:12" ht="15" customHeight="1" x14ac:dyDescent="0.3">
      <c r="A552" s="408" t="s">
        <v>1034</v>
      </c>
      <c r="B552" s="409" t="s">
        <v>2279</v>
      </c>
      <c r="C552" s="408" t="s">
        <v>395</v>
      </c>
      <c r="D552" s="408" t="s">
        <v>7829</v>
      </c>
      <c r="E552" s="604" t="s">
        <v>7772</v>
      </c>
      <c r="F552" s="604"/>
      <c r="G552" s="410" t="s">
        <v>19</v>
      </c>
      <c r="H552" s="412">
        <v>0.46800000000000003</v>
      </c>
      <c r="I552" s="412">
        <v>0</v>
      </c>
      <c r="J552" s="411">
        <v>0.46</v>
      </c>
      <c r="K552" s="411">
        <v>0.21528</v>
      </c>
      <c r="L552" s="166"/>
    </row>
    <row r="553" spans="1:12" ht="25.5" customHeight="1" x14ac:dyDescent="0.3">
      <c r="A553" s="400" t="s">
        <v>1038</v>
      </c>
      <c r="B553" s="401" t="s">
        <v>2281</v>
      </c>
      <c r="C553" s="400" t="s">
        <v>395</v>
      </c>
      <c r="D553" s="400" t="s">
        <v>233</v>
      </c>
      <c r="E553" s="605" t="s">
        <v>1039</v>
      </c>
      <c r="F553" s="605"/>
      <c r="G553" s="402" t="s">
        <v>8</v>
      </c>
      <c r="H553" s="403">
        <v>2.0977000000000001</v>
      </c>
      <c r="I553" s="403">
        <v>0</v>
      </c>
      <c r="J553" s="404">
        <v>6.95</v>
      </c>
      <c r="K553" s="404">
        <v>14.579015</v>
      </c>
      <c r="L553" s="166"/>
    </row>
    <row r="554" spans="1:12" ht="25.5" customHeight="1" x14ac:dyDescent="0.3">
      <c r="A554" s="400" t="s">
        <v>1038</v>
      </c>
      <c r="B554" s="401" t="s">
        <v>2282</v>
      </c>
      <c r="C554" s="400" t="s">
        <v>395</v>
      </c>
      <c r="D554" s="400" t="s">
        <v>238</v>
      </c>
      <c r="E554" s="605" t="s">
        <v>1039</v>
      </c>
      <c r="F554" s="605"/>
      <c r="G554" s="402" t="s">
        <v>713</v>
      </c>
      <c r="H554" s="403">
        <v>0.50129999999999997</v>
      </c>
      <c r="I554" s="403">
        <v>0</v>
      </c>
      <c r="J554" s="404">
        <v>106.37</v>
      </c>
      <c r="K554" s="404">
        <v>53.323281000000001</v>
      </c>
      <c r="L554" s="166"/>
    </row>
    <row r="555" spans="1:12" ht="25.5" customHeight="1" x14ac:dyDescent="0.3">
      <c r="A555" s="400" t="s">
        <v>1038</v>
      </c>
      <c r="B555" s="401" t="s">
        <v>1304</v>
      </c>
      <c r="C555" s="400" t="s">
        <v>395</v>
      </c>
      <c r="D555" s="400" t="s">
        <v>251</v>
      </c>
      <c r="E555" s="605" t="s">
        <v>1039</v>
      </c>
      <c r="F555" s="605"/>
      <c r="G555" s="402" t="s">
        <v>3</v>
      </c>
      <c r="H555" s="403">
        <v>668.4461</v>
      </c>
      <c r="I555" s="403">
        <v>0</v>
      </c>
      <c r="J555" s="404">
        <v>0.72</v>
      </c>
      <c r="K555" s="404">
        <v>481.28119199999998</v>
      </c>
      <c r="L555" s="166"/>
    </row>
    <row r="556" spans="1:12" ht="25.5" customHeight="1" x14ac:dyDescent="0.3">
      <c r="A556" s="400" t="s">
        <v>1038</v>
      </c>
      <c r="B556" s="401" t="s">
        <v>2283</v>
      </c>
      <c r="C556" s="400" t="s">
        <v>395</v>
      </c>
      <c r="D556" s="400" t="s">
        <v>270</v>
      </c>
      <c r="E556" s="605" t="s">
        <v>1039</v>
      </c>
      <c r="F556" s="605"/>
      <c r="G556" s="402" t="s">
        <v>713</v>
      </c>
      <c r="H556" s="403">
        <v>0.53480000000000005</v>
      </c>
      <c r="I556" s="403">
        <v>0</v>
      </c>
      <c r="J556" s="404">
        <v>159</v>
      </c>
      <c r="K556" s="404">
        <v>85.033199999999994</v>
      </c>
      <c r="L556" s="168"/>
    </row>
    <row r="557" spans="1:12" ht="15" customHeight="1" x14ac:dyDescent="0.3">
      <c r="A557" s="405"/>
      <c r="B557" s="405"/>
      <c r="C557" s="405"/>
      <c r="D557" s="405"/>
      <c r="E557" s="405" t="s">
        <v>1046</v>
      </c>
      <c r="F557" s="406">
        <v>93.16</v>
      </c>
      <c r="G557" s="405" t="s">
        <v>1047</v>
      </c>
      <c r="H557" s="406">
        <v>0</v>
      </c>
      <c r="I557" s="405" t="s">
        <v>1048</v>
      </c>
      <c r="J557" s="406">
        <v>93.16</v>
      </c>
      <c r="K557"/>
      <c r="L557" s="167"/>
    </row>
    <row r="558" spans="1:12" ht="30" customHeight="1" thickBot="1" x14ac:dyDescent="0.35">
      <c r="A558" s="405"/>
      <c r="B558" s="405"/>
      <c r="C558" s="405"/>
      <c r="D558" s="405"/>
      <c r="E558" s="405" t="s">
        <v>1049</v>
      </c>
      <c r="F558" s="406">
        <v>0</v>
      </c>
      <c r="G558" s="405"/>
      <c r="H558" s="606"/>
      <c r="I558" s="606" t="s">
        <v>1050</v>
      </c>
      <c r="J558" s="406">
        <v>768.58</v>
      </c>
      <c r="K558"/>
      <c r="L558" s="168"/>
    </row>
    <row r="559" spans="1:12" ht="30" customHeight="1" thickTop="1" x14ac:dyDescent="0.3">
      <c r="A559" s="407"/>
      <c r="B559" s="407"/>
      <c r="C559" s="407"/>
      <c r="D559" s="407"/>
      <c r="E559" s="407"/>
      <c r="F559" s="407"/>
      <c r="G559" s="407"/>
      <c r="H559" s="407"/>
      <c r="I559" s="407"/>
      <c r="J559" s="407"/>
      <c r="K559" s="407"/>
      <c r="L559" s="168"/>
    </row>
    <row r="560" spans="1:12" ht="30" customHeight="1" x14ac:dyDescent="0.3">
      <c r="A560" s="382" t="s">
        <v>657</v>
      </c>
      <c r="B560" s="312" t="s">
        <v>413</v>
      </c>
      <c r="C560" s="382" t="s">
        <v>414</v>
      </c>
      <c r="D560" s="382" t="s">
        <v>415</v>
      </c>
      <c r="E560" s="586" t="s">
        <v>1029</v>
      </c>
      <c r="F560" s="586"/>
      <c r="G560" s="383" t="s">
        <v>416</v>
      </c>
      <c r="H560" s="312" t="s">
        <v>1030</v>
      </c>
      <c r="I560" s="312" t="s">
        <v>3016</v>
      </c>
      <c r="J560" s="312" t="s">
        <v>1031</v>
      </c>
      <c r="K560" s="312" t="s">
        <v>1032</v>
      </c>
      <c r="L560" s="168"/>
    </row>
    <row r="561" spans="1:12" ht="15" customHeight="1" x14ac:dyDescent="0.3">
      <c r="A561" s="313" t="s">
        <v>1033</v>
      </c>
      <c r="B561" s="315" t="s">
        <v>2216</v>
      </c>
      <c r="C561" s="313" t="s">
        <v>5902</v>
      </c>
      <c r="D561" s="313" t="s">
        <v>2001</v>
      </c>
      <c r="E561" s="603">
        <v>11.16</v>
      </c>
      <c r="F561" s="603"/>
      <c r="G561" s="314" t="s">
        <v>713</v>
      </c>
      <c r="H561" s="399">
        <v>1</v>
      </c>
      <c r="I561" s="316"/>
      <c r="J561" s="316">
        <v>191.54</v>
      </c>
      <c r="K561" s="316">
        <v>191.54</v>
      </c>
      <c r="L561" s="166"/>
    </row>
    <row r="562" spans="1:12" ht="25.5" customHeight="1" x14ac:dyDescent="0.3">
      <c r="A562" s="400" t="s">
        <v>1038</v>
      </c>
      <c r="B562" s="401" t="s">
        <v>1469</v>
      </c>
      <c r="C562" s="400" t="s">
        <v>5902</v>
      </c>
      <c r="D562" s="400" t="s">
        <v>1470</v>
      </c>
      <c r="E562" s="605" t="s">
        <v>1053</v>
      </c>
      <c r="F562" s="605"/>
      <c r="G562" s="402" t="s">
        <v>6</v>
      </c>
      <c r="H562" s="403">
        <v>2</v>
      </c>
      <c r="I562" s="403">
        <v>0</v>
      </c>
      <c r="J562" s="404">
        <v>27.64</v>
      </c>
      <c r="K562" s="404">
        <v>55.28</v>
      </c>
      <c r="L562" s="166"/>
    </row>
    <row r="563" spans="1:12" ht="25.5" customHeight="1" x14ac:dyDescent="0.3">
      <c r="A563" s="400" t="s">
        <v>1038</v>
      </c>
      <c r="B563" s="401" t="s">
        <v>1467</v>
      </c>
      <c r="C563" s="400" t="s">
        <v>5902</v>
      </c>
      <c r="D563" s="400" t="s">
        <v>1468</v>
      </c>
      <c r="E563" s="605" t="s">
        <v>1053</v>
      </c>
      <c r="F563" s="605"/>
      <c r="G563" s="402" t="s">
        <v>6</v>
      </c>
      <c r="H563" s="403">
        <v>6</v>
      </c>
      <c r="I563" s="403">
        <v>0</v>
      </c>
      <c r="J563" s="404">
        <v>22.71</v>
      </c>
      <c r="K563" s="404">
        <v>136.26</v>
      </c>
      <c r="L563" s="168"/>
    </row>
    <row r="564" spans="1:12" ht="17.399999999999999" customHeight="1" x14ac:dyDescent="0.3">
      <c r="A564" s="405"/>
      <c r="B564" s="405"/>
      <c r="C564" s="405"/>
      <c r="D564" s="405"/>
      <c r="E564" s="405" t="s">
        <v>1046</v>
      </c>
      <c r="F564" s="406">
        <v>191.54</v>
      </c>
      <c r="G564" s="405" t="s">
        <v>1047</v>
      </c>
      <c r="H564" s="406">
        <v>0</v>
      </c>
      <c r="I564" s="405" t="s">
        <v>1048</v>
      </c>
      <c r="J564" s="406">
        <v>191.54</v>
      </c>
      <c r="K564"/>
      <c r="L564" s="168"/>
    </row>
    <row r="565" spans="1:12" ht="25.5" customHeight="1" thickBot="1" x14ac:dyDescent="0.35">
      <c r="A565" s="405"/>
      <c r="B565" s="405"/>
      <c r="C565" s="405"/>
      <c r="D565" s="405"/>
      <c r="E565" s="405" t="s">
        <v>1049</v>
      </c>
      <c r="F565" s="406">
        <v>0</v>
      </c>
      <c r="G565" s="405"/>
      <c r="H565" s="606"/>
      <c r="I565" s="606" t="s">
        <v>1050</v>
      </c>
      <c r="J565" s="406">
        <v>191.54</v>
      </c>
      <c r="K565"/>
      <c r="L565" s="168"/>
    </row>
    <row r="566" spans="1:12" ht="15" customHeight="1" thickTop="1" x14ac:dyDescent="0.3">
      <c r="A566" s="407"/>
      <c r="B566" s="407"/>
      <c r="C566" s="407"/>
      <c r="D566" s="407"/>
      <c r="E566" s="407"/>
      <c r="F566" s="407"/>
      <c r="G566" s="407"/>
      <c r="H566" s="407"/>
      <c r="I566" s="407"/>
      <c r="J566" s="407"/>
      <c r="K566" s="407"/>
      <c r="L566" s="168"/>
    </row>
    <row r="567" spans="1:12" ht="25.5" customHeight="1" x14ac:dyDescent="0.3">
      <c r="A567" s="382" t="s">
        <v>658</v>
      </c>
      <c r="B567" s="312" t="s">
        <v>413</v>
      </c>
      <c r="C567" s="382" t="s">
        <v>414</v>
      </c>
      <c r="D567" s="382" t="s">
        <v>415</v>
      </c>
      <c r="E567" s="586" t="s">
        <v>1029</v>
      </c>
      <c r="F567" s="586"/>
      <c r="G567" s="383" t="s">
        <v>416</v>
      </c>
      <c r="H567" s="312" t="s">
        <v>1030</v>
      </c>
      <c r="I567" s="312" t="s">
        <v>3016</v>
      </c>
      <c r="J567" s="312" t="s">
        <v>1031</v>
      </c>
      <c r="K567" s="312" t="s">
        <v>1032</v>
      </c>
      <c r="L567" s="166"/>
    </row>
    <row r="568" spans="1:12" ht="25.5" customHeight="1" x14ac:dyDescent="0.3">
      <c r="A568" s="313" t="s">
        <v>1033</v>
      </c>
      <c r="B568" s="315" t="s">
        <v>3798</v>
      </c>
      <c r="C568" s="313" t="s">
        <v>395</v>
      </c>
      <c r="D568" s="313" t="s">
        <v>192</v>
      </c>
      <c r="E568" s="603" t="s">
        <v>7830</v>
      </c>
      <c r="F568" s="603"/>
      <c r="G568" s="314" t="s">
        <v>3</v>
      </c>
      <c r="H568" s="399">
        <v>1</v>
      </c>
      <c r="I568" s="316"/>
      <c r="J568" s="316">
        <v>12.1</v>
      </c>
      <c r="K568" s="316">
        <v>12.1</v>
      </c>
      <c r="L568" s="168"/>
    </row>
    <row r="569" spans="1:12" ht="26.4" x14ac:dyDescent="0.3">
      <c r="A569" s="408" t="s">
        <v>1034</v>
      </c>
      <c r="B569" s="409" t="s">
        <v>1290</v>
      </c>
      <c r="C569" s="408" t="s">
        <v>395</v>
      </c>
      <c r="D569" s="408" t="s">
        <v>147</v>
      </c>
      <c r="E569" s="604" t="s">
        <v>7768</v>
      </c>
      <c r="F569" s="604"/>
      <c r="G569" s="410" t="s">
        <v>6</v>
      </c>
      <c r="H569" s="412">
        <v>6.1999999999999998E-3</v>
      </c>
      <c r="I569" s="412">
        <v>0</v>
      </c>
      <c r="J569" s="411">
        <v>32.82</v>
      </c>
      <c r="K569" s="411">
        <v>0.203484</v>
      </c>
      <c r="L569" s="168"/>
    </row>
    <row r="570" spans="1:12" ht="26.4" x14ac:dyDescent="0.3">
      <c r="A570" s="408" t="s">
        <v>1034</v>
      </c>
      <c r="B570" s="409" t="s">
        <v>1554</v>
      </c>
      <c r="C570" s="408" t="s">
        <v>395</v>
      </c>
      <c r="D570" s="408" t="s">
        <v>148</v>
      </c>
      <c r="E570" s="604" t="s">
        <v>7768</v>
      </c>
      <c r="F570" s="604"/>
      <c r="G570" s="410" t="s">
        <v>6</v>
      </c>
      <c r="H570" s="412">
        <v>3.0999999999999999E-3</v>
      </c>
      <c r="I570" s="412">
        <v>0</v>
      </c>
      <c r="J570" s="411">
        <v>50.53</v>
      </c>
      <c r="K570" s="411">
        <v>0.156643</v>
      </c>
      <c r="L570" s="168"/>
    </row>
    <row r="571" spans="1:12" ht="25.5" customHeight="1" x14ac:dyDescent="0.3">
      <c r="A571" s="408" t="s">
        <v>1034</v>
      </c>
      <c r="B571" s="409" t="s">
        <v>5207</v>
      </c>
      <c r="C571" s="408" t="s">
        <v>395</v>
      </c>
      <c r="D571" s="408" t="s">
        <v>5208</v>
      </c>
      <c r="E571" s="604" t="s">
        <v>7772</v>
      </c>
      <c r="F571" s="604"/>
      <c r="G571" s="410" t="s">
        <v>19</v>
      </c>
      <c r="H571" s="412">
        <v>2.3E-3</v>
      </c>
      <c r="I571" s="412">
        <v>0</v>
      </c>
      <c r="J571" s="411">
        <v>121.51</v>
      </c>
      <c r="K571" s="411">
        <v>0.27947300000000003</v>
      </c>
      <c r="L571" s="166"/>
    </row>
    <row r="572" spans="1:12" ht="25.5" customHeight="1" x14ac:dyDescent="0.3">
      <c r="A572" s="408" t="s">
        <v>1034</v>
      </c>
      <c r="B572" s="409" t="s">
        <v>5205</v>
      </c>
      <c r="C572" s="408" t="s">
        <v>395</v>
      </c>
      <c r="D572" s="408" t="s">
        <v>5206</v>
      </c>
      <c r="E572" s="604" t="s">
        <v>7772</v>
      </c>
      <c r="F572" s="604"/>
      <c r="G572" s="410" t="s">
        <v>15</v>
      </c>
      <c r="H572" s="412">
        <v>8.0000000000000004E-4</v>
      </c>
      <c r="I572" s="412">
        <v>0</v>
      </c>
      <c r="J572" s="411">
        <v>259.33</v>
      </c>
      <c r="K572" s="411">
        <v>0.20746400000000001</v>
      </c>
      <c r="L572" s="166"/>
    </row>
    <row r="573" spans="1:12" ht="26.4" x14ac:dyDescent="0.3">
      <c r="A573" s="408" t="s">
        <v>1034</v>
      </c>
      <c r="B573" s="409" t="s">
        <v>1325</v>
      </c>
      <c r="C573" s="408" t="s">
        <v>395</v>
      </c>
      <c r="D573" s="408" t="s">
        <v>155</v>
      </c>
      <c r="E573" s="604" t="s">
        <v>7768</v>
      </c>
      <c r="F573" s="604"/>
      <c r="G573" s="410" t="s">
        <v>6</v>
      </c>
      <c r="H573" s="412">
        <v>5.0000000000000001E-4</v>
      </c>
      <c r="I573" s="412">
        <v>0</v>
      </c>
      <c r="J573" s="411">
        <v>60.36</v>
      </c>
      <c r="K573" s="411">
        <v>3.0179999999999998E-2</v>
      </c>
      <c r="L573" s="168"/>
    </row>
    <row r="574" spans="1:12" ht="26.4" x14ac:dyDescent="0.3">
      <c r="A574" s="408" t="s">
        <v>1034</v>
      </c>
      <c r="B574" s="409" t="s">
        <v>5209</v>
      </c>
      <c r="C574" s="408" t="s">
        <v>395</v>
      </c>
      <c r="D574" s="408" t="s">
        <v>156</v>
      </c>
      <c r="E574" s="604" t="s">
        <v>7768</v>
      </c>
      <c r="F574" s="604"/>
      <c r="G574" s="410" t="s">
        <v>6</v>
      </c>
      <c r="H574" s="412">
        <v>2.0000000000000001E-4</v>
      </c>
      <c r="I574" s="412">
        <v>0</v>
      </c>
      <c r="J574" s="411">
        <v>166.37</v>
      </c>
      <c r="K574" s="411">
        <v>3.3273999999999998E-2</v>
      </c>
      <c r="L574" s="168"/>
    </row>
    <row r="575" spans="1:12" ht="15" customHeight="1" x14ac:dyDescent="0.3">
      <c r="A575" s="400" t="s">
        <v>1038</v>
      </c>
      <c r="B575" s="401" t="s">
        <v>5079</v>
      </c>
      <c r="C575" s="400" t="s">
        <v>395</v>
      </c>
      <c r="D575" s="400" t="s">
        <v>5080</v>
      </c>
      <c r="E575" s="605" t="s">
        <v>1039</v>
      </c>
      <c r="F575" s="605"/>
      <c r="G575" s="402" t="s">
        <v>3</v>
      </c>
      <c r="H575" s="403">
        <v>1.1999999999999999E-3</v>
      </c>
      <c r="I575" s="403">
        <v>0</v>
      </c>
      <c r="J575" s="404">
        <v>41.01</v>
      </c>
      <c r="K575" s="404">
        <v>4.9211999999999999E-2</v>
      </c>
      <c r="L575" s="168"/>
    </row>
    <row r="576" spans="1:12" ht="25.5" customHeight="1" x14ac:dyDescent="0.3">
      <c r="A576" s="400" t="s">
        <v>1038</v>
      </c>
      <c r="B576" s="401" t="s">
        <v>7268</v>
      </c>
      <c r="C576" s="400" t="s">
        <v>395</v>
      </c>
      <c r="D576" s="400" t="s">
        <v>7269</v>
      </c>
      <c r="E576" s="605" t="s">
        <v>1039</v>
      </c>
      <c r="F576" s="605"/>
      <c r="G576" s="402" t="s">
        <v>3</v>
      </c>
      <c r="H576" s="403">
        <v>1.1140000000000001</v>
      </c>
      <c r="I576" s="403">
        <v>0</v>
      </c>
      <c r="J576" s="404">
        <v>10</v>
      </c>
      <c r="K576" s="404">
        <v>11.14</v>
      </c>
      <c r="L576" s="166"/>
    </row>
    <row r="577" spans="1:12" ht="25.5" customHeight="1" x14ac:dyDescent="0.3">
      <c r="A577" s="405"/>
      <c r="B577" s="405"/>
      <c r="C577" s="405"/>
      <c r="D577" s="405"/>
      <c r="E577" s="405" t="s">
        <v>1046</v>
      </c>
      <c r="F577" s="406">
        <v>0.52</v>
      </c>
      <c r="G577" s="405" t="s">
        <v>1047</v>
      </c>
      <c r="H577" s="406">
        <v>0</v>
      </c>
      <c r="I577" s="405" t="s">
        <v>1048</v>
      </c>
      <c r="J577" s="406">
        <v>0.52</v>
      </c>
      <c r="K577"/>
      <c r="L577" s="166"/>
    </row>
    <row r="578" spans="1:12" ht="25.5" customHeight="1" thickBot="1" x14ac:dyDescent="0.35">
      <c r="A578" s="405"/>
      <c r="B578" s="405"/>
      <c r="C578" s="405"/>
      <c r="D578" s="405"/>
      <c r="E578" s="405" t="s">
        <v>1049</v>
      </c>
      <c r="F578" s="406">
        <v>0</v>
      </c>
      <c r="G578" s="405"/>
      <c r="H578" s="606"/>
      <c r="I578" s="606" t="s">
        <v>1050</v>
      </c>
      <c r="J578" s="406">
        <v>12.1</v>
      </c>
      <c r="K578"/>
      <c r="L578" s="166"/>
    </row>
    <row r="579" spans="1:12" ht="15" customHeight="1" thickTop="1" x14ac:dyDescent="0.3">
      <c r="A579" s="407"/>
      <c r="B579" s="407"/>
      <c r="C579" s="407"/>
      <c r="D579" s="407"/>
      <c r="E579" s="407"/>
      <c r="F579" s="407"/>
      <c r="G579" s="407"/>
      <c r="H579" s="407"/>
      <c r="I579" s="407"/>
      <c r="J579" s="407"/>
      <c r="K579" s="407"/>
      <c r="L579" s="166"/>
    </row>
    <row r="580" spans="1:12" ht="25.5" customHeight="1" x14ac:dyDescent="0.3">
      <c r="A580" s="382" t="s">
        <v>659</v>
      </c>
      <c r="B580" s="312" t="s">
        <v>413</v>
      </c>
      <c r="C580" s="382" t="s">
        <v>414</v>
      </c>
      <c r="D580" s="382" t="s">
        <v>415</v>
      </c>
      <c r="E580" s="586" t="s">
        <v>1029</v>
      </c>
      <c r="F580" s="586"/>
      <c r="G580" s="383" t="s">
        <v>416</v>
      </c>
      <c r="H580" s="312" t="s">
        <v>1030</v>
      </c>
      <c r="I580" s="312" t="s">
        <v>3016</v>
      </c>
      <c r="J580" s="312" t="s">
        <v>1031</v>
      </c>
      <c r="K580" s="312" t="s">
        <v>1032</v>
      </c>
      <c r="L580" s="166"/>
    </row>
    <row r="581" spans="1:12" ht="25.5" customHeight="1" x14ac:dyDescent="0.3">
      <c r="A581" s="313" t="s">
        <v>1033</v>
      </c>
      <c r="B581" s="315" t="s">
        <v>9630</v>
      </c>
      <c r="C581" s="313" t="s">
        <v>490</v>
      </c>
      <c r="D581" s="313" t="s">
        <v>8377</v>
      </c>
      <c r="E581" s="603" t="s">
        <v>9631</v>
      </c>
      <c r="F581" s="603"/>
      <c r="G581" s="314" t="s">
        <v>7</v>
      </c>
      <c r="H581" s="399">
        <v>1</v>
      </c>
      <c r="I581" s="316"/>
      <c r="J581" s="316">
        <v>626.25</v>
      </c>
      <c r="K581" s="316">
        <v>626.25</v>
      </c>
      <c r="L581" s="166"/>
    </row>
    <row r="582" spans="1:12" ht="15" x14ac:dyDescent="0.3">
      <c r="A582" s="400" t="s">
        <v>1038</v>
      </c>
      <c r="B582" s="401" t="s">
        <v>1465</v>
      </c>
      <c r="C582" s="400" t="s">
        <v>490</v>
      </c>
      <c r="D582" s="400" t="s">
        <v>1466</v>
      </c>
      <c r="E582" s="605" t="s">
        <v>1053</v>
      </c>
      <c r="F582" s="605"/>
      <c r="G582" s="402" t="s">
        <v>6</v>
      </c>
      <c r="H582" s="403">
        <v>0.4</v>
      </c>
      <c r="I582" s="403">
        <v>0</v>
      </c>
      <c r="J582" s="404">
        <v>22.888200000000001</v>
      </c>
      <c r="K582" s="404">
        <v>9.1552799999999994</v>
      </c>
      <c r="L582" s="166"/>
    </row>
    <row r="583" spans="1:12" ht="14.25" customHeight="1" x14ac:dyDescent="0.3">
      <c r="A583" s="400" t="s">
        <v>1038</v>
      </c>
      <c r="B583" s="401" t="s">
        <v>8897</v>
      </c>
      <c r="C583" s="400" t="s">
        <v>490</v>
      </c>
      <c r="D583" s="400" t="s">
        <v>8898</v>
      </c>
      <c r="E583" s="605" t="s">
        <v>1039</v>
      </c>
      <c r="F583" s="605"/>
      <c r="G583" s="402" t="s">
        <v>7</v>
      </c>
      <c r="H583" s="403">
        <v>1</v>
      </c>
      <c r="I583" s="403">
        <v>0</v>
      </c>
      <c r="J583" s="404">
        <v>456.24</v>
      </c>
      <c r="K583" s="404">
        <v>456.24</v>
      </c>
      <c r="L583" s="168"/>
    </row>
    <row r="584" spans="1:12" ht="15" customHeight="1" x14ac:dyDescent="0.3">
      <c r="A584" s="400" t="s">
        <v>1038</v>
      </c>
      <c r="B584" s="401" t="s">
        <v>9329</v>
      </c>
      <c r="C584" s="400" t="s">
        <v>490</v>
      </c>
      <c r="D584" s="400" t="s">
        <v>9330</v>
      </c>
      <c r="E584" s="605" t="s">
        <v>1039</v>
      </c>
      <c r="F584" s="605"/>
      <c r="G584" s="402" t="s">
        <v>713</v>
      </c>
      <c r="H584" s="403">
        <v>0.27339999999999998</v>
      </c>
      <c r="I584" s="403">
        <v>0</v>
      </c>
      <c r="J584" s="404">
        <v>176.64</v>
      </c>
      <c r="K584" s="404">
        <v>48.293376000000002</v>
      </c>
      <c r="L584" s="167"/>
    </row>
    <row r="585" spans="1:12" ht="15" x14ac:dyDescent="0.3">
      <c r="A585" s="400" t="s">
        <v>1038</v>
      </c>
      <c r="B585" s="401" t="s">
        <v>9193</v>
      </c>
      <c r="C585" s="400" t="s">
        <v>490</v>
      </c>
      <c r="D585" s="400" t="s">
        <v>9194</v>
      </c>
      <c r="E585" s="605" t="s">
        <v>1039</v>
      </c>
      <c r="F585" s="605"/>
      <c r="G585" s="402" t="s">
        <v>3</v>
      </c>
      <c r="H585" s="403">
        <v>168</v>
      </c>
      <c r="I585" s="403">
        <v>0</v>
      </c>
      <c r="J585" s="404">
        <v>0.67</v>
      </c>
      <c r="K585" s="404">
        <v>112.56</v>
      </c>
      <c r="L585" s="168"/>
    </row>
    <row r="586" spans="1:12" ht="15" x14ac:dyDescent="0.3">
      <c r="A586" s="405"/>
      <c r="B586" s="405"/>
      <c r="C586" s="405"/>
      <c r="D586" s="405"/>
      <c r="E586" s="405" t="s">
        <v>1046</v>
      </c>
      <c r="F586" s="406">
        <v>9.16</v>
      </c>
      <c r="G586" s="405" t="s">
        <v>1047</v>
      </c>
      <c r="H586" s="406">
        <v>0</v>
      </c>
      <c r="I586" s="405" t="s">
        <v>1048</v>
      </c>
      <c r="J586" s="406">
        <v>9.16</v>
      </c>
      <c r="K586"/>
      <c r="L586" s="168"/>
    </row>
    <row r="587" spans="1:12" ht="25.5" customHeight="1" thickBot="1" x14ac:dyDescent="0.35">
      <c r="A587" s="405"/>
      <c r="B587" s="405"/>
      <c r="C587" s="405"/>
      <c r="D587" s="405"/>
      <c r="E587" s="405" t="s">
        <v>1049</v>
      </c>
      <c r="F587" s="406">
        <v>0</v>
      </c>
      <c r="G587" s="405"/>
      <c r="H587" s="606"/>
      <c r="I587" s="606" t="s">
        <v>1050</v>
      </c>
      <c r="J587" s="406">
        <v>626.25</v>
      </c>
      <c r="K587"/>
      <c r="L587" s="168"/>
    </row>
    <row r="588" spans="1:12" ht="15" customHeight="1" thickTop="1" x14ac:dyDescent="0.3">
      <c r="A588" s="407"/>
      <c r="B588" s="407"/>
      <c r="C588" s="407"/>
      <c r="D588" s="407"/>
      <c r="E588" s="407"/>
      <c r="F588" s="407"/>
      <c r="G588" s="407"/>
      <c r="H588" s="407"/>
      <c r="I588" s="407"/>
      <c r="J588" s="407"/>
      <c r="K588" s="407"/>
      <c r="L588" s="166"/>
    </row>
    <row r="589" spans="1:12" ht="25.5" customHeight="1" x14ac:dyDescent="0.3">
      <c r="A589" s="382" t="s">
        <v>660</v>
      </c>
      <c r="B589" s="312" t="s">
        <v>413</v>
      </c>
      <c r="C589" s="382" t="s">
        <v>414</v>
      </c>
      <c r="D589" s="382" t="s">
        <v>415</v>
      </c>
      <c r="E589" s="586" t="s">
        <v>1029</v>
      </c>
      <c r="F589" s="586"/>
      <c r="G589" s="383" t="s">
        <v>416</v>
      </c>
      <c r="H589" s="312" t="s">
        <v>1030</v>
      </c>
      <c r="I589" s="312" t="s">
        <v>3016</v>
      </c>
      <c r="J589" s="312" t="s">
        <v>1031</v>
      </c>
      <c r="K589" s="312" t="s">
        <v>1032</v>
      </c>
      <c r="L589" s="166"/>
    </row>
    <row r="590" spans="1:12" ht="25.5" customHeight="1" x14ac:dyDescent="0.3">
      <c r="A590" s="313" t="s">
        <v>1033</v>
      </c>
      <c r="B590" s="315" t="s">
        <v>1019</v>
      </c>
      <c r="C590" s="313" t="s">
        <v>490</v>
      </c>
      <c r="D590" s="313" t="s">
        <v>778</v>
      </c>
      <c r="E590" s="603" t="s">
        <v>7831</v>
      </c>
      <c r="F590" s="603"/>
      <c r="G590" s="314" t="s">
        <v>675</v>
      </c>
      <c r="H590" s="399">
        <v>1</v>
      </c>
      <c r="I590" s="316"/>
      <c r="J590" s="316">
        <v>302.24</v>
      </c>
      <c r="K590" s="316">
        <v>302.24</v>
      </c>
      <c r="L590" s="168"/>
    </row>
    <row r="591" spans="1:12" ht="30" customHeight="1" x14ac:dyDescent="0.3">
      <c r="A591" s="400" t="s">
        <v>1038</v>
      </c>
      <c r="B591" s="401" t="s">
        <v>1563</v>
      </c>
      <c r="C591" s="400" t="s">
        <v>490</v>
      </c>
      <c r="D591" s="400" t="s">
        <v>1564</v>
      </c>
      <c r="E591" s="605" t="s">
        <v>1053</v>
      </c>
      <c r="F591" s="605"/>
      <c r="G591" s="402" t="s">
        <v>6</v>
      </c>
      <c r="H591" s="403">
        <v>0.28999999999999998</v>
      </c>
      <c r="I591" s="403">
        <v>0</v>
      </c>
      <c r="J591" s="404">
        <v>28.482600000000001</v>
      </c>
      <c r="K591" s="404">
        <v>8.2599540000000005</v>
      </c>
      <c r="L591" s="168"/>
    </row>
    <row r="592" spans="1:12" ht="30" customHeight="1" x14ac:dyDescent="0.3">
      <c r="A592" s="400" t="s">
        <v>1038</v>
      </c>
      <c r="B592" s="401" t="s">
        <v>1565</v>
      </c>
      <c r="C592" s="400" t="s">
        <v>490</v>
      </c>
      <c r="D592" s="400" t="s">
        <v>1566</v>
      </c>
      <c r="E592" s="605" t="s">
        <v>1053</v>
      </c>
      <c r="F592" s="605"/>
      <c r="G592" s="402" t="s">
        <v>6</v>
      </c>
      <c r="H592" s="403">
        <v>0.28999999999999998</v>
      </c>
      <c r="I592" s="403">
        <v>0</v>
      </c>
      <c r="J592" s="404">
        <v>22.799399999999999</v>
      </c>
      <c r="K592" s="404">
        <v>6.6118259999999998</v>
      </c>
      <c r="L592" s="168"/>
    </row>
    <row r="593" spans="1:12" ht="15" customHeight="1" x14ac:dyDescent="0.3">
      <c r="A593" s="400" t="s">
        <v>1038</v>
      </c>
      <c r="B593" s="401" t="s">
        <v>1463</v>
      </c>
      <c r="C593" s="400" t="s">
        <v>490</v>
      </c>
      <c r="D593" s="400" t="s">
        <v>1464</v>
      </c>
      <c r="E593" s="605" t="s">
        <v>1053</v>
      </c>
      <c r="F593" s="605"/>
      <c r="G593" s="402" t="s">
        <v>6</v>
      </c>
      <c r="H593" s="403">
        <v>0.56999999999999995</v>
      </c>
      <c r="I593" s="403">
        <v>0</v>
      </c>
      <c r="J593" s="404">
        <v>28.0608</v>
      </c>
      <c r="K593" s="404">
        <v>15.994656000000001</v>
      </c>
      <c r="L593" s="168"/>
    </row>
    <row r="594" spans="1:12" ht="14.25" customHeight="1" x14ac:dyDescent="0.3">
      <c r="A594" s="400" t="s">
        <v>1038</v>
      </c>
      <c r="B594" s="401" t="s">
        <v>1465</v>
      </c>
      <c r="C594" s="400" t="s">
        <v>490</v>
      </c>
      <c r="D594" s="400" t="s">
        <v>1466</v>
      </c>
      <c r="E594" s="605" t="s">
        <v>1053</v>
      </c>
      <c r="F594" s="605"/>
      <c r="G594" s="402" t="s">
        <v>6</v>
      </c>
      <c r="H594" s="403">
        <v>1.23</v>
      </c>
      <c r="I594" s="403">
        <v>0</v>
      </c>
      <c r="J594" s="404">
        <v>22.888200000000001</v>
      </c>
      <c r="K594" s="404">
        <v>28.152486</v>
      </c>
      <c r="L594" s="166"/>
    </row>
    <row r="595" spans="1:12" ht="17.399999999999999" customHeight="1" x14ac:dyDescent="0.3">
      <c r="A595" s="400" t="s">
        <v>1038</v>
      </c>
      <c r="B595" s="401" t="s">
        <v>1567</v>
      </c>
      <c r="C595" s="400" t="s">
        <v>490</v>
      </c>
      <c r="D595" s="400" t="s">
        <v>1568</v>
      </c>
      <c r="E595" s="605" t="s">
        <v>1039</v>
      </c>
      <c r="F595" s="605"/>
      <c r="G595" s="402" t="s">
        <v>713</v>
      </c>
      <c r="H595" s="403">
        <v>7.4200000000000002E-2</v>
      </c>
      <c r="I595" s="403">
        <v>0</v>
      </c>
      <c r="J595" s="404">
        <v>499.18</v>
      </c>
      <c r="K595" s="404">
        <v>37.039155999999998</v>
      </c>
      <c r="L595" s="168"/>
    </row>
    <row r="596" spans="1:12" ht="15" x14ac:dyDescent="0.3">
      <c r="A596" s="400" t="s">
        <v>1038</v>
      </c>
      <c r="B596" s="401" t="s">
        <v>1569</v>
      </c>
      <c r="C596" s="400" t="s">
        <v>490</v>
      </c>
      <c r="D596" s="400" t="s">
        <v>1570</v>
      </c>
      <c r="E596" s="605" t="s">
        <v>1039</v>
      </c>
      <c r="F596" s="605"/>
      <c r="G596" s="402" t="s">
        <v>7</v>
      </c>
      <c r="H596" s="403">
        <v>1.1499999999999999</v>
      </c>
      <c r="I596" s="403">
        <v>0</v>
      </c>
      <c r="J596" s="404">
        <v>10.34</v>
      </c>
      <c r="K596" s="404">
        <v>11.891</v>
      </c>
      <c r="L596" s="168"/>
    </row>
    <row r="597" spans="1:12" ht="15" x14ac:dyDescent="0.3">
      <c r="A597" s="400" t="s">
        <v>1038</v>
      </c>
      <c r="B597" s="401" t="s">
        <v>1571</v>
      </c>
      <c r="C597" s="400" t="s">
        <v>490</v>
      </c>
      <c r="D597" s="400" t="s">
        <v>1572</v>
      </c>
      <c r="E597" s="605" t="s">
        <v>1039</v>
      </c>
      <c r="F597" s="605"/>
      <c r="G597" s="402" t="s">
        <v>7</v>
      </c>
      <c r="H597" s="403">
        <v>0.67</v>
      </c>
      <c r="I597" s="403">
        <v>0</v>
      </c>
      <c r="J597" s="404">
        <v>4.8099999999999996</v>
      </c>
      <c r="K597" s="404">
        <v>3.2227000000000001</v>
      </c>
      <c r="L597" s="168"/>
    </row>
    <row r="598" spans="1:12" ht="25.5" customHeight="1" x14ac:dyDescent="0.3">
      <c r="A598" s="400" t="s">
        <v>1038</v>
      </c>
      <c r="B598" s="401" t="s">
        <v>1573</v>
      </c>
      <c r="C598" s="400" t="s">
        <v>490</v>
      </c>
      <c r="D598" s="400" t="s">
        <v>1574</v>
      </c>
      <c r="E598" s="605" t="s">
        <v>1039</v>
      </c>
      <c r="F598" s="605"/>
      <c r="G598" s="402" t="s">
        <v>675</v>
      </c>
      <c r="H598" s="403">
        <v>0.20100000000000001</v>
      </c>
      <c r="I598" s="403">
        <v>0</v>
      </c>
      <c r="J598" s="404">
        <v>55.09</v>
      </c>
      <c r="K598" s="404">
        <v>11.073090000000001</v>
      </c>
      <c r="L598" s="166"/>
    </row>
    <row r="599" spans="1:12" ht="25.5" customHeight="1" x14ac:dyDescent="0.3">
      <c r="A599" s="400" t="s">
        <v>1038</v>
      </c>
      <c r="B599" s="401" t="s">
        <v>1575</v>
      </c>
      <c r="C599" s="400" t="s">
        <v>490</v>
      </c>
      <c r="D599" s="400" t="s">
        <v>1576</v>
      </c>
      <c r="E599" s="605" t="s">
        <v>1039</v>
      </c>
      <c r="F599" s="605"/>
      <c r="G599" s="402" t="s">
        <v>675</v>
      </c>
      <c r="H599" s="403">
        <v>1</v>
      </c>
      <c r="I599" s="403">
        <v>0</v>
      </c>
      <c r="J599" s="404">
        <v>150.53</v>
      </c>
      <c r="K599" s="404">
        <v>150.53</v>
      </c>
      <c r="L599" s="166"/>
    </row>
    <row r="600" spans="1:12" ht="25.5" customHeight="1" x14ac:dyDescent="0.3">
      <c r="A600" s="400" t="s">
        <v>1038</v>
      </c>
      <c r="B600" s="401" t="s">
        <v>1577</v>
      </c>
      <c r="C600" s="400" t="s">
        <v>490</v>
      </c>
      <c r="D600" s="400" t="s">
        <v>1578</v>
      </c>
      <c r="E600" s="605" t="s">
        <v>1039</v>
      </c>
      <c r="F600" s="605"/>
      <c r="G600" s="402" t="s">
        <v>3</v>
      </c>
      <c r="H600" s="403">
        <v>0.03</v>
      </c>
      <c r="I600" s="403">
        <v>0</v>
      </c>
      <c r="J600" s="404">
        <v>10.44</v>
      </c>
      <c r="K600" s="404">
        <v>0.31319999999999998</v>
      </c>
      <c r="L600" s="168"/>
    </row>
    <row r="601" spans="1:12" ht="25.5" customHeight="1" x14ac:dyDescent="0.3">
      <c r="A601" s="400" t="s">
        <v>1038</v>
      </c>
      <c r="B601" s="401" t="s">
        <v>1579</v>
      </c>
      <c r="C601" s="400" t="s">
        <v>490</v>
      </c>
      <c r="D601" s="400" t="s">
        <v>1580</v>
      </c>
      <c r="E601" s="605" t="s">
        <v>1317</v>
      </c>
      <c r="F601" s="605"/>
      <c r="G601" s="402" t="s">
        <v>6</v>
      </c>
      <c r="H601" s="403">
        <v>6.6699999999999995E-2</v>
      </c>
      <c r="I601" s="403">
        <v>0</v>
      </c>
      <c r="J601" s="404">
        <v>437.11</v>
      </c>
      <c r="K601" s="404">
        <v>29.155237</v>
      </c>
      <c r="L601" s="168"/>
    </row>
    <row r="602" spans="1:12" ht="15" customHeight="1" x14ac:dyDescent="0.3">
      <c r="A602" s="405"/>
      <c r="B602" s="405"/>
      <c r="C602" s="405"/>
      <c r="D602" s="405"/>
      <c r="E602" s="405" t="s">
        <v>1046</v>
      </c>
      <c r="F602" s="406">
        <v>59.01</v>
      </c>
      <c r="G602" s="405" t="s">
        <v>1047</v>
      </c>
      <c r="H602" s="406">
        <v>0</v>
      </c>
      <c r="I602" s="405" t="s">
        <v>1048</v>
      </c>
      <c r="J602" s="406">
        <v>59.01</v>
      </c>
      <c r="K602"/>
      <c r="L602" s="168"/>
    </row>
    <row r="603" spans="1:12" ht="17.399999999999999" customHeight="1" thickBot="1" x14ac:dyDescent="0.35">
      <c r="A603" s="405"/>
      <c r="B603" s="405"/>
      <c r="C603" s="405"/>
      <c r="D603" s="405"/>
      <c r="E603" s="405" t="s">
        <v>1049</v>
      </c>
      <c r="F603" s="406">
        <v>0</v>
      </c>
      <c r="G603" s="405"/>
      <c r="H603" s="606"/>
      <c r="I603" s="606" t="s">
        <v>1050</v>
      </c>
      <c r="J603" s="406">
        <v>302.24</v>
      </c>
      <c r="K603"/>
      <c r="L603" s="166"/>
    </row>
    <row r="604" spans="1:12" ht="15.6" thickTop="1" x14ac:dyDescent="0.3">
      <c r="A604" s="407"/>
      <c r="B604" s="407"/>
      <c r="C604" s="407"/>
      <c r="D604" s="407"/>
      <c r="E604" s="407"/>
      <c r="F604" s="407"/>
      <c r="G604" s="407"/>
      <c r="H604" s="407"/>
      <c r="I604" s="407"/>
      <c r="J604" s="407"/>
      <c r="K604" s="407"/>
      <c r="L604" s="166"/>
    </row>
    <row r="605" spans="1:12" ht="14.25" customHeight="1" x14ac:dyDescent="0.3">
      <c r="A605" s="382" t="s">
        <v>662</v>
      </c>
      <c r="B605" s="312" t="s">
        <v>413</v>
      </c>
      <c r="C605" s="382" t="s">
        <v>414</v>
      </c>
      <c r="D605" s="382" t="s">
        <v>415</v>
      </c>
      <c r="E605" s="586" t="s">
        <v>1029</v>
      </c>
      <c r="F605" s="586"/>
      <c r="G605" s="383" t="s">
        <v>416</v>
      </c>
      <c r="H605" s="312" t="s">
        <v>1030</v>
      </c>
      <c r="I605" s="312" t="s">
        <v>3016</v>
      </c>
      <c r="J605" s="312" t="s">
        <v>1031</v>
      </c>
      <c r="K605" s="312" t="s">
        <v>1032</v>
      </c>
      <c r="L605" s="166"/>
    </row>
    <row r="606" spans="1:12" ht="26.4" x14ac:dyDescent="0.3">
      <c r="A606" s="313" t="s">
        <v>1033</v>
      </c>
      <c r="B606" s="315" t="s">
        <v>2215</v>
      </c>
      <c r="C606" s="313" t="s">
        <v>5902</v>
      </c>
      <c r="D606" s="313" t="s">
        <v>1999</v>
      </c>
      <c r="E606" s="603">
        <v>11.16</v>
      </c>
      <c r="F606" s="603"/>
      <c r="G606" s="314" t="s">
        <v>713</v>
      </c>
      <c r="H606" s="399">
        <v>1</v>
      </c>
      <c r="I606" s="316"/>
      <c r="J606" s="316">
        <v>132.30000000000001</v>
      </c>
      <c r="K606" s="316">
        <v>132.30000000000001</v>
      </c>
      <c r="L606" s="166"/>
    </row>
    <row r="607" spans="1:12" ht="30" customHeight="1" x14ac:dyDescent="0.3">
      <c r="A607" s="400" t="s">
        <v>1038</v>
      </c>
      <c r="B607" s="401" t="s">
        <v>1469</v>
      </c>
      <c r="C607" s="400" t="s">
        <v>5902</v>
      </c>
      <c r="D607" s="400" t="s">
        <v>1470</v>
      </c>
      <c r="E607" s="605" t="s">
        <v>1053</v>
      </c>
      <c r="F607" s="605"/>
      <c r="G607" s="402" t="s">
        <v>6</v>
      </c>
      <c r="H607" s="403">
        <v>1.5</v>
      </c>
      <c r="I607" s="403">
        <v>0</v>
      </c>
      <c r="J607" s="404">
        <v>27.64</v>
      </c>
      <c r="K607" s="404">
        <v>41.46</v>
      </c>
      <c r="L607" s="166"/>
    </row>
    <row r="608" spans="1:12" ht="30" customHeight="1" x14ac:dyDescent="0.3">
      <c r="A608" s="400" t="s">
        <v>1038</v>
      </c>
      <c r="B608" s="401" t="s">
        <v>1467</v>
      </c>
      <c r="C608" s="400" t="s">
        <v>5902</v>
      </c>
      <c r="D608" s="400" t="s">
        <v>1468</v>
      </c>
      <c r="E608" s="605" t="s">
        <v>1053</v>
      </c>
      <c r="F608" s="605"/>
      <c r="G608" s="402" t="s">
        <v>6</v>
      </c>
      <c r="H608" s="403">
        <v>4</v>
      </c>
      <c r="I608" s="403">
        <v>0</v>
      </c>
      <c r="J608" s="404">
        <v>22.71</v>
      </c>
      <c r="K608" s="404">
        <v>90.84</v>
      </c>
      <c r="L608" s="166"/>
    </row>
    <row r="609" spans="1:12" ht="12.75" customHeight="1" x14ac:dyDescent="0.3">
      <c r="A609" s="405"/>
      <c r="B609" s="405"/>
      <c r="C609" s="405"/>
      <c r="D609" s="405"/>
      <c r="E609" s="405" t="s">
        <v>1046</v>
      </c>
      <c r="F609" s="406">
        <v>132.30000000000001</v>
      </c>
      <c r="G609" s="405" t="s">
        <v>1047</v>
      </c>
      <c r="H609" s="406">
        <v>0</v>
      </c>
      <c r="I609" s="405" t="s">
        <v>1048</v>
      </c>
      <c r="J609" s="406">
        <v>132.30000000000001</v>
      </c>
      <c r="K609"/>
      <c r="L609" s="166"/>
    </row>
    <row r="610" spans="1:12" ht="30" customHeight="1" thickBot="1" x14ac:dyDescent="0.35">
      <c r="A610" s="405"/>
      <c r="B610" s="405"/>
      <c r="C610" s="405"/>
      <c r="D610" s="405"/>
      <c r="E610" s="405" t="s">
        <v>1049</v>
      </c>
      <c r="F610" s="406">
        <v>0</v>
      </c>
      <c r="G610" s="405"/>
      <c r="H610" s="606"/>
      <c r="I610" s="606" t="s">
        <v>1050</v>
      </c>
      <c r="J610" s="406">
        <v>132.30000000000001</v>
      </c>
      <c r="K610"/>
      <c r="L610" s="168"/>
    </row>
    <row r="611" spans="1:12" ht="15" customHeight="1" thickTop="1" x14ac:dyDescent="0.3">
      <c r="A611" s="407"/>
      <c r="B611" s="407"/>
      <c r="C611" s="407"/>
      <c r="D611" s="407"/>
      <c r="E611" s="407"/>
      <c r="F611" s="407"/>
      <c r="G611" s="407"/>
      <c r="H611" s="407"/>
      <c r="I611" s="407"/>
      <c r="J611" s="407"/>
      <c r="K611" s="407"/>
      <c r="L611" s="167"/>
    </row>
    <row r="612" spans="1:12" ht="14.25" customHeight="1" x14ac:dyDescent="0.3">
      <c r="A612" s="382" t="s">
        <v>663</v>
      </c>
      <c r="B612" s="312" t="s">
        <v>413</v>
      </c>
      <c r="C612" s="382" t="s">
        <v>414</v>
      </c>
      <c r="D612" s="382" t="s">
        <v>415</v>
      </c>
      <c r="E612" s="586" t="s">
        <v>1029</v>
      </c>
      <c r="F612" s="586"/>
      <c r="G612" s="383" t="s">
        <v>416</v>
      </c>
      <c r="H612" s="312" t="s">
        <v>1030</v>
      </c>
      <c r="I612" s="312" t="s">
        <v>3016</v>
      </c>
      <c r="J612" s="312" t="s">
        <v>1031</v>
      </c>
      <c r="K612" s="312" t="s">
        <v>1032</v>
      </c>
      <c r="L612" s="168"/>
    </row>
    <row r="613" spans="1:12" ht="39.6" x14ac:dyDescent="0.3">
      <c r="A613" s="313" t="s">
        <v>1033</v>
      </c>
      <c r="B613" s="315" t="s">
        <v>3799</v>
      </c>
      <c r="C613" s="313" t="s">
        <v>395</v>
      </c>
      <c r="D613" s="313" t="s">
        <v>396</v>
      </c>
      <c r="E613" s="603" t="s">
        <v>1179</v>
      </c>
      <c r="F613" s="603"/>
      <c r="G613" s="314" t="s">
        <v>675</v>
      </c>
      <c r="H613" s="399">
        <v>1</v>
      </c>
      <c r="I613" s="316"/>
      <c r="J613" s="316">
        <v>40.090000000000003</v>
      </c>
      <c r="K613" s="316">
        <v>40.090000000000003</v>
      </c>
      <c r="L613" s="168"/>
    </row>
    <row r="614" spans="1:12" ht="26.4" x14ac:dyDescent="0.3">
      <c r="A614" s="408" t="s">
        <v>1034</v>
      </c>
      <c r="B614" s="409" t="s">
        <v>1302</v>
      </c>
      <c r="C614" s="408" t="s">
        <v>395</v>
      </c>
      <c r="D614" s="408" t="s">
        <v>144</v>
      </c>
      <c r="E614" s="604" t="s">
        <v>7768</v>
      </c>
      <c r="F614" s="604"/>
      <c r="G614" s="410" t="s">
        <v>6</v>
      </c>
      <c r="H614" s="412">
        <v>4.8999999999999998E-3</v>
      </c>
      <c r="I614" s="412">
        <v>0</v>
      </c>
      <c r="J614" s="411">
        <v>42.06</v>
      </c>
      <c r="K614" s="411">
        <v>0.206094</v>
      </c>
      <c r="L614" s="168"/>
    </row>
    <row r="615" spans="1:12" ht="26.4" x14ac:dyDescent="0.3">
      <c r="A615" s="408" t="s">
        <v>1034</v>
      </c>
      <c r="B615" s="409" t="s">
        <v>1290</v>
      </c>
      <c r="C615" s="408" t="s">
        <v>395</v>
      </c>
      <c r="D615" s="408" t="s">
        <v>147</v>
      </c>
      <c r="E615" s="604" t="s">
        <v>7768</v>
      </c>
      <c r="F615" s="604"/>
      <c r="G615" s="410" t="s">
        <v>6</v>
      </c>
      <c r="H615" s="412">
        <v>1.4800000000000001E-2</v>
      </c>
      <c r="I615" s="412">
        <v>0</v>
      </c>
      <c r="J615" s="411">
        <v>32.82</v>
      </c>
      <c r="K615" s="411">
        <v>0.485736</v>
      </c>
      <c r="L615" s="166"/>
    </row>
    <row r="616" spans="1:12" ht="26.4" x14ac:dyDescent="0.3">
      <c r="A616" s="400" t="s">
        <v>1038</v>
      </c>
      <c r="B616" s="401" t="s">
        <v>4550</v>
      </c>
      <c r="C616" s="400" t="s">
        <v>395</v>
      </c>
      <c r="D616" s="400" t="s">
        <v>4551</v>
      </c>
      <c r="E616" s="605" t="s">
        <v>1039</v>
      </c>
      <c r="F616" s="605"/>
      <c r="G616" s="402" t="s">
        <v>675</v>
      </c>
      <c r="H616" s="403">
        <v>1.2104999999999999</v>
      </c>
      <c r="I616" s="403">
        <v>0</v>
      </c>
      <c r="J616" s="404">
        <v>32.549999999999997</v>
      </c>
      <c r="K616" s="404">
        <v>39.401775000000001</v>
      </c>
      <c r="L616" s="166"/>
    </row>
    <row r="617" spans="1:12" ht="38.25" customHeight="1" x14ac:dyDescent="0.3">
      <c r="A617" s="405"/>
      <c r="B617" s="405"/>
      <c r="C617" s="405"/>
      <c r="D617" s="405"/>
      <c r="E617" s="405" t="s">
        <v>1046</v>
      </c>
      <c r="F617" s="406">
        <v>0.49</v>
      </c>
      <c r="G617" s="405" t="s">
        <v>1047</v>
      </c>
      <c r="H617" s="406">
        <v>0</v>
      </c>
      <c r="I617" s="405" t="s">
        <v>1048</v>
      </c>
      <c r="J617" s="406">
        <v>0.49</v>
      </c>
      <c r="K617"/>
      <c r="L617" s="168"/>
    </row>
    <row r="618" spans="1:12" ht="38.25" customHeight="1" thickBot="1" x14ac:dyDescent="0.35">
      <c r="A618" s="405"/>
      <c r="B618" s="405"/>
      <c r="C618" s="405"/>
      <c r="D618" s="405"/>
      <c r="E618" s="405" t="s">
        <v>1049</v>
      </c>
      <c r="F618" s="406">
        <v>0</v>
      </c>
      <c r="G618" s="405"/>
      <c r="H618" s="606"/>
      <c r="I618" s="606" t="s">
        <v>1050</v>
      </c>
      <c r="J618" s="406">
        <v>40.090000000000003</v>
      </c>
      <c r="K618"/>
      <c r="L618" s="168"/>
    </row>
    <row r="619" spans="1:12" ht="25.5" customHeight="1" thickTop="1" x14ac:dyDescent="0.3">
      <c r="A619" s="407"/>
      <c r="B619" s="407"/>
      <c r="C619" s="407"/>
      <c r="D619" s="407"/>
      <c r="E619" s="407"/>
      <c r="F619" s="407"/>
      <c r="G619" s="407"/>
      <c r="H619" s="407"/>
      <c r="I619" s="407"/>
      <c r="J619" s="407"/>
      <c r="K619" s="407"/>
      <c r="L619" s="168"/>
    </row>
    <row r="620" spans="1:12" ht="15" customHeight="1" x14ac:dyDescent="0.3">
      <c r="A620" s="382" t="s">
        <v>664</v>
      </c>
      <c r="B620" s="312" t="s">
        <v>413</v>
      </c>
      <c r="C620" s="382" t="s">
        <v>414</v>
      </c>
      <c r="D620" s="382" t="s">
        <v>415</v>
      </c>
      <c r="E620" s="586" t="s">
        <v>1029</v>
      </c>
      <c r="F620" s="586"/>
      <c r="G620" s="383" t="s">
        <v>416</v>
      </c>
      <c r="H620" s="312" t="s">
        <v>1030</v>
      </c>
      <c r="I620" s="312" t="s">
        <v>3016</v>
      </c>
      <c r="J620" s="312" t="s">
        <v>1031</v>
      </c>
      <c r="K620" s="312" t="s">
        <v>1032</v>
      </c>
      <c r="L620" s="168"/>
    </row>
    <row r="621" spans="1:12" ht="15" x14ac:dyDescent="0.3">
      <c r="A621" s="313" t="s">
        <v>1033</v>
      </c>
      <c r="B621" s="315" t="s">
        <v>3800</v>
      </c>
      <c r="C621" s="313" t="s">
        <v>395</v>
      </c>
      <c r="D621" s="313" t="s">
        <v>346</v>
      </c>
      <c r="E621" s="603" t="s">
        <v>1179</v>
      </c>
      <c r="F621" s="603"/>
      <c r="G621" s="314" t="s">
        <v>713</v>
      </c>
      <c r="H621" s="399">
        <v>1</v>
      </c>
      <c r="I621" s="316"/>
      <c r="J621" s="316">
        <v>169.16</v>
      </c>
      <c r="K621" s="316">
        <v>169.16</v>
      </c>
      <c r="L621" s="166"/>
    </row>
    <row r="622" spans="1:12" ht="25.5" customHeight="1" x14ac:dyDescent="0.3">
      <c r="A622" s="408" t="s">
        <v>1034</v>
      </c>
      <c r="B622" s="409" t="s">
        <v>1302</v>
      </c>
      <c r="C622" s="408" t="s">
        <v>395</v>
      </c>
      <c r="D622" s="408" t="s">
        <v>144</v>
      </c>
      <c r="E622" s="604" t="s">
        <v>7768</v>
      </c>
      <c r="F622" s="604"/>
      <c r="G622" s="410" t="s">
        <v>6</v>
      </c>
      <c r="H622" s="412">
        <v>0.37109999999999999</v>
      </c>
      <c r="I622" s="412">
        <v>0</v>
      </c>
      <c r="J622" s="411">
        <v>42.06</v>
      </c>
      <c r="K622" s="411">
        <v>15.608466</v>
      </c>
      <c r="L622" s="168"/>
    </row>
    <row r="623" spans="1:12" ht="25.5" customHeight="1" x14ac:dyDescent="0.3">
      <c r="A623" s="408" t="s">
        <v>1034</v>
      </c>
      <c r="B623" s="409" t="s">
        <v>1290</v>
      </c>
      <c r="C623" s="408" t="s">
        <v>395</v>
      </c>
      <c r="D623" s="408" t="s">
        <v>147</v>
      </c>
      <c r="E623" s="604" t="s">
        <v>7768</v>
      </c>
      <c r="F623" s="604"/>
      <c r="G623" s="410" t="s">
        <v>6</v>
      </c>
      <c r="H623" s="412">
        <v>1.1133999999999999</v>
      </c>
      <c r="I623" s="412">
        <v>0</v>
      </c>
      <c r="J623" s="411">
        <v>32.82</v>
      </c>
      <c r="K623" s="411">
        <v>36.541787999999997</v>
      </c>
      <c r="L623" s="168"/>
    </row>
    <row r="624" spans="1:12" ht="25.5" customHeight="1" x14ac:dyDescent="0.3">
      <c r="A624" s="400" t="s">
        <v>1038</v>
      </c>
      <c r="B624" s="401" t="s">
        <v>2282</v>
      </c>
      <c r="C624" s="400" t="s">
        <v>395</v>
      </c>
      <c r="D624" s="400" t="s">
        <v>238</v>
      </c>
      <c r="E624" s="605" t="s">
        <v>1039</v>
      </c>
      <c r="F624" s="605"/>
      <c r="G624" s="402" t="s">
        <v>713</v>
      </c>
      <c r="H624" s="403">
        <v>1.1000000000000001</v>
      </c>
      <c r="I624" s="403">
        <v>0</v>
      </c>
      <c r="J624" s="404">
        <v>106.37</v>
      </c>
      <c r="K624" s="404">
        <v>117.00700000000001</v>
      </c>
      <c r="L624" s="168"/>
    </row>
    <row r="625" spans="1:12" ht="15" x14ac:dyDescent="0.3">
      <c r="A625" s="405"/>
      <c r="B625" s="405"/>
      <c r="C625" s="405"/>
      <c r="D625" s="405"/>
      <c r="E625" s="405" t="s">
        <v>1046</v>
      </c>
      <c r="F625" s="406">
        <v>36.99</v>
      </c>
      <c r="G625" s="405" t="s">
        <v>1047</v>
      </c>
      <c r="H625" s="406">
        <v>0</v>
      </c>
      <c r="I625" s="405" t="s">
        <v>1048</v>
      </c>
      <c r="J625" s="406">
        <v>36.99</v>
      </c>
      <c r="K625"/>
      <c r="L625" s="166"/>
    </row>
    <row r="626" spans="1:12" ht="14.25" customHeight="1" thickBot="1" x14ac:dyDescent="0.35">
      <c r="A626" s="405"/>
      <c r="B626" s="405"/>
      <c r="C626" s="405"/>
      <c r="D626" s="405"/>
      <c r="E626" s="405" t="s">
        <v>1049</v>
      </c>
      <c r="F626" s="406">
        <v>0</v>
      </c>
      <c r="G626" s="405"/>
      <c r="H626" s="606"/>
      <c r="I626" s="606" t="s">
        <v>1050</v>
      </c>
      <c r="J626" s="406">
        <v>169.16</v>
      </c>
      <c r="K626"/>
      <c r="L626" s="166"/>
    </row>
    <row r="627" spans="1:12" ht="15.6" thickTop="1" x14ac:dyDescent="0.3">
      <c r="A627" s="407"/>
      <c r="B627" s="407"/>
      <c r="C627" s="407"/>
      <c r="D627" s="407"/>
      <c r="E627" s="407"/>
      <c r="F627" s="407"/>
      <c r="G627" s="407"/>
      <c r="H627" s="407"/>
      <c r="I627" s="407"/>
      <c r="J627" s="407"/>
      <c r="K627" s="407"/>
      <c r="L627" s="168"/>
    </row>
    <row r="628" spans="1:12" ht="14.25" customHeight="1" x14ac:dyDescent="0.3">
      <c r="A628" s="382" t="s">
        <v>666</v>
      </c>
      <c r="B628" s="312" t="s">
        <v>413</v>
      </c>
      <c r="C628" s="382" t="s">
        <v>414</v>
      </c>
      <c r="D628" s="382" t="s">
        <v>415</v>
      </c>
      <c r="E628" s="586" t="s">
        <v>1029</v>
      </c>
      <c r="F628" s="586"/>
      <c r="G628" s="383" t="s">
        <v>416</v>
      </c>
      <c r="H628" s="312" t="s">
        <v>1030</v>
      </c>
      <c r="I628" s="312" t="s">
        <v>3016</v>
      </c>
      <c r="J628" s="312" t="s">
        <v>1031</v>
      </c>
      <c r="K628" s="312" t="s">
        <v>1032</v>
      </c>
      <c r="L628" s="168"/>
    </row>
    <row r="629" spans="1:12" ht="15" customHeight="1" x14ac:dyDescent="0.3">
      <c r="A629" s="313" t="s">
        <v>1033</v>
      </c>
      <c r="B629" s="315" t="s">
        <v>3801</v>
      </c>
      <c r="C629" s="313" t="s">
        <v>395</v>
      </c>
      <c r="D629" s="313" t="s">
        <v>5917</v>
      </c>
      <c r="E629" s="603" t="s">
        <v>7832</v>
      </c>
      <c r="F629" s="603"/>
      <c r="G629" s="314" t="s">
        <v>4</v>
      </c>
      <c r="H629" s="399">
        <v>1</v>
      </c>
      <c r="I629" s="316"/>
      <c r="J629" s="316">
        <v>52.09</v>
      </c>
      <c r="K629" s="316">
        <v>52.09</v>
      </c>
      <c r="L629" s="168"/>
    </row>
    <row r="630" spans="1:12" ht="26.4" x14ac:dyDescent="0.3">
      <c r="A630" s="408" t="s">
        <v>1034</v>
      </c>
      <c r="B630" s="409" t="s">
        <v>1302</v>
      </c>
      <c r="C630" s="408" t="s">
        <v>395</v>
      </c>
      <c r="D630" s="408" t="s">
        <v>144</v>
      </c>
      <c r="E630" s="604" t="s">
        <v>7768</v>
      </c>
      <c r="F630" s="604"/>
      <c r="G630" s="410" t="s">
        <v>6</v>
      </c>
      <c r="H630" s="412">
        <v>0.50690000000000002</v>
      </c>
      <c r="I630" s="412">
        <v>0</v>
      </c>
      <c r="J630" s="411">
        <v>42.06</v>
      </c>
      <c r="K630" s="411">
        <v>21.320214</v>
      </c>
      <c r="L630" s="166"/>
    </row>
    <row r="631" spans="1:12" ht="26.4" x14ac:dyDescent="0.3">
      <c r="A631" s="408" t="s">
        <v>1034</v>
      </c>
      <c r="B631" s="409" t="s">
        <v>1290</v>
      </c>
      <c r="C631" s="408" t="s">
        <v>395</v>
      </c>
      <c r="D631" s="408" t="s">
        <v>147</v>
      </c>
      <c r="E631" s="604" t="s">
        <v>7768</v>
      </c>
      <c r="F631" s="604"/>
      <c r="G631" s="410" t="s">
        <v>6</v>
      </c>
      <c r="H631" s="412">
        <v>0.50690000000000002</v>
      </c>
      <c r="I631" s="412">
        <v>0</v>
      </c>
      <c r="J631" s="411">
        <v>32.82</v>
      </c>
      <c r="K631" s="411">
        <v>16.636458000000001</v>
      </c>
      <c r="L631" s="166"/>
    </row>
    <row r="632" spans="1:12" ht="17.399999999999999" customHeight="1" x14ac:dyDescent="0.3">
      <c r="A632" s="408" t="s">
        <v>1034</v>
      </c>
      <c r="B632" s="409" t="s">
        <v>1554</v>
      </c>
      <c r="C632" s="408" t="s">
        <v>395</v>
      </c>
      <c r="D632" s="408" t="s">
        <v>148</v>
      </c>
      <c r="E632" s="604" t="s">
        <v>7768</v>
      </c>
      <c r="F632" s="604"/>
      <c r="G632" s="410" t="s">
        <v>6</v>
      </c>
      <c r="H632" s="412">
        <v>1.9400000000000001E-2</v>
      </c>
      <c r="I632" s="412">
        <v>0</v>
      </c>
      <c r="J632" s="411">
        <v>50.53</v>
      </c>
      <c r="K632" s="411">
        <v>0.98028199999999999</v>
      </c>
      <c r="L632" s="166"/>
    </row>
    <row r="633" spans="1:12" ht="25.5" customHeight="1" x14ac:dyDescent="0.3">
      <c r="A633" s="408" t="s">
        <v>1034</v>
      </c>
      <c r="B633" s="409" t="s">
        <v>5267</v>
      </c>
      <c r="C633" s="408" t="s">
        <v>395</v>
      </c>
      <c r="D633" s="408" t="s">
        <v>7833</v>
      </c>
      <c r="E633" s="604" t="s">
        <v>7772</v>
      </c>
      <c r="F633" s="604"/>
      <c r="G633" s="410" t="s">
        <v>15</v>
      </c>
      <c r="H633" s="412">
        <v>8.6999999999999994E-3</v>
      </c>
      <c r="I633" s="412">
        <v>0</v>
      </c>
      <c r="J633" s="411">
        <v>115.52</v>
      </c>
      <c r="K633" s="411">
        <v>1.0050239999999999</v>
      </c>
      <c r="L633" s="166"/>
    </row>
    <row r="634" spans="1:12" ht="14.25" customHeight="1" x14ac:dyDescent="0.3">
      <c r="A634" s="408" t="s">
        <v>1034</v>
      </c>
      <c r="B634" s="409" t="s">
        <v>5210</v>
      </c>
      <c r="C634" s="408" t="s">
        <v>395</v>
      </c>
      <c r="D634" s="408" t="s">
        <v>5211</v>
      </c>
      <c r="E634" s="604" t="s">
        <v>7773</v>
      </c>
      <c r="F634" s="604"/>
      <c r="G634" s="410" t="s">
        <v>713</v>
      </c>
      <c r="H634" s="412">
        <v>1.52E-2</v>
      </c>
      <c r="I634" s="412">
        <v>0</v>
      </c>
      <c r="J634" s="411">
        <v>489.57</v>
      </c>
      <c r="K634" s="411">
        <v>7.4414639999999999</v>
      </c>
      <c r="L634" s="166"/>
    </row>
    <row r="635" spans="1:12" ht="25.5" customHeight="1" x14ac:dyDescent="0.3">
      <c r="A635" s="408" t="s">
        <v>1034</v>
      </c>
      <c r="B635" s="409" t="s">
        <v>7834</v>
      </c>
      <c r="C635" s="408" t="s">
        <v>395</v>
      </c>
      <c r="D635" s="408" t="s">
        <v>7835</v>
      </c>
      <c r="E635" s="604" t="s">
        <v>7836</v>
      </c>
      <c r="F635" s="604"/>
      <c r="G635" s="410" t="s">
        <v>7</v>
      </c>
      <c r="H635" s="412">
        <v>2.0500000000000001E-2</v>
      </c>
      <c r="I635" s="412">
        <v>0</v>
      </c>
      <c r="J635" s="411">
        <v>104.19</v>
      </c>
      <c r="K635" s="411">
        <v>2.1358950000000001</v>
      </c>
      <c r="L635" s="166"/>
    </row>
    <row r="636" spans="1:12" ht="15" x14ac:dyDescent="0.3">
      <c r="A636" s="400" t="s">
        <v>1038</v>
      </c>
      <c r="B636" s="401" t="s">
        <v>7590</v>
      </c>
      <c r="C636" s="400" t="s">
        <v>395</v>
      </c>
      <c r="D636" s="400" t="s">
        <v>7591</v>
      </c>
      <c r="E636" s="605" t="s">
        <v>1039</v>
      </c>
      <c r="F636" s="605"/>
      <c r="G636" s="402" t="s">
        <v>3</v>
      </c>
      <c r="H636" s="403">
        <v>0.2041</v>
      </c>
      <c r="I636" s="403">
        <v>0</v>
      </c>
      <c r="J636" s="404">
        <v>8.0299999999999994</v>
      </c>
      <c r="K636" s="404">
        <v>1.6389229999999999</v>
      </c>
      <c r="L636" s="166"/>
    </row>
    <row r="637" spans="1:12" ht="15" x14ac:dyDescent="0.3">
      <c r="A637" s="400" t="s">
        <v>1038</v>
      </c>
      <c r="B637" s="401" t="s">
        <v>7729</v>
      </c>
      <c r="C637" s="400" t="s">
        <v>395</v>
      </c>
      <c r="D637" s="400" t="s">
        <v>7730</v>
      </c>
      <c r="E637" s="605" t="s">
        <v>1039</v>
      </c>
      <c r="F637" s="605"/>
      <c r="G637" s="402" t="s">
        <v>8</v>
      </c>
      <c r="H637" s="403">
        <v>6.7999999999999996E-3</v>
      </c>
      <c r="I637" s="403">
        <v>0</v>
      </c>
      <c r="J637" s="404">
        <v>16.100000000000001</v>
      </c>
      <c r="K637" s="404">
        <v>0.10947999999999999</v>
      </c>
      <c r="L637" s="168"/>
    </row>
    <row r="638" spans="1:12" ht="15" customHeight="1" x14ac:dyDescent="0.3">
      <c r="A638" s="400" t="s">
        <v>1038</v>
      </c>
      <c r="B638" s="401" t="s">
        <v>1612</v>
      </c>
      <c r="C638" s="400" t="s">
        <v>395</v>
      </c>
      <c r="D638" s="400" t="s">
        <v>236</v>
      </c>
      <c r="E638" s="605" t="s">
        <v>1039</v>
      </c>
      <c r="F638" s="605"/>
      <c r="G638" s="402" t="s">
        <v>3</v>
      </c>
      <c r="H638" s="403">
        <v>3.6900000000000002E-2</v>
      </c>
      <c r="I638" s="403">
        <v>0</v>
      </c>
      <c r="J638" s="404">
        <v>22.25</v>
      </c>
      <c r="K638" s="404">
        <v>0.821025</v>
      </c>
      <c r="L638" s="167"/>
    </row>
    <row r="639" spans="1:12" ht="25.5" customHeight="1" x14ac:dyDescent="0.3">
      <c r="A639" s="405"/>
      <c r="B639" s="405"/>
      <c r="C639" s="405"/>
      <c r="D639" s="405"/>
      <c r="E639" s="405" t="s">
        <v>1046</v>
      </c>
      <c r="F639" s="406">
        <v>30.95</v>
      </c>
      <c r="G639" s="405" t="s">
        <v>1047</v>
      </c>
      <c r="H639" s="406">
        <v>0</v>
      </c>
      <c r="I639" s="405" t="s">
        <v>1048</v>
      </c>
      <c r="J639" s="406">
        <v>30.95</v>
      </c>
      <c r="K639"/>
      <c r="L639" s="168"/>
    </row>
    <row r="640" spans="1:12" ht="25.5" customHeight="1" thickBot="1" x14ac:dyDescent="0.35">
      <c r="A640" s="405"/>
      <c r="B640" s="405"/>
      <c r="C640" s="405"/>
      <c r="D640" s="405"/>
      <c r="E640" s="405" t="s">
        <v>1049</v>
      </c>
      <c r="F640" s="406">
        <v>0</v>
      </c>
      <c r="G640" s="405"/>
      <c r="H640" s="606"/>
      <c r="I640" s="606" t="s">
        <v>1050</v>
      </c>
      <c r="J640" s="406">
        <v>52.09</v>
      </c>
      <c r="K640"/>
      <c r="L640" s="168"/>
    </row>
    <row r="641" spans="1:12" ht="25.5" customHeight="1" thickTop="1" x14ac:dyDescent="0.3">
      <c r="A641" s="407"/>
      <c r="B641" s="407"/>
      <c r="C641" s="407"/>
      <c r="D641" s="407"/>
      <c r="E641" s="407"/>
      <c r="F641" s="407"/>
      <c r="G641" s="407"/>
      <c r="H641" s="407"/>
      <c r="I641" s="407"/>
      <c r="J641" s="407"/>
      <c r="K641" s="407"/>
      <c r="L641" s="168"/>
    </row>
    <row r="642" spans="1:12" ht="25.5" customHeight="1" x14ac:dyDescent="0.3">
      <c r="A642" s="382" t="s">
        <v>667</v>
      </c>
      <c r="B642" s="312" t="s">
        <v>413</v>
      </c>
      <c r="C642" s="382" t="s">
        <v>414</v>
      </c>
      <c r="D642" s="382" t="s">
        <v>415</v>
      </c>
      <c r="E642" s="586" t="s">
        <v>1029</v>
      </c>
      <c r="F642" s="586"/>
      <c r="G642" s="383" t="s">
        <v>416</v>
      </c>
      <c r="H642" s="312" t="s">
        <v>1030</v>
      </c>
      <c r="I642" s="312" t="s">
        <v>3016</v>
      </c>
      <c r="J642" s="312" t="s">
        <v>1031</v>
      </c>
      <c r="K642" s="312" t="s">
        <v>1032</v>
      </c>
      <c r="L642" s="168"/>
    </row>
    <row r="643" spans="1:12" ht="25.5" customHeight="1" x14ac:dyDescent="0.3">
      <c r="A643" s="313" t="s">
        <v>1033</v>
      </c>
      <c r="B643" s="315" t="s">
        <v>9632</v>
      </c>
      <c r="C643" s="313" t="s">
        <v>395</v>
      </c>
      <c r="D643" s="313" t="s">
        <v>8379</v>
      </c>
      <c r="E643" s="603" t="s">
        <v>9633</v>
      </c>
      <c r="F643" s="603"/>
      <c r="G643" s="314" t="s">
        <v>4</v>
      </c>
      <c r="H643" s="399">
        <v>1</v>
      </c>
      <c r="I643" s="316"/>
      <c r="J643" s="316">
        <v>104.45</v>
      </c>
      <c r="K643" s="316">
        <v>104.45</v>
      </c>
      <c r="L643" s="166"/>
    </row>
    <row r="644" spans="1:12" ht="25.5" customHeight="1" x14ac:dyDescent="0.3">
      <c r="A644" s="408" t="s">
        <v>1034</v>
      </c>
      <c r="B644" s="409" t="s">
        <v>9634</v>
      </c>
      <c r="C644" s="408" t="s">
        <v>395</v>
      </c>
      <c r="D644" s="408" t="s">
        <v>9635</v>
      </c>
      <c r="E644" s="604" t="s">
        <v>7772</v>
      </c>
      <c r="F644" s="604"/>
      <c r="G644" s="410" t="s">
        <v>15</v>
      </c>
      <c r="H644" s="412">
        <v>0.10440000000000001</v>
      </c>
      <c r="I644" s="412">
        <v>0</v>
      </c>
      <c r="J644" s="411">
        <v>8.17</v>
      </c>
      <c r="K644" s="411">
        <v>0.85294800000000004</v>
      </c>
      <c r="L644" s="166"/>
    </row>
    <row r="645" spans="1:12" ht="25.5" customHeight="1" x14ac:dyDescent="0.3">
      <c r="A645" s="408" t="s">
        <v>1034</v>
      </c>
      <c r="B645" s="409" t="s">
        <v>9636</v>
      </c>
      <c r="C645" s="408" t="s">
        <v>395</v>
      </c>
      <c r="D645" s="408" t="s">
        <v>9637</v>
      </c>
      <c r="E645" s="604" t="s">
        <v>7772</v>
      </c>
      <c r="F645" s="604"/>
      <c r="G645" s="410" t="s">
        <v>19</v>
      </c>
      <c r="H645" s="412">
        <v>0.377</v>
      </c>
      <c r="I645" s="412">
        <v>0</v>
      </c>
      <c r="J645" s="411">
        <v>0</v>
      </c>
      <c r="K645" s="411">
        <v>0</v>
      </c>
      <c r="L645" s="168"/>
    </row>
    <row r="646" spans="1:12" ht="25.5" customHeight="1" x14ac:dyDescent="0.3">
      <c r="A646" s="408" t="s">
        <v>1034</v>
      </c>
      <c r="B646" s="409" t="s">
        <v>1315</v>
      </c>
      <c r="C646" s="408" t="s">
        <v>395</v>
      </c>
      <c r="D646" s="408" t="s">
        <v>123</v>
      </c>
      <c r="E646" s="604" t="s">
        <v>7768</v>
      </c>
      <c r="F646" s="604"/>
      <c r="G646" s="410" t="s">
        <v>6</v>
      </c>
      <c r="H646" s="412">
        <v>1.0529999999999999</v>
      </c>
      <c r="I646" s="412">
        <v>0</v>
      </c>
      <c r="J646" s="411">
        <v>33.79</v>
      </c>
      <c r="K646" s="411">
        <v>35.580869999999997</v>
      </c>
      <c r="L646" s="168"/>
    </row>
    <row r="647" spans="1:12" ht="15" customHeight="1" x14ac:dyDescent="0.3">
      <c r="A647" s="408" t="s">
        <v>1034</v>
      </c>
      <c r="B647" s="409" t="s">
        <v>1301</v>
      </c>
      <c r="C647" s="408" t="s">
        <v>395</v>
      </c>
      <c r="D647" s="408" t="s">
        <v>126</v>
      </c>
      <c r="E647" s="604" t="s">
        <v>7768</v>
      </c>
      <c r="F647" s="604"/>
      <c r="G647" s="410" t="s">
        <v>6</v>
      </c>
      <c r="H647" s="412">
        <v>1.3854</v>
      </c>
      <c r="I647" s="412">
        <v>0</v>
      </c>
      <c r="J647" s="411">
        <v>40.86</v>
      </c>
      <c r="K647" s="411">
        <v>56.607444000000001</v>
      </c>
      <c r="L647" s="168"/>
    </row>
    <row r="648" spans="1:12" ht="14.25" customHeight="1" x14ac:dyDescent="0.3">
      <c r="A648" s="408" t="s">
        <v>1034</v>
      </c>
      <c r="B648" s="409" t="s">
        <v>9638</v>
      </c>
      <c r="C648" s="408" t="s">
        <v>395</v>
      </c>
      <c r="D648" s="408" t="s">
        <v>9639</v>
      </c>
      <c r="E648" s="604" t="s">
        <v>7772</v>
      </c>
      <c r="F648" s="604"/>
      <c r="G648" s="410" t="s">
        <v>15</v>
      </c>
      <c r="H648" s="412">
        <v>0.21820000000000001</v>
      </c>
      <c r="I648" s="412">
        <v>0</v>
      </c>
      <c r="J648" s="411">
        <v>0.09</v>
      </c>
      <c r="K648" s="411">
        <v>1.9637999999999999E-2</v>
      </c>
      <c r="L648" s="168"/>
    </row>
    <row r="649" spans="1:12" ht="15" x14ac:dyDescent="0.3">
      <c r="A649" s="400" t="s">
        <v>1038</v>
      </c>
      <c r="B649" s="401" t="s">
        <v>4587</v>
      </c>
      <c r="C649" s="400" t="s">
        <v>395</v>
      </c>
      <c r="D649" s="400" t="s">
        <v>4588</v>
      </c>
      <c r="E649" s="605" t="s">
        <v>1039</v>
      </c>
      <c r="F649" s="605"/>
      <c r="G649" s="402" t="s">
        <v>3</v>
      </c>
      <c r="H649" s="403">
        <v>1.3573999999999999</v>
      </c>
      <c r="I649" s="403">
        <v>0</v>
      </c>
      <c r="J649" s="404">
        <v>8.2899999999999991</v>
      </c>
      <c r="K649" s="404">
        <v>11.252846</v>
      </c>
      <c r="L649" s="166"/>
    </row>
    <row r="650" spans="1:12" ht="14.25" customHeight="1" x14ac:dyDescent="0.3">
      <c r="A650" s="400" t="s">
        <v>1038</v>
      </c>
      <c r="B650" s="401" t="s">
        <v>1548</v>
      </c>
      <c r="C650" s="400" t="s">
        <v>395</v>
      </c>
      <c r="D650" s="400" t="s">
        <v>237</v>
      </c>
      <c r="E650" s="605" t="s">
        <v>1039</v>
      </c>
      <c r="F650" s="605"/>
      <c r="G650" s="402" t="s">
        <v>3</v>
      </c>
      <c r="H650" s="403">
        <v>6.0000000000000001E-3</v>
      </c>
      <c r="I650" s="403">
        <v>0</v>
      </c>
      <c r="J650" s="404">
        <v>22.25</v>
      </c>
      <c r="K650" s="404">
        <v>0.13350000000000001</v>
      </c>
      <c r="L650" s="168"/>
    </row>
    <row r="651" spans="1:12" ht="26.4" x14ac:dyDescent="0.3">
      <c r="A651" s="400" t="s">
        <v>1038</v>
      </c>
      <c r="B651" s="401" t="s">
        <v>9608</v>
      </c>
      <c r="C651" s="400" t="s">
        <v>395</v>
      </c>
      <c r="D651" s="400" t="s">
        <v>9609</v>
      </c>
      <c r="E651" s="605" t="s">
        <v>1039</v>
      </c>
      <c r="F651" s="605"/>
      <c r="G651" s="402" t="s">
        <v>4</v>
      </c>
      <c r="H651" s="403">
        <v>4</v>
      </c>
      <c r="I651" s="403">
        <v>0</v>
      </c>
      <c r="J651" s="404">
        <v>0</v>
      </c>
      <c r="K651" s="404">
        <v>0</v>
      </c>
      <c r="L651" s="168"/>
    </row>
    <row r="652" spans="1:12" ht="26.4" x14ac:dyDescent="0.3">
      <c r="A652" s="400" t="s">
        <v>1038</v>
      </c>
      <c r="B652" s="401" t="s">
        <v>9610</v>
      </c>
      <c r="C652" s="400" t="s">
        <v>395</v>
      </c>
      <c r="D652" s="400" t="s">
        <v>9611</v>
      </c>
      <c r="E652" s="605" t="s">
        <v>1039</v>
      </c>
      <c r="F652" s="605"/>
      <c r="G652" s="402" t="s">
        <v>4</v>
      </c>
      <c r="H652" s="403">
        <v>1</v>
      </c>
      <c r="I652" s="403">
        <v>0</v>
      </c>
      <c r="J652" s="404">
        <v>0</v>
      </c>
      <c r="K652" s="404">
        <v>0</v>
      </c>
      <c r="L652" s="168"/>
    </row>
    <row r="653" spans="1:12" ht="17.399999999999999" customHeight="1" x14ac:dyDescent="0.3">
      <c r="A653" s="400" t="s">
        <v>1038</v>
      </c>
      <c r="B653" s="401" t="s">
        <v>9612</v>
      </c>
      <c r="C653" s="400" t="s">
        <v>395</v>
      </c>
      <c r="D653" s="400" t="s">
        <v>9613</v>
      </c>
      <c r="E653" s="605" t="s">
        <v>1039</v>
      </c>
      <c r="F653" s="605"/>
      <c r="G653" s="402" t="s">
        <v>4</v>
      </c>
      <c r="H653" s="403">
        <v>1</v>
      </c>
      <c r="I653" s="403">
        <v>0</v>
      </c>
      <c r="J653" s="404">
        <v>0</v>
      </c>
      <c r="K653" s="404">
        <v>0</v>
      </c>
      <c r="L653" s="166"/>
    </row>
    <row r="654" spans="1:12" ht="26.4" x14ac:dyDescent="0.3">
      <c r="A654" s="400" t="s">
        <v>1038</v>
      </c>
      <c r="B654" s="401" t="s">
        <v>9614</v>
      </c>
      <c r="C654" s="400" t="s">
        <v>395</v>
      </c>
      <c r="D654" s="400" t="s">
        <v>9615</v>
      </c>
      <c r="E654" s="605" t="s">
        <v>1039</v>
      </c>
      <c r="F654" s="605"/>
      <c r="G654" s="402" t="s">
        <v>4</v>
      </c>
      <c r="H654" s="403">
        <v>1</v>
      </c>
      <c r="I654" s="403">
        <v>0</v>
      </c>
      <c r="J654" s="404">
        <v>0</v>
      </c>
      <c r="K654" s="404">
        <v>0</v>
      </c>
      <c r="L654" s="166"/>
    </row>
    <row r="655" spans="1:12" ht="25.5" customHeight="1" x14ac:dyDescent="0.3">
      <c r="A655" s="405"/>
      <c r="B655" s="405"/>
      <c r="C655" s="405"/>
      <c r="D655" s="405"/>
      <c r="E655" s="405" t="s">
        <v>1046</v>
      </c>
      <c r="F655" s="406">
        <v>67.290000000000006</v>
      </c>
      <c r="G655" s="405" t="s">
        <v>1047</v>
      </c>
      <c r="H655" s="406">
        <v>0</v>
      </c>
      <c r="I655" s="405" t="s">
        <v>1048</v>
      </c>
      <c r="J655" s="406">
        <v>67.290000000000006</v>
      </c>
      <c r="K655"/>
      <c r="L655" s="168"/>
    </row>
    <row r="656" spans="1:12" ht="15" customHeight="1" thickBot="1" x14ac:dyDescent="0.35">
      <c r="A656" s="405"/>
      <c r="B656" s="405"/>
      <c r="C656" s="405"/>
      <c r="D656" s="405"/>
      <c r="E656" s="405" t="s">
        <v>1049</v>
      </c>
      <c r="F656" s="406">
        <v>0</v>
      </c>
      <c r="G656" s="405"/>
      <c r="H656" s="606"/>
      <c r="I656" s="606" t="s">
        <v>1050</v>
      </c>
      <c r="J656" s="406">
        <v>104.45</v>
      </c>
      <c r="K656"/>
      <c r="L656" s="168"/>
    </row>
    <row r="657" spans="1:12" ht="25.5" customHeight="1" thickTop="1" x14ac:dyDescent="0.3">
      <c r="A657" s="407"/>
      <c r="B657" s="407"/>
      <c r="C657" s="407"/>
      <c r="D657" s="407"/>
      <c r="E657" s="407"/>
      <c r="F657" s="407"/>
      <c r="G657" s="407"/>
      <c r="H657" s="407"/>
      <c r="I657" s="407"/>
      <c r="J657" s="407"/>
      <c r="K657" s="407"/>
      <c r="L657" s="168"/>
    </row>
    <row r="658" spans="1:12" ht="30" customHeight="1" x14ac:dyDescent="0.3">
      <c r="A658" s="382" t="s">
        <v>668</v>
      </c>
      <c r="B658" s="312" t="s">
        <v>413</v>
      </c>
      <c r="C658" s="382" t="s">
        <v>414</v>
      </c>
      <c r="D658" s="382" t="s">
        <v>415</v>
      </c>
      <c r="E658" s="586" t="s">
        <v>1029</v>
      </c>
      <c r="F658" s="586"/>
      <c r="G658" s="383" t="s">
        <v>416</v>
      </c>
      <c r="H658" s="312" t="s">
        <v>1030</v>
      </c>
      <c r="I658" s="312" t="s">
        <v>3016</v>
      </c>
      <c r="J658" s="312" t="s">
        <v>1031</v>
      </c>
      <c r="K658" s="312" t="s">
        <v>1032</v>
      </c>
      <c r="L658" s="166"/>
    </row>
    <row r="659" spans="1:12" ht="30" customHeight="1" x14ac:dyDescent="0.3">
      <c r="A659" s="313" t="s">
        <v>1033</v>
      </c>
      <c r="B659" s="315" t="s">
        <v>9640</v>
      </c>
      <c r="C659" s="313" t="s">
        <v>2616</v>
      </c>
      <c r="D659" s="313" t="s">
        <v>8380</v>
      </c>
      <c r="E659" s="603">
        <v>20</v>
      </c>
      <c r="F659" s="603"/>
      <c r="G659" s="314" t="s">
        <v>3</v>
      </c>
      <c r="H659" s="399">
        <v>1</v>
      </c>
      <c r="I659" s="316"/>
      <c r="J659" s="316">
        <v>0.65</v>
      </c>
      <c r="K659" s="316">
        <v>0.65</v>
      </c>
      <c r="L659" s="166"/>
    </row>
    <row r="660" spans="1:12" ht="26.4" x14ac:dyDescent="0.3">
      <c r="A660" s="400" t="s">
        <v>1038</v>
      </c>
      <c r="B660" s="401" t="s">
        <v>9569</v>
      </c>
      <c r="C660" s="400" t="s">
        <v>2616</v>
      </c>
      <c r="D660" s="400" t="s">
        <v>9570</v>
      </c>
      <c r="E660" s="605" t="s">
        <v>1039</v>
      </c>
      <c r="F660" s="605"/>
      <c r="G660" s="402" t="s">
        <v>3</v>
      </c>
      <c r="H660" s="403">
        <v>1</v>
      </c>
      <c r="I660" s="403">
        <v>0</v>
      </c>
      <c r="J660" s="404">
        <v>0.65</v>
      </c>
      <c r="K660" s="404">
        <v>0.65</v>
      </c>
      <c r="L660" s="166"/>
    </row>
    <row r="661" spans="1:12" ht="12.75" customHeight="1" x14ac:dyDescent="0.3">
      <c r="A661" s="405"/>
      <c r="B661" s="405"/>
      <c r="C661" s="405"/>
      <c r="D661" s="405"/>
      <c r="E661" s="405" t="s">
        <v>1046</v>
      </c>
      <c r="F661" s="406">
        <v>0</v>
      </c>
      <c r="G661" s="405" t="s">
        <v>1047</v>
      </c>
      <c r="H661" s="406">
        <v>0</v>
      </c>
      <c r="I661" s="405" t="s">
        <v>1048</v>
      </c>
      <c r="J661" s="406">
        <v>0</v>
      </c>
      <c r="K661"/>
      <c r="L661" s="166"/>
    </row>
    <row r="662" spans="1:12" ht="15.6" thickBot="1" x14ac:dyDescent="0.35">
      <c r="A662" s="405"/>
      <c r="B662" s="405"/>
      <c r="C662" s="405"/>
      <c r="D662" s="405"/>
      <c r="E662" s="405" t="s">
        <v>1049</v>
      </c>
      <c r="F662" s="406">
        <v>0</v>
      </c>
      <c r="G662" s="405"/>
      <c r="H662" s="606"/>
      <c r="I662" s="606" t="s">
        <v>1050</v>
      </c>
      <c r="J662" s="406">
        <v>0.65</v>
      </c>
      <c r="K662"/>
      <c r="L662" s="166"/>
    </row>
    <row r="663" spans="1:12" ht="17.399999999999999" customHeight="1" thickTop="1" x14ac:dyDescent="0.3">
      <c r="A663" s="407"/>
      <c r="B663" s="407"/>
      <c r="C663" s="407"/>
      <c r="D663" s="407"/>
      <c r="E663" s="407"/>
      <c r="F663" s="407"/>
      <c r="G663" s="407"/>
      <c r="H663" s="407"/>
      <c r="I663" s="407"/>
      <c r="J663" s="407"/>
      <c r="K663" s="407"/>
      <c r="L663" s="166"/>
    </row>
    <row r="664" spans="1:12" ht="15" x14ac:dyDescent="0.3">
      <c r="A664" s="382" t="s">
        <v>669</v>
      </c>
      <c r="B664" s="312" t="s">
        <v>413</v>
      </c>
      <c r="C664" s="382" t="s">
        <v>414</v>
      </c>
      <c r="D664" s="382" t="s">
        <v>415</v>
      </c>
      <c r="E664" s="586" t="s">
        <v>1029</v>
      </c>
      <c r="F664" s="586"/>
      <c r="G664" s="383" t="s">
        <v>416</v>
      </c>
      <c r="H664" s="312" t="s">
        <v>1030</v>
      </c>
      <c r="I664" s="312" t="s">
        <v>3016</v>
      </c>
      <c r="J664" s="312" t="s">
        <v>1031</v>
      </c>
      <c r="K664" s="312" t="s">
        <v>1032</v>
      </c>
      <c r="L664" s="166"/>
    </row>
    <row r="665" spans="1:12" ht="15" customHeight="1" x14ac:dyDescent="0.3">
      <c r="A665" s="313" t="s">
        <v>1033</v>
      </c>
      <c r="B665" s="315" t="s">
        <v>9641</v>
      </c>
      <c r="C665" s="313" t="s">
        <v>5902</v>
      </c>
      <c r="D665" s="313" t="s">
        <v>8482</v>
      </c>
      <c r="E665" s="603">
        <v>15.05</v>
      </c>
      <c r="F665" s="603"/>
      <c r="G665" s="314" t="s">
        <v>713</v>
      </c>
      <c r="H665" s="399">
        <v>1</v>
      </c>
      <c r="I665" s="316"/>
      <c r="J665" s="316">
        <v>3153.52</v>
      </c>
      <c r="K665" s="316">
        <v>3153.52</v>
      </c>
      <c r="L665" s="168"/>
    </row>
    <row r="666" spans="1:12" ht="25.5" customHeight="1" x14ac:dyDescent="0.3">
      <c r="A666" s="400" t="s">
        <v>1038</v>
      </c>
      <c r="B666" s="401" t="s">
        <v>1616</v>
      </c>
      <c r="C666" s="400" t="s">
        <v>5902</v>
      </c>
      <c r="D666" s="400" t="s">
        <v>1617</v>
      </c>
      <c r="E666" s="605" t="s">
        <v>1053</v>
      </c>
      <c r="F666" s="605"/>
      <c r="G666" s="402" t="s">
        <v>6</v>
      </c>
      <c r="H666" s="403">
        <v>1.74</v>
      </c>
      <c r="I666" s="403">
        <v>0</v>
      </c>
      <c r="J666" s="404">
        <v>27.64</v>
      </c>
      <c r="K666" s="404">
        <v>48.093600000000002</v>
      </c>
      <c r="L666" s="167"/>
    </row>
    <row r="667" spans="1:12" ht="25.5" customHeight="1" x14ac:dyDescent="0.3">
      <c r="A667" s="400" t="s">
        <v>1038</v>
      </c>
      <c r="B667" s="401" t="s">
        <v>8907</v>
      </c>
      <c r="C667" s="400" t="s">
        <v>5902</v>
      </c>
      <c r="D667" s="400" t="s">
        <v>8908</v>
      </c>
      <c r="E667" s="605" t="s">
        <v>1053</v>
      </c>
      <c r="F667" s="605"/>
      <c r="G667" s="402" t="s">
        <v>6</v>
      </c>
      <c r="H667" s="403">
        <v>7.944</v>
      </c>
      <c r="I667" s="403">
        <v>0</v>
      </c>
      <c r="J667" s="404">
        <v>27.64</v>
      </c>
      <c r="K667" s="404">
        <v>219.57216</v>
      </c>
      <c r="L667" s="168"/>
    </row>
    <row r="668" spans="1:12" ht="25.5" customHeight="1" x14ac:dyDescent="0.3">
      <c r="A668" s="400" t="s">
        <v>1038</v>
      </c>
      <c r="B668" s="401" t="s">
        <v>8989</v>
      </c>
      <c r="C668" s="400" t="s">
        <v>5902</v>
      </c>
      <c r="D668" s="400" t="s">
        <v>8990</v>
      </c>
      <c r="E668" s="605" t="s">
        <v>1053</v>
      </c>
      <c r="F668" s="605"/>
      <c r="G668" s="402" t="s">
        <v>6</v>
      </c>
      <c r="H668" s="403">
        <v>6.3579999999999997</v>
      </c>
      <c r="I668" s="403">
        <v>0</v>
      </c>
      <c r="J668" s="404">
        <v>22.71</v>
      </c>
      <c r="K668" s="404">
        <v>144.39017999999999</v>
      </c>
      <c r="L668" s="168"/>
    </row>
    <row r="669" spans="1:12" ht="30" customHeight="1" x14ac:dyDescent="0.3">
      <c r="A669" s="400" t="s">
        <v>1038</v>
      </c>
      <c r="B669" s="401" t="s">
        <v>1469</v>
      </c>
      <c r="C669" s="400" t="s">
        <v>5902</v>
      </c>
      <c r="D669" s="400" t="s">
        <v>1470</v>
      </c>
      <c r="E669" s="605" t="s">
        <v>1053</v>
      </c>
      <c r="F669" s="605"/>
      <c r="G669" s="402" t="s">
        <v>6</v>
      </c>
      <c r="H669" s="403">
        <v>6.76</v>
      </c>
      <c r="I669" s="403">
        <v>0</v>
      </c>
      <c r="J669" s="404">
        <v>27.64</v>
      </c>
      <c r="K669" s="404">
        <v>186.84639999999999</v>
      </c>
      <c r="L669" s="168"/>
    </row>
    <row r="670" spans="1:12" ht="26.4" x14ac:dyDescent="0.3">
      <c r="A670" s="400" t="s">
        <v>1038</v>
      </c>
      <c r="B670" s="401" t="s">
        <v>1467</v>
      </c>
      <c r="C670" s="400" t="s">
        <v>5902</v>
      </c>
      <c r="D670" s="400" t="s">
        <v>1468</v>
      </c>
      <c r="E670" s="605" t="s">
        <v>1053</v>
      </c>
      <c r="F670" s="605"/>
      <c r="G670" s="402" t="s">
        <v>6</v>
      </c>
      <c r="H670" s="403">
        <v>8.59</v>
      </c>
      <c r="I670" s="403">
        <v>0</v>
      </c>
      <c r="J670" s="404">
        <v>22.71</v>
      </c>
      <c r="K670" s="404">
        <v>195.0789</v>
      </c>
      <c r="L670" s="166"/>
    </row>
    <row r="671" spans="1:12" ht="26.4" x14ac:dyDescent="0.3">
      <c r="A671" s="400" t="s">
        <v>1038</v>
      </c>
      <c r="B671" s="401" t="s">
        <v>9406</v>
      </c>
      <c r="C671" s="400" t="s">
        <v>5902</v>
      </c>
      <c r="D671" s="400" t="s">
        <v>9407</v>
      </c>
      <c r="E671" s="605" t="s">
        <v>1053</v>
      </c>
      <c r="F671" s="605"/>
      <c r="G671" s="402" t="s">
        <v>6</v>
      </c>
      <c r="H671" s="403">
        <v>0.03</v>
      </c>
      <c r="I671" s="403">
        <v>0</v>
      </c>
      <c r="J671" s="404">
        <v>378.43</v>
      </c>
      <c r="K671" s="404">
        <v>11.3529</v>
      </c>
      <c r="L671" s="166"/>
    </row>
    <row r="672" spans="1:12" ht="14.25" customHeight="1" x14ac:dyDescent="0.3">
      <c r="A672" s="400" t="s">
        <v>1038</v>
      </c>
      <c r="B672" s="401" t="s">
        <v>9389</v>
      </c>
      <c r="C672" s="400" t="s">
        <v>5902</v>
      </c>
      <c r="D672" s="400" t="s">
        <v>9390</v>
      </c>
      <c r="E672" s="605" t="s">
        <v>1053</v>
      </c>
      <c r="F672" s="605"/>
      <c r="G672" s="402" t="s">
        <v>6</v>
      </c>
      <c r="H672" s="403">
        <v>0.1</v>
      </c>
      <c r="I672" s="403">
        <v>0</v>
      </c>
      <c r="J672" s="404">
        <v>133.06</v>
      </c>
      <c r="K672" s="404">
        <v>13.305999999999999</v>
      </c>
      <c r="L672" s="168"/>
    </row>
    <row r="673" spans="1:12" ht="17.399999999999999" customHeight="1" x14ac:dyDescent="0.3">
      <c r="A673" s="400" t="s">
        <v>1038</v>
      </c>
      <c r="B673" s="401" t="s">
        <v>9385</v>
      </c>
      <c r="C673" s="400" t="s">
        <v>5902</v>
      </c>
      <c r="D673" s="400" t="s">
        <v>9386</v>
      </c>
      <c r="E673" s="605" t="s">
        <v>1053</v>
      </c>
      <c r="F673" s="605"/>
      <c r="G673" s="402" t="s">
        <v>6</v>
      </c>
      <c r="H673" s="403">
        <v>0.06</v>
      </c>
      <c r="I673" s="403">
        <v>0</v>
      </c>
      <c r="J673" s="404">
        <v>223.07</v>
      </c>
      <c r="K673" s="404">
        <v>13.3842</v>
      </c>
      <c r="L673" s="168"/>
    </row>
    <row r="674" spans="1:12" ht="15" customHeight="1" x14ac:dyDescent="0.3">
      <c r="A674" s="400" t="s">
        <v>1038</v>
      </c>
      <c r="B674" s="401" t="s">
        <v>9215</v>
      </c>
      <c r="C674" s="400" t="s">
        <v>5902</v>
      </c>
      <c r="D674" s="400" t="s">
        <v>9216</v>
      </c>
      <c r="E674" s="605" t="s">
        <v>1053</v>
      </c>
      <c r="F674" s="605"/>
      <c r="G674" s="402" t="s">
        <v>6</v>
      </c>
      <c r="H674" s="403">
        <v>0.4</v>
      </c>
      <c r="I674" s="403">
        <v>0</v>
      </c>
      <c r="J674" s="404">
        <v>123.08</v>
      </c>
      <c r="K674" s="404">
        <v>49.231999999999999</v>
      </c>
      <c r="L674" s="168"/>
    </row>
    <row r="675" spans="1:12" ht="26.4" x14ac:dyDescent="0.3">
      <c r="A675" s="400" t="s">
        <v>1038</v>
      </c>
      <c r="B675" s="401" t="s">
        <v>9252</v>
      </c>
      <c r="C675" s="400" t="s">
        <v>5902</v>
      </c>
      <c r="D675" s="400" t="s">
        <v>9253</v>
      </c>
      <c r="E675" s="605" t="s">
        <v>1053</v>
      </c>
      <c r="F675" s="605"/>
      <c r="G675" s="402" t="s">
        <v>6</v>
      </c>
      <c r="H675" s="403">
        <v>0.7</v>
      </c>
      <c r="I675" s="403">
        <v>0</v>
      </c>
      <c r="J675" s="404">
        <v>56.99</v>
      </c>
      <c r="K675" s="404">
        <v>39.893000000000001</v>
      </c>
      <c r="L675" s="168"/>
    </row>
    <row r="676" spans="1:12" ht="26.4" x14ac:dyDescent="0.3">
      <c r="A676" s="400" t="s">
        <v>1038</v>
      </c>
      <c r="B676" s="401" t="s">
        <v>1471</v>
      </c>
      <c r="C676" s="400" t="s">
        <v>5902</v>
      </c>
      <c r="D676" s="400" t="s">
        <v>1472</v>
      </c>
      <c r="E676" s="605" t="s">
        <v>1039</v>
      </c>
      <c r="F676" s="605"/>
      <c r="G676" s="402" t="s">
        <v>3</v>
      </c>
      <c r="H676" s="403">
        <v>12.13</v>
      </c>
      <c r="I676" s="403">
        <v>0</v>
      </c>
      <c r="J676" s="404">
        <v>0.67</v>
      </c>
      <c r="K676" s="404">
        <v>8.1271000000000004</v>
      </c>
      <c r="L676" s="166"/>
    </row>
    <row r="677" spans="1:12" ht="25.5" customHeight="1" x14ac:dyDescent="0.3">
      <c r="A677" s="400" t="s">
        <v>1038</v>
      </c>
      <c r="B677" s="401" t="s">
        <v>1473</v>
      </c>
      <c r="C677" s="400" t="s">
        <v>5902</v>
      </c>
      <c r="D677" s="400" t="s">
        <v>1474</v>
      </c>
      <c r="E677" s="605" t="s">
        <v>1039</v>
      </c>
      <c r="F677" s="605"/>
      <c r="G677" s="402" t="s">
        <v>713</v>
      </c>
      <c r="H677" s="403">
        <v>3.2399999999999998E-2</v>
      </c>
      <c r="I677" s="403">
        <v>0</v>
      </c>
      <c r="J677" s="404">
        <v>170.72</v>
      </c>
      <c r="K677" s="404">
        <v>5.5313280000000002</v>
      </c>
      <c r="L677" s="168"/>
    </row>
    <row r="678" spans="1:12" ht="25.5" customHeight="1" x14ac:dyDescent="0.3">
      <c r="A678" s="400" t="s">
        <v>1038</v>
      </c>
      <c r="B678" s="401" t="s">
        <v>9433</v>
      </c>
      <c r="C678" s="400" t="s">
        <v>5902</v>
      </c>
      <c r="D678" s="400" t="s">
        <v>9434</v>
      </c>
      <c r="E678" s="605" t="s">
        <v>1039</v>
      </c>
      <c r="F678" s="605"/>
      <c r="G678" s="402" t="s">
        <v>713</v>
      </c>
      <c r="H678" s="403">
        <v>5.1999999999999998E-2</v>
      </c>
      <c r="I678" s="403">
        <v>0</v>
      </c>
      <c r="J678" s="404">
        <v>156.22999999999999</v>
      </c>
      <c r="K678" s="404">
        <v>8.1239600000000003</v>
      </c>
      <c r="L678" s="168"/>
    </row>
    <row r="679" spans="1:12" ht="25.5" customHeight="1" x14ac:dyDescent="0.3">
      <c r="A679" s="400" t="s">
        <v>1038</v>
      </c>
      <c r="B679" s="401" t="s">
        <v>9530</v>
      </c>
      <c r="C679" s="400" t="s">
        <v>5902</v>
      </c>
      <c r="D679" s="400" t="s">
        <v>9531</v>
      </c>
      <c r="E679" s="605" t="s">
        <v>1039</v>
      </c>
      <c r="F679" s="605"/>
      <c r="G679" s="402" t="s">
        <v>713</v>
      </c>
      <c r="H679" s="403">
        <v>0.01</v>
      </c>
      <c r="I679" s="403">
        <v>0</v>
      </c>
      <c r="J679" s="404">
        <v>178.9</v>
      </c>
      <c r="K679" s="404">
        <v>1.7889999999999999</v>
      </c>
      <c r="L679" s="168"/>
    </row>
    <row r="680" spans="1:12" ht="14.25" customHeight="1" x14ac:dyDescent="0.3">
      <c r="A680" s="400" t="s">
        <v>1038</v>
      </c>
      <c r="B680" s="401" t="s">
        <v>8859</v>
      </c>
      <c r="C680" s="400" t="s">
        <v>5902</v>
      </c>
      <c r="D680" s="400" t="s">
        <v>8860</v>
      </c>
      <c r="E680" s="605" t="s">
        <v>1039</v>
      </c>
      <c r="F680" s="605"/>
      <c r="G680" s="402" t="s">
        <v>3</v>
      </c>
      <c r="H680" s="403">
        <v>52</v>
      </c>
      <c r="I680" s="403">
        <v>0</v>
      </c>
      <c r="J680" s="404">
        <v>6.22</v>
      </c>
      <c r="K680" s="404">
        <v>323.44</v>
      </c>
      <c r="L680" s="166"/>
    </row>
    <row r="681" spans="1:12" ht="26.4" x14ac:dyDescent="0.3">
      <c r="A681" s="400" t="s">
        <v>1038</v>
      </c>
      <c r="B681" s="401" t="s">
        <v>9263</v>
      </c>
      <c r="C681" s="400" t="s">
        <v>5902</v>
      </c>
      <c r="D681" s="400" t="s">
        <v>9264</v>
      </c>
      <c r="E681" s="605" t="s">
        <v>1039</v>
      </c>
      <c r="F681" s="605"/>
      <c r="G681" s="402" t="s">
        <v>3</v>
      </c>
      <c r="H681" s="403">
        <v>5.5</v>
      </c>
      <c r="I681" s="403">
        <v>0</v>
      </c>
      <c r="J681" s="404">
        <v>6.81</v>
      </c>
      <c r="K681" s="404">
        <v>37.454999999999998</v>
      </c>
      <c r="L681" s="166"/>
    </row>
    <row r="682" spans="1:12" ht="26.4" x14ac:dyDescent="0.3">
      <c r="A682" s="400" t="s">
        <v>1038</v>
      </c>
      <c r="B682" s="401" t="s">
        <v>8816</v>
      </c>
      <c r="C682" s="400" t="s">
        <v>5902</v>
      </c>
      <c r="D682" s="400" t="s">
        <v>8817</v>
      </c>
      <c r="E682" s="605" t="s">
        <v>1039</v>
      </c>
      <c r="F682" s="605"/>
      <c r="G682" s="402" t="s">
        <v>3</v>
      </c>
      <c r="H682" s="403">
        <v>61.4</v>
      </c>
      <c r="I682" s="403">
        <v>0</v>
      </c>
      <c r="J682" s="404">
        <v>7.54</v>
      </c>
      <c r="K682" s="404">
        <v>462.95600000000002</v>
      </c>
      <c r="L682" s="168"/>
    </row>
    <row r="683" spans="1:12" ht="15" customHeight="1" x14ac:dyDescent="0.3">
      <c r="A683" s="400" t="s">
        <v>1038</v>
      </c>
      <c r="B683" s="401" t="s">
        <v>9268</v>
      </c>
      <c r="C683" s="400" t="s">
        <v>5902</v>
      </c>
      <c r="D683" s="400" t="s">
        <v>9269</v>
      </c>
      <c r="E683" s="605" t="s">
        <v>1039</v>
      </c>
      <c r="F683" s="605"/>
      <c r="G683" s="402" t="s">
        <v>713</v>
      </c>
      <c r="H683" s="403">
        <v>8.3299999999999999E-2</v>
      </c>
      <c r="I683" s="403">
        <v>0</v>
      </c>
      <c r="J683" s="404">
        <v>448.27</v>
      </c>
      <c r="K683" s="404">
        <v>37.340890999999999</v>
      </c>
      <c r="L683" s="168"/>
    </row>
    <row r="684" spans="1:12" ht="38.25" customHeight="1" x14ac:dyDescent="0.3">
      <c r="A684" s="400" t="s">
        <v>1038</v>
      </c>
      <c r="B684" s="401" t="s">
        <v>1614</v>
      </c>
      <c r="C684" s="400" t="s">
        <v>5902</v>
      </c>
      <c r="D684" s="400" t="s">
        <v>1615</v>
      </c>
      <c r="E684" s="605" t="s">
        <v>1039</v>
      </c>
      <c r="F684" s="605"/>
      <c r="G684" s="402" t="s">
        <v>713</v>
      </c>
      <c r="H684" s="403">
        <v>1.03</v>
      </c>
      <c r="I684" s="403">
        <v>0</v>
      </c>
      <c r="J684" s="404">
        <v>605.69000000000005</v>
      </c>
      <c r="K684" s="404">
        <v>623.86069999999995</v>
      </c>
      <c r="L684" s="168"/>
    </row>
    <row r="685" spans="1:12" ht="25.5" customHeight="1" x14ac:dyDescent="0.3">
      <c r="A685" s="400" t="s">
        <v>1038</v>
      </c>
      <c r="B685" s="401" t="s">
        <v>2398</v>
      </c>
      <c r="C685" s="400" t="s">
        <v>5902</v>
      </c>
      <c r="D685" s="400" t="s">
        <v>2399</v>
      </c>
      <c r="E685" s="605" t="s">
        <v>1039</v>
      </c>
      <c r="F685" s="605"/>
      <c r="G685" s="402" t="s">
        <v>7</v>
      </c>
      <c r="H685" s="403">
        <v>2.16</v>
      </c>
      <c r="I685" s="403">
        <v>0</v>
      </c>
      <c r="J685" s="404">
        <v>22.76</v>
      </c>
      <c r="K685" s="404">
        <v>49.1616</v>
      </c>
      <c r="L685" s="166"/>
    </row>
    <row r="686" spans="1:12" ht="25.5" customHeight="1" x14ac:dyDescent="0.3">
      <c r="A686" s="400" t="s">
        <v>1038</v>
      </c>
      <c r="B686" s="401" t="s">
        <v>1623</v>
      </c>
      <c r="C686" s="400" t="s">
        <v>5902</v>
      </c>
      <c r="D686" s="400" t="s">
        <v>1624</v>
      </c>
      <c r="E686" s="605" t="s">
        <v>1039</v>
      </c>
      <c r="F686" s="605"/>
      <c r="G686" s="402" t="s">
        <v>7</v>
      </c>
      <c r="H686" s="403">
        <v>2.35</v>
      </c>
      <c r="I686" s="403">
        <v>0</v>
      </c>
      <c r="J686" s="404">
        <v>7.82</v>
      </c>
      <c r="K686" s="404">
        <v>18.376999999999999</v>
      </c>
      <c r="L686" s="166"/>
    </row>
    <row r="687" spans="1:12" ht="30" customHeight="1" x14ac:dyDescent="0.3">
      <c r="A687" s="400" t="s">
        <v>1038</v>
      </c>
      <c r="B687" s="401" t="s">
        <v>1625</v>
      </c>
      <c r="C687" s="400" t="s">
        <v>5902</v>
      </c>
      <c r="D687" s="400" t="s">
        <v>1626</v>
      </c>
      <c r="E687" s="605" t="s">
        <v>1039</v>
      </c>
      <c r="F687" s="605"/>
      <c r="G687" s="402" t="s">
        <v>675</v>
      </c>
      <c r="H687" s="403">
        <v>0.52</v>
      </c>
      <c r="I687" s="403">
        <v>0</v>
      </c>
      <c r="J687" s="404">
        <v>110.72</v>
      </c>
      <c r="K687" s="404">
        <v>57.574399999999997</v>
      </c>
      <c r="L687" s="166"/>
    </row>
    <row r="688" spans="1:12" ht="25.5" customHeight="1" x14ac:dyDescent="0.3">
      <c r="A688" s="400" t="s">
        <v>1038</v>
      </c>
      <c r="B688" s="401" t="s">
        <v>9393</v>
      </c>
      <c r="C688" s="400" t="s">
        <v>5902</v>
      </c>
      <c r="D688" s="400" t="s">
        <v>9394</v>
      </c>
      <c r="E688" s="605" t="s">
        <v>1039</v>
      </c>
      <c r="F688" s="605"/>
      <c r="G688" s="402" t="s">
        <v>675</v>
      </c>
      <c r="H688" s="403">
        <v>0.46</v>
      </c>
      <c r="I688" s="403">
        <v>0</v>
      </c>
      <c r="J688" s="404">
        <v>28.48</v>
      </c>
      <c r="K688" s="404">
        <v>13.1008</v>
      </c>
      <c r="L688" s="166"/>
    </row>
    <row r="689" spans="1:12" ht="14.25" customHeight="1" x14ac:dyDescent="0.3">
      <c r="A689" s="400" t="s">
        <v>1038</v>
      </c>
      <c r="B689" s="401" t="s">
        <v>1627</v>
      </c>
      <c r="C689" s="400" t="s">
        <v>5902</v>
      </c>
      <c r="D689" s="400" t="s">
        <v>1628</v>
      </c>
      <c r="E689" s="605" t="s">
        <v>1039</v>
      </c>
      <c r="F689" s="605"/>
      <c r="G689" s="402" t="s">
        <v>3</v>
      </c>
      <c r="H689" s="403">
        <v>0.81</v>
      </c>
      <c r="I689" s="403">
        <v>0</v>
      </c>
      <c r="J689" s="404">
        <v>9.9</v>
      </c>
      <c r="K689" s="404">
        <v>8.0190000000000001</v>
      </c>
      <c r="L689" s="166"/>
    </row>
    <row r="690" spans="1:12" ht="25.5" customHeight="1" x14ac:dyDescent="0.3">
      <c r="A690" s="400" t="s">
        <v>1038</v>
      </c>
      <c r="B690" s="401" t="s">
        <v>9355</v>
      </c>
      <c r="C690" s="400" t="s">
        <v>5902</v>
      </c>
      <c r="D690" s="400" t="s">
        <v>9356</v>
      </c>
      <c r="E690" s="605" t="s">
        <v>1039</v>
      </c>
      <c r="F690" s="605"/>
      <c r="G690" s="402" t="s">
        <v>3</v>
      </c>
      <c r="H690" s="403">
        <v>1.355</v>
      </c>
      <c r="I690" s="403">
        <v>0</v>
      </c>
      <c r="J690" s="404">
        <v>12.66</v>
      </c>
      <c r="K690" s="404">
        <v>17.154299999999999</v>
      </c>
      <c r="L690" s="166"/>
    </row>
    <row r="691" spans="1:12" ht="26.4" x14ac:dyDescent="0.3">
      <c r="A691" s="400" t="s">
        <v>1038</v>
      </c>
      <c r="B691" s="401" t="s">
        <v>7655</v>
      </c>
      <c r="C691" s="400" t="s">
        <v>5902</v>
      </c>
      <c r="D691" s="400" t="s">
        <v>7656</v>
      </c>
      <c r="E691" s="605" t="s">
        <v>1039</v>
      </c>
      <c r="F691" s="605"/>
      <c r="G691" s="402" t="s">
        <v>3</v>
      </c>
      <c r="H691" s="403">
        <v>8.4</v>
      </c>
      <c r="I691" s="403">
        <v>0</v>
      </c>
      <c r="J691" s="404">
        <v>9.24</v>
      </c>
      <c r="K691" s="404">
        <v>77.616</v>
      </c>
      <c r="L691" s="166"/>
    </row>
    <row r="692" spans="1:12" ht="15" customHeight="1" x14ac:dyDescent="0.3">
      <c r="A692" s="400" t="s">
        <v>1038</v>
      </c>
      <c r="B692" s="401" t="s">
        <v>9312</v>
      </c>
      <c r="C692" s="400" t="s">
        <v>5902</v>
      </c>
      <c r="D692" s="400" t="s">
        <v>9313</v>
      </c>
      <c r="E692" s="605" t="s">
        <v>1039</v>
      </c>
      <c r="F692" s="605"/>
      <c r="G692" s="402" t="s">
        <v>4</v>
      </c>
      <c r="H692" s="403">
        <v>1</v>
      </c>
      <c r="I692" s="403">
        <v>0</v>
      </c>
      <c r="J692" s="404">
        <v>27.27</v>
      </c>
      <c r="K692" s="404">
        <v>27.27</v>
      </c>
      <c r="L692" s="168"/>
    </row>
    <row r="693" spans="1:12" ht="25.5" customHeight="1" x14ac:dyDescent="0.3">
      <c r="A693" s="400" t="s">
        <v>1038</v>
      </c>
      <c r="B693" s="401" t="s">
        <v>9510</v>
      </c>
      <c r="C693" s="400" t="s">
        <v>5902</v>
      </c>
      <c r="D693" s="400" t="s">
        <v>9511</v>
      </c>
      <c r="E693" s="605" t="s">
        <v>1039</v>
      </c>
      <c r="F693" s="605"/>
      <c r="G693" s="402" t="s">
        <v>4</v>
      </c>
      <c r="H693" s="403">
        <v>2.5000000000000001E-3</v>
      </c>
      <c r="I693" s="403">
        <v>0</v>
      </c>
      <c r="J693" s="404">
        <v>1034.74</v>
      </c>
      <c r="K693" s="404">
        <v>2.5868500000000001</v>
      </c>
      <c r="L693" s="167"/>
    </row>
    <row r="694" spans="1:12" ht="25.5" customHeight="1" x14ac:dyDescent="0.3">
      <c r="A694" s="400" t="s">
        <v>1038</v>
      </c>
      <c r="B694" s="401" t="s">
        <v>9589</v>
      </c>
      <c r="C694" s="400" t="s">
        <v>5902</v>
      </c>
      <c r="D694" s="400" t="s">
        <v>9590</v>
      </c>
      <c r="E694" s="605" t="s">
        <v>1039</v>
      </c>
      <c r="F694" s="605"/>
      <c r="G694" s="402" t="s">
        <v>4</v>
      </c>
      <c r="H694" s="403">
        <v>2.5000000000000001E-3</v>
      </c>
      <c r="I694" s="403">
        <v>0</v>
      </c>
      <c r="J694" s="404">
        <v>55.98</v>
      </c>
      <c r="K694" s="404">
        <v>0.13994999999999999</v>
      </c>
      <c r="L694" s="168"/>
    </row>
    <row r="695" spans="1:12" ht="25.5" customHeight="1" x14ac:dyDescent="0.3">
      <c r="A695" s="400" t="s">
        <v>1038</v>
      </c>
      <c r="B695" s="401" t="s">
        <v>1629</v>
      </c>
      <c r="C695" s="400" t="s">
        <v>5902</v>
      </c>
      <c r="D695" s="400" t="s">
        <v>1630</v>
      </c>
      <c r="E695" s="605" t="s">
        <v>1039</v>
      </c>
      <c r="F695" s="605"/>
      <c r="G695" s="402" t="s">
        <v>8</v>
      </c>
      <c r="H695" s="403">
        <v>2.99</v>
      </c>
      <c r="I695" s="403">
        <v>0</v>
      </c>
      <c r="J695" s="404">
        <v>13.82</v>
      </c>
      <c r="K695" s="404">
        <v>41.321800000000003</v>
      </c>
      <c r="L695" s="168"/>
    </row>
    <row r="696" spans="1:12" ht="26.4" x14ac:dyDescent="0.3">
      <c r="A696" s="400" t="s">
        <v>1038</v>
      </c>
      <c r="B696" s="401" t="s">
        <v>1490</v>
      </c>
      <c r="C696" s="400" t="s">
        <v>5902</v>
      </c>
      <c r="D696" s="400" t="s">
        <v>1491</v>
      </c>
      <c r="E696" s="605" t="s">
        <v>1039</v>
      </c>
      <c r="F696" s="605"/>
      <c r="G696" s="402" t="s">
        <v>6</v>
      </c>
      <c r="H696" s="403">
        <v>0.12</v>
      </c>
      <c r="I696" s="403">
        <v>0</v>
      </c>
      <c r="J696" s="404">
        <v>31.27</v>
      </c>
      <c r="K696" s="404">
        <v>3.7524000000000002</v>
      </c>
      <c r="L696" s="168"/>
    </row>
    <row r="697" spans="1:12" ht="30" customHeight="1" x14ac:dyDescent="0.3">
      <c r="A697" s="400" t="s">
        <v>1038</v>
      </c>
      <c r="B697" s="401" t="s">
        <v>9055</v>
      </c>
      <c r="C697" s="400" t="s">
        <v>5902</v>
      </c>
      <c r="D697" s="400" t="s">
        <v>9056</v>
      </c>
      <c r="E697" s="605" t="s">
        <v>1039</v>
      </c>
      <c r="F697" s="605"/>
      <c r="G697" s="402" t="s">
        <v>6</v>
      </c>
      <c r="H697" s="403">
        <v>0.49</v>
      </c>
      <c r="I697" s="403">
        <v>0</v>
      </c>
      <c r="J697" s="404">
        <v>221.82</v>
      </c>
      <c r="K697" s="404">
        <v>108.6918</v>
      </c>
      <c r="L697" s="166"/>
    </row>
    <row r="698" spans="1:12" ht="14.25" customHeight="1" x14ac:dyDescent="0.3">
      <c r="A698" s="400" t="s">
        <v>1038</v>
      </c>
      <c r="B698" s="401" t="s">
        <v>9575</v>
      </c>
      <c r="C698" s="400" t="s">
        <v>5902</v>
      </c>
      <c r="D698" s="400" t="s">
        <v>9576</v>
      </c>
      <c r="E698" s="605" t="s">
        <v>1039</v>
      </c>
      <c r="F698" s="605"/>
      <c r="G698" s="402" t="s">
        <v>6</v>
      </c>
      <c r="H698" s="403">
        <v>1.1999999999999999E-3</v>
      </c>
      <c r="I698" s="403">
        <v>0</v>
      </c>
      <c r="J698" s="404">
        <v>158.01</v>
      </c>
      <c r="K698" s="404">
        <v>0.189612</v>
      </c>
      <c r="L698" s="166"/>
    </row>
    <row r="699" spans="1:12" ht="30" customHeight="1" x14ac:dyDescent="0.3">
      <c r="A699" s="400" t="s">
        <v>1038</v>
      </c>
      <c r="B699" s="401" t="s">
        <v>4898</v>
      </c>
      <c r="C699" s="400" t="s">
        <v>5902</v>
      </c>
      <c r="D699" s="400" t="s">
        <v>4899</v>
      </c>
      <c r="E699" s="605" t="s">
        <v>1039</v>
      </c>
      <c r="F699" s="605"/>
      <c r="G699" s="402" t="s">
        <v>6</v>
      </c>
      <c r="H699" s="403">
        <v>1.9E-2</v>
      </c>
      <c r="I699" s="403">
        <v>0</v>
      </c>
      <c r="J699" s="404">
        <v>259.57</v>
      </c>
      <c r="K699" s="404">
        <v>4.9318299999999997</v>
      </c>
      <c r="L699" s="168"/>
    </row>
    <row r="700" spans="1:12" ht="26.4" x14ac:dyDescent="0.3">
      <c r="A700" s="400" t="s">
        <v>1038</v>
      </c>
      <c r="B700" s="401" t="s">
        <v>8926</v>
      </c>
      <c r="C700" s="400" t="s">
        <v>5902</v>
      </c>
      <c r="D700" s="400" t="s">
        <v>8927</v>
      </c>
      <c r="E700" s="605" t="s">
        <v>1039</v>
      </c>
      <c r="F700" s="605"/>
      <c r="G700" s="402" t="s">
        <v>6</v>
      </c>
      <c r="H700" s="403">
        <v>0.8</v>
      </c>
      <c r="I700" s="403">
        <v>0</v>
      </c>
      <c r="J700" s="404">
        <v>254.28</v>
      </c>
      <c r="K700" s="404">
        <v>203.42400000000001</v>
      </c>
      <c r="L700" s="168"/>
    </row>
    <row r="701" spans="1:12" ht="15" customHeight="1" x14ac:dyDescent="0.3">
      <c r="A701" s="400" t="s">
        <v>1038</v>
      </c>
      <c r="B701" s="401" t="s">
        <v>3291</v>
      </c>
      <c r="C701" s="400" t="s">
        <v>5902</v>
      </c>
      <c r="D701" s="400" t="s">
        <v>3292</v>
      </c>
      <c r="E701" s="605" t="s">
        <v>1039</v>
      </c>
      <c r="F701" s="605"/>
      <c r="G701" s="402" t="s">
        <v>6</v>
      </c>
      <c r="H701" s="403">
        <v>0.4</v>
      </c>
      <c r="I701" s="403">
        <v>0</v>
      </c>
      <c r="J701" s="404">
        <v>226.08</v>
      </c>
      <c r="K701" s="404">
        <v>90.432000000000002</v>
      </c>
      <c r="L701" s="168"/>
    </row>
    <row r="702" spans="1:12" ht="25.5" customHeight="1" x14ac:dyDescent="0.3">
      <c r="A702" s="405"/>
      <c r="B702" s="405"/>
      <c r="C702" s="405"/>
      <c r="D702" s="405"/>
      <c r="E702" s="405" t="s">
        <v>1046</v>
      </c>
      <c r="F702" s="406">
        <v>921.14</v>
      </c>
      <c r="G702" s="405" t="s">
        <v>1047</v>
      </c>
      <c r="H702" s="406">
        <v>0</v>
      </c>
      <c r="I702" s="405" t="s">
        <v>1048</v>
      </c>
      <c r="J702" s="406">
        <v>921.14</v>
      </c>
      <c r="K702"/>
      <c r="L702" s="168"/>
    </row>
    <row r="703" spans="1:12" ht="25.5" customHeight="1" thickBot="1" x14ac:dyDescent="0.35">
      <c r="A703" s="405"/>
      <c r="B703" s="405"/>
      <c r="C703" s="405"/>
      <c r="D703" s="405"/>
      <c r="E703" s="405" t="s">
        <v>1049</v>
      </c>
      <c r="F703" s="406">
        <v>0</v>
      </c>
      <c r="G703" s="405"/>
      <c r="H703" s="606"/>
      <c r="I703" s="606" t="s">
        <v>1050</v>
      </c>
      <c r="J703" s="406">
        <v>3153.52</v>
      </c>
      <c r="K703"/>
      <c r="L703" s="166"/>
    </row>
    <row r="704" spans="1:12" ht="25.5" customHeight="1" thickTop="1" x14ac:dyDescent="0.3">
      <c r="A704" s="407"/>
      <c r="B704" s="407"/>
      <c r="C704" s="407"/>
      <c r="D704" s="407"/>
      <c r="E704" s="407"/>
      <c r="F704" s="407"/>
      <c r="G704" s="407"/>
      <c r="H704" s="407"/>
      <c r="I704" s="407"/>
      <c r="J704" s="407"/>
      <c r="K704" s="407"/>
      <c r="L704" s="168"/>
    </row>
    <row r="705" spans="1:12" ht="15" customHeight="1" x14ac:dyDescent="0.3">
      <c r="A705" s="382" t="s">
        <v>670</v>
      </c>
      <c r="B705" s="312" t="s">
        <v>413</v>
      </c>
      <c r="C705" s="382" t="s">
        <v>414</v>
      </c>
      <c r="D705" s="382" t="s">
        <v>415</v>
      </c>
      <c r="E705" s="586" t="s">
        <v>1029</v>
      </c>
      <c r="F705" s="586"/>
      <c r="G705" s="383" t="s">
        <v>416</v>
      </c>
      <c r="H705" s="312" t="s">
        <v>1030</v>
      </c>
      <c r="I705" s="312" t="s">
        <v>3016</v>
      </c>
      <c r="J705" s="312" t="s">
        <v>1031</v>
      </c>
      <c r="K705" s="312" t="s">
        <v>1032</v>
      </c>
      <c r="L705" s="168"/>
    </row>
    <row r="706" spans="1:12" ht="14.25" customHeight="1" x14ac:dyDescent="0.3">
      <c r="A706" s="313" t="s">
        <v>1033</v>
      </c>
      <c r="B706" s="315" t="s">
        <v>9642</v>
      </c>
      <c r="C706" s="313" t="s">
        <v>2616</v>
      </c>
      <c r="D706" s="313" t="s">
        <v>8383</v>
      </c>
      <c r="E706" s="603">
        <v>11</v>
      </c>
      <c r="F706" s="603"/>
      <c r="G706" s="314" t="s">
        <v>7</v>
      </c>
      <c r="H706" s="399">
        <v>1</v>
      </c>
      <c r="I706" s="316"/>
      <c r="J706" s="316">
        <v>186.14</v>
      </c>
      <c r="K706" s="316">
        <v>186.14</v>
      </c>
      <c r="L706" s="168"/>
    </row>
    <row r="707" spans="1:12" ht="30" customHeight="1" x14ac:dyDescent="0.3">
      <c r="A707" s="400" t="s">
        <v>1038</v>
      </c>
      <c r="B707" s="401" t="s">
        <v>9361</v>
      </c>
      <c r="C707" s="400" t="s">
        <v>2616</v>
      </c>
      <c r="D707" s="400" t="s">
        <v>9362</v>
      </c>
      <c r="E707" s="605" t="s">
        <v>1039</v>
      </c>
      <c r="F707" s="605"/>
      <c r="G707" s="402" t="s">
        <v>3</v>
      </c>
      <c r="H707" s="403">
        <v>3.2</v>
      </c>
      <c r="I707" s="403">
        <v>60</v>
      </c>
      <c r="J707" s="404">
        <v>9.7799999999999994</v>
      </c>
      <c r="K707" s="404">
        <v>50.073599999999999</v>
      </c>
      <c r="L707" s="166"/>
    </row>
    <row r="708" spans="1:12" ht="30" customHeight="1" x14ac:dyDescent="0.3">
      <c r="A708" s="400" t="s">
        <v>1038</v>
      </c>
      <c r="B708" s="401" t="s">
        <v>9211</v>
      </c>
      <c r="C708" s="400" t="s">
        <v>2616</v>
      </c>
      <c r="D708" s="400" t="s">
        <v>9212</v>
      </c>
      <c r="E708" s="605" t="s">
        <v>1053</v>
      </c>
      <c r="F708" s="605"/>
      <c r="G708" s="402" t="s">
        <v>6</v>
      </c>
      <c r="H708" s="403">
        <v>3.2</v>
      </c>
      <c r="I708" s="403">
        <v>28.75</v>
      </c>
      <c r="J708" s="404">
        <v>30.79</v>
      </c>
      <c r="K708" s="404">
        <v>126.8548</v>
      </c>
      <c r="L708" s="166"/>
    </row>
    <row r="709" spans="1:12" ht="15" customHeight="1" x14ac:dyDescent="0.3">
      <c r="A709" s="400" t="s">
        <v>1038</v>
      </c>
      <c r="B709" s="401" t="s">
        <v>9503</v>
      </c>
      <c r="C709" s="400" t="s">
        <v>2616</v>
      </c>
      <c r="D709" s="400" t="s">
        <v>9504</v>
      </c>
      <c r="E709" s="605" t="s">
        <v>1039</v>
      </c>
      <c r="F709" s="605"/>
      <c r="G709" s="402" t="s">
        <v>4</v>
      </c>
      <c r="H709" s="403">
        <v>0.17</v>
      </c>
      <c r="I709" s="403">
        <v>53</v>
      </c>
      <c r="J709" s="404">
        <v>35.43</v>
      </c>
      <c r="K709" s="404">
        <v>9.2153430000000007</v>
      </c>
      <c r="L709" s="168"/>
    </row>
    <row r="710" spans="1:12" ht="15" customHeight="1" x14ac:dyDescent="0.3">
      <c r="A710" s="405"/>
      <c r="B710" s="405"/>
      <c r="C710" s="405"/>
      <c r="D710" s="405"/>
      <c r="E710" s="405" t="s">
        <v>1046</v>
      </c>
      <c r="F710" s="406">
        <v>126.85</v>
      </c>
      <c r="G710" s="405" t="s">
        <v>1047</v>
      </c>
      <c r="H710" s="406">
        <v>0</v>
      </c>
      <c r="I710" s="405" t="s">
        <v>1048</v>
      </c>
      <c r="J710" s="406">
        <v>126.85</v>
      </c>
      <c r="K710"/>
      <c r="L710" s="168"/>
    </row>
    <row r="711" spans="1:12" ht="15.6" thickBot="1" x14ac:dyDescent="0.35">
      <c r="A711" s="405"/>
      <c r="B711" s="405"/>
      <c r="C711" s="405"/>
      <c r="D711" s="405"/>
      <c r="E711" s="405" t="s">
        <v>1049</v>
      </c>
      <c r="F711" s="406">
        <v>0</v>
      </c>
      <c r="G711" s="405"/>
      <c r="H711" s="606"/>
      <c r="I711" s="606" t="s">
        <v>1050</v>
      </c>
      <c r="J711" s="406">
        <v>186.14</v>
      </c>
      <c r="K711"/>
      <c r="L711" s="168"/>
    </row>
    <row r="712" spans="1:12" ht="15.6" thickTop="1" x14ac:dyDescent="0.3">
      <c r="A712" s="407"/>
      <c r="B712" s="407"/>
      <c r="C712" s="407"/>
      <c r="D712" s="407"/>
      <c r="E712" s="407"/>
      <c r="F712" s="407"/>
      <c r="G712" s="407"/>
      <c r="H712" s="407"/>
      <c r="I712" s="407"/>
      <c r="J712" s="407"/>
      <c r="K712" s="407"/>
      <c r="L712" s="166"/>
    </row>
    <row r="713" spans="1:12" ht="25.5" customHeight="1" x14ac:dyDescent="0.3">
      <c r="A713" s="382" t="s">
        <v>671</v>
      </c>
      <c r="B713" s="312" t="s">
        <v>413</v>
      </c>
      <c r="C713" s="382" t="s">
        <v>414</v>
      </c>
      <c r="D713" s="382" t="s">
        <v>415</v>
      </c>
      <c r="E713" s="586" t="s">
        <v>1029</v>
      </c>
      <c r="F713" s="586"/>
      <c r="G713" s="383" t="s">
        <v>416</v>
      </c>
      <c r="H713" s="312" t="s">
        <v>1030</v>
      </c>
      <c r="I713" s="312" t="s">
        <v>3016</v>
      </c>
      <c r="J713" s="312" t="s">
        <v>1031</v>
      </c>
      <c r="K713" s="312" t="s">
        <v>1032</v>
      </c>
      <c r="L713" s="166"/>
    </row>
    <row r="714" spans="1:12" ht="15" customHeight="1" x14ac:dyDescent="0.3">
      <c r="A714" s="313" t="s">
        <v>1033</v>
      </c>
      <c r="B714" s="315" t="s">
        <v>9643</v>
      </c>
      <c r="C714" s="313" t="s">
        <v>408</v>
      </c>
      <c r="D714" s="313" t="s">
        <v>8378</v>
      </c>
      <c r="E714" s="603" t="s">
        <v>2276</v>
      </c>
      <c r="F714" s="603"/>
      <c r="G714" s="314" t="s">
        <v>4</v>
      </c>
      <c r="H714" s="399">
        <v>1</v>
      </c>
      <c r="I714" s="316"/>
      <c r="J714" s="316">
        <v>155.9</v>
      </c>
      <c r="K714" s="316">
        <v>155.9</v>
      </c>
      <c r="L714" s="166"/>
    </row>
    <row r="715" spans="1:12" ht="25.5" customHeight="1" x14ac:dyDescent="0.3">
      <c r="A715" s="400" t="s">
        <v>1038</v>
      </c>
      <c r="B715" s="401" t="s">
        <v>1369</v>
      </c>
      <c r="C715" s="400" t="s">
        <v>408</v>
      </c>
      <c r="D715" s="400" t="s">
        <v>1370</v>
      </c>
      <c r="E715" s="605" t="s">
        <v>1039</v>
      </c>
      <c r="F715" s="605"/>
      <c r="G715" s="402" t="s">
        <v>3</v>
      </c>
      <c r="H715" s="403">
        <v>57.92</v>
      </c>
      <c r="I715" s="403">
        <v>0</v>
      </c>
      <c r="J715" s="404">
        <v>0.71</v>
      </c>
      <c r="K715" s="404">
        <v>41.123199999999997</v>
      </c>
      <c r="L715" s="166"/>
    </row>
    <row r="716" spans="1:12" ht="25.5" customHeight="1" x14ac:dyDescent="0.3">
      <c r="A716" s="400" t="s">
        <v>1038</v>
      </c>
      <c r="B716" s="401" t="s">
        <v>1367</v>
      </c>
      <c r="C716" s="400" t="s">
        <v>408</v>
      </c>
      <c r="D716" s="400" t="s">
        <v>1368</v>
      </c>
      <c r="E716" s="605" t="s">
        <v>1039</v>
      </c>
      <c r="F716" s="605"/>
      <c r="G716" s="402" t="s">
        <v>713</v>
      </c>
      <c r="H716" s="403">
        <v>0.105</v>
      </c>
      <c r="I716" s="403">
        <v>0</v>
      </c>
      <c r="J716" s="404">
        <v>106.37</v>
      </c>
      <c r="K716" s="404">
        <v>11.168850000000001</v>
      </c>
      <c r="L716" s="166"/>
    </row>
    <row r="717" spans="1:12" ht="14.25" customHeight="1" x14ac:dyDescent="0.3">
      <c r="A717" s="400" t="s">
        <v>1038</v>
      </c>
      <c r="B717" s="401" t="s">
        <v>9444</v>
      </c>
      <c r="C717" s="400" t="s">
        <v>408</v>
      </c>
      <c r="D717" s="400" t="s">
        <v>9445</v>
      </c>
      <c r="E717" s="605" t="s">
        <v>1039</v>
      </c>
      <c r="F717" s="605"/>
      <c r="G717" s="402" t="s">
        <v>713</v>
      </c>
      <c r="H717" s="403">
        <v>0.125</v>
      </c>
      <c r="I717" s="403">
        <v>0</v>
      </c>
      <c r="J717" s="404">
        <v>127.33</v>
      </c>
      <c r="K717" s="404">
        <v>15.91625</v>
      </c>
      <c r="L717" s="166"/>
    </row>
    <row r="718" spans="1:12" ht="30" customHeight="1" x14ac:dyDescent="0.3">
      <c r="A718" s="400" t="s">
        <v>1038</v>
      </c>
      <c r="B718" s="401" t="s">
        <v>6536</v>
      </c>
      <c r="C718" s="400" t="s">
        <v>408</v>
      </c>
      <c r="D718" s="400" t="s">
        <v>1464</v>
      </c>
      <c r="E718" s="605" t="s">
        <v>1053</v>
      </c>
      <c r="F718" s="605"/>
      <c r="G718" s="402" t="s">
        <v>6</v>
      </c>
      <c r="H718" s="403">
        <v>0.85099999999999998</v>
      </c>
      <c r="I718" s="403">
        <v>0</v>
      </c>
      <c r="J718" s="404">
        <v>28.35</v>
      </c>
      <c r="K718" s="404">
        <v>24.12585</v>
      </c>
      <c r="L718" s="166"/>
    </row>
    <row r="719" spans="1:12" ht="15" customHeight="1" x14ac:dyDescent="0.3">
      <c r="A719" s="400" t="s">
        <v>1038</v>
      </c>
      <c r="B719" s="401" t="s">
        <v>6167</v>
      </c>
      <c r="C719" s="400" t="s">
        <v>408</v>
      </c>
      <c r="D719" s="400" t="s">
        <v>1466</v>
      </c>
      <c r="E719" s="605" t="s">
        <v>1053</v>
      </c>
      <c r="F719" s="605"/>
      <c r="G719" s="402" t="s">
        <v>6</v>
      </c>
      <c r="H719" s="403">
        <v>3.1040000000000001</v>
      </c>
      <c r="I719" s="403">
        <v>0</v>
      </c>
      <c r="J719" s="404">
        <v>20.48</v>
      </c>
      <c r="K719" s="404">
        <v>63.569920000000003</v>
      </c>
      <c r="L719" s="168"/>
    </row>
    <row r="720" spans="1:12" ht="15" x14ac:dyDescent="0.3">
      <c r="A720" s="405"/>
      <c r="B720" s="405"/>
      <c r="C720" s="405"/>
      <c r="D720" s="405"/>
      <c r="E720" s="405" t="s">
        <v>1046</v>
      </c>
      <c r="F720" s="406">
        <v>87.7</v>
      </c>
      <c r="G720" s="405" t="s">
        <v>1047</v>
      </c>
      <c r="H720" s="406">
        <v>0</v>
      </c>
      <c r="I720" s="405" t="s">
        <v>1048</v>
      </c>
      <c r="J720" s="406">
        <v>87.7</v>
      </c>
      <c r="K720"/>
      <c r="L720" s="167"/>
    </row>
    <row r="721" spans="1:12" ht="15.6" thickBot="1" x14ac:dyDescent="0.35">
      <c r="A721" s="405"/>
      <c r="B721" s="405"/>
      <c r="C721" s="405"/>
      <c r="D721" s="405"/>
      <c r="E721" s="405" t="s">
        <v>1049</v>
      </c>
      <c r="F721" s="406">
        <v>0</v>
      </c>
      <c r="G721" s="405"/>
      <c r="H721" s="606"/>
      <c r="I721" s="606" t="s">
        <v>1050</v>
      </c>
      <c r="J721" s="406">
        <v>155.9</v>
      </c>
      <c r="K721"/>
      <c r="L721" s="168"/>
    </row>
    <row r="722" spans="1:12" ht="15.6" thickTop="1" x14ac:dyDescent="0.3">
      <c r="A722" s="407"/>
      <c r="B722" s="407"/>
      <c r="C722" s="407"/>
      <c r="D722" s="407"/>
      <c r="E722" s="407"/>
      <c r="F722" s="407"/>
      <c r="G722" s="407"/>
      <c r="H722" s="407"/>
      <c r="I722" s="407"/>
      <c r="J722" s="407"/>
      <c r="K722" s="407"/>
      <c r="L722" s="168"/>
    </row>
    <row r="723" spans="1:12" ht="15" customHeight="1" x14ac:dyDescent="0.3">
      <c r="A723" s="382" t="s">
        <v>672</v>
      </c>
      <c r="B723" s="312" t="s">
        <v>413</v>
      </c>
      <c r="C723" s="382" t="s">
        <v>414</v>
      </c>
      <c r="D723" s="382" t="s">
        <v>415</v>
      </c>
      <c r="E723" s="586" t="s">
        <v>1029</v>
      </c>
      <c r="F723" s="586"/>
      <c r="G723" s="383" t="s">
        <v>416</v>
      </c>
      <c r="H723" s="312" t="s">
        <v>1030</v>
      </c>
      <c r="I723" s="312" t="s">
        <v>3016</v>
      </c>
      <c r="J723" s="312" t="s">
        <v>1031</v>
      </c>
      <c r="K723" s="312" t="s">
        <v>1032</v>
      </c>
      <c r="L723" s="168"/>
    </row>
    <row r="724" spans="1:12" ht="25.5" customHeight="1" x14ac:dyDescent="0.3">
      <c r="A724" s="313" t="s">
        <v>1033</v>
      </c>
      <c r="B724" s="315" t="s">
        <v>2220</v>
      </c>
      <c r="C724" s="313" t="s">
        <v>5902</v>
      </c>
      <c r="D724" s="313" t="s">
        <v>2014</v>
      </c>
      <c r="E724" s="603">
        <v>13.01</v>
      </c>
      <c r="F724" s="603"/>
      <c r="G724" s="314" t="s">
        <v>675</v>
      </c>
      <c r="H724" s="399">
        <v>1</v>
      </c>
      <c r="I724" s="316"/>
      <c r="J724" s="316">
        <v>204.2</v>
      </c>
      <c r="K724" s="316">
        <v>204.2</v>
      </c>
      <c r="L724" s="168"/>
    </row>
    <row r="725" spans="1:12" ht="25.5" customHeight="1" x14ac:dyDescent="0.3">
      <c r="A725" s="400" t="s">
        <v>1038</v>
      </c>
      <c r="B725" s="401" t="s">
        <v>1616</v>
      </c>
      <c r="C725" s="400" t="s">
        <v>5902</v>
      </c>
      <c r="D725" s="400" t="s">
        <v>1617</v>
      </c>
      <c r="E725" s="605" t="s">
        <v>1053</v>
      </c>
      <c r="F725" s="605"/>
      <c r="G725" s="402" t="s">
        <v>6</v>
      </c>
      <c r="H725" s="403">
        <v>0.22</v>
      </c>
      <c r="I725" s="403">
        <v>0</v>
      </c>
      <c r="J725" s="404">
        <v>27.64</v>
      </c>
      <c r="K725" s="404">
        <v>6.0808</v>
      </c>
      <c r="L725" s="166"/>
    </row>
    <row r="726" spans="1:12" ht="26.4" x14ac:dyDescent="0.3">
      <c r="A726" s="400" t="s">
        <v>1038</v>
      </c>
      <c r="B726" s="401" t="s">
        <v>1618</v>
      </c>
      <c r="C726" s="400" t="s">
        <v>5902</v>
      </c>
      <c r="D726" s="400" t="s">
        <v>1619</v>
      </c>
      <c r="E726" s="605" t="s">
        <v>1053</v>
      </c>
      <c r="F726" s="605"/>
      <c r="G726" s="402" t="s">
        <v>6</v>
      </c>
      <c r="H726" s="403">
        <v>0.22</v>
      </c>
      <c r="I726" s="403">
        <v>0</v>
      </c>
      <c r="J726" s="404">
        <v>22.71</v>
      </c>
      <c r="K726" s="404">
        <v>4.9962</v>
      </c>
      <c r="L726" s="166"/>
    </row>
    <row r="727" spans="1:12" ht="12.75" customHeight="1" x14ac:dyDescent="0.3">
      <c r="A727" s="400" t="s">
        <v>1038</v>
      </c>
      <c r="B727" s="401" t="s">
        <v>1469</v>
      </c>
      <c r="C727" s="400" t="s">
        <v>5902</v>
      </c>
      <c r="D727" s="400" t="s">
        <v>1470</v>
      </c>
      <c r="E727" s="605" t="s">
        <v>1053</v>
      </c>
      <c r="F727" s="605"/>
      <c r="G727" s="402" t="s">
        <v>6</v>
      </c>
      <c r="H727" s="403">
        <v>0.4</v>
      </c>
      <c r="I727" s="403">
        <v>0</v>
      </c>
      <c r="J727" s="404">
        <v>27.64</v>
      </c>
      <c r="K727" s="404">
        <v>11.055999999999999</v>
      </c>
      <c r="L727" s="168"/>
    </row>
    <row r="728" spans="1:12" ht="15" customHeight="1" x14ac:dyDescent="0.3">
      <c r="A728" s="400" t="s">
        <v>1038</v>
      </c>
      <c r="B728" s="401" t="s">
        <v>1467</v>
      </c>
      <c r="C728" s="400" t="s">
        <v>5902</v>
      </c>
      <c r="D728" s="400" t="s">
        <v>1468</v>
      </c>
      <c r="E728" s="605" t="s">
        <v>1053</v>
      </c>
      <c r="F728" s="605"/>
      <c r="G728" s="402" t="s">
        <v>6</v>
      </c>
      <c r="H728" s="403">
        <v>0.8</v>
      </c>
      <c r="I728" s="403">
        <v>0</v>
      </c>
      <c r="J728" s="404">
        <v>22.71</v>
      </c>
      <c r="K728" s="404">
        <v>18.167999999999999</v>
      </c>
      <c r="L728" s="168"/>
    </row>
    <row r="729" spans="1:12" ht="17.399999999999999" customHeight="1" x14ac:dyDescent="0.3">
      <c r="A729" s="400" t="s">
        <v>1038</v>
      </c>
      <c r="B729" s="401" t="s">
        <v>2562</v>
      </c>
      <c r="C729" s="400" t="s">
        <v>5902</v>
      </c>
      <c r="D729" s="400" t="s">
        <v>2563</v>
      </c>
      <c r="E729" s="605" t="s">
        <v>1039</v>
      </c>
      <c r="F729" s="605"/>
      <c r="G729" s="402" t="s">
        <v>713</v>
      </c>
      <c r="H729" s="403">
        <v>5.5E-2</v>
      </c>
      <c r="I729" s="403">
        <v>0</v>
      </c>
      <c r="J729" s="404">
        <v>492.34</v>
      </c>
      <c r="K729" s="404">
        <v>27.078700000000001</v>
      </c>
      <c r="L729" s="168"/>
    </row>
    <row r="730" spans="1:12" ht="26.4" x14ac:dyDescent="0.3">
      <c r="A730" s="400" t="s">
        <v>1038</v>
      </c>
      <c r="B730" s="401" t="s">
        <v>2564</v>
      </c>
      <c r="C730" s="400" t="s">
        <v>5902</v>
      </c>
      <c r="D730" s="400" t="s">
        <v>2565</v>
      </c>
      <c r="E730" s="605" t="s">
        <v>1039</v>
      </c>
      <c r="F730" s="605"/>
      <c r="G730" s="402" t="s">
        <v>675</v>
      </c>
      <c r="H730" s="403">
        <v>1</v>
      </c>
      <c r="I730" s="403">
        <v>0</v>
      </c>
      <c r="J730" s="404">
        <v>87.92</v>
      </c>
      <c r="K730" s="404">
        <v>87.92</v>
      </c>
      <c r="L730" s="168"/>
    </row>
    <row r="731" spans="1:12" ht="25.5" customHeight="1" x14ac:dyDescent="0.3">
      <c r="A731" s="400" t="s">
        <v>1038</v>
      </c>
      <c r="B731" s="401" t="s">
        <v>2398</v>
      </c>
      <c r="C731" s="400" t="s">
        <v>5902</v>
      </c>
      <c r="D731" s="400" t="s">
        <v>2399</v>
      </c>
      <c r="E731" s="605" t="s">
        <v>1039</v>
      </c>
      <c r="F731" s="605"/>
      <c r="G731" s="402" t="s">
        <v>7</v>
      </c>
      <c r="H731" s="403">
        <v>1.01</v>
      </c>
      <c r="I731" s="403">
        <v>0</v>
      </c>
      <c r="J731" s="404">
        <v>22.76</v>
      </c>
      <c r="K731" s="404">
        <v>22.9876</v>
      </c>
      <c r="L731" s="166"/>
    </row>
    <row r="732" spans="1:12" ht="25.5" customHeight="1" x14ac:dyDescent="0.3">
      <c r="A732" s="400" t="s">
        <v>1038</v>
      </c>
      <c r="B732" s="401" t="s">
        <v>1623</v>
      </c>
      <c r="C732" s="400" t="s">
        <v>5902</v>
      </c>
      <c r="D732" s="400" t="s">
        <v>1624</v>
      </c>
      <c r="E732" s="605" t="s">
        <v>1039</v>
      </c>
      <c r="F732" s="605"/>
      <c r="G732" s="402" t="s">
        <v>7</v>
      </c>
      <c r="H732" s="403">
        <v>0.74</v>
      </c>
      <c r="I732" s="403">
        <v>0</v>
      </c>
      <c r="J732" s="404">
        <v>7.82</v>
      </c>
      <c r="K732" s="404">
        <v>5.7868000000000004</v>
      </c>
      <c r="L732" s="168"/>
    </row>
    <row r="733" spans="1:12" ht="25.5" customHeight="1" x14ac:dyDescent="0.3">
      <c r="A733" s="400" t="s">
        <v>1038</v>
      </c>
      <c r="B733" s="401" t="s">
        <v>1625</v>
      </c>
      <c r="C733" s="400" t="s">
        <v>5902</v>
      </c>
      <c r="D733" s="400" t="s">
        <v>1626</v>
      </c>
      <c r="E733" s="605" t="s">
        <v>1039</v>
      </c>
      <c r="F733" s="605"/>
      <c r="G733" s="402" t="s">
        <v>675</v>
      </c>
      <c r="H733" s="403">
        <v>0.18</v>
      </c>
      <c r="I733" s="403">
        <v>0</v>
      </c>
      <c r="J733" s="404">
        <v>110.72</v>
      </c>
      <c r="K733" s="404">
        <v>19.929600000000001</v>
      </c>
      <c r="L733" s="168"/>
    </row>
    <row r="734" spans="1:12" ht="25.5" customHeight="1" x14ac:dyDescent="0.3">
      <c r="A734" s="400" t="s">
        <v>1038</v>
      </c>
      <c r="B734" s="401" t="s">
        <v>1627</v>
      </c>
      <c r="C734" s="400" t="s">
        <v>5902</v>
      </c>
      <c r="D734" s="400" t="s">
        <v>1628</v>
      </c>
      <c r="E734" s="605" t="s">
        <v>1039</v>
      </c>
      <c r="F734" s="605"/>
      <c r="G734" s="402" t="s">
        <v>3</v>
      </c>
      <c r="H734" s="403">
        <v>0.02</v>
      </c>
      <c r="I734" s="403">
        <v>0</v>
      </c>
      <c r="J734" s="404">
        <v>9.9</v>
      </c>
      <c r="K734" s="404">
        <v>0.19800000000000001</v>
      </c>
      <c r="L734" s="168"/>
    </row>
    <row r="735" spans="1:12" ht="25.5" customHeight="1" x14ac:dyDescent="0.3">
      <c r="A735" s="405"/>
      <c r="B735" s="405"/>
      <c r="C735" s="405"/>
      <c r="D735" s="405"/>
      <c r="E735" s="405" t="s">
        <v>1046</v>
      </c>
      <c r="F735" s="406">
        <v>40.31</v>
      </c>
      <c r="G735" s="405" t="s">
        <v>1047</v>
      </c>
      <c r="H735" s="406">
        <v>0</v>
      </c>
      <c r="I735" s="405" t="s">
        <v>1048</v>
      </c>
      <c r="J735" s="406">
        <v>40.31</v>
      </c>
      <c r="K735"/>
      <c r="L735" s="166"/>
    </row>
    <row r="736" spans="1:12" ht="15.6" thickBot="1" x14ac:dyDescent="0.35">
      <c r="A736" s="405"/>
      <c r="B736" s="405"/>
      <c r="C736" s="405"/>
      <c r="D736" s="405"/>
      <c r="E736" s="405" t="s">
        <v>1049</v>
      </c>
      <c r="F736" s="406">
        <v>0</v>
      </c>
      <c r="G736" s="405"/>
      <c r="H736" s="606"/>
      <c r="I736" s="606" t="s">
        <v>1050</v>
      </c>
      <c r="J736" s="406">
        <v>204.2</v>
      </c>
      <c r="K736"/>
      <c r="L736" s="166"/>
    </row>
    <row r="737" spans="1:12" ht="15" customHeight="1" thickTop="1" x14ac:dyDescent="0.3">
      <c r="A737" s="407"/>
      <c r="B737" s="407"/>
      <c r="C737" s="407"/>
      <c r="D737" s="407"/>
      <c r="E737" s="407"/>
      <c r="F737" s="407"/>
      <c r="G737" s="407"/>
      <c r="H737" s="407"/>
      <c r="I737" s="407"/>
      <c r="J737" s="407"/>
      <c r="K737" s="407"/>
      <c r="L737" s="168"/>
    </row>
    <row r="738" spans="1:12" ht="15" x14ac:dyDescent="0.3">
      <c r="A738" s="382" t="s">
        <v>673</v>
      </c>
      <c r="B738" s="312" t="s">
        <v>413</v>
      </c>
      <c r="C738" s="382" t="s">
        <v>414</v>
      </c>
      <c r="D738" s="382" t="s">
        <v>415</v>
      </c>
      <c r="E738" s="586" t="s">
        <v>1029</v>
      </c>
      <c r="F738" s="586"/>
      <c r="G738" s="383" t="s">
        <v>416</v>
      </c>
      <c r="H738" s="312" t="s">
        <v>1030</v>
      </c>
      <c r="I738" s="312" t="s">
        <v>3016</v>
      </c>
      <c r="J738" s="312" t="s">
        <v>1031</v>
      </c>
      <c r="K738" s="312" t="s">
        <v>1032</v>
      </c>
      <c r="L738" s="168"/>
    </row>
    <row r="739" spans="1:12" ht="26.4" x14ac:dyDescent="0.3">
      <c r="A739" s="313" t="s">
        <v>1033</v>
      </c>
      <c r="B739" s="315" t="s">
        <v>842</v>
      </c>
      <c r="C739" s="313" t="s">
        <v>5902</v>
      </c>
      <c r="D739" s="313" t="s">
        <v>843</v>
      </c>
      <c r="E739" s="603">
        <v>9.02</v>
      </c>
      <c r="F739" s="603"/>
      <c r="G739" s="314" t="s">
        <v>675</v>
      </c>
      <c r="H739" s="399">
        <v>1</v>
      </c>
      <c r="I739" s="316"/>
      <c r="J739" s="316">
        <v>192.39</v>
      </c>
      <c r="K739" s="316">
        <v>192.39</v>
      </c>
      <c r="L739" s="168"/>
    </row>
    <row r="740" spans="1:12" ht="26.4" x14ac:dyDescent="0.3">
      <c r="A740" s="400" t="s">
        <v>1038</v>
      </c>
      <c r="B740" s="401" t="s">
        <v>1620</v>
      </c>
      <c r="C740" s="400" t="s">
        <v>5902</v>
      </c>
      <c r="D740" s="400" t="s">
        <v>1621</v>
      </c>
      <c r="E740" s="605" t="s">
        <v>1039</v>
      </c>
      <c r="F740" s="605"/>
      <c r="G740" s="402" t="s">
        <v>1622</v>
      </c>
      <c r="H740" s="403">
        <v>20.593</v>
      </c>
      <c r="I740" s="403">
        <v>0</v>
      </c>
      <c r="J740" s="404">
        <v>1.48</v>
      </c>
      <c r="K740" s="404">
        <v>30.477640000000001</v>
      </c>
      <c r="L740" s="166"/>
    </row>
    <row r="741" spans="1:12" ht="26.4" x14ac:dyDescent="0.3">
      <c r="A741" s="400" t="s">
        <v>1038</v>
      </c>
      <c r="B741" s="401" t="s">
        <v>1618</v>
      </c>
      <c r="C741" s="400" t="s">
        <v>5902</v>
      </c>
      <c r="D741" s="400" t="s">
        <v>1619</v>
      </c>
      <c r="E741" s="605" t="s">
        <v>1053</v>
      </c>
      <c r="F741" s="605"/>
      <c r="G741" s="402" t="s">
        <v>6</v>
      </c>
      <c r="H741" s="403">
        <v>1.4</v>
      </c>
      <c r="I741" s="403">
        <v>0</v>
      </c>
      <c r="J741" s="404">
        <v>22.71</v>
      </c>
      <c r="K741" s="404">
        <v>31.794</v>
      </c>
      <c r="L741" s="166"/>
    </row>
    <row r="742" spans="1:12" ht="17.399999999999999" customHeight="1" x14ac:dyDescent="0.3">
      <c r="A742" s="400" t="s">
        <v>1038</v>
      </c>
      <c r="B742" s="401" t="s">
        <v>1616</v>
      </c>
      <c r="C742" s="400" t="s">
        <v>5902</v>
      </c>
      <c r="D742" s="400" t="s">
        <v>1617</v>
      </c>
      <c r="E742" s="605" t="s">
        <v>1053</v>
      </c>
      <c r="F742" s="605"/>
      <c r="G742" s="402" t="s">
        <v>6</v>
      </c>
      <c r="H742" s="403">
        <v>1.4</v>
      </c>
      <c r="I742" s="403">
        <v>0</v>
      </c>
      <c r="J742" s="404">
        <v>27.64</v>
      </c>
      <c r="K742" s="404">
        <v>38.695999999999998</v>
      </c>
      <c r="L742" s="166"/>
    </row>
    <row r="743" spans="1:12" ht="26.4" x14ac:dyDescent="0.3">
      <c r="A743" s="400" t="s">
        <v>1038</v>
      </c>
      <c r="B743" s="401" t="s">
        <v>1467</v>
      </c>
      <c r="C743" s="400" t="s">
        <v>5902</v>
      </c>
      <c r="D743" s="400" t="s">
        <v>1468</v>
      </c>
      <c r="E743" s="605" t="s">
        <v>1053</v>
      </c>
      <c r="F743" s="605"/>
      <c r="G743" s="402" t="s">
        <v>6</v>
      </c>
      <c r="H743" s="403">
        <v>0.3</v>
      </c>
      <c r="I743" s="403">
        <v>0</v>
      </c>
      <c r="J743" s="404">
        <v>22.71</v>
      </c>
      <c r="K743" s="404">
        <v>6.8129999999999997</v>
      </c>
      <c r="L743" s="166"/>
    </row>
    <row r="744" spans="1:12" ht="38.25" customHeight="1" x14ac:dyDescent="0.3">
      <c r="A744" s="400" t="s">
        <v>1038</v>
      </c>
      <c r="B744" s="401" t="s">
        <v>1623</v>
      </c>
      <c r="C744" s="400" t="s">
        <v>5902</v>
      </c>
      <c r="D744" s="400" t="s">
        <v>1624</v>
      </c>
      <c r="E744" s="605" t="s">
        <v>1039</v>
      </c>
      <c r="F744" s="605"/>
      <c r="G744" s="402" t="s">
        <v>7</v>
      </c>
      <c r="H744" s="403">
        <v>1.53</v>
      </c>
      <c r="I744" s="403">
        <v>0</v>
      </c>
      <c r="J744" s="404">
        <v>7.82</v>
      </c>
      <c r="K744" s="404">
        <v>11.964600000000001</v>
      </c>
      <c r="L744" s="166"/>
    </row>
    <row r="745" spans="1:12" ht="38.25" customHeight="1" x14ac:dyDescent="0.3">
      <c r="A745" s="400" t="s">
        <v>1038</v>
      </c>
      <c r="B745" s="401" t="s">
        <v>1625</v>
      </c>
      <c r="C745" s="400" t="s">
        <v>5902</v>
      </c>
      <c r="D745" s="400" t="s">
        <v>1626</v>
      </c>
      <c r="E745" s="605" t="s">
        <v>1039</v>
      </c>
      <c r="F745" s="605"/>
      <c r="G745" s="402" t="s">
        <v>675</v>
      </c>
      <c r="H745" s="403">
        <v>0.48</v>
      </c>
      <c r="I745" s="403">
        <v>0</v>
      </c>
      <c r="J745" s="404">
        <v>110.72</v>
      </c>
      <c r="K745" s="404">
        <v>53.145600000000002</v>
      </c>
      <c r="L745" s="166"/>
    </row>
    <row r="746" spans="1:12" ht="26.4" x14ac:dyDescent="0.3">
      <c r="A746" s="400" t="s">
        <v>1038</v>
      </c>
      <c r="B746" s="401" t="s">
        <v>7161</v>
      </c>
      <c r="C746" s="400" t="s">
        <v>5902</v>
      </c>
      <c r="D746" s="400" t="s">
        <v>7162</v>
      </c>
      <c r="E746" s="605" t="s">
        <v>1039</v>
      </c>
      <c r="F746" s="605"/>
      <c r="G746" s="402" t="s">
        <v>675</v>
      </c>
      <c r="H746" s="403">
        <v>0.43</v>
      </c>
      <c r="I746" s="403">
        <v>0</v>
      </c>
      <c r="J746" s="404">
        <v>39.270000000000003</v>
      </c>
      <c r="K746" s="404">
        <v>16.886099999999999</v>
      </c>
      <c r="L746" s="166"/>
    </row>
    <row r="747" spans="1:12" ht="14.25" customHeight="1" x14ac:dyDescent="0.3">
      <c r="A747" s="400" t="s">
        <v>1038</v>
      </c>
      <c r="B747" s="401" t="s">
        <v>1627</v>
      </c>
      <c r="C747" s="400" t="s">
        <v>5902</v>
      </c>
      <c r="D747" s="400" t="s">
        <v>1628</v>
      </c>
      <c r="E747" s="605" t="s">
        <v>1039</v>
      </c>
      <c r="F747" s="605"/>
      <c r="G747" s="402" t="s">
        <v>3</v>
      </c>
      <c r="H747" s="403">
        <v>0.25</v>
      </c>
      <c r="I747" s="403">
        <v>0</v>
      </c>
      <c r="J747" s="404">
        <v>9.9</v>
      </c>
      <c r="K747" s="404">
        <v>2.4750000000000001</v>
      </c>
      <c r="L747" s="168"/>
    </row>
    <row r="748" spans="1:12" ht="15" customHeight="1" x14ac:dyDescent="0.3">
      <c r="A748" s="400" t="s">
        <v>1038</v>
      </c>
      <c r="B748" s="401" t="s">
        <v>1629</v>
      </c>
      <c r="C748" s="400" t="s">
        <v>5902</v>
      </c>
      <c r="D748" s="400" t="s">
        <v>1630</v>
      </c>
      <c r="E748" s="605" t="s">
        <v>1039</v>
      </c>
      <c r="F748" s="605"/>
      <c r="G748" s="402" t="s">
        <v>8</v>
      </c>
      <c r="H748" s="403">
        <v>0.01</v>
      </c>
      <c r="I748" s="403">
        <v>0</v>
      </c>
      <c r="J748" s="404">
        <v>13.82</v>
      </c>
      <c r="K748" s="404">
        <v>0.13819999999999999</v>
      </c>
      <c r="L748" s="167"/>
    </row>
    <row r="749" spans="1:12" ht="15" x14ac:dyDescent="0.3">
      <c r="A749" s="405"/>
      <c r="B749" s="405"/>
      <c r="C749" s="405"/>
      <c r="D749" s="405"/>
      <c r="E749" s="405" t="s">
        <v>1046</v>
      </c>
      <c r="F749" s="406">
        <v>77.3</v>
      </c>
      <c r="G749" s="405" t="s">
        <v>1047</v>
      </c>
      <c r="H749" s="406">
        <v>0</v>
      </c>
      <c r="I749" s="405" t="s">
        <v>1048</v>
      </c>
      <c r="J749" s="406">
        <v>77.3</v>
      </c>
      <c r="K749"/>
      <c r="L749" s="168"/>
    </row>
    <row r="750" spans="1:12" ht="15.6" thickBot="1" x14ac:dyDescent="0.35">
      <c r="A750" s="405"/>
      <c r="B750" s="405"/>
      <c r="C750" s="405"/>
      <c r="D750" s="405"/>
      <c r="E750" s="405" t="s">
        <v>1049</v>
      </c>
      <c r="F750" s="406">
        <v>0</v>
      </c>
      <c r="G750" s="405"/>
      <c r="H750" s="606"/>
      <c r="I750" s="606" t="s">
        <v>1050</v>
      </c>
      <c r="J750" s="406">
        <v>192.39</v>
      </c>
      <c r="K750"/>
      <c r="L750" s="168"/>
    </row>
    <row r="751" spans="1:12" ht="38.25" customHeight="1" thickTop="1" x14ac:dyDescent="0.3">
      <c r="A751" s="407"/>
      <c r="B751" s="407"/>
      <c r="C751" s="407"/>
      <c r="D751" s="407"/>
      <c r="E751" s="407"/>
      <c r="F751" s="407"/>
      <c r="G751" s="407"/>
      <c r="H751" s="407"/>
      <c r="I751" s="407"/>
      <c r="J751" s="407"/>
      <c r="K751" s="407"/>
      <c r="L751" s="168"/>
    </row>
    <row r="752" spans="1:12" ht="15" customHeight="1" x14ac:dyDescent="0.3">
      <c r="A752" s="382" t="s">
        <v>674</v>
      </c>
      <c r="B752" s="312" t="s">
        <v>413</v>
      </c>
      <c r="C752" s="382" t="s">
        <v>414</v>
      </c>
      <c r="D752" s="382" t="s">
        <v>415</v>
      </c>
      <c r="E752" s="586" t="s">
        <v>1029</v>
      </c>
      <c r="F752" s="586"/>
      <c r="G752" s="383" t="s">
        <v>416</v>
      </c>
      <c r="H752" s="312" t="s">
        <v>1030</v>
      </c>
      <c r="I752" s="312" t="s">
        <v>3016</v>
      </c>
      <c r="J752" s="312" t="s">
        <v>1031</v>
      </c>
      <c r="K752" s="312" t="s">
        <v>1032</v>
      </c>
      <c r="L752" s="168"/>
    </row>
    <row r="753" spans="1:12" ht="26.4" x14ac:dyDescent="0.3">
      <c r="A753" s="313" t="s">
        <v>1033</v>
      </c>
      <c r="B753" s="315" t="s">
        <v>2998</v>
      </c>
      <c r="C753" s="313" t="s">
        <v>5902</v>
      </c>
      <c r="D753" s="313" t="s">
        <v>2902</v>
      </c>
      <c r="E753" s="603">
        <v>11.2</v>
      </c>
      <c r="F753" s="603"/>
      <c r="G753" s="314" t="s">
        <v>675</v>
      </c>
      <c r="H753" s="399">
        <v>1</v>
      </c>
      <c r="I753" s="316"/>
      <c r="J753" s="316">
        <v>9.76</v>
      </c>
      <c r="K753" s="316">
        <v>9.76</v>
      </c>
      <c r="L753" s="166"/>
    </row>
    <row r="754" spans="1:12" ht="26.4" x14ac:dyDescent="0.3">
      <c r="A754" s="400" t="s">
        <v>1038</v>
      </c>
      <c r="B754" s="401" t="s">
        <v>1467</v>
      </c>
      <c r="C754" s="400" t="s">
        <v>5902</v>
      </c>
      <c r="D754" s="400" t="s">
        <v>1468</v>
      </c>
      <c r="E754" s="605" t="s">
        <v>1053</v>
      </c>
      <c r="F754" s="605"/>
      <c r="G754" s="402" t="s">
        <v>6</v>
      </c>
      <c r="H754" s="403">
        <v>0.25</v>
      </c>
      <c r="I754" s="403">
        <v>0</v>
      </c>
      <c r="J754" s="404">
        <v>22.71</v>
      </c>
      <c r="K754" s="404">
        <v>5.6775000000000002</v>
      </c>
      <c r="L754" s="166"/>
    </row>
    <row r="755" spans="1:12" ht="14.25" customHeight="1" x14ac:dyDescent="0.3">
      <c r="A755" s="400" t="s">
        <v>1038</v>
      </c>
      <c r="B755" s="401" t="s">
        <v>3242</v>
      </c>
      <c r="C755" s="400" t="s">
        <v>5902</v>
      </c>
      <c r="D755" s="400" t="s">
        <v>3243</v>
      </c>
      <c r="E755" s="605" t="s">
        <v>1039</v>
      </c>
      <c r="F755" s="605"/>
      <c r="G755" s="402" t="s">
        <v>8</v>
      </c>
      <c r="H755" s="403">
        <v>0.3</v>
      </c>
      <c r="I755" s="403">
        <v>0</v>
      </c>
      <c r="J755" s="404">
        <v>13.6</v>
      </c>
      <c r="K755" s="404">
        <v>4.08</v>
      </c>
      <c r="L755" s="168"/>
    </row>
    <row r="756" spans="1:12" ht="14.25" customHeight="1" x14ac:dyDescent="0.3">
      <c r="A756" s="405"/>
      <c r="B756" s="405"/>
      <c r="C756" s="405"/>
      <c r="D756" s="405"/>
      <c r="E756" s="405" t="s">
        <v>1046</v>
      </c>
      <c r="F756" s="406">
        <v>5.68</v>
      </c>
      <c r="G756" s="405" t="s">
        <v>1047</v>
      </c>
      <c r="H756" s="406">
        <v>0</v>
      </c>
      <c r="I756" s="405" t="s">
        <v>1048</v>
      </c>
      <c r="J756" s="406">
        <v>5.68</v>
      </c>
      <c r="K756"/>
      <c r="L756" s="168"/>
    </row>
    <row r="757" spans="1:12" ht="15" customHeight="1" thickBot="1" x14ac:dyDescent="0.35">
      <c r="A757" s="405"/>
      <c r="B757" s="405"/>
      <c r="C757" s="405"/>
      <c r="D757" s="405"/>
      <c r="E757" s="405" t="s">
        <v>1049</v>
      </c>
      <c r="F757" s="406">
        <v>0</v>
      </c>
      <c r="G757" s="405"/>
      <c r="H757" s="606"/>
      <c r="I757" s="606" t="s">
        <v>1050</v>
      </c>
      <c r="J757" s="406">
        <v>9.76</v>
      </c>
      <c r="K757"/>
      <c r="L757" s="168"/>
    </row>
    <row r="758" spans="1:12" ht="15.6" thickTop="1" x14ac:dyDescent="0.3">
      <c r="A758" s="407"/>
      <c r="B758" s="407"/>
      <c r="C758" s="407"/>
      <c r="D758" s="407"/>
      <c r="E758" s="407"/>
      <c r="F758" s="407"/>
      <c r="G758" s="407"/>
      <c r="H758" s="407"/>
      <c r="I758" s="407"/>
      <c r="J758" s="407"/>
      <c r="K758" s="407"/>
      <c r="L758" s="168"/>
    </row>
    <row r="759" spans="1:12" ht="38.25" customHeight="1" x14ac:dyDescent="0.3">
      <c r="A759" s="382" t="s">
        <v>676</v>
      </c>
      <c r="B759" s="312" t="s">
        <v>413</v>
      </c>
      <c r="C759" s="382" t="s">
        <v>414</v>
      </c>
      <c r="D759" s="382" t="s">
        <v>415</v>
      </c>
      <c r="E759" s="586" t="s">
        <v>1029</v>
      </c>
      <c r="F759" s="586"/>
      <c r="G759" s="383" t="s">
        <v>416</v>
      </c>
      <c r="H759" s="312" t="s">
        <v>1030</v>
      </c>
      <c r="I759" s="312" t="s">
        <v>3016</v>
      </c>
      <c r="J759" s="312" t="s">
        <v>1031</v>
      </c>
      <c r="K759" s="312" t="s">
        <v>1032</v>
      </c>
      <c r="L759" s="166"/>
    </row>
    <row r="760" spans="1:12" ht="39.6" x14ac:dyDescent="0.3">
      <c r="A760" s="313" t="s">
        <v>1033</v>
      </c>
      <c r="B760" s="315" t="s">
        <v>3802</v>
      </c>
      <c r="C760" s="313" t="s">
        <v>395</v>
      </c>
      <c r="D760" s="313" t="s">
        <v>5918</v>
      </c>
      <c r="E760" s="603" t="s">
        <v>7820</v>
      </c>
      <c r="F760" s="603"/>
      <c r="G760" s="314" t="s">
        <v>3</v>
      </c>
      <c r="H760" s="399">
        <v>1</v>
      </c>
      <c r="I760" s="316"/>
      <c r="J760" s="316">
        <v>16.86</v>
      </c>
      <c r="K760" s="316">
        <v>16.86</v>
      </c>
      <c r="L760" s="168"/>
    </row>
    <row r="761" spans="1:12" ht="25.5" customHeight="1" x14ac:dyDescent="0.3">
      <c r="A761" s="408" t="s">
        <v>1034</v>
      </c>
      <c r="B761" s="409" t="s">
        <v>1315</v>
      </c>
      <c r="C761" s="408" t="s">
        <v>395</v>
      </c>
      <c r="D761" s="408" t="s">
        <v>123</v>
      </c>
      <c r="E761" s="604" t="s">
        <v>7768</v>
      </c>
      <c r="F761" s="604"/>
      <c r="G761" s="410" t="s">
        <v>6</v>
      </c>
      <c r="H761" s="412">
        <v>1.7500000000000002E-2</v>
      </c>
      <c r="I761" s="412">
        <v>0</v>
      </c>
      <c r="J761" s="411">
        <v>33.79</v>
      </c>
      <c r="K761" s="411">
        <v>0.59132499999999999</v>
      </c>
      <c r="L761" s="168"/>
    </row>
    <row r="762" spans="1:12" ht="25.5" customHeight="1" x14ac:dyDescent="0.3">
      <c r="A762" s="408" t="s">
        <v>1034</v>
      </c>
      <c r="B762" s="409" t="s">
        <v>1301</v>
      </c>
      <c r="C762" s="408" t="s">
        <v>395</v>
      </c>
      <c r="D762" s="408" t="s">
        <v>126</v>
      </c>
      <c r="E762" s="604" t="s">
        <v>7768</v>
      </c>
      <c r="F762" s="604"/>
      <c r="G762" s="410" t="s">
        <v>6</v>
      </c>
      <c r="H762" s="412">
        <v>0.1069</v>
      </c>
      <c r="I762" s="412">
        <v>0</v>
      </c>
      <c r="J762" s="411">
        <v>40.86</v>
      </c>
      <c r="K762" s="411">
        <v>4.367934</v>
      </c>
      <c r="L762" s="168"/>
    </row>
    <row r="763" spans="1:12" ht="25.5" customHeight="1" x14ac:dyDescent="0.3">
      <c r="A763" s="408" t="s">
        <v>1034</v>
      </c>
      <c r="B763" s="409" t="s">
        <v>7837</v>
      </c>
      <c r="C763" s="408" t="s">
        <v>395</v>
      </c>
      <c r="D763" s="408" t="s">
        <v>7838</v>
      </c>
      <c r="E763" s="604" t="s">
        <v>7820</v>
      </c>
      <c r="F763" s="604"/>
      <c r="G763" s="410" t="s">
        <v>3</v>
      </c>
      <c r="H763" s="412">
        <v>1</v>
      </c>
      <c r="I763" s="412">
        <v>0</v>
      </c>
      <c r="J763" s="411">
        <v>11.08</v>
      </c>
      <c r="K763" s="411">
        <v>11.08</v>
      </c>
      <c r="L763" s="166"/>
    </row>
    <row r="764" spans="1:12" ht="26.4" x14ac:dyDescent="0.3">
      <c r="A764" s="400" t="s">
        <v>1038</v>
      </c>
      <c r="B764" s="401" t="s">
        <v>4915</v>
      </c>
      <c r="C764" s="400" t="s">
        <v>395</v>
      </c>
      <c r="D764" s="400" t="s">
        <v>4916</v>
      </c>
      <c r="E764" s="605" t="s">
        <v>1039</v>
      </c>
      <c r="F764" s="605"/>
      <c r="G764" s="402" t="s">
        <v>4</v>
      </c>
      <c r="H764" s="403">
        <v>1.19</v>
      </c>
      <c r="I764" s="403">
        <v>0</v>
      </c>
      <c r="J764" s="404">
        <v>0.22</v>
      </c>
      <c r="K764" s="404">
        <v>0.26179999999999998</v>
      </c>
      <c r="L764" s="166"/>
    </row>
    <row r="765" spans="1:12" ht="26.4" x14ac:dyDescent="0.3">
      <c r="A765" s="400" t="s">
        <v>1038</v>
      </c>
      <c r="B765" s="401" t="s">
        <v>1548</v>
      </c>
      <c r="C765" s="400" t="s">
        <v>395</v>
      </c>
      <c r="D765" s="400" t="s">
        <v>237</v>
      </c>
      <c r="E765" s="605" t="s">
        <v>1039</v>
      </c>
      <c r="F765" s="605"/>
      <c r="G765" s="402" t="s">
        <v>3</v>
      </c>
      <c r="H765" s="403">
        <v>2.5000000000000001E-2</v>
      </c>
      <c r="I765" s="403">
        <v>0</v>
      </c>
      <c r="J765" s="404">
        <v>22.25</v>
      </c>
      <c r="K765" s="404">
        <v>0.55625000000000002</v>
      </c>
      <c r="L765" s="168"/>
    </row>
    <row r="766" spans="1:12" ht="15" customHeight="1" x14ac:dyDescent="0.3">
      <c r="A766" s="405"/>
      <c r="B766" s="405"/>
      <c r="C766" s="405"/>
      <c r="D766" s="405"/>
      <c r="E766" s="405" t="s">
        <v>1046</v>
      </c>
      <c r="F766" s="406">
        <v>5.69</v>
      </c>
      <c r="G766" s="405" t="s">
        <v>1047</v>
      </c>
      <c r="H766" s="406">
        <v>0</v>
      </c>
      <c r="I766" s="405" t="s">
        <v>1048</v>
      </c>
      <c r="J766" s="406">
        <v>5.69</v>
      </c>
      <c r="K766"/>
      <c r="L766" s="168"/>
    </row>
    <row r="767" spans="1:12" ht="14.25" customHeight="1" thickBot="1" x14ac:dyDescent="0.35">
      <c r="A767" s="405"/>
      <c r="B767" s="405"/>
      <c r="C767" s="405"/>
      <c r="D767" s="405"/>
      <c r="E767" s="405" t="s">
        <v>1049</v>
      </c>
      <c r="F767" s="406">
        <v>0</v>
      </c>
      <c r="G767" s="405"/>
      <c r="H767" s="606"/>
      <c r="I767" s="606" t="s">
        <v>1050</v>
      </c>
      <c r="J767" s="406">
        <v>16.86</v>
      </c>
      <c r="K767"/>
      <c r="L767" s="168"/>
    </row>
    <row r="768" spans="1:12" ht="15.6" thickTop="1" x14ac:dyDescent="0.3">
      <c r="A768" s="407"/>
      <c r="B768" s="407"/>
      <c r="C768" s="407"/>
      <c r="D768" s="407"/>
      <c r="E768" s="407"/>
      <c r="F768" s="407"/>
      <c r="G768" s="407"/>
      <c r="H768" s="407"/>
      <c r="I768" s="407"/>
      <c r="J768" s="407"/>
      <c r="K768" s="407"/>
      <c r="L768" s="166"/>
    </row>
    <row r="769" spans="1:12" ht="25.5" customHeight="1" x14ac:dyDescent="0.3">
      <c r="A769" s="382" t="s">
        <v>678</v>
      </c>
      <c r="B769" s="312" t="s">
        <v>413</v>
      </c>
      <c r="C769" s="382" t="s">
        <v>414</v>
      </c>
      <c r="D769" s="382" t="s">
        <v>415</v>
      </c>
      <c r="E769" s="586" t="s">
        <v>1029</v>
      </c>
      <c r="F769" s="586"/>
      <c r="G769" s="383" t="s">
        <v>416</v>
      </c>
      <c r="H769" s="312" t="s">
        <v>1030</v>
      </c>
      <c r="I769" s="312" t="s">
        <v>3016</v>
      </c>
      <c r="J769" s="312" t="s">
        <v>1031</v>
      </c>
      <c r="K769" s="312" t="s">
        <v>1032</v>
      </c>
      <c r="L769" s="166"/>
    </row>
    <row r="770" spans="1:12" ht="25.5" customHeight="1" x14ac:dyDescent="0.3">
      <c r="A770" s="313" t="s">
        <v>1033</v>
      </c>
      <c r="B770" s="315" t="s">
        <v>3803</v>
      </c>
      <c r="C770" s="313" t="s">
        <v>395</v>
      </c>
      <c r="D770" s="313" t="s">
        <v>178</v>
      </c>
      <c r="E770" s="603" t="s">
        <v>2277</v>
      </c>
      <c r="F770" s="603"/>
      <c r="G770" s="314" t="s">
        <v>3</v>
      </c>
      <c r="H770" s="399">
        <v>1</v>
      </c>
      <c r="I770" s="316"/>
      <c r="J770" s="316">
        <v>19.989999999999998</v>
      </c>
      <c r="K770" s="316">
        <v>19.989999999999998</v>
      </c>
      <c r="L770" s="166"/>
    </row>
    <row r="771" spans="1:12" ht="26.4" x14ac:dyDescent="0.3">
      <c r="A771" s="408" t="s">
        <v>1034</v>
      </c>
      <c r="B771" s="409" t="s">
        <v>5197</v>
      </c>
      <c r="C771" s="408" t="s">
        <v>395</v>
      </c>
      <c r="D771" s="408" t="s">
        <v>5198</v>
      </c>
      <c r="E771" s="604" t="s">
        <v>2277</v>
      </c>
      <c r="F771" s="604"/>
      <c r="G771" s="410" t="s">
        <v>3</v>
      </c>
      <c r="H771" s="412">
        <v>1</v>
      </c>
      <c r="I771" s="412">
        <v>0</v>
      </c>
      <c r="J771" s="411">
        <v>11.27</v>
      </c>
      <c r="K771" s="411">
        <v>11.27</v>
      </c>
      <c r="L771" s="166"/>
    </row>
    <row r="772" spans="1:12" ht="25.5" customHeight="1" x14ac:dyDescent="0.3">
      <c r="A772" s="408" t="s">
        <v>1034</v>
      </c>
      <c r="B772" s="409" t="s">
        <v>1315</v>
      </c>
      <c r="C772" s="408" t="s">
        <v>395</v>
      </c>
      <c r="D772" s="408" t="s">
        <v>123</v>
      </c>
      <c r="E772" s="604" t="s">
        <v>7768</v>
      </c>
      <c r="F772" s="604"/>
      <c r="G772" s="410" t="s">
        <v>6</v>
      </c>
      <c r="H772" s="412">
        <v>2.8000000000000001E-2</v>
      </c>
      <c r="I772" s="412">
        <v>0</v>
      </c>
      <c r="J772" s="411">
        <v>33.79</v>
      </c>
      <c r="K772" s="411">
        <v>0.94611999999999996</v>
      </c>
      <c r="L772" s="166"/>
    </row>
    <row r="773" spans="1:12" ht="25.5" customHeight="1" x14ac:dyDescent="0.3">
      <c r="A773" s="408" t="s">
        <v>1034</v>
      </c>
      <c r="B773" s="409" t="s">
        <v>1301</v>
      </c>
      <c r="C773" s="408" t="s">
        <v>395</v>
      </c>
      <c r="D773" s="408" t="s">
        <v>126</v>
      </c>
      <c r="E773" s="604" t="s">
        <v>7768</v>
      </c>
      <c r="F773" s="604"/>
      <c r="G773" s="410" t="s">
        <v>6</v>
      </c>
      <c r="H773" s="412">
        <v>0.17130000000000001</v>
      </c>
      <c r="I773" s="412">
        <v>0</v>
      </c>
      <c r="J773" s="411">
        <v>40.86</v>
      </c>
      <c r="K773" s="411">
        <v>6.9993179999999997</v>
      </c>
      <c r="L773" s="166"/>
    </row>
    <row r="774" spans="1:12" ht="25.5" customHeight="1" x14ac:dyDescent="0.3">
      <c r="A774" s="400" t="s">
        <v>1038</v>
      </c>
      <c r="B774" s="401" t="s">
        <v>1548</v>
      </c>
      <c r="C774" s="400" t="s">
        <v>395</v>
      </c>
      <c r="D774" s="400" t="s">
        <v>237</v>
      </c>
      <c r="E774" s="605" t="s">
        <v>1039</v>
      </c>
      <c r="F774" s="605"/>
      <c r="G774" s="402" t="s">
        <v>3</v>
      </c>
      <c r="H774" s="403">
        <v>2.5000000000000001E-2</v>
      </c>
      <c r="I774" s="403">
        <v>0</v>
      </c>
      <c r="J774" s="404">
        <v>22.25</v>
      </c>
      <c r="K774" s="404">
        <v>0.55625000000000002</v>
      </c>
      <c r="L774" s="166"/>
    </row>
    <row r="775" spans="1:12" ht="15" customHeight="1" x14ac:dyDescent="0.3">
      <c r="A775" s="400" t="s">
        <v>1038</v>
      </c>
      <c r="B775" s="401" t="s">
        <v>4915</v>
      </c>
      <c r="C775" s="400" t="s">
        <v>395</v>
      </c>
      <c r="D775" s="400" t="s">
        <v>4916</v>
      </c>
      <c r="E775" s="605" t="s">
        <v>1039</v>
      </c>
      <c r="F775" s="605"/>
      <c r="G775" s="402" t="s">
        <v>4</v>
      </c>
      <c r="H775" s="403">
        <v>0.97</v>
      </c>
      <c r="I775" s="403">
        <v>0</v>
      </c>
      <c r="J775" s="404">
        <v>0.22</v>
      </c>
      <c r="K775" s="404">
        <v>0.21340000000000001</v>
      </c>
      <c r="L775" s="168"/>
    </row>
    <row r="776" spans="1:12" ht="15" x14ac:dyDescent="0.3">
      <c r="A776" s="405"/>
      <c r="B776" s="405"/>
      <c r="C776" s="405"/>
      <c r="D776" s="405"/>
      <c r="E776" s="405" t="s">
        <v>1046</v>
      </c>
      <c r="F776" s="406">
        <v>7.34</v>
      </c>
      <c r="G776" s="405" t="s">
        <v>1047</v>
      </c>
      <c r="H776" s="406">
        <v>0</v>
      </c>
      <c r="I776" s="405" t="s">
        <v>1048</v>
      </c>
      <c r="J776" s="406">
        <v>7.34</v>
      </c>
      <c r="K776"/>
      <c r="L776" s="167"/>
    </row>
    <row r="777" spans="1:12" ht="15.6" thickBot="1" x14ac:dyDescent="0.35">
      <c r="A777" s="405"/>
      <c r="B777" s="405"/>
      <c r="C777" s="405"/>
      <c r="D777" s="405"/>
      <c r="E777" s="405" t="s">
        <v>1049</v>
      </c>
      <c r="F777" s="406">
        <v>0</v>
      </c>
      <c r="G777" s="405"/>
      <c r="H777" s="606"/>
      <c r="I777" s="606" t="s">
        <v>1050</v>
      </c>
      <c r="J777" s="406">
        <v>19.989999999999998</v>
      </c>
      <c r="K777"/>
      <c r="L777" s="168"/>
    </row>
    <row r="778" spans="1:12" ht="14.25" customHeight="1" thickTop="1" x14ac:dyDescent="0.3">
      <c r="A778" s="407"/>
      <c r="B778" s="407"/>
      <c r="C778" s="407"/>
      <c r="D778" s="407"/>
      <c r="E778" s="407"/>
      <c r="F778" s="407"/>
      <c r="G778" s="407"/>
      <c r="H778" s="407"/>
      <c r="I778" s="407"/>
      <c r="J778" s="407"/>
      <c r="K778" s="407"/>
      <c r="L778" s="168"/>
    </row>
    <row r="779" spans="1:12" ht="15" x14ac:dyDescent="0.3">
      <c r="A779" s="382" t="s">
        <v>679</v>
      </c>
      <c r="B779" s="312" t="s">
        <v>413</v>
      </c>
      <c r="C779" s="382" t="s">
        <v>414</v>
      </c>
      <c r="D779" s="382" t="s">
        <v>415</v>
      </c>
      <c r="E779" s="586" t="s">
        <v>1029</v>
      </c>
      <c r="F779" s="586"/>
      <c r="G779" s="383" t="s">
        <v>416</v>
      </c>
      <c r="H779" s="312" t="s">
        <v>1030</v>
      </c>
      <c r="I779" s="312" t="s">
        <v>3016</v>
      </c>
      <c r="J779" s="312" t="s">
        <v>1031</v>
      </c>
      <c r="K779" s="312" t="s">
        <v>1032</v>
      </c>
      <c r="L779" s="168"/>
    </row>
    <row r="780" spans="1:12" ht="39.6" x14ac:dyDescent="0.3">
      <c r="A780" s="313" t="s">
        <v>1033</v>
      </c>
      <c r="B780" s="315" t="s">
        <v>3804</v>
      </c>
      <c r="C780" s="313" t="s">
        <v>395</v>
      </c>
      <c r="D780" s="313" t="s">
        <v>179</v>
      </c>
      <c r="E780" s="603" t="s">
        <v>2277</v>
      </c>
      <c r="F780" s="603"/>
      <c r="G780" s="314" t="s">
        <v>3</v>
      </c>
      <c r="H780" s="399">
        <v>1</v>
      </c>
      <c r="I780" s="316"/>
      <c r="J780" s="316">
        <v>17.43</v>
      </c>
      <c r="K780" s="316">
        <v>17.43</v>
      </c>
      <c r="L780" s="166"/>
    </row>
    <row r="781" spans="1:12" ht="26.4" x14ac:dyDescent="0.3">
      <c r="A781" s="408" t="s">
        <v>1034</v>
      </c>
      <c r="B781" s="409" t="s">
        <v>5188</v>
      </c>
      <c r="C781" s="408" t="s">
        <v>395</v>
      </c>
      <c r="D781" s="408" t="s">
        <v>5189</v>
      </c>
      <c r="E781" s="604" t="s">
        <v>2277</v>
      </c>
      <c r="F781" s="604"/>
      <c r="G781" s="410" t="s">
        <v>3</v>
      </c>
      <c r="H781" s="412">
        <v>1</v>
      </c>
      <c r="I781" s="412">
        <v>0</v>
      </c>
      <c r="J781" s="411">
        <v>10.78</v>
      </c>
      <c r="K781" s="411">
        <v>10.78</v>
      </c>
      <c r="L781" s="166"/>
    </row>
    <row r="782" spans="1:12" ht="26.4" x14ac:dyDescent="0.3">
      <c r="A782" s="408" t="s">
        <v>1034</v>
      </c>
      <c r="B782" s="409" t="s">
        <v>1315</v>
      </c>
      <c r="C782" s="408" t="s">
        <v>395</v>
      </c>
      <c r="D782" s="408" t="s">
        <v>123</v>
      </c>
      <c r="E782" s="604" t="s">
        <v>7768</v>
      </c>
      <c r="F782" s="604"/>
      <c r="G782" s="410" t="s">
        <v>6</v>
      </c>
      <c r="H782" s="412">
        <v>2.0899999999999998E-2</v>
      </c>
      <c r="I782" s="412">
        <v>0</v>
      </c>
      <c r="J782" s="411">
        <v>33.79</v>
      </c>
      <c r="K782" s="411">
        <v>0.70621100000000003</v>
      </c>
      <c r="L782" s="168"/>
    </row>
    <row r="783" spans="1:12" ht="25.5" customHeight="1" x14ac:dyDescent="0.3">
      <c r="A783" s="408" t="s">
        <v>1034</v>
      </c>
      <c r="B783" s="409" t="s">
        <v>1301</v>
      </c>
      <c r="C783" s="408" t="s">
        <v>395</v>
      </c>
      <c r="D783" s="408" t="s">
        <v>126</v>
      </c>
      <c r="E783" s="604" t="s">
        <v>7768</v>
      </c>
      <c r="F783" s="604"/>
      <c r="G783" s="410" t="s">
        <v>6</v>
      </c>
      <c r="H783" s="412">
        <v>0.1278</v>
      </c>
      <c r="I783" s="412">
        <v>0</v>
      </c>
      <c r="J783" s="411">
        <v>40.86</v>
      </c>
      <c r="K783" s="411">
        <v>5.221908</v>
      </c>
      <c r="L783" s="168"/>
    </row>
    <row r="784" spans="1:12" ht="15" customHeight="1" x14ac:dyDescent="0.3">
      <c r="A784" s="400" t="s">
        <v>1038</v>
      </c>
      <c r="B784" s="401" t="s">
        <v>1548</v>
      </c>
      <c r="C784" s="400" t="s">
        <v>395</v>
      </c>
      <c r="D784" s="400" t="s">
        <v>237</v>
      </c>
      <c r="E784" s="605" t="s">
        <v>1039</v>
      </c>
      <c r="F784" s="605"/>
      <c r="G784" s="402" t="s">
        <v>3</v>
      </c>
      <c r="H784" s="403">
        <v>2.5000000000000001E-2</v>
      </c>
      <c r="I784" s="403">
        <v>0</v>
      </c>
      <c r="J784" s="404">
        <v>22.25</v>
      </c>
      <c r="K784" s="404">
        <v>0.55625000000000002</v>
      </c>
      <c r="L784" s="168"/>
    </row>
    <row r="785" spans="1:12" ht="25.5" customHeight="1" x14ac:dyDescent="0.3">
      <c r="A785" s="400" t="s">
        <v>1038</v>
      </c>
      <c r="B785" s="401" t="s">
        <v>4915</v>
      </c>
      <c r="C785" s="400" t="s">
        <v>395</v>
      </c>
      <c r="D785" s="400" t="s">
        <v>4916</v>
      </c>
      <c r="E785" s="605" t="s">
        <v>1039</v>
      </c>
      <c r="F785" s="605"/>
      <c r="G785" s="402" t="s">
        <v>4</v>
      </c>
      <c r="H785" s="403">
        <v>0.74299999999999999</v>
      </c>
      <c r="I785" s="403">
        <v>0</v>
      </c>
      <c r="J785" s="404">
        <v>0.22</v>
      </c>
      <c r="K785" s="404">
        <v>0.16345999999999999</v>
      </c>
      <c r="L785" s="168"/>
    </row>
    <row r="786" spans="1:12" ht="15" x14ac:dyDescent="0.3">
      <c r="A786" s="405"/>
      <c r="B786" s="405"/>
      <c r="C786" s="405"/>
      <c r="D786" s="405"/>
      <c r="E786" s="405" t="s">
        <v>1046</v>
      </c>
      <c r="F786" s="406">
        <v>5.17</v>
      </c>
      <c r="G786" s="405" t="s">
        <v>1047</v>
      </c>
      <c r="H786" s="406">
        <v>0.01</v>
      </c>
      <c r="I786" s="405" t="s">
        <v>1048</v>
      </c>
      <c r="J786" s="406">
        <v>5.18</v>
      </c>
      <c r="K786"/>
      <c r="L786" s="168"/>
    </row>
    <row r="787" spans="1:12" ht="15.6" thickBot="1" x14ac:dyDescent="0.35">
      <c r="A787" s="405"/>
      <c r="B787" s="405"/>
      <c r="C787" s="405"/>
      <c r="D787" s="405"/>
      <c r="E787" s="405" t="s">
        <v>1049</v>
      </c>
      <c r="F787" s="406">
        <v>0</v>
      </c>
      <c r="G787" s="405"/>
      <c r="H787" s="606"/>
      <c r="I787" s="606" t="s">
        <v>1050</v>
      </c>
      <c r="J787" s="406">
        <v>17.43</v>
      </c>
      <c r="K787"/>
      <c r="L787" s="168"/>
    </row>
    <row r="788" spans="1:12" ht="14.25" customHeight="1" thickTop="1" x14ac:dyDescent="0.3">
      <c r="A788" s="407"/>
      <c r="B788" s="407"/>
      <c r="C788" s="407"/>
      <c r="D788" s="407"/>
      <c r="E788" s="407"/>
      <c r="F788" s="407"/>
      <c r="G788" s="407"/>
      <c r="H788" s="407"/>
      <c r="I788" s="407"/>
      <c r="J788" s="407"/>
      <c r="K788" s="407"/>
      <c r="L788" s="168"/>
    </row>
    <row r="789" spans="1:12" ht="14.25" customHeight="1" x14ac:dyDescent="0.3">
      <c r="A789" s="382" t="s">
        <v>680</v>
      </c>
      <c r="B789" s="312" t="s">
        <v>413</v>
      </c>
      <c r="C789" s="382" t="s">
        <v>414</v>
      </c>
      <c r="D789" s="382" t="s">
        <v>415</v>
      </c>
      <c r="E789" s="586" t="s">
        <v>1029</v>
      </c>
      <c r="F789" s="586"/>
      <c r="G789" s="383" t="s">
        <v>416</v>
      </c>
      <c r="H789" s="312" t="s">
        <v>1030</v>
      </c>
      <c r="I789" s="312" t="s">
        <v>3016</v>
      </c>
      <c r="J789" s="312" t="s">
        <v>1031</v>
      </c>
      <c r="K789" s="312" t="s">
        <v>1032</v>
      </c>
      <c r="L789" s="168"/>
    </row>
    <row r="790" spans="1:12" ht="30" customHeight="1" x14ac:dyDescent="0.3">
      <c r="A790" s="313" t="s">
        <v>1033</v>
      </c>
      <c r="B790" s="315" t="s">
        <v>3805</v>
      </c>
      <c r="C790" s="313" t="s">
        <v>395</v>
      </c>
      <c r="D790" s="313" t="s">
        <v>180</v>
      </c>
      <c r="E790" s="603" t="s">
        <v>2277</v>
      </c>
      <c r="F790" s="603"/>
      <c r="G790" s="314" t="s">
        <v>3</v>
      </c>
      <c r="H790" s="399">
        <v>1</v>
      </c>
      <c r="I790" s="316"/>
      <c r="J790" s="316">
        <v>14.88</v>
      </c>
      <c r="K790" s="316">
        <v>14.88</v>
      </c>
      <c r="L790" s="166"/>
    </row>
    <row r="791" spans="1:12" ht="30" customHeight="1" x14ac:dyDescent="0.3">
      <c r="A791" s="408" t="s">
        <v>1034</v>
      </c>
      <c r="B791" s="409" t="s">
        <v>5199</v>
      </c>
      <c r="C791" s="408" t="s">
        <v>395</v>
      </c>
      <c r="D791" s="408" t="s">
        <v>5200</v>
      </c>
      <c r="E791" s="604" t="s">
        <v>2277</v>
      </c>
      <c r="F791" s="604"/>
      <c r="G791" s="410" t="s">
        <v>3</v>
      </c>
      <c r="H791" s="412">
        <v>1</v>
      </c>
      <c r="I791" s="412">
        <v>0</v>
      </c>
      <c r="J791" s="411">
        <v>9.77</v>
      </c>
      <c r="K791" s="411">
        <v>9.77</v>
      </c>
      <c r="L791" s="168"/>
    </row>
    <row r="792" spans="1:12" ht="25.5" customHeight="1" x14ac:dyDescent="0.3">
      <c r="A792" s="408" t="s">
        <v>1034</v>
      </c>
      <c r="B792" s="409" t="s">
        <v>1315</v>
      </c>
      <c r="C792" s="408" t="s">
        <v>395</v>
      </c>
      <c r="D792" s="408" t="s">
        <v>123</v>
      </c>
      <c r="E792" s="604" t="s">
        <v>7768</v>
      </c>
      <c r="F792" s="604"/>
      <c r="G792" s="410" t="s">
        <v>6</v>
      </c>
      <c r="H792" s="412">
        <v>1.5599999999999999E-2</v>
      </c>
      <c r="I792" s="412">
        <v>0</v>
      </c>
      <c r="J792" s="411">
        <v>33.79</v>
      </c>
      <c r="K792" s="411">
        <v>0.52712400000000004</v>
      </c>
      <c r="L792" s="168"/>
    </row>
    <row r="793" spans="1:12" ht="15" customHeight="1" x14ac:dyDescent="0.3">
      <c r="A793" s="408" t="s">
        <v>1034</v>
      </c>
      <c r="B793" s="409" t="s">
        <v>1301</v>
      </c>
      <c r="C793" s="408" t="s">
        <v>395</v>
      </c>
      <c r="D793" s="408" t="s">
        <v>126</v>
      </c>
      <c r="E793" s="604" t="s">
        <v>7768</v>
      </c>
      <c r="F793" s="604"/>
      <c r="G793" s="410" t="s">
        <v>6</v>
      </c>
      <c r="H793" s="412">
        <v>9.5600000000000004E-2</v>
      </c>
      <c r="I793" s="412">
        <v>0</v>
      </c>
      <c r="J793" s="411">
        <v>40.86</v>
      </c>
      <c r="K793" s="411">
        <v>3.9062160000000001</v>
      </c>
      <c r="L793" s="168"/>
    </row>
    <row r="794" spans="1:12" ht="25.5" customHeight="1" x14ac:dyDescent="0.3">
      <c r="A794" s="400" t="s">
        <v>1038</v>
      </c>
      <c r="B794" s="401" t="s">
        <v>1548</v>
      </c>
      <c r="C794" s="400" t="s">
        <v>395</v>
      </c>
      <c r="D794" s="400" t="s">
        <v>237</v>
      </c>
      <c r="E794" s="605" t="s">
        <v>1039</v>
      </c>
      <c r="F794" s="605"/>
      <c r="G794" s="402" t="s">
        <v>3</v>
      </c>
      <c r="H794" s="403">
        <v>2.5000000000000001E-2</v>
      </c>
      <c r="I794" s="403">
        <v>0</v>
      </c>
      <c r="J794" s="404">
        <v>22.25</v>
      </c>
      <c r="K794" s="404">
        <v>0.55625000000000002</v>
      </c>
      <c r="L794" s="166"/>
    </row>
    <row r="795" spans="1:12" ht="25.5" customHeight="1" x14ac:dyDescent="0.3">
      <c r="A795" s="400" t="s">
        <v>1038</v>
      </c>
      <c r="B795" s="401" t="s">
        <v>4915</v>
      </c>
      <c r="C795" s="400" t="s">
        <v>395</v>
      </c>
      <c r="D795" s="400" t="s">
        <v>4916</v>
      </c>
      <c r="E795" s="605" t="s">
        <v>1039</v>
      </c>
      <c r="F795" s="605"/>
      <c r="G795" s="402" t="s">
        <v>4</v>
      </c>
      <c r="H795" s="403">
        <v>0.54300000000000004</v>
      </c>
      <c r="I795" s="403">
        <v>0</v>
      </c>
      <c r="J795" s="404">
        <v>0.22</v>
      </c>
      <c r="K795" s="404">
        <v>0.11946</v>
      </c>
      <c r="L795" s="166"/>
    </row>
    <row r="796" spans="1:12" ht="25.5" customHeight="1" x14ac:dyDescent="0.3">
      <c r="A796" s="405"/>
      <c r="B796" s="405"/>
      <c r="C796" s="405"/>
      <c r="D796" s="405"/>
      <c r="E796" s="405" t="s">
        <v>1046</v>
      </c>
      <c r="F796" s="406">
        <v>3.72</v>
      </c>
      <c r="G796" s="405" t="s">
        <v>1047</v>
      </c>
      <c r="H796" s="406">
        <v>0</v>
      </c>
      <c r="I796" s="405" t="s">
        <v>1048</v>
      </c>
      <c r="J796" s="406">
        <v>3.72</v>
      </c>
      <c r="K796"/>
      <c r="L796" s="168"/>
    </row>
    <row r="797" spans="1:12" ht="15.6" thickBot="1" x14ac:dyDescent="0.35">
      <c r="A797" s="405"/>
      <c r="B797" s="405"/>
      <c r="C797" s="405"/>
      <c r="D797" s="405"/>
      <c r="E797" s="405" t="s">
        <v>1049</v>
      </c>
      <c r="F797" s="406">
        <v>0</v>
      </c>
      <c r="G797" s="405"/>
      <c r="H797" s="606"/>
      <c r="I797" s="606" t="s">
        <v>1050</v>
      </c>
      <c r="J797" s="406">
        <v>14.88</v>
      </c>
      <c r="K797"/>
      <c r="L797" s="168"/>
    </row>
    <row r="798" spans="1:12" ht="15.6" thickTop="1" x14ac:dyDescent="0.3">
      <c r="A798" s="407"/>
      <c r="B798" s="407"/>
      <c r="C798" s="407"/>
      <c r="D798" s="407"/>
      <c r="E798" s="407"/>
      <c r="F798" s="407"/>
      <c r="G798" s="407"/>
      <c r="H798" s="407"/>
      <c r="I798" s="407"/>
      <c r="J798" s="407"/>
      <c r="K798" s="407"/>
      <c r="L798" s="168"/>
    </row>
    <row r="799" spans="1:12" ht="14.25" customHeight="1" x14ac:dyDescent="0.3">
      <c r="A799" s="382" t="s">
        <v>682</v>
      </c>
      <c r="B799" s="312" t="s">
        <v>413</v>
      </c>
      <c r="C799" s="382" t="s">
        <v>414</v>
      </c>
      <c r="D799" s="382" t="s">
        <v>415</v>
      </c>
      <c r="E799" s="586" t="s">
        <v>1029</v>
      </c>
      <c r="F799" s="586"/>
      <c r="G799" s="383" t="s">
        <v>416</v>
      </c>
      <c r="H799" s="312" t="s">
        <v>1030</v>
      </c>
      <c r="I799" s="312" t="s">
        <v>3016</v>
      </c>
      <c r="J799" s="312" t="s">
        <v>1031</v>
      </c>
      <c r="K799" s="312" t="s">
        <v>1032</v>
      </c>
      <c r="L799" s="166"/>
    </row>
    <row r="800" spans="1:12" ht="14.25" customHeight="1" x14ac:dyDescent="0.3">
      <c r="A800" s="313" t="s">
        <v>1033</v>
      </c>
      <c r="B800" s="315" t="s">
        <v>3806</v>
      </c>
      <c r="C800" s="313" t="s">
        <v>395</v>
      </c>
      <c r="D800" s="313" t="s">
        <v>181</v>
      </c>
      <c r="E800" s="603" t="s">
        <v>2277</v>
      </c>
      <c r="F800" s="603"/>
      <c r="G800" s="314" t="s">
        <v>3</v>
      </c>
      <c r="H800" s="399">
        <v>1</v>
      </c>
      <c r="I800" s="316"/>
      <c r="J800" s="316">
        <v>12.16</v>
      </c>
      <c r="K800" s="316">
        <v>12.16</v>
      </c>
      <c r="L800" s="166"/>
    </row>
    <row r="801" spans="1:12" ht="26.4" x14ac:dyDescent="0.3">
      <c r="A801" s="408" t="s">
        <v>1034</v>
      </c>
      <c r="B801" s="409" t="s">
        <v>5201</v>
      </c>
      <c r="C801" s="408" t="s">
        <v>395</v>
      </c>
      <c r="D801" s="408" t="s">
        <v>5202</v>
      </c>
      <c r="E801" s="604" t="s">
        <v>2277</v>
      </c>
      <c r="F801" s="604"/>
      <c r="G801" s="410" t="s">
        <v>3</v>
      </c>
      <c r="H801" s="412">
        <v>1</v>
      </c>
      <c r="I801" s="412">
        <v>0</v>
      </c>
      <c r="J801" s="411">
        <v>8.2899999999999991</v>
      </c>
      <c r="K801" s="411">
        <v>8.2899999999999991</v>
      </c>
      <c r="L801" s="166"/>
    </row>
    <row r="802" spans="1:12" ht="15" customHeight="1" x14ac:dyDescent="0.3">
      <c r="A802" s="408" t="s">
        <v>1034</v>
      </c>
      <c r="B802" s="409" t="s">
        <v>1315</v>
      </c>
      <c r="C802" s="408" t="s">
        <v>395</v>
      </c>
      <c r="D802" s="408" t="s">
        <v>123</v>
      </c>
      <c r="E802" s="604" t="s">
        <v>7768</v>
      </c>
      <c r="F802" s="604"/>
      <c r="G802" s="410" t="s">
        <v>6</v>
      </c>
      <c r="H802" s="412">
        <v>1.14E-2</v>
      </c>
      <c r="I802" s="412">
        <v>0</v>
      </c>
      <c r="J802" s="411">
        <v>33.79</v>
      </c>
      <c r="K802" s="411">
        <v>0.38520599999999999</v>
      </c>
      <c r="L802" s="166"/>
    </row>
    <row r="803" spans="1:12" ht="26.4" x14ac:dyDescent="0.3">
      <c r="A803" s="408" t="s">
        <v>1034</v>
      </c>
      <c r="B803" s="409" t="s">
        <v>1301</v>
      </c>
      <c r="C803" s="408" t="s">
        <v>395</v>
      </c>
      <c r="D803" s="408" t="s">
        <v>126</v>
      </c>
      <c r="E803" s="604" t="s">
        <v>7768</v>
      </c>
      <c r="F803" s="604"/>
      <c r="G803" s="410" t="s">
        <v>6</v>
      </c>
      <c r="H803" s="412">
        <v>6.9800000000000001E-2</v>
      </c>
      <c r="I803" s="412">
        <v>0</v>
      </c>
      <c r="J803" s="411">
        <v>40.86</v>
      </c>
      <c r="K803" s="411">
        <v>2.8520279999999998</v>
      </c>
      <c r="L803" s="166"/>
    </row>
    <row r="804" spans="1:12" ht="26.4" x14ac:dyDescent="0.3">
      <c r="A804" s="400" t="s">
        <v>1038</v>
      </c>
      <c r="B804" s="401" t="s">
        <v>1548</v>
      </c>
      <c r="C804" s="400" t="s">
        <v>395</v>
      </c>
      <c r="D804" s="400" t="s">
        <v>237</v>
      </c>
      <c r="E804" s="605" t="s">
        <v>1039</v>
      </c>
      <c r="F804" s="605"/>
      <c r="G804" s="402" t="s">
        <v>3</v>
      </c>
      <c r="H804" s="403">
        <v>2.5000000000000001E-2</v>
      </c>
      <c r="I804" s="403">
        <v>0</v>
      </c>
      <c r="J804" s="404">
        <v>22.25</v>
      </c>
      <c r="K804" s="404">
        <v>0.55625000000000002</v>
      </c>
      <c r="L804" s="166"/>
    </row>
    <row r="805" spans="1:12" ht="25.5" customHeight="1" x14ac:dyDescent="0.3">
      <c r="A805" s="400" t="s">
        <v>1038</v>
      </c>
      <c r="B805" s="401" t="s">
        <v>4915</v>
      </c>
      <c r="C805" s="400" t="s">
        <v>395</v>
      </c>
      <c r="D805" s="400" t="s">
        <v>4916</v>
      </c>
      <c r="E805" s="605" t="s">
        <v>1039</v>
      </c>
      <c r="F805" s="605"/>
      <c r="G805" s="402" t="s">
        <v>4</v>
      </c>
      <c r="H805" s="403">
        <v>0.36699999999999999</v>
      </c>
      <c r="I805" s="403">
        <v>0</v>
      </c>
      <c r="J805" s="404">
        <v>0.22</v>
      </c>
      <c r="K805" s="404">
        <v>8.0740000000000006E-2</v>
      </c>
      <c r="L805" s="166"/>
    </row>
    <row r="806" spans="1:12" ht="25.5" customHeight="1" x14ac:dyDescent="0.3">
      <c r="A806" s="405"/>
      <c r="B806" s="405"/>
      <c r="C806" s="405"/>
      <c r="D806" s="405"/>
      <c r="E806" s="405" t="s">
        <v>1046</v>
      </c>
      <c r="F806" s="406">
        <v>2.64</v>
      </c>
      <c r="G806" s="405" t="s">
        <v>1047</v>
      </c>
      <c r="H806" s="406">
        <v>0</v>
      </c>
      <c r="I806" s="405" t="s">
        <v>1048</v>
      </c>
      <c r="J806" s="406">
        <v>2.64</v>
      </c>
      <c r="K806"/>
      <c r="L806" s="166"/>
    </row>
    <row r="807" spans="1:12" ht="25.5" customHeight="1" thickBot="1" x14ac:dyDescent="0.35">
      <c r="A807" s="405"/>
      <c r="B807" s="405"/>
      <c r="C807" s="405"/>
      <c r="D807" s="405"/>
      <c r="E807" s="405" t="s">
        <v>1049</v>
      </c>
      <c r="F807" s="406">
        <v>0</v>
      </c>
      <c r="G807" s="405"/>
      <c r="H807" s="606"/>
      <c r="I807" s="606" t="s">
        <v>1050</v>
      </c>
      <c r="J807" s="406">
        <v>12.16</v>
      </c>
      <c r="K807"/>
      <c r="L807" s="166"/>
    </row>
    <row r="808" spans="1:12" ht="15.6" thickTop="1" x14ac:dyDescent="0.3">
      <c r="A808" s="407"/>
      <c r="B808" s="407"/>
      <c r="C808" s="407"/>
      <c r="D808" s="407"/>
      <c r="E808" s="407"/>
      <c r="F808" s="407"/>
      <c r="G808" s="407"/>
      <c r="H808" s="407"/>
      <c r="I808" s="407"/>
      <c r="J808" s="407"/>
      <c r="K808" s="407"/>
      <c r="L808" s="166"/>
    </row>
    <row r="809" spans="1:12" ht="17.399999999999999" customHeight="1" x14ac:dyDescent="0.3">
      <c r="A809" s="382" t="s">
        <v>684</v>
      </c>
      <c r="B809" s="312" t="s">
        <v>413</v>
      </c>
      <c r="C809" s="382" t="s">
        <v>414</v>
      </c>
      <c r="D809" s="382" t="s">
        <v>415</v>
      </c>
      <c r="E809" s="586" t="s">
        <v>1029</v>
      </c>
      <c r="F809" s="586"/>
      <c r="G809" s="383" t="s">
        <v>416</v>
      </c>
      <c r="H809" s="312" t="s">
        <v>1030</v>
      </c>
      <c r="I809" s="312" t="s">
        <v>3016</v>
      </c>
      <c r="J809" s="312" t="s">
        <v>1031</v>
      </c>
      <c r="K809" s="312" t="s">
        <v>1032</v>
      </c>
      <c r="L809" s="168"/>
    </row>
    <row r="810" spans="1:12" ht="39.6" x14ac:dyDescent="0.3">
      <c r="A810" s="313" t="s">
        <v>1033</v>
      </c>
      <c r="B810" s="315" t="s">
        <v>3807</v>
      </c>
      <c r="C810" s="313" t="s">
        <v>395</v>
      </c>
      <c r="D810" s="313" t="s">
        <v>182</v>
      </c>
      <c r="E810" s="603" t="s">
        <v>2277</v>
      </c>
      <c r="F810" s="603"/>
      <c r="G810" s="314" t="s">
        <v>3</v>
      </c>
      <c r="H810" s="399">
        <v>1</v>
      </c>
      <c r="I810" s="316"/>
      <c r="J810" s="316">
        <v>10.92</v>
      </c>
      <c r="K810" s="316">
        <v>10.92</v>
      </c>
      <c r="L810" s="167"/>
    </row>
    <row r="811" spans="1:12" ht="15" customHeight="1" x14ac:dyDescent="0.3">
      <c r="A811" s="408" t="s">
        <v>1034</v>
      </c>
      <c r="B811" s="409" t="s">
        <v>5190</v>
      </c>
      <c r="C811" s="408" t="s">
        <v>395</v>
      </c>
      <c r="D811" s="408" t="s">
        <v>5191</v>
      </c>
      <c r="E811" s="604" t="s">
        <v>2277</v>
      </c>
      <c r="F811" s="604"/>
      <c r="G811" s="410" t="s">
        <v>3</v>
      </c>
      <c r="H811" s="412">
        <v>1</v>
      </c>
      <c r="I811" s="412">
        <v>0</v>
      </c>
      <c r="J811" s="411">
        <v>8.1199999999999992</v>
      </c>
      <c r="K811" s="411">
        <v>8.1199999999999992</v>
      </c>
      <c r="L811" s="168"/>
    </row>
    <row r="812" spans="1:12" ht="26.4" x14ac:dyDescent="0.3">
      <c r="A812" s="408" t="s">
        <v>1034</v>
      </c>
      <c r="B812" s="409" t="s">
        <v>1315</v>
      </c>
      <c r="C812" s="408" t="s">
        <v>395</v>
      </c>
      <c r="D812" s="408" t="s">
        <v>123</v>
      </c>
      <c r="E812" s="604" t="s">
        <v>7768</v>
      </c>
      <c r="F812" s="604"/>
      <c r="G812" s="410" t="s">
        <v>6</v>
      </c>
      <c r="H812" s="412">
        <v>7.7000000000000002E-3</v>
      </c>
      <c r="I812" s="412">
        <v>0</v>
      </c>
      <c r="J812" s="411">
        <v>33.79</v>
      </c>
      <c r="K812" s="411">
        <v>0.260183</v>
      </c>
      <c r="L812" s="168"/>
    </row>
    <row r="813" spans="1:12" ht="30" customHeight="1" x14ac:dyDescent="0.3">
      <c r="A813" s="408" t="s">
        <v>1034</v>
      </c>
      <c r="B813" s="409" t="s">
        <v>1301</v>
      </c>
      <c r="C813" s="408" t="s">
        <v>395</v>
      </c>
      <c r="D813" s="408" t="s">
        <v>126</v>
      </c>
      <c r="E813" s="604" t="s">
        <v>7768</v>
      </c>
      <c r="F813" s="604"/>
      <c r="G813" s="410" t="s">
        <v>6</v>
      </c>
      <c r="H813" s="412">
        <v>4.7300000000000002E-2</v>
      </c>
      <c r="I813" s="412">
        <v>0</v>
      </c>
      <c r="J813" s="411">
        <v>40.86</v>
      </c>
      <c r="K813" s="411">
        <v>1.9326779999999999</v>
      </c>
      <c r="L813" s="168"/>
    </row>
    <row r="814" spans="1:12" ht="15" customHeight="1" x14ac:dyDescent="0.3">
      <c r="A814" s="400" t="s">
        <v>1038</v>
      </c>
      <c r="B814" s="401" t="s">
        <v>1548</v>
      </c>
      <c r="C814" s="400" t="s">
        <v>395</v>
      </c>
      <c r="D814" s="400" t="s">
        <v>237</v>
      </c>
      <c r="E814" s="605" t="s">
        <v>1039</v>
      </c>
      <c r="F814" s="605"/>
      <c r="G814" s="402" t="s">
        <v>3</v>
      </c>
      <c r="H814" s="403">
        <v>2.5000000000000001E-2</v>
      </c>
      <c r="I814" s="403">
        <v>0</v>
      </c>
      <c r="J814" s="404">
        <v>22.25</v>
      </c>
      <c r="K814" s="404">
        <v>0.55625000000000002</v>
      </c>
      <c r="L814" s="166"/>
    </row>
    <row r="815" spans="1:12" ht="26.4" x14ac:dyDescent="0.3">
      <c r="A815" s="400" t="s">
        <v>1038</v>
      </c>
      <c r="B815" s="401" t="s">
        <v>4915</v>
      </c>
      <c r="C815" s="400" t="s">
        <v>395</v>
      </c>
      <c r="D815" s="400" t="s">
        <v>4916</v>
      </c>
      <c r="E815" s="605" t="s">
        <v>1039</v>
      </c>
      <c r="F815" s="605"/>
      <c r="G815" s="402" t="s">
        <v>4</v>
      </c>
      <c r="H815" s="403">
        <v>0.21199999999999999</v>
      </c>
      <c r="I815" s="403">
        <v>0</v>
      </c>
      <c r="J815" s="404">
        <v>0.22</v>
      </c>
      <c r="K815" s="404">
        <v>4.6640000000000001E-2</v>
      </c>
      <c r="L815" s="166"/>
    </row>
    <row r="816" spans="1:12" ht="25.5" customHeight="1" x14ac:dyDescent="0.3">
      <c r="A816" s="405"/>
      <c r="B816" s="405"/>
      <c r="C816" s="405"/>
      <c r="D816" s="405"/>
      <c r="E816" s="405" t="s">
        <v>1046</v>
      </c>
      <c r="F816" s="406">
        <v>1.74</v>
      </c>
      <c r="G816" s="405" t="s">
        <v>1047</v>
      </c>
      <c r="H816" s="406">
        <v>0</v>
      </c>
      <c r="I816" s="405" t="s">
        <v>1048</v>
      </c>
      <c r="J816" s="406">
        <v>1.74</v>
      </c>
      <c r="K816"/>
      <c r="L816" s="168"/>
    </row>
    <row r="817" spans="1:12" ht="25.5" customHeight="1" thickBot="1" x14ac:dyDescent="0.35">
      <c r="A817" s="405"/>
      <c r="B817" s="405"/>
      <c r="C817" s="405"/>
      <c r="D817" s="405"/>
      <c r="E817" s="405" t="s">
        <v>1049</v>
      </c>
      <c r="F817" s="406">
        <v>0</v>
      </c>
      <c r="G817" s="405"/>
      <c r="H817" s="606"/>
      <c r="I817" s="606" t="s">
        <v>1050</v>
      </c>
      <c r="J817" s="406">
        <v>10.92</v>
      </c>
      <c r="K817"/>
      <c r="L817" s="168"/>
    </row>
    <row r="818" spans="1:12" ht="25.5" customHeight="1" thickTop="1" x14ac:dyDescent="0.3">
      <c r="A818" s="407"/>
      <c r="B818" s="407"/>
      <c r="C818" s="407"/>
      <c r="D818" s="407"/>
      <c r="E818" s="407"/>
      <c r="F818" s="407"/>
      <c r="G818" s="407"/>
      <c r="H818" s="407"/>
      <c r="I818" s="407"/>
      <c r="J818" s="407"/>
      <c r="K818" s="407"/>
      <c r="L818" s="168"/>
    </row>
    <row r="819" spans="1:12" ht="15" x14ac:dyDescent="0.3">
      <c r="A819" s="382" t="s">
        <v>685</v>
      </c>
      <c r="B819" s="312" t="s">
        <v>413</v>
      </c>
      <c r="C819" s="382" t="s">
        <v>414</v>
      </c>
      <c r="D819" s="382" t="s">
        <v>415</v>
      </c>
      <c r="E819" s="586" t="s">
        <v>1029</v>
      </c>
      <c r="F819" s="586"/>
      <c r="G819" s="383" t="s">
        <v>416</v>
      </c>
      <c r="H819" s="312" t="s">
        <v>1030</v>
      </c>
      <c r="I819" s="312" t="s">
        <v>3016</v>
      </c>
      <c r="J819" s="312" t="s">
        <v>1031</v>
      </c>
      <c r="K819" s="312" t="s">
        <v>1032</v>
      </c>
      <c r="L819" s="168"/>
    </row>
    <row r="820" spans="1:12" ht="15" customHeight="1" x14ac:dyDescent="0.3">
      <c r="A820" s="313" t="s">
        <v>1033</v>
      </c>
      <c r="B820" s="315" t="s">
        <v>9644</v>
      </c>
      <c r="C820" s="313" t="s">
        <v>408</v>
      </c>
      <c r="D820" s="313" t="s">
        <v>8384</v>
      </c>
      <c r="E820" s="603" t="s">
        <v>2273</v>
      </c>
      <c r="F820" s="603"/>
      <c r="G820" s="314" t="s">
        <v>3</v>
      </c>
      <c r="H820" s="399">
        <v>1</v>
      </c>
      <c r="I820" s="316"/>
      <c r="J820" s="316">
        <v>27.11</v>
      </c>
      <c r="K820" s="316">
        <v>27.11</v>
      </c>
      <c r="L820" s="168"/>
    </row>
    <row r="821" spans="1:12" ht="15" x14ac:dyDescent="0.3">
      <c r="A821" s="400" t="s">
        <v>1038</v>
      </c>
      <c r="B821" s="401" t="s">
        <v>1122</v>
      </c>
      <c r="C821" s="400" t="s">
        <v>408</v>
      </c>
      <c r="D821" s="400" t="s">
        <v>1123</v>
      </c>
      <c r="E821" s="605" t="s">
        <v>1039</v>
      </c>
      <c r="F821" s="605"/>
      <c r="G821" s="402" t="s">
        <v>3</v>
      </c>
      <c r="H821" s="403">
        <v>1.4999999999999999E-2</v>
      </c>
      <c r="I821" s="403">
        <v>0</v>
      </c>
      <c r="J821" s="404">
        <v>28.92</v>
      </c>
      <c r="K821" s="404">
        <v>0.43380000000000002</v>
      </c>
      <c r="L821" s="168"/>
    </row>
    <row r="822" spans="1:12" ht="14.25" customHeight="1" x14ac:dyDescent="0.3">
      <c r="A822" s="400" t="s">
        <v>1038</v>
      </c>
      <c r="B822" s="401" t="s">
        <v>9474</v>
      </c>
      <c r="C822" s="400" t="s">
        <v>408</v>
      </c>
      <c r="D822" s="400" t="s">
        <v>9475</v>
      </c>
      <c r="E822" s="605" t="s">
        <v>1039</v>
      </c>
      <c r="F822" s="605"/>
      <c r="G822" s="402" t="s">
        <v>675</v>
      </c>
      <c r="H822" s="403">
        <v>0.5</v>
      </c>
      <c r="I822" s="403">
        <v>0</v>
      </c>
      <c r="J822" s="404">
        <v>21.54</v>
      </c>
      <c r="K822" s="404">
        <v>10.77</v>
      </c>
      <c r="L822" s="168"/>
    </row>
    <row r="823" spans="1:12" ht="15" x14ac:dyDescent="0.3">
      <c r="A823" s="400" t="s">
        <v>1038</v>
      </c>
      <c r="B823" s="401" t="s">
        <v>9455</v>
      </c>
      <c r="C823" s="400" t="s">
        <v>408</v>
      </c>
      <c r="D823" s="400" t="s">
        <v>9456</v>
      </c>
      <c r="E823" s="605" t="s">
        <v>1039</v>
      </c>
      <c r="F823" s="605"/>
      <c r="G823" s="402" t="s">
        <v>4</v>
      </c>
      <c r="H823" s="403">
        <v>0.14000000000000001</v>
      </c>
      <c r="I823" s="403">
        <v>0</v>
      </c>
      <c r="J823" s="404">
        <v>92.9</v>
      </c>
      <c r="K823" s="404">
        <v>13.006</v>
      </c>
      <c r="L823" s="168"/>
    </row>
    <row r="824" spans="1:12" ht="15" x14ac:dyDescent="0.3">
      <c r="A824" s="400" t="s">
        <v>1038</v>
      </c>
      <c r="B824" s="401" t="s">
        <v>7515</v>
      </c>
      <c r="C824" s="400" t="s">
        <v>408</v>
      </c>
      <c r="D824" s="400" t="s">
        <v>7516</v>
      </c>
      <c r="E824" s="605" t="s">
        <v>1053</v>
      </c>
      <c r="F824" s="605"/>
      <c r="G824" s="402" t="s">
        <v>6</v>
      </c>
      <c r="H824" s="403">
        <v>5.8000000000000003E-2</v>
      </c>
      <c r="I824" s="403">
        <v>0</v>
      </c>
      <c r="J824" s="404">
        <v>28.35</v>
      </c>
      <c r="K824" s="404">
        <v>1.6443000000000001</v>
      </c>
      <c r="L824" s="166"/>
    </row>
    <row r="825" spans="1:12" ht="15" x14ac:dyDescent="0.3">
      <c r="A825" s="400" t="s">
        <v>1038</v>
      </c>
      <c r="B825" s="401" t="s">
        <v>7457</v>
      </c>
      <c r="C825" s="400" t="s">
        <v>408</v>
      </c>
      <c r="D825" s="400" t="s">
        <v>7458</v>
      </c>
      <c r="E825" s="605" t="s">
        <v>1053</v>
      </c>
      <c r="F825" s="605"/>
      <c r="G825" s="402" t="s">
        <v>6</v>
      </c>
      <c r="H825" s="403">
        <v>5.8000000000000003E-2</v>
      </c>
      <c r="I825" s="403">
        <v>0</v>
      </c>
      <c r="J825" s="404">
        <v>21.59</v>
      </c>
      <c r="K825" s="404">
        <v>1.2522200000000001</v>
      </c>
      <c r="L825" s="168"/>
    </row>
    <row r="826" spans="1:12" ht="17.399999999999999" customHeight="1" x14ac:dyDescent="0.3">
      <c r="A826" s="405"/>
      <c r="B826" s="405"/>
      <c r="C826" s="405"/>
      <c r="D826" s="405"/>
      <c r="E826" s="405" t="s">
        <v>1046</v>
      </c>
      <c r="F826" s="406">
        <v>2.89</v>
      </c>
      <c r="G826" s="405" t="s">
        <v>1047</v>
      </c>
      <c r="H826" s="406">
        <v>0</v>
      </c>
      <c r="I826" s="405" t="s">
        <v>1048</v>
      </c>
      <c r="J826" s="406">
        <v>2.89</v>
      </c>
      <c r="K826"/>
      <c r="L826" s="168"/>
    </row>
    <row r="827" spans="1:12" ht="25.5" customHeight="1" thickBot="1" x14ac:dyDescent="0.35">
      <c r="A827" s="405"/>
      <c r="B827" s="405"/>
      <c r="C827" s="405"/>
      <c r="D827" s="405"/>
      <c r="E827" s="405" t="s">
        <v>1049</v>
      </c>
      <c r="F827" s="406">
        <v>0</v>
      </c>
      <c r="G827" s="405"/>
      <c r="H827" s="606"/>
      <c r="I827" s="606" t="s">
        <v>1050</v>
      </c>
      <c r="J827" s="406">
        <v>27.11</v>
      </c>
      <c r="K827"/>
      <c r="L827" s="168"/>
    </row>
    <row r="828" spans="1:12" ht="25.5" customHeight="1" thickTop="1" x14ac:dyDescent="0.3">
      <c r="A828" s="407"/>
      <c r="B828" s="407"/>
      <c r="C828" s="407"/>
      <c r="D828" s="407"/>
      <c r="E828" s="407"/>
      <c r="F828" s="407"/>
      <c r="G828" s="407"/>
      <c r="H828" s="407"/>
      <c r="I828" s="407"/>
      <c r="J828" s="407"/>
      <c r="K828" s="407"/>
      <c r="L828" s="166"/>
    </row>
    <row r="829" spans="1:12" ht="15" customHeight="1" x14ac:dyDescent="0.3">
      <c r="A829" s="382" t="s">
        <v>687</v>
      </c>
      <c r="B829" s="312" t="s">
        <v>413</v>
      </c>
      <c r="C829" s="382" t="s">
        <v>414</v>
      </c>
      <c r="D829" s="382" t="s">
        <v>415</v>
      </c>
      <c r="E829" s="586" t="s">
        <v>1029</v>
      </c>
      <c r="F829" s="586"/>
      <c r="G829" s="383" t="s">
        <v>416</v>
      </c>
      <c r="H829" s="312" t="s">
        <v>1030</v>
      </c>
      <c r="I829" s="312" t="s">
        <v>3016</v>
      </c>
      <c r="J829" s="312" t="s">
        <v>1031</v>
      </c>
      <c r="K829" s="312" t="s">
        <v>1032</v>
      </c>
      <c r="L829" s="166"/>
    </row>
    <row r="830" spans="1:12" ht="39.6" x14ac:dyDescent="0.3">
      <c r="A830" s="313" t="s">
        <v>1033</v>
      </c>
      <c r="B830" s="315" t="s">
        <v>3808</v>
      </c>
      <c r="C830" s="313" t="s">
        <v>395</v>
      </c>
      <c r="D830" s="313" t="s">
        <v>183</v>
      </c>
      <c r="E830" s="603" t="s">
        <v>2277</v>
      </c>
      <c r="F830" s="603"/>
      <c r="G830" s="314" t="s">
        <v>3</v>
      </c>
      <c r="H830" s="399">
        <v>1</v>
      </c>
      <c r="I830" s="316"/>
      <c r="J830" s="316">
        <v>11.55</v>
      </c>
      <c r="K830" s="316">
        <v>11.55</v>
      </c>
      <c r="L830" s="168"/>
    </row>
    <row r="831" spans="1:12" ht="26.4" x14ac:dyDescent="0.3">
      <c r="A831" s="408" t="s">
        <v>1034</v>
      </c>
      <c r="B831" s="409" t="s">
        <v>5203</v>
      </c>
      <c r="C831" s="408" t="s">
        <v>395</v>
      </c>
      <c r="D831" s="408" t="s">
        <v>5204</v>
      </c>
      <c r="E831" s="604" t="s">
        <v>2277</v>
      </c>
      <c r="F831" s="604"/>
      <c r="G831" s="410" t="s">
        <v>3</v>
      </c>
      <c r="H831" s="412">
        <v>1</v>
      </c>
      <c r="I831" s="412">
        <v>0</v>
      </c>
      <c r="J831" s="411">
        <v>9.52</v>
      </c>
      <c r="K831" s="411">
        <v>9.52</v>
      </c>
      <c r="L831" s="168"/>
    </row>
    <row r="832" spans="1:12" ht="26.4" x14ac:dyDescent="0.3">
      <c r="A832" s="408" t="s">
        <v>1034</v>
      </c>
      <c r="B832" s="409" t="s">
        <v>1315</v>
      </c>
      <c r="C832" s="408" t="s">
        <v>395</v>
      </c>
      <c r="D832" s="408" t="s">
        <v>123</v>
      </c>
      <c r="E832" s="604" t="s">
        <v>7768</v>
      </c>
      <c r="F832" s="604"/>
      <c r="G832" s="410" t="s">
        <v>6</v>
      </c>
      <c r="H832" s="412">
        <v>5.1000000000000004E-3</v>
      </c>
      <c r="I832" s="412">
        <v>0</v>
      </c>
      <c r="J832" s="411">
        <v>33.79</v>
      </c>
      <c r="K832" s="411">
        <v>0.17232900000000001</v>
      </c>
      <c r="L832" s="168"/>
    </row>
    <row r="833" spans="1:12" ht="14.25" customHeight="1" x14ac:dyDescent="0.3">
      <c r="A833" s="408" t="s">
        <v>1034</v>
      </c>
      <c r="B833" s="409" t="s">
        <v>1301</v>
      </c>
      <c r="C833" s="408" t="s">
        <v>395</v>
      </c>
      <c r="D833" s="408" t="s">
        <v>126</v>
      </c>
      <c r="E833" s="604" t="s">
        <v>7768</v>
      </c>
      <c r="F833" s="604"/>
      <c r="G833" s="410" t="s">
        <v>6</v>
      </c>
      <c r="H833" s="412">
        <v>3.1199999999999999E-2</v>
      </c>
      <c r="I833" s="412">
        <v>0</v>
      </c>
      <c r="J833" s="411">
        <v>40.86</v>
      </c>
      <c r="K833" s="411">
        <v>1.274832</v>
      </c>
      <c r="L833" s="166"/>
    </row>
    <row r="834" spans="1:12" ht="26.4" x14ac:dyDescent="0.3">
      <c r="A834" s="400" t="s">
        <v>1038</v>
      </c>
      <c r="B834" s="401" t="s">
        <v>1548</v>
      </c>
      <c r="C834" s="400" t="s">
        <v>395</v>
      </c>
      <c r="D834" s="400" t="s">
        <v>237</v>
      </c>
      <c r="E834" s="605" t="s">
        <v>1039</v>
      </c>
      <c r="F834" s="605"/>
      <c r="G834" s="402" t="s">
        <v>3</v>
      </c>
      <c r="H834" s="403">
        <v>2.5000000000000001E-2</v>
      </c>
      <c r="I834" s="403">
        <v>0</v>
      </c>
      <c r="J834" s="404">
        <v>22.25</v>
      </c>
      <c r="K834" s="404">
        <v>0.55625000000000002</v>
      </c>
      <c r="L834" s="166"/>
    </row>
    <row r="835" spans="1:12" ht="26.4" x14ac:dyDescent="0.3">
      <c r="A835" s="400" t="s">
        <v>1038</v>
      </c>
      <c r="B835" s="401" t="s">
        <v>4915</v>
      </c>
      <c r="C835" s="400" t="s">
        <v>395</v>
      </c>
      <c r="D835" s="400" t="s">
        <v>4916</v>
      </c>
      <c r="E835" s="605" t="s">
        <v>1039</v>
      </c>
      <c r="F835" s="605"/>
      <c r="G835" s="402" t="s">
        <v>4</v>
      </c>
      <c r="H835" s="403">
        <v>0.113</v>
      </c>
      <c r="I835" s="403">
        <v>0</v>
      </c>
      <c r="J835" s="404">
        <v>0.22</v>
      </c>
      <c r="K835" s="404">
        <v>2.486E-2</v>
      </c>
      <c r="L835" s="166"/>
    </row>
    <row r="836" spans="1:12" ht="15" x14ac:dyDescent="0.3">
      <c r="A836" s="405"/>
      <c r="B836" s="405"/>
      <c r="C836" s="405"/>
      <c r="D836" s="405"/>
      <c r="E836" s="405" t="s">
        <v>1046</v>
      </c>
      <c r="F836" s="406">
        <v>1.1399999999999999</v>
      </c>
      <c r="G836" s="405" t="s">
        <v>1047</v>
      </c>
      <c r="H836" s="406">
        <v>0</v>
      </c>
      <c r="I836" s="405" t="s">
        <v>1048</v>
      </c>
      <c r="J836" s="406">
        <v>1.1399999999999999</v>
      </c>
      <c r="K836"/>
      <c r="L836" s="166"/>
    </row>
    <row r="837" spans="1:12" ht="17.399999999999999" customHeight="1" thickBot="1" x14ac:dyDescent="0.35">
      <c r="A837" s="405"/>
      <c r="B837" s="405"/>
      <c r="C837" s="405"/>
      <c r="D837" s="405"/>
      <c r="E837" s="405" t="s">
        <v>1049</v>
      </c>
      <c r="F837" s="406">
        <v>0</v>
      </c>
      <c r="G837" s="405"/>
      <c r="H837" s="606"/>
      <c r="I837" s="606" t="s">
        <v>1050</v>
      </c>
      <c r="J837" s="406">
        <v>11.55</v>
      </c>
      <c r="K837"/>
      <c r="L837" s="166"/>
    </row>
    <row r="838" spans="1:12" ht="15" customHeight="1" thickTop="1" x14ac:dyDescent="0.3">
      <c r="A838" s="407"/>
      <c r="B838" s="407"/>
      <c r="C838" s="407"/>
      <c r="D838" s="407"/>
      <c r="E838" s="407"/>
      <c r="F838" s="407"/>
      <c r="G838" s="407"/>
      <c r="H838" s="407"/>
      <c r="I838" s="407"/>
      <c r="J838" s="407"/>
      <c r="K838" s="407"/>
      <c r="L838" s="166"/>
    </row>
    <row r="839" spans="1:12" ht="15" x14ac:dyDescent="0.3">
      <c r="A839" s="382" t="s">
        <v>688</v>
      </c>
      <c r="B839" s="312" t="s">
        <v>413</v>
      </c>
      <c r="C839" s="382" t="s">
        <v>414</v>
      </c>
      <c r="D839" s="382" t="s">
        <v>415</v>
      </c>
      <c r="E839" s="586" t="s">
        <v>1029</v>
      </c>
      <c r="F839" s="586"/>
      <c r="G839" s="383" t="s">
        <v>416</v>
      </c>
      <c r="H839" s="312" t="s">
        <v>1030</v>
      </c>
      <c r="I839" s="312" t="s">
        <v>3016</v>
      </c>
      <c r="J839" s="312" t="s">
        <v>1031</v>
      </c>
      <c r="K839" s="312" t="s">
        <v>1032</v>
      </c>
      <c r="L839" s="166"/>
    </row>
    <row r="840" spans="1:12" ht="14.25" customHeight="1" x14ac:dyDescent="0.3">
      <c r="A840" s="313" t="s">
        <v>1033</v>
      </c>
      <c r="B840" s="315" t="s">
        <v>9645</v>
      </c>
      <c r="C840" s="313" t="s">
        <v>395</v>
      </c>
      <c r="D840" s="313" t="s">
        <v>8470</v>
      </c>
      <c r="E840" s="603" t="s">
        <v>7854</v>
      </c>
      <c r="F840" s="603"/>
      <c r="G840" s="314" t="s">
        <v>3</v>
      </c>
      <c r="H840" s="399">
        <v>1</v>
      </c>
      <c r="I840" s="316"/>
      <c r="J840" s="316">
        <v>13.67</v>
      </c>
      <c r="K840" s="316">
        <v>13.67</v>
      </c>
      <c r="L840" s="168"/>
    </row>
    <row r="841" spans="1:12" ht="30" customHeight="1" x14ac:dyDescent="0.3">
      <c r="A841" s="408" t="s">
        <v>1034</v>
      </c>
      <c r="B841" s="409" t="s">
        <v>1315</v>
      </c>
      <c r="C841" s="408" t="s">
        <v>395</v>
      </c>
      <c r="D841" s="408" t="s">
        <v>123</v>
      </c>
      <c r="E841" s="604" t="s">
        <v>7768</v>
      </c>
      <c r="F841" s="604"/>
      <c r="G841" s="410" t="s">
        <v>6</v>
      </c>
      <c r="H841" s="412">
        <v>1.2999999999999999E-2</v>
      </c>
      <c r="I841" s="412">
        <v>0</v>
      </c>
      <c r="J841" s="411">
        <v>33.79</v>
      </c>
      <c r="K841" s="411">
        <v>0.43926999999999999</v>
      </c>
      <c r="L841" s="167"/>
    </row>
    <row r="842" spans="1:12" ht="30" customHeight="1" x14ac:dyDescent="0.3">
      <c r="A842" s="408" t="s">
        <v>1034</v>
      </c>
      <c r="B842" s="409" t="s">
        <v>1301</v>
      </c>
      <c r="C842" s="408" t="s">
        <v>395</v>
      </c>
      <c r="D842" s="408" t="s">
        <v>126</v>
      </c>
      <c r="E842" s="604" t="s">
        <v>7768</v>
      </c>
      <c r="F842" s="604"/>
      <c r="G842" s="410" t="s">
        <v>6</v>
      </c>
      <c r="H842" s="412">
        <v>3.5999999999999997E-2</v>
      </c>
      <c r="I842" s="412">
        <v>0</v>
      </c>
      <c r="J842" s="411">
        <v>40.86</v>
      </c>
      <c r="K842" s="411">
        <v>1.47096</v>
      </c>
      <c r="L842" s="168"/>
    </row>
    <row r="843" spans="1:12" ht="30" customHeight="1" x14ac:dyDescent="0.3">
      <c r="A843" s="400" t="s">
        <v>1038</v>
      </c>
      <c r="B843" s="401" t="s">
        <v>9493</v>
      </c>
      <c r="C843" s="400" t="s">
        <v>395</v>
      </c>
      <c r="D843" s="400" t="s">
        <v>9494</v>
      </c>
      <c r="E843" s="605" t="s">
        <v>1039</v>
      </c>
      <c r="F843" s="605"/>
      <c r="G843" s="402" t="s">
        <v>675</v>
      </c>
      <c r="H843" s="403">
        <v>0.67800000000000005</v>
      </c>
      <c r="I843" s="403">
        <v>0</v>
      </c>
      <c r="J843" s="404">
        <v>12.63</v>
      </c>
      <c r="K843" s="404">
        <v>8.5631400000000006</v>
      </c>
      <c r="L843" s="168"/>
    </row>
    <row r="844" spans="1:12" ht="30" customHeight="1" x14ac:dyDescent="0.3">
      <c r="A844" s="400" t="s">
        <v>1038</v>
      </c>
      <c r="B844" s="401" t="s">
        <v>1520</v>
      </c>
      <c r="C844" s="400" t="s">
        <v>395</v>
      </c>
      <c r="D844" s="400" t="s">
        <v>288</v>
      </c>
      <c r="E844" s="605" t="s">
        <v>1039</v>
      </c>
      <c r="F844" s="605"/>
      <c r="G844" s="402" t="s">
        <v>7</v>
      </c>
      <c r="H844" s="403">
        <v>0.55600000000000005</v>
      </c>
      <c r="I844" s="403">
        <v>0</v>
      </c>
      <c r="J844" s="404">
        <v>5.31</v>
      </c>
      <c r="K844" s="404">
        <v>2.9523600000000001</v>
      </c>
      <c r="L844" s="168"/>
    </row>
    <row r="845" spans="1:12" ht="26.4" x14ac:dyDescent="0.3">
      <c r="A845" s="400" t="s">
        <v>1038</v>
      </c>
      <c r="B845" s="401" t="s">
        <v>1548</v>
      </c>
      <c r="C845" s="400" t="s">
        <v>395</v>
      </c>
      <c r="D845" s="400" t="s">
        <v>237</v>
      </c>
      <c r="E845" s="605" t="s">
        <v>1039</v>
      </c>
      <c r="F845" s="605"/>
      <c r="G845" s="402" t="s">
        <v>3</v>
      </c>
      <c r="H845" s="403">
        <v>1.0999999999999999E-2</v>
      </c>
      <c r="I845" s="403">
        <v>0</v>
      </c>
      <c r="J845" s="404">
        <v>22.25</v>
      </c>
      <c r="K845" s="404">
        <v>0.24475</v>
      </c>
      <c r="L845" s="166"/>
    </row>
    <row r="846" spans="1:12" ht="15" x14ac:dyDescent="0.3">
      <c r="A846" s="405"/>
      <c r="B846" s="405"/>
      <c r="C846" s="405"/>
      <c r="D846" s="405"/>
      <c r="E846" s="405" t="s">
        <v>1046</v>
      </c>
      <c r="F846" s="406">
        <v>1.41</v>
      </c>
      <c r="G846" s="405" t="s">
        <v>1047</v>
      </c>
      <c r="H846" s="406">
        <v>0</v>
      </c>
      <c r="I846" s="405" t="s">
        <v>1048</v>
      </c>
      <c r="J846" s="406">
        <v>1.41</v>
      </c>
      <c r="K846"/>
      <c r="L846" s="166"/>
    </row>
    <row r="847" spans="1:12" ht="15" customHeight="1" thickBot="1" x14ac:dyDescent="0.35">
      <c r="A847" s="405"/>
      <c r="B847" s="405"/>
      <c r="C847" s="405"/>
      <c r="D847" s="405"/>
      <c r="E847" s="405" t="s">
        <v>1049</v>
      </c>
      <c r="F847" s="406">
        <v>0</v>
      </c>
      <c r="G847" s="405"/>
      <c r="H847" s="606"/>
      <c r="I847" s="606" t="s">
        <v>1050</v>
      </c>
      <c r="J847" s="406">
        <v>13.67</v>
      </c>
      <c r="K847"/>
      <c r="L847" s="168"/>
    </row>
    <row r="848" spans="1:12" ht="14.25" customHeight="1" thickTop="1" x14ac:dyDescent="0.3">
      <c r="A848" s="407"/>
      <c r="B848" s="407"/>
      <c r="C848" s="407"/>
      <c r="D848" s="407"/>
      <c r="E848" s="407"/>
      <c r="F848" s="407"/>
      <c r="G848" s="407"/>
      <c r="H848" s="407"/>
      <c r="I848" s="407"/>
      <c r="J848" s="407"/>
      <c r="K848" s="407"/>
      <c r="L848" s="168"/>
    </row>
    <row r="849" spans="1:12" ht="15" x14ac:dyDescent="0.3">
      <c r="A849" s="382" t="s">
        <v>689</v>
      </c>
      <c r="B849" s="312" t="s">
        <v>413</v>
      </c>
      <c r="C849" s="382" t="s">
        <v>414</v>
      </c>
      <c r="D849" s="382" t="s">
        <v>415</v>
      </c>
      <c r="E849" s="586" t="s">
        <v>1029</v>
      </c>
      <c r="F849" s="586"/>
      <c r="G849" s="383" t="s">
        <v>416</v>
      </c>
      <c r="H849" s="312" t="s">
        <v>1030</v>
      </c>
      <c r="I849" s="312" t="s">
        <v>3016</v>
      </c>
      <c r="J849" s="312" t="s">
        <v>1031</v>
      </c>
      <c r="K849" s="312" t="s">
        <v>1032</v>
      </c>
      <c r="L849" s="168"/>
    </row>
    <row r="850" spans="1:12" ht="26.4" x14ac:dyDescent="0.3">
      <c r="A850" s="313" t="s">
        <v>1033</v>
      </c>
      <c r="B850" s="315" t="s">
        <v>838</v>
      </c>
      <c r="C850" s="313" t="s">
        <v>5902</v>
      </c>
      <c r="D850" s="313" t="s">
        <v>839</v>
      </c>
      <c r="E850" s="603">
        <v>11.01</v>
      </c>
      <c r="F850" s="603"/>
      <c r="G850" s="314" t="s">
        <v>713</v>
      </c>
      <c r="H850" s="399">
        <v>1</v>
      </c>
      <c r="I850" s="316"/>
      <c r="J850" s="316">
        <v>623.86</v>
      </c>
      <c r="K850" s="316">
        <v>623.86</v>
      </c>
      <c r="L850" s="168"/>
    </row>
    <row r="851" spans="1:12" ht="15" customHeight="1" x14ac:dyDescent="0.3">
      <c r="A851" s="400" t="s">
        <v>1038</v>
      </c>
      <c r="B851" s="401" t="s">
        <v>1614</v>
      </c>
      <c r="C851" s="400" t="s">
        <v>5902</v>
      </c>
      <c r="D851" s="400" t="s">
        <v>1615</v>
      </c>
      <c r="E851" s="605" t="s">
        <v>1039</v>
      </c>
      <c r="F851" s="605"/>
      <c r="G851" s="402" t="s">
        <v>713</v>
      </c>
      <c r="H851" s="403">
        <v>1.03</v>
      </c>
      <c r="I851" s="403">
        <v>0</v>
      </c>
      <c r="J851" s="404">
        <v>605.69000000000005</v>
      </c>
      <c r="K851" s="404">
        <v>623.86069999999995</v>
      </c>
      <c r="L851" s="168"/>
    </row>
    <row r="852" spans="1:12" ht="25.5" customHeight="1" x14ac:dyDescent="0.3">
      <c r="A852" s="405"/>
      <c r="B852" s="405"/>
      <c r="C852" s="405"/>
      <c r="D852" s="405"/>
      <c r="E852" s="405" t="s">
        <v>1046</v>
      </c>
      <c r="F852" s="406">
        <v>0</v>
      </c>
      <c r="G852" s="405" t="s">
        <v>1047</v>
      </c>
      <c r="H852" s="406">
        <v>0</v>
      </c>
      <c r="I852" s="405" t="s">
        <v>1048</v>
      </c>
      <c r="J852" s="406">
        <v>0</v>
      </c>
      <c r="K852"/>
      <c r="L852" s="168"/>
    </row>
    <row r="853" spans="1:12" ht="25.5" customHeight="1" thickBot="1" x14ac:dyDescent="0.35">
      <c r="A853" s="405"/>
      <c r="B853" s="405"/>
      <c r="C853" s="405"/>
      <c r="D853" s="405"/>
      <c r="E853" s="405" t="s">
        <v>1049</v>
      </c>
      <c r="F853" s="406">
        <v>0</v>
      </c>
      <c r="G853" s="405"/>
      <c r="H853" s="606"/>
      <c r="I853" s="606" t="s">
        <v>1050</v>
      </c>
      <c r="J853" s="406">
        <v>623.86</v>
      </c>
      <c r="K853"/>
      <c r="L853" s="168"/>
    </row>
    <row r="854" spans="1:12" ht="25.5" customHeight="1" thickTop="1" x14ac:dyDescent="0.3">
      <c r="A854" s="407"/>
      <c r="B854" s="407"/>
      <c r="C854" s="407"/>
      <c r="D854" s="407"/>
      <c r="E854" s="407"/>
      <c r="F854" s="407"/>
      <c r="G854" s="407"/>
      <c r="H854" s="407"/>
      <c r="I854" s="407"/>
      <c r="J854" s="407"/>
      <c r="K854" s="407"/>
      <c r="L854" s="168"/>
    </row>
    <row r="855" spans="1:12" ht="15" x14ac:dyDescent="0.3">
      <c r="A855" s="382" t="s">
        <v>702</v>
      </c>
      <c r="B855" s="312" t="s">
        <v>413</v>
      </c>
      <c r="C855" s="382" t="s">
        <v>414</v>
      </c>
      <c r="D855" s="382" t="s">
        <v>415</v>
      </c>
      <c r="E855" s="586" t="s">
        <v>1029</v>
      </c>
      <c r="F855" s="586"/>
      <c r="G855" s="383" t="s">
        <v>416</v>
      </c>
      <c r="H855" s="312" t="s">
        <v>1030</v>
      </c>
      <c r="I855" s="312" t="s">
        <v>3016</v>
      </c>
      <c r="J855" s="312" t="s">
        <v>1031</v>
      </c>
      <c r="K855" s="312" t="s">
        <v>1032</v>
      </c>
      <c r="L855" s="166"/>
    </row>
    <row r="856" spans="1:12" ht="15" customHeight="1" x14ac:dyDescent="0.3">
      <c r="A856" s="313" t="s">
        <v>1033</v>
      </c>
      <c r="B856" s="315" t="s">
        <v>3014</v>
      </c>
      <c r="C856" s="313" t="s">
        <v>5902</v>
      </c>
      <c r="D856" s="313" t="s">
        <v>3015</v>
      </c>
      <c r="E856" s="603">
        <v>49.15</v>
      </c>
      <c r="F856" s="603"/>
      <c r="G856" s="314" t="s">
        <v>7</v>
      </c>
      <c r="H856" s="399">
        <v>1</v>
      </c>
      <c r="I856" s="316"/>
      <c r="J856" s="316">
        <v>2660.98</v>
      </c>
      <c r="K856" s="316">
        <v>2660.98</v>
      </c>
      <c r="L856" s="168"/>
    </row>
    <row r="857" spans="1:12" ht="17.399999999999999" customHeight="1" x14ac:dyDescent="0.3">
      <c r="A857" s="400" t="s">
        <v>1038</v>
      </c>
      <c r="B857" s="401" t="s">
        <v>1469</v>
      </c>
      <c r="C857" s="400" t="s">
        <v>5902</v>
      </c>
      <c r="D857" s="400" t="s">
        <v>1470</v>
      </c>
      <c r="E857" s="605" t="s">
        <v>1053</v>
      </c>
      <c r="F857" s="605"/>
      <c r="G857" s="402" t="s">
        <v>6</v>
      </c>
      <c r="H857" s="403">
        <v>2.5</v>
      </c>
      <c r="I857" s="403">
        <v>0</v>
      </c>
      <c r="J857" s="404">
        <v>27.64</v>
      </c>
      <c r="K857" s="404">
        <v>69.099999999999994</v>
      </c>
      <c r="L857" s="168"/>
    </row>
    <row r="858" spans="1:12" ht="14.25" customHeight="1" x14ac:dyDescent="0.3">
      <c r="A858" s="400" t="s">
        <v>1038</v>
      </c>
      <c r="B858" s="401" t="s">
        <v>1467</v>
      </c>
      <c r="C858" s="400" t="s">
        <v>5902</v>
      </c>
      <c r="D858" s="400" t="s">
        <v>1468</v>
      </c>
      <c r="E858" s="605" t="s">
        <v>1053</v>
      </c>
      <c r="F858" s="605"/>
      <c r="G858" s="402" t="s">
        <v>6</v>
      </c>
      <c r="H858" s="403">
        <v>5</v>
      </c>
      <c r="I858" s="403">
        <v>0</v>
      </c>
      <c r="J858" s="404">
        <v>22.71</v>
      </c>
      <c r="K858" s="404">
        <v>113.55</v>
      </c>
      <c r="L858" s="168"/>
    </row>
    <row r="859" spans="1:12" ht="26.4" x14ac:dyDescent="0.3">
      <c r="A859" s="400" t="s">
        <v>1038</v>
      </c>
      <c r="B859" s="401" t="s">
        <v>1471</v>
      </c>
      <c r="C859" s="400" t="s">
        <v>5902</v>
      </c>
      <c r="D859" s="400" t="s">
        <v>1472</v>
      </c>
      <c r="E859" s="605" t="s">
        <v>1039</v>
      </c>
      <c r="F859" s="605"/>
      <c r="G859" s="402" t="s">
        <v>3</v>
      </c>
      <c r="H859" s="403">
        <v>22.5486</v>
      </c>
      <c r="I859" s="403">
        <v>0</v>
      </c>
      <c r="J859" s="404">
        <v>0.67</v>
      </c>
      <c r="K859" s="404">
        <v>15.107562</v>
      </c>
      <c r="L859" s="166"/>
    </row>
    <row r="860" spans="1:12" ht="15" customHeight="1" x14ac:dyDescent="0.3">
      <c r="A860" s="400" t="s">
        <v>1038</v>
      </c>
      <c r="B860" s="401" t="s">
        <v>1473</v>
      </c>
      <c r="C860" s="400" t="s">
        <v>5902</v>
      </c>
      <c r="D860" s="400" t="s">
        <v>1474</v>
      </c>
      <c r="E860" s="605" t="s">
        <v>1039</v>
      </c>
      <c r="F860" s="605"/>
      <c r="G860" s="402" t="s">
        <v>713</v>
      </c>
      <c r="H860" s="403">
        <v>3.4599999999999999E-2</v>
      </c>
      <c r="I860" s="403">
        <v>0</v>
      </c>
      <c r="J860" s="404">
        <v>170.72</v>
      </c>
      <c r="K860" s="404">
        <v>5.9069120000000002</v>
      </c>
      <c r="L860" s="166"/>
    </row>
    <row r="861" spans="1:12" ht="26.4" x14ac:dyDescent="0.3">
      <c r="A861" s="400" t="s">
        <v>1038</v>
      </c>
      <c r="B861" s="401" t="s">
        <v>3287</v>
      </c>
      <c r="C861" s="400" t="s">
        <v>5902</v>
      </c>
      <c r="D861" s="400" t="s">
        <v>3288</v>
      </c>
      <c r="E861" s="605" t="s">
        <v>1039</v>
      </c>
      <c r="F861" s="605"/>
      <c r="G861" s="402" t="s">
        <v>3</v>
      </c>
      <c r="H861" s="403">
        <v>0.90200000000000002</v>
      </c>
      <c r="I861" s="403">
        <v>0</v>
      </c>
      <c r="J861" s="404">
        <v>5.99</v>
      </c>
      <c r="K861" s="404">
        <v>5.4029800000000003</v>
      </c>
      <c r="L861" s="168"/>
    </row>
    <row r="862" spans="1:12" ht="25.5" customHeight="1" x14ac:dyDescent="0.3">
      <c r="A862" s="400" t="s">
        <v>1038</v>
      </c>
      <c r="B862" s="401" t="s">
        <v>3289</v>
      </c>
      <c r="C862" s="400" t="s">
        <v>5902</v>
      </c>
      <c r="D862" s="400" t="s">
        <v>3290</v>
      </c>
      <c r="E862" s="605" t="s">
        <v>1039</v>
      </c>
      <c r="F862" s="605"/>
      <c r="G862" s="402" t="s">
        <v>4</v>
      </c>
      <c r="H862" s="403">
        <v>2.0499999999999998</v>
      </c>
      <c r="I862" s="403">
        <v>0</v>
      </c>
      <c r="J862" s="404">
        <v>1085.49</v>
      </c>
      <c r="K862" s="404">
        <v>2225.2545</v>
      </c>
      <c r="L862" s="168"/>
    </row>
    <row r="863" spans="1:12" ht="25.5" customHeight="1" x14ac:dyDescent="0.3">
      <c r="A863" s="400" t="s">
        <v>1038</v>
      </c>
      <c r="B863" s="401" t="s">
        <v>1490</v>
      </c>
      <c r="C863" s="400" t="s">
        <v>5902</v>
      </c>
      <c r="D863" s="400" t="s">
        <v>1491</v>
      </c>
      <c r="E863" s="605" t="s">
        <v>1039</v>
      </c>
      <c r="F863" s="605"/>
      <c r="G863" s="402" t="s">
        <v>6</v>
      </c>
      <c r="H863" s="403">
        <v>1.8599999999999998E-2</v>
      </c>
      <c r="I863" s="403">
        <v>0</v>
      </c>
      <c r="J863" s="404">
        <v>31.27</v>
      </c>
      <c r="K863" s="404">
        <v>0.58162199999999997</v>
      </c>
      <c r="L863" s="168"/>
    </row>
    <row r="864" spans="1:12" ht="25.5" customHeight="1" x14ac:dyDescent="0.3">
      <c r="A864" s="400" t="s">
        <v>1038</v>
      </c>
      <c r="B864" s="401" t="s">
        <v>3291</v>
      </c>
      <c r="C864" s="400" t="s">
        <v>5902</v>
      </c>
      <c r="D864" s="400" t="s">
        <v>3292</v>
      </c>
      <c r="E864" s="605" t="s">
        <v>1039</v>
      </c>
      <c r="F864" s="605"/>
      <c r="G864" s="402" t="s">
        <v>6</v>
      </c>
      <c r="H864" s="403">
        <v>1</v>
      </c>
      <c r="I864" s="403">
        <v>0</v>
      </c>
      <c r="J864" s="404">
        <v>226.08</v>
      </c>
      <c r="K864" s="404">
        <v>226.08</v>
      </c>
      <c r="L864" s="166"/>
    </row>
    <row r="865" spans="1:12" ht="15" customHeight="1" x14ac:dyDescent="0.3">
      <c r="A865" s="405"/>
      <c r="B865" s="405"/>
      <c r="C865" s="405"/>
      <c r="D865" s="405"/>
      <c r="E865" s="405" t="s">
        <v>1046</v>
      </c>
      <c r="F865" s="406">
        <v>182.65</v>
      </c>
      <c r="G865" s="405" t="s">
        <v>1047</v>
      </c>
      <c r="H865" s="406">
        <v>0</v>
      </c>
      <c r="I865" s="405" t="s">
        <v>1048</v>
      </c>
      <c r="J865" s="406">
        <v>182.65</v>
      </c>
      <c r="K865"/>
      <c r="L865" s="166"/>
    </row>
    <row r="866" spans="1:12" ht="14.25" customHeight="1" thickBot="1" x14ac:dyDescent="0.35">
      <c r="A866" s="405"/>
      <c r="B866" s="405"/>
      <c r="C866" s="405"/>
      <c r="D866" s="405"/>
      <c r="E866" s="405" t="s">
        <v>1049</v>
      </c>
      <c r="F866" s="406">
        <v>0</v>
      </c>
      <c r="G866" s="405"/>
      <c r="H866" s="606"/>
      <c r="I866" s="606" t="s">
        <v>1050</v>
      </c>
      <c r="J866" s="406">
        <v>2660.98</v>
      </c>
      <c r="K866"/>
      <c r="L866" s="166"/>
    </row>
    <row r="867" spans="1:12" ht="15.6" thickTop="1" x14ac:dyDescent="0.3">
      <c r="A867" s="407"/>
      <c r="B867" s="407"/>
      <c r="C867" s="407"/>
      <c r="D867" s="407"/>
      <c r="E867" s="407"/>
      <c r="F867" s="407"/>
      <c r="G867" s="407"/>
      <c r="H867" s="407"/>
      <c r="I867" s="407"/>
      <c r="J867" s="407"/>
      <c r="K867" s="407"/>
      <c r="L867" s="166"/>
    </row>
    <row r="868" spans="1:12" ht="14.25" customHeight="1" x14ac:dyDescent="0.3">
      <c r="A868" s="382" t="s">
        <v>703</v>
      </c>
      <c r="B868" s="312" t="s">
        <v>413</v>
      </c>
      <c r="C868" s="382" t="s">
        <v>414</v>
      </c>
      <c r="D868" s="382" t="s">
        <v>415</v>
      </c>
      <c r="E868" s="586" t="s">
        <v>1029</v>
      </c>
      <c r="F868" s="586"/>
      <c r="G868" s="383" t="s">
        <v>416</v>
      </c>
      <c r="H868" s="312" t="s">
        <v>1030</v>
      </c>
      <c r="I868" s="312" t="s">
        <v>3016</v>
      </c>
      <c r="J868" s="312" t="s">
        <v>1031</v>
      </c>
      <c r="K868" s="312" t="s">
        <v>1032</v>
      </c>
      <c r="L868" s="166"/>
    </row>
    <row r="869" spans="1:12" ht="26.4" x14ac:dyDescent="0.3">
      <c r="A869" s="313" t="s">
        <v>1033</v>
      </c>
      <c r="B869" s="315" t="s">
        <v>3001</v>
      </c>
      <c r="C869" s="313" t="s">
        <v>5902</v>
      </c>
      <c r="D869" s="313" t="s">
        <v>2912</v>
      </c>
      <c r="E869" s="603">
        <v>32.15</v>
      </c>
      <c r="F869" s="603"/>
      <c r="G869" s="314" t="s">
        <v>675</v>
      </c>
      <c r="H869" s="399">
        <v>1</v>
      </c>
      <c r="I869" s="316"/>
      <c r="J869" s="316">
        <v>88.78</v>
      </c>
      <c r="K869" s="316">
        <v>88.78</v>
      </c>
      <c r="L869" s="166"/>
    </row>
    <row r="870" spans="1:12" ht="25.5" customHeight="1" x14ac:dyDescent="0.3">
      <c r="A870" s="400" t="s">
        <v>1038</v>
      </c>
      <c r="B870" s="401" t="s">
        <v>1469</v>
      </c>
      <c r="C870" s="400" t="s">
        <v>5902</v>
      </c>
      <c r="D870" s="400" t="s">
        <v>1470</v>
      </c>
      <c r="E870" s="605" t="s">
        <v>1053</v>
      </c>
      <c r="F870" s="605"/>
      <c r="G870" s="402" t="s">
        <v>6</v>
      </c>
      <c r="H870" s="403">
        <v>0.3</v>
      </c>
      <c r="I870" s="403">
        <v>0</v>
      </c>
      <c r="J870" s="404">
        <v>27.64</v>
      </c>
      <c r="K870" s="404">
        <v>8.2919999999999998</v>
      </c>
      <c r="L870" s="166"/>
    </row>
    <row r="871" spans="1:12" ht="25.5" customHeight="1" x14ac:dyDescent="0.3">
      <c r="A871" s="400" t="s">
        <v>1038</v>
      </c>
      <c r="B871" s="401" t="s">
        <v>1467</v>
      </c>
      <c r="C871" s="400" t="s">
        <v>5902</v>
      </c>
      <c r="D871" s="400" t="s">
        <v>1468</v>
      </c>
      <c r="E871" s="605" t="s">
        <v>1053</v>
      </c>
      <c r="F871" s="605"/>
      <c r="G871" s="402" t="s">
        <v>6</v>
      </c>
      <c r="H871" s="403">
        <v>0.6</v>
      </c>
      <c r="I871" s="403">
        <v>0</v>
      </c>
      <c r="J871" s="404">
        <v>22.71</v>
      </c>
      <c r="K871" s="404">
        <v>13.625999999999999</v>
      </c>
      <c r="L871" s="168"/>
    </row>
    <row r="872" spans="1:12" ht="25.5" customHeight="1" x14ac:dyDescent="0.3">
      <c r="A872" s="400" t="s">
        <v>1038</v>
      </c>
      <c r="B872" s="401" t="s">
        <v>3259</v>
      </c>
      <c r="C872" s="400" t="s">
        <v>5902</v>
      </c>
      <c r="D872" s="400" t="s">
        <v>3260</v>
      </c>
      <c r="E872" s="605" t="s">
        <v>1039</v>
      </c>
      <c r="F872" s="605"/>
      <c r="G872" s="402" t="s">
        <v>675</v>
      </c>
      <c r="H872" s="403">
        <v>1.1499999999999999</v>
      </c>
      <c r="I872" s="403">
        <v>0</v>
      </c>
      <c r="J872" s="404">
        <v>50.74</v>
      </c>
      <c r="K872" s="404">
        <v>58.350999999999999</v>
      </c>
      <c r="L872" s="167"/>
    </row>
    <row r="873" spans="1:12" ht="25.5" customHeight="1" x14ac:dyDescent="0.3">
      <c r="A873" s="400" t="s">
        <v>1038</v>
      </c>
      <c r="B873" s="401" t="s">
        <v>2317</v>
      </c>
      <c r="C873" s="400" t="s">
        <v>5902</v>
      </c>
      <c r="D873" s="400" t="s">
        <v>2318</v>
      </c>
      <c r="E873" s="605" t="s">
        <v>1039</v>
      </c>
      <c r="F873" s="605"/>
      <c r="G873" s="402" t="s">
        <v>8</v>
      </c>
      <c r="H873" s="403">
        <v>0.4</v>
      </c>
      <c r="I873" s="403">
        <v>0</v>
      </c>
      <c r="J873" s="404">
        <v>21.28</v>
      </c>
      <c r="K873" s="404">
        <v>8.5120000000000005</v>
      </c>
      <c r="L873" s="168"/>
    </row>
    <row r="874" spans="1:12" ht="15" customHeight="1" x14ac:dyDescent="0.3">
      <c r="A874" s="405"/>
      <c r="B874" s="405"/>
      <c r="C874" s="405"/>
      <c r="D874" s="405"/>
      <c r="E874" s="405" t="s">
        <v>1046</v>
      </c>
      <c r="F874" s="406">
        <v>21.92</v>
      </c>
      <c r="G874" s="405" t="s">
        <v>1047</v>
      </c>
      <c r="H874" s="406">
        <v>0</v>
      </c>
      <c r="I874" s="405" t="s">
        <v>1048</v>
      </c>
      <c r="J874" s="406">
        <v>21.92</v>
      </c>
      <c r="K874"/>
      <c r="L874" s="168"/>
    </row>
    <row r="875" spans="1:12" ht="15.6" thickBot="1" x14ac:dyDescent="0.35">
      <c r="A875" s="405"/>
      <c r="B875" s="405"/>
      <c r="C875" s="405"/>
      <c r="D875" s="405"/>
      <c r="E875" s="405" t="s">
        <v>1049</v>
      </c>
      <c r="F875" s="406">
        <v>0</v>
      </c>
      <c r="G875" s="405"/>
      <c r="H875" s="606"/>
      <c r="I875" s="606" t="s">
        <v>1050</v>
      </c>
      <c r="J875" s="406">
        <v>88.78</v>
      </c>
      <c r="K875"/>
      <c r="L875" s="168"/>
    </row>
    <row r="876" spans="1:12" ht="14.25" customHeight="1" thickTop="1" x14ac:dyDescent="0.3">
      <c r="A876" s="407"/>
      <c r="B876" s="407"/>
      <c r="C876" s="407"/>
      <c r="D876" s="407"/>
      <c r="E876" s="407"/>
      <c r="F876" s="407"/>
      <c r="G876" s="407"/>
      <c r="H876" s="407"/>
      <c r="I876" s="407"/>
      <c r="J876" s="407"/>
      <c r="K876" s="407"/>
      <c r="L876" s="166"/>
    </row>
    <row r="877" spans="1:12" ht="30" customHeight="1" x14ac:dyDescent="0.3">
      <c r="A877" s="382" t="s">
        <v>704</v>
      </c>
      <c r="B877" s="312" t="s">
        <v>413</v>
      </c>
      <c r="C877" s="382" t="s">
        <v>414</v>
      </c>
      <c r="D877" s="382" t="s">
        <v>415</v>
      </c>
      <c r="E877" s="586" t="s">
        <v>1029</v>
      </c>
      <c r="F877" s="586"/>
      <c r="G877" s="383" t="s">
        <v>416</v>
      </c>
      <c r="H877" s="312" t="s">
        <v>1030</v>
      </c>
      <c r="I877" s="312" t="s">
        <v>3016</v>
      </c>
      <c r="J877" s="312" t="s">
        <v>1031</v>
      </c>
      <c r="K877" s="312" t="s">
        <v>1032</v>
      </c>
      <c r="L877" s="166"/>
    </row>
    <row r="878" spans="1:12" ht="30" customHeight="1" x14ac:dyDescent="0.3">
      <c r="A878" s="313" t="s">
        <v>1033</v>
      </c>
      <c r="B878" s="315" t="s">
        <v>3008</v>
      </c>
      <c r="C878" s="313" t="s">
        <v>5902</v>
      </c>
      <c r="D878" s="313" t="s">
        <v>3009</v>
      </c>
      <c r="E878" s="603">
        <v>24.03</v>
      </c>
      <c r="F878" s="603"/>
      <c r="G878" s="314" t="s">
        <v>675</v>
      </c>
      <c r="H878" s="399">
        <v>1</v>
      </c>
      <c r="I878" s="316"/>
      <c r="J878" s="316">
        <v>1569.75</v>
      </c>
      <c r="K878" s="316">
        <v>1569.75</v>
      </c>
      <c r="L878" s="168"/>
    </row>
    <row r="879" spans="1:12" ht="26.4" x14ac:dyDescent="0.3">
      <c r="A879" s="400" t="s">
        <v>1038</v>
      </c>
      <c r="B879" s="401" t="s">
        <v>1469</v>
      </c>
      <c r="C879" s="400" t="s">
        <v>5902</v>
      </c>
      <c r="D879" s="400" t="s">
        <v>1470</v>
      </c>
      <c r="E879" s="605" t="s">
        <v>1053</v>
      </c>
      <c r="F879" s="605"/>
      <c r="G879" s="402" t="s">
        <v>6</v>
      </c>
      <c r="H879" s="403">
        <v>2</v>
      </c>
      <c r="I879" s="403">
        <v>0</v>
      </c>
      <c r="J879" s="404">
        <v>27.64</v>
      </c>
      <c r="K879" s="404">
        <v>55.28</v>
      </c>
      <c r="L879" s="168"/>
    </row>
    <row r="880" spans="1:12" ht="25.5" customHeight="1" x14ac:dyDescent="0.3">
      <c r="A880" s="400" t="s">
        <v>1038</v>
      </c>
      <c r="B880" s="401" t="s">
        <v>1467</v>
      </c>
      <c r="C880" s="400" t="s">
        <v>5902</v>
      </c>
      <c r="D880" s="400" t="s">
        <v>1468</v>
      </c>
      <c r="E880" s="605" t="s">
        <v>1053</v>
      </c>
      <c r="F880" s="605"/>
      <c r="G880" s="402" t="s">
        <v>6</v>
      </c>
      <c r="H880" s="403">
        <v>2</v>
      </c>
      <c r="I880" s="403">
        <v>0</v>
      </c>
      <c r="J880" s="404">
        <v>22.71</v>
      </c>
      <c r="K880" s="404">
        <v>45.42</v>
      </c>
      <c r="L880" s="168"/>
    </row>
    <row r="881" spans="1:12" ht="25.5" customHeight="1" x14ac:dyDescent="0.3">
      <c r="A881" s="400" t="s">
        <v>1038</v>
      </c>
      <c r="B881" s="401" t="s">
        <v>3283</v>
      </c>
      <c r="C881" s="400" t="s">
        <v>5902</v>
      </c>
      <c r="D881" s="400" t="s">
        <v>3284</v>
      </c>
      <c r="E881" s="605" t="s">
        <v>1039</v>
      </c>
      <c r="F881" s="605"/>
      <c r="G881" s="402" t="s">
        <v>4</v>
      </c>
      <c r="H881" s="403">
        <v>1.73</v>
      </c>
      <c r="I881" s="403">
        <v>0</v>
      </c>
      <c r="J881" s="404">
        <v>849.16</v>
      </c>
      <c r="K881" s="404">
        <v>1469.0468000000001</v>
      </c>
      <c r="L881" s="168"/>
    </row>
    <row r="882" spans="1:12" ht="25.5" customHeight="1" x14ac:dyDescent="0.3">
      <c r="A882" s="405"/>
      <c r="B882" s="405"/>
      <c r="C882" s="405"/>
      <c r="D882" s="405"/>
      <c r="E882" s="405" t="s">
        <v>1046</v>
      </c>
      <c r="F882" s="406">
        <v>100.7</v>
      </c>
      <c r="G882" s="405" t="s">
        <v>1047</v>
      </c>
      <c r="H882" s="406">
        <v>0</v>
      </c>
      <c r="I882" s="405" t="s">
        <v>1048</v>
      </c>
      <c r="J882" s="406">
        <v>100.7</v>
      </c>
      <c r="K882"/>
      <c r="L882" s="168"/>
    </row>
    <row r="883" spans="1:12" ht="15" customHeight="1" thickBot="1" x14ac:dyDescent="0.35">
      <c r="A883" s="405"/>
      <c r="B883" s="405"/>
      <c r="C883" s="405"/>
      <c r="D883" s="405"/>
      <c r="E883" s="405" t="s">
        <v>1049</v>
      </c>
      <c r="F883" s="406">
        <v>0</v>
      </c>
      <c r="G883" s="405"/>
      <c r="H883" s="606"/>
      <c r="I883" s="606" t="s">
        <v>1050</v>
      </c>
      <c r="J883" s="406">
        <v>1569.75</v>
      </c>
      <c r="K883"/>
      <c r="L883" s="168"/>
    </row>
    <row r="884" spans="1:12" ht="38.25" customHeight="1" thickTop="1" x14ac:dyDescent="0.3">
      <c r="A884" s="407"/>
      <c r="B884" s="407"/>
      <c r="C884" s="407"/>
      <c r="D884" s="407"/>
      <c r="E884" s="407"/>
      <c r="F884" s="407"/>
      <c r="G884" s="407"/>
      <c r="H884" s="407"/>
      <c r="I884" s="407"/>
      <c r="J884" s="407"/>
      <c r="K884" s="407"/>
      <c r="L884" s="168"/>
    </row>
    <row r="885" spans="1:12" ht="30" customHeight="1" x14ac:dyDescent="0.3">
      <c r="A885" s="382" t="s">
        <v>705</v>
      </c>
      <c r="B885" s="312" t="s">
        <v>413</v>
      </c>
      <c r="C885" s="382" t="s">
        <v>414</v>
      </c>
      <c r="D885" s="382" t="s">
        <v>415</v>
      </c>
      <c r="E885" s="586" t="s">
        <v>1029</v>
      </c>
      <c r="F885" s="586"/>
      <c r="G885" s="383" t="s">
        <v>416</v>
      </c>
      <c r="H885" s="312" t="s">
        <v>1030</v>
      </c>
      <c r="I885" s="312" t="s">
        <v>3016</v>
      </c>
      <c r="J885" s="312" t="s">
        <v>1031</v>
      </c>
      <c r="K885" s="312" t="s">
        <v>1032</v>
      </c>
      <c r="L885" s="168"/>
    </row>
    <row r="886" spans="1:12" ht="14.25" customHeight="1" x14ac:dyDescent="0.3">
      <c r="A886" s="313" t="s">
        <v>1033</v>
      </c>
      <c r="B886" s="315" t="s">
        <v>3011</v>
      </c>
      <c r="C886" s="313" t="s">
        <v>408</v>
      </c>
      <c r="D886" s="313" t="s">
        <v>3012</v>
      </c>
      <c r="E886" s="603" t="s">
        <v>2389</v>
      </c>
      <c r="F886" s="603"/>
      <c r="G886" s="314" t="s">
        <v>7</v>
      </c>
      <c r="H886" s="399">
        <v>1</v>
      </c>
      <c r="I886" s="316"/>
      <c r="J886" s="316">
        <v>1249.95</v>
      </c>
      <c r="K886" s="316">
        <v>1249.95</v>
      </c>
      <c r="L886" s="168"/>
    </row>
    <row r="887" spans="1:12" ht="15" x14ac:dyDescent="0.3">
      <c r="A887" s="400" t="s">
        <v>1038</v>
      </c>
      <c r="B887" s="401" t="s">
        <v>1369</v>
      </c>
      <c r="C887" s="400" t="s">
        <v>408</v>
      </c>
      <c r="D887" s="400" t="s">
        <v>1370</v>
      </c>
      <c r="E887" s="605" t="s">
        <v>1039</v>
      </c>
      <c r="F887" s="605"/>
      <c r="G887" s="402" t="s">
        <v>3</v>
      </c>
      <c r="H887" s="403">
        <v>1.2</v>
      </c>
      <c r="I887" s="403">
        <v>0</v>
      </c>
      <c r="J887" s="404">
        <v>0.71</v>
      </c>
      <c r="K887" s="404">
        <v>0.85199999999999998</v>
      </c>
      <c r="L887" s="168"/>
    </row>
    <row r="888" spans="1:12" ht="17.399999999999999" customHeight="1" x14ac:dyDescent="0.3">
      <c r="A888" s="400" t="s">
        <v>1038</v>
      </c>
      <c r="B888" s="401" t="s">
        <v>1367</v>
      </c>
      <c r="C888" s="400" t="s">
        <v>408</v>
      </c>
      <c r="D888" s="400" t="s">
        <v>1368</v>
      </c>
      <c r="E888" s="605" t="s">
        <v>1039</v>
      </c>
      <c r="F888" s="605"/>
      <c r="G888" s="402" t="s">
        <v>713</v>
      </c>
      <c r="H888" s="403">
        <v>3.0000000000000001E-3</v>
      </c>
      <c r="I888" s="403">
        <v>0</v>
      </c>
      <c r="J888" s="404">
        <v>106.37</v>
      </c>
      <c r="K888" s="404">
        <v>0.31911</v>
      </c>
      <c r="L888" s="168"/>
    </row>
    <row r="889" spans="1:12" ht="26.4" x14ac:dyDescent="0.3">
      <c r="A889" s="400" t="s">
        <v>1038</v>
      </c>
      <c r="B889" s="401" t="s">
        <v>3285</v>
      </c>
      <c r="C889" s="400" t="s">
        <v>408</v>
      </c>
      <c r="D889" s="400" t="s">
        <v>3286</v>
      </c>
      <c r="E889" s="605" t="s">
        <v>1039</v>
      </c>
      <c r="F889" s="605"/>
      <c r="G889" s="402" t="s">
        <v>7</v>
      </c>
      <c r="H889" s="403">
        <v>1</v>
      </c>
      <c r="I889" s="403">
        <v>0</v>
      </c>
      <c r="J889" s="404">
        <v>1217</v>
      </c>
      <c r="K889" s="404">
        <v>1217</v>
      </c>
      <c r="L889" s="168"/>
    </row>
    <row r="890" spans="1:12" ht="25.5" customHeight="1" x14ac:dyDescent="0.3">
      <c r="A890" s="400" t="s">
        <v>1038</v>
      </c>
      <c r="B890" s="401" t="s">
        <v>7132</v>
      </c>
      <c r="C890" s="400" t="s">
        <v>408</v>
      </c>
      <c r="D890" s="400" t="s">
        <v>7133</v>
      </c>
      <c r="E890" s="605" t="s">
        <v>1053</v>
      </c>
      <c r="F890" s="605"/>
      <c r="G890" s="402" t="s">
        <v>6</v>
      </c>
      <c r="H890" s="403">
        <v>0.61</v>
      </c>
      <c r="I890" s="403">
        <v>0</v>
      </c>
      <c r="J890" s="404">
        <v>30.51</v>
      </c>
      <c r="K890" s="404">
        <v>18.6111</v>
      </c>
      <c r="L890" s="166"/>
    </row>
    <row r="891" spans="1:12" ht="15" customHeight="1" x14ac:dyDescent="0.3">
      <c r="A891" s="400" t="s">
        <v>1038</v>
      </c>
      <c r="B891" s="401" t="s">
        <v>7214</v>
      </c>
      <c r="C891" s="400" t="s">
        <v>408</v>
      </c>
      <c r="D891" s="400" t="s">
        <v>7215</v>
      </c>
      <c r="E891" s="605" t="s">
        <v>1053</v>
      </c>
      <c r="F891" s="605"/>
      <c r="G891" s="402" t="s">
        <v>6</v>
      </c>
      <c r="H891" s="403">
        <v>0.61</v>
      </c>
      <c r="I891" s="403">
        <v>0</v>
      </c>
      <c r="J891" s="404">
        <v>21.59</v>
      </c>
      <c r="K891" s="404">
        <v>13.1699</v>
      </c>
      <c r="L891" s="166"/>
    </row>
    <row r="892" spans="1:12" ht="15" customHeight="1" x14ac:dyDescent="0.3">
      <c r="A892" s="405"/>
      <c r="B892" s="405"/>
      <c r="C892" s="405"/>
      <c r="D892" s="405"/>
      <c r="E892" s="405" t="s">
        <v>1046</v>
      </c>
      <c r="F892" s="406">
        <v>31.78</v>
      </c>
      <c r="G892" s="405" t="s">
        <v>1047</v>
      </c>
      <c r="H892" s="406">
        <v>0</v>
      </c>
      <c r="I892" s="405" t="s">
        <v>1048</v>
      </c>
      <c r="J892" s="406">
        <v>31.78</v>
      </c>
      <c r="K892"/>
      <c r="L892" s="168"/>
    </row>
    <row r="893" spans="1:12" ht="38.25" customHeight="1" thickBot="1" x14ac:dyDescent="0.35">
      <c r="A893" s="405"/>
      <c r="B893" s="405"/>
      <c r="C893" s="405"/>
      <c r="D893" s="405"/>
      <c r="E893" s="405" t="s">
        <v>1049</v>
      </c>
      <c r="F893" s="406">
        <v>0</v>
      </c>
      <c r="G893" s="405"/>
      <c r="H893" s="606"/>
      <c r="I893" s="606" t="s">
        <v>1050</v>
      </c>
      <c r="J893" s="406">
        <v>1249.95</v>
      </c>
      <c r="K893"/>
      <c r="L893" s="168"/>
    </row>
    <row r="894" spans="1:12" ht="14.25" customHeight="1" thickTop="1" x14ac:dyDescent="0.3">
      <c r="A894" s="407"/>
      <c r="B894" s="407"/>
      <c r="C894" s="407"/>
      <c r="D894" s="407"/>
      <c r="E894" s="407"/>
      <c r="F894" s="407"/>
      <c r="G894" s="407"/>
      <c r="H894" s="407"/>
      <c r="I894" s="407"/>
      <c r="J894" s="407"/>
      <c r="K894" s="407"/>
      <c r="L894" s="168"/>
    </row>
    <row r="895" spans="1:12" ht="15" x14ac:dyDescent="0.3">
      <c r="A895" s="382" t="s">
        <v>714</v>
      </c>
      <c r="B895" s="312" t="s">
        <v>413</v>
      </c>
      <c r="C895" s="382" t="s">
        <v>414</v>
      </c>
      <c r="D895" s="382" t="s">
        <v>415</v>
      </c>
      <c r="E895" s="586" t="s">
        <v>1029</v>
      </c>
      <c r="F895" s="586"/>
      <c r="G895" s="383" t="s">
        <v>416</v>
      </c>
      <c r="H895" s="312" t="s">
        <v>1030</v>
      </c>
      <c r="I895" s="312" t="s">
        <v>3016</v>
      </c>
      <c r="J895" s="312" t="s">
        <v>1031</v>
      </c>
      <c r="K895" s="312" t="s">
        <v>1032</v>
      </c>
      <c r="L895" s="166"/>
    </row>
    <row r="896" spans="1:12" ht="14.25" customHeight="1" x14ac:dyDescent="0.3">
      <c r="A896" s="313" t="s">
        <v>1033</v>
      </c>
      <c r="B896" s="315" t="s">
        <v>2919</v>
      </c>
      <c r="C896" s="313" t="s">
        <v>420</v>
      </c>
      <c r="D896" s="313" t="s">
        <v>2920</v>
      </c>
      <c r="E896" s="603" t="s">
        <v>3263</v>
      </c>
      <c r="F896" s="603"/>
      <c r="G896" s="314" t="s">
        <v>713</v>
      </c>
      <c r="H896" s="399">
        <v>1</v>
      </c>
      <c r="I896" s="316"/>
      <c r="J896" s="316">
        <v>165.37</v>
      </c>
      <c r="K896" s="316">
        <v>165.37</v>
      </c>
      <c r="L896" s="166"/>
    </row>
    <row r="897" spans="1:12" ht="26.4" x14ac:dyDescent="0.3">
      <c r="A897" s="408" t="s">
        <v>1034</v>
      </c>
      <c r="B897" s="409" t="s">
        <v>1071</v>
      </c>
      <c r="C897" s="408" t="s">
        <v>420</v>
      </c>
      <c r="D897" s="408" t="s">
        <v>1072</v>
      </c>
      <c r="E897" s="604" t="s">
        <v>1069</v>
      </c>
      <c r="F897" s="604"/>
      <c r="G897" s="410" t="s">
        <v>1070</v>
      </c>
      <c r="H897" s="412">
        <v>2.4799999999999999E-2</v>
      </c>
      <c r="I897" s="412">
        <v>0</v>
      </c>
      <c r="J897" s="411">
        <v>3.95</v>
      </c>
      <c r="K897" s="411">
        <v>9.7960000000000005E-2</v>
      </c>
      <c r="L897" s="166"/>
    </row>
    <row r="898" spans="1:12" ht="38.25" customHeight="1" x14ac:dyDescent="0.3">
      <c r="A898" s="400" t="s">
        <v>1038</v>
      </c>
      <c r="B898" s="401" t="s">
        <v>656</v>
      </c>
      <c r="C898" s="400" t="s">
        <v>420</v>
      </c>
      <c r="D898" s="400" t="s">
        <v>3264</v>
      </c>
      <c r="E898" s="605" t="s">
        <v>1053</v>
      </c>
      <c r="F898" s="605"/>
      <c r="G898" s="402" t="s">
        <v>1070</v>
      </c>
      <c r="H898" s="403">
        <v>8.2644999999999993E-3</v>
      </c>
      <c r="I898" s="403">
        <v>0</v>
      </c>
      <c r="J898" s="404">
        <v>18.190000000000001</v>
      </c>
      <c r="K898" s="404">
        <v>0.1503313</v>
      </c>
      <c r="L898" s="166"/>
    </row>
    <row r="899" spans="1:12" ht="15" customHeight="1" x14ac:dyDescent="0.3">
      <c r="A899" s="400" t="s">
        <v>1038</v>
      </c>
      <c r="B899" s="401" t="s">
        <v>3265</v>
      </c>
      <c r="C899" s="400" t="s">
        <v>420</v>
      </c>
      <c r="D899" s="400" t="s">
        <v>3266</v>
      </c>
      <c r="E899" s="605" t="s">
        <v>1317</v>
      </c>
      <c r="F899" s="605"/>
      <c r="G899" s="402" t="s">
        <v>1070</v>
      </c>
      <c r="H899" s="403">
        <v>2.94215E-2</v>
      </c>
      <c r="I899" s="403">
        <v>0</v>
      </c>
      <c r="J899" s="404">
        <v>66.39</v>
      </c>
      <c r="K899" s="404">
        <v>1.9532934</v>
      </c>
      <c r="L899" s="166"/>
    </row>
    <row r="900" spans="1:12" ht="38.25" customHeight="1" x14ac:dyDescent="0.3">
      <c r="A900" s="400" t="s">
        <v>1038</v>
      </c>
      <c r="B900" s="401" t="s">
        <v>3269</v>
      </c>
      <c r="C900" s="400" t="s">
        <v>420</v>
      </c>
      <c r="D900" s="400" t="s">
        <v>3270</v>
      </c>
      <c r="E900" s="605" t="s">
        <v>1317</v>
      </c>
      <c r="F900" s="605"/>
      <c r="G900" s="402" t="s">
        <v>1070</v>
      </c>
      <c r="H900" s="403">
        <v>8.2644999999999993E-3</v>
      </c>
      <c r="I900" s="403">
        <v>0</v>
      </c>
      <c r="J900" s="404">
        <v>77.84</v>
      </c>
      <c r="K900" s="404">
        <v>0.64330869999999996</v>
      </c>
      <c r="L900" s="166"/>
    </row>
    <row r="901" spans="1:12" ht="15" customHeight="1" x14ac:dyDescent="0.3">
      <c r="A901" s="400" t="s">
        <v>1038</v>
      </c>
      <c r="B901" s="401" t="s">
        <v>3267</v>
      </c>
      <c r="C901" s="400" t="s">
        <v>420</v>
      </c>
      <c r="D901" s="400" t="s">
        <v>3268</v>
      </c>
      <c r="E901" s="605" t="s">
        <v>1317</v>
      </c>
      <c r="F901" s="605"/>
      <c r="G901" s="402" t="s">
        <v>1070</v>
      </c>
      <c r="H901" s="403">
        <v>8.2644999999999993E-3</v>
      </c>
      <c r="I901" s="403">
        <v>0</v>
      </c>
      <c r="J901" s="404">
        <v>168.85</v>
      </c>
      <c r="K901" s="404">
        <v>1.3954607999999999</v>
      </c>
      <c r="L901" s="166"/>
    </row>
    <row r="902" spans="1:12" ht="14.25" customHeight="1" x14ac:dyDescent="0.3">
      <c r="A902" s="400" t="s">
        <v>1038</v>
      </c>
      <c r="B902" s="401" t="s">
        <v>3271</v>
      </c>
      <c r="C902" s="400" t="s">
        <v>420</v>
      </c>
      <c r="D902" s="400" t="s">
        <v>3272</v>
      </c>
      <c r="E902" s="605" t="s">
        <v>1317</v>
      </c>
      <c r="F902" s="605"/>
      <c r="G902" s="402" t="s">
        <v>1070</v>
      </c>
      <c r="H902" s="403">
        <v>8.2644999999999993E-3</v>
      </c>
      <c r="I902" s="403">
        <v>0</v>
      </c>
      <c r="J902" s="404">
        <v>118.11</v>
      </c>
      <c r="K902" s="404">
        <v>0.97612010000000005</v>
      </c>
      <c r="L902" s="168"/>
    </row>
    <row r="903" spans="1:12" ht="15" x14ac:dyDescent="0.3">
      <c r="A903" s="400" t="s">
        <v>1038</v>
      </c>
      <c r="B903" s="401" t="s">
        <v>3273</v>
      </c>
      <c r="C903" s="400" t="s">
        <v>420</v>
      </c>
      <c r="D903" s="400" t="s">
        <v>3274</v>
      </c>
      <c r="E903" s="605" t="s">
        <v>1317</v>
      </c>
      <c r="F903" s="605"/>
      <c r="G903" s="402" t="s">
        <v>1070</v>
      </c>
      <c r="H903" s="403">
        <v>8.2644999999999993E-3</v>
      </c>
      <c r="I903" s="403">
        <v>0</v>
      </c>
      <c r="J903" s="404">
        <v>158.16</v>
      </c>
      <c r="K903" s="404">
        <v>1.3071132999999999</v>
      </c>
      <c r="L903" s="167"/>
    </row>
    <row r="904" spans="1:12" ht="14.25" customHeight="1" x14ac:dyDescent="0.3">
      <c r="A904" s="400" t="s">
        <v>1038</v>
      </c>
      <c r="B904" s="401" t="s">
        <v>6901</v>
      </c>
      <c r="C904" s="400" t="s">
        <v>420</v>
      </c>
      <c r="D904" s="400" t="s">
        <v>6902</v>
      </c>
      <c r="E904" s="605" t="s">
        <v>1039</v>
      </c>
      <c r="F904" s="605"/>
      <c r="G904" s="402" t="s">
        <v>713</v>
      </c>
      <c r="H904" s="403">
        <v>0.36</v>
      </c>
      <c r="I904" s="403">
        <v>0</v>
      </c>
      <c r="J904" s="404">
        <v>140.04</v>
      </c>
      <c r="K904" s="404">
        <v>50.414400000000001</v>
      </c>
      <c r="L904" s="168"/>
    </row>
    <row r="905" spans="1:12" ht="26.4" x14ac:dyDescent="0.3">
      <c r="A905" s="400" t="s">
        <v>1038</v>
      </c>
      <c r="B905" s="401" t="s">
        <v>6871</v>
      </c>
      <c r="C905" s="400" t="s">
        <v>420</v>
      </c>
      <c r="D905" s="400" t="s">
        <v>6872</v>
      </c>
      <c r="E905" s="605" t="s">
        <v>1039</v>
      </c>
      <c r="F905" s="605"/>
      <c r="G905" s="402" t="s">
        <v>713</v>
      </c>
      <c r="H905" s="403">
        <v>0.36</v>
      </c>
      <c r="I905" s="403">
        <v>0</v>
      </c>
      <c r="J905" s="404">
        <v>160.83000000000001</v>
      </c>
      <c r="K905" s="404">
        <v>57.898800000000001</v>
      </c>
      <c r="L905" s="168"/>
    </row>
    <row r="906" spans="1:12" ht="25.5" customHeight="1" x14ac:dyDescent="0.3">
      <c r="A906" s="400" t="s">
        <v>1038</v>
      </c>
      <c r="B906" s="401" t="s">
        <v>6861</v>
      </c>
      <c r="C906" s="400" t="s">
        <v>420</v>
      </c>
      <c r="D906" s="400" t="s">
        <v>6862</v>
      </c>
      <c r="E906" s="605" t="s">
        <v>1039</v>
      </c>
      <c r="F906" s="605"/>
      <c r="G906" s="402" t="s">
        <v>713</v>
      </c>
      <c r="H906" s="403">
        <v>0.36</v>
      </c>
      <c r="I906" s="403">
        <v>0</v>
      </c>
      <c r="J906" s="404">
        <v>139.30000000000001</v>
      </c>
      <c r="K906" s="404">
        <v>50.148000000000003</v>
      </c>
      <c r="L906" s="168"/>
    </row>
    <row r="907" spans="1:12" ht="15" x14ac:dyDescent="0.3">
      <c r="A907" s="400" t="s">
        <v>1038</v>
      </c>
      <c r="B907" s="401" t="s">
        <v>6251</v>
      </c>
      <c r="C907" s="400" t="s">
        <v>420</v>
      </c>
      <c r="D907" s="400" t="s">
        <v>6252</v>
      </c>
      <c r="E907" s="605" t="s">
        <v>1053</v>
      </c>
      <c r="F907" s="605"/>
      <c r="G907" s="402" t="s">
        <v>1070</v>
      </c>
      <c r="H907" s="403">
        <v>2.47934E-2</v>
      </c>
      <c r="I907" s="403">
        <v>0</v>
      </c>
      <c r="J907" s="404">
        <v>15.59</v>
      </c>
      <c r="K907" s="404">
        <v>0.38652910000000001</v>
      </c>
      <c r="L907" s="166"/>
    </row>
    <row r="908" spans="1:12" ht="25.5" customHeight="1" x14ac:dyDescent="0.3">
      <c r="A908" s="405"/>
      <c r="B908" s="405"/>
      <c r="C908" s="405"/>
      <c r="D908" s="405"/>
      <c r="E908" s="405" t="s">
        <v>1046</v>
      </c>
      <c r="F908" s="406">
        <v>0.54</v>
      </c>
      <c r="G908" s="405" t="s">
        <v>1047</v>
      </c>
      <c r="H908" s="406">
        <v>0</v>
      </c>
      <c r="I908" s="405" t="s">
        <v>1048</v>
      </c>
      <c r="J908" s="406">
        <v>0.54</v>
      </c>
      <c r="K908"/>
      <c r="L908" s="166"/>
    </row>
    <row r="909" spans="1:12" ht="25.5" customHeight="1" thickBot="1" x14ac:dyDescent="0.35">
      <c r="A909" s="405"/>
      <c r="B909" s="405"/>
      <c r="C909" s="405"/>
      <c r="D909" s="405"/>
      <c r="E909" s="405" t="s">
        <v>1049</v>
      </c>
      <c r="F909" s="406">
        <v>0</v>
      </c>
      <c r="G909" s="405"/>
      <c r="H909" s="606"/>
      <c r="I909" s="606" t="s">
        <v>1050</v>
      </c>
      <c r="J909" s="406">
        <v>165.37</v>
      </c>
      <c r="K909"/>
      <c r="L909" s="168"/>
    </row>
    <row r="910" spans="1:12" ht="15" customHeight="1" thickTop="1" x14ac:dyDescent="0.3">
      <c r="A910" s="407"/>
      <c r="B910" s="407"/>
      <c r="C910" s="407"/>
      <c r="D910" s="407"/>
      <c r="E910" s="407"/>
      <c r="F910" s="407"/>
      <c r="G910" s="407"/>
      <c r="H910" s="407"/>
      <c r="I910" s="407"/>
      <c r="J910" s="407"/>
      <c r="K910" s="407"/>
      <c r="L910" s="168"/>
    </row>
    <row r="911" spans="1:12" ht="14.25" customHeight="1" x14ac:dyDescent="0.3">
      <c r="A911" s="382" t="s">
        <v>718</v>
      </c>
      <c r="B911" s="312" t="s">
        <v>413</v>
      </c>
      <c r="C911" s="382" t="s">
        <v>414</v>
      </c>
      <c r="D911" s="382" t="s">
        <v>415</v>
      </c>
      <c r="E911" s="586" t="s">
        <v>1029</v>
      </c>
      <c r="F911" s="586"/>
      <c r="G911" s="383" t="s">
        <v>416</v>
      </c>
      <c r="H911" s="312" t="s">
        <v>1030</v>
      </c>
      <c r="I911" s="312" t="s">
        <v>3016</v>
      </c>
      <c r="J911" s="312" t="s">
        <v>1031</v>
      </c>
      <c r="K911" s="312" t="s">
        <v>1032</v>
      </c>
      <c r="L911" s="168"/>
    </row>
    <row r="912" spans="1:12" ht="14.25" customHeight="1" x14ac:dyDescent="0.3">
      <c r="A912" s="313" t="s">
        <v>1033</v>
      </c>
      <c r="B912" s="315" t="s">
        <v>3809</v>
      </c>
      <c r="C912" s="313" t="s">
        <v>395</v>
      </c>
      <c r="D912" s="313" t="s">
        <v>5919</v>
      </c>
      <c r="E912" s="603" t="s">
        <v>7839</v>
      </c>
      <c r="F912" s="603"/>
      <c r="G912" s="314" t="s">
        <v>675</v>
      </c>
      <c r="H912" s="399">
        <v>1</v>
      </c>
      <c r="I912" s="316"/>
      <c r="J912" s="316">
        <v>160.96</v>
      </c>
      <c r="K912" s="316">
        <v>160.96</v>
      </c>
      <c r="L912" s="168"/>
    </row>
    <row r="913" spans="1:12" ht="39.6" x14ac:dyDescent="0.3">
      <c r="A913" s="408" t="s">
        <v>1034</v>
      </c>
      <c r="B913" s="409" t="s">
        <v>5212</v>
      </c>
      <c r="C913" s="408" t="s">
        <v>395</v>
      </c>
      <c r="D913" s="408" t="s">
        <v>5213</v>
      </c>
      <c r="E913" s="604" t="s">
        <v>7840</v>
      </c>
      <c r="F913" s="604"/>
      <c r="G913" s="410" t="s">
        <v>713</v>
      </c>
      <c r="H913" s="412">
        <v>1.2800000000000001E-2</v>
      </c>
      <c r="I913" s="412">
        <v>0</v>
      </c>
      <c r="J913" s="411">
        <v>657.31</v>
      </c>
      <c r="K913" s="411">
        <v>8.4135679999999997</v>
      </c>
      <c r="L913" s="168"/>
    </row>
    <row r="914" spans="1:12" ht="26.4" x14ac:dyDescent="0.3">
      <c r="A914" s="408" t="s">
        <v>1034</v>
      </c>
      <c r="B914" s="409" t="s">
        <v>1302</v>
      </c>
      <c r="C914" s="408" t="s">
        <v>395</v>
      </c>
      <c r="D914" s="408" t="s">
        <v>144</v>
      </c>
      <c r="E914" s="604" t="s">
        <v>7768</v>
      </c>
      <c r="F914" s="604"/>
      <c r="G914" s="410" t="s">
        <v>6</v>
      </c>
      <c r="H914" s="412">
        <v>1.47</v>
      </c>
      <c r="I914" s="412">
        <v>0</v>
      </c>
      <c r="J914" s="411">
        <v>42.06</v>
      </c>
      <c r="K914" s="411">
        <v>61.828200000000002</v>
      </c>
      <c r="L914" s="168"/>
    </row>
    <row r="915" spans="1:12" ht="26.4" x14ac:dyDescent="0.3">
      <c r="A915" s="408" t="s">
        <v>1034</v>
      </c>
      <c r="B915" s="409" t="s">
        <v>1290</v>
      </c>
      <c r="C915" s="408" t="s">
        <v>395</v>
      </c>
      <c r="D915" s="408" t="s">
        <v>147</v>
      </c>
      <c r="E915" s="604" t="s">
        <v>7768</v>
      </c>
      <c r="F915" s="604"/>
      <c r="G915" s="410" t="s">
        <v>6</v>
      </c>
      <c r="H915" s="412">
        <v>0.73499999999999999</v>
      </c>
      <c r="I915" s="412">
        <v>0</v>
      </c>
      <c r="J915" s="411">
        <v>32.82</v>
      </c>
      <c r="K915" s="411">
        <v>24.122699999999998</v>
      </c>
      <c r="L915" s="168"/>
    </row>
    <row r="916" spans="1:12" ht="25.5" customHeight="1" x14ac:dyDescent="0.3">
      <c r="A916" s="400" t="s">
        <v>1038</v>
      </c>
      <c r="B916" s="401" t="s">
        <v>4775</v>
      </c>
      <c r="C916" s="400" t="s">
        <v>395</v>
      </c>
      <c r="D916" s="400" t="s">
        <v>4776</v>
      </c>
      <c r="E916" s="605" t="s">
        <v>1039</v>
      </c>
      <c r="F916" s="605"/>
      <c r="G916" s="402" t="s">
        <v>7</v>
      </c>
      <c r="H916" s="403">
        <v>0.42</v>
      </c>
      <c r="I916" s="403">
        <v>0</v>
      </c>
      <c r="J916" s="404">
        <v>5.34</v>
      </c>
      <c r="K916" s="404">
        <v>2.2427999999999999</v>
      </c>
      <c r="L916" s="166"/>
    </row>
    <row r="917" spans="1:12" ht="26.4" x14ac:dyDescent="0.3">
      <c r="A917" s="400" t="s">
        <v>1038</v>
      </c>
      <c r="B917" s="401" t="s">
        <v>4249</v>
      </c>
      <c r="C917" s="400" t="s">
        <v>395</v>
      </c>
      <c r="D917" s="400" t="s">
        <v>4250</v>
      </c>
      <c r="E917" s="605" t="s">
        <v>1039</v>
      </c>
      <c r="F917" s="605"/>
      <c r="G917" s="402" t="s">
        <v>4</v>
      </c>
      <c r="H917" s="403">
        <v>13.6</v>
      </c>
      <c r="I917" s="403">
        <v>0</v>
      </c>
      <c r="J917" s="404">
        <v>4.68</v>
      </c>
      <c r="K917" s="404">
        <v>63.648000000000003</v>
      </c>
      <c r="L917" s="168"/>
    </row>
    <row r="918" spans="1:12" ht="25.5" customHeight="1" x14ac:dyDescent="0.3">
      <c r="A918" s="400" t="s">
        <v>1038</v>
      </c>
      <c r="B918" s="401" t="s">
        <v>4960</v>
      </c>
      <c r="C918" s="400" t="s">
        <v>395</v>
      </c>
      <c r="D918" s="400" t="s">
        <v>4961</v>
      </c>
      <c r="E918" s="605" t="s">
        <v>1039</v>
      </c>
      <c r="F918" s="605"/>
      <c r="G918" s="402" t="s">
        <v>4876</v>
      </c>
      <c r="H918" s="403">
        <v>0.01</v>
      </c>
      <c r="I918" s="403">
        <v>0</v>
      </c>
      <c r="J918" s="404">
        <v>70.87</v>
      </c>
      <c r="K918" s="404">
        <v>0.7087</v>
      </c>
      <c r="L918" s="168"/>
    </row>
    <row r="919" spans="1:12" ht="15" customHeight="1" x14ac:dyDescent="0.3">
      <c r="A919" s="405"/>
      <c r="B919" s="405"/>
      <c r="C919" s="405"/>
      <c r="D919" s="405"/>
      <c r="E919" s="405" t="s">
        <v>1046</v>
      </c>
      <c r="F919" s="406">
        <v>64.89</v>
      </c>
      <c r="G919" s="405" t="s">
        <v>1047</v>
      </c>
      <c r="H919" s="406">
        <v>0</v>
      </c>
      <c r="I919" s="405" t="s">
        <v>1048</v>
      </c>
      <c r="J919" s="406">
        <v>64.89</v>
      </c>
      <c r="K919"/>
      <c r="L919" s="168"/>
    </row>
    <row r="920" spans="1:12" ht="15.6" thickBot="1" x14ac:dyDescent="0.35">
      <c r="A920" s="405"/>
      <c r="B920" s="405"/>
      <c r="C920" s="405"/>
      <c r="D920" s="405"/>
      <c r="E920" s="405" t="s">
        <v>1049</v>
      </c>
      <c r="F920" s="406">
        <v>0</v>
      </c>
      <c r="G920" s="405"/>
      <c r="H920" s="606"/>
      <c r="I920" s="606" t="s">
        <v>1050</v>
      </c>
      <c r="J920" s="406">
        <v>160.96</v>
      </c>
      <c r="K920"/>
      <c r="L920" s="166"/>
    </row>
    <row r="921" spans="1:12" ht="12.75" customHeight="1" thickTop="1" x14ac:dyDescent="0.3">
      <c r="A921" s="407"/>
      <c r="B921" s="407"/>
      <c r="C921" s="407"/>
      <c r="D921" s="407"/>
      <c r="E921" s="407"/>
      <c r="F921" s="407"/>
      <c r="G921" s="407"/>
      <c r="H921" s="407"/>
      <c r="I921" s="407"/>
      <c r="J921" s="407"/>
      <c r="K921" s="407"/>
      <c r="L921" s="166"/>
    </row>
    <row r="922" spans="1:12" ht="15" x14ac:dyDescent="0.3">
      <c r="A922" s="382" t="s">
        <v>727</v>
      </c>
      <c r="B922" s="312" t="s">
        <v>413</v>
      </c>
      <c r="C922" s="382" t="s">
        <v>414</v>
      </c>
      <c r="D922" s="382" t="s">
        <v>415</v>
      </c>
      <c r="E922" s="586" t="s">
        <v>1029</v>
      </c>
      <c r="F922" s="586"/>
      <c r="G922" s="383" t="s">
        <v>416</v>
      </c>
      <c r="H922" s="312" t="s">
        <v>1030</v>
      </c>
      <c r="I922" s="312" t="s">
        <v>3016</v>
      </c>
      <c r="J922" s="312" t="s">
        <v>1031</v>
      </c>
      <c r="K922" s="312" t="s">
        <v>1032</v>
      </c>
      <c r="L922" s="168"/>
    </row>
    <row r="923" spans="1:12" ht="26.4" x14ac:dyDescent="0.3">
      <c r="A923" s="313" t="s">
        <v>1033</v>
      </c>
      <c r="B923" s="315" t="s">
        <v>824</v>
      </c>
      <c r="C923" s="313" t="s">
        <v>5902</v>
      </c>
      <c r="D923" s="313" t="s">
        <v>825</v>
      </c>
      <c r="E923" s="603">
        <v>15.03</v>
      </c>
      <c r="F923" s="603"/>
      <c r="G923" s="314" t="s">
        <v>3</v>
      </c>
      <c r="H923" s="399">
        <v>1</v>
      </c>
      <c r="I923" s="316"/>
      <c r="J923" s="316">
        <v>33.15</v>
      </c>
      <c r="K923" s="316">
        <v>33.15</v>
      </c>
      <c r="L923" s="168"/>
    </row>
    <row r="924" spans="1:12" ht="26.4" x14ac:dyDescent="0.3">
      <c r="A924" s="400" t="s">
        <v>1038</v>
      </c>
      <c r="B924" s="401" t="s">
        <v>1607</v>
      </c>
      <c r="C924" s="400" t="s">
        <v>5902</v>
      </c>
      <c r="D924" s="400" t="s">
        <v>825</v>
      </c>
      <c r="E924" s="605" t="s">
        <v>1039</v>
      </c>
      <c r="F924" s="605"/>
      <c r="G924" s="402" t="s">
        <v>3</v>
      </c>
      <c r="H924" s="403">
        <v>1</v>
      </c>
      <c r="I924" s="403">
        <v>0</v>
      </c>
      <c r="J924" s="404">
        <v>33.15</v>
      </c>
      <c r="K924" s="404">
        <v>33.15</v>
      </c>
      <c r="L924" s="168"/>
    </row>
    <row r="925" spans="1:12" ht="15" x14ac:dyDescent="0.3">
      <c r="A925" s="405"/>
      <c r="B925" s="405"/>
      <c r="C925" s="405"/>
      <c r="D925" s="405"/>
      <c r="E925" s="405" t="s">
        <v>1046</v>
      </c>
      <c r="F925" s="406">
        <v>0</v>
      </c>
      <c r="G925" s="405" t="s">
        <v>1047</v>
      </c>
      <c r="H925" s="406">
        <v>0</v>
      </c>
      <c r="I925" s="405" t="s">
        <v>1048</v>
      </c>
      <c r="J925" s="406">
        <v>0</v>
      </c>
      <c r="K925"/>
      <c r="L925" s="166"/>
    </row>
    <row r="926" spans="1:12" ht="15.6" thickBot="1" x14ac:dyDescent="0.35">
      <c r="A926" s="405"/>
      <c r="B926" s="405"/>
      <c r="C926" s="405"/>
      <c r="D926" s="405"/>
      <c r="E926" s="405" t="s">
        <v>1049</v>
      </c>
      <c r="F926" s="406">
        <v>0</v>
      </c>
      <c r="G926" s="405"/>
      <c r="H926" s="606"/>
      <c r="I926" s="606" t="s">
        <v>1050</v>
      </c>
      <c r="J926" s="406">
        <v>33.15</v>
      </c>
      <c r="K926"/>
      <c r="L926" s="166"/>
    </row>
    <row r="927" spans="1:12" ht="14.25" customHeight="1" thickTop="1" x14ac:dyDescent="0.3">
      <c r="A927" s="407"/>
      <c r="B927" s="407"/>
      <c r="C927" s="407"/>
      <c r="D927" s="407"/>
      <c r="E927" s="407"/>
      <c r="F927" s="407"/>
      <c r="G927" s="407"/>
      <c r="H927" s="407"/>
      <c r="I927" s="407"/>
      <c r="J927" s="407"/>
      <c r="K927" s="407"/>
      <c r="L927" s="166"/>
    </row>
    <row r="928" spans="1:12" ht="15" customHeight="1" x14ac:dyDescent="0.3">
      <c r="A928" s="382" t="s">
        <v>729</v>
      </c>
      <c r="B928" s="312" t="s">
        <v>413</v>
      </c>
      <c r="C928" s="382" t="s">
        <v>414</v>
      </c>
      <c r="D928" s="382" t="s">
        <v>415</v>
      </c>
      <c r="E928" s="586" t="s">
        <v>1029</v>
      </c>
      <c r="F928" s="586"/>
      <c r="G928" s="383" t="s">
        <v>416</v>
      </c>
      <c r="H928" s="312" t="s">
        <v>1030</v>
      </c>
      <c r="I928" s="312" t="s">
        <v>3016</v>
      </c>
      <c r="J928" s="312" t="s">
        <v>1031</v>
      </c>
      <c r="K928" s="312" t="s">
        <v>1032</v>
      </c>
      <c r="L928" s="166"/>
    </row>
    <row r="929" spans="1:12" ht="39.6" x14ac:dyDescent="0.3">
      <c r="A929" s="313" t="s">
        <v>1033</v>
      </c>
      <c r="B929" s="315" t="s">
        <v>9646</v>
      </c>
      <c r="C929" s="313" t="s">
        <v>395</v>
      </c>
      <c r="D929" s="313" t="s">
        <v>8492</v>
      </c>
      <c r="E929" s="603" t="s">
        <v>7839</v>
      </c>
      <c r="F929" s="603"/>
      <c r="G929" s="314" t="s">
        <v>675</v>
      </c>
      <c r="H929" s="399">
        <v>1</v>
      </c>
      <c r="I929" s="316"/>
      <c r="J929" s="316">
        <v>134.97</v>
      </c>
      <c r="K929" s="316">
        <v>134.97</v>
      </c>
      <c r="L929" s="166"/>
    </row>
    <row r="930" spans="1:12" ht="17.399999999999999" customHeight="1" x14ac:dyDescent="0.3">
      <c r="A930" s="408" t="s">
        <v>1034</v>
      </c>
      <c r="B930" s="409" t="s">
        <v>5212</v>
      </c>
      <c r="C930" s="408" t="s">
        <v>395</v>
      </c>
      <c r="D930" s="408" t="s">
        <v>5213</v>
      </c>
      <c r="E930" s="604" t="s">
        <v>7840</v>
      </c>
      <c r="F930" s="604"/>
      <c r="G930" s="410" t="s">
        <v>713</v>
      </c>
      <c r="H930" s="412">
        <v>1.0200000000000001E-2</v>
      </c>
      <c r="I930" s="412">
        <v>0</v>
      </c>
      <c r="J930" s="411">
        <v>657.31</v>
      </c>
      <c r="K930" s="411">
        <v>6.7045620000000001</v>
      </c>
      <c r="L930" s="166"/>
    </row>
    <row r="931" spans="1:12" ht="25.5" customHeight="1" x14ac:dyDescent="0.3">
      <c r="A931" s="408" t="s">
        <v>1034</v>
      </c>
      <c r="B931" s="409" t="s">
        <v>1302</v>
      </c>
      <c r="C931" s="408" t="s">
        <v>395</v>
      </c>
      <c r="D931" s="408" t="s">
        <v>144</v>
      </c>
      <c r="E931" s="604" t="s">
        <v>7768</v>
      </c>
      <c r="F931" s="604"/>
      <c r="G931" s="410" t="s">
        <v>6</v>
      </c>
      <c r="H931" s="412">
        <v>1.3</v>
      </c>
      <c r="I931" s="412">
        <v>0</v>
      </c>
      <c r="J931" s="411">
        <v>42.06</v>
      </c>
      <c r="K931" s="411">
        <v>54.677999999999997</v>
      </c>
      <c r="L931" s="166"/>
    </row>
    <row r="932" spans="1:12" ht="25.5" customHeight="1" x14ac:dyDescent="0.3">
      <c r="A932" s="408" t="s">
        <v>1034</v>
      </c>
      <c r="B932" s="409" t="s">
        <v>1290</v>
      </c>
      <c r="C932" s="408" t="s">
        <v>395</v>
      </c>
      <c r="D932" s="408" t="s">
        <v>147</v>
      </c>
      <c r="E932" s="604" t="s">
        <v>7768</v>
      </c>
      <c r="F932" s="604"/>
      <c r="G932" s="410" t="s">
        <v>6</v>
      </c>
      <c r="H932" s="412">
        <v>0.65</v>
      </c>
      <c r="I932" s="412">
        <v>0</v>
      </c>
      <c r="J932" s="411">
        <v>32.82</v>
      </c>
      <c r="K932" s="411">
        <v>21.332999999999998</v>
      </c>
      <c r="L932" s="168"/>
    </row>
    <row r="933" spans="1:12" ht="25.5" customHeight="1" x14ac:dyDescent="0.3">
      <c r="A933" s="400" t="s">
        <v>1038</v>
      </c>
      <c r="B933" s="401" t="s">
        <v>9550</v>
      </c>
      <c r="C933" s="400" t="s">
        <v>395</v>
      </c>
      <c r="D933" s="400" t="s">
        <v>9551</v>
      </c>
      <c r="E933" s="605" t="s">
        <v>1039</v>
      </c>
      <c r="F933" s="605"/>
      <c r="G933" s="402" t="s">
        <v>7</v>
      </c>
      <c r="H933" s="403">
        <v>0.42</v>
      </c>
      <c r="I933" s="403">
        <v>0</v>
      </c>
      <c r="J933" s="404">
        <v>3.25</v>
      </c>
      <c r="K933" s="404">
        <v>1.365</v>
      </c>
      <c r="L933" s="167"/>
    </row>
    <row r="934" spans="1:12" ht="25.5" customHeight="1" x14ac:dyDescent="0.3">
      <c r="A934" s="400" t="s">
        <v>1038</v>
      </c>
      <c r="B934" s="401" t="s">
        <v>9322</v>
      </c>
      <c r="C934" s="400" t="s">
        <v>395</v>
      </c>
      <c r="D934" s="400" t="s">
        <v>9323</v>
      </c>
      <c r="E934" s="605" t="s">
        <v>1039</v>
      </c>
      <c r="F934" s="605"/>
      <c r="G934" s="402" t="s">
        <v>4</v>
      </c>
      <c r="H934" s="403">
        <v>13.6</v>
      </c>
      <c r="I934" s="403">
        <v>0</v>
      </c>
      <c r="J934" s="404">
        <v>3.69</v>
      </c>
      <c r="K934" s="404">
        <v>50.183999999999997</v>
      </c>
      <c r="L934" s="168">
        <f>1/K934</f>
        <v>1.9926669854933843E-2</v>
      </c>
    </row>
    <row r="935" spans="1:12" ht="15" x14ac:dyDescent="0.3">
      <c r="A935" s="400" t="s">
        <v>1038</v>
      </c>
      <c r="B935" s="401" t="s">
        <v>4960</v>
      </c>
      <c r="C935" s="400" t="s">
        <v>395</v>
      </c>
      <c r="D935" s="400" t="s">
        <v>4961</v>
      </c>
      <c r="E935" s="605" t="s">
        <v>1039</v>
      </c>
      <c r="F935" s="605"/>
      <c r="G935" s="402" t="s">
        <v>4876</v>
      </c>
      <c r="H935" s="403">
        <v>0.01</v>
      </c>
      <c r="I935" s="403">
        <v>0</v>
      </c>
      <c r="J935" s="404">
        <v>70.87</v>
      </c>
      <c r="K935" s="404">
        <v>0.7087</v>
      </c>
      <c r="L935" s="168"/>
    </row>
    <row r="936" spans="1:12" ht="15" x14ac:dyDescent="0.3">
      <c r="A936" s="405"/>
      <c r="B936" s="405"/>
      <c r="C936" s="405"/>
      <c r="D936" s="405"/>
      <c r="E936" s="405" t="s">
        <v>1046</v>
      </c>
      <c r="F936" s="406">
        <v>57.26</v>
      </c>
      <c r="G936" s="405" t="s">
        <v>1047</v>
      </c>
      <c r="H936" s="406">
        <v>0.01</v>
      </c>
      <c r="I936" s="405" t="s">
        <v>1048</v>
      </c>
      <c r="J936" s="406">
        <v>57.27</v>
      </c>
      <c r="K936"/>
      <c r="L936" s="168"/>
    </row>
    <row r="937" spans="1:12" ht="15" customHeight="1" thickBot="1" x14ac:dyDescent="0.35">
      <c r="A937" s="405"/>
      <c r="B937" s="405"/>
      <c r="C937" s="405"/>
      <c r="D937" s="405"/>
      <c r="E937" s="405" t="s">
        <v>1049</v>
      </c>
      <c r="F937" s="406">
        <v>0</v>
      </c>
      <c r="G937" s="405"/>
      <c r="H937" s="606"/>
      <c r="I937" s="606" t="s">
        <v>1050</v>
      </c>
      <c r="J937" s="406">
        <v>134.97</v>
      </c>
      <c r="K937"/>
      <c r="L937" s="166"/>
    </row>
    <row r="938" spans="1:12" ht="14.25" customHeight="1" thickTop="1" x14ac:dyDescent="0.3">
      <c r="A938" s="407"/>
      <c r="B938" s="407"/>
      <c r="C938" s="407"/>
      <c r="D938" s="407"/>
      <c r="E938" s="407"/>
      <c r="F938" s="407"/>
      <c r="G938" s="407"/>
      <c r="H938" s="407"/>
      <c r="I938" s="407"/>
      <c r="J938" s="407"/>
      <c r="K938" s="407"/>
      <c r="L938" s="166"/>
    </row>
    <row r="939" spans="1:12" ht="15" x14ac:dyDescent="0.3">
      <c r="A939" s="382" t="s">
        <v>730</v>
      </c>
      <c r="B939" s="312" t="s">
        <v>413</v>
      </c>
      <c r="C939" s="382" t="s">
        <v>414</v>
      </c>
      <c r="D939" s="382" t="s">
        <v>415</v>
      </c>
      <c r="E939" s="586" t="s">
        <v>1029</v>
      </c>
      <c r="F939" s="586"/>
      <c r="G939" s="383" t="s">
        <v>416</v>
      </c>
      <c r="H939" s="312" t="s">
        <v>1030</v>
      </c>
      <c r="I939" s="312" t="s">
        <v>3016</v>
      </c>
      <c r="J939" s="312" t="s">
        <v>1031</v>
      </c>
      <c r="K939" s="312" t="s">
        <v>1032</v>
      </c>
      <c r="L939" s="168"/>
    </row>
    <row r="940" spans="1:12" ht="39.6" x14ac:dyDescent="0.3">
      <c r="A940" s="313" t="s">
        <v>1033</v>
      </c>
      <c r="B940" s="315" t="s">
        <v>9647</v>
      </c>
      <c r="C940" s="313" t="s">
        <v>395</v>
      </c>
      <c r="D940" s="313" t="s">
        <v>8493</v>
      </c>
      <c r="E940" s="603" t="s">
        <v>7839</v>
      </c>
      <c r="F940" s="603"/>
      <c r="G940" s="314" t="s">
        <v>675</v>
      </c>
      <c r="H940" s="399">
        <v>1</v>
      </c>
      <c r="I940" s="316"/>
      <c r="J940" s="316">
        <v>101.79</v>
      </c>
      <c r="K940" s="316">
        <v>101.79</v>
      </c>
      <c r="L940" s="168"/>
    </row>
    <row r="941" spans="1:12" ht="25.5" customHeight="1" x14ac:dyDescent="0.3">
      <c r="A941" s="408" t="s">
        <v>1034</v>
      </c>
      <c r="B941" s="409" t="s">
        <v>5212</v>
      </c>
      <c r="C941" s="408" t="s">
        <v>395</v>
      </c>
      <c r="D941" s="408" t="s">
        <v>5213</v>
      </c>
      <c r="E941" s="604" t="s">
        <v>7840</v>
      </c>
      <c r="F941" s="604"/>
      <c r="G941" s="410" t="s">
        <v>713</v>
      </c>
      <c r="H941" s="412">
        <v>8.6999999999999994E-3</v>
      </c>
      <c r="I941" s="412">
        <v>0</v>
      </c>
      <c r="J941" s="411">
        <v>657.31</v>
      </c>
      <c r="K941" s="411">
        <v>5.7185969999999999</v>
      </c>
      <c r="L941" s="168"/>
    </row>
    <row r="942" spans="1:12" ht="25.5" customHeight="1" x14ac:dyDescent="0.3">
      <c r="A942" s="408" t="s">
        <v>1034</v>
      </c>
      <c r="B942" s="409" t="s">
        <v>1302</v>
      </c>
      <c r="C942" s="408" t="s">
        <v>395</v>
      </c>
      <c r="D942" s="408" t="s">
        <v>144</v>
      </c>
      <c r="E942" s="604" t="s">
        <v>7768</v>
      </c>
      <c r="F942" s="604"/>
      <c r="G942" s="410" t="s">
        <v>6</v>
      </c>
      <c r="H942" s="412">
        <v>0.95</v>
      </c>
      <c r="I942" s="412">
        <v>0</v>
      </c>
      <c r="J942" s="411">
        <v>42.06</v>
      </c>
      <c r="K942" s="411">
        <v>39.957000000000001</v>
      </c>
      <c r="L942" s="168"/>
    </row>
    <row r="943" spans="1:12" ht="25.5" customHeight="1" x14ac:dyDescent="0.3">
      <c r="A943" s="408" t="s">
        <v>1034</v>
      </c>
      <c r="B943" s="409" t="s">
        <v>1290</v>
      </c>
      <c r="C943" s="408" t="s">
        <v>395</v>
      </c>
      <c r="D943" s="408" t="s">
        <v>147</v>
      </c>
      <c r="E943" s="604" t="s">
        <v>7768</v>
      </c>
      <c r="F943" s="604"/>
      <c r="G943" s="410" t="s">
        <v>6</v>
      </c>
      <c r="H943" s="412">
        <v>0.47499999999999998</v>
      </c>
      <c r="I943" s="412">
        <v>0</v>
      </c>
      <c r="J943" s="411">
        <v>32.82</v>
      </c>
      <c r="K943" s="411">
        <v>15.589499999999999</v>
      </c>
      <c r="L943" s="166"/>
    </row>
    <row r="944" spans="1:12" ht="25.5" customHeight="1" x14ac:dyDescent="0.3">
      <c r="A944" s="400" t="s">
        <v>1038</v>
      </c>
      <c r="B944" s="401" t="s">
        <v>9557</v>
      </c>
      <c r="C944" s="400" t="s">
        <v>395</v>
      </c>
      <c r="D944" s="400" t="s">
        <v>9558</v>
      </c>
      <c r="E944" s="605" t="s">
        <v>1039</v>
      </c>
      <c r="F944" s="605"/>
      <c r="G944" s="402" t="s">
        <v>7</v>
      </c>
      <c r="H944" s="403">
        <v>0.42</v>
      </c>
      <c r="I944" s="403">
        <v>0</v>
      </c>
      <c r="J944" s="404">
        <v>2.06</v>
      </c>
      <c r="K944" s="404">
        <v>0.86519999999999997</v>
      </c>
      <c r="L944" s="168"/>
    </row>
    <row r="945" spans="1:12" ht="14.25" customHeight="1" x14ac:dyDescent="0.3">
      <c r="A945" s="400" t="s">
        <v>1038</v>
      </c>
      <c r="B945" s="401" t="s">
        <v>9339</v>
      </c>
      <c r="C945" s="400" t="s">
        <v>395</v>
      </c>
      <c r="D945" s="400" t="s">
        <v>9340</v>
      </c>
      <c r="E945" s="605" t="s">
        <v>1039</v>
      </c>
      <c r="F945" s="605"/>
      <c r="G945" s="402" t="s">
        <v>4</v>
      </c>
      <c r="H945" s="403">
        <v>13.6</v>
      </c>
      <c r="I945" s="403">
        <v>0</v>
      </c>
      <c r="J945" s="404">
        <v>2.89</v>
      </c>
      <c r="K945" s="404">
        <v>39.304000000000002</v>
      </c>
      <c r="L945" s="168"/>
    </row>
    <row r="946" spans="1:12" ht="15" customHeight="1" x14ac:dyDescent="0.3">
      <c r="A946" s="400" t="s">
        <v>1038</v>
      </c>
      <c r="B946" s="401" t="s">
        <v>4960</v>
      </c>
      <c r="C946" s="400" t="s">
        <v>395</v>
      </c>
      <c r="D946" s="400" t="s">
        <v>4961</v>
      </c>
      <c r="E946" s="605" t="s">
        <v>1039</v>
      </c>
      <c r="F946" s="605"/>
      <c r="G946" s="402" t="s">
        <v>4876</v>
      </c>
      <c r="H946" s="403">
        <v>5.0000000000000001E-3</v>
      </c>
      <c r="I946" s="403">
        <v>0</v>
      </c>
      <c r="J946" s="404">
        <v>70.87</v>
      </c>
      <c r="K946" s="404">
        <v>0.35435</v>
      </c>
      <c r="L946" s="168"/>
    </row>
    <row r="947" spans="1:12" ht="15" x14ac:dyDescent="0.3">
      <c r="A947" s="405"/>
      <c r="B947" s="405"/>
      <c r="C947" s="405"/>
      <c r="D947" s="405"/>
      <c r="E947" s="405" t="s">
        <v>1046</v>
      </c>
      <c r="F947" s="406">
        <v>41.98</v>
      </c>
      <c r="G947" s="405" t="s">
        <v>1047</v>
      </c>
      <c r="H947" s="406">
        <v>0.01</v>
      </c>
      <c r="I947" s="405" t="s">
        <v>1048</v>
      </c>
      <c r="J947" s="406">
        <v>41.99</v>
      </c>
      <c r="K947"/>
      <c r="L947" s="166"/>
    </row>
    <row r="948" spans="1:12" ht="15" customHeight="1" thickBot="1" x14ac:dyDescent="0.35">
      <c r="A948" s="405"/>
      <c r="B948" s="405"/>
      <c r="C948" s="405"/>
      <c r="D948" s="405"/>
      <c r="E948" s="405" t="s">
        <v>1049</v>
      </c>
      <c r="F948" s="406">
        <v>0</v>
      </c>
      <c r="G948" s="405"/>
      <c r="H948" s="606"/>
      <c r="I948" s="606" t="s">
        <v>1050</v>
      </c>
      <c r="J948" s="406">
        <v>101.79</v>
      </c>
      <c r="K948"/>
      <c r="L948" s="166"/>
    </row>
    <row r="949" spans="1:12" ht="15.6" thickTop="1" x14ac:dyDescent="0.3">
      <c r="A949" s="407"/>
      <c r="B949" s="407"/>
      <c r="C949" s="407"/>
      <c r="D949" s="407"/>
      <c r="E949" s="407"/>
      <c r="F949" s="407"/>
      <c r="G949" s="407"/>
      <c r="H949" s="407"/>
      <c r="I949" s="407"/>
      <c r="J949" s="407"/>
      <c r="K949" s="407"/>
      <c r="L949" s="168"/>
    </row>
    <row r="950" spans="1:12" ht="15" x14ac:dyDescent="0.3">
      <c r="A950" s="382" t="s">
        <v>731</v>
      </c>
      <c r="B950" s="312" t="s">
        <v>413</v>
      </c>
      <c r="C950" s="382" t="s">
        <v>414</v>
      </c>
      <c r="D950" s="382" t="s">
        <v>415</v>
      </c>
      <c r="E950" s="586" t="s">
        <v>1029</v>
      </c>
      <c r="F950" s="586"/>
      <c r="G950" s="383" t="s">
        <v>416</v>
      </c>
      <c r="H950" s="312" t="s">
        <v>1030</v>
      </c>
      <c r="I950" s="312" t="s">
        <v>3016</v>
      </c>
      <c r="J950" s="312" t="s">
        <v>1031</v>
      </c>
      <c r="K950" s="312" t="s">
        <v>1032</v>
      </c>
      <c r="L950" s="168"/>
    </row>
    <row r="951" spans="1:12" ht="26.4" x14ac:dyDescent="0.3">
      <c r="A951" s="313" t="s">
        <v>1033</v>
      </c>
      <c r="B951" s="315" t="s">
        <v>830</v>
      </c>
      <c r="C951" s="313" t="s">
        <v>490</v>
      </c>
      <c r="D951" s="313" t="s">
        <v>5920</v>
      </c>
      <c r="E951" s="603" t="s">
        <v>7841</v>
      </c>
      <c r="F951" s="603"/>
      <c r="G951" s="314" t="s">
        <v>3</v>
      </c>
      <c r="H951" s="399">
        <v>1</v>
      </c>
      <c r="I951" s="316"/>
      <c r="J951" s="316">
        <v>27.21</v>
      </c>
      <c r="K951" s="316">
        <v>27.21</v>
      </c>
      <c r="L951" s="168"/>
    </row>
    <row r="952" spans="1:12" ht="17.399999999999999" customHeight="1" x14ac:dyDescent="0.3">
      <c r="A952" s="400" t="s">
        <v>1038</v>
      </c>
      <c r="B952" s="401" t="s">
        <v>1608</v>
      </c>
      <c r="C952" s="400" t="s">
        <v>490</v>
      </c>
      <c r="D952" s="400" t="s">
        <v>1609</v>
      </c>
      <c r="E952" s="605" t="s">
        <v>1039</v>
      </c>
      <c r="F952" s="605"/>
      <c r="G952" s="402" t="s">
        <v>3</v>
      </c>
      <c r="H952" s="403">
        <v>1</v>
      </c>
      <c r="I952" s="403">
        <v>0</v>
      </c>
      <c r="J952" s="404">
        <v>21.1</v>
      </c>
      <c r="K952" s="404">
        <v>21.1</v>
      </c>
      <c r="L952" s="166"/>
    </row>
    <row r="953" spans="1:12" ht="14.25" customHeight="1" x14ac:dyDescent="0.3">
      <c r="A953" s="400" t="s">
        <v>1038</v>
      </c>
      <c r="B953" s="401" t="s">
        <v>1610</v>
      </c>
      <c r="C953" s="400" t="s">
        <v>490</v>
      </c>
      <c r="D953" s="400" t="s">
        <v>1611</v>
      </c>
      <c r="E953" s="605" t="s">
        <v>1039</v>
      </c>
      <c r="F953" s="605"/>
      <c r="G953" s="402" t="s">
        <v>3</v>
      </c>
      <c r="H953" s="403">
        <v>1</v>
      </c>
      <c r="I953" s="403">
        <v>0</v>
      </c>
      <c r="J953" s="404">
        <v>6.11</v>
      </c>
      <c r="K953" s="404">
        <v>6.11</v>
      </c>
      <c r="L953" s="166"/>
    </row>
    <row r="954" spans="1:12" ht="15" x14ac:dyDescent="0.3">
      <c r="A954" s="405"/>
      <c r="B954" s="405"/>
      <c r="C954" s="405"/>
      <c r="D954" s="405"/>
      <c r="E954" s="405" t="s">
        <v>1046</v>
      </c>
      <c r="F954" s="406">
        <v>0</v>
      </c>
      <c r="G954" s="405" t="s">
        <v>1047</v>
      </c>
      <c r="H954" s="406">
        <v>0</v>
      </c>
      <c r="I954" s="405" t="s">
        <v>1048</v>
      </c>
      <c r="J954" s="406">
        <v>0</v>
      </c>
      <c r="K954"/>
      <c r="L954" s="166"/>
    </row>
    <row r="955" spans="1:12" ht="15" customHeight="1" thickBot="1" x14ac:dyDescent="0.35">
      <c r="A955" s="405"/>
      <c r="B955" s="405"/>
      <c r="C955" s="405"/>
      <c r="D955" s="405"/>
      <c r="E955" s="405" t="s">
        <v>1049</v>
      </c>
      <c r="F955" s="406">
        <v>0</v>
      </c>
      <c r="G955" s="405"/>
      <c r="H955" s="606"/>
      <c r="I955" s="606" t="s">
        <v>1050</v>
      </c>
      <c r="J955" s="406">
        <v>27.21</v>
      </c>
      <c r="K955"/>
      <c r="L955" s="166"/>
    </row>
    <row r="956" spans="1:12" ht="30" customHeight="1" thickTop="1" x14ac:dyDescent="0.3">
      <c r="A956" s="407"/>
      <c r="B956" s="407"/>
      <c r="C956" s="407"/>
      <c r="D956" s="407"/>
      <c r="E956" s="407"/>
      <c r="F956" s="407"/>
      <c r="G956" s="407"/>
      <c r="H956" s="407"/>
      <c r="I956" s="407"/>
      <c r="J956" s="407"/>
      <c r="K956" s="407"/>
      <c r="L956" s="166"/>
    </row>
    <row r="957" spans="1:12" ht="30" customHeight="1" x14ac:dyDescent="0.3">
      <c r="A957" s="382" t="s">
        <v>733</v>
      </c>
      <c r="B957" s="312" t="s">
        <v>413</v>
      </c>
      <c r="C957" s="382" t="s">
        <v>414</v>
      </c>
      <c r="D957" s="382" t="s">
        <v>415</v>
      </c>
      <c r="E957" s="586" t="s">
        <v>1029</v>
      </c>
      <c r="F957" s="586"/>
      <c r="G957" s="383" t="s">
        <v>416</v>
      </c>
      <c r="H957" s="312" t="s">
        <v>1030</v>
      </c>
      <c r="I957" s="312" t="s">
        <v>3016</v>
      </c>
      <c r="J957" s="312" t="s">
        <v>1031</v>
      </c>
      <c r="K957" s="312" t="s">
        <v>1032</v>
      </c>
      <c r="L957" s="166"/>
    </row>
    <row r="958" spans="1:12" ht="52.8" x14ac:dyDescent="0.3">
      <c r="A958" s="313" t="s">
        <v>1033</v>
      </c>
      <c r="B958" s="315" t="s">
        <v>9648</v>
      </c>
      <c r="C958" s="313" t="s">
        <v>395</v>
      </c>
      <c r="D958" s="313" t="s">
        <v>8495</v>
      </c>
      <c r="E958" s="603" t="s">
        <v>7842</v>
      </c>
      <c r="F958" s="603"/>
      <c r="G958" s="314" t="s">
        <v>675</v>
      </c>
      <c r="H958" s="399">
        <v>1</v>
      </c>
      <c r="I958" s="316"/>
      <c r="J958" s="316">
        <v>109.44</v>
      </c>
      <c r="K958" s="316">
        <v>109.44</v>
      </c>
      <c r="L958" s="166"/>
    </row>
    <row r="959" spans="1:12" ht="26.4" x14ac:dyDescent="0.3">
      <c r="A959" s="408" t="s">
        <v>1034</v>
      </c>
      <c r="B959" s="409" t="s">
        <v>5214</v>
      </c>
      <c r="C959" s="408" t="s">
        <v>395</v>
      </c>
      <c r="D959" s="408" t="s">
        <v>7843</v>
      </c>
      <c r="E959" s="604" t="s">
        <v>7768</v>
      </c>
      <c r="F959" s="604"/>
      <c r="G959" s="410" t="s">
        <v>6</v>
      </c>
      <c r="H959" s="412">
        <v>0.59499999999999997</v>
      </c>
      <c r="I959" s="412">
        <v>0</v>
      </c>
      <c r="J959" s="411">
        <v>41.72</v>
      </c>
      <c r="K959" s="411">
        <v>24.823399999999999</v>
      </c>
      <c r="L959" s="168"/>
    </row>
    <row r="960" spans="1:12" ht="26.4" x14ac:dyDescent="0.3">
      <c r="A960" s="408" t="s">
        <v>1034</v>
      </c>
      <c r="B960" s="409" t="s">
        <v>1290</v>
      </c>
      <c r="C960" s="408" t="s">
        <v>395</v>
      </c>
      <c r="D960" s="408" t="s">
        <v>147</v>
      </c>
      <c r="E960" s="604" t="s">
        <v>7768</v>
      </c>
      <c r="F960" s="604"/>
      <c r="G960" s="410" t="s">
        <v>6</v>
      </c>
      <c r="H960" s="412">
        <v>0.19500000000000001</v>
      </c>
      <c r="I960" s="412">
        <v>0</v>
      </c>
      <c r="J960" s="411">
        <v>32.82</v>
      </c>
      <c r="K960" s="411">
        <v>6.3998999999999997</v>
      </c>
      <c r="L960" s="167"/>
    </row>
    <row r="961" spans="1:12" ht="17.399999999999999" customHeight="1" x14ac:dyDescent="0.3">
      <c r="A961" s="400" t="s">
        <v>1038</v>
      </c>
      <c r="B961" s="401" t="s">
        <v>4874</v>
      </c>
      <c r="C961" s="400" t="s">
        <v>395</v>
      </c>
      <c r="D961" s="400" t="s">
        <v>4875</v>
      </c>
      <c r="E961" s="605" t="s">
        <v>1039</v>
      </c>
      <c r="F961" s="605"/>
      <c r="G961" s="402" t="s">
        <v>4876</v>
      </c>
      <c r="H961" s="403">
        <v>2.9600000000000001E-2</v>
      </c>
      <c r="I961" s="403">
        <v>0</v>
      </c>
      <c r="J961" s="404">
        <v>82.42</v>
      </c>
      <c r="K961" s="404">
        <v>2.439632</v>
      </c>
      <c r="L961" s="168">
        <f>K961*H961</f>
        <v>7.2213107200000001E-2</v>
      </c>
    </row>
    <row r="962" spans="1:12" ht="26.4" x14ac:dyDescent="0.3">
      <c r="A962" s="400" t="s">
        <v>1038</v>
      </c>
      <c r="B962" s="401" t="s">
        <v>4285</v>
      </c>
      <c r="C962" s="400" t="s">
        <v>395</v>
      </c>
      <c r="D962" s="400" t="s">
        <v>4286</v>
      </c>
      <c r="E962" s="605" t="s">
        <v>1039</v>
      </c>
      <c r="F962" s="605"/>
      <c r="G962" s="402" t="s">
        <v>675</v>
      </c>
      <c r="H962" s="403">
        <v>2.1059999999999999</v>
      </c>
      <c r="I962" s="403">
        <v>0</v>
      </c>
      <c r="J962" s="404">
        <v>19.97</v>
      </c>
      <c r="K962" s="404">
        <v>42.056820000000002</v>
      </c>
      <c r="L962" s="168">
        <f t="shared" ref="L962:L964" si="0">K962*H962</f>
        <v>88.571662919999994</v>
      </c>
    </row>
    <row r="963" spans="1:12" ht="12.75" customHeight="1" x14ac:dyDescent="0.3">
      <c r="A963" s="400" t="s">
        <v>1038</v>
      </c>
      <c r="B963" s="401" t="s">
        <v>4648</v>
      </c>
      <c r="C963" s="400" t="s">
        <v>395</v>
      </c>
      <c r="D963" s="400" t="s">
        <v>4649</v>
      </c>
      <c r="E963" s="605" t="s">
        <v>1039</v>
      </c>
      <c r="F963" s="605"/>
      <c r="G963" s="402" t="s">
        <v>7</v>
      </c>
      <c r="H963" s="403">
        <v>0.91169999999999995</v>
      </c>
      <c r="I963" s="403">
        <v>0</v>
      </c>
      <c r="J963" s="404">
        <v>5.78</v>
      </c>
      <c r="K963" s="404">
        <v>5.2696259999999997</v>
      </c>
      <c r="L963" s="168">
        <f t="shared" si="0"/>
        <v>4.8043180241999996</v>
      </c>
    </row>
    <row r="964" spans="1:12" ht="15" customHeight="1" x14ac:dyDescent="0.3">
      <c r="A964" s="400" t="s">
        <v>1038</v>
      </c>
      <c r="B964" s="401" t="s">
        <v>4332</v>
      </c>
      <c r="C964" s="400" t="s">
        <v>395</v>
      </c>
      <c r="D964" s="400" t="s">
        <v>4333</v>
      </c>
      <c r="E964" s="605" t="s">
        <v>1039</v>
      </c>
      <c r="F964" s="605"/>
      <c r="G964" s="402" t="s">
        <v>7</v>
      </c>
      <c r="H964" s="403">
        <v>2.9138999999999999</v>
      </c>
      <c r="I964" s="403">
        <v>0</v>
      </c>
      <c r="J964" s="404">
        <v>6.56</v>
      </c>
      <c r="K964" s="404">
        <v>19.115183999999999</v>
      </c>
      <c r="L964" s="168">
        <f t="shared" si="0"/>
        <v>55.699734657599997</v>
      </c>
    </row>
    <row r="965" spans="1:12" ht="30" customHeight="1" x14ac:dyDescent="0.3">
      <c r="A965" s="400" t="s">
        <v>1038</v>
      </c>
      <c r="B965" s="401" t="s">
        <v>4976</v>
      </c>
      <c r="C965" s="400" t="s">
        <v>395</v>
      </c>
      <c r="D965" s="400" t="s">
        <v>4977</v>
      </c>
      <c r="E965" s="605" t="s">
        <v>1039</v>
      </c>
      <c r="F965" s="605"/>
      <c r="G965" s="402" t="s">
        <v>7</v>
      </c>
      <c r="H965" s="403">
        <v>2.5026999999999999</v>
      </c>
      <c r="I965" s="403">
        <v>0</v>
      </c>
      <c r="J965" s="404">
        <v>0.31</v>
      </c>
      <c r="K965" s="404">
        <v>0.775837</v>
      </c>
      <c r="L965" s="168"/>
    </row>
    <row r="966" spans="1:12" ht="26.4" x14ac:dyDescent="0.3">
      <c r="A966" s="400" t="s">
        <v>1038</v>
      </c>
      <c r="B966" s="401" t="s">
        <v>2290</v>
      </c>
      <c r="C966" s="400" t="s">
        <v>395</v>
      </c>
      <c r="D966" s="400" t="s">
        <v>261</v>
      </c>
      <c r="E966" s="605" t="s">
        <v>1039</v>
      </c>
      <c r="F966" s="605"/>
      <c r="G966" s="402" t="s">
        <v>7</v>
      </c>
      <c r="H966" s="403">
        <v>0.79249999999999998</v>
      </c>
      <c r="I966" s="403">
        <v>0</v>
      </c>
      <c r="J966" s="404">
        <v>2.76</v>
      </c>
      <c r="K966" s="404">
        <v>2.1873</v>
      </c>
      <c r="L966" s="168">
        <f>SUM(L961:L965)</f>
        <v>149.14792870899998</v>
      </c>
    </row>
    <row r="967" spans="1:12" ht="14.25" customHeight="1" x14ac:dyDescent="0.3">
      <c r="A967" s="400" t="s">
        <v>1038</v>
      </c>
      <c r="B967" s="401" t="s">
        <v>4872</v>
      </c>
      <c r="C967" s="400" t="s">
        <v>395</v>
      </c>
      <c r="D967" s="400" t="s">
        <v>4873</v>
      </c>
      <c r="E967" s="605" t="s">
        <v>1317</v>
      </c>
      <c r="F967" s="605"/>
      <c r="G967" s="402" t="s">
        <v>3</v>
      </c>
      <c r="H967" s="403">
        <v>1.0978000000000001</v>
      </c>
      <c r="I967" s="403">
        <v>0</v>
      </c>
      <c r="J967" s="404">
        <v>3.46</v>
      </c>
      <c r="K967" s="404">
        <v>3.7983880000000001</v>
      </c>
      <c r="L967" s="166"/>
    </row>
    <row r="968" spans="1:12" ht="26.4" x14ac:dyDescent="0.3">
      <c r="A968" s="400" t="s">
        <v>1038</v>
      </c>
      <c r="B968" s="401" t="s">
        <v>4889</v>
      </c>
      <c r="C968" s="400" t="s">
        <v>395</v>
      </c>
      <c r="D968" s="400" t="s">
        <v>4890</v>
      </c>
      <c r="E968" s="605" t="s">
        <v>1039</v>
      </c>
      <c r="F968" s="605"/>
      <c r="G968" s="402" t="s">
        <v>4</v>
      </c>
      <c r="H968" s="403">
        <v>20.186800000000002</v>
      </c>
      <c r="I968" s="403">
        <v>0</v>
      </c>
      <c r="J968" s="404">
        <v>0.12</v>
      </c>
      <c r="K968" s="404">
        <v>2.4224160000000001</v>
      </c>
      <c r="L968" s="168"/>
    </row>
    <row r="969" spans="1:12" ht="17.399999999999999" customHeight="1" x14ac:dyDescent="0.3">
      <c r="A969" s="400" t="s">
        <v>1038</v>
      </c>
      <c r="B969" s="401" t="s">
        <v>5007</v>
      </c>
      <c r="C969" s="400" t="s">
        <v>395</v>
      </c>
      <c r="D969" s="400" t="s">
        <v>5008</v>
      </c>
      <c r="E969" s="605" t="s">
        <v>1039</v>
      </c>
      <c r="F969" s="605"/>
      <c r="G969" s="402" t="s">
        <v>4</v>
      </c>
      <c r="H969" s="403">
        <v>0.54410000000000003</v>
      </c>
      <c r="I969" s="403">
        <v>0</v>
      </c>
      <c r="J969" s="404">
        <v>0.28000000000000003</v>
      </c>
      <c r="K969" s="404">
        <v>0.15234800000000001</v>
      </c>
      <c r="L969" s="168"/>
    </row>
    <row r="970" spans="1:12" ht="15" x14ac:dyDescent="0.3">
      <c r="A970" s="405"/>
      <c r="B970" s="405"/>
      <c r="C970" s="405"/>
      <c r="D970" s="405"/>
      <c r="E970" s="405" t="s">
        <v>1046</v>
      </c>
      <c r="F970" s="406">
        <v>23.91</v>
      </c>
      <c r="G970" s="405" t="s">
        <v>1047</v>
      </c>
      <c r="H970" s="406">
        <v>0</v>
      </c>
      <c r="I970" s="405" t="s">
        <v>1048</v>
      </c>
      <c r="J970" s="406">
        <v>23.91</v>
      </c>
      <c r="K970"/>
      <c r="L970" s="168"/>
    </row>
    <row r="971" spans="1:12" ht="15.6" thickBot="1" x14ac:dyDescent="0.35">
      <c r="A971" s="405"/>
      <c r="B971" s="405"/>
      <c r="C971" s="405"/>
      <c r="D971" s="405"/>
      <c r="E971" s="405" t="s">
        <v>1049</v>
      </c>
      <c r="F971" s="406">
        <v>0</v>
      </c>
      <c r="G971" s="405"/>
      <c r="H971" s="606"/>
      <c r="I971" s="606" t="s">
        <v>1050</v>
      </c>
      <c r="J971" s="406">
        <v>109.44</v>
      </c>
      <c r="K971"/>
      <c r="L971" s="168"/>
    </row>
    <row r="972" spans="1:12" ht="15.6" thickTop="1" x14ac:dyDescent="0.3">
      <c r="A972" s="407"/>
      <c r="B972" s="407"/>
      <c r="C972" s="407"/>
      <c r="D972" s="407"/>
      <c r="E972" s="407"/>
      <c r="F972" s="407"/>
      <c r="G972" s="407"/>
      <c r="H972" s="407"/>
      <c r="I972" s="407"/>
      <c r="J972" s="407"/>
      <c r="K972" s="407"/>
      <c r="L972" s="168"/>
    </row>
    <row r="973" spans="1:12" ht="15" customHeight="1" x14ac:dyDescent="0.3">
      <c r="A973" s="382" t="s">
        <v>734</v>
      </c>
      <c r="B973" s="312" t="s">
        <v>413</v>
      </c>
      <c r="C973" s="382" t="s">
        <v>414</v>
      </c>
      <c r="D973" s="382" t="s">
        <v>415</v>
      </c>
      <c r="E973" s="586" t="s">
        <v>1029</v>
      </c>
      <c r="F973" s="586"/>
      <c r="G973" s="383" t="s">
        <v>416</v>
      </c>
      <c r="H973" s="312" t="s">
        <v>1030</v>
      </c>
      <c r="I973" s="312" t="s">
        <v>3016</v>
      </c>
      <c r="J973" s="312" t="s">
        <v>1031</v>
      </c>
      <c r="K973" s="312" t="s">
        <v>1032</v>
      </c>
      <c r="L973" s="168"/>
    </row>
    <row r="974" spans="1:12" ht="52.8" x14ac:dyDescent="0.3">
      <c r="A974" s="313" t="s">
        <v>1033</v>
      </c>
      <c r="B974" s="315" t="s">
        <v>9649</v>
      </c>
      <c r="C974" s="313" t="s">
        <v>395</v>
      </c>
      <c r="D974" s="313" t="s">
        <v>8501</v>
      </c>
      <c r="E974" s="603" t="s">
        <v>7842</v>
      </c>
      <c r="F974" s="603"/>
      <c r="G974" s="314" t="s">
        <v>675</v>
      </c>
      <c r="H974" s="399">
        <v>1</v>
      </c>
      <c r="I974" s="316"/>
      <c r="J974" s="316">
        <v>138.91</v>
      </c>
      <c r="K974" s="316">
        <v>138.91</v>
      </c>
      <c r="L974" s="168"/>
    </row>
    <row r="975" spans="1:12" ht="26.4" x14ac:dyDescent="0.3">
      <c r="A975" s="408" t="s">
        <v>1034</v>
      </c>
      <c r="B975" s="409" t="s">
        <v>5214</v>
      </c>
      <c r="C975" s="408" t="s">
        <v>395</v>
      </c>
      <c r="D975" s="408" t="s">
        <v>7843</v>
      </c>
      <c r="E975" s="604" t="s">
        <v>7768</v>
      </c>
      <c r="F975" s="604"/>
      <c r="G975" s="410" t="s">
        <v>6</v>
      </c>
      <c r="H975" s="412">
        <v>0.70599999999999996</v>
      </c>
      <c r="I975" s="412">
        <v>0</v>
      </c>
      <c r="J975" s="411">
        <v>41.72</v>
      </c>
      <c r="K975" s="411">
        <v>29.454319999999999</v>
      </c>
      <c r="L975" s="168"/>
    </row>
    <row r="976" spans="1:12" ht="26.4" x14ac:dyDescent="0.3">
      <c r="A976" s="408" t="s">
        <v>1034</v>
      </c>
      <c r="B976" s="409" t="s">
        <v>1290</v>
      </c>
      <c r="C976" s="408" t="s">
        <v>395</v>
      </c>
      <c r="D976" s="408" t="s">
        <v>147</v>
      </c>
      <c r="E976" s="604" t="s">
        <v>7768</v>
      </c>
      <c r="F976" s="604"/>
      <c r="G976" s="410" t="s">
        <v>6</v>
      </c>
      <c r="H976" s="412">
        <v>0.23100000000000001</v>
      </c>
      <c r="I976" s="412">
        <v>0</v>
      </c>
      <c r="J976" s="411">
        <v>32.82</v>
      </c>
      <c r="K976" s="411">
        <v>7.5814199999999996</v>
      </c>
      <c r="L976" s="168"/>
    </row>
    <row r="977" spans="1:12" ht="14.25" customHeight="1" x14ac:dyDescent="0.3">
      <c r="A977" s="400" t="s">
        <v>1038</v>
      </c>
      <c r="B977" s="401" t="s">
        <v>4874</v>
      </c>
      <c r="C977" s="400" t="s">
        <v>395</v>
      </c>
      <c r="D977" s="400" t="s">
        <v>4875</v>
      </c>
      <c r="E977" s="605" t="s">
        <v>1039</v>
      </c>
      <c r="F977" s="605"/>
      <c r="G977" s="402" t="s">
        <v>4876</v>
      </c>
      <c r="H977" s="403">
        <v>2.9600000000000001E-2</v>
      </c>
      <c r="I977" s="403">
        <v>0</v>
      </c>
      <c r="J977" s="404">
        <v>82.42</v>
      </c>
      <c r="K977" s="404">
        <v>2.439632</v>
      </c>
      <c r="L977" s="168">
        <f>72+56</f>
        <v>128</v>
      </c>
    </row>
    <row r="978" spans="1:12" ht="26.4" x14ac:dyDescent="0.3">
      <c r="A978" s="400" t="s">
        <v>1038</v>
      </c>
      <c r="B978" s="401" t="s">
        <v>4285</v>
      </c>
      <c r="C978" s="400" t="s">
        <v>395</v>
      </c>
      <c r="D978" s="400" t="s">
        <v>4286</v>
      </c>
      <c r="E978" s="605" t="s">
        <v>1039</v>
      </c>
      <c r="F978" s="605"/>
      <c r="G978" s="402" t="s">
        <v>675</v>
      </c>
      <c r="H978" s="403">
        <v>3.1589999999999998</v>
      </c>
      <c r="I978" s="403">
        <v>0</v>
      </c>
      <c r="J978" s="404">
        <v>19.97</v>
      </c>
      <c r="K978" s="404">
        <v>63.085230000000003</v>
      </c>
      <c r="L978" s="168">
        <v>642</v>
      </c>
    </row>
    <row r="979" spans="1:12" ht="26.4" x14ac:dyDescent="0.3">
      <c r="A979" s="400" t="s">
        <v>1038</v>
      </c>
      <c r="B979" s="401" t="s">
        <v>4648</v>
      </c>
      <c r="C979" s="400" t="s">
        <v>395</v>
      </c>
      <c r="D979" s="400" t="s">
        <v>4649</v>
      </c>
      <c r="E979" s="605" t="s">
        <v>1039</v>
      </c>
      <c r="F979" s="605"/>
      <c r="G979" s="402" t="s">
        <v>7</v>
      </c>
      <c r="H979" s="403">
        <v>0.91169999999999995</v>
      </c>
      <c r="I979" s="403">
        <v>0</v>
      </c>
      <c r="J979" s="404">
        <v>5.78</v>
      </c>
      <c r="K979" s="404">
        <v>5.2696259999999997</v>
      </c>
      <c r="L979" s="168">
        <v>130</v>
      </c>
    </row>
    <row r="980" spans="1:12" ht="26.4" x14ac:dyDescent="0.3">
      <c r="A980" s="400" t="s">
        <v>1038</v>
      </c>
      <c r="B980" s="401" t="s">
        <v>4332</v>
      </c>
      <c r="C980" s="400" t="s">
        <v>395</v>
      </c>
      <c r="D980" s="400" t="s">
        <v>4333</v>
      </c>
      <c r="E980" s="605" t="s">
        <v>1039</v>
      </c>
      <c r="F980" s="605"/>
      <c r="G980" s="402" t="s">
        <v>7</v>
      </c>
      <c r="H980" s="403">
        <v>2.9138999999999999</v>
      </c>
      <c r="I980" s="403">
        <v>0</v>
      </c>
      <c r="J980" s="404">
        <v>6.56</v>
      </c>
      <c r="K980" s="404">
        <v>19.115183999999999</v>
      </c>
      <c r="L980" s="168">
        <v>103.1</v>
      </c>
    </row>
    <row r="981" spans="1:12" ht="26.4" x14ac:dyDescent="0.3">
      <c r="A981" s="400" t="s">
        <v>1038</v>
      </c>
      <c r="B981" s="401" t="s">
        <v>4976</v>
      </c>
      <c r="C981" s="400" t="s">
        <v>395</v>
      </c>
      <c r="D981" s="400" t="s">
        <v>4977</v>
      </c>
      <c r="E981" s="605" t="s">
        <v>1039</v>
      </c>
      <c r="F981" s="605"/>
      <c r="G981" s="402" t="s">
        <v>7</v>
      </c>
      <c r="H981" s="403">
        <v>2.5026999999999999</v>
      </c>
      <c r="I981" s="403">
        <v>0</v>
      </c>
      <c r="J981" s="404">
        <v>0.31</v>
      </c>
      <c r="K981" s="404">
        <v>0.775837</v>
      </c>
      <c r="L981" s="168">
        <v>45.48</v>
      </c>
    </row>
    <row r="982" spans="1:12" ht="15" customHeight="1" x14ac:dyDescent="0.3">
      <c r="A982" s="400" t="s">
        <v>1038</v>
      </c>
      <c r="B982" s="401" t="s">
        <v>2290</v>
      </c>
      <c r="C982" s="400" t="s">
        <v>395</v>
      </c>
      <c r="D982" s="400" t="s">
        <v>261</v>
      </c>
      <c r="E982" s="605" t="s">
        <v>1039</v>
      </c>
      <c r="F982" s="605"/>
      <c r="G982" s="402" t="s">
        <v>7</v>
      </c>
      <c r="H982" s="403">
        <v>0.79249999999999998</v>
      </c>
      <c r="I982" s="403">
        <v>0</v>
      </c>
      <c r="J982" s="404">
        <v>2.76</v>
      </c>
      <c r="K982" s="404">
        <v>2.1873</v>
      </c>
      <c r="L982" s="168"/>
    </row>
    <row r="983" spans="1:12" ht="39.6" x14ac:dyDescent="0.3">
      <c r="A983" s="400" t="s">
        <v>1038</v>
      </c>
      <c r="B983" s="401" t="s">
        <v>4872</v>
      </c>
      <c r="C983" s="400" t="s">
        <v>395</v>
      </c>
      <c r="D983" s="400" t="s">
        <v>4873</v>
      </c>
      <c r="E983" s="605" t="s">
        <v>1317</v>
      </c>
      <c r="F983" s="605"/>
      <c r="G983" s="402" t="s">
        <v>3</v>
      </c>
      <c r="H983" s="403">
        <v>1.0978000000000001</v>
      </c>
      <c r="I983" s="403">
        <v>0</v>
      </c>
      <c r="J983" s="404">
        <v>3.46</v>
      </c>
      <c r="K983" s="404">
        <v>3.7983880000000001</v>
      </c>
      <c r="L983" s="168"/>
    </row>
    <row r="984" spans="1:12" ht="26.4" x14ac:dyDescent="0.3">
      <c r="A984" s="400" t="s">
        <v>1038</v>
      </c>
      <c r="B984" s="401" t="s">
        <v>4889</v>
      </c>
      <c r="C984" s="400" t="s">
        <v>395</v>
      </c>
      <c r="D984" s="400" t="s">
        <v>4890</v>
      </c>
      <c r="E984" s="605" t="s">
        <v>1039</v>
      </c>
      <c r="F984" s="605"/>
      <c r="G984" s="402" t="s">
        <v>4</v>
      </c>
      <c r="H984" s="403">
        <v>20.186800000000002</v>
      </c>
      <c r="I984" s="403">
        <v>0</v>
      </c>
      <c r="J984" s="404">
        <v>0.12</v>
      </c>
      <c r="K984" s="404">
        <v>2.4224160000000001</v>
      </c>
      <c r="L984" s="168"/>
    </row>
    <row r="985" spans="1:12" ht="26.4" x14ac:dyDescent="0.3">
      <c r="A985" s="400" t="s">
        <v>1038</v>
      </c>
      <c r="B985" s="401" t="s">
        <v>4795</v>
      </c>
      <c r="C985" s="400" t="s">
        <v>395</v>
      </c>
      <c r="D985" s="400" t="s">
        <v>4796</v>
      </c>
      <c r="E985" s="605" t="s">
        <v>1039</v>
      </c>
      <c r="F985" s="605"/>
      <c r="G985" s="402" t="s">
        <v>4</v>
      </c>
      <c r="H985" s="403">
        <v>10.093400000000001</v>
      </c>
      <c r="I985" s="403">
        <v>0</v>
      </c>
      <c r="J985" s="404">
        <v>0.26</v>
      </c>
      <c r="K985" s="404">
        <v>2.6242839999999998</v>
      </c>
      <c r="L985" s="166"/>
    </row>
    <row r="986" spans="1:12" ht="14.25" customHeight="1" x14ac:dyDescent="0.3">
      <c r="A986" s="400" t="s">
        <v>1038</v>
      </c>
      <c r="B986" s="401" t="s">
        <v>5007</v>
      </c>
      <c r="C986" s="400" t="s">
        <v>395</v>
      </c>
      <c r="D986" s="400" t="s">
        <v>5008</v>
      </c>
      <c r="E986" s="605" t="s">
        <v>1039</v>
      </c>
      <c r="F986" s="605"/>
      <c r="G986" s="402" t="s">
        <v>4</v>
      </c>
      <c r="H986" s="403">
        <v>0.54410000000000003</v>
      </c>
      <c r="I986" s="403">
        <v>0</v>
      </c>
      <c r="J986" s="404">
        <v>0.28000000000000003</v>
      </c>
      <c r="K986" s="404">
        <v>0.15234800000000001</v>
      </c>
      <c r="L986" s="168"/>
    </row>
    <row r="987" spans="1:12" ht="14.25" customHeight="1" x14ac:dyDescent="0.3">
      <c r="A987" s="405"/>
      <c r="B987" s="405"/>
      <c r="C987" s="405"/>
      <c r="D987" s="405"/>
      <c r="E987" s="405" t="s">
        <v>1046</v>
      </c>
      <c r="F987" s="406">
        <v>28.36</v>
      </c>
      <c r="G987" s="405" t="s">
        <v>1047</v>
      </c>
      <c r="H987" s="406">
        <v>0</v>
      </c>
      <c r="I987" s="405" t="s">
        <v>1048</v>
      </c>
      <c r="J987" s="406">
        <v>28.36</v>
      </c>
      <c r="K987"/>
      <c r="L987" s="168"/>
    </row>
    <row r="988" spans="1:12" ht="30" customHeight="1" thickBot="1" x14ac:dyDescent="0.35">
      <c r="A988" s="405"/>
      <c r="B988" s="405"/>
      <c r="C988" s="405"/>
      <c r="D988" s="405"/>
      <c r="E988" s="405" t="s">
        <v>1049</v>
      </c>
      <c r="F988" s="406">
        <v>0</v>
      </c>
      <c r="G988" s="405"/>
      <c r="H988" s="606"/>
      <c r="I988" s="606" t="s">
        <v>1050</v>
      </c>
      <c r="J988" s="406">
        <v>138.91</v>
      </c>
      <c r="K988"/>
      <c r="L988" s="168"/>
    </row>
    <row r="989" spans="1:12" ht="15.6" thickTop="1" x14ac:dyDescent="0.3">
      <c r="A989" s="407"/>
      <c r="B989" s="407"/>
      <c r="C989" s="407"/>
      <c r="D989" s="407"/>
      <c r="E989" s="407"/>
      <c r="F989" s="407"/>
      <c r="G989" s="407"/>
      <c r="H989" s="407"/>
      <c r="I989" s="407"/>
      <c r="J989" s="407"/>
      <c r="K989" s="407"/>
      <c r="L989" s="166"/>
    </row>
    <row r="990" spans="1:12" ht="12.75" customHeight="1" x14ac:dyDescent="0.3">
      <c r="A990" s="382" t="s">
        <v>735</v>
      </c>
      <c r="B990" s="312" t="s">
        <v>413</v>
      </c>
      <c r="C990" s="382" t="s">
        <v>414</v>
      </c>
      <c r="D990" s="382" t="s">
        <v>415</v>
      </c>
      <c r="E990" s="586" t="s">
        <v>1029</v>
      </c>
      <c r="F990" s="586"/>
      <c r="G990" s="383" t="s">
        <v>416</v>
      </c>
      <c r="H990" s="312" t="s">
        <v>1030</v>
      </c>
      <c r="I990" s="312" t="s">
        <v>3016</v>
      </c>
      <c r="J990" s="312" t="s">
        <v>1031</v>
      </c>
      <c r="K990" s="312" t="s">
        <v>1032</v>
      </c>
      <c r="L990" s="166"/>
    </row>
    <row r="991" spans="1:12" ht="15" customHeight="1" x14ac:dyDescent="0.3">
      <c r="A991" s="313" t="s">
        <v>1033</v>
      </c>
      <c r="B991" s="315" t="s">
        <v>9650</v>
      </c>
      <c r="C991" s="313" t="s">
        <v>395</v>
      </c>
      <c r="D991" s="313" t="s">
        <v>8503</v>
      </c>
      <c r="E991" s="603" t="s">
        <v>7842</v>
      </c>
      <c r="F991" s="603"/>
      <c r="G991" s="314" t="s">
        <v>675</v>
      </c>
      <c r="H991" s="399">
        <v>1</v>
      </c>
      <c r="I991" s="316"/>
      <c r="J991" s="316">
        <v>213.51</v>
      </c>
      <c r="K991" s="316">
        <v>213.51</v>
      </c>
      <c r="L991" s="168"/>
    </row>
    <row r="992" spans="1:12" ht="25.5" customHeight="1" x14ac:dyDescent="0.3">
      <c r="A992" s="408" t="s">
        <v>1034</v>
      </c>
      <c r="B992" s="409" t="s">
        <v>5214</v>
      </c>
      <c r="C992" s="408" t="s">
        <v>395</v>
      </c>
      <c r="D992" s="408" t="s">
        <v>7843</v>
      </c>
      <c r="E992" s="604" t="s">
        <v>7768</v>
      </c>
      <c r="F992" s="604"/>
      <c r="G992" s="410" t="s">
        <v>6</v>
      </c>
      <c r="H992" s="412">
        <v>1.105</v>
      </c>
      <c r="I992" s="412">
        <v>0</v>
      </c>
      <c r="J992" s="411">
        <v>41.72</v>
      </c>
      <c r="K992" s="411">
        <v>46.1006</v>
      </c>
      <c r="L992" s="168"/>
    </row>
    <row r="993" spans="1:12" ht="26.4" x14ac:dyDescent="0.3">
      <c r="A993" s="408" t="s">
        <v>1034</v>
      </c>
      <c r="B993" s="409" t="s">
        <v>1290</v>
      </c>
      <c r="C993" s="408" t="s">
        <v>395</v>
      </c>
      <c r="D993" s="408" t="s">
        <v>147</v>
      </c>
      <c r="E993" s="604" t="s">
        <v>7768</v>
      </c>
      <c r="F993" s="604"/>
      <c r="G993" s="410" t="s">
        <v>6</v>
      </c>
      <c r="H993" s="412">
        <v>0.36099999999999999</v>
      </c>
      <c r="I993" s="412">
        <v>0</v>
      </c>
      <c r="J993" s="411">
        <v>32.82</v>
      </c>
      <c r="K993" s="411">
        <v>11.84802</v>
      </c>
      <c r="L993" s="168"/>
    </row>
    <row r="994" spans="1:12" ht="17.399999999999999" customHeight="1" x14ac:dyDescent="0.3">
      <c r="A994" s="400" t="s">
        <v>1038</v>
      </c>
      <c r="B994" s="401" t="s">
        <v>4874</v>
      </c>
      <c r="C994" s="400" t="s">
        <v>395</v>
      </c>
      <c r="D994" s="400" t="s">
        <v>4875</v>
      </c>
      <c r="E994" s="605" t="s">
        <v>1039</v>
      </c>
      <c r="F994" s="605"/>
      <c r="G994" s="402" t="s">
        <v>4876</v>
      </c>
      <c r="H994" s="403">
        <v>6.9400000000000003E-2</v>
      </c>
      <c r="I994" s="403">
        <v>0</v>
      </c>
      <c r="J994" s="404">
        <v>82.42</v>
      </c>
      <c r="K994" s="404">
        <v>5.7199479999999996</v>
      </c>
      <c r="L994" s="166"/>
    </row>
    <row r="995" spans="1:12" ht="26.4" x14ac:dyDescent="0.3">
      <c r="A995" s="400" t="s">
        <v>1038</v>
      </c>
      <c r="B995" s="401" t="s">
        <v>4285</v>
      </c>
      <c r="C995" s="400" t="s">
        <v>395</v>
      </c>
      <c r="D995" s="400" t="s">
        <v>4286</v>
      </c>
      <c r="E995" s="605" t="s">
        <v>1039</v>
      </c>
      <c r="F995" s="605"/>
      <c r="G995" s="402" t="s">
        <v>675</v>
      </c>
      <c r="H995" s="403">
        <v>3.1589999999999998</v>
      </c>
      <c r="I995" s="403">
        <v>0</v>
      </c>
      <c r="J995" s="404">
        <v>19.97</v>
      </c>
      <c r="K995" s="404">
        <v>63.085230000000003</v>
      </c>
      <c r="L995" s="166"/>
    </row>
    <row r="996" spans="1:12" ht="14.25" customHeight="1" x14ac:dyDescent="0.3">
      <c r="A996" s="400" t="s">
        <v>1038</v>
      </c>
      <c r="B996" s="401" t="s">
        <v>4648</v>
      </c>
      <c r="C996" s="400" t="s">
        <v>395</v>
      </c>
      <c r="D996" s="400" t="s">
        <v>4649</v>
      </c>
      <c r="E996" s="605" t="s">
        <v>1039</v>
      </c>
      <c r="F996" s="605"/>
      <c r="G996" s="402" t="s">
        <v>7</v>
      </c>
      <c r="H996" s="403">
        <v>2.1373000000000002</v>
      </c>
      <c r="I996" s="403">
        <v>0</v>
      </c>
      <c r="J996" s="404">
        <v>5.78</v>
      </c>
      <c r="K996" s="404">
        <v>12.353593999999999</v>
      </c>
      <c r="L996" s="166"/>
    </row>
    <row r="997" spans="1:12" ht="14.25" customHeight="1" x14ac:dyDescent="0.3">
      <c r="A997" s="400" t="s">
        <v>1038</v>
      </c>
      <c r="B997" s="401" t="s">
        <v>4332</v>
      </c>
      <c r="C997" s="400" t="s">
        <v>395</v>
      </c>
      <c r="D997" s="400" t="s">
        <v>4333</v>
      </c>
      <c r="E997" s="605" t="s">
        <v>1039</v>
      </c>
      <c r="F997" s="605"/>
      <c r="G997" s="402" t="s">
        <v>7</v>
      </c>
      <c r="H997" s="403">
        <v>9.1079000000000008</v>
      </c>
      <c r="I997" s="403">
        <v>0</v>
      </c>
      <c r="J997" s="404">
        <v>6.56</v>
      </c>
      <c r="K997" s="404">
        <v>59.747824000000001</v>
      </c>
      <c r="L997" s="166"/>
    </row>
    <row r="998" spans="1:12" ht="26.4" x14ac:dyDescent="0.3">
      <c r="A998" s="400" t="s">
        <v>1038</v>
      </c>
      <c r="B998" s="401" t="s">
        <v>4976</v>
      </c>
      <c r="C998" s="400" t="s">
        <v>395</v>
      </c>
      <c r="D998" s="400" t="s">
        <v>4977</v>
      </c>
      <c r="E998" s="605" t="s">
        <v>1039</v>
      </c>
      <c r="F998" s="605"/>
      <c r="G998" s="402" t="s">
        <v>7</v>
      </c>
      <c r="H998" s="403">
        <v>2.5026999999999999</v>
      </c>
      <c r="I998" s="403">
        <v>0</v>
      </c>
      <c r="J998" s="404">
        <v>0.31</v>
      </c>
      <c r="K998" s="404">
        <v>0.775837</v>
      </c>
      <c r="L998" s="166"/>
    </row>
    <row r="999" spans="1:12" ht="26.4" x14ac:dyDescent="0.3">
      <c r="A999" s="400" t="s">
        <v>1038</v>
      </c>
      <c r="B999" s="401" t="s">
        <v>2290</v>
      </c>
      <c r="C999" s="400" t="s">
        <v>395</v>
      </c>
      <c r="D999" s="400" t="s">
        <v>261</v>
      </c>
      <c r="E999" s="605" t="s">
        <v>1039</v>
      </c>
      <c r="F999" s="605"/>
      <c r="G999" s="402" t="s">
        <v>7</v>
      </c>
      <c r="H999" s="403">
        <v>1.694</v>
      </c>
      <c r="I999" s="403">
        <v>0</v>
      </c>
      <c r="J999" s="404">
        <v>2.76</v>
      </c>
      <c r="K999" s="404">
        <v>4.67544</v>
      </c>
      <c r="L999" s="166"/>
    </row>
    <row r="1000" spans="1:12" ht="15" customHeight="1" x14ac:dyDescent="0.3">
      <c r="A1000" s="400" t="s">
        <v>1038</v>
      </c>
      <c r="B1000" s="401" t="s">
        <v>4872</v>
      </c>
      <c r="C1000" s="400" t="s">
        <v>395</v>
      </c>
      <c r="D1000" s="400" t="s">
        <v>4873</v>
      </c>
      <c r="E1000" s="605" t="s">
        <v>1317</v>
      </c>
      <c r="F1000" s="605"/>
      <c r="G1000" s="402" t="s">
        <v>3</v>
      </c>
      <c r="H1000" s="403">
        <v>1.0978000000000001</v>
      </c>
      <c r="I1000" s="403">
        <v>0</v>
      </c>
      <c r="J1000" s="404">
        <v>3.46</v>
      </c>
      <c r="K1000" s="404">
        <v>3.7983880000000001</v>
      </c>
      <c r="L1000" s="166"/>
    </row>
    <row r="1001" spans="1:12" ht="25.5" customHeight="1" x14ac:dyDescent="0.3">
      <c r="A1001" s="400" t="s">
        <v>1038</v>
      </c>
      <c r="B1001" s="401" t="s">
        <v>4889</v>
      </c>
      <c r="C1001" s="400" t="s">
        <v>395</v>
      </c>
      <c r="D1001" s="400" t="s">
        <v>4890</v>
      </c>
      <c r="E1001" s="605" t="s">
        <v>1039</v>
      </c>
      <c r="F1001" s="605"/>
      <c r="G1001" s="402" t="s">
        <v>4</v>
      </c>
      <c r="H1001" s="403">
        <v>20.186800000000002</v>
      </c>
      <c r="I1001" s="403">
        <v>0</v>
      </c>
      <c r="J1001" s="404">
        <v>0.12</v>
      </c>
      <c r="K1001" s="404">
        <v>2.4224160000000001</v>
      </c>
      <c r="L1001" s="166"/>
    </row>
    <row r="1002" spans="1:12" ht="25.5" customHeight="1" x14ac:dyDescent="0.3">
      <c r="A1002" s="400" t="s">
        <v>1038</v>
      </c>
      <c r="B1002" s="401" t="s">
        <v>4795</v>
      </c>
      <c r="C1002" s="400" t="s">
        <v>395</v>
      </c>
      <c r="D1002" s="400" t="s">
        <v>4796</v>
      </c>
      <c r="E1002" s="605" t="s">
        <v>1039</v>
      </c>
      <c r="F1002" s="605"/>
      <c r="G1002" s="402" t="s">
        <v>4</v>
      </c>
      <c r="H1002" s="403">
        <v>10.093400000000001</v>
      </c>
      <c r="I1002" s="403">
        <v>0</v>
      </c>
      <c r="J1002" s="404">
        <v>0.26</v>
      </c>
      <c r="K1002" s="404">
        <v>2.6242839999999998</v>
      </c>
      <c r="L1002" s="168"/>
    </row>
    <row r="1003" spans="1:12" ht="25.5" customHeight="1" x14ac:dyDescent="0.3">
      <c r="A1003" s="400" t="s">
        <v>1038</v>
      </c>
      <c r="B1003" s="401" t="s">
        <v>5007</v>
      </c>
      <c r="C1003" s="400" t="s">
        <v>395</v>
      </c>
      <c r="D1003" s="400" t="s">
        <v>5008</v>
      </c>
      <c r="E1003" s="605" t="s">
        <v>1039</v>
      </c>
      <c r="F1003" s="605"/>
      <c r="G1003" s="402" t="s">
        <v>4</v>
      </c>
      <c r="H1003" s="403">
        <v>1.2755000000000001</v>
      </c>
      <c r="I1003" s="403">
        <v>0</v>
      </c>
      <c r="J1003" s="404">
        <v>0.28000000000000003</v>
      </c>
      <c r="K1003" s="404">
        <v>0.35714000000000001</v>
      </c>
      <c r="L1003" s="167"/>
    </row>
    <row r="1004" spans="1:12" ht="45" customHeight="1" x14ac:dyDescent="0.3">
      <c r="A1004" s="405"/>
      <c r="B1004" s="405"/>
      <c r="C1004" s="405"/>
      <c r="D1004" s="405"/>
      <c r="E1004" s="405" t="s">
        <v>1046</v>
      </c>
      <c r="F1004" s="406">
        <v>44.37</v>
      </c>
      <c r="G1004" s="405" t="s">
        <v>1047</v>
      </c>
      <c r="H1004" s="406">
        <v>0</v>
      </c>
      <c r="I1004" s="405" t="s">
        <v>1048</v>
      </c>
      <c r="J1004" s="406">
        <v>44.37</v>
      </c>
      <c r="K1004"/>
      <c r="L1004" s="168"/>
    </row>
    <row r="1005" spans="1:12" ht="14.25" customHeight="1" thickBot="1" x14ac:dyDescent="0.35">
      <c r="A1005" s="405"/>
      <c r="B1005" s="405"/>
      <c r="C1005" s="405"/>
      <c r="D1005" s="405"/>
      <c r="E1005" s="405" t="s">
        <v>1049</v>
      </c>
      <c r="F1005" s="406">
        <v>0</v>
      </c>
      <c r="G1005" s="405"/>
      <c r="H1005" s="606"/>
      <c r="I1005" s="606" t="s">
        <v>1050</v>
      </c>
      <c r="J1005" s="406">
        <v>213.51</v>
      </c>
      <c r="K1005"/>
      <c r="L1005" s="168"/>
    </row>
    <row r="1006" spans="1:12" ht="17.399999999999999" customHeight="1" thickTop="1" x14ac:dyDescent="0.3">
      <c r="A1006" s="407"/>
      <c r="B1006" s="407"/>
      <c r="C1006" s="407"/>
      <c r="D1006" s="407"/>
      <c r="E1006" s="407"/>
      <c r="F1006" s="407"/>
      <c r="G1006" s="407"/>
      <c r="H1006" s="407"/>
      <c r="I1006" s="407"/>
      <c r="J1006" s="407"/>
      <c r="K1006" s="407"/>
      <c r="L1006" s="168"/>
    </row>
    <row r="1007" spans="1:12" ht="14.25" customHeight="1" x14ac:dyDescent="0.3">
      <c r="A1007" s="382" t="s">
        <v>736</v>
      </c>
      <c r="B1007" s="312" t="s">
        <v>413</v>
      </c>
      <c r="C1007" s="382" t="s">
        <v>414</v>
      </c>
      <c r="D1007" s="382" t="s">
        <v>415</v>
      </c>
      <c r="E1007" s="586" t="s">
        <v>1029</v>
      </c>
      <c r="F1007" s="586"/>
      <c r="G1007" s="383" t="s">
        <v>416</v>
      </c>
      <c r="H1007" s="312" t="s">
        <v>1030</v>
      </c>
      <c r="I1007" s="312" t="s">
        <v>3016</v>
      </c>
      <c r="J1007" s="312" t="s">
        <v>1031</v>
      </c>
      <c r="K1007" s="312" t="s">
        <v>1032</v>
      </c>
      <c r="L1007" s="166"/>
    </row>
    <row r="1008" spans="1:12" ht="52.8" x14ac:dyDescent="0.3">
      <c r="A1008" s="313" t="s">
        <v>1033</v>
      </c>
      <c r="B1008" s="315" t="s">
        <v>9651</v>
      </c>
      <c r="C1008" s="313" t="s">
        <v>395</v>
      </c>
      <c r="D1008" s="313" t="s">
        <v>8498</v>
      </c>
      <c r="E1008" s="603" t="s">
        <v>7842</v>
      </c>
      <c r="F1008" s="603"/>
      <c r="G1008" s="314" t="s">
        <v>675</v>
      </c>
      <c r="H1008" s="399">
        <v>1</v>
      </c>
      <c r="I1008" s="316"/>
      <c r="J1008" s="316">
        <v>244.87</v>
      </c>
      <c r="K1008" s="316">
        <v>244.87</v>
      </c>
      <c r="L1008" s="166"/>
    </row>
    <row r="1009" spans="1:12" ht="15" customHeight="1" x14ac:dyDescent="0.3">
      <c r="A1009" s="408" t="s">
        <v>1034</v>
      </c>
      <c r="B1009" s="409" t="s">
        <v>5214</v>
      </c>
      <c r="C1009" s="408" t="s">
        <v>395</v>
      </c>
      <c r="D1009" s="408" t="s">
        <v>7843</v>
      </c>
      <c r="E1009" s="604" t="s">
        <v>7768</v>
      </c>
      <c r="F1009" s="604"/>
      <c r="G1009" s="410" t="s">
        <v>6</v>
      </c>
      <c r="H1009" s="412">
        <v>1.252</v>
      </c>
      <c r="I1009" s="412">
        <v>0</v>
      </c>
      <c r="J1009" s="411">
        <v>41.72</v>
      </c>
      <c r="K1009" s="411">
        <v>52.233440000000002</v>
      </c>
      <c r="L1009" s="168"/>
    </row>
    <row r="1010" spans="1:12" ht="25.5" customHeight="1" x14ac:dyDescent="0.3">
      <c r="A1010" s="408" t="s">
        <v>1034</v>
      </c>
      <c r="B1010" s="409" t="s">
        <v>1290</v>
      </c>
      <c r="C1010" s="408" t="s">
        <v>395</v>
      </c>
      <c r="D1010" s="408" t="s">
        <v>147</v>
      </c>
      <c r="E1010" s="604" t="s">
        <v>7768</v>
      </c>
      <c r="F1010" s="604"/>
      <c r="G1010" s="410" t="s">
        <v>6</v>
      </c>
      <c r="H1010" s="412">
        <v>0.40899999999999997</v>
      </c>
      <c r="I1010" s="412">
        <v>0</v>
      </c>
      <c r="J1010" s="411">
        <v>32.82</v>
      </c>
      <c r="K1010" s="411">
        <v>13.42338</v>
      </c>
      <c r="L1010" s="168"/>
    </row>
    <row r="1011" spans="1:12" ht="25.5" customHeight="1" x14ac:dyDescent="0.3">
      <c r="A1011" s="400" t="s">
        <v>1038</v>
      </c>
      <c r="B1011" s="401" t="s">
        <v>4874</v>
      </c>
      <c r="C1011" s="400" t="s">
        <v>395</v>
      </c>
      <c r="D1011" s="400" t="s">
        <v>4875</v>
      </c>
      <c r="E1011" s="605" t="s">
        <v>1039</v>
      </c>
      <c r="F1011" s="605"/>
      <c r="G1011" s="402" t="s">
        <v>4876</v>
      </c>
      <c r="H1011" s="403">
        <v>6.9400000000000003E-2</v>
      </c>
      <c r="I1011" s="403">
        <v>0</v>
      </c>
      <c r="J1011" s="404">
        <v>82.42</v>
      </c>
      <c r="K1011" s="404">
        <v>5.7199479999999996</v>
      </c>
      <c r="L1011" s="168"/>
    </row>
    <row r="1012" spans="1:12" ht="25.5" customHeight="1" x14ac:dyDescent="0.3">
      <c r="A1012" s="400" t="s">
        <v>1038</v>
      </c>
      <c r="B1012" s="401" t="s">
        <v>4285</v>
      </c>
      <c r="C1012" s="400" t="s">
        <v>395</v>
      </c>
      <c r="D1012" s="400" t="s">
        <v>4286</v>
      </c>
      <c r="E1012" s="605" t="s">
        <v>1039</v>
      </c>
      <c r="F1012" s="605"/>
      <c r="G1012" s="402" t="s">
        <v>675</v>
      </c>
      <c r="H1012" s="403">
        <v>4.2119999999999997</v>
      </c>
      <c r="I1012" s="403">
        <v>0</v>
      </c>
      <c r="J1012" s="404">
        <v>19.97</v>
      </c>
      <c r="K1012" s="404">
        <v>84.113640000000004</v>
      </c>
      <c r="L1012" s="168"/>
    </row>
    <row r="1013" spans="1:12" ht="25.5" customHeight="1" x14ac:dyDescent="0.3">
      <c r="A1013" s="400" t="s">
        <v>1038</v>
      </c>
      <c r="B1013" s="401" t="s">
        <v>4648</v>
      </c>
      <c r="C1013" s="400" t="s">
        <v>395</v>
      </c>
      <c r="D1013" s="400" t="s">
        <v>4649</v>
      </c>
      <c r="E1013" s="605" t="s">
        <v>1039</v>
      </c>
      <c r="F1013" s="605"/>
      <c r="G1013" s="402" t="s">
        <v>7</v>
      </c>
      <c r="H1013" s="403">
        <v>2.1373000000000002</v>
      </c>
      <c r="I1013" s="403">
        <v>0</v>
      </c>
      <c r="J1013" s="404">
        <v>5.78</v>
      </c>
      <c r="K1013" s="404">
        <v>12.353593999999999</v>
      </c>
      <c r="L1013" s="166"/>
    </row>
    <row r="1014" spans="1:12" ht="45" customHeight="1" x14ac:dyDescent="0.3">
      <c r="A1014" s="400" t="s">
        <v>1038</v>
      </c>
      <c r="B1014" s="401" t="s">
        <v>4332</v>
      </c>
      <c r="C1014" s="400" t="s">
        <v>395</v>
      </c>
      <c r="D1014" s="400" t="s">
        <v>4333</v>
      </c>
      <c r="E1014" s="605" t="s">
        <v>1039</v>
      </c>
      <c r="F1014" s="605"/>
      <c r="G1014" s="402" t="s">
        <v>7</v>
      </c>
      <c r="H1014" s="403">
        <v>9.1079000000000008</v>
      </c>
      <c r="I1014" s="403">
        <v>0</v>
      </c>
      <c r="J1014" s="404">
        <v>6.56</v>
      </c>
      <c r="K1014" s="404">
        <v>59.747824000000001</v>
      </c>
      <c r="L1014" s="168"/>
    </row>
    <row r="1015" spans="1:12" ht="14.25" customHeight="1" x14ac:dyDescent="0.3">
      <c r="A1015" s="400" t="s">
        <v>1038</v>
      </c>
      <c r="B1015" s="401" t="s">
        <v>4976</v>
      </c>
      <c r="C1015" s="400" t="s">
        <v>395</v>
      </c>
      <c r="D1015" s="400" t="s">
        <v>4977</v>
      </c>
      <c r="E1015" s="605" t="s">
        <v>1039</v>
      </c>
      <c r="F1015" s="605"/>
      <c r="G1015" s="402" t="s">
        <v>7</v>
      </c>
      <c r="H1015" s="403">
        <v>2.5026999999999999</v>
      </c>
      <c r="I1015" s="403">
        <v>0</v>
      </c>
      <c r="J1015" s="404">
        <v>0.31</v>
      </c>
      <c r="K1015" s="404">
        <v>0.775837</v>
      </c>
      <c r="L1015" s="168"/>
    </row>
    <row r="1016" spans="1:12" ht="25.5" customHeight="1" x14ac:dyDescent="0.3">
      <c r="A1016" s="400" t="s">
        <v>1038</v>
      </c>
      <c r="B1016" s="401" t="s">
        <v>2290</v>
      </c>
      <c r="C1016" s="400" t="s">
        <v>395</v>
      </c>
      <c r="D1016" s="400" t="s">
        <v>261</v>
      </c>
      <c r="E1016" s="605" t="s">
        <v>1039</v>
      </c>
      <c r="F1016" s="605"/>
      <c r="G1016" s="402" t="s">
        <v>7</v>
      </c>
      <c r="H1016" s="403">
        <v>1.694</v>
      </c>
      <c r="I1016" s="403">
        <v>0</v>
      </c>
      <c r="J1016" s="404">
        <v>2.76</v>
      </c>
      <c r="K1016" s="404">
        <v>4.67544</v>
      </c>
      <c r="L1016" s="168"/>
    </row>
    <row r="1017" spans="1:12" ht="39.6" x14ac:dyDescent="0.3">
      <c r="A1017" s="400" t="s">
        <v>1038</v>
      </c>
      <c r="B1017" s="401" t="s">
        <v>4872</v>
      </c>
      <c r="C1017" s="400" t="s">
        <v>395</v>
      </c>
      <c r="D1017" s="400" t="s">
        <v>4873</v>
      </c>
      <c r="E1017" s="605" t="s">
        <v>1317</v>
      </c>
      <c r="F1017" s="605"/>
      <c r="G1017" s="402" t="s">
        <v>3</v>
      </c>
      <c r="H1017" s="403">
        <v>1.0978000000000001</v>
      </c>
      <c r="I1017" s="403">
        <v>0</v>
      </c>
      <c r="J1017" s="404">
        <v>3.46</v>
      </c>
      <c r="K1017" s="404">
        <v>3.7983880000000001</v>
      </c>
      <c r="L1017" s="166"/>
    </row>
    <row r="1018" spans="1:12" ht="15" customHeight="1" x14ac:dyDescent="0.3">
      <c r="A1018" s="400" t="s">
        <v>1038</v>
      </c>
      <c r="B1018" s="401" t="s">
        <v>4889</v>
      </c>
      <c r="C1018" s="400" t="s">
        <v>395</v>
      </c>
      <c r="D1018" s="400" t="s">
        <v>4890</v>
      </c>
      <c r="E1018" s="605" t="s">
        <v>1039</v>
      </c>
      <c r="F1018" s="605"/>
      <c r="G1018" s="402" t="s">
        <v>4</v>
      </c>
      <c r="H1018" s="403">
        <v>20.186800000000002</v>
      </c>
      <c r="I1018" s="403">
        <v>0</v>
      </c>
      <c r="J1018" s="404">
        <v>0.12</v>
      </c>
      <c r="K1018" s="404">
        <v>2.4224160000000001</v>
      </c>
      <c r="L1018" s="166"/>
    </row>
    <row r="1019" spans="1:12" ht="25.5" customHeight="1" x14ac:dyDescent="0.3">
      <c r="A1019" s="400" t="s">
        <v>1038</v>
      </c>
      <c r="B1019" s="401" t="s">
        <v>4795</v>
      </c>
      <c r="C1019" s="400" t="s">
        <v>395</v>
      </c>
      <c r="D1019" s="400" t="s">
        <v>4796</v>
      </c>
      <c r="E1019" s="605" t="s">
        <v>1039</v>
      </c>
      <c r="F1019" s="605"/>
      <c r="G1019" s="402" t="s">
        <v>4</v>
      </c>
      <c r="H1019" s="403">
        <v>20.186800000000002</v>
      </c>
      <c r="I1019" s="403">
        <v>0</v>
      </c>
      <c r="J1019" s="404">
        <v>0.26</v>
      </c>
      <c r="K1019" s="404">
        <v>5.2485679999999997</v>
      </c>
      <c r="L1019" s="168"/>
    </row>
    <row r="1020" spans="1:12" ht="25.5" customHeight="1" x14ac:dyDescent="0.3">
      <c r="A1020" s="400" t="s">
        <v>1038</v>
      </c>
      <c r="B1020" s="401" t="s">
        <v>5007</v>
      </c>
      <c r="C1020" s="400" t="s">
        <v>395</v>
      </c>
      <c r="D1020" s="400" t="s">
        <v>5008</v>
      </c>
      <c r="E1020" s="605" t="s">
        <v>1039</v>
      </c>
      <c r="F1020" s="605"/>
      <c r="G1020" s="402" t="s">
        <v>4</v>
      </c>
      <c r="H1020" s="403">
        <v>1.2755000000000001</v>
      </c>
      <c r="I1020" s="403">
        <v>0</v>
      </c>
      <c r="J1020" s="404">
        <v>0.28000000000000003</v>
      </c>
      <c r="K1020" s="404">
        <v>0.35714000000000001</v>
      </c>
      <c r="L1020" s="168"/>
    </row>
    <row r="1021" spans="1:12" ht="25.5" customHeight="1" x14ac:dyDescent="0.3">
      <c r="A1021" s="405"/>
      <c r="B1021" s="405"/>
      <c r="C1021" s="405"/>
      <c r="D1021" s="405"/>
      <c r="E1021" s="405" t="s">
        <v>1046</v>
      </c>
      <c r="F1021" s="406">
        <v>50.28</v>
      </c>
      <c r="G1021" s="405" t="s">
        <v>1047</v>
      </c>
      <c r="H1021" s="406">
        <v>0</v>
      </c>
      <c r="I1021" s="405" t="s">
        <v>1048</v>
      </c>
      <c r="J1021" s="406">
        <v>50.28</v>
      </c>
      <c r="K1021"/>
      <c r="L1021" s="168"/>
    </row>
    <row r="1022" spans="1:12" ht="15" customHeight="1" thickBot="1" x14ac:dyDescent="0.35">
      <c r="A1022" s="405"/>
      <c r="B1022" s="405"/>
      <c r="C1022" s="405"/>
      <c r="D1022" s="405"/>
      <c r="E1022" s="405" t="s">
        <v>1049</v>
      </c>
      <c r="F1022" s="406">
        <v>0</v>
      </c>
      <c r="G1022" s="405"/>
      <c r="H1022" s="606"/>
      <c r="I1022" s="606" t="s">
        <v>1050</v>
      </c>
      <c r="J1022" s="406">
        <v>244.87</v>
      </c>
      <c r="K1022"/>
      <c r="L1022" s="166"/>
    </row>
    <row r="1023" spans="1:12" ht="25.5" customHeight="1" thickTop="1" x14ac:dyDescent="0.3">
      <c r="A1023" s="407"/>
      <c r="B1023" s="407"/>
      <c r="C1023" s="407"/>
      <c r="D1023" s="407"/>
      <c r="E1023" s="407"/>
      <c r="F1023" s="407"/>
      <c r="G1023" s="407"/>
      <c r="H1023" s="407"/>
      <c r="I1023" s="407"/>
      <c r="J1023" s="407"/>
      <c r="K1023" s="407"/>
      <c r="L1023" s="166"/>
    </row>
    <row r="1024" spans="1:12" ht="25.5" customHeight="1" x14ac:dyDescent="0.3">
      <c r="A1024" s="382" t="s">
        <v>737</v>
      </c>
      <c r="B1024" s="312" t="s">
        <v>413</v>
      </c>
      <c r="C1024" s="382" t="s">
        <v>414</v>
      </c>
      <c r="D1024" s="382" t="s">
        <v>415</v>
      </c>
      <c r="E1024" s="586" t="s">
        <v>1029</v>
      </c>
      <c r="F1024" s="586"/>
      <c r="G1024" s="383" t="s">
        <v>416</v>
      </c>
      <c r="H1024" s="312" t="s">
        <v>1030</v>
      </c>
      <c r="I1024" s="312" t="s">
        <v>3016</v>
      </c>
      <c r="J1024" s="312" t="s">
        <v>1031</v>
      </c>
      <c r="K1024" s="312" t="s">
        <v>1032</v>
      </c>
      <c r="L1024" s="166"/>
    </row>
    <row r="1025" spans="1:12" ht="14.25" customHeight="1" x14ac:dyDescent="0.3">
      <c r="A1025" s="313" t="s">
        <v>1033</v>
      </c>
      <c r="B1025" s="315" t="s">
        <v>9652</v>
      </c>
      <c r="C1025" s="313" t="s">
        <v>395</v>
      </c>
      <c r="D1025" s="313" t="s">
        <v>8505</v>
      </c>
      <c r="E1025" s="603" t="s">
        <v>7842</v>
      </c>
      <c r="F1025" s="603"/>
      <c r="G1025" s="314" t="s">
        <v>675</v>
      </c>
      <c r="H1025" s="399">
        <v>1</v>
      </c>
      <c r="I1025" s="316"/>
      <c r="J1025" s="316">
        <v>32.89</v>
      </c>
      <c r="K1025" s="316">
        <v>32.89</v>
      </c>
      <c r="L1025" s="166"/>
    </row>
    <row r="1026" spans="1:12" ht="30" customHeight="1" x14ac:dyDescent="0.3">
      <c r="A1026" s="408" t="s">
        <v>1034</v>
      </c>
      <c r="B1026" s="409" t="s">
        <v>5214</v>
      </c>
      <c r="C1026" s="408" t="s">
        <v>395</v>
      </c>
      <c r="D1026" s="408" t="s">
        <v>7843</v>
      </c>
      <c r="E1026" s="604" t="s">
        <v>7768</v>
      </c>
      <c r="F1026" s="604"/>
      <c r="G1026" s="410" t="s">
        <v>6</v>
      </c>
      <c r="H1026" s="412">
        <v>7.4999999999999997E-2</v>
      </c>
      <c r="I1026" s="412">
        <v>0</v>
      </c>
      <c r="J1026" s="411">
        <v>41.72</v>
      </c>
      <c r="K1026" s="411">
        <v>3.129</v>
      </c>
      <c r="L1026" s="166"/>
    </row>
    <row r="1027" spans="1:12" ht="15" customHeight="1" x14ac:dyDescent="0.3">
      <c r="A1027" s="408" t="s">
        <v>1034</v>
      </c>
      <c r="B1027" s="409" t="s">
        <v>1290</v>
      </c>
      <c r="C1027" s="408" t="s">
        <v>395</v>
      </c>
      <c r="D1027" s="408" t="s">
        <v>147</v>
      </c>
      <c r="E1027" s="604" t="s">
        <v>7768</v>
      </c>
      <c r="F1027" s="604"/>
      <c r="G1027" s="410" t="s">
        <v>6</v>
      </c>
      <c r="H1027" s="412">
        <v>2.5000000000000001E-2</v>
      </c>
      <c r="I1027" s="412">
        <v>0</v>
      </c>
      <c r="J1027" s="411">
        <v>32.82</v>
      </c>
      <c r="K1027" s="411">
        <v>0.82050000000000001</v>
      </c>
      <c r="L1027" s="166"/>
    </row>
    <row r="1028" spans="1:12" ht="30" customHeight="1" x14ac:dyDescent="0.3">
      <c r="A1028" s="400" t="s">
        <v>1038</v>
      </c>
      <c r="B1028" s="401" t="s">
        <v>9616</v>
      </c>
      <c r="C1028" s="400" t="s">
        <v>395</v>
      </c>
      <c r="D1028" s="400" t="s">
        <v>9617</v>
      </c>
      <c r="E1028" s="605" t="s">
        <v>1039</v>
      </c>
      <c r="F1028" s="605"/>
      <c r="G1028" s="402" t="s">
        <v>675</v>
      </c>
      <c r="H1028" s="403">
        <v>1</v>
      </c>
      <c r="I1028" s="403">
        <v>0</v>
      </c>
      <c r="J1028" s="404">
        <v>0</v>
      </c>
      <c r="K1028" s="404">
        <v>0</v>
      </c>
      <c r="L1028" s="166"/>
    </row>
    <row r="1029" spans="1:12" ht="25.5" customHeight="1" x14ac:dyDescent="0.3">
      <c r="A1029" s="400" t="s">
        <v>1038</v>
      </c>
      <c r="B1029" s="401" t="s">
        <v>9370</v>
      </c>
      <c r="C1029" s="400" t="s">
        <v>395</v>
      </c>
      <c r="D1029" s="400" t="s">
        <v>9371</v>
      </c>
      <c r="E1029" s="605" t="s">
        <v>1039</v>
      </c>
      <c r="F1029" s="605"/>
      <c r="G1029" s="402" t="s">
        <v>675</v>
      </c>
      <c r="H1029" s="403">
        <v>1.1000000000000001</v>
      </c>
      <c r="I1029" s="403">
        <v>0</v>
      </c>
      <c r="J1029" s="404">
        <v>26.31</v>
      </c>
      <c r="K1029" s="404">
        <v>28.940999999999999</v>
      </c>
      <c r="L1029" s="168"/>
    </row>
    <row r="1030" spans="1:12" ht="15" x14ac:dyDescent="0.3">
      <c r="A1030" s="405"/>
      <c r="B1030" s="405"/>
      <c r="C1030" s="405"/>
      <c r="D1030" s="405"/>
      <c r="E1030" s="405" t="s">
        <v>1046</v>
      </c>
      <c r="F1030" s="406">
        <v>3.02</v>
      </c>
      <c r="G1030" s="405" t="s">
        <v>1047</v>
      </c>
      <c r="H1030" s="406">
        <v>0.01</v>
      </c>
      <c r="I1030" s="405" t="s">
        <v>1048</v>
      </c>
      <c r="J1030" s="406">
        <v>3.03</v>
      </c>
      <c r="K1030"/>
      <c r="L1030" s="167"/>
    </row>
    <row r="1031" spans="1:12" ht="25.5" customHeight="1" thickBot="1" x14ac:dyDescent="0.35">
      <c r="A1031" s="405"/>
      <c r="B1031" s="405"/>
      <c r="C1031" s="405"/>
      <c r="D1031" s="405"/>
      <c r="E1031" s="405" t="s">
        <v>1049</v>
      </c>
      <c r="F1031" s="406">
        <v>0</v>
      </c>
      <c r="G1031" s="405"/>
      <c r="H1031" s="606"/>
      <c r="I1031" s="606" t="s">
        <v>1050</v>
      </c>
      <c r="J1031" s="406">
        <v>32.89</v>
      </c>
      <c r="K1031"/>
      <c r="L1031" s="168"/>
    </row>
    <row r="1032" spans="1:12" ht="38.25" customHeight="1" thickTop="1" x14ac:dyDescent="0.3">
      <c r="A1032" s="407"/>
      <c r="B1032" s="407"/>
      <c r="C1032" s="407"/>
      <c r="D1032" s="407"/>
      <c r="E1032" s="407"/>
      <c r="F1032" s="407"/>
      <c r="G1032" s="407"/>
      <c r="H1032" s="407"/>
      <c r="I1032" s="407"/>
      <c r="J1032" s="407"/>
      <c r="K1032" s="407"/>
      <c r="L1032" s="168"/>
    </row>
    <row r="1033" spans="1:12" ht="14.25" customHeight="1" x14ac:dyDescent="0.3">
      <c r="A1033" s="382" t="s">
        <v>739</v>
      </c>
      <c r="B1033" s="312" t="s">
        <v>413</v>
      </c>
      <c r="C1033" s="382" t="s">
        <v>414</v>
      </c>
      <c r="D1033" s="382" t="s">
        <v>415</v>
      </c>
      <c r="E1033" s="586" t="s">
        <v>1029</v>
      </c>
      <c r="F1033" s="586"/>
      <c r="G1033" s="383" t="s">
        <v>416</v>
      </c>
      <c r="H1033" s="312" t="s">
        <v>1030</v>
      </c>
      <c r="I1033" s="312" t="s">
        <v>3016</v>
      </c>
      <c r="J1033" s="312" t="s">
        <v>1031</v>
      </c>
      <c r="K1033" s="312" t="s">
        <v>1032</v>
      </c>
      <c r="L1033" s="168"/>
    </row>
    <row r="1034" spans="1:12" ht="26.4" x14ac:dyDescent="0.3">
      <c r="A1034" s="313" t="s">
        <v>1033</v>
      </c>
      <c r="B1034" s="315" t="s">
        <v>2116</v>
      </c>
      <c r="C1034" s="313" t="s">
        <v>5902</v>
      </c>
      <c r="D1034" s="313" t="s">
        <v>1656</v>
      </c>
      <c r="E1034" s="603">
        <v>14.28</v>
      </c>
      <c r="F1034" s="603"/>
      <c r="G1034" s="314" t="s">
        <v>675</v>
      </c>
      <c r="H1034" s="399">
        <v>1</v>
      </c>
      <c r="I1034" s="316"/>
      <c r="J1034" s="316">
        <v>231.39</v>
      </c>
      <c r="K1034" s="316">
        <v>231.39</v>
      </c>
      <c r="L1034" s="166"/>
    </row>
    <row r="1035" spans="1:12" ht="14.25" customHeight="1" x14ac:dyDescent="0.3">
      <c r="A1035" s="400" t="s">
        <v>1038</v>
      </c>
      <c r="B1035" s="401" t="s">
        <v>1471</v>
      </c>
      <c r="C1035" s="400" t="s">
        <v>5902</v>
      </c>
      <c r="D1035" s="400" t="s">
        <v>1472</v>
      </c>
      <c r="E1035" s="605" t="s">
        <v>1039</v>
      </c>
      <c r="F1035" s="605"/>
      <c r="G1035" s="402" t="s">
        <v>3</v>
      </c>
      <c r="H1035" s="403">
        <v>1.5197000000000001</v>
      </c>
      <c r="I1035" s="403">
        <v>0</v>
      </c>
      <c r="J1035" s="404">
        <v>0.67</v>
      </c>
      <c r="K1035" s="404">
        <v>1.0181990000000001</v>
      </c>
      <c r="L1035" s="166"/>
    </row>
    <row r="1036" spans="1:12" ht="26.4" x14ac:dyDescent="0.3">
      <c r="A1036" s="400" t="s">
        <v>1038</v>
      </c>
      <c r="B1036" s="401" t="s">
        <v>1469</v>
      </c>
      <c r="C1036" s="400" t="s">
        <v>5902</v>
      </c>
      <c r="D1036" s="400" t="s">
        <v>1470</v>
      </c>
      <c r="E1036" s="605" t="s">
        <v>1053</v>
      </c>
      <c r="F1036" s="605"/>
      <c r="G1036" s="402" t="s">
        <v>6</v>
      </c>
      <c r="H1036" s="403">
        <v>1.923</v>
      </c>
      <c r="I1036" s="403">
        <v>0</v>
      </c>
      <c r="J1036" s="404">
        <v>27.64</v>
      </c>
      <c r="K1036" s="404">
        <v>53.151719999999997</v>
      </c>
      <c r="L1036" s="168"/>
    </row>
    <row r="1037" spans="1:12" ht="38.25" customHeight="1" x14ac:dyDescent="0.3">
      <c r="A1037" s="400" t="s">
        <v>1038</v>
      </c>
      <c r="B1037" s="401" t="s">
        <v>1467</v>
      </c>
      <c r="C1037" s="400" t="s">
        <v>5902</v>
      </c>
      <c r="D1037" s="400" t="s">
        <v>1468</v>
      </c>
      <c r="E1037" s="605" t="s">
        <v>1053</v>
      </c>
      <c r="F1037" s="605"/>
      <c r="G1037" s="402" t="s">
        <v>6</v>
      </c>
      <c r="H1037" s="403">
        <v>0.96950000000000003</v>
      </c>
      <c r="I1037" s="403">
        <v>0</v>
      </c>
      <c r="J1037" s="404">
        <v>22.71</v>
      </c>
      <c r="K1037" s="404">
        <v>22.017344999999999</v>
      </c>
      <c r="L1037" s="168"/>
    </row>
    <row r="1038" spans="1:12" ht="15" customHeight="1" x14ac:dyDescent="0.3">
      <c r="A1038" s="400" t="s">
        <v>1038</v>
      </c>
      <c r="B1038" s="401" t="s">
        <v>2285</v>
      </c>
      <c r="C1038" s="400" t="s">
        <v>5902</v>
      </c>
      <c r="D1038" s="400" t="s">
        <v>2286</v>
      </c>
      <c r="E1038" s="605" t="s">
        <v>1039</v>
      </c>
      <c r="F1038" s="605"/>
      <c r="G1038" s="402" t="s">
        <v>3</v>
      </c>
      <c r="H1038" s="403">
        <v>1.5197000000000001</v>
      </c>
      <c r="I1038" s="403">
        <v>0</v>
      </c>
      <c r="J1038" s="404">
        <v>0.88</v>
      </c>
      <c r="K1038" s="404">
        <v>1.3373360000000001</v>
      </c>
      <c r="L1038" s="168"/>
    </row>
    <row r="1039" spans="1:12" ht="38.25" customHeight="1" x14ac:dyDescent="0.3">
      <c r="A1039" s="400" t="s">
        <v>1038</v>
      </c>
      <c r="B1039" s="401" t="s">
        <v>1473</v>
      </c>
      <c r="C1039" s="400" t="s">
        <v>5902</v>
      </c>
      <c r="D1039" s="400" t="s">
        <v>1474</v>
      </c>
      <c r="E1039" s="605" t="s">
        <v>1039</v>
      </c>
      <c r="F1039" s="605"/>
      <c r="G1039" s="402" t="s">
        <v>713</v>
      </c>
      <c r="H1039" s="403">
        <v>7.7999999999999996E-3</v>
      </c>
      <c r="I1039" s="403">
        <v>0</v>
      </c>
      <c r="J1039" s="404">
        <v>170.72</v>
      </c>
      <c r="K1039" s="404">
        <v>1.3316159999999999</v>
      </c>
      <c r="L1039" s="168"/>
    </row>
    <row r="1040" spans="1:12" ht="17.399999999999999" customHeight="1" x14ac:dyDescent="0.3">
      <c r="A1040" s="400" t="s">
        <v>1038</v>
      </c>
      <c r="B1040" s="401" t="s">
        <v>2287</v>
      </c>
      <c r="C1040" s="400" t="s">
        <v>5902</v>
      </c>
      <c r="D1040" s="400" t="s">
        <v>2288</v>
      </c>
      <c r="E1040" s="605" t="s">
        <v>1039</v>
      </c>
      <c r="F1040" s="605"/>
      <c r="G1040" s="402" t="s">
        <v>4</v>
      </c>
      <c r="H1040" s="403">
        <v>7</v>
      </c>
      <c r="I1040" s="403">
        <v>0</v>
      </c>
      <c r="J1040" s="404">
        <v>21.79</v>
      </c>
      <c r="K1040" s="404">
        <v>152.53</v>
      </c>
      <c r="L1040" s="166"/>
    </row>
    <row r="1041" spans="1:12" ht="14.25" customHeight="1" x14ac:dyDescent="0.3">
      <c r="A1041" s="405"/>
      <c r="B1041" s="405"/>
      <c r="C1041" s="405"/>
      <c r="D1041" s="405"/>
      <c r="E1041" s="405" t="s">
        <v>1046</v>
      </c>
      <c r="F1041" s="406">
        <v>75.17</v>
      </c>
      <c r="G1041" s="405" t="s">
        <v>1047</v>
      </c>
      <c r="H1041" s="406">
        <v>0</v>
      </c>
      <c r="I1041" s="405" t="s">
        <v>1048</v>
      </c>
      <c r="J1041" s="406">
        <v>75.17</v>
      </c>
      <c r="K1041"/>
      <c r="L1041" s="168"/>
    </row>
    <row r="1042" spans="1:12" ht="25.5" customHeight="1" thickBot="1" x14ac:dyDescent="0.35">
      <c r="A1042" s="405"/>
      <c r="B1042" s="405"/>
      <c r="C1042" s="405"/>
      <c r="D1042" s="405"/>
      <c r="E1042" s="405" t="s">
        <v>1049</v>
      </c>
      <c r="F1042" s="406">
        <v>0</v>
      </c>
      <c r="G1042" s="405"/>
      <c r="H1042" s="606"/>
      <c r="I1042" s="606" t="s">
        <v>1050</v>
      </c>
      <c r="J1042" s="406">
        <v>231.39</v>
      </c>
      <c r="K1042"/>
      <c r="L1042" s="168"/>
    </row>
    <row r="1043" spans="1:12" ht="25.5" customHeight="1" thickTop="1" x14ac:dyDescent="0.3">
      <c r="A1043" s="407"/>
      <c r="B1043" s="407"/>
      <c r="C1043" s="407"/>
      <c r="D1043" s="407"/>
      <c r="E1043" s="407"/>
      <c r="F1043" s="407"/>
      <c r="G1043" s="407"/>
      <c r="H1043" s="407"/>
      <c r="I1043" s="407"/>
      <c r="J1043" s="407"/>
      <c r="K1043" s="407"/>
      <c r="L1043" s="168"/>
    </row>
    <row r="1044" spans="1:12" ht="25.5" customHeight="1" x14ac:dyDescent="0.3">
      <c r="A1044" s="382" t="s">
        <v>740</v>
      </c>
      <c r="B1044" s="312" t="s">
        <v>413</v>
      </c>
      <c r="C1044" s="382" t="s">
        <v>414</v>
      </c>
      <c r="D1044" s="382" t="s">
        <v>415</v>
      </c>
      <c r="E1044" s="586" t="s">
        <v>1029</v>
      </c>
      <c r="F1044" s="586"/>
      <c r="G1044" s="383" t="s">
        <v>416</v>
      </c>
      <c r="H1044" s="312" t="s">
        <v>1030</v>
      </c>
      <c r="I1044" s="312" t="s">
        <v>3016</v>
      </c>
      <c r="J1044" s="312" t="s">
        <v>1031</v>
      </c>
      <c r="K1044" s="312" t="s">
        <v>1032</v>
      </c>
      <c r="L1044" s="166"/>
    </row>
    <row r="1045" spans="1:12" ht="12.75" customHeight="1" x14ac:dyDescent="0.3">
      <c r="A1045" s="313" t="s">
        <v>1033</v>
      </c>
      <c r="B1045" s="315" t="s">
        <v>3810</v>
      </c>
      <c r="C1045" s="313" t="s">
        <v>395</v>
      </c>
      <c r="D1045" s="313" t="s">
        <v>5921</v>
      </c>
      <c r="E1045" s="603" t="s">
        <v>7844</v>
      </c>
      <c r="F1045" s="603"/>
      <c r="G1045" s="314" t="s">
        <v>675</v>
      </c>
      <c r="H1045" s="399">
        <v>1</v>
      </c>
      <c r="I1045" s="316"/>
      <c r="J1045" s="316">
        <v>632.32000000000005</v>
      </c>
      <c r="K1045" s="316">
        <v>632.32000000000005</v>
      </c>
      <c r="L1045" s="166"/>
    </row>
    <row r="1046" spans="1:12" ht="26.4" x14ac:dyDescent="0.3">
      <c r="A1046" s="408" t="s">
        <v>1034</v>
      </c>
      <c r="B1046" s="409" t="s">
        <v>1290</v>
      </c>
      <c r="C1046" s="408" t="s">
        <v>395</v>
      </c>
      <c r="D1046" s="408" t="s">
        <v>147</v>
      </c>
      <c r="E1046" s="604" t="s">
        <v>7768</v>
      </c>
      <c r="F1046" s="604"/>
      <c r="G1046" s="410" t="s">
        <v>6</v>
      </c>
      <c r="H1046" s="412">
        <v>0.34810000000000002</v>
      </c>
      <c r="I1046" s="412">
        <v>0</v>
      </c>
      <c r="J1046" s="411">
        <v>32.82</v>
      </c>
      <c r="K1046" s="411">
        <v>11.424642</v>
      </c>
      <c r="L1046" s="168"/>
    </row>
    <row r="1047" spans="1:12" ht="15" customHeight="1" x14ac:dyDescent="0.3">
      <c r="A1047" s="408" t="s">
        <v>1034</v>
      </c>
      <c r="B1047" s="409" t="s">
        <v>1366</v>
      </c>
      <c r="C1047" s="408" t="s">
        <v>395</v>
      </c>
      <c r="D1047" s="408" t="s">
        <v>149</v>
      </c>
      <c r="E1047" s="604" t="s">
        <v>7768</v>
      </c>
      <c r="F1047" s="604"/>
      <c r="G1047" s="410" t="s">
        <v>6</v>
      </c>
      <c r="H1047" s="412">
        <v>0.69610000000000005</v>
      </c>
      <c r="I1047" s="412">
        <v>0</v>
      </c>
      <c r="J1047" s="411">
        <v>37.57</v>
      </c>
      <c r="K1047" s="411">
        <v>26.152477000000001</v>
      </c>
      <c r="L1047" s="168"/>
    </row>
    <row r="1048" spans="1:12" ht="26.4" x14ac:dyDescent="0.3">
      <c r="A1048" s="408" t="s">
        <v>1034</v>
      </c>
      <c r="B1048" s="409" t="s">
        <v>5130</v>
      </c>
      <c r="C1048" s="408" t="s">
        <v>395</v>
      </c>
      <c r="D1048" s="408" t="s">
        <v>5131</v>
      </c>
      <c r="E1048" s="604" t="s">
        <v>7772</v>
      </c>
      <c r="F1048" s="604"/>
      <c r="G1048" s="410" t="s">
        <v>15</v>
      </c>
      <c r="H1048" s="412">
        <v>2.1999999999999999E-2</v>
      </c>
      <c r="I1048" s="412">
        <v>0</v>
      </c>
      <c r="J1048" s="411">
        <v>44.3</v>
      </c>
      <c r="K1048" s="411">
        <v>0.97460000000000002</v>
      </c>
      <c r="L1048" s="168"/>
    </row>
    <row r="1049" spans="1:12" ht="26.4" x14ac:dyDescent="0.3">
      <c r="A1049" s="408" t="s">
        <v>1034</v>
      </c>
      <c r="B1049" s="409" t="s">
        <v>5132</v>
      </c>
      <c r="C1049" s="408" t="s">
        <v>395</v>
      </c>
      <c r="D1049" s="408" t="s">
        <v>5133</v>
      </c>
      <c r="E1049" s="604" t="s">
        <v>7772</v>
      </c>
      <c r="F1049" s="604"/>
      <c r="G1049" s="410" t="s">
        <v>19</v>
      </c>
      <c r="H1049" s="412">
        <v>0.67410000000000003</v>
      </c>
      <c r="I1049" s="412">
        <v>0</v>
      </c>
      <c r="J1049" s="411">
        <v>42.49</v>
      </c>
      <c r="K1049" s="411">
        <v>28.642509</v>
      </c>
      <c r="L1049" s="166"/>
    </row>
    <row r="1050" spans="1:12" ht="15" x14ac:dyDescent="0.3">
      <c r="A1050" s="400" t="s">
        <v>1038</v>
      </c>
      <c r="B1050" s="401" t="s">
        <v>4132</v>
      </c>
      <c r="C1050" s="400" t="s">
        <v>395</v>
      </c>
      <c r="D1050" s="400" t="s">
        <v>4133</v>
      </c>
      <c r="E1050" s="605" t="s">
        <v>1039</v>
      </c>
      <c r="F1050" s="605"/>
      <c r="G1050" s="402" t="s">
        <v>675</v>
      </c>
      <c r="H1050" s="403">
        <v>0.98699999999999999</v>
      </c>
      <c r="I1050" s="403">
        <v>0</v>
      </c>
      <c r="J1050" s="404">
        <v>548.72</v>
      </c>
      <c r="K1050" s="404">
        <v>541.58663999999999</v>
      </c>
      <c r="L1050" s="166"/>
    </row>
    <row r="1051" spans="1:12" ht="25.5" customHeight="1" x14ac:dyDescent="0.3">
      <c r="A1051" s="400" t="s">
        <v>1038</v>
      </c>
      <c r="B1051" s="401" t="s">
        <v>2289</v>
      </c>
      <c r="C1051" s="400" t="s">
        <v>395</v>
      </c>
      <c r="D1051" s="400" t="s">
        <v>242</v>
      </c>
      <c r="E1051" s="605" t="s">
        <v>1039</v>
      </c>
      <c r="F1051" s="605"/>
      <c r="G1051" s="402" t="s">
        <v>4</v>
      </c>
      <c r="H1051" s="403">
        <v>2.3687999999999998</v>
      </c>
      <c r="I1051" s="403">
        <v>0</v>
      </c>
      <c r="J1051" s="404">
        <v>0.2</v>
      </c>
      <c r="K1051" s="404">
        <v>0.47376000000000001</v>
      </c>
      <c r="L1051" s="166"/>
    </row>
    <row r="1052" spans="1:12" ht="25.5" customHeight="1" x14ac:dyDescent="0.3">
      <c r="A1052" s="400" t="s">
        <v>1038</v>
      </c>
      <c r="B1052" s="401" t="s">
        <v>2291</v>
      </c>
      <c r="C1052" s="400" t="s">
        <v>395</v>
      </c>
      <c r="D1052" s="400" t="s">
        <v>272</v>
      </c>
      <c r="E1052" s="605" t="s">
        <v>1039</v>
      </c>
      <c r="F1052" s="605"/>
      <c r="G1052" s="402" t="s">
        <v>3</v>
      </c>
      <c r="H1052" s="403">
        <v>0.28370000000000001</v>
      </c>
      <c r="I1052" s="403">
        <v>0</v>
      </c>
      <c r="J1052" s="404">
        <v>49.58</v>
      </c>
      <c r="K1052" s="404">
        <v>14.065846000000001</v>
      </c>
      <c r="L1052" s="166"/>
    </row>
    <row r="1053" spans="1:12" ht="25.5" customHeight="1" x14ac:dyDescent="0.3">
      <c r="A1053" s="400" t="s">
        <v>1038</v>
      </c>
      <c r="B1053" s="401" t="s">
        <v>2290</v>
      </c>
      <c r="C1053" s="400" t="s">
        <v>395</v>
      </c>
      <c r="D1053" s="400" t="s">
        <v>261</v>
      </c>
      <c r="E1053" s="605" t="s">
        <v>1039</v>
      </c>
      <c r="F1053" s="605"/>
      <c r="G1053" s="402" t="s">
        <v>7</v>
      </c>
      <c r="H1053" s="403">
        <v>1.4696</v>
      </c>
      <c r="I1053" s="403">
        <v>0</v>
      </c>
      <c r="J1053" s="404">
        <v>2.76</v>
      </c>
      <c r="K1053" s="404">
        <v>4.0560960000000001</v>
      </c>
      <c r="L1053" s="166"/>
    </row>
    <row r="1054" spans="1:12" ht="15" x14ac:dyDescent="0.3">
      <c r="A1054" s="400" t="s">
        <v>1038</v>
      </c>
      <c r="B1054" s="401" t="s">
        <v>2292</v>
      </c>
      <c r="C1054" s="400" t="s">
        <v>395</v>
      </c>
      <c r="D1054" s="400" t="s">
        <v>279</v>
      </c>
      <c r="E1054" s="605" t="s">
        <v>1039</v>
      </c>
      <c r="F1054" s="605"/>
      <c r="G1054" s="402" t="s">
        <v>4</v>
      </c>
      <c r="H1054" s="403">
        <v>0.2306</v>
      </c>
      <c r="I1054" s="403">
        <v>0</v>
      </c>
      <c r="J1054" s="404">
        <v>21.42</v>
      </c>
      <c r="K1054" s="404">
        <v>4.9394520000000002</v>
      </c>
      <c r="L1054" s="166"/>
    </row>
    <row r="1055" spans="1:12" ht="12.75" customHeight="1" x14ac:dyDescent="0.3">
      <c r="A1055" s="405"/>
      <c r="B1055" s="405"/>
      <c r="C1055" s="405"/>
      <c r="D1055" s="405"/>
      <c r="E1055" s="405" t="s">
        <v>1046</v>
      </c>
      <c r="F1055" s="406">
        <v>50.18</v>
      </c>
      <c r="G1055" s="405" t="s">
        <v>1047</v>
      </c>
      <c r="H1055" s="406">
        <v>0.01</v>
      </c>
      <c r="I1055" s="405" t="s">
        <v>1048</v>
      </c>
      <c r="J1055" s="406">
        <v>50.19</v>
      </c>
      <c r="K1055"/>
      <c r="L1055" s="166"/>
    </row>
    <row r="1056" spans="1:12" ht="15" customHeight="1" thickBot="1" x14ac:dyDescent="0.35">
      <c r="A1056" s="405"/>
      <c r="B1056" s="405"/>
      <c r="C1056" s="405"/>
      <c r="D1056" s="405"/>
      <c r="E1056" s="405" t="s">
        <v>1049</v>
      </c>
      <c r="F1056" s="406">
        <v>0</v>
      </c>
      <c r="G1056" s="405"/>
      <c r="H1056" s="606"/>
      <c r="I1056" s="606" t="s">
        <v>1050</v>
      </c>
      <c r="J1056" s="406">
        <v>632.32000000000005</v>
      </c>
      <c r="K1056"/>
      <c r="L1056" s="168"/>
    </row>
    <row r="1057" spans="1:12" ht="15.6" thickTop="1" x14ac:dyDescent="0.3">
      <c r="A1057" s="407"/>
      <c r="B1057" s="407"/>
      <c r="C1057" s="407"/>
      <c r="D1057" s="407"/>
      <c r="E1057" s="407"/>
      <c r="F1057" s="407"/>
      <c r="G1057" s="407"/>
      <c r="H1057" s="407"/>
      <c r="I1057" s="407"/>
      <c r="J1057" s="407"/>
      <c r="K1057" s="407"/>
      <c r="L1057" s="170"/>
    </row>
    <row r="1058" spans="1:12" ht="14.25" customHeight="1" x14ac:dyDescent="0.3">
      <c r="A1058" s="382" t="s">
        <v>741</v>
      </c>
      <c r="B1058" s="312" t="s">
        <v>413</v>
      </c>
      <c r="C1058" s="382" t="s">
        <v>414</v>
      </c>
      <c r="D1058" s="382" t="s">
        <v>415</v>
      </c>
      <c r="E1058" s="586" t="s">
        <v>1029</v>
      </c>
      <c r="F1058" s="586"/>
      <c r="G1058" s="383" t="s">
        <v>416</v>
      </c>
      <c r="H1058" s="312" t="s">
        <v>1030</v>
      </c>
      <c r="I1058" s="312" t="s">
        <v>3016</v>
      </c>
      <c r="J1058" s="312" t="s">
        <v>1031</v>
      </c>
      <c r="K1058" s="312" t="s">
        <v>1032</v>
      </c>
      <c r="L1058" s="168"/>
    </row>
    <row r="1059" spans="1:12" ht="26.4" x14ac:dyDescent="0.3">
      <c r="A1059" s="313" t="s">
        <v>1033</v>
      </c>
      <c r="B1059" s="315" t="s">
        <v>991</v>
      </c>
      <c r="C1059" s="313" t="s">
        <v>5902</v>
      </c>
      <c r="D1059" s="313" t="s">
        <v>677</v>
      </c>
      <c r="E1059" s="603">
        <v>14.3</v>
      </c>
      <c r="F1059" s="603"/>
      <c r="G1059" s="314" t="s">
        <v>675</v>
      </c>
      <c r="H1059" s="399">
        <v>1</v>
      </c>
      <c r="I1059" s="316"/>
      <c r="J1059" s="316">
        <v>839.86</v>
      </c>
      <c r="K1059" s="316">
        <v>839.86</v>
      </c>
      <c r="L1059" s="168"/>
    </row>
    <row r="1060" spans="1:12" ht="25.5" customHeight="1" x14ac:dyDescent="0.3">
      <c r="A1060" s="400" t="s">
        <v>1038</v>
      </c>
      <c r="B1060" s="401" t="s">
        <v>1401</v>
      </c>
      <c r="C1060" s="400" t="s">
        <v>5902</v>
      </c>
      <c r="D1060" s="400" t="s">
        <v>1402</v>
      </c>
      <c r="E1060" s="605" t="s">
        <v>1039</v>
      </c>
      <c r="F1060" s="605"/>
      <c r="G1060" s="402" t="s">
        <v>675</v>
      </c>
      <c r="H1060" s="403">
        <v>1</v>
      </c>
      <c r="I1060" s="403">
        <v>0</v>
      </c>
      <c r="J1060" s="404">
        <v>839.86</v>
      </c>
      <c r="K1060" s="404">
        <v>839.86</v>
      </c>
      <c r="L1060" s="168"/>
    </row>
    <row r="1061" spans="1:12" ht="25.5" customHeight="1" x14ac:dyDescent="0.3">
      <c r="A1061" s="405"/>
      <c r="B1061" s="405"/>
      <c r="C1061" s="405"/>
      <c r="D1061" s="405"/>
      <c r="E1061" s="405" t="s">
        <v>1046</v>
      </c>
      <c r="F1061" s="406">
        <v>0</v>
      </c>
      <c r="G1061" s="405" t="s">
        <v>1047</v>
      </c>
      <c r="H1061" s="406">
        <v>0</v>
      </c>
      <c r="I1061" s="405" t="s">
        <v>1048</v>
      </c>
      <c r="J1061" s="406">
        <v>0</v>
      </c>
      <c r="K1061"/>
      <c r="L1061" s="166"/>
    </row>
    <row r="1062" spans="1:12" ht="25.5" customHeight="1" thickBot="1" x14ac:dyDescent="0.35">
      <c r="A1062" s="405"/>
      <c r="B1062" s="405"/>
      <c r="C1062" s="405"/>
      <c r="D1062" s="405"/>
      <c r="E1062" s="405" t="s">
        <v>1049</v>
      </c>
      <c r="F1062" s="406">
        <v>0</v>
      </c>
      <c r="G1062" s="405"/>
      <c r="H1062" s="606"/>
      <c r="I1062" s="606" t="s">
        <v>1050</v>
      </c>
      <c r="J1062" s="406">
        <v>839.86</v>
      </c>
      <c r="K1062"/>
      <c r="L1062" s="166"/>
    </row>
    <row r="1063" spans="1:12" ht="25.5" customHeight="1" thickTop="1" x14ac:dyDescent="0.3">
      <c r="A1063" s="407"/>
      <c r="B1063" s="407"/>
      <c r="C1063" s="407"/>
      <c r="D1063" s="407"/>
      <c r="E1063" s="407"/>
      <c r="F1063" s="407"/>
      <c r="G1063" s="407"/>
      <c r="H1063" s="407"/>
      <c r="I1063" s="407"/>
      <c r="J1063" s="407"/>
      <c r="K1063" s="407"/>
      <c r="L1063" s="168"/>
    </row>
    <row r="1064" spans="1:12" ht="25.5" customHeight="1" x14ac:dyDescent="0.3">
      <c r="A1064" s="382" t="s">
        <v>742</v>
      </c>
      <c r="B1064" s="312" t="s">
        <v>413</v>
      </c>
      <c r="C1064" s="382" t="s">
        <v>414</v>
      </c>
      <c r="D1064" s="382" t="s">
        <v>415</v>
      </c>
      <c r="E1064" s="586" t="s">
        <v>1029</v>
      </c>
      <c r="F1064" s="586"/>
      <c r="G1064" s="383" t="s">
        <v>416</v>
      </c>
      <c r="H1064" s="312" t="s">
        <v>1030</v>
      </c>
      <c r="I1064" s="312" t="s">
        <v>3016</v>
      </c>
      <c r="J1064" s="312" t="s">
        <v>1031</v>
      </c>
      <c r="K1064" s="312" t="s">
        <v>1032</v>
      </c>
      <c r="L1064" s="168"/>
    </row>
    <row r="1065" spans="1:12" ht="25.5" customHeight="1" x14ac:dyDescent="0.3">
      <c r="A1065" s="313" t="s">
        <v>1033</v>
      </c>
      <c r="B1065" s="315" t="s">
        <v>2252</v>
      </c>
      <c r="C1065" s="313" t="s">
        <v>408</v>
      </c>
      <c r="D1065" s="313" t="s">
        <v>2099</v>
      </c>
      <c r="E1065" s="603" t="s">
        <v>2270</v>
      </c>
      <c r="F1065" s="603"/>
      <c r="G1065" s="314" t="s">
        <v>4</v>
      </c>
      <c r="H1065" s="399">
        <v>1</v>
      </c>
      <c r="I1065" s="316"/>
      <c r="J1065" s="316">
        <v>1275.1400000000001</v>
      </c>
      <c r="K1065" s="316">
        <v>1275.1400000000001</v>
      </c>
      <c r="L1065" s="168"/>
    </row>
    <row r="1066" spans="1:12" ht="15" customHeight="1" x14ac:dyDescent="0.3">
      <c r="A1066" s="400" t="s">
        <v>1038</v>
      </c>
      <c r="B1066" s="401" t="s">
        <v>1410</v>
      </c>
      <c r="C1066" s="400" t="s">
        <v>408</v>
      </c>
      <c r="D1066" s="400" t="s">
        <v>1411</v>
      </c>
      <c r="E1066" s="605" t="s">
        <v>1039</v>
      </c>
      <c r="F1066" s="605"/>
      <c r="G1066" s="402" t="s">
        <v>675</v>
      </c>
      <c r="H1066" s="403">
        <v>2.77</v>
      </c>
      <c r="I1066" s="403">
        <v>0</v>
      </c>
      <c r="J1066" s="404">
        <v>64.34</v>
      </c>
      <c r="K1066" s="404">
        <v>178.2218</v>
      </c>
      <c r="L1066" s="168"/>
    </row>
    <row r="1067" spans="1:12" ht="14.25" customHeight="1" x14ac:dyDescent="0.3">
      <c r="A1067" s="400" t="s">
        <v>1038</v>
      </c>
      <c r="B1067" s="401" t="s">
        <v>1412</v>
      </c>
      <c r="C1067" s="400" t="s">
        <v>408</v>
      </c>
      <c r="D1067" s="400" t="s">
        <v>1413</v>
      </c>
      <c r="E1067" s="605" t="s">
        <v>1039</v>
      </c>
      <c r="F1067" s="605"/>
      <c r="G1067" s="402" t="s">
        <v>3</v>
      </c>
      <c r="H1067" s="403">
        <v>0.04</v>
      </c>
      <c r="I1067" s="403">
        <v>0</v>
      </c>
      <c r="J1067" s="404">
        <v>18.989999999999998</v>
      </c>
      <c r="K1067" s="404">
        <v>0.75960000000000005</v>
      </c>
      <c r="L1067" s="168"/>
    </row>
    <row r="1068" spans="1:12" ht="14.25" customHeight="1" x14ac:dyDescent="0.3">
      <c r="A1068" s="400" t="s">
        <v>1038</v>
      </c>
      <c r="B1068" s="401" t="s">
        <v>1414</v>
      </c>
      <c r="C1068" s="400" t="s">
        <v>408</v>
      </c>
      <c r="D1068" s="400" t="s">
        <v>1415</v>
      </c>
      <c r="E1068" s="605" t="s">
        <v>1039</v>
      </c>
      <c r="F1068" s="605"/>
      <c r="G1068" s="402" t="s">
        <v>4</v>
      </c>
      <c r="H1068" s="403">
        <v>4</v>
      </c>
      <c r="I1068" s="403">
        <v>0</v>
      </c>
      <c r="J1068" s="404">
        <v>1</v>
      </c>
      <c r="K1068" s="404">
        <v>4</v>
      </c>
      <c r="L1068" s="168"/>
    </row>
    <row r="1069" spans="1:12" ht="15" x14ac:dyDescent="0.3">
      <c r="A1069" s="400" t="s">
        <v>1038</v>
      </c>
      <c r="B1069" s="401" t="s">
        <v>1406</v>
      </c>
      <c r="C1069" s="400" t="s">
        <v>408</v>
      </c>
      <c r="D1069" s="400" t="s">
        <v>1407</v>
      </c>
      <c r="E1069" s="605" t="s">
        <v>1039</v>
      </c>
      <c r="F1069" s="605"/>
      <c r="G1069" s="402" t="s">
        <v>3</v>
      </c>
      <c r="H1069" s="403">
        <v>0.42</v>
      </c>
      <c r="I1069" s="403">
        <v>0</v>
      </c>
      <c r="J1069" s="404">
        <v>23.9</v>
      </c>
      <c r="K1069" s="404">
        <v>10.038</v>
      </c>
      <c r="L1069" s="168"/>
    </row>
    <row r="1070" spans="1:12" ht="15" x14ac:dyDescent="0.3">
      <c r="A1070" s="400" t="s">
        <v>1038</v>
      </c>
      <c r="B1070" s="401" t="s">
        <v>1404</v>
      </c>
      <c r="C1070" s="400" t="s">
        <v>408</v>
      </c>
      <c r="D1070" s="400" t="s">
        <v>1405</v>
      </c>
      <c r="E1070" s="605" t="s">
        <v>1039</v>
      </c>
      <c r="F1070" s="605"/>
      <c r="G1070" s="402" t="s">
        <v>7</v>
      </c>
      <c r="H1070" s="403">
        <v>3.1</v>
      </c>
      <c r="I1070" s="403">
        <v>0</v>
      </c>
      <c r="J1070" s="404">
        <v>46.65</v>
      </c>
      <c r="K1070" s="404">
        <v>144.61500000000001</v>
      </c>
      <c r="L1070" s="168"/>
    </row>
    <row r="1071" spans="1:12" ht="15" x14ac:dyDescent="0.3">
      <c r="A1071" s="400" t="s">
        <v>1038</v>
      </c>
      <c r="B1071" s="401" t="s">
        <v>1416</v>
      </c>
      <c r="C1071" s="400" t="s">
        <v>408</v>
      </c>
      <c r="D1071" s="400" t="s">
        <v>1417</v>
      </c>
      <c r="E1071" s="605" t="s">
        <v>1039</v>
      </c>
      <c r="F1071" s="605"/>
      <c r="G1071" s="402" t="s">
        <v>4</v>
      </c>
      <c r="H1071" s="403">
        <v>1</v>
      </c>
      <c r="I1071" s="403">
        <v>0</v>
      </c>
      <c r="J1071" s="404">
        <v>43.89</v>
      </c>
      <c r="K1071" s="404">
        <v>43.89</v>
      </c>
      <c r="L1071" s="168"/>
    </row>
    <row r="1072" spans="1:12" ht="25.5" customHeight="1" x14ac:dyDescent="0.3">
      <c r="A1072" s="400" t="s">
        <v>1038</v>
      </c>
      <c r="B1072" s="401" t="s">
        <v>1408</v>
      </c>
      <c r="C1072" s="400" t="s">
        <v>408</v>
      </c>
      <c r="D1072" s="400" t="s">
        <v>1409</v>
      </c>
      <c r="E1072" s="605" t="s">
        <v>1039</v>
      </c>
      <c r="F1072" s="605"/>
      <c r="G1072" s="402" t="s">
        <v>4</v>
      </c>
      <c r="H1072" s="403">
        <v>2.9</v>
      </c>
      <c r="I1072" s="403">
        <v>0</v>
      </c>
      <c r="J1072" s="404">
        <v>159</v>
      </c>
      <c r="K1072" s="404">
        <v>461.1</v>
      </c>
      <c r="L1072" s="168"/>
    </row>
    <row r="1073" spans="1:12" ht="15" x14ac:dyDescent="0.3">
      <c r="A1073" s="400" t="s">
        <v>1038</v>
      </c>
      <c r="B1073" s="401" t="s">
        <v>2591</v>
      </c>
      <c r="C1073" s="400" t="s">
        <v>408</v>
      </c>
      <c r="D1073" s="400" t="s">
        <v>2592</v>
      </c>
      <c r="E1073" s="605" t="s">
        <v>1039</v>
      </c>
      <c r="F1073" s="605"/>
      <c r="G1073" s="402" t="s">
        <v>4</v>
      </c>
      <c r="H1073" s="403">
        <v>1</v>
      </c>
      <c r="I1073" s="403">
        <v>0</v>
      </c>
      <c r="J1073" s="404">
        <v>179.9</v>
      </c>
      <c r="K1073" s="404">
        <v>179.9</v>
      </c>
      <c r="L1073" s="168"/>
    </row>
    <row r="1074" spans="1:12" ht="25.5" customHeight="1" x14ac:dyDescent="0.3">
      <c r="A1074" s="400" t="s">
        <v>1038</v>
      </c>
      <c r="B1074" s="401" t="s">
        <v>6290</v>
      </c>
      <c r="C1074" s="400" t="s">
        <v>408</v>
      </c>
      <c r="D1074" s="400" t="s">
        <v>6291</v>
      </c>
      <c r="E1074" s="605" t="s">
        <v>1053</v>
      </c>
      <c r="F1074" s="605"/>
      <c r="G1074" s="402" t="s">
        <v>6</v>
      </c>
      <c r="H1074" s="403">
        <v>4.5999999999999996</v>
      </c>
      <c r="I1074" s="403">
        <v>0</v>
      </c>
      <c r="J1074" s="404">
        <v>30.51</v>
      </c>
      <c r="K1074" s="404">
        <v>140.346</v>
      </c>
      <c r="L1074" s="168"/>
    </row>
    <row r="1075" spans="1:12" ht="15" customHeight="1" x14ac:dyDescent="0.3">
      <c r="A1075" s="400" t="s">
        <v>1038</v>
      </c>
      <c r="B1075" s="401" t="s">
        <v>6285</v>
      </c>
      <c r="C1075" s="400" t="s">
        <v>408</v>
      </c>
      <c r="D1075" s="400" t="s">
        <v>1566</v>
      </c>
      <c r="E1075" s="605" t="s">
        <v>1053</v>
      </c>
      <c r="F1075" s="605"/>
      <c r="G1075" s="402" t="s">
        <v>6</v>
      </c>
      <c r="H1075" s="403">
        <v>5.2</v>
      </c>
      <c r="I1075" s="403">
        <v>0</v>
      </c>
      <c r="J1075" s="404">
        <v>21.59</v>
      </c>
      <c r="K1075" s="404">
        <v>112.268</v>
      </c>
      <c r="L1075" s="166"/>
    </row>
    <row r="1076" spans="1:12" ht="17.399999999999999" customHeight="1" x14ac:dyDescent="0.3">
      <c r="A1076" s="405"/>
      <c r="B1076" s="405"/>
      <c r="C1076" s="405"/>
      <c r="D1076" s="405"/>
      <c r="E1076" s="405" t="s">
        <v>1046</v>
      </c>
      <c r="F1076" s="406">
        <v>252.62</v>
      </c>
      <c r="G1076" s="405" t="s">
        <v>1047</v>
      </c>
      <c r="H1076" s="406">
        <v>0</v>
      </c>
      <c r="I1076" s="405" t="s">
        <v>1048</v>
      </c>
      <c r="J1076" s="406">
        <v>252.62</v>
      </c>
      <c r="K1076"/>
      <c r="L1076" s="168"/>
    </row>
    <row r="1077" spans="1:12" ht="12.75" customHeight="1" thickBot="1" x14ac:dyDescent="0.35">
      <c r="A1077" s="405"/>
      <c r="B1077" s="405"/>
      <c r="C1077" s="405"/>
      <c r="D1077" s="405"/>
      <c r="E1077" s="405" t="s">
        <v>1049</v>
      </c>
      <c r="F1077" s="406">
        <v>0</v>
      </c>
      <c r="G1077" s="405"/>
      <c r="H1077" s="606"/>
      <c r="I1077" s="606" t="s">
        <v>1050</v>
      </c>
      <c r="J1077" s="406">
        <v>1275.1400000000001</v>
      </c>
      <c r="K1077"/>
      <c r="L1077" s="168"/>
    </row>
    <row r="1078" spans="1:12" ht="15.6" thickTop="1" x14ac:dyDescent="0.3">
      <c r="A1078" s="407"/>
      <c r="B1078" s="407"/>
      <c r="C1078" s="407"/>
      <c r="D1078" s="407"/>
      <c r="E1078" s="407"/>
      <c r="F1078" s="407"/>
      <c r="G1078" s="407"/>
      <c r="H1078" s="407"/>
      <c r="I1078" s="407"/>
      <c r="J1078" s="407"/>
      <c r="K1078" s="407"/>
      <c r="L1078" s="168"/>
    </row>
    <row r="1079" spans="1:12" ht="15" x14ac:dyDescent="0.3">
      <c r="A1079" s="382" t="s">
        <v>743</v>
      </c>
      <c r="B1079" s="312" t="s">
        <v>413</v>
      </c>
      <c r="C1079" s="382" t="s">
        <v>414</v>
      </c>
      <c r="D1079" s="382" t="s">
        <v>415</v>
      </c>
      <c r="E1079" s="586" t="s">
        <v>1029</v>
      </c>
      <c r="F1079" s="586"/>
      <c r="G1079" s="383" t="s">
        <v>416</v>
      </c>
      <c r="H1079" s="312" t="s">
        <v>1030</v>
      </c>
      <c r="I1079" s="312" t="s">
        <v>3016</v>
      </c>
      <c r="J1079" s="312" t="s">
        <v>1031</v>
      </c>
      <c r="K1079" s="312" t="s">
        <v>1032</v>
      </c>
      <c r="L1079" s="166"/>
    </row>
    <row r="1080" spans="1:12" ht="30" customHeight="1" x14ac:dyDescent="0.3">
      <c r="A1080" s="313" t="s">
        <v>1033</v>
      </c>
      <c r="B1080" s="315" t="s">
        <v>3811</v>
      </c>
      <c r="C1080" s="313" t="s">
        <v>395</v>
      </c>
      <c r="D1080" s="313" t="s">
        <v>5922</v>
      </c>
      <c r="E1080" s="603" t="s">
        <v>7845</v>
      </c>
      <c r="F1080" s="603"/>
      <c r="G1080" s="314" t="s">
        <v>675</v>
      </c>
      <c r="H1080" s="399">
        <v>1</v>
      </c>
      <c r="I1080" s="316"/>
      <c r="J1080" s="316">
        <v>6.54</v>
      </c>
      <c r="K1080" s="316">
        <v>6.54</v>
      </c>
      <c r="L1080" s="166"/>
    </row>
    <row r="1081" spans="1:12" ht="30" customHeight="1" x14ac:dyDescent="0.3">
      <c r="A1081" s="408" t="s">
        <v>1034</v>
      </c>
      <c r="B1081" s="409" t="s">
        <v>5215</v>
      </c>
      <c r="C1081" s="408" t="s">
        <v>395</v>
      </c>
      <c r="D1081" s="408" t="s">
        <v>5216</v>
      </c>
      <c r="E1081" s="604" t="s">
        <v>7840</v>
      </c>
      <c r="F1081" s="604"/>
      <c r="G1081" s="410" t="s">
        <v>713</v>
      </c>
      <c r="H1081" s="412">
        <v>3.7000000000000002E-3</v>
      </c>
      <c r="I1081" s="412">
        <v>0</v>
      </c>
      <c r="J1081" s="411">
        <v>765.96</v>
      </c>
      <c r="K1081" s="411">
        <v>2.8340519999999998</v>
      </c>
      <c r="L1081" s="168"/>
    </row>
    <row r="1082" spans="1:12" ht="26.4" x14ac:dyDescent="0.3">
      <c r="A1082" s="408" t="s">
        <v>1034</v>
      </c>
      <c r="B1082" s="409" t="s">
        <v>1302</v>
      </c>
      <c r="C1082" s="408" t="s">
        <v>395</v>
      </c>
      <c r="D1082" s="408" t="s">
        <v>144</v>
      </c>
      <c r="E1082" s="604" t="s">
        <v>7768</v>
      </c>
      <c r="F1082" s="604"/>
      <c r="G1082" s="410" t="s">
        <v>6</v>
      </c>
      <c r="H1082" s="412">
        <v>6.8099999999999994E-2</v>
      </c>
      <c r="I1082" s="412">
        <v>0</v>
      </c>
      <c r="J1082" s="411">
        <v>42.06</v>
      </c>
      <c r="K1082" s="411">
        <v>2.8642859999999999</v>
      </c>
      <c r="L1082" s="168"/>
    </row>
    <row r="1083" spans="1:12" ht="14.25" customHeight="1" x14ac:dyDescent="0.3">
      <c r="A1083" s="408" t="s">
        <v>1034</v>
      </c>
      <c r="B1083" s="409" t="s">
        <v>1290</v>
      </c>
      <c r="C1083" s="408" t="s">
        <v>395</v>
      </c>
      <c r="D1083" s="408" t="s">
        <v>147</v>
      </c>
      <c r="E1083" s="604" t="s">
        <v>7768</v>
      </c>
      <c r="F1083" s="604"/>
      <c r="G1083" s="410" t="s">
        <v>6</v>
      </c>
      <c r="H1083" s="412">
        <v>2.5499999999999998E-2</v>
      </c>
      <c r="I1083" s="412">
        <v>0</v>
      </c>
      <c r="J1083" s="411">
        <v>32.82</v>
      </c>
      <c r="K1083" s="411">
        <v>0.83691000000000004</v>
      </c>
      <c r="L1083" s="168"/>
    </row>
    <row r="1084" spans="1:12" ht="15" customHeight="1" x14ac:dyDescent="0.3">
      <c r="A1084" s="405"/>
      <c r="B1084" s="405"/>
      <c r="C1084" s="405"/>
      <c r="D1084" s="405"/>
      <c r="E1084" s="405" t="s">
        <v>1046</v>
      </c>
      <c r="F1084" s="406">
        <v>3.67</v>
      </c>
      <c r="G1084" s="405" t="s">
        <v>1047</v>
      </c>
      <c r="H1084" s="406">
        <v>0</v>
      </c>
      <c r="I1084" s="405" t="s">
        <v>1048</v>
      </c>
      <c r="J1084" s="406">
        <v>3.67</v>
      </c>
      <c r="K1084"/>
      <c r="L1084" s="166"/>
    </row>
    <row r="1085" spans="1:12" ht="17.399999999999999" customHeight="1" thickBot="1" x14ac:dyDescent="0.35">
      <c r="A1085" s="405"/>
      <c r="B1085" s="405"/>
      <c r="C1085" s="405"/>
      <c r="D1085" s="405"/>
      <c r="E1085" s="405" t="s">
        <v>1049</v>
      </c>
      <c r="F1085" s="406">
        <v>0</v>
      </c>
      <c r="G1085" s="405"/>
      <c r="H1085" s="606"/>
      <c r="I1085" s="606" t="s">
        <v>1050</v>
      </c>
      <c r="J1085" s="406">
        <v>6.54</v>
      </c>
      <c r="K1085"/>
      <c r="L1085" s="166"/>
    </row>
    <row r="1086" spans="1:12" ht="15.6" thickTop="1" x14ac:dyDescent="0.3">
      <c r="A1086" s="407"/>
      <c r="B1086" s="407"/>
      <c r="C1086" s="407"/>
      <c r="D1086" s="407"/>
      <c r="E1086" s="407"/>
      <c r="F1086" s="407"/>
      <c r="G1086" s="407"/>
      <c r="H1086" s="407"/>
      <c r="I1086" s="407"/>
      <c r="J1086" s="407"/>
      <c r="K1086" s="407"/>
      <c r="L1086" s="166"/>
    </row>
    <row r="1087" spans="1:12" ht="25.5" customHeight="1" x14ac:dyDescent="0.3">
      <c r="A1087" s="382" t="s">
        <v>744</v>
      </c>
      <c r="B1087" s="312" t="s">
        <v>413</v>
      </c>
      <c r="C1087" s="382" t="s">
        <v>414</v>
      </c>
      <c r="D1087" s="382" t="s">
        <v>415</v>
      </c>
      <c r="E1087" s="586" t="s">
        <v>1029</v>
      </c>
      <c r="F1087" s="586"/>
      <c r="G1087" s="383" t="s">
        <v>416</v>
      </c>
      <c r="H1087" s="312" t="s">
        <v>1030</v>
      </c>
      <c r="I1087" s="312" t="s">
        <v>3016</v>
      </c>
      <c r="J1087" s="312" t="s">
        <v>1031</v>
      </c>
      <c r="K1087" s="312" t="s">
        <v>1032</v>
      </c>
      <c r="L1087" s="166"/>
    </row>
    <row r="1088" spans="1:12" ht="25.5" customHeight="1" x14ac:dyDescent="0.3">
      <c r="A1088" s="313" t="s">
        <v>1033</v>
      </c>
      <c r="B1088" s="315" t="s">
        <v>3812</v>
      </c>
      <c r="C1088" s="313" t="s">
        <v>395</v>
      </c>
      <c r="D1088" s="313" t="s">
        <v>5923</v>
      </c>
      <c r="E1088" s="603" t="s">
        <v>7846</v>
      </c>
      <c r="F1088" s="603"/>
      <c r="G1088" s="314" t="s">
        <v>675</v>
      </c>
      <c r="H1088" s="399">
        <v>1</v>
      </c>
      <c r="I1088" s="316"/>
      <c r="J1088" s="316">
        <v>47.87</v>
      </c>
      <c r="K1088" s="316">
        <v>47.87</v>
      </c>
      <c r="L1088" s="166"/>
    </row>
    <row r="1089" spans="1:12" ht="38.25" customHeight="1" x14ac:dyDescent="0.3">
      <c r="A1089" s="408" t="s">
        <v>1034</v>
      </c>
      <c r="B1089" s="409" t="s">
        <v>5217</v>
      </c>
      <c r="C1089" s="408" t="s">
        <v>395</v>
      </c>
      <c r="D1089" s="408" t="s">
        <v>5218</v>
      </c>
      <c r="E1089" s="604" t="s">
        <v>7840</v>
      </c>
      <c r="F1089" s="604"/>
      <c r="G1089" s="410" t="s">
        <v>713</v>
      </c>
      <c r="H1089" s="412">
        <v>3.04E-2</v>
      </c>
      <c r="I1089" s="412">
        <v>0</v>
      </c>
      <c r="J1089" s="411">
        <v>855.35</v>
      </c>
      <c r="K1089" s="411">
        <v>26.00264</v>
      </c>
      <c r="L1089" s="166"/>
    </row>
    <row r="1090" spans="1:12" ht="25.5" customHeight="1" x14ac:dyDescent="0.3">
      <c r="A1090" s="408" t="s">
        <v>1034</v>
      </c>
      <c r="B1090" s="409" t="s">
        <v>1302</v>
      </c>
      <c r="C1090" s="408" t="s">
        <v>395</v>
      </c>
      <c r="D1090" s="408" t="s">
        <v>144</v>
      </c>
      <c r="E1090" s="604" t="s">
        <v>7768</v>
      </c>
      <c r="F1090" s="604"/>
      <c r="G1090" s="410" t="s">
        <v>6</v>
      </c>
      <c r="H1090" s="412">
        <v>0.374</v>
      </c>
      <c r="I1090" s="412">
        <v>0</v>
      </c>
      <c r="J1090" s="411">
        <v>42.06</v>
      </c>
      <c r="K1090" s="411">
        <v>15.73044</v>
      </c>
      <c r="L1090" s="166"/>
    </row>
    <row r="1091" spans="1:12" ht="26.4" x14ac:dyDescent="0.3">
      <c r="A1091" s="408" t="s">
        <v>1034</v>
      </c>
      <c r="B1091" s="409" t="s">
        <v>1290</v>
      </c>
      <c r="C1091" s="408" t="s">
        <v>395</v>
      </c>
      <c r="D1091" s="408" t="s">
        <v>147</v>
      </c>
      <c r="E1091" s="604" t="s">
        <v>7768</v>
      </c>
      <c r="F1091" s="604"/>
      <c r="G1091" s="410" t="s">
        <v>6</v>
      </c>
      <c r="H1091" s="412">
        <v>0.187</v>
      </c>
      <c r="I1091" s="412">
        <v>0</v>
      </c>
      <c r="J1091" s="411">
        <v>32.82</v>
      </c>
      <c r="K1091" s="411">
        <v>6.13734</v>
      </c>
      <c r="L1091" s="168"/>
    </row>
    <row r="1092" spans="1:12" ht="15" customHeight="1" x14ac:dyDescent="0.3">
      <c r="A1092" s="405"/>
      <c r="B1092" s="405"/>
      <c r="C1092" s="405"/>
      <c r="D1092" s="405"/>
      <c r="E1092" s="405" t="s">
        <v>1046</v>
      </c>
      <c r="F1092" s="406">
        <v>23.77</v>
      </c>
      <c r="G1092" s="405" t="s">
        <v>1047</v>
      </c>
      <c r="H1092" s="406">
        <v>0</v>
      </c>
      <c r="I1092" s="405" t="s">
        <v>1048</v>
      </c>
      <c r="J1092" s="406">
        <v>23.77</v>
      </c>
      <c r="K1092"/>
      <c r="L1092" s="170"/>
    </row>
    <row r="1093" spans="1:12" ht="14.25" customHeight="1" thickBot="1" x14ac:dyDescent="0.35">
      <c r="A1093" s="405"/>
      <c r="B1093" s="405"/>
      <c r="C1093" s="405"/>
      <c r="D1093" s="405"/>
      <c r="E1093" s="405" t="s">
        <v>1049</v>
      </c>
      <c r="F1093" s="406">
        <v>0</v>
      </c>
      <c r="G1093" s="405"/>
      <c r="H1093" s="606"/>
      <c r="I1093" s="606" t="s">
        <v>1050</v>
      </c>
      <c r="J1093" s="406">
        <v>47.87</v>
      </c>
      <c r="K1093"/>
      <c r="L1093" s="168"/>
    </row>
    <row r="1094" spans="1:12" ht="14.25" customHeight="1" thickTop="1" x14ac:dyDescent="0.3">
      <c r="A1094" s="407"/>
      <c r="B1094" s="407"/>
      <c r="C1094" s="407"/>
      <c r="D1094" s="407"/>
      <c r="E1094" s="407"/>
      <c r="F1094" s="407"/>
      <c r="G1094" s="407"/>
      <c r="H1094" s="407"/>
      <c r="I1094" s="407"/>
      <c r="J1094" s="407"/>
      <c r="K1094" s="407"/>
      <c r="L1094" s="168"/>
    </row>
    <row r="1095" spans="1:12" ht="17.399999999999999" customHeight="1" x14ac:dyDescent="0.3">
      <c r="A1095" s="382" t="s">
        <v>745</v>
      </c>
      <c r="B1095" s="312" t="s">
        <v>413</v>
      </c>
      <c r="C1095" s="382" t="s">
        <v>414</v>
      </c>
      <c r="D1095" s="382" t="s">
        <v>415</v>
      </c>
      <c r="E1095" s="586" t="s">
        <v>1029</v>
      </c>
      <c r="F1095" s="586"/>
      <c r="G1095" s="383" t="s">
        <v>416</v>
      </c>
      <c r="H1095" s="312" t="s">
        <v>1030</v>
      </c>
      <c r="I1095" s="312" t="s">
        <v>3016</v>
      </c>
      <c r="J1095" s="312" t="s">
        <v>1031</v>
      </c>
      <c r="K1095" s="312" t="s">
        <v>1032</v>
      </c>
      <c r="L1095" s="168"/>
    </row>
    <row r="1096" spans="1:12" ht="15" x14ac:dyDescent="0.3">
      <c r="A1096" s="313" t="s">
        <v>1033</v>
      </c>
      <c r="B1096" s="315" t="s">
        <v>992</v>
      </c>
      <c r="C1096" s="313" t="s">
        <v>408</v>
      </c>
      <c r="D1096" s="313" t="s">
        <v>681</v>
      </c>
      <c r="E1096" s="603" t="s">
        <v>2271</v>
      </c>
      <c r="F1096" s="603"/>
      <c r="G1096" s="314" t="s">
        <v>675</v>
      </c>
      <c r="H1096" s="399">
        <v>1</v>
      </c>
      <c r="I1096" s="316"/>
      <c r="J1096" s="316">
        <v>13.46</v>
      </c>
      <c r="K1096" s="316">
        <v>13.46</v>
      </c>
      <c r="L1096" s="166"/>
    </row>
    <row r="1097" spans="1:12" ht="25.5" customHeight="1" x14ac:dyDescent="0.3">
      <c r="A1097" s="400" t="s">
        <v>1038</v>
      </c>
      <c r="B1097" s="401" t="s">
        <v>1418</v>
      </c>
      <c r="C1097" s="400" t="s">
        <v>408</v>
      </c>
      <c r="D1097" s="400" t="s">
        <v>1419</v>
      </c>
      <c r="E1097" s="605" t="s">
        <v>1039</v>
      </c>
      <c r="F1097" s="605"/>
      <c r="G1097" s="402" t="s">
        <v>3</v>
      </c>
      <c r="H1097" s="403">
        <v>7</v>
      </c>
      <c r="I1097" s="403">
        <v>0</v>
      </c>
      <c r="J1097" s="404">
        <v>0.93</v>
      </c>
      <c r="K1097" s="404">
        <v>6.51</v>
      </c>
      <c r="L1097" s="166"/>
    </row>
    <row r="1098" spans="1:12" ht="25.5" customHeight="1" x14ac:dyDescent="0.3">
      <c r="A1098" s="400" t="s">
        <v>1038</v>
      </c>
      <c r="B1098" s="401" t="s">
        <v>7444</v>
      </c>
      <c r="C1098" s="400" t="s">
        <v>408</v>
      </c>
      <c r="D1098" s="400" t="s">
        <v>4862</v>
      </c>
      <c r="E1098" s="605" t="s">
        <v>1053</v>
      </c>
      <c r="F1098" s="605"/>
      <c r="G1098" s="402" t="s">
        <v>6</v>
      </c>
      <c r="H1098" s="403">
        <v>0.186</v>
      </c>
      <c r="I1098" s="403">
        <v>0</v>
      </c>
      <c r="J1098" s="404">
        <v>28.35</v>
      </c>
      <c r="K1098" s="404">
        <v>5.2731000000000003</v>
      </c>
      <c r="L1098" s="168"/>
    </row>
    <row r="1099" spans="1:12" ht="25.5" customHeight="1" x14ac:dyDescent="0.3">
      <c r="A1099" s="400" t="s">
        <v>1038</v>
      </c>
      <c r="B1099" s="401" t="s">
        <v>6167</v>
      </c>
      <c r="C1099" s="400" t="s">
        <v>408</v>
      </c>
      <c r="D1099" s="400" t="s">
        <v>1466</v>
      </c>
      <c r="E1099" s="605" t="s">
        <v>1053</v>
      </c>
      <c r="F1099" s="605"/>
      <c r="G1099" s="402" t="s">
        <v>6</v>
      </c>
      <c r="H1099" s="403">
        <v>8.2000000000000003E-2</v>
      </c>
      <c r="I1099" s="403">
        <v>0</v>
      </c>
      <c r="J1099" s="404">
        <v>20.48</v>
      </c>
      <c r="K1099" s="404">
        <v>1.67936</v>
      </c>
      <c r="L1099" s="168"/>
    </row>
    <row r="1100" spans="1:12" ht="15" customHeight="1" x14ac:dyDescent="0.3">
      <c r="A1100" s="405"/>
      <c r="B1100" s="405"/>
      <c r="C1100" s="405"/>
      <c r="D1100" s="405"/>
      <c r="E1100" s="405" t="s">
        <v>1046</v>
      </c>
      <c r="F1100" s="406">
        <v>6.95</v>
      </c>
      <c r="G1100" s="405" t="s">
        <v>1047</v>
      </c>
      <c r="H1100" s="406">
        <v>0</v>
      </c>
      <c r="I1100" s="405" t="s">
        <v>1048</v>
      </c>
      <c r="J1100" s="406">
        <v>6.95</v>
      </c>
      <c r="K1100"/>
      <c r="L1100" s="168"/>
    </row>
    <row r="1101" spans="1:12" ht="25.5" customHeight="1" thickBot="1" x14ac:dyDescent="0.35">
      <c r="A1101" s="405"/>
      <c r="B1101" s="405"/>
      <c r="C1101" s="405"/>
      <c r="D1101" s="405"/>
      <c r="E1101" s="405" t="s">
        <v>1049</v>
      </c>
      <c r="F1101" s="406">
        <v>0</v>
      </c>
      <c r="G1101" s="405"/>
      <c r="H1101" s="606"/>
      <c r="I1101" s="606" t="s">
        <v>1050</v>
      </c>
      <c r="J1101" s="406">
        <v>13.46</v>
      </c>
      <c r="K1101"/>
      <c r="L1101" s="168"/>
    </row>
    <row r="1102" spans="1:12" ht="15.6" thickTop="1" x14ac:dyDescent="0.3">
      <c r="A1102" s="407"/>
      <c r="B1102" s="407"/>
      <c r="C1102" s="407"/>
      <c r="D1102" s="407"/>
      <c r="E1102" s="407"/>
      <c r="F1102" s="407"/>
      <c r="G1102" s="407"/>
      <c r="H1102" s="407"/>
      <c r="I1102" s="407"/>
      <c r="J1102" s="407"/>
      <c r="K1102" s="407"/>
      <c r="L1102" s="166"/>
    </row>
    <row r="1103" spans="1:12" ht="15" x14ac:dyDescent="0.3">
      <c r="A1103" s="382" t="s">
        <v>746</v>
      </c>
      <c r="B1103" s="312" t="s">
        <v>413</v>
      </c>
      <c r="C1103" s="382" t="s">
        <v>414</v>
      </c>
      <c r="D1103" s="382" t="s">
        <v>415</v>
      </c>
      <c r="E1103" s="586" t="s">
        <v>1029</v>
      </c>
      <c r="F1103" s="586"/>
      <c r="G1103" s="383" t="s">
        <v>416</v>
      </c>
      <c r="H1103" s="312" t="s">
        <v>1030</v>
      </c>
      <c r="I1103" s="312" t="s">
        <v>3016</v>
      </c>
      <c r="J1103" s="312" t="s">
        <v>1031</v>
      </c>
      <c r="K1103" s="312" t="s">
        <v>1032</v>
      </c>
      <c r="L1103" s="168"/>
    </row>
    <row r="1104" spans="1:12" ht="12.75" customHeight="1" x14ac:dyDescent="0.3">
      <c r="A1104" s="313" t="s">
        <v>1033</v>
      </c>
      <c r="B1104" s="315" t="s">
        <v>993</v>
      </c>
      <c r="C1104" s="313" t="s">
        <v>408</v>
      </c>
      <c r="D1104" s="313" t="s">
        <v>683</v>
      </c>
      <c r="E1104" s="603" t="s">
        <v>2271</v>
      </c>
      <c r="F1104" s="603"/>
      <c r="G1104" s="314" t="s">
        <v>675</v>
      </c>
      <c r="H1104" s="399">
        <v>1</v>
      </c>
      <c r="I1104" s="316"/>
      <c r="J1104" s="316">
        <v>105.29</v>
      </c>
      <c r="K1104" s="316">
        <v>105.29</v>
      </c>
      <c r="L1104" s="168"/>
    </row>
    <row r="1105" spans="1:12" ht="26.4" x14ac:dyDescent="0.3">
      <c r="A1105" s="400" t="s">
        <v>1038</v>
      </c>
      <c r="B1105" s="401" t="s">
        <v>1423</v>
      </c>
      <c r="C1105" s="400" t="s">
        <v>408</v>
      </c>
      <c r="D1105" s="400" t="s">
        <v>1424</v>
      </c>
      <c r="E1105" s="605" t="s">
        <v>1039</v>
      </c>
      <c r="F1105" s="605"/>
      <c r="G1105" s="402" t="s">
        <v>675</v>
      </c>
      <c r="H1105" s="403">
        <v>1.05</v>
      </c>
      <c r="I1105" s="403">
        <v>0</v>
      </c>
      <c r="J1105" s="404">
        <v>47.9</v>
      </c>
      <c r="K1105" s="404">
        <v>50.295000000000002</v>
      </c>
      <c r="L1105" s="168"/>
    </row>
    <row r="1106" spans="1:12" ht="14.25" customHeight="1" x14ac:dyDescent="0.3">
      <c r="A1106" s="400" t="s">
        <v>1038</v>
      </c>
      <c r="B1106" s="401" t="s">
        <v>1425</v>
      </c>
      <c r="C1106" s="400" t="s">
        <v>408</v>
      </c>
      <c r="D1106" s="400" t="s">
        <v>1426</v>
      </c>
      <c r="E1106" s="605" t="s">
        <v>1039</v>
      </c>
      <c r="F1106" s="605"/>
      <c r="G1106" s="402" t="s">
        <v>3</v>
      </c>
      <c r="H1106" s="403">
        <v>0.45</v>
      </c>
      <c r="I1106" s="403">
        <v>0</v>
      </c>
      <c r="J1106" s="404">
        <v>28.71</v>
      </c>
      <c r="K1106" s="404">
        <v>12.919499999999999</v>
      </c>
      <c r="L1106" s="166"/>
    </row>
    <row r="1107" spans="1:12" ht="15" x14ac:dyDescent="0.3">
      <c r="A1107" s="400" t="s">
        <v>1038</v>
      </c>
      <c r="B1107" s="401" t="s">
        <v>1421</v>
      </c>
      <c r="C1107" s="400" t="s">
        <v>408</v>
      </c>
      <c r="D1107" s="400" t="s">
        <v>1422</v>
      </c>
      <c r="E1107" s="605" t="s">
        <v>1039</v>
      </c>
      <c r="F1107" s="605"/>
      <c r="G1107" s="402" t="s">
        <v>3</v>
      </c>
      <c r="H1107" s="403">
        <v>4.5</v>
      </c>
      <c r="I1107" s="403">
        <v>0</v>
      </c>
      <c r="J1107" s="404">
        <v>2.99</v>
      </c>
      <c r="K1107" s="404">
        <v>13.455</v>
      </c>
      <c r="L1107" s="166"/>
    </row>
    <row r="1108" spans="1:12" ht="15" customHeight="1" x14ac:dyDescent="0.3">
      <c r="A1108" s="400" t="s">
        <v>1038</v>
      </c>
      <c r="B1108" s="401" t="s">
        <v>7346</v>
      </c>
      <c r="C1108" s="400" t="s">
        <v>408</v>
      </c>
      <c r="D1108" s="400" t="s">
        <v>7347</v>
      </c>
      <c r="E1108" s="605" t="s">
        <v>1053</v>
      </c>
      <c r="F1108" s="605"/>
      <c r="G1108" s="402" t="s">
        <v>6</v>
      </c>
      <c r="H1108" s="403">
        <v>0.38</v>
      </c>
      <c r="I1108" s="403">
        <v>0</v>
      </c>
      <c r="J1108" s="404">
        <v>21.59</v>
      </c>
      <c r="K1108" s="404">
        <v>8.2042000000000002</v>
      </c>
      <c r="L1108" s="168"/>
    </row>
    <row r="1109" spans="1:12" ht="15" x14ac:dyDescent="0.3">
      <c r="A1109" s="400" t="s">
        <v>1038</v>
      </c>
      <c r="B1109" s="401" t="s">
        <v>7104</v>
      </c>
      <c r="C1109" s="400" t="s">
        <v>408</v>
      </c>
      <c r="D1109" s="400" t="s">
        <v>7105</v>
      </c>
      <c r="E1109" s="605" t="s">
        <v>1053</v>
      </c>
      <c r="F1109" s="605"/>
      <c r="G1109" s="402" t="s">
        <v>6</v>
      </c>
      <c r="H1109" s="403">
        <v>0.72</v>
      </c>
      <c r="I1109" s="403">
        <v>0</v>
      </c>
      <c r="J1109" s="404">
        <v>28.35</v>
      </c>
      <c r="K1109" s="404">
        <v>20.411999999999999</v>
      </c>
      <c r="L1109" s="168"/>
    </row>
    <row r="1110" spans="1:12" ht="25.5" customHeight="1" x14ac:dyDescent="0.3">
      <c r="A1110" s="405"/>
      <c r="B1110" s="405"/>
      <c r="C1110" s="405"/>
      <c r="D1110" s="405"/>
      <c r="E1110" s="405" t="s">
        <v>1046</v>
      </c>
      <c r="F1110" s="406">
        <v>28.61</v>
      </c>
      <c r="G1110" s="405" t="s">
        <v>1047</v>
      </c>
      <c r="H1110" s="406">
        <v>0</v>
      </c>
      <c r="I1110" s="405" t="s">
        <v>1048</v>
      </c>
      <c r="J1110" s="406">
        <v>28.61</v>
      </c>
      <c r="K1110"/>
      <c r="L1110" s="168"/>
    </row>
    <row r="1111" spans="1:12" ht="25.5" customHeight="1" thickBot="1" x14ac:dyDescent="0.35">
      <c r="A1111" s="405"/>
      <c r="B1111" s="405"/>
      <c r="C1111" s="405"/>
      <c r="D1111" s="405"/>
      <c r="E1111" s="405" t="s">
        <v>1049</v>
      </c>
      <c r="F1111" s="406">
        <v>0</v>
      </c>
      <c r="G1111" s="405"/>
      <c r="H1111" s="606"/>
      <c r="I1111" s="606" t="s">
        <v>1050</v>
      </c>
      <c r="J1111" s="406">
        <v>105.29</v>
      </c>
      <c r="K1111"/>
      <c r="L1111" s="166"/>
    </row>
    <row r="1112" spans="1:12" ht="15" customHeight="1" thickTop="1" x14ac:dyDescent="0.3">
      <c r="A1112" s="407"/>
      <c r="B1112" s="407"/>
      <c r="C1112" s="407"/>
      <c r="D1112" s="407"/>
      <c r="E1112" s="407"/>
      <c r="F1112" s="407"/>
      <c r="G1112" s="407"/>
      <c r="H1112" s="407"/>
      <c r="I1112" s="407"/>
      <c r="J1112" s="407"/>
      <c r="K1112" s="407"/>
      <c r="L1112" s="166"/>
    </row>
    <row r="1113" spans="1:12" ht="25.5" customHeight="1" x14ac:dyDescent="0.3">
      <c r="A1113" s="382" t="s">
        <v>747</v>
      </c>
      <c r="B1113" s="312" t="s">
        <v>413</v>
      </c>
      <c r="C1113" s="382" t="s">
        <v>414</v>
      </c>
      <c r="D1113" s="382" t="s">
        <v>415</v>
      </c>
      <c r="E1113" s="586" t="s">
        <v>1029</v>
      </c>
      <c r="F1113" s="586"/>
      <c r="G1113" s="383" t="s">
        <v>416</v>
      </c>
      <c r="H1113" s="312" t="s">
        <v>1030</v>
      </c>
      <c r="I1113" s="312" t="s">
        <v>3016</v>
      </c>
      <c r="J1113" s="312" t="s">
        <v>1031</v>
      </c>
      <c r="K1113" s="312" t="s">
        <v>1032</v>
      </c>
      <c r="L1113" s="166"/>
    </row>
    <row r="1114" spans="1:12" ht="25.5" customHeight="1" x14ac:dyDescent="0.3">
      <c r="A1114" s="313" t="s">
        <v>1033</v>
      </c>
      <c r="B1114" s="315" t="s">
        <v>1934</v>
      </c>
      <c r="C1114" s="313" t="s">
        <v>575</v>
      </c>
      <c r="D1114" s="313" t="s">
        <v>1721</v>
      </c>
      <c r="E1114" s="603" t="s">
        <v>2324</v>
      </c>
      <c r="F1114" s="603"/>
      <c r="G1114" s="314" t="s">
        <v>675</v>
      </c>
      <c r="H1114" s="399">
        <v>1</v>
      </c>
      <c r="I1114" s="316"/>
      <c r="J1114" s="316">
        <v>322.44</v>
      </c>
      <c r="K1114" s="316">
        <v>322.44</v>
      </c>
      <c r="L1114" s="166"/>
    </row>
    <row r="1115" spans="1:12" ht="26.4" x14ac:dyDescent="0.3">
      <c r="A1115" s="408" t="s">
        <v>1034</v>
      </c>
      <c r="B1115" s="409" t="s">
        <v>1071</v>
      </c>
      <c r="C1115" s="408" t="s">
        <v>420</v>
      </c>
      <c r="D1115" s="408" t="s">
        <v>1072</v>
      </c>
      <c r="E1115" s="604" t="s">
        <v>1069</v>
      </c>
      <c r="F1115" s="604"/>
      <c r="G1115" s="410" t="s">
        <v>1070</v>
      </c>
      <c r="H1115" s="412">
        <v>0.34</v>
      </c>
      <c r="I1115" s="412">
        <v>0</v>
      </c>
      <c r="J1115" s="411">
        <v>3.95</v>
      </c>
      <c r="K1115" s="411">
        <v>1.343</v>
      </c>
      <c r="L1115" s="166"/>
    </row>
    <row r="1116" spans="1:12" ht="15" customHeight="1" x14ac:dyDescent="0.3">
      <c r="A1116" s="408" t="s">
        <v>1034</v>
      </c>
      <c r="B1116" s="409" t="s">
        <v>1478</v>
      </c>
      <c r="C1116" s="408" t="s">
        <v>420</v>
      </c>
      <c r="D1116" s="408" t="s">
        <v>1479</v>
      </c>
      <c r="E1116" s="604" t="s">
        <v>1069</v>
      </c>
      <c r="F1116" s="604"/>
      <c r="G1116" s="410" t="s">
        <v>1070</v>
      </c>
      <c r="H1116" s="412">
        <v>0.4</v>
      </c>
      <c r="I1116" s="412">
        <v>0</v>
      </c>
      <c r="J1116" s="411">
        <v>3.86</v>
      </c>
      <c r="K1116" s="411">
        <v>1.544</v>
      </c>
      <c r="L1116" s="166"/>
    </row>
    <row r="1117" spans="1:12" ht="15" customHeight="1" x14ac:dyDescent="0.3">
      <c r="A1117" s="400" t="s">
        <v>1038</v>
      </c>
      <c r="B1117" s="401" t="s">
        <v>2325</v>
      </c>
      <c r="C1117" s="400" t="s">
        <v>420</v>
      </c>
      <c r="D1117" s="400" t="s">
        <v>2326</v>
      </c>
      <c r="E1117" s="605" t="s">
        <v>1039</v>
      </c>
      <c r="F1117" s="605"/>
      <c r="G1117" s="402" t="s">
        <v>1246</v>
      </c>
      <c r="H1117" s="403">
        <v>5.5</v>
      </c>
      <c r="I1117" s="403">
        <v>0</v>
      </c>
      <c r="J1117" s="404">
        <v>2.98</v>
      </c>
      <c r="K1117" s="404">
        <v>16.39</v>
      </c>
      <c r="L1117" s="166"/>
    </row>
    <row r="1118" spans="1:12" ht="15" x14ac:dyDescent="0.3">
      <c r="A1118" s="400" t="s">
        <v>1038</v>
      </c>
      <c r="B1118" s="401" t="s">
        <v>2327</v>
      </c>
      <c r="C1118" s="400" t="s">
        <v>420</v>
      </c>
      <c r="D1118" s="400" t="s">
        <v>2328</v>
      </c>
      <c r="E1118" s="605" t="s">
        <v>1039</v>
      </c>
      <c r="F1118" s="605"/>
      <c r="G1118" s="402" t="s">
        <v>1246</v>
      </c>
      <c r="H1118" s="403">
        <v>1.9</v>
      </c>
      <c r="I1118" s="403">
        <v>0</v>
      </c>
      <c r="J1118" s="404">
        <v>26.76</v>
      </c>
      <c r="K1118" s="404">
        <v>50.844000000000001</v>
      </c>
      <c r="L1118" s="168"/>
    </row>
    <row r="1119" spans="1:12" ht="15" x14ac:dyDescent="0.3">
      <c r="A1119" s="400" t="s">
        <v>1038</v>
      </c>
      <c r="B1119" s="401" t="s">
        <v>1482</v>
      </c>
      <c r="C1119" s="400" t="s">
        <v>395</v>
      </c>
      <c r="D1119" s="400" t="s">
        <v>406</v>
      </c>
      <c r="E1119" s="605" t="s">
        <v>1053</v>
      </c>
      <c r="F1119" s="605"/>
      <c r="G1119" s="402" t="s">
        <v>6</v>
      </c>
      <c r="H1119" s="403">
        <v>0.4</v>
      </c>
      <c r="I1119" s="403">
        <v>0</v>
      </c>
      <c r="J1119" s="404">
        <v>31.19</v>
      </c>
      <c r="K1119" s="404">
        <v>12.476000000000001</v>
      </c>
      <c r="L1119" s="170"/>
    </row>
    <row r="1120" spans="1:12" ht="30" customHeight="1" x14ac:dyDescent="0.3">
      <c r="A1120" s="400" t="s">
        <v>1038</v>
      </c>
      <c r="B1120" s="401" t="s">
        <v>1075</v>
      </c>
      <c r="C1120" s="400" t="s">
        <v>395</v>
      </c>
      <c r="D1120" s="400" t="s">
        <v>8694</v>
      </c>
      <c r="E1120" s="605" t="s">
        <v>1053</v>
      </c>
      <c r="F1120" s="605"/>
      <c r="G1120" s="402" t="s">
        <v>6</v>
      </c>
      <c r="H1120" s="403">
        <v>0.34</v>
      </c>
      <c r="I1120" s="403">
        <v>0</v>
      </c>
      <c r="J1120" s="404">
        <v>22.14</v>
      </c>
      <c r="K1120" s="404">
        <v>7.5275999999999996</v>
      </c>
      <c r="L1120" s="168"/>
    </row>
    <row r="1121" spans="1:12" ht="14.25" customHeight="1" x14ac:dyDescent="0.3">
      <c r="A1121" s="400" t="s">
        <v>1038</v>
      </c>
      <c r="B1121" s="401" t="s">
        <v>2329</v>
      </c>
      <c r="C1121" s="400" t="s">
        <v>575</v>
      </c>
      <c r="D1121" s="400" t="s">
        <v>1721</v>
      </c>
      <c r="E1121" s="605" t="s">
        <v>1039</v>
      </c>
      <c r="F1121" s="605"/>
      <c r="G1121" s="402" t="s">
        <v>675</v>
      </c>
      <c r="H1121" s="403">
        <v>1.1499999999999999</v>
      </c>
      <c r="I1121" s="403">
        <v>0</v>
      </c>
      <c r="J1121" s="404">
        <v>202.01</v>
      </c>
      <c r="K1121" s="404">
        <v>232.3115</v>
      </c>
      <c r="L1121" s="168"/>
    </row>
    <row r="1122" spans="1:12" ht="25.5" customHeight="1" x14ac:dyDescent="0.3">
      <c r="A1122" s="405"/>
      <c r="B1122" s="405"/>
      <c r="C1122" s="405"/>
      <c r="D1122" s="405"/>
      <c r="E1122" s="405" t="s">
        <v>1046</v>
      </c>
      <c r="F1122" s="406">
        <v>20.010000000000002</v>
      </c>
      <c r="G1122" s="405" t="s">
        <v>1047</v>
      </c>
      <c r="H1122" s="406">
        <v>0</v>
      </c>
      <c r="I1122" s="405" t="s">
        <v>1048</v>
      </c>
      <c r="J1122" s="406">
        <v>20.010000000000002</v>
      </c>
      <c r="K1122"/>
      <c r="L1122" s="168"/>
    </row>
    <row r="1123" spans="1:12" ht="25.5" customHeight="1" thickBot="1" x14ac:dyDescent="0.35">
      <c r="A1123" s="405"/>
      <c r="B1123" s="405"/>
      <c r="C1123" s="405"/>
      <c r="D1123" s="405"/>
      <c r="E1123" s="405" t="s">
        <v>1049</v>
      </c>
      <c r="F1123" s="406">
        <v>0</v>
      </c>
      <c r="G1123" s="405"/>
      <c r="H1123" s="606"/>
      <c r="I1123" s="606" t="s">
        <v>1050</v>
      </c>
      <c r="J1123" s="406">
        <v>322.44</v>
      </c>
      <c r="K1123"/>
      <c r="L1123" s="166"/>
    </row>
    <row r="1124" spans="1:12" ht="15.6" thickTop="1" x14ac:dyDescent="0.3">
      <c r="A1124" s="407"/>
      <c r="B1124" s="407"/>
      <c r="C1124" s="407"/>
      <c r="D1124" s="407"/>
      <c r="E1124" s="407"/>
      <c r="F1124" s="407"/>
      <c r="G1124" s="407"/>
      <c r="H1124" s="407"/>
      <c r="I1124" s="407"/>
      <c r="J1124" s="407"/>
      <c r="K1124" s="407"/>
      <c r="L1124" s="166"/>
    </row>
    <row r="1125" spans="1:12" ht="15" x14ac:dyDescent="0.3">
      <c r="A1125" s="382" t="s">
        <v>748</v>
      </c>
      <c r="B1125" s="312" t="s">
        <v>413</v>
      </c>
      <c r="C1125" s="382" t="s">
        <v>414</v>
      </c>
      <c r="D1125" s="382" t="s">
        <v>415</v>
      </c>
      <c r="E1125" s="586" t="s">
        <v>1029</v>
      </c>
      <c r="F1125" s="586"/>
      <c r="G1125" s="383" t="s">
        <v>416</v>
      </c>
      <c r="H1125" s="312" t="s">
        <v>1030</v>
      </c>
      <c r="I1125" s="312" t="s">
        <v>3016</v>
      </c>
      <c r="J1125" s="312" t="s">
        <v>1031</v>
      </c>
      <c r="K1125" s="312" t="s">
        <v>1032</v>
      </c>
      <c r="L1125" s="168"/>
    </row>
    <row r="1126" spans="1:12" ht="15" customHeight="1" x14ac:dyDescent="0.3">
      <c r="A1126" s="313" t="s">
        <v>1033</v>
      </c>
      <c r="B1126" s="315" t="s">
        <v>9653</v>
      </c>
      <c r="C1126" s="313" t="s">
        <v>5902</v>
      </c>
      <c r="D1126" s="313" t="s">
        <v>8550</v>
      </c>
      <c r="E1126" s="603">
        <v>21.03</v>
      </c>
      <c r="F1126" s="603"/>
      <c r="G1126" s="314" t="s">
        <v>675</v>
      </c>
      <c r="H1126" s="399">
        <v>1</v>
      </c>
      <c r="I1126" s="316"/>
      <c r="J1126" s="316">
        <v>882.9</v>
      </c>
      <c r="K1126" s="316">
        <v>882.9</v>
      </c>
      <c r="L1126" s="168"/>
    </row>
    <row r="1127" spans="1:12" ht="26.4" x14ac:dyDescent="0.3">
      <c r="A1127" s="400" t="s">
        <v>1038</v>
      </c>
      <c r="B1127" s="401" t="s">
        <v>2331</v>
      </c>
      <c r="C1127" s="400" t="s">
        <v>5902</v>
      </c>
      <c r="D1127" s="400" t="s">
        <v>2332</v>
      </c>
      <c r="E1127" s="605" t="s">
        <v>1053</v>
      </c>
      <c r="F1127" s="605"/>
      <c r="G1127" s="402" t="s">
        <v>6</v>
      </c>
      <c r="H1127" s="403">
        <v>2.5175000000000001</v>
      </c>
      <c r="I1127" s="403">
        <v>0</v>
      </c>
      <c r="J1127" s="404">
        <v>36.06</v>
      </c>
      <c r="K1127" s="404">
        <v>90.781049999999993</v>
      </c>
      <c r="L1127" s="168"/>
    </row>
    <row r="1128" spans="1:12" ht="26.4" x14ac:dyDescent="0.3">
      <c r="A1128" s="400" t="s">
        <v>1038</v>
      </c>
      <c r="B1128" s="401" t="s">
        <v>7295</v>
      </c>
      <c r="C1128" s="400" t="s">
        <v>5902</v>
      </c>
      <c r="D1128" s="400" t="s">
        <v>7296</v>
      </c>
      <c r="E1128" s="605" t="s">
        <v>1053</v>
      </c>
      <c r="F1128" s="605"/>
      <c r="G1128" s="402" t="s">
        <v>6</v>
      </c>
      <c r="H1128" s="403">
        <v>10.069900000000001</v>
      </c>
      <c r="I1128" s="403">
        <v>0</v>
      </c>
      <c r="J1128" s="404">
        <v>22.71</v>
      </c>
      <c r="K1128" s="404">
        <v>228.68742900000001</v>
      </c>
      <c r="L1128" s="168"/>
    </row>
    <row r="1129" spans="1:12" ht="26.4" x14ac:dyDescent="0.3">
      <c r="A1129" s="400" t="s">
        <v>1038</v>
      </c>
      <c r="B1129" s="401" t="s">
        <v>9545</v>
      </c>
      <c r="C1129" s="400" t="s">
        <v>5902</v>
      </c>
      <c r="D1129" s="400" t="s">
        <v>9546</v>
      </c>
      <c r="E1129" s="605" t="s">
        <v>1039</v>
      </c>
      <c r="F1129" s="605"/>
      <c r="G1129" s="402" t="s">
        <v>4</v>
      </c>
      <c r="H1129" s="403">
        <v>6.2725</v>
      </c>
      <c r="I1129" s="403">
        <v>0</v>
      </c>
      <c r="J1129" s="404">
        <v>0.28999999999999998</v>
      </c>
      <c r="K1129" s="404">
        <v>1.8190249999999999</v>
      </c>
      <c r="L1129" s="166"/>
    </row>
    <row r="1130" spans="1:12" ht="30" customHeight="1" x14ac:dyDescent="0.3">
      <c r="A1130" s="400" t="s">
        <v>1038</v>
      </c>
      <c r="B1130" s="401" t="s">
        <v>9284</v>
      </c>
      <c r="C1130" s="400" t="s">
        <v>5902</v>
      </c>
      <c r="D1130" s="400" t="s">
        <v>9285</v>
      </c>
      <c r="E1130" s="605" t="s">
        <v>1039</v>
      </c>
      <c r="F1130" s="605"/>
      <c r="G1130" s="402" t="s">
        <v>3</v>
      </c>
      <c r="H1130" s="403">
        <v>1.5054000000000001</v>
      </c>
      <c r="I1130" s="403">
        <v>0</v>
      </c>
      <c r="J1130" s="404">
        <v>43.66</v>
      </c>
      <c r="K1130" s="404">
        <v>65.725763999999998</v>
      </c>
      <c r="L1130" s="168"/>
    </row>
    <row r="1131" spans="1:12" ht="25.5" customHeight="1" x14ac:dyDescent="0.3">
      <c r="A1131" s="400" t="s">
        <v>1038</v>
      </c>
      <c r="B1131" s="401" t="s">
        <v>8974</v>
      </c>
      <c r="C1131" s="400" t="s">
        <v>5902</v>
      </c>
      <c r="D1131" s="400" t="s">
        <v>8975</v>
      </c>
      <c r="E1131" s="605" t="s">
        <v>1039</v>
      </c>
      <c r="F1131" s="605"/>
      <c r="G1131" s="402" t="s">
        <v>675</v>
      </c>
      <c r="H1131" s="403">
        <v>1.3</v>
      </c>
      <c r="I1131" s="403">
        <v>0</v>
      </c>
      <c r="J1131" s="404">
        <v>242.13</v>
      </c>
      <c r="K1131" s="404">
        <v>314.76900000000001</v>
      </c>
      <c r="L1131" s="168"/>
    </row>
    <row r="1132" spans="1:12" ht="25.5" customHeight="1" x14ac:dyDescent="0.3">
      <c r="A1132" s="400" t="s">
        <v>1038</v>
      </c>
      <c r="B1132" s="401" t="s">
        <v>1533</v>
      </c>
      <c r="C1132" s="400" t="s">
        <v>5902</v>
      </c>
      <c r="D1132" s="400" t="s">
        <v>1534</v>
      </c>
      <c r="E1132" s="605" t="s">
        <v>1039</v>
      </c>
      <c r="F1132" s="605"/>
      <c r="G1132" s="402" t="s">
        <v>1530</v>
      </c>
      <c r="H1132" s="403">
        <v>2.1249500000000001</v>
      </c>
      <c r="I1132" s="403">
        <v>0</v>
      </c>
      <c r="J1132" s="404">
        <v>43.73</v>
      </c>
      <c r="K1132" s="404">
        <v>92.924063500000003</v>
      </c>
      <c r="L1132" s="168"/>
    </row>
    <row r="1133" spans="1:12" ht="26.4" x14ac:dyDescent="0.3">
      <c r="A1133" s="400" t="s">
        <v>1038</v>
      </c>
      <c r="B1133" s="401" t="s">
        <v>9563</v>
      </c>
      <c r="C1133" s="400" t="s">
        <v>5902</v>
      </c>
      <c r="D1133" s="400" t="s">
        <v>9564</v>
      </c>
      <c r="E1133" s="605" t="s">
        <v>1039</v>
      </c>
      <c r="F1133" s="605"/>
      <c r="G1133" s="402" t="s">
        <v>7</v>
      </c>
      <c r="H1133" s="403">
        <v>1.2749999999999999</v>
      </c>
      <c r="I1133" s="403">
        <v>0</v>
      </c>
      <c r="J1133" s="404">
        <v>0.55000000000000004</v>
      </c>
      <c r="K1133" s="404">
        <v>0.70125000000000004</v>
      </c>
      <c r="L1133" s="166"/>
    </row>
    <row r="1134" spans="1:12" ht="17.399999999999999" customHeight="1" x14ac:dyDescent="0.3">
      <c r="A1134" s="400" t="s">
        <v>1038</v>
      </c>
      <c r="B1134" s="401" t="s">
        <v>9234</v>
      </c>
      <c r="C1134" s="400" t="s">
        <v>5902</v>
      </c>
      <c r="D1134" s="400" t="s">
        <v>9235</v>
      </c>
      <c r="E1134" s="605" t="s">
        <v>1039</v>
      </c>
      <c r="F1134" s="605"/>
      <c r="G1134" s="402" t="s">
        <v>3</v>
      </c>
      <c r="H1134" s="403">
        <v>2.4834999999999998</v>
      </c>
      <c r="I1134" s="403">
        <v>0</v>
      </c>
      <c r="J1134" s="404">
        <v>35.229999999999997</v>
      </c>
      <c r="K1134" s="404">
        <v>87.493705000000006</v>
      </c>
      <c r="L1134" s="166"/>
    </row>
    <row r="1135" spans="1:12" ht="15" customHeight="1" x14ac:dyDescent="0.3">
      <c r="A1135" s="405"/>
      <c r="B1135" s="405"/>
      <c r="C1135" s="405"/>
      <c r="D1135" s="405"/>
      <c r="E1135" s="405" t="s">
        <v>1046</v>
      </c>
      <c r="F1135" s="406">
        <v>319.47000000000003</v>
      </c>
      <c r="G1135" s="405" t="s">
        <v>1047</v>
      </c>
      <c r="H1135" s="406">
        <v>0</v>
      </c>
      <c r="I1135" s="405" t="s">
        <v>1048</v>
      </c>
      <c r="J1135" s="406">
        <v>319.47000000000003</v>
      </c>
      <c r="K1135"/>
      <c r="L1135" s="168"/>
    </row>
    <row r="1136" spans="1:12" ht="15.6" thickBot="1" x14ac:dyDescent="0.35">
      <c r="A1136" s="405"/>
      <c r="B1136" s="405"/>
      <c r="C1136" s="405"/>
      <c r="D1136" s="405"/>
      <c r="E1136" s="405" t="s">
        <v>1049</v>
      </c>
      <c r="F1136" s="406">
        <v>0</v>
      </c>
      <c r="G1136" s="405"/>
      <c r="H1136" s="606"/>
      <c r="I1136" s="606" t="s">
        <v>1050</v>
      </c>
      <c r="J1136" s="406">
        <v>882.9</v>
      </c>
      <c r="K1136"/>
      <c r="L1136" s="168"/>
    </row>
    <row r="1137" spans="1:12" ht="15.6" thickTop="1" x14ac:dyDescent="0.3">
      <c r="A1137" s="407"/>
      <c r="B1137" s="407"/>
      <c r="C1137" s="407"/>
      <c r="D1137" s="407"/>
      <c r="E1137" s="407"/>
      <c r="F1137" s="407"/>
      <c r="G1137" s="407"/>
      <c r="H1137" s="407"/>
      <c r="I1137" s="407"/>
      <c r="J1137" s="407"/>
      <c r="K1137" s="407"/>
      <c r="L1137" s="168"/>
    </row>
    <row r="1138" spans="1:12" ht="14.25" customHeight="1" x14ac:dyDescent="0.3">
      <c r="A1138" s="382" t="s">
        <v>750</v>
      </c>
      <c r="B1138" s="312" t="s">
        <v>413</v>
      </c>
      <c r="C1138" s="382" t="s">
        <v>414</v>
      </c>
      <c r="D1138" s="382" t="s">
        <v>415</v>
      </c>
      <c r="E1138" s="586" t="s">
        <v>1029</v>
      </c>
      <c r="F1138" s="586"/>
      <c r="G1138" s="383" t="s">
        <v>416</v>
      </c>
      <c r="H1138" s="312" t="s">
        <v>1030</v>
      </c>
      <c r="I1138" s="312" t="s">
        <v>3016</v>
      </c>
      <c r="J1138" s="312" t="s">
        <v>1031</v>
      </c>
      <c r="K1138" s="312" t="s">
        <v>1032</v>
      </c>
      <c r="L1138" s="166"/>
    </row>
    <row r="1139" spans="1:12" ht="26.4" x14ac:dyDescent="0.3">
      <c r="A1139" s="313" t="s">
        <v>1033</v>
      </c>
      <c r="B1139" s="315" t="s">
        <v>1936</v>
      </c>
      <c r="C1139" s="313" t="s">
        <v>575</v>
      </c>
      <c r="D1139" s="313" t="s">
        <v>1723</v>
      </c>
      <c r="E1139" s="603" t="s">
        <v>2324</v>
      </c>
      <c r="F1139" s="603"/>
      <c r="G1139" s="314" t="s">
        <v>675</v>
      </c>
      <c r="H1139" s="399">
        <v>1</v>
      </c>
      <c r="I1139" s="316"/>
      <c r="J1139" s="316">
        <v>322.44</v>
      </c>
      <c r="K1139" s="316">
        <v>322.44</v>
      </c>
      <c r="L1139" s="166"/>
    </row>
    <row r="1140" spans="1:12" ht="26.4" x14ac:dyDescent="0.3">
      <c r="A1140" s="408" t="s">
        <v>1034</v>
      </c>
      <c r="B1140" s="409" t="s">
        <v>1071</v>
      </c>
      <c r="C1140" s="408" t="s">
        <v>420</v>
      </c>
      <c r="D1140" s="408" t="s">
        <v>1072</v>
      </c>
      <c r="E1140" s="604" t="s">
        <v>1069</v>
      </c>
      <c r="F1140" s="604"/>
      <c r="G1140" s="410" t="s">
        <v>1070</v>
      </c>
      <c r="H1140" s="412">
        <v>0.34</v>
      </c>
      <c r="I1140" s="412">
        <v>0</v>
      </c>
      <c r="J1140" s="411">
        <v>3.95</v>
      </c>
      <c r="K1140" s="411">
        <v>1.343</v>
      </c>
      <c r="L1140" s="166"/>
    </row>
    <row r="1141" spans="1:12" ht="15" customHeight="1" x14ac:dyDescent="0.3">
      <c r="A1141" s="408" t="s">
        <v>1034</v>
      </c>
      <c r="B1141" s="409" t="s">
        <v>1478</v>
      </c>
      <c r="C1141" s="408" t="s">
        <v>420</v>
      </c>
      <c r="D1141" s="408" t="s">
        <v>1479</v>
      </c>
      <c r="E1141" s="604" t="s">
        <v>1069</v>
      </c>
      <c r="F1141" s="604"/>
      <c r="G1141" s="410" t="s">
        <v>1070</v>
      </c>
      <c r="H1141" s="412">
        <v>0.4</v>
      </c>
      <c r="I1141" s="412">
        <v>0</v>
      </c>
      <c r="J1141" s="411">
        <v>3.86</v>
      </c>
      <c r="K1141" s="411">
        <v>1.544</v>
      </c>
      <c r="L1141" s="166"/>
    </row>
    <row r="1142" spans="1:12" ht="17.399999999999999" customHeight="1" x14ac:dyDescent="0.3">
      <c r="A1142" s="400" t="s">
        <v>1038</v>
      </c>
      <c r="B1142" s="401" t="s">
        <v>2325</v>
      </c>
      <c r="C1142" s="400" t="s">
        <v>420</v>
      </c>
      <c r="D1142" s="400" t="s">
        <v>2326</v>
      </c>
      <c r="E1142" s="605" t="s">
        <v>1039</v>
      </c>
      <c r="F1142" s="605"/>
      <c r="G1142" s="402" t="s">
        <v>1246</v>
      </c>
      <c r="H1142" s="403">
        <v>5.5</v>
      </c>
      <c r="I1142" s="403">
        <v>0</v>
      </c>
      <c r="J1142" s="404">
        <v>2.98</v>
      </c>
      <c r="K1142" s="404">
        <v>16.39</v>
      </c>
      <c r="L1142" s="166"/>
    </row>
    <row r="1143" spans="1:12" ht="15" x14ac:dyDescent="0.3">
      <c r="A1143" s="400" t="s">
        <v>1038</v>
      </c>
      <c r="B1143" s="401" t="s">
        <v>2327</v>
      </c>
      <c r="C1143" s="400" t="s">
        <v>420</v>
      </c>
      <c r="D1143" s="400" t="s">
        <v>2328</v>
      </c>
      <c r="E1143" s="605" t="s">
        <v>1039</v>
      </c>
      <c r="F1143" s="605"/>
      <c r="G1143" s="402" t="s">
        <v>1246</v>
      </c>
      <c r="H1143" s="403">
        <v>1.9</v>
      </c>
      <c r="I1143" s="403">
        <v>0</v>
      </c>
      <c r="J1143" s="404">
        <v>26.76</v>
      </c>
      <c r="K1143" s="404">
        <v>50.844000000000001</v>
      </c>
      <c r="L1143" s="166"/>
    </row>
    <row r="1144" spans="1:12" ht="15" customHeight="1" x14ac:dyDescent="0.3">
      <c r="A1144" s="400" t="s">
        <v>1038</v>
      </c>
      <c r="B1144" s="401" t="s">
        <v>1482</v>
      </c>
      <c r="C1144" s="400" t="s">
        <v>395</v>
      </c>
      <c r="D1144" s="400" t="s">
        <v>406</v>
      </c>
      <c r="E1144" s="605" t="s">
        <v>1053</v>
      </c>
      <c r="F1144" s="605"/>
      <c r="G1144" s="402" t="s">
        <v>6</v>
      </c>
      <c r="H1144" s="403">
        <v>0.4</v>
      </c>
      <c r="I1144" s="403">
        <v>0</v>
      </c>
      <c r="J1144" s="404">
        <v>31.19</v>
      </c>
      <c r="K1144" s="404">
        <v>12.476000000000001</v>
      </c>
      <c r="L1144" s="166"/>
    </row>
    <row r="1145" spans="1:12" ht="15" x14ac:dyDescent="0.3">
      <c r="A1145" s="400" t="s">
        <v>1038</v>
      </c>
      <c r="B1145" s="401" t="s">
        <v>1075</v>
      </c>
      <c r="C1145" s="400" t="s">
        <v>395</v>
      </c>
      <c r="D1145" s="400" t="s">
        <v>8694</v>
      </c>
      <c r="E1145" s="605" t="s">
        <v>1053</v>
      </c>
      <c r="F1145" s="605"/>
      <c r="G1145" s="402" t="s">
        <v>6</v>
      </c>
      <c r="H1145" s="403">
        <v>0.34</v>
      </c>
      <c r="I1145" s="403">
        <v>0</v>
      </c>
      <c r="J1145" s="404">
        <v>22.14</v>
      </c>
      <c r="K1145" s="404">
        <v>7.5275999999999996</v>
      </c>
      <c r="L1145" s="168"/>
    </row>
    <row r="1146" spans="1:12" ht="14.25" customHeight="1" x14ac:dyDescent="0.3">
      <c r="A1146" s="400" t="s">
        <v>1038</v>
      </c>
      <c r="B1146" s="401" t="s">
        <v>2330</v>
      </c>
      <c r="C1146" s="400" t="s">
        <v>575</v>
      </c>
      <c r="D1146" s="400" t="s">
        <v>1723</v>
      </c>
      <c r="E1146" s="605" t="s">
        <v>1039</v>
      </c>
      <c r="F1146" s="605"/>
      <c r="G1146" s="402" t="s">
        <v>675</v>
      </c>
      <c r="H1146" s="403">
        <v>1.1499999999999999</v>
      </c>
      <c r="I1146" s="403">
        <v>0</v>
      </c>
      <c r="J1146" s="404">
        <v>202.01</v>
      </c>
      <c r="K1146" s="404">
        <v>232.3115</v>
      </c>
      <c r="L1146" s="170"/>
    </row>
    <row r="1147" spans="1:12" ht="25.5" customHeight="1" x14ac:dyDescent="0.3">
      <c r="A1147" s="405"/>
      <c r="B1147" s="405"/>
      <c r="C1147" s="405"/>
      <c r="D1147" s="405"/>
      <c r="E1147" s="405" t="s">
        <v>1046</v>
      </c>
      <c r="F1147" s="406">
        <v>20.010000000000002</v>
      </c>
      <c r="G1147" s="405" t="s">
        <v>1047</v>
      </c>
      <c r="H1147" s="406">
        <v>0</v>
      </c>
      <c r="I1147" s="405" t="s">
        <v>1048</v>
      </c>
      <c r="J1147" s="406">
        <v>20.010000000000002</v>
      </c>
      <c r="K1147"/>
      <c r="L1147" s="168"/>
    </row>
    <row r="1148" spans="1:12" ht="25.5" customHeight="1" thickBot="1" x14ac:dyDescent="0.35">
      <c r="A1148" s="405"/>
      <c r="B1148" s="405"/>
      <c r="C1148" s="405"/>
      <c r="D1148" s="405"/>
      <c r="E1148" s="405" t="s">
        <v>1049</v>
      </c>
      <c r="F1148" s="406">
        <v>0</v>
      </c>
      <c r="G1148" s="405"/>
      <c r="H1148" s="606"/>
      <c r="I1148" s="606" t="s">
        <v>1050</v>
      </c>
      <c r="J1148" s="406">
        <v>322.44</v>
      </c>
      <c r="K1148"/>
      <c r="L1148" s="168"/>
    </row>
    <row r="1149" spans="1:12" ht="15.6" thickTop="1" x14ac:dyDescent="0.3">
      <c r="A1149" s="407"/>
      <c r="B1149" s="407"/>
      <c r="C1149" s="407"/>
      <c r="D1149" s="407"/>
      <c r="E1149" s="407"/>
      <c r="F1149" s="407"/>
      <c r="G1149" s="407"/>
      <c r="H1149" s="407"/>
      <c r="I1149" s="407"/>
      <c r="J1149" s="407"/>
      <c r="K1149" s="407"/>
      <c r="L1149" s="168"/>
    </row>
    <row r="1150" spans="1:12" ht="15" x14ac:dyDescent="0.3">
      <c r="A1150" s="382" t="s">
        <v>755</v>
      </c>
      <c r="B1150" s="312" t="s">
        <v>413</v>
      </c>
      <c r="C1150" s="382" t="s">
        <v>414</v>
      </c>
      <c r="D1150" s="382" t="s">
        <v>415</v>
      </c>
      <c r="E1150" s="586" t="s">
        <v>1029</v>
      </c>
      <c r="F1150" s="586"/>
      <c r="G1150" s="383" t="s">
        <v>416</v>
      </c>
      <c r="H1150" s="312" t="s">
        <v>1030</v>
      </c>
      <c r="I1150" s="312" t="s">
        <v>3016</v>
      </c>
      <c r="J1150" s="312" t="s">
        <v>1031</v>
      </c>
      <c r="K1150" s="312" t="s">
        <v>1032</v>
      </c>
      <c r="L1150" s="166"/>
    </row>
    <row r="1151" spans="1:12" ht="26.4" x14ac:dyDescent="0.3">
      <c r="A1151" s="313" t="s">
        <v>1033</v>
      </c>
      <c r="B1151" s="315" t="s">
        <v>2123</v>
      </c>
      <c r="C1151" s="313" t="s">
        <v>5902</v>
      </c>
      <c r="D1151" s="313" t="s">
        <v>1725</v>
      </c>
      <c r="E1151" s="603">
        <v>14.31</v>
      </c>
      <c r="F1151" s="603"/>
      <c r="G1151" s="314" t="s">
        <v>675</v>
      </c>
      <c r="H1151" s="399">
        <v>1</v>
      </c>
      <c r="I1151" s="316"/>
      <c r="J1151" s="316">
        <v>243.62</v>
      </c>
      <c r="K1151" s="316">
        <v>243.62</v>
      </c>
      <c r="L1151" s="166"/>
    </row>
    <row r="1152" spans="1:12" ht="25.5" customHeight="1" x14ac:dyDescent="0.3">
      <c r="A1152" s="400" t="s">
        <v>1038</v>
      </c>
      <c r="B1152" s="401" t="s">
        <v>1616</v>
      </c>
      <c r="C1152" s="400" t="s">
        <v>5902</v>
      </c>
      <c r="D1152" s="400" t="s">
        <v>1617</v>
      </c>
      <c r="E1152" s="605" t="s">
        <v>1053</v>
      </c>
      <c r="F1152" s="605"/>
      <c r="G1152" s="402" t="s">
        <v>6</v>
      </c>
      <c r="H1152" s="403">
        <v>1</v>
      </c>
      <c r="I1152" s="403">
        <v>0</v>
      </c>
      <c r="J1152" s="404">
        <v>27.64</v>
      </c>
      <c r="K1152" s="404">
        <v>27.64</v>
      </c>
      <c r="L1152" s="168"/>
    </row>
    <row r="1153" spans="1:12" ht="15" customHeight="1" x14ac:dyDescent="0.3">
      <c r="A1153" s="400" t="s">
        <v>1038</v>
      </c>
      <c r="B1153" s="401" t="s">
        <v>2331</v>
      </c>
      <c r="C1153" s="400" t="s">
        <v>5902</v>
      </c>
      <c r="D1153" s="400" t="s">
        <v>2332</v>
      </c>
      <c r="E1153" s="605" t="s">
        <v>1053</v>
      </c>
      <c r="F1153" s="605"/>
      <c r="G1153" s="402" t="s">
        <v>6</v>
      </c>
      <c r="H1153" s="403">
        <v>2</v>
      </c>
      <c r="I1153" s="403">
        <v>0</v>
      </c>
      <c r="J1153" s="404">
        <v>36.06</v>
      </c>
      <c r="K1153" s="404">
        <v>72.12</v>
      </c>
      <c r="L1153" s="168"/>
    </row>
    <row r="1154" spans="1:12" ht="26.4" x14ac:dyDescent="0.3">
      <c r="A1154" s="400" t="s">
        <v>1038</v>
      </c>
      <c r="B1154" s="401" t="s">
        <v>1631</v>
      </c>
      <c r="C1154" s="400" t="s">
        <v>5902</v>
      </c>
      <c r="D1154" s="400" t="s">
        <v>1632</v>
      </c>
      <c r="E1154" s="605" t="s">
        <v>1053</v>
      </c>
      <c r="F1154" s="605"/>
      <c r="G1154" s="402" t="s">
        <v>6</v>
      </c>
      <c r="H1154" s="403">
        <v>2</v>
      </c>
      <c r="I1154" s="403">
        <v>0</v>
      </c>
      <c r="J1154" s="404">
        <v>22.71</v>
      </c>
      <c r="K1154" s="404">
        <v>45.42</v>
      </c>
      <c r="L1154" s="168"/>
    </row>
    <row r="1155" spans="1:12" ht="26.4" x14ac:dyDescent="0.3">
      <c r="A1155" s="400" t="s">
        <v>1038</v>
      </c>
      <c r="B1155" s="401" t="s">
        <v>1533</v>
      </c>
      <c r="C1155" s="400" t="s">
        <v>5902</v>
      </c>
      <c r="D1155" s="400" t="s">
        <v>1534</v>
      </c>
      <c r="E1155" s="605" t="s">
        <v>1039</v>
      </c>
      <c r="F1155" s="605"/>
      <c r="G1155" s="402" t="s">
        <v>1530</v>
      </c>
      <c r="H1155" s="403">
        <v>0.18</v>
      </c>
      <c r="I1155" s="403">
        <v>0</v>
      </c>
      <c r="J1155" s="404">
        <v>43.73</v>
      </c>
      <c r="K1155" s="404">
        <v>7.8714000000000004</v>
      </c>
      <c r="L1155" s="168"/>
    </row>
    <row r="1156" spans="1:12" ht="26.4" x14ac:dyDescent="0.3">
      <c r="A1156" s="400" t="s">
        <v>1038</v>
      </c>
      <c r="B1156" s="401" t="s">
        <v>2333</v>
      </c>
      <c r="C1156" s="400" t="s">
        <v>5902</v>
      </c>
      <c r="D1156" s="400" t="s">
        <v>2334</v>
      </c>
      <c r="E1156" s="605" t="s">
        <v>1039</v>
      </c>
      <c r="F1156" s="605"/>
      <c r="G1156" s="402" t="s">
        <v>3</v>
      </c>
      <c r="H1156" s="403">
        <v>2</v>
      </c>
      <c r="I1156" s="403">
        <v>0</v>
      </c>
      <c r="J1156" s="404">
        <v>8.5500000000000007</v>
      </c>
      <c r="K1156" s="404">
        <v>17.100000000000001</v>
      </c>
      <c r="L1156" s="166"/>
    </row>
    <row r="1157" spans="1:12" ht="15" customHeight="1" x14ac:dyDescent="0.3">
      <c r="A1157" s="400" t="s">
        <v>1038</v>
      </c>
      <c r="B1157" s="401" t="s">
        <v>2335</v>
      </c>
      <c r="C1157" s="400" t="s">
        <v>5902</v>
      </c>
      <c r="D1157" s="400" t="s">
        <v>2336</v>
      </c>
      <c r="E1157" s="605" t="s">
        <v>1039</v>
      </c>
      <c r="F1157" s="605"/>
      <c r="G1157" s="402" t="s">
        <v>675</v>
      </c>
      <c r="H1157" s="403">
        <v>1.1000000000000001</v>
      </c>
      <c r="I1157" s="403">
        <v>0</v>
      </c>
      <c r="J1157" s="404">
        <v>66.3</v>
      </c>
      <c r="K1157" s="404">
        <v>72.930000000000007</v>
      </c>
      <c r="L1157" s="168"/>
    </row>
    <row r="1158" spans="1:12" ht="25.5" customHeight="1" x14ac:dyDescent="0.3">
      <c r="A1158" s="400" t="s">
        <v>1038</v>
      </c>
      <c r="B1158" s="401" t="s">
        <v>1531</v>
      </c>
      <c r="C1158" s="400" t="s">
        <v>5902</v>
      </c>
      <c r="D1158" s="400" t="s">
        <v>1532</v>
      </c>
      <c r="E1158" s="605" t="s">
        <v>1039</v>
      </c>
      <c r="F1158" s="605"/>
      <c r="G1158" s="402" t="s">
        <v>7</v>
      </c>
      <c r="H1158" s="403">
        <v>1</v>
      </c>
      <c r="I1158" s="403">
        <v>0</v>
      </c>
      <c r="J1158" s="404">
        <v>0.54</v>
      </c>
      <c r="K1158" s="404">
        <v>0.54</v>
      </c>
      <c r="L1158" s="168"/>
    </row>
    <row r="1159" spans="1:12" ht="25.5" customHeight="1" x14ac:dyDescent="0.3">
      <c r="A1159" s="405"/>
      <c r="B1159" s="405"/>
      <c r="C1159" s="405"/>
      <c r="D1159" s="405"/>
      <c r="E1159" s="405" t="s">
        <v>1046</v>
      </c>
      <c r="F1159" s="406">
        <v>145.18</v>
      </c>
      <c r="G1159" s="405" t="s">
        <v>1047</v>
      </c>
      <c r="H1159" s="406">
        <v>0</v>
      </c>
      <c r="I1159" s="405" t="s">
        <v>1048</v>
      </c>
      <c r="J1159" s="406">
        <v>145.18</v>
      </c>
      <c r="K1159"/>
      <c r="L1159" s="168"/>
    </row>
    <row r="1160" spans="1:12" ht="15.6" thickBot="1" x14ac:dyDescent="0.35">
      <c r="A1160" s="405"/>
      <c r="B1160" s="405"/>
      <c r="C1160" s="405"/>
      <c r="D1160" s="405"/>
      <c r="E1160" s="405" t="s">
        <v>1049</v>
      </c>
      <c r="F1160" s="406">
        <v>0</v>
      </c>
      <c r="G1160" s="405"/>
      <c r="H1160" s="606"/>
      <c r="I1160" s="606" t="s">
        <v>1050</v>
      </c>
      <c r="J1160" s="406">
        <v>243.62</v>
      </c>
      <c r="K1160"/>
      <c r="L1160" s="166"/>
    </row>
    <row r="1161" spans="1:12" ht="15.6" thickTop="1" x14ac:dyDescent="0.3">
      <c r="A1161" s="407"/>
      <c r="B1161" s="407"/>
      <c r="C1161" s="407"/>
      <c r="D1161" s="407"/>
      <c r="E1161" s="407"/>
      <c r="F1161" s="407"/>
      <c r="G1161" s="407"/>
      <c r="H1161" s="407"/>
      <c r="I1161" s="407"/>
      <c r="J1161" s="407"/>
      <c r="K1161" s="407"/>
      <c r="L1161" s="166"/>
    </row>
    <row r="1162" spans="1:12" ht="15" x14ac:dyDescent="0.3">
      <c r="A1162" s="382" t="s">
        <v>758</v>
      </c>
      <c r="B1162" s="312" t="s">
        <v>413</v>
      </c>
      <c r="C1162" s="382" t="s">
        <v>414</v>
      </c>
      <c r="D1162" s="382" t="s">
        <v>415</v>
      </c>
      <c r="E1162" s="586" t="s">
        <v>1029</v>
      </c>
      <c r="F1162" s="586"/>
      <c r="G1162" s="383" t="s">
        <v>416</v>
      </c>
      <c r="H1162" s="312" t="s">
        <v>1030</v>
      </c>
      <c r="I1162" s="312" t="s">
        <v>3016</v>
      </c>
      <c r="J1162" s="312" t="s">
        <v>1031</v>
      </c>
      <c r="K1162" s="312" t="s">
        <v>1032</v>
      </c>
      <c r="L1162" s="168"/>
    </row>
    <row r="1163" spans="1:12" ht="15" customHeight="1" x14ac:dyDescent="0.3">
      <c r="A1163" s="313" t="s">
        <v>1033</v>
      </c>
      <c r="B1163" s="315" t="s">
        <v>994</v>
      </c>
      <c r="C1163" s="313" t="s">
        <v>408</v>
      </c>
      <c r="D1163" s="313" t="s">
        <v>686</v>
      </c>
      <c r="E1163" s="603" t="s">
        <v>2272</v>
      </c>
      <c r="F1163" s="603"/>
      <c r="G1163" s="314" t="s">
        <v>675</v>
      </c>
      <c r="H1163" s="399">
        <v>1</v>
      </c>
      <c r="I1163" s="316"/>
      <c r="J1163" s="316">
        <v>67.58</v>
      </c>
      <c r="K1163" s="316">
        <v>67.58</v>
      </c>
      <c r="L1163" s="168"/>
    </row>
    <row r="1164" spans="1:12" ht="25.5" customHeight="1" x14ac:dyDescent="0.3">
      <c r="A1164" s="400" t="s">
        <v>1038</v>
      </c>
      <c r="B1164" s="401" t="s">
        <v>1428</v>
      </c>
      <c r="C1164" s="400" t="s">
        <v>408</v>
      </c>
      <c r="D1164" s="400" t="s">
        <v>1429</v>
      </c>
      <c r="E1164" s="605" t="s">
        <v>1039</v>
      </c>
      <c r="F1164" s="605"/>
      <c r="G1164" s="402" t="s">
        <v>4</v>
      </c>
      <c r="H1164" s="403">
        <v>0.06</v>
      </c>
      <c r="I1164" s="403">
        <v>0</v>
      </c>
      <c r="J1164" s="404">
        <v>1.5</v>
      </c>
      <c r="K1164" s="404">
        <v>0.09</v>
      </c>
      <c r="L1164" s="168"/>
    </row>
    <row r="1165" spans="1:12" ht="15" x14ac:dyDescent="0.3">
      <c r="A1165" s="400" t="s">
        <v>1038</v>
      </c>
      <c r="B1165" s="401" t="s">
        <v>1430</v>
      </c>
      <c r="C1165" s="400" t="s">
        <v>408</v>
      </c>
      <c r="D1165" s="400" t="s">
        <v>1431</v>
      </c>
      <c r="E1165" s="605" t="s">
        <v>1039</v>
      </c>
      <c r="F1165" s="605"/>
      <c r="G1165" s="402" t="s">
        <v>4</v>
      </c>
      <c r="H1165" s="403">
        <v>3.2800000000000003E-2</v>
      </c>
      <c r="I1165" s="403">
        <v>0</v>
      </c>
      <c r="J1165" s="404">
        <v>219.9</v>
      </c>
      <c r="K1165" s="404">
        <v>7.21272</v>
      </c>
      <c r="L1165" s="166"/>
    </row>
    <row r="1166" spans="1:12" ht="15" x14ac:dyDescent="0.3">
      <c r="A1166" s="400" t="s">
        <v>1038</v>
      </c>
      <c r="B1166" s="401" t="s">
        <v>1432</v>
      </c>
      <c r="C1166" s="400" t="s">
        <v>408</v>
      </c>
      <c r="D1166" s="400" t="s">
        <v>1433</v>
      </c>
      <c r="E1166" s="605" t="s">
        <v>1039</v>
      </c>
      <c r="F1166" s="605"/>
      <c r="G1166" s="402" t="s">
        <v>8</v>
      </c>
      <c r="H1166" s="403">
        <v>0.33</v>
      </c>
      <c r="I1166" s="403">
        <v>0</v>
      </c>
      <c r="J1166" s="404">
        <v>47.21</v>
      </c>
      <c r="K1166" s="404">
        <v>15.5793</v>
      </c>
      <c r="L1166" s="166"/>
    </row>
    <row r="1167" spans="1:12" ht="15" customHeight="1" x14ac:dyDescent="0.3">
      <c r="A1167" s="400" t="s">
        <v>1038</v>
      </c>
      <c r="B1167" s="401" t="s">
        <v>6327</v>
      </c>
      <c r="C1167" s="400" t="s">
        <v>408</v>
      </c>
      <c r="D1167" s="400" t="s">
        <v>6328</v>
      </c>
      <c r="E1167" s="605" t="s">
        <v>1053</v>
      </c>
      <c r="F1167" s="605"/>
      <c r="G1167" s="402" t="s">
        <v>6</v>
      </c>
      <c r="H1167" s="403">
        <v>0.91200000000000003</v>
      </c>
      <c r="I1167" s="403">
        <v>0</v>
      </c>
      <c r="J1167" s="404">
        <v>28.35</v>
      </c>
      <c r="K1167" s="404">
        <v>25.8552</v>
      </c>
      <c r="L1167" s="166"/>
    </row>
    <row r="1168" spans="1:12" ht="25.5" customHeight="1" x14ac:dyDescent="0.3">
      <c r="A1168" s="400" t="s">
        <v>1038</v>
      </c>
      <c r="B1168" s="401" t="s">
        <v>6167</v>
      </c>
      <c r="C1168" s="400" t="s">
        <v>408</v>
      </c>
      <c r="D1168" s="400" t="s">
        <v>1466</v>
      </c>
      <c r="E1168" s="605" t="s">
        <v>1053</v>
      </c>
      <c r="F1168" s="605"/>
      <c r="G1168" s="402" t="s">
        <v>6</v>
      </c>
      <c r="H1168" s="403">
        <v>0.92</v>
      </c>
      <c r="I1168" s="403">
        <v>0</v>
      </c>
      <c r="J1168" s="404">
        <v>20.48</v>
      </c>
      <c r="K1168" s="404">
        <v>18.8416</v>
      </c>
      <c r="L1168" s="166"/>
    </row>
    <row r="1169" spans="1:12" ht="25.5" customHeight="1" x14ac:dyDescent="0.3">
      <c r="A1169" s="405"/>
      <c r="B1169" s="405"/>
      <c r="C1169" s="405"/>
      <c r="D1169" s="405"/>
      <c r="E1169" s="405" t="s">
        <v>1046</v>
      </c>
      <c r="F1169" s="406">
        <v>44.7</v>
      </c>
      <c r="G1169" s="405" t="s">
        <v>1047</v>
      </c>
      <c r="H1169" s="406">
        <v>0</v>
      </c>
      <c r="I1169" s="405" t="s">
        <v>1048</v>
      </c>
      <c r="J1169" s="406">
        <v>44.7</v>
      </c>
      <c r="K1169"/>
      <c r="L1169" s="166"/>
    </row>
    <row r="1170" spans="1:12" ht="15.6" thickBot="1" x14ac:dyDescent="0.35">
      <c r="A1170" s="405"/>
      <c r="B1170" s="405"/>
      <c r="C1170" s="405"/>
      <c r="D1170" s="405"/>
      <c r="E1170" s="405" t="s">
        <v>1049</v>
      </c>
      <c r="F1170" s="406">
        <v>0</v>
      </c>
      <c r="G1170" s="405"/>
      <c r="H1170" s="606"/>
      <c r="I1170" s="606" t="s">
        <v>1050</v>
      </c>
      <c r="J1170" s="406">
        <v>67.58</v>
      </c>
      <c r="K1170"/>
      <c r="L1170" s="166"/>
    </row>
    <row r="1171" spans="1:12" ht="12.75" customHeight="1" thickTop="1" x14ac:dyDescent="0.3">
      <c r="A1171" s="407"/>
      <c r="B1171" s="407"/>
      <c r="C1171" s="407"/>
      <c r="D1171" s="407"/>
      <c r="E1171" s="407"/>
      <c r="F1171" s="407"/>
      <c r="G1171" s="407"/>
      <c r="H1171" s="407"/>
      <c r="I1171" s="407"/>
      <c r="J1171" s="407"/>
      <c r="K1171" s="407"/>
      <c r="L1171" s="166"/>
    </row>
    <row r="1172" spans="1:12" ht="15" x14ac:dyDescent="0.3">
      <c r="A1172" s="382" t="s">
        <v>760</v>
      </c>
      <c r="B1172" s="312" t="s">
        <v>413</v>
      </c>
      <c r="C1172" s="382" t="s">
        <v>414</v>
      </c>
      <c r="D1172" s="382" t="s">
        <v>415</v>
      </c>
      <c r="E1172" s="586" t="s">
        <v>1029</v>
      </c>
      <c r="F1172" s="586"/>
      <c r="G1172" s="383" t="s">
        <v>416</v>
      </c>
      <c r="H1172" s="312" t="s">
        <v>1030</v>
      </c>
      <c r="I1172" s="312" t="s">
        <v>3016</v>
      </c>
      <c r="J1172" s="312" t="s">
        <v>1031</v>
      </c>
      <c r="K1172" s="312" t="s">
        <v>1032</v>
      </c>
      <c r="L1172" s="168"/>
    </row>
    <row r="1173" spans="1:12" ht="15" customHeight="1" x14ac:dyDescent="0.3">
      <c r="A1173" s="313" t="s">
        <v>1033</v>
      </c>
      <c r="B1173" s="315" t="s">
        <v>3813</v>
      </c>
      <c r="C1173" s="313" t="s">
        <v>395</v>
      </c>
      <c r="D1173" s="313" t="s">
        <v>341</v>
      </c>
      <c r="E1173" s="603" t="s">
        <v>7847</v>
      </c>
      <c r="F1173" s="603"/>
      <c r="G1173" s="314" t="s">
        <v>675</v>
      </c>
      <c r="H1173" s="399">
        <v>1</v>
      </c>
      <c r="I1173" s="316"/>
      <c r="J1173" s="316">
        <v>33.65</v>
      </c>
      <c r="K1173" s="316">
        <v>33.65</v>
      </c>
      <c r="L1173" s="170"/>
    </row>
    <row r="1174" spans="1:12" ht="26.4" x14ac:dyDescent="0.3">
      <c r="A1174" s="408" t="s">
        <v>1034</v>
      </c>
      <c r="B1174" s="409" t="s">
        <v>1427</v>
      </c>
      <c r="C1174" s="408" t="s">
        <v>395</v>
      </c>
      <c r="D1174" s="408" t="s">
        <v>145</v>
      </c>
      <c r="E1174" s="604" t="s">
        <v>7768</v>
      </c>
      <c r="F1174" s="604"/>
      <c r="G1174" s="410" t="s">
        <v>6</v>
      </c>
      <c r="H1174" s="412">
        <v>0.36</v>
      </c>
      <c r="I1174" s="412">
        <v>0</v>
      </c>
      <c r="J1174" s="411">
        <v>42.87</v>
      </c>
      <c r="K1174" s="411">
        <v>15.433199999999999</v>
      </c>
      <c r="L1174" s="168"/>
    </row>
    <row r="1175" spans="1:12" ht="26.4" x14ac:dyDescent="0.3">
      <c r="A1175" s="408" t="s">
        <v>1034</v>
      </c>
      <c r="B1175" s="409" t="s">
        <v>1290</v>
      </c>
      <c r="C1175" s="408" t="s">
        <v>395</v>
      </c>
      <c r="D1175" s="408" t="s">
        <v>147</v>
      </c>
      <c r="E1175" s="604" t="s">
        <v>7768</v>
      </c>
      <c r="F1175" s="604"/>
      <c r="G1175" s="410" t="s">
        <v>6</v>
      </c>
      <c r="H1175" s="412">
        <v>0.15</v>
      </c>
      <c r="I1175" s="412">
        <v>0</v>
      </c>
      <c r="J1175" s="411">
        <v>32.82</v>
      </c>
      <c r="K1175" s="411">
        <v>4.923</v>
      </c>
      <c r="L1175" s="168"/>
    </row>
    <row r="1176" spans="1:12" ht="14.25" customHeight="1" x14ac:dyDescent="0.3">
      <c r="A1176" s="400" t="s">
        <v>1038</v>
      </c>
      <c r="B1176" s="401" t="s">
        <v>4701</v>
      </c>
      <c r="C1176" s="400" t="s">
        <v>395</v>
      </c>
      <c r="D1176" s="400" t="s">
        <v>4702</v>
      </c>
      <c r="E1176" s="605" t="s">
        <v>1039</v>
      </c>
      <c r="F1176" s="605"/>
      <c r="G1176" s="402" t="s">
        <v>8</v>
      </c>
      <c r="H1176" s="403">
        <v>0.5</v>
      </c>
      <c r="I1176" s="403">
        <v>0</v>
      </c>
      <c r="J1176" s="404">
        <v>26.23</v>
      </c>
      <c r="K1176" s="404">
        <v>13.115</v>
      </c>
      <c r="L1176" s="168"/>
    </row>
    <row r="1177" spans="1:12" ht="15" customHeight="1" x14ac:dyDescent="0.3">
      <c r="A1177" s="400" t="s">
        <v>1038</v>
      </c>
      <c r="B1177" s="401" t="s">
        <v>5061</v>
      </c>
      <c r="C1177" s="400" t="s">
        <v>395</v>
      </c>
      <c r="D1177" s="400" t="s">
        <v>5062</v>
      </c>
      <c r="E1177" s="605" t="s">
        <v>1039</v>
      </c>
      <c r="F1177" s="605"/>
      <c r="G1177" s="402" t="s">
        <v>4</v>
      </c>
      <c r="H1177" s="403">
        <v>1.4E-2</v>
      </c>
      <c r="I1177" s="403">
        <v>0</v>
      </c>
      <c r="J1177" s="404">
        <v>12.61</v>
      </c>
      <c r="K1177" s="404">
        <v>0.17654</v>
      </c>
      <c r="L1177" s="166"/>
    </row>
    <row r="1178" spans="1:12" ht="25.5" customHeight="1" x14ac:dyDescent="0.3">
      <c r="A1178" s="405"/>
      <c r="B1178" s="405"/>
      <c r="C1178" s="405"/>
      <c r="D1178" s="405"/>
      <c r="E1178" s="405" t="s">
        <v>1046</v>
      </c>
      <c r="F1178" s="406">
        <v>14.53</v>
      </c>
      <c r="G1178" s="405" t="s">
        <v>1047</v>
      </c>
      <c r="H1178" s="406">
        <v>0</v>
      </c>
      <c r="I1178" s="405" t="s">
        <v>1048</v>
      </c>
      <c r="J1178" s="406">
        <v>14.53</v>
      </c>
      <c r="K1178"/>
      <c r="L1178" s="166"/>
    </row>
    <row r="1179" spans="1:12" ht="25.5" customHeight="1" thickBot="1" x14ac:dyDescent="0.35">
      <c r="A1179" s="405"/>
      <c r="B1179" s="405"/>
      <c r="C1179" s="405"/>
      <c r="D1179" s="405"/>
      <c r="E1179" s="405" t="s">
        <v>1049</v>
      </c>
      <c r="F1179" s="406">
        <v>0</v>
      </c>
      <c r="G1179" s="405"/>
      <c r="H1179" s="606"/>
      <c r="I1179" s="606" t="s">
        <v>1050</v>
      </c>
      <c r="J1179" s="406">
        <v>33.65</v>
      </c>
      <c r="K1179"/>
      <c r="L1179" s="168"/>
    </row>
    <row r="1180" spans="1:12" ht="15.6" thickTop="1" x14ac:dyDescent="0.3">
      <c r="A1180" s="407"/>
      <c r="B1180" s="407"/>
      <c r="C1180" s="407"/>
      <c r="D1180" s="407"/>
      <c r="E1180" s="407"/>
      <c r="F1180" s="407"/>
      <c r="G1180" s="407"/>
      <c r="H1180" s="407"/>
      <c r="I1180" s="407"/>
      <c r="J1180" s="407"/>
      <c r="K1180" s="407"/>
      <c r="L1180" s="168"/>
    </row>
    <row r="1181" spans="1:12" ht="15" x14ac:dyDescent="0.3">
      <c r="A1181" s="382" t="s">
        <v>764</v>
      </c>
      <c r="B1181" s="312" t="s">
        <v>413</v>
      </c>
      <c r="C1181" s="382" t="s">
        <v>414</v>
      </c>
      <c r="D1181" s="382" t="s">
        <v>415</v>
      </c>
      <c r="E1181" s="586" t="s">
        <v>1029</v>
      </c>
      <c r="F1181" s="586"/>
      <c r="G1181" s="383" t="s">
        <v>416</v>
      </c>
      <c r="H1181" s="312" t="s">
        <v>1030</v>
      </c>
      <c r="I1181" s="312" t="s">
        <v>3016</v>
      </c>
      <c r="J1181" s="312" t="s">
        <v>1031</v>
      </c>
      <c r="K1181" s="312" t="s">
        <v>1032</v>
      </c>
      <c r="L1181" s="168"/>
    </row>
    <row r="1182" spans="1:12" ht="15" customHeight="1" x14ac:dyDescent="0.3">
      <c r="A1182" s="313" t="s">
        <v>1033</v>
      </c>
      <c r="B1182" s="315" t="s">
        <v>995</v>
      </c>
      <c r="C1182" s="313" t="s">
        <v>395</v>
      </c>
      <c r="D1182" s="313" t="s">
        <v>218</v>
      </c>
      <c r="E1182" s="603" t="s">
        <v>7848</v>
      </c>
      <c r="F1182" s="603"/>
      <c r="G1182" s="314" t="s">
        <v>675</v>
      </c>
      <c r="H1182" s="399">
        <v>1</v>
      </c>
      <c r="I1182" s="316"/>
      <c r="J1182" s="316">
        <v>71.790000000000006</v>
      </c>
      <c r="K1182" s="316">
        <v>71.790000000000006</v>
      </c>
      <c r="L1182" s="168"/>
    </row>
    <row r="1183" spans="1:12" ht="12.75" customHeight="1" x14ac:dyDescent="0.3">
      <c r="A1183" s="408" t="s">
        <v>1034</v>
      </c>
      <c r="B1183" s="409" t="s">
        <v>1427</v>
      </c>
      <c r="C1183" s="408" t="s">
        <v>395</v>
      </c>
      <c r="D1183" s="408" t="s">
        <v>145</v>
      </c>
      <c r="E1183" s="604" t="s">
        <v>7768</v>
      </c>
      <c r="F1183" s="604"/>
      <c r="G1183" s="410" t="s">
        <v>6</v>
      </c>
      <c r="H1183" s="412">
        <v>1.3559000000000001</v>
      </c>
      <c r="I1183" s="412">
        <v>0</v>
      </c>
      <c r="J1183" s="411">
        <v>42.87</v>
      </c>
      <c r="K1183" s="411">
        <v>58.127433000000003</v>
      </c>
      <c r="L1183" s="166"/>
    </row>
    <row r="1184" spans="1:12" ht="15" x14ac:dyDescent="0.3">
      <c r="A1184" s="400" t="s">
        <v>1038</v>
      </c>
      <c r="B1184" s="401" t="s">
        <v>1434</v>
      </c>
      <c r="C1184" s="400" t="s">
        <v>395</v>
      </c>
      <c r="D1184" s="400" t="s">
        <v>370</v>
      </c>
      <c r="E1184" s="605" t="s">
        <v>1039</v>
      </c>
      <c r="F1184" s="605"/>
      <c r="G1184" s="402" t="s">
        <v>8</v>
      </c>
      <c r="H1184" s="403">
        <v>2.5499999999999998E-2</v>
      </c>
      <c r="I1184" s="403">
        <v>0</v>
      </c>
      <c r="J1184" s="404">
        <v>19.98</v>
      </c>
      <c r="K1184" s="404">
        <v>0.50949</v>
      </c>
      <c r="L1184" s="168"/>
    </row>
    <row r="1185" spans="1:12" ht="15" x14ac:dyDescent="0.3">
      <c r="A1185" s="400" t="s">
        <v>1038</v>
      </c>
      <c r="B1185" s="401" t="s">
        <v>1435</v>
      </c>
      <c r="C1185" s="400" t="s">
        <v>395</v>
      </c>
      <c r="D1185" s="400" t="s">
        <v>285</v>
      </c>
      <c r="E1185" s="605" t="s">
        <v>1039</v>
      </c>
      <c r="F1185" s="605"/>
      <c r="G1185" s="402" t="s">
        <v>8</v>
      </c>
      <c r="H1185" s="403">
        <v>0.25490000000000002</v>
      </c>
      <c r="I1185" s="403">
        <v>0</v>
      </c>
      <c r="J1185" s="404">
        <v>51.62</v>
      </c>
      <c r="K1185" s="404">
        <v>13.157938</v>
      </c>
      <c r="L1185" s="168"/>
    </row>
    <row r="1186" spans="1:12" ht="15" x14ac:dyDescent="0.3">
      <c r="A1186" s="405"/>
      <c r="B1186" s="405"/>
      <c r="C1186" s="405"/>
      <c r="D1186" s="405"/>
      <c r="E1186" s="405" t="s">
        <v>1046</v>
      </c>
      <c r="F1186" s="406">
        <v>41.95</v>
      </c>
      <c r="G1186" s="405" t="s">
        <v>1047</v>
      </c>
      <c r="H1186" s="406">
        <v>0</v>
      </c>
      <c r="I1186" s="405" t="s">
        <v>1048</v>
      </c>
      <c r="J1186" s="406">
        <v>41.95</v>
      </c>
      <c r="K1186"/>
      <c r="L1186" s="168"/>
    </row>
    <row r="1187" spans="1:12" ht="25.5" customHeight="1" thickBot="1" x14ac:dyDescent="0.35">
      <c r="A1187" s="405"/>
      <c r="B1187" s="405"/>
      <c r="C1187" s="405"/>
      <c r="D1187" s="405"/>
      <c r="E1187" s="405" t="s">
        <v>1049</v>
      </c>
      <c r="F1187" s="406">
        <v>0</v>
      </c>
      <c r="G1187" s="405"/>
      <c r="H1187" s="606"/>
      <c r="I1187" s="606" t="s">
        <v>1050</v>
      </c>
      <c r="J1187" s="406">
        <v>71.790000000000006</v>
      </c>
      <c r="K1187"/>
      <c r="L1187" s="166"/>
    </row>
    <row r="1188" spans="1:12" ht="14.25" customHeight="1" thickTop="1" x14ac:dyDescent="0.3">
      <c r="A1188" s="407"/>
      <c r="B1188" s="407"/>
      <c r="C1188" s="407"/>
      <c r="D1188" s="407"/>
      <c r="E1188" s="407"/>
      <c r="F1188" s="407"/>
      <c r="G1188" s="407"/>
      <c r="H1188" s="407"/>
      <c r="I1188" s="407"/>
      <c r="J1188" s="407"/>
      <c r="K1188" s="407"/>
      <c r="L1188" s="166"/>
    </row>
    <row r="1189" spans="1:12" ht="25.5" customHeight="1" x14ac:dyDescent="0.3">
      <c r="A1189" s="382" t="s">
        <v>767</v>
      </c>
      <c r="B1189" s="312" t="s">
        <v>413</v>
      </c>
      <c r="C1189" s="382" t="s">
        <v>414</v>
      </c>
      <c r="D1189" s="382" t="s">
        <v>415</v>
      </c>
      <c r="E1189" s="586" t="s">
        <v>1029</v>
      </c>
      <c r="F1189" s="586"/>
      <c r="G1189" s="383" t="s">
        <v>416</v>
      </c>
      <c r="H1189" s="312" t="s">
        <v>1030</v>
      </c>
      <c r="I1189" s="312" t="s">
        <v>3016</v>
      </c>
      <c r="J1189" s="312" t="s">
        <v>1031</v>
      </c>
      <c r="K1189" s="312" t="s">
        <v>1032</v>
      </c>
      <c r="L1189" s="168"/>
    </row>
    <row r="1190" spans="1:12" ht="25.5" customHeight="1" x14ac:dyDescent="0.3">
      <c r="A1190" s="313" t="s">
        <v>1033</v>
      </c>
      <c r="B1190" s="315" t="s">
        <v>2950</v>
      </c>
      <c r="C1190" s="313" t="s">
        <v>420</v>
      </c>
      <c r="D1190" s="313" t="s">
        <v>2711</v>
      </c>
      <c r="E1190" s="603" t="s">
        <v>3160</v>
      </c>
      <c r="F1190" s="603"/>
      <c r="G1190" s="314" t="s">
        <v>675</v>
      </c>
      <c r="H1190" s="399">
        <v>1</v>
      </c>
      <c r="I1190" s="316"/>
      <c r="J1190" s="316">
        <v>138.62</v>
      </c>
      <c r="K1190" s="316">
        <v>138.62</v>
      </c>
      <c r="L1190" s="168"/>
    </row>
    <row r="1191" spans="1:12" ht="15" customHeight="1" x14ac:dyDescent="0.3">
      <c r="A1191" s="408" t="s">
        <v>1034</v>
      </c>
      <c r="B1191" s="409" t="s">
        <v>1071</v>
      </c>
      <c r="C1191" s="408" t="s">
        <v>420</v>
      </c>
      <c r="D1191" s="408" t="s">
        <v>1072</v>
      </c>
      <c r="E1191" s="604" t="s">
        <v>1069</v>
      </c>
      <c r="F1191" s="604"/>
      <c r="G1191" s="410" t="s">
        <v>1070</v>
      </c>
      <c r="H1191" s="412">
        <v>0.8</v>
      </c>
      <c r="I1191" s="412">
        <v>0</v>
      </c>
      <c r="J1191" s="411">
        <v>3.95</v>
      </c>
      <c r="K1191" s="411">
        <v>3.16</v>
      </c>
      <c r="L1191" s="168"/>
    </row>
    <row r="1192" spans="1:12" ht="25.5" customHeight="1" x14ac:dyDescent="0.3">
      <c r="A1192" s="408" t="s">
        <v>1034</v>
      </c>
      <c r="B1192" s="409" t="s">
        <v>3161</v>
      </c>
      <c r="C1192" s="408" t="s">
        <v>420</v>
      </c>
      <c r="D1192" s="408" t="s">
        <v>3162</v>
      </c>
      <c r="E1192" s="604" t="s">
        <v>1069</v>
      </c>
      <c r="F1192" s="604"/>
      <c r="G1192" s="410" t="s">
        <v>1070</v>
      </c>
      <c r="H1192" s="412">
        <v>1.6</v>
      </c>
      <c r="I1192" s="412">
        <v>0</v>
      </c>
      <c r="J1192" s="411">
        <v>4.03</v>
      </c>
      <c r="K1192" s="411">
        <v>6.4480000000000004</v>
      </c>
      <c r="L1192" s="166"/>
    </row>
    <row r="1193" spans="1:12" ht="25.5" customHeight="1" x14ac:dyDescent="0.3">
      <c r="A1193" s="400" t="s">
        <v>1038</v>
      </c>
      <c r="B1193" s="401" t="s">
        <v>3163</v>
      </c>
      <c r="C1193" s="400" t="s">
        <v>420</v>
      </c>
      <c r="D1193" s="400" t="s">
        <v>3164</v>
      </c>
      <c r="E1193" s="605" t="s">
        <v>1039</v>
      </c>
      <c r="F1193" s="605"/>
      <c r="G1193" s="402" t="s">
        <v>1249</v>
      </c>
      <c r="H1193" s="403">
        <v>0.2</v>
      </c>
      <c r="I1193" s="403">
        <v>0</v>
      </c>
      <c r="J1193" s="404">
        <v>177.41</v>
      </c>
      <c r="K1193" s="404">
        <v>35.481999999999999</v>
      </c>
      <c r="L1193" s="166"/>
    </row>
    <row r="1194" spans="1:12" ht="25.5" customHeight="1" x14ac:dyDescent="0.3">
      <c r="A1194" s="400" t="s">
        <v>1038</v>
      </c>
      <c r="B1194" s="401" t="s">
        <v>7638</v>
      </c>
      <c r="C1194" s="400" t="s">
        <v>420</v>
      </c>
      <c r="D1194" s="400" t="s">
        <v>7639</v>
      </c>
      <c r="E1194" s="605" t="s">
        <v>1039</v>
      </c>
      <c r="F1194" s="605"/>
      <c r="G1194" s="402" t="s">
        <v>422</v>
      </c>
      <c r="H1194" s="403">
        <v>1</v>
      </c>
      <c r="I1194" s="403">
        <v>0</v>
      </c>
      <c r="J1194" s="404">
        <v>0.97</v>
      </c>
      <c r="K1194" s="404">
        <v>0.97</v>
      </c>
      <c r="L1194" s="166"/>
    </row>
    <row r="1195" spans="1:12" ht="25.5" customHeight="1" x14ac:dyDescent="0.3">
      <c r="A1195" s="400" t="s">
        <v>1038</v>
      </c>
      <c r="B1195" s="401" t="s">
        <v>6924</v>
      </c>
      <c r="C1195" s="400" t="s">
        <v>420</v>
      </c>
      <c r="D1195" s="400" t="s">
        <v>6925</v>
      </c>
      <c r="E1195" s="605" t="s">
        <v>1039</v>
      </c>
      <c r="F1195" s="605"/>
      <c r="G1195" s="402" t="s">
        <v>1249</v>
      </c>
      <c r="H1195" s="403">
        <v>0.8</v>
      </c>
      <c r="I1195" s="403">
        <v>0</v>
      </c>
      <c r="J1195" s="404">
        <v>57.8</v>
      </c>
      <c r="K1195" s="404">
        <v>46.24</v>
      </c>
      <c r="L1195" s="166"/>
    </row>
    <row r="1196" spans="1:12" ht="25.5" customHeight="1" x14ac:dyDescent="0.3">
      <c r="A1196" s="400" t="s">
        <v>1038</v>
      </c>
      <c r="B1196" s="401" t="s">
        <v>7011</v>
      </c>
      <c r="C1196" s="400" t="s">
        <v>420</v>
      </c>
      <c r="D1196" s="400" t="s">
        <v>7012</v>
      </c>
      <c r="E1196" s="605" t="s">
        <v>1053</v>
      </c>
      <c r="F1196" s="605"/>
      <c r="G1196" s="402" t="s">
        <v>1070</v>
      </c>
      <c r="H1196" s="403">
        <v>1.6</v>
      </c>
      <c r="I1196" s="403">
        <v>0</v>
      </c>
      <c r="J1196" s="404">
        <v>20.45</v>
      </c>
      <c r="K1196" s="404">
        <v>32.72</v>
      </c>
      <c r="L1196" s="166"/>
    </row>
    <row r="1197" spans="1:12" ht="17.399999999999999" customHeight="1" x14ac:dyDescent="0.3">
      <c r="A1197" s="400" t="s">
        <v>1038</v>
      </c>
      <c r="B1197" s="401" t="s">
        <v>7626</v>
      </c>
      <c r="C1197" s="400" t="s">
        <v>420</v>
      </c>
      <c r="D1197" s="400" t="s">
        <v>7627</v>
      </c>
      <c r="E1197" s="605" t="s">
        <v>1039</v>
      </c>
      <c r="F1197" s="605"/>
      <c r="G1197" s="402" t="s">
        <v>1249</v>
      </c>
      <c r="H1197" s="403">
        <v>0.02</v>
      </c>
      <c r="I1197" s="403">
        <v>0</v>
      </c>
      <c r="J1197" s="404">
        <v>56.28</v>
      </c>
      <c r="K1197" s="404">
        <v>1.1255999999999999</v>
      </c>
      <c r="L1197" s="166"/>
    </row>
    <row r="1198" spans="1:12" ht="12.75" customHeight="1" x14ac:dyDescent="0.3">
      <c r="A1198" s="400" t="s">
        <v>1038</v>
      </c>
      <c r="B1198" s="401" t="s">
        <v>6251</v>
      </c>
      <c r="C1198" s="400" t="s">
        <v>420</v>
      </c>
      <c r="D1198" s="400" t="s">
        <v>6252</v>
      </c>
      <c r="E1198" s="605" t="s">
        <v>1053</v>
      </c>
      <c r="F1198" s="605"/>
      <c r="G1198" s="402" t="s">
        <v>1070</v>
      </c>
      <c r="H1198" s="403">
        <v>0.8</v>
      </c>
      <c r="I1198" s="403">
        <v>0</v>
      </c>
      <c r="J1198" s="404">
        <v>15.59</v>
      </c>
      <c r="K1198" s="404">
        <v>12.472</v>
      </c>
      <c r="L1198" s="166"/>
    </row>
    <row r="1199" spans="1:12" ht="15" x14ac:dyDescent="0.3">
      <c r="A1199" s="405"/>
      <c r="B1199" s="405"/>
      <c r="C1199" s="405"/>
      <c r="D1199" s="405"/>
      <c r="E1199" s="405" t="s">
        <v>1046</v>
      </c>
      <c r="F1199" s="406">
        <v>45.19</v>
      </c>
      <c r="G1199" s="405" t="s">
        <v>1047</v>
      </c>
      <c r="H1199" s="406">
        <v>0</v>
      </c>
      <c r="I1199" s="405" t="s">
        <v>1048</v>
      </c>
      <c r="J1199" s="406">
        <v>45.19</v>
      </c>
      <c r="K1199"/>
      <c r="L1199" s="168"/>
    </row>
    <row r="1200" spans="1:12" ht="15" customHeight="1" thickBot="1" x14ac:dyDescent="0.35">
      <c r="A1200" s="405"/>
      <c r="B1200" s="405"/>
      <c r="C1200" s="405"/>
      <c r="D1200" s="405"/>
      <c r="E1200" s="405" t="s">
        <v>1049</v>
      </c>
      <c r="F1200" s="406">
        <v>0</v>
      </c>
      <c r="G1200" s="405"/>
      <c r="H1200" s="606"/>
      <c r="I1200" s="606" t="s">
        <v>1050</v>
      </c>
      <c r="J1200" s="406">
        <v>138.62</v>
      </c>
      <c r="K1200"/>
      <c r="L1200" s="170"/>
    </row>
    <row r="1201" spans="1:12" ht="15.6" thickTop="1" x14ac:dyDescent="0.3">
      <c r="A1201" s="407"/>
      <c r="B1201" s="407"/>
      <c r="C1201" s="407"/>
      <c r="D1201" s="407"/>
      <c r="E1201" s="407"/>
      <c r="F1201" s="407"/>
      <c r="G1201" s="407"/>
      <c r="H1201" s="407"/>
      <c r="I1201" s="407"/>
      <c r="J1201" s="407"/>
      <c r="K1201" s="407"/>
      <c r="L1201" s="168"/>
    </row>
    <row r="1202" spans="1:12" ht="15" x14ac:dyDescent="0.3">
      <c r="A1202" s="382" t="s">
        <v>769</v>
      </c>
      <c r="B1202" s="312" t="s">
        <v>413</v>
      </c>
      <c r="C1202" s="382" t="s">
        <v>414</v>
      </c>
      <c r="D1202" s="382" t="s">
        <v>415</v>
      </c>
      <c r="E1202" s="586" t="s">
        <v>1029</v>
      </c>
      <c r="F1202" s="586"/>
      <c r="G1202" s="383" t="s">
        <v>416</v>
      </c>
      <c r="H1202" s="312" t="s">
        <v>1030</v>
      </c>
      <c r="I1202" s="312" t="s">
        <v>3016</v>
      </c>
      <c r="J1202" s="312" t="s">
        <v>1031</v>
      </c>
      <c r="K1202" s="312" t="s">
        <v>1032</v>
      </c>
      <c r="L1202" s="168"/>
    </row>
    <row r="1203" spans="1:12" ht="14.25" customHeight="1" x14ac:dyDescent="0.3">
      <c r="A1203" s="313" t="s">
        <v>1033</v>
      </c>
      <c r="B1203" s="315" t="s">
        <v>2227</v>
      </c>
      <c r="C1203" s="313" t="s">
        <v>575</v>
      </c>
      <c r="D1203" s="313" t="s">
        <v>2065</v>
      </c>
      <c r="E1203" s="603" t="s">
        <v>1597</v>
      </c>
      <c r="F1203" s="603"/>
      <c r="G1203" s="314" t="s">
        <v>675</v>
      </c>
      <c r="H1203" s="399">
        <v>1</v>
      </c>
      <c r="I1203" s="316"/>
      <c r="J1203" s="316">
        <v>117.49</v>
      </c>
      <c r="K1203" s="316">
        <v>117.49</v>
      </c>
      <c r="L1203" s="168"/>
    </row>
    <row r="1204" spans="1:12" ht="25.5" customHeight="1" x14ac:dyDescent="0.3">
      <c r="A1204" s="408" t="s">
        <v>1034</v>
      </c>
      <c r="B1204" s="409" t="s">
        <v>1287</v>
      </c>
      <c r="C1204" s="408" t="s">
        <v>395</v>
      </c>
      <c r="D1204" s="408" t="s">
        <v>134</v>
      </c>
      <c r="E1204" s="604" t="s">
        <v>7768</v>
      </c>
      <c r="F1204" s="604"/>
      <c r="G1204" s="410" t="s">
        <v>6</v>
      </c>
      <c r="H1204" s="412">
        <v>0.2707</v>
      </c>
      <c r="I1204" s="412">
        <v>0</v>
      </c>
      <c r="J1204" s="411">
        <v>42.08</v>
      </c>
      <c r="K1204" s="411">
        <v>11.391056000000001</v>
      </c>
      <c r="L1204" s="166"/>
    </row>
    <row r="1205" spans="1:12" ht="14.25" customHeight="1" x14ac:dyDescent="0.3">
      <c r="A1205" s="408" t="s">
        <v>1034</v>
      </c>
      <c r="B1205" s="409" t="s">
        <v>1302</v>
      </c>
      <c r="C1205" s="408" t="s">
        <v>395</v>
      </c>
      <c r="D1205" s="408" t="s">
        <v>144</v>
      </c>
      <c r="E1205" s="604" t="s">
        <v>7768</v>
      </c>
      <c r="F1205" s="604"/>
      <c r="G1205" s="410" t="s">
        <v>6</v>
      </c>
      <c r="H1205" s="412">
        <v>0.1799</v>
      </c>
      <c r="I1205" s="412">
        <v>0</v>
      </c>
      <c r="J1205" s="411">
        <v>42.06</v>
      </c>
      <c r="K1205" s="411">
        <v>7.5665940000000003</v>
      </c>
      <c r="L1205" s="166"/>
    </row>
    <row r="1206" spans="1:12" ht="26.4" x14ac:dyDescent="0.3">
      <c r="A1206" s="408" t="s">
        <v>1034</v>
      </c>
      <c r="B1206" s="409" t="s">
        <v>1290</v>
      </c>
      <c r="C1206" s="408" t="s">
        <v>395</v>
      </c>
      <c r="D1206" s="408" t="s">
        <v>147</v>
      </c>
      <c r="E1206" s="604" t="s">
        <v>7768</v>
      </c>
      <c r="F1206" s="604"/>
      <c r="G1206" s="410" t="s">
        <v>6</v>
      </c>
      <c r="H1206" s="412">
        <v>0.4506</v>
      </c>
      <c r="I1206" s="412">
        <v>0</v>
      </c>
      <c r="J1206" s="411">
        <v>32.82</v>
      </c>
      <c r="K1206" s="411">
        <v>14.788691999999999</v>
      </c>
      <c r="L1206" s="168"/>
    </row>
    <row r="1207" spans="1:12" ht="17.399999999999999" customHeight="1" x14ac:dyDescent="0.3">
      <c r="A1207" s="400" t="s">
        <v>1038</v>
      </c>
      <c r="B1207" s="401" t="s">
        <v>2573</v>
      </c>
      <c r="C1207" s="400" t="s">
        <v>395</v>
      </c>
      <c r="D1207" s="400" t="s">
        <v>305</v>
      </c>
      <c r="E1207" s="605" t="s">
        <v>1039</v>
      </c>
      <c r="F1207" s="605"/>
      <c r="G1207" s="402" t="s">
        <v>675</v>
      </c>
      <c r="H1207" s="403">
        <v>1.1279999999999999</v>
      </c>
      <c r="I1207" s="403">
        <v>0</v>
      </c>
      <c r="J1207" s="404">
        <v>1.76</v>
      </c>
      <c r="K1207" s="404">
        <v>1.9852799999999999</v>
      </c>
      <c r="L1207" s="168"/>
    </row>
    <row r="1208" spans="1:12" ht="26.4" x14ac:dyDescent="0.3">
      <c r="A1208" s="400" t="s">
        <v>1038</v>
      </c>
      <c r="B1208" s="401" t="s">
        <v>2496</v>
      </c>
      <c r="C1208" s="400" t="s">
        <v>395</v>
      </c>
      <c r="D1208" s="400" t="s">
        <v>307</v>
      </c>
      <c r="E1208" s="605" t="s">
        <v>1039</v>
      </c>
      <c r="F1208" s="605"/>
      <c r="G1208" s="402" t="s">
        <v>7</v>
      </c>
      <c r="H1208" s="403">
        <v>0.2</v>
      </c>
      <c r="I1208" s="403">
        <v>0</v>
      </c>
      <c r="J1208" s="404">
        <v>2.77</v>
      </c>
      <c r="K1208" s="404">
        <v>0.55400000000000005</v>
      </c>
      <c r="L1208" s="168"/>
    </row>
    <row r="1209" spans="1:12" ht="14.25" customHeight="1" x14ac:dyDescent="0.3">
      <c r="A1209" s="400" t="s">
        <v>1038</v>
      </c>
      <c r="B1209" s="401" t="s">
        <v>1306</v>
      </c>
      <c r="C1209" s="400" t="s">
        <v>395</v>
      </c>
      <c r="D1209" s="400" t="s">
        <v>309</v>
      </c>
      <c r="E1209" s="605" t="s">
        <v>1039</v>
      </c>
      <c r="F1209" s="605"/>
      <c r="G1209" s="402" t="s">
        <v>7</v>
      </c>
      <c r="H1209" s="403">
        <v>0.125</v>
      </c>
      <c r="I1209" s="403">
        <v>0</v>
      </c>
      <c r="J1209" s="404">
        <v>32.69</v>
      </c>
      <c r="K1209" s="404">
        <v>4.0862499999999997</v>
      </c>
      <c r="L1209" s="168"/>
    </row>
    <row r="1210" spans="1:12" ht="14.25" customHeight="1" x14ac:dyDescent="0.3">
      <c r="A1210" s="400" t="s">
        <v>1038</v>
      </c>
      <c r="B1210" s="401" t="s">
        <v>2574</v>
      </c>
      <c r="C1210" s="400" t="s">
        <v>395</v>
      </c>
      <c r="D1210" s="400" t="s">
        <v>252</v>
      </c>
      <c r="E1210" s="605" t="s">
        <v>1039</v>
      </c>
      <c r="F1210" s="605"/>
      <c r="G1210" s="402" t="s">
        <v>713</v>
      </c>
      <c r="H1210" s="403">
        <v>0.14549999999999999</v>
      </c>
      <c r="I1210" s="403">
        <v>0</v>
      </c>
      <c r="J1210" s="404">
        <v>530</v>
      </c>
      <c r="K1210" s="404">
        <v>77.114999999999995</v>
      </c>
      <c r="L1210" s="168"/>
    </row>
    <row r="1211" spans="1:12" ht="15" customHeight="1" x14ac:dyDescent="0.3">
      <c r="A1211" s="405"/>
      <c r="B1211" s="405"/>
      <c r="C1211" s="405"/>
      <c r="D1211" s="405"/>
      <c r="E1211" s="405" t="s">
        <v>1046</v>
      </c>
      <c r="F1211" s="406">
        <v>24.65</v>
      </c>
      <c r="G1211" s="405" t="s">
        <v>1047</v>
      </c>
      <c r="H1211" s="406">
        <v>0</v>
      </c>
      <c r="I1211" s="405" t="s">
        <v>1048</v>
      </c>
      <c r="J1211" s="406">
        <v>24.65</v>
      </c>
      <c r="K1211"/>
      <c r="L1211" s="166"/>
    </row>
    <row r="1212" spans="1:12" ht="15.6" thickBot="1" x14ac:dyDescent="0.35">
      <c r="A1212" s="405"/>
      <c r="B1212" s="405"/>
      <c r="C1212" s="405"/>
      <c r="D1212" s="405"/>
      <c r="E1212" s="405" t="s">
        <v>1049</v>
      </c>
      <c r="F1212" s="406">
        <v>0</v>
      </c>
      <c r="G1212" s="405"/>
      <c r="H1212" s="606"/>
      <c r="I1212" s="606" t="s">
        <v>1050</v>
      </c>
      <c r="J1212" s="406">
        <v>117.49</v>
      </c>
      <c r="K1212"/>
      <c r="L1212" s="168"/>
    </row>
    <row r="1213" spans="1:12" ht="15.6" thickTop="1" x14ac:dyDescent="0.3">
      <c r="A1213" s="407"/>
      <c r="B1213" s="407"/>
      <c r="C1213" s="407"/>
      <c r="D1213" s="407"/>
      <c r="E1213" s="407"/>
      <c r="F1213" s="407"/>
      <c r="G1213" s="407"/>
      <c r="H1213" s="407"/>
      <c r="I1213" s="407"/>
      <c r="J1213" s="407"/>
      <c r="K1213" s="407"/>
      <c r="L1213" s="168"/>
    </row>
    <row r="1214" spans="1:12" ht="12.75" customHeight="1" x14ac:dyDescent="0.3">
      <c r="A1214" s="382" t="s">
        <v>771</v>
      </c>
      <c r="B1214" s="312" t="s">
        <v>413</v>
      </c>
      <c r="C1214" s="382" t="s">
        <v>414</v>
      </c>
      <c r="D1214" s="382" t="s">
        <v>415</v>
      </c>
      <c r="E1214" s="586" t="s">
        <v>1029</v>
      </c>
      <c r="F1214" s="586"/>
      <c r="G1214" s="383" t="s">
        <v>416</v>
      </c>
      <c r="H1214" s="312" t="s">
        <v>1030</v>
      </c>
      <c r="I1214" s="312" t="s">
        <v>3016</v>
      </c>
      <c r="J1214" s="312" t="s">
        <v>1031</v>
      </c>
      <c r="K1214" s="312" t="s">
        <v>1032</v>
      </c>
      <c r="L1214" s="168"/>
    </row>
    <row r="1215" spans="1:12" ht="25.5" customHeight="1" x14ac:dyDescent="0.3">
      <c r="A1215" s="313" t="s">
        <v>1033</v>
      </c>
      <c r="B1215" s="315" t="s">
        <v>3814</v>
      </c>
      <c r="C1215" s="313" t="s">
        <v>395</v>
      </c>
      <c r="D1215" s="313" t="s">
        <v>5924</v>
      </c>
      <c r="E1215" s="603" t="s">
        <v>7849</v>
      </c>
      <c r="F1215" s="603"/>
      <c r="G1215" s="314" t="s">
        <v>675</v>
      </c>
      <c r="H1215" s="399">
        <v>1</v>
      </c>
      <c r="I1215" s="316"/>
      <c r="J1215" s="316">
        <v>3.53</v>
      </c>
      <c r="K1215" s="316">
        <v>3.53</v>
      </c>
      <c r="L1215" s="166"/>
    </row>
    <row r="1216" spans="1:12" ht="25.5" customHeight="1" x14ac:dyDescent="0.3">
      <c r="A1216" s="408" t="s">
        <v>1034</v>
      </c>
      <c r="B1216" s="409" t="s">
        <v>5229</v>
      </c>
      <c r="C1216" s="408" t="s">
        <v>395</v>
      </c>
      <c r="D1216" s="408" t="s">
        <v>5230</v>
      </c>
      <c r="E1216" s="604" t="s">
        <v>7772</v>
      </c>
      <c r="F1216" s="604"/>
      <c r="G1216" s="410" t="s">
        <v>15</v>
      </c>
      <c r="H1216" s="412">
        <v>1.0702000000000001E-3</v>
      </c>
      <c r="I1216" s="412">
        <v>0</v>
      </c>
      <c r="J1216" s="411">
        <v>386.33</v>
      </c>
      <c r="K1216" s="411">
        <v>0.4134504</v>
      </c>
      <c r="L1216" s="166"/>
    </row>
    <row r="1217" spans="1:12" ht="52.8" x14ac:dyDescent="0.3">
      <c r="A1217" s="408" t="s">
        <v>1034</v>
      </c>
      <c r="B1217" s="409" t="s">
        <v>5223</v>
      </c>
      <c r="C1217" s="408" t="s">
        <v>395</v>
      </c>
      <c r="D1217" s="408" t="s">
        <v>5224</v>
      </c>
      <c r="E1217" s="604" t="s">
        <v>7772</v>
      </c>
      <c r="F1217" s="604"/>
      <c r="G1217" s="410" t="s">
        <v>19</v>
      </c>
      <c r="H1217" s="412">
        <v>7.5449999999999996E-3</v>
      </c>
      <c r="I1217" s="412">
        <v>0</v>
      </c>
      <c r="J1217" s="411">
        <v>104.38</v>
      </c>
      <c r="K1217" s="411">
        <v>0.78754710000000006</v>
      </c>
      <c r="L1217" s="168"/>
    </row>
    <row r="1218" spans="1:12" ht="39.6" x14ac:dyDescent="0.3">
      <c r="A1218" s="408" t="s">
        <v>1034</v>
      </c>
      <c r="B1218" s="409" t="s">
        <v>5225</v>
      </c>
      <c r="C1218" s="408" t="s">
        <v>395</v>
      </c>
      <c r="D1218" s="408" t="s">
        <v>5226</v>
      </c>
      <c r="E1218" s="604" t="s">
        <v>7772</v>
      </c>
      <c r="F1218" s="604"/>
      <c r="G1218" s="410" t="s">
        <v>15</v>
      </c>
      <c r="H1218" s="412">
        <v>3.0249999999999998E-4</v>
      </c>
      <c r="I1218" s="412">
        <v>0</v>
      </c>
      <c r="J1218" s="411">
        <v>309.74</v>
      </c>
      <c r="K1218" s="411">
        <v>9.3696399999999999E-2</v>
      </c>
      <c r="L1218" s="168"/>
    </row>
    <row r="1219" spans="1:12" ht="39.6" x14ac:dyDescent="0.3">
      <c r="A1219" s="408" t="s">
        <v>1034</v>
      </c>
      <c r="B1219" s="409" t="s">
        <v>5227</v>
      </c>
      <c r="C1219" s="408" t="s">
        <v>395</v>
      </c>
      <c r="D1219" s="408" t="s">
        <v>5228</v>
      </c>
      <c r="E1219" s="604" t="s">
        <v>7772</v>
      </c>
      <c r="F1219" s="604"/>
      <c r="G1219" s="410" t="s">
        <v>19</v>
      </c>
      <c r="H1219" s="412">
        <v>8.3126999999999993E-3</v>
      </c>
      <c r="I1219" s="412">
        <v>0</v>
      </c>
      <c r="J1219" s="411">
        <v>119.71</v>
      </c>
      <c r="K1219" s="411">
        <v>0.99511329999999998</v>
      </c>
      <c r="L1219" s="168"/>
    </row>
    <row r="1220" spans="1:12" ht="15" customHeight="1" x14ac:dyDescent="0.3">
      <c r="A1220" s="408" t="s">
        <v>1034</v>
      </c>
      <c r="B1220" s="409" t="s">
        <v>5221</v>
      </c>
      <c r="C1220" s="408" t="s">
        <v>395</v>
      </c>
      <c r="D1220" s="408" t="s">
        <v>5222</v>
      </c>
      <c r="E1220" s="604" t="s">
        <v>7772</v>
      </c>
      <c r="F1220" s="604"/>
      <c r="G1220" s="410" t="s">
        <v>15</v>
      </c>
      <c r="H1220" s="412">
        <v>2.5195E-3</v>
      </c>
      <c r="I1220" s="412">
        <v>0</v>
      </c>
      <c r="J1220" s="411">
        <v>187.14</v>
      </c>
      <c r="K1220" s="411">
        <v>0.47149920000000001</v>
      </c>
      <c r="L1220" s="166"/>
    </row>
    <row r="1221" spans="1:12" ht="12.75" customHeight="1" x14ac:dyDescent="0.3">
      <c r="A1221" s="408" t="s">
        <v>1034</v>
      </c>
      <c r="B1221" s="409" t="s">
        <v>1290</v>
      </c>
      <c r="C1221" s="408" t="s">
        <v>395</v>
      </c>
      <c r="D1221" s="408" t="s">
        <v>147</v>
      </c>
      <c r="E1221" s="604" t="s">
        <v>7768</v>
      </c>
      <c r="F1221" s="604"/>
      <c r="G1221" s="410" t="s">
        <v>6</v>
      </c>
      <c r="H1221" s="412">
        <v>8.6151999999999999E-3</v>
      </c>
      <c r="I1221" s="412">
        <v>0</v>
      </c>
      <c r="J1221" s="411">
        <v>32.82</v>
      </c>
      <c r="K1221" s="411">
        <v>0.28275090000000003</v>
      </c>
      <c r="L1221" s="166"/>
    </row>
    <row r="1222" spans="1:12" ht="17.399999999999999" customHeight="1" x14ac:dyDescent="0.3">
      <c r="A1222" s="408" t="s">
        <v>1034</v>
      </c>
      <c r="B1222" s="409" t="s">
        <v>5219</v>
      </c>
      <c r="C1222" s="408" t="s">
        <v>395</v>
      </c>
      <c r="D1222" s="408" t="s">
        <v>5220</v>
      </c>
      <c r="E1222" s="604" t="s">
        <v>7772</v>
      </c>
      <c r="F1222" s="604"/>
      <c r="G1222" s="410" t="s">
        <v>19</v>
      </c>
      <c r="H1222" s="412">
        <v>6.0956999999999999E-3</v>
      </c>
      <c r="I1222" s="412">
        <v>0</v>
      </c>
      <c r="J1222" s="411">
        <v>80.040000000000006</v>
      </c>
      <c r="K1222" s="411">
        <v>0.48789979999999999</v>
      </c>
      <c r="L1222" s="166"/>
    </row>
    <row r="1223" spans="1:12" ht="15" x14ac:dyDescent="0.3">
      <c r="A1223" s="405"/>
      <c r="B1223" s="405"/>
      <c r="C1223" s="405"/>
      <c r="D1223" s="405"/>
      <c r="E1223" s="405" t="s">
        <v>1046</v>
      </c>
      <c r="F1223" s="406">
        <v>1.1599999999999999</v>
      </c>
      <c r="G1223" s="405" t="s">
        <v>1047</v>
      </c>
      <c r="H1223" s="406">
        <v>0</v>
      </c>
      <c r="I1223" s="405" t="s">
        <v>1048</v>
      </c>
      <c r="J1223" s="406">
        <v>1.1599999999999999</v>
      </c>
      <c r="K1223"/>
      <c r="L1223" s="166"/>
    </row>
    <row r="1224" spans="1:12" ht="15" customHeight="1" thickBot="1" x14ac:dyDescent="0.35">
      <c r="A1224" s="405"/>
      <c r="B1224" s="405"/>
      <c r="C1224" s="405"/>
      <c r="D1224" s="405"/>
      <c r="E1224" s="405" t="s">
        <v>1049</v>
      </c>
      <c r="F1224" s="406">
        <v>0</v>
      </c>
      <c r="G1224" s="405"/>
      <c r="H1224" s="606"/>
      <c r="I1224" s="606" t="s">
        <v>1050</v>
      </c>
      <c r="J1224" s="406">
        <v>3.53</v>
      </c>
      <c r="K1224"/>
      <c r="L1224" s="166"/>
    </row>
    <row r="1225" spans="1:12" ht="38.25" customHeight="1" thickTop="1" x14ac:dyDescent="0.3">
      <c r="A1225" s="407"/>
      <c r="B1225" s="407"/>
      <c r="C1225" s="407"/>
      <c r="D1225" s="407"/>
      <c r="E1225" s="407"/>
      <c r="F1225" s="407"/>
      <c r="G1225" s="407"/>
      <c r="H1225" s="407"/>
      <c r="I1225" s="407"/>
      <c r="J1225" s="407"/>
      <c r="K1225" s="407"/>
      <c r="L1225" s="166"/>
    </row>
    <row r="1226" spans="1:12" ht="14.25" customHeight="1" x14ac:dyDescent="0.3">
      <c r="A1226" s="382" t="s">
        <v>773</v>
      </c>
      <c r="B1226" s="312" t="s">
        <v>413</v>
      </c>
      <c r="C1226" s="382" t="s">
        <v>414</v>
      </c>
      <c r="D1226" s="382" t="s">
        <v>415</v>
      </c>
      <c r="E1226" s="586" t="s">
        <v>1029</v>
      </c>
      <c r="F1226" s="586"/>
      <c r="G1226" s="383" t="s">
        <v>416</v>
      </c>
      <c r="H1226" s="312" t="s">
        <v>1030</v>
      </c>
      <c r="I1226" s="312" t="s">
        <v>3016</v>
      </c>
      <c r="J1226" s="312" t="s">
        <v>1031</v>
      </c>
      <c r="K1226" s="312" t="s">
        <v>1032</v>
      </c>
      <c r="L1226" s="166"/>
    </row>
    <row r="1227" spans="1:12" ht="25.5" customHeight="1" x14ac:dyDescent="0.3">
      <c r="A1227" s="313" t="s">
        <v>1033</v>
      </c>
      <c r="B1227" s="315" t="s">
        <v>3815</v>
      </c>
      <c r="C1227" s="313" t="s">
        <v>395</v>
      </c>
      <c r="D1227" s="313" t="s">
        <v>5925</v>
      </c>
      <c r="E1227" s="603" t="s">
        <v>7849</v>
      </c>
      <c r="F1227" s="603"/>
      <c r="G1227" s="314" t="s">
        <v>713</v>
      </c>
      <c r="H1227" s="399">
        <v>1</v>
      </c>
      <c r="I1227" s="316"/>
      <c r="J1227" s="316">
        <v>299.01</v>
      </c>
      <c r="K1227" s="316">
        <v>299.01</v>
      </c>
      <c r="L1227" s="168"/>
    </row>
    <row r="1228" spans="1:12" ht="25.5" customHeight="1" x14ac:dyDescent="0.3">
      <c r="A1228" s="408" t="s">
        <v>1034</v>
      </c>
      <c r="B1228" s="409" t="s">
        <v>5233</v>
      </c>
      <c r="C1228" s="408" t="s">
        <v>395</v>
      </c>
      <c r="D1228" s="408" t="s">
        <v>5234</v>
      </c>
      <c r="E1228" s="604" t="s">
        <v>7772</v>
      </c>
      <c r="F1228" s="604"/>
      <c r="G1228" s="410" t="s">
        <v>15</v>
      </c>
      <c r="H1228" s="412">
        <v>1.0688700000000001E-2</v>
      </c>
      <c r="I1228" s="412">
        <v>0</v>
      </c>
      <c r="J1228" s="411">
        <v>184.03</v>
      </c>
      <c r="K1228" s="411">
        <v>1.9670415000000001</v>
      </c>
      <c r="L1228" s="170"/>
    </row>
    <row r="1229" spans="1:12" ht="39.6" x14ac:dyDescent="0.3">
      <c r="A1229" s="408" t="s">
        <v>1034</v>
      </c>
      <c r="B1229" s="409" t="s">
        <v>5231</v>
      </c>
      <c r="C1229" s="408" t="s">
        <v>395</v>
      </c>
      <c r="D1229" s="408" t="s">
        <v>5232</v>
      </c>
      <c r="E1229" s="604" t="s">
        <v>7772</v>
      </c>
      <c r="F1229" s="604"/>
      <c r="G1229" s="410" t="s">
        <v>19</v>
      </c>
      <c r="H1229" s="412">
        <v>2.58607E-2</v>
      </c>
      <c r="I1229" s="412">
        <v>0</v>
      </c>
      <c r="J1229" s="411">
        <v>78.44</v>
      </c>
      <c r="K1229" s="411">
        <v>2.0285133000000002</v>
      </c>
      <c r="L1229" s="168"/>
    </row>
    <row r="1230" spans="1:12" ht="38.25" customHeight="1" x14ac:dyDescent="0.3">
      <c r="A1230" s="408" t="s">
        <v>1034</v>
      </c>
      <c r="B1230" s="409" t="s">
        <v>5229</v>
      </c>
      <c r="C1230" s="408" t="s">
        <v>395</v>
      </c>
      <c r="D1230" s="408" t="s">
        <v>5230</v>
      </c>
      <c r="E1230" s="604" t="s">
        <v>7772</v>
      </c>
      <c r="F1230" s="604"/>
      <c r="G1230" s="410" t="s">
        <v>15</v>
      </c>
      <c r="H1230" s="412">
        <v>2.2891999999999999E-3</v>
      </c>
      <c r="I1230" s="412">
        <v>0</v>
      </c>
      <c r="J1230" s="411">
        <v>386.33</v>
      </c>
      <c r="K1230" s="411">
        <v>0.88438660000000002</v>
      </c>
      <c r="L1230" s="168"/>
    </row>
    <row r="1231" spans="1:12" ht="52.8" x14ac:dyDescent="0.3">
      <c r="A1231" s="408" t="s">
        <v>1034</v>
      </c>
      <c r="B1231" s="409" t="s">
        <v>5223</v>
      </c>
      <c r="C1231" s="408" t="s">
        <v>395</v>
      </c>
      <c r="D1231" s="408" t="s">
        <v>5224</v>
      </c>
      <c r="E1231" s="604" t="s">
        <v>7772</v>
      </c>
      <c r="F1231" s="604"/>
      <c r="G1231" s="410" t="s">
        <v>19</v>
      </c>
      <c r="H1231" s="412">
        <v>3.4260199999999998E-2</v>
      </c>
      <c r="I1231" s="412">
        <v>0</v>
      </c>
      <c r="J1231" s="411">
        <v>104.38</v>
      </c>
      <c r="K1231" s="411">
        <v>3.5760797000000002</v>
      </c>
      <c r="L1231" s="168"/>
    </row>
    <row r="1232" spans="1:12" ht="25.5" customHeight="1" x14ac:dyDescent="0.3">
      <c r="A1232" s="408" t="s">
        <v>1034</v>
      </c>
      <c r="B1232" s="409" t="s">
        <v>5225</v>
      </c>
      <c r="C1232" s="408" t="s">
        <v>395</v>
      </c>
      <c r="D1232" s="408" t="s">
        <v>5226</v>
      </c>
      <c r="E1232" s="604" t="s">
        <v>7772</v>
      </c>
      <c r="F1232" s="604"/>
      <c r="G1232" s="410" t="s">
        <v>15</v>
      </c>
      <c r="H1232" s="412">
        <v>5.1609999999999998E-3</v>
      </c>
      <c r="I1232" s="412">
        <v>0</v>
      </c>
      <c r="J1232" s="411">
        <v>309.74</v>
      </c>
      <c r="K1232" s="411">
        <v>1.5985681</v>
      </c>
      <c r="L1232" s="166"/>
    </row>
    <row r="1233" spans="1:12" ht="15" customHeight="1" x14ac:dyDescent="0.3">
      <c r="A1233" s="408" t="s">
        <v>1034</v>
      </c>
      <c r="B1233" s="409" t="s">
        <v>5227</v>
      </c>
      <c r="C1233" s="408" t="s">
        <v>395</v>
      </c>
      <c r="D1233" s="408" t="s">
        <v>5228</v>
      </c>
      <c r="E1233" s="604" t="s">
        <v>7772</v>
      </c>
      <c r="F1233" s="604"/>
      <c r="G1233" s="410" t="s">
        <v>19</v>
      </c>
      <c r="H1233" s="412">
        <v>3.1388399999999997E-2</v>
      </c>
      <c r="I1233" s="412">
        <v>0</v>
      </c>
      <c r="J1233" s="411">
        <v>119.71</v>
      </c>
      <c r="K1233" s="411">
        <v>3.7575053999999999</v>
      </c>
      <c r="L1233" s="166"/>
    </row>
    <row r="1234" spans="1:12" ht="17.399999999999999" customHeight="1" x14ac:dyDescent="0.3">
      <c r="A1234" s="408" t="s">
        <v>1034</v>
      </c>
      <c r="B1234" s="409" t="s">
        <v>1290</v>
      </c>
      <c r="C1234" s="408" t="s">
        <v>395</v>
      </c>
      <c r="D1234" s="408" t="s">
        <v>147</v>
      </c>
      <c r="E1234" s="604" t="s">
        <v>7768</v>
      </c>
      <c r="F1234" s="604"/>
      <c r="G1234" s="410" t="s">
        <v>6</v>
      </c>
      <c r="H1234" s="412">
        <v>3.6549400000000003E-2</v>
      </c>
      <c r="I1234" s="412">
        <v>0</v>
      </c>
      <c r="J1234" s="411">
        <v>32.82</v>
      </c>
      <c r="K1234" s="411">
        <v>1.1995513</v>
      </c>
      <c r="L1234" s="168"/>
    </row>
    <row r="1235" spans="1:12" ht="14.25" customHeight="1" x14ac:dyDescent="0.3">
      <c r="A1235" s="408" t="s">
        <v>1034</v>
      </c>
      <c r="B1235" s="409" t="s">
        <v>5237</v>
      </c>
      <c r="C1235" s="408" t="s">
        <v>395</v>
      </c>
      <c r="D1235" s="408" t="s">
        <v>7850</v>
      </c>
      <c r="E1235" s="604" t="s">
        <v>7851</v>
      </c>
      <c r="F1235" s="604"/>
      <c r="G1235" s="410" t="s">
        <v>713</v>
      </c>
      <c r="H1235" s="412">
        <v>1</v>
      </c>
      <c r="I1235" s="412">
        <v>0</v>
      </c>
      <c r="J1235" s="411">
        <v>279.64999999999998</v>
      </c>
      <c r="K1235" s="411">
        <v>279.64999999999998</v>
      </c>
      <c r="L1235" s="168"/>
    </row>
    <row r="1236" spans="1:12" ht="25.5" customHeight="1" x14ac:dyDescent="0.3">
      <c r="A1236" s="408" t="s">
        <v>1034</v>
      </c>
      <c r="B1236" s="409" t="s">
        <v>5235</v>
      </c>
      <c r="C1236" s="408" t="s">
        <v>395</v>
      </c>
      <c r="D1236" s="408" t="s">
        <v>7852</v>
      </c>
      <c r="E1236" s="604" t="s">
        <v>7772</v>
      </c>
      <c r="F1236" s="604"/>
      <c r="G1236" s="410" t="s">
        <v>15</v>
      </c>
      <c r="H1236" s="412">
        <v>4.0058000000000003E-3</v>
      </c>
      <c r="I1236" s="412">
        <v>0</v>
      </c>
      <c r="J1236" s="411">
        <v>242.37</v>
      </c>
      <c r="K1236" s="411">
        <v>0.97088569999999996</v>
      </c>
      <c r="L1236" s="168"/>
    </row>
    <row r="1237" spans="1:12" ht="15" customHeight="1" x14ac:dyDescent="0.3">
      <c r="A1237" s="408" t="s">
        <v>1034</v>
      </c>
      <c r="B1237" s="409" t="s">
        <v>5236</v>
      </c>
      <c r="C1237" s="408" t="s">
        <v>395</v>
      </c>
      <c r="D1237" s="408" t="s">
        <v>7853</v>
      </c>
      <c r="E1237" s="604" t="s">
        <v>7772</v>
      </c>
      <c r="F1237" s="604"/>
      <c r="G1237" s="410" t="s">
        <v>19</v>
      </c>
      <c r="H1237" s="412">
        <v>3.2543500000000003E-2</v>
      </c>
      <c r="I1237" s="412">
        <v>0</v>
      </c>
      <c r="J1237" s="411">
        <v>103.82</v>
      </c>
      <c r="K1237" s="411">
        <v>3.3786662000000001</v>
      </c>
      <c r="L1237" s="168"/>
    </row>
    <row r="1238" spans="1:12" ht="25.5" customHeight="1" x14ac:dyDescent="0.3">
      <c r="A1238" s="405"/>
      <c r="B1238" s="405"/>
      <c r="C1238" s="405"/>
      <c r="D1238" s="405"/>
      <c r="E1238" s="405" t="s">
        <v>1046</v>
      </c>
      <c r="F1238" s="406">
        <v>9.52</v>
      </c>
      <c r="G1238" s="405" t="s">
        <v>1047</v>
      </c>
      <c r="H1238" s="406">
        <v>0</v>
      </c>
      <c r="I1238" s="405" t="s">
        <v>1048</v>
      </c>
      <c r="J1238" s="406">
        <v>9.52</v>
      </c>
      <c r="K1238"/>
      <c r="L1238" s="168"/>
    </row>
    <row r="1239" spans="1:12" ht="25.5" customHeight="1" thickBot="1" x14ac:dyDescent="0.35">
      <c r="A1239" s="405"/>
      <c r="B1239" s="405"/>
      <c r="C1239" s="405"/>
      <c r="D1239" s="405"/>
      <c r="E1239" s="405" t="s">
        <v>1049</v>
      </c>
      <c r="F1239" s="406">
        <v>0</v>
      </c>
      <c r="G1239" s="405"/>
      <c r="H1239" s="606"/>
      <c r="I1239" s="606" t="s">
        <v>1050</v>
      </c>
      <c r="J1239" s="406">
        <v>299.01</v>
      </c>
      <c r="K1239"/>
      <c r="L1239" s="166"/>
    </row>
    <row r="1240" spans="1:12" ht="15.6" thickTop="1" x14ac:dyDescent="0.3">
      <c r="A1240" s="407"/>
      <c r="B1240" s="407"/>
      <c r="C1240" s="407"/>
      <c r="D1240" s="407"/>
      <c r="E1240" s="407"/>
      <c r="F1240" s="407"/>
      <c r="G1240" s="407"/>
      <c r="H1240" s="407"/>
      <c r="I1240" s="407"/>
      <c r="J1240" s="407"/>
      <c r="K1240" s="407"/>
      <c r="L1240" s="168"/>
    </row>
    <row r="1241" spans="1:12" ht="25.5" customHeight="1" x14ac:dyDescent="0.3">
      <c r="A1241" s="382" t="s">
        <v>774</v>
      </c>
      <c r="B1241" s="312" t="s">
        <v>413</v>
      </c>
      <c r="C1241" s="382" t="s">
        <v>414</v>
      </c>
      <c r="D1241" s="382" t="s">
        <v>415</v>
      </c>
      <c r="E1241" s="586" t="s">
        <v>1029</v>
      </c>
      <c r="F1241" s="586"/>
      <c r="G1241" s="383" t="s">
        <v>416</v>
      </c>
      <c r="H1241" s="312" t="s">
        <v>1030</v>
      </c>
      <c r="I1241" s="312" t="s">
        <v>3016</v>
      </c>
      <c r="J1241" s="312" t="s">
        <v>1031</v>
      </c>
      <c r="K1241" s="312" t="s">
        <v>1032</v>
      </c>
      <c r="L1241" s="168"/>
    </row>
    <row r="1242" spans="1:12" ht="25.5" customHeight="1" x14ac:dyDescent="0.3">
      <c r="A1242" s="313" t="s">
        <v>1033</v>
      </c>
      <c r="B1242" s="315" t="s">
        <v>3816</v>
      </c>
      <c r="C1242" s="313" t="s">
        <v>395</v>
      </c>
      <c r="D1242" s="313" t="s">
        <v>347</v>
      </c>
      <c r="E1242" s="603" t="s">
        <v>7854</v>
      </c>
      <c r="F1242" s="603"/>
      <c r="G1242" s="314" t="s">
        <v>713</v>
      </c>
      <c r="H1242" s="399">
        <v>1</v>
      </c>
      <c r="I1242" s="316"/>
      <c r="J1242" s="316">
        <v>675.9</v>
      </c>
      <c r="K1242" s="316">
        <v>675.9</v>
      </c>
      <c r="L1242" s="168"/>
    </row>
    <row r="1243" spans="1:12" ht="14.25" customHeight="1" x14ac:dyDescent="0.3">
      <c r="A1243" s="408" t="s">
        <v>1034</v>
      </c>
      <c r="B1243" s="409" t="s">
        <v>1302</v>
      </c>
      <c r="C1243" s="408" t="s">
        <v>395</v>
      </c>
      <c r="D1243" s="408" t="s">
        <v>144</v>
      </c>
      <c r="E1243" s="604" t="s">
        <v>7768</v>
      </c>
      <c r="F1243" s="604"/>
      <c r="G1243" s="410" t="s">
        <v>6</v>
      </c>
      <c r="H1243" s="412">
        <v>0.41099999999999998</v>
      </c>
      <c r="I1243" s="412">
        <v>0</v>
      </c>
      <c r="J1243" s="411">
        <v>42.06</v>
      </c>
      <c r="K1243" s="411">
        <v>17.286660000000001</v>
      </c>
      <c r="L1243" s="166"/>
    </row>
    <row r="1244" spans="1:12" ht="15" customHeight="1" x14ac:dyDescent="0.3">
      <c r="A1244" s="408" t="s">
        <v>1034</v>
      </c>
      <c r="B1244" s="409" t="s">
        <v>1290</v>
      </c>
      <c r="C1244" s="408" t="s">
        <v>395</v>
      </c>
      <c r="D1244" s="408" t="s">
        <v>147</v>
      </c>
      <c r="E1244" s="604" t="s">
        <v>7768</v>
      </c>
      <c r="F1244" s="604"/>
      <c r="G1244" s="410" t="s">
        <v>6</v>
      </c>
      <c r="H1244" s="412">
        <v>0.41099999999999998</v>
      </c>
      <c r="I1244" s="412">
        <v>0</v>
      </c>
      <c r="J1244" s="411">
        <v>32.82</v>
      </c>
      <c r="K1244" s="411">
        <v>13.48902</v>
      </c>
      <c r="L1244" s="166"/>
    </row>
    <row r="1245" spans="1:12" ht="26.4" x14ac:dyDescent="0.3">
      <c r="A1245" s="408" t="s">
        <v>1034</v>
      </c>
      <c r="B1245" s="409" t="s">
        <v>1299</v>
      </c>
      <c r="C1245" s="408" t="s">
        <v>395</v>
      </c>
      <c r="D1245" s="408" t="s">
        <v>16</v>
      </c>
      <c r="E1245" s="604" t="s">
        <v>7772</v>
      </c>
      <c r="F1245" s="604"/>
      <c r="G1245" s="410" t="s">
        <v>15</v>
      </c>
      <c r="H1245" s="412">
        <v>5.2999999999999999E-2</v>
      </c>
      <c r="I1245" s="412">
        <v>0</v>
      </c>
      <c r="J1245" s="411">
        <v>1.54</v>
      </c>
      <c r="K1245" s="411">
        <v>8.1619999999999998E-2</v>
      </c>
      <c r="L1245" s="168"/>
    </row>
    <row r="1246" spans="1:12" ht="26.4" x14ac:dyDescent="0.3">
      <c r="A1246" s="408" t="s">
        <v>1034</v>
      </c>
      <c r="B1246" s="409" t="s">
        <v>5238</v>
      </c>
      <c r="C1246" s="408" t="s">
        <v>395</v>
      </c>
      <c r="D1246" s="408" t="s">
        <v>5239</v>
      </c>
      <c r="E1246" s="604" t="s">
        <v>7772</v>
      </c>
      <c r="F1246" s="604"/>
      <c r="G1246" s="410" t="s">
        <v>19</v>
      </c>
      <c r="H1246" s="412">
        <v>4.9000000000000002E-2</v>
      </c>
      <c r="I1246" s="412">
        <v>0</v>
      </c>
      <c r="J1246" s="411">
        <v>0.53</v>
      </c>
      <c r="K1246" s="411">
        <v>2.597E-2</v>
      </c>
      <c r="L1246" s="168"/>
    </row>
    <row r="1247" spans="1:12" ht="15" customHeight="1" x14ac:dyDescent="0.3">
      <c r="A1247" s="400" t="s">
        <v>1038</v>
      </c>
      <c r="B1247" s="401" t="s">
        <v>4123</v>
      </c>
      <c r="C1247" s="400" t="s">
        <v>395</v>
      </c>
      <c r="D1247" s="400" t="s">
        <v>4124</v>
      </c>
      <c r="E1247" s="605" t="s">
        <v>1039</v>
      </c>
      <c r="F1247" s="605"/>
      <c r="G1247" s="402" t="s">
        <v>713</v>
      </c>
      <c r="H1247" s="403">
        <v>1.06</v>
      </c>
      <c r="I1247" s="403">
        <v>0</v>
      </c>
      <c r="J1247" s="404">
        <v>608.51</v>
      </c>
      <c r="K1247" s="404">
        <v>645.02059999999994</v>
      </c>
      <c r="L1247" s="168"/>
    </row>
    <row r="1248" spans="1:12" ht="15" customHeight="1" x14ac:dyDescent="0.3">
      <c r="A1248" s="405"/>
      <c r="B1248" s="405"/>
      <c r="C1248" s="405"/>
      <c r="D1248" s="405"/>
      <c r="E1248" s="405" t="s">
        <v>1046</v>
      </c>
      <c r="F1248" s="406">
        <v>22.38</v>
      </c>
      <c r="G1248" s="405" t="s">
        <v>1047</v>
      </c>
      <c r="H1248" s="406">
        <v>0</v>
      </c>
      <c r="I1248" s="405" t="s">
        <v>1048</v>
      </c>
      <c r="J1248" s="406">
        <v>22.38</v>
      </c>
      <c r="K1248"/>
      <c r="L1248" s="166"/>
    </row>
    <row r="1249" spans="1:12" ht="25.5" customHeight="1" thickBot="1" x14ac:dyDescent="0.35">
      <c r="A1249" s="405"/>
      <c r="B1249" s="405"/>
      <c r="C1249" s="405"/>
      <c r="D1249" s="405"/>
      <c r="E1249" s="405" t="s">
        <v>1049</v>
      </c>
      <c r="F1249" s="406">
        <v>0</v>
      </c>
      <c r="G1249" s="405"/>
      <c r="H1249" s="606"/>
      <c r="I1249" s="606" t="s">
        <v>1050</v>
      </c>
      <c r="J1249" s="406">
        <v>675.9</v>
      </c>
      <c r="K1249"/>
      <c r="L1249" s="166"/>
    </row>
    <row r="1250" spans="1:12" ht="25.5" customHeight="1" thickTop="1" x14ac:dyDescent="0.3">
      <c r="A1250" s="407"/>
      <c r="B1250" s="407"/>
      <c r="C1250" s="407"/>
      <c r="D1250" s="407"/>
      <c r="E1250" s="407"/>
      <c r="F1250" s="407"/>
      <c r="G1250" s="407"/>
      <c r="H1250" s="407"/>
      <c r="I1250" s="407"/>
      <c r="J1250" s="407"/>
      <c r="K1250" s="407"/>
      <c r="L1250" s="166"/>
    </row>
    <row r="1251" spans="1:12" ht="12.75" customHeight="1" x14ac:dyDescent="0.3">
      <c r="A1251" s="382" t="s">
        <v>775</v>
      </c>
      <c r="B1251" s="312" t="s">
        <v>413</v>
      </c>
      <c r="C1251" s="382" t="s">
        <v>414</v>
      </c>
      <c r="D1251" s="382" t="s">
        <v>415</v>
      </c>
      <c r="E1251" s="586" t="s">
        <v>1029</v>
      </c>
      <c r="F1251" s="586"/>
      <c r="G1251" s="383" t="s">
        <v>416</v>
      </c>
      <c r="H1251" s="312" t="s">
        <v>1030</v>
      </c>
      <c r="I1251" s="312" t="s">
        <v>3016</v>
      </c>
      <c r="J1251" s="312" t="s">
        <v>1031</v>
      </c>
      <c r="K1251" s="312" t="s">
        <v>1032</v>
      </c>
      <c r="L1251" s="166"/>
    </row>
    <row r="1252" spans="1:12" ht="25.5" customHeight="1" x14ac:dyDescent="0.3">
      <c r="A1252" s="313" t="s">
        <v>1033</v>
      </c>
      <c r="B1252" s="315" t="s">
        <v>3002</v>
      </c>
      <c r="C1252" s="313" t="s">
        <v>420</v>
      </c>
      <c r="D1252" s="313" t="s">
        <v>2914</v>
      </c>
      <c r="E1252" s="603" t="s">
        <v>1513</v>
      </c>
      <c r="F1252" s="603"/>
      <c r="G1252" s="314" t="s">
        <v>437</v>
      </c>
      <c r="H1252" s="399">
        <v>1</v>
      </c>
      <c r="I1252" s="316"/>
      <c r="J1252" s="316">
        <v>15.94</v>
      </c>
      <c r="K1252" s="316">
        <v>15.94</v>
      </c>
      <c r="L1252" s="166"/>
    </row>
    <row r="1253" spans="1:12" ht="15" customHeight="1" x14ac:dyDescent="0.3">
      <c r="A1253" s="408" t="s">
        <v>1034</v>
      </c>
      <c r="B1253" s="409" t="s">
        <v>1478</v>
      </c>
      <c r="C1253" s="408" t="s">
        <v>420</v>
      </c>
      <c r="D1253" s="408" t="s">
        <v>1479</v>
      </c>
      <c r="E1253" s="604" t="s">
        <v>1069</v>
      </c>
      <c r="F1253" s="604"/>
      <c r="G1253" s="410" t="s">
        <v>1070</v>
      </c>
      <c r="H1253" s="412">
        <v>0.25</v>
      </c>
      <c r="I1253" s="412">
        <v>0</v>
      </c>
      <c r="J1253" s="411">
        <v>3.86</v>
      </c>
      <c r="K1253" s="411">
        <v>0.96499999999999997</v>
      </c>
      <c r="L1253" s="166"/>
    </row>
    <row r="1254" spans="1:12" ht="15" x14ac:dyDescent="0.3">
      <c r="A1254" s="400" t="s">
        <v>1038</v>
      </c>
      <c r="B1254" s="401" t="s">
        <v>1514</v>
      </c>
      <c r="C1254" s="400" t="s">
        <v>420</v>
      </c>
      <c r="D1254" s="400" t="s">
        <v>1515</v>
      </c>
      <c r="E1254" s="605" t="s">
        <v>1039</v>
      </c>
      <c r="F1254" s="605"/>
      <c r="G1254" s="402" t="s">
        <v>1249</v>
      </c>
      <c r="H1254" s="403">
        <v>0.05</v>
      </c>
      <c r="I1254" s="403">
        <v>0</v>
      </c>
      <c r="J1254" s="404">
        <v>161.47</v>
      </c>
      <c r="K1254" s="404">
        <v>8.0734999999999992</v>
      </c>
      <c r="L1254" s="166"/>
    </row>
    <row r="1255" spans="1:12" ht="26.4" x14ac:dyDescent="0.3">
      <c r="A1255" s="400" t="s">
        <v>1038</v>
      </c>
      <c r="B1255" s="401" t="s">
        <v>3261</v>
      </c>
      <c r="C1255" s="400" t="s">
        <v>420</v>
      </c>
      <c r="D1255" s="400" t="s">
        <v>3262</v>
      </c>
      <c r="E1255" s="605" t="s">
        <v>1039</v>
      </c>
      <c r="F1255" s="605"/>
      <c r="G1255" s="402" t="s">
        <v>437</v>
      </c>
      <c r="H1255" s="403">
        <v>1</v>
      </c>
      <c r="I1255" s="403">
        <v>0</v>
      </c>
      <c r="J1255" s="404">
        <v>1.79</v>
      </c>
      <c r="K1255" s="404">
        <v>1.79</v>
      </c>
      <c r="L1255" s="168"/>
    </row>
    <row r="1256" spans="1:12" ht="15" x14ac:dyDescent="0.3">
      <c r="A1256" s="400" t="s">
        <v>1038</v>
      </c>
      <c r="B1256" s="401" t="s">
        <v>6295</v>
      </c>
      <c r="C1256" s="400" t="s">
        <v>420</v>
      </c>
      <c r="D1256" s="400" t="s">
        <v>6296</v>
      </c>
      <c r="E1256" s="605" t="s">
        <v>1053</v>
      </c>
      <c r="F1256" s="605"/>
      <c r="G1256" s="402" t="s">
        <v>1070</v>
      </c>
      <c r="H1256" s="403">
        <v>0.25</v>
      </c>
      <c r="I1256" s="403">
        <v>0</v>
      </c>
      <c r="J1256" s="404">
        <v>20.45</v>
      </c>
      <c r="K1256" s="404">
        <v>5.1124999999999998</v>
      </c>
      <c r="L1256" s="170"/>
    </row>
    <row r="1257" spans="1:12" ht="15" customHeight="1" x14ac:dyDescent="0.3">
      <c r="A1257" s="405"/>
      <c r="B1257" s="405"/>
      <c r="C1257" s="405"/>
      <c r="D1257" s="405"/>
      <c r="E1257" s="405" t="s">
        <v>1046</v>
      </c>
      <c r="F1257" s="406">
        <v>5.1100000000000003</v>
      </c>
      <c r="G1257" s="405" t="s">
        <v>1047</v>
      </c>
      <c r="H1257" s="406">
        <v>0</v>
      </c>
      <c r="I1257" s="405" t="s">
        <v>1048</v>
      </c>
      <c r="J1257" s="406">
        <v>5.1100000000000003</v>
      </c>
      <c r="K1257"/>
      <c r="L1257" s="168"/>
    </row>
    <row r="1258" spans="1:12" ht="25.5" customHeight="1" thickBot="1" x14ac:dyDescent="0.35">
      <c r="A1258" s="405"/>
      <c r="B1258" s="405"/>
      <c r="C1258" s="405"/>
      <c r="D1258" s="405"/>
      <c r="E1258" s="405" t="s">
        <v>1049</v>
      </c>
      <c r="F1258" s="406">
        <v>0</v>
      </c>
      <c r="G1258" s="405"/>
      <c r="H1258" s="606"/>
      <c r="I1258" s="606" t="s">
        <v>1050</v>
      </c>
      <c r="J1258" s="406">
        <v>15.94</v>
      </c>
      <c r="K1258"/>
      <c r="L1258" s="168"/>
    </row>
    <row r="1259" spans="1:12" ht="25.5" customHeight="1" thickTop="1" x14ac:dyDescent="0.3">
      <c r="A1259" s="407"/>
      <c r="B1259" s="407"/>
      <c r="C1259" s="407"/>
      <c r="D1259" s="407"/>
      <c r="E1259" s="407"/>
      <c r="F1259" s="407"/>
      <c r="G1259" s="407"/>
      <c r="H1259" s="407"/>
      <c r="I1259" s="407"/>
      <c r="J1259" s="407"/>
      <c r="K1259" s="407"/>
      <c r="L1259" s="168"/>
    </row>
    <row r="1260" spans="1:12" ht="15" x14ac:dyDescent="0.3">
      <c r="A1260" s="382" t="s">
        <v>776</v>
      </c>
      <c r="B1260" s="312" t="s">
        <v>413</v>
      </c>
      <c r="C1260" s="382" t="s">
        <v>414</v>
      </c>
      <c r="D1260" s="382" t="s">
        <v>415</v>
      </c>
      <c r="E1260" s="586" t="s">
        <v>1029</v>
      </c>
      <c r="F1260" s="586"/>
      <c r="G1260" s="383" t="s">
        <v>416</v>
      </c>
      <c r="H1260" s="312" t="s">
        <v>1030</v>
      </c>
      <c r="I1260" s="312" t="s">
        <v>3016</v>
      </c>
      <c r="J1260" s="312" t="s">
        <v>1031</v>
      </c>
      <c r="K1260" s="312" t="s">
        <v>1032</v>
      </c>
      <c r="L1260" s="166"/>
    </row>
    <row r="1261" spans="1:12" ht="26.4" x14ac:dyDescent="0.3">
      <c r="A1261" s="313" t="s">
        <v>1033</v>
      </c>
      <c r="B1261" s="315" t="s">
        <v>1011</v>
      </c>
      <c r="C1261" s="313" t="s">
        <v>420</v>
      </c>
      <c r="D1261" s="313" t="s">
        <v>5926</v>
      </c>
      <c r="E1261" s="603" t="s">
        <v>1513</v>
      </c>
      <c r="F1261" s="603"/>
      <c r="G1261" s="314" t="s">
        <v>437</v>
      </c>
      <c r="H1261" s="399">
        <v>1</v>
      </c>
      <c r="I1261" s="316"/>
      <c r="J1261" s="316">
        <v>22.82</v>
      </c>
      <c r="K1261" s="316">
        <v>22.82</v>
      </c>
      <c r="L1261" s="166"/>
    </row>
    <row r="1262" spans="1:12" ht="15" customHeight="1" x14ac:dyDescent="0.3">
      <c r="A1262" s="408" t="s">
        <v>1034</v>
      </c>
      <c r="B1262" s="409" t="s">
        <v>1478</v>
      </c>
      <c r="C1262" s="408" t="s">
        <v>420</v>
      </c>
      <c r="D1262" s="408" t="s">
        <v>1479</v>
      </c>
      <c r="E1262" s="604" t="s">
        <v>1069</v>
      </c>
      <c r="F1262" s="604"/>
      <c r="G1262" s="410" t="s">
        <v>1070</v>
      </c>
      <c r="H1262" s="412">
        <v>0.25</v>
      </c>
      <c r="I1262" s="412">
        <v>0</v>
      </c>
      <c r="J1262" s="411">
        <v>3.86</v>
      </c>
      <c r="K1262" s="411">
        <v>0.96499999999999997</v>
      </c>
      <c r="L1262" s="168"/>
    </row>
    <row r="1263" spans="1:12" ht="26.4" x14ac:dyDescent="0.3">
      <c r="A1263" s="408" t="s">
        <v>1034</v>
      </c>
      <c r="B1263" s="409" t="s">
        <v>1522</v>
      </c>
      <c r="C1263" s="408" t="s">
        <v>420</v>
      </c>
      <c r="D1263" s="408" t="s">
        <v>1523</v>
      </c>
      <c r="E1263" s="604" t="s">
        <v>1069</v>
      </c>
      <c r="F1263" s="604"/>
      <c r="G1263" s="410" t="s">
        <v>1070</v>
      </c>
      <c r="H1263" s="412">
        <v>0.22500000000000001</v>
      </c>
      <c r="I1263" s="412">
        <v>0</v>
      </c>
      <c r="J1263" s="411">
        <v>3.78</v>
      </c>
      <c r="K1263" s="411">
        <v>0.85050000000000003</v>
      </c>
      <c r="L1263" s="168"/>
    </row>
    <row r="1264" spans="1:12" ht="14.25" customHeight="1" x14ac:dyDescent="0.3">
      <c r="A1264" s="400" t="s">
        <v>1038</v>
      </c>
      <c r="B1264" s="401" t="s">
        <v>1514</v>
      </c>
      <c r="C1264" s="400" t="s">
        <v>420</v>
      </c>
      <c r="D1264" s="400" t="s">
        <v>1515</v>
      </c>
      <c r="E1264" s="605" t="s">
        <v>1039</v>
      </c>
      <c r="F1264" s="605"/>
      <c r="G1264" s="402" t="s">
        <v>1249</v>
      </c>
      <c r="H1264" s="403">
        <v>0.06</v>
      </c>
      <c r="I1264" s="403">
        <v>0</v>
      </c>
      <c r="J1264" s="404">
        <v>161.47</v>
      </c>
      <c r="K1264" s="404">
        <v>9.6882000000000001</v>
      </c>
      <c r="L1264" s="168"/>
    </row>
    <row r="1265" spans="1:12" ht="26.4" x14ac:dyDescent="0.3">
      <c r="A1265" s="400" t="s">
        <v>1038</v>
      </c>
      <c r="B1265" s="401" t="s">
        <v>1524</v>
      </c>
      <c r="C1265" s="400" t="s">
        <v>420</v>
      </c>
      <c r="D1265" s="400" t="s">
        <v>1525</v>
      </c>
      <c r="E1265" s="605" t="s">
        <v>1317</v>
      </c>
      <c r="F1265" s="605"/>
      <c r="G1265" s="402" t="s">
        <v>1526</v>
      </c>
      <c r="H1265" s="403">
        <v>2.81E-2</v>
      </c>
      <c r="I1265" s="403">
        <v>0</v>
      </c>
      <c r="J1265" s="404">
        <v>80</v>
      </c>
      <c r="K1265" s="404">
        <v>2.2480000000000002</v>
      </c>
      <c r="L1265" s="168"/>
    </row>
    <row r="1266" spans="1:12" ht="15" customHeight="1" x14ac:dyDescent="0.3">
      <c r="A1266" s="400" t="s">
        <v>1038</v>
      </c>
      <c r="B1266" s="401" t="s">
        <v>1527</v>
      </c>
      <c r="C1266" s="400" t="s">
        <v>420</v>
      </c>
      <c r="D1266" s="400" t="s">
        <v>1528</v>
      </c>
      <c r="E1266" s="605" t="s">
        <v>1039</v>
      </c>
      <c r="F1266" s="605"/>
      <c r="G1266" s="402" t="s">
        <v>422</v>
      </c>
      <c r="H1266" s="403">
        <v>1.8E-3</v>
      </c>
      <c r="I1266" s="403">
        <v>0</v>
      </c>
      <c r="J1266" s="404">
        <v>250.84</v>
      </c>
      <c r="K1266" s="404">
        <v>0.45151200000000002</v>
      </c>
      <c r="L1266" s="168"/>
    </row>
    <row r="1267" spans="1:12" ht="25.5" customHeight="1" x14ac:dyDescent="0.3">
      <c r="A1267" s="400" t="s">
        <v>1038</v>
      </c>
      <c r="B1267" s="401" t="s">
        <v>1529</v>
      </c>
      <c r="C1267" s="400" t="s">
        <v>420</v>
      </c>
      <c r="D1267" s="400" t="s">
        <v>4884</v>
      </c>
      <c r="E1267" s="605" t="s">
        <v>1053</v>
      </c>
      <c r="F1267" s="605"/>
      <c r="G1267" s="402" t="s">
        <v>1070</v>
      </c>
      <c r="H1267" s="403">
        <v>0.22500000000000001</v>
      </c>
      <c r="I1267" s="403">
        <v>0</v>
      </c>
      <c r="J1267" s="404">
        <v>15.59</v>
      </c>
      <c r="K1267" s="404">
        <v>3.5077500000000001</v>
      </c>
      <c r="L1267" s="166"/>
    </row>
    <row r="1268" spans="1:12" ht="25.5" customHeight="1" x14ac:dyDescent="0.3">
      <c r="A1268" s="400" t="s">
        <v>1038</v>
      </c>
      <c r="B1268" s="401" t="s">
        <v>6295</v>
      </c>
      <c r="C1268" s="400" t="s">
        <v>420</v>
      </c>
      <c r="D1268" s="400" t="s">
        <v>6296</v>
      </c>
      <c r="E1268" s="605" t="s">
        <v>1053</v>
      </c>
      <c r="F1268" s="605"/>
      <c r="G1268" s="402" t="s">
        <v>1070</v>
      </c>
      <c r="H1268" s="403">
        <v>0.25</v>
      </c>
      <c r="I1268" s="403">
        <v>0</v>
      </c>
      <c r="J1268" s="404">
        <v>20.45</v>
      </c>
      <c r="K1268" s="404">
        <v>5.1124999999999998</v>
      </c>
      <c r="L1268" s="168"/>
    </row>
    <row r="1269" spans="1:12" ht="15" x14ac:dyDescent="0.3">
      <c r="A1269" s="405"/>
      <c r="B1269" s="405"/>
      <c r="C1269" s="405"/>
      <c r="D1269" s="405"/>
      <c r="E1269" s="405" t="s">
        <v>1046</v>
      </c>
      <c r="F1269" s="406">
        <v>8.6199999999999992</v>
      </c>
      <c r="G1269" s="405" t="s">
        <v>1047</v>
      </c>
      <c r="H1269" s="406">
        <v>0</v>
      </c>
      <c r="I1269" s="405" t="s">
        <v>1048</v>
      </c>
      <c r="J1269" s="406">
        <v>8.6199999999999992</v>
      </c>
      <c r="K1269"/>
      <c r="L1269" s="168"/>
    </row>
    <row r="1270" spans="1:12" ht="15.6" thickBot="1" x14ac:dyDescent="0.35">
      <c r="A1270" s="405"/>
      <c r="B1270" s="405"/>
      <c r="C1270" s="405"/>
      <c r="D1270" s="405"/>
      <c r="E1270" s="405" t="s">
        <v>1049</v>
      </c>
      <c r="F1270" s="406">
        <v>0</v>
      </c>
      <c r="G1270" s="405"/>
      <c r="H1270" s="606"/>
      <c r="I1270" s="606" t="s">
        <v>1050</v>
      </c>
      <c r="J1270" s="406">
        <v>22.82</v>
      </c>
      <c r="K1270"/>
      <c r="L1270" s="168"/>
    </row>
    <row r="1271" spans="1:12" ht="15" customHeight="1" thickTop="1" x14ac:dyDescent="0.3">
      <c r="A1271" s="407"/>
      <c r="B1271" s="407"/>
      <c r="C1271" s="407"/>
      <c r="D1271" s="407"/>
      <c r="E1271" s="407"/>
      <c r="F1271" s="407"/>
      <c r="G1271" s="407"/>
      <c r="H1271" s="407"/>
      <c r="I1271" s="407"/>
      <c r="J1271" s="407"/>
      <c r="K1271" s="407"/>
      <c r="L1271" s="166"/>
    </row>
    <row r="1272" spans="1:12" ht="15" x14ac:dyDescent="0.3">
      <c r="A1272" s="382" t="s">
        <v>777</v>
      </c>
      <c r="B1272" s="312" t="s">
        <v>413</v>
      </c>
      <c r="C1272" s="382" t="s">
        <v>414</v>
      </c>
      <c r="D1272" s="382" t="s">
        <v>415</v>
      </c>
      <c r="E1272" s="586" t="s">
        <v>1029</v>
      </c>
      <c r="F1272" s="586"/>
      <c r="G1272" s="383" t="s">
        <v>416</v>
      </c>
      <c r="H1272" s="312" t="s">
        <v>1030</v>
      </c>
      <c r="I1272" s="312" t="s">
        <v>3016</v>
      </c>
      <c r="J1272" s="312" t="s">
        <v>1031</v>
      </c>
      <c r="K1272" s="312" t="s">
        <v>1032</v>
      </c>
      <c r="L1272" s="166"/>
    </row>
    <row r="1273" spans="1:12" ht="26.4" x14ac:dyDescent="0.3">
      <c r="A1273" s="313" t="s">
        <v>1033</v>
      </c>
      <c r="B1273" s="315" t="s">
        <v>1012</v>
      </c>
      <c r="C1273" s="313" t="s">
        <v>5902</v>
      </c>
      <c r="D1273" s="313" t="s">
        <v>751</v>
      </c>
      <c r="E1273" s="603">
        <v>32.07</v>
      </c>
      <c r="F1273" s="603"/>
      <c r="G1273" s="314" t="s">
        <v>7</v>
      </c>
      <c r="H1273" s="399">
        <v>1</v>
      </c>
      <c r="I1273" s="316"/>
      <c r="J1273" s="316">
        <v>11.8</v>
      </c>
      <c r="K1273" s="316">
        <v>11.8</v>
      </c>
      <c r="L1273" s="168"/>
    </row>
    <row r="1274" spans="1:12" ht="26.4" x14ac:dyDescent="0.3">
      <c r="A1274" s="400" t="s">
        <v>1038</v>
      </c>
      <c r="B1274" s="401" t="s">
        <v>1469</v>
      </c>
      <c r="C1274" s="400" t="s">
        <v>5902</v>
      </c>
      <c r="D1274" s="400" t="s">
        <v>1470</v>
      </c>
      <c r="E1274" s="605" t="s">
        <v>1053</v>
      </c>
      <c r="F1274" s="605"/>
      <c r="G1274" s="402" t="s">
        <v>6</v>
      </c>
      <c r="H1274" s="403">
        <v>0.125</v>
      </c>
      <c r="I1274" s="403">
        <v>0</v>
      </c>
      <c r="J1274" s="404">
        <v>27.64</v>
      </c>
      <c r="K1274" s="404">
        <v>3.4550000000000001</v>
      </c>
      <c r="L1274" s="168"/>
    </row>
    <row r="1275" spans="1:12" ht="15" customHeight="1" x14ac:dyDescent="0.3">
      <c r="A1275" s="400" t="s">
        <v>1038</v>
      </c>
      <c r="B1275" s="401" t="s">
        <v>1533</v>
      </c>
      <c r="C1275" s="400" t="s">
        <v>5902</v>
      </c>
      <c r="D1275" s="400" t="s">
        <v>1534</v>
      </c>
      <c r="E1275" s="605" t="s">
        <v>1039</v>
      </c>
      <c r="F1275" s="605"/>
      <c r="G1275" s="402" t="s">
        <v>1530</v>
      </c>
      <c r="H1275" s="403">
        <v>0.17849999999999999</v>
      </c>
      <c r="I1275" s="403">
        <v>0</v>
      </c>
      <c r="J1275" s="404">
        <v>43.73</v>
      </c>
      <c r="K1275" s="404">
        <v>7.8058050000000003</v>
      </c>
      <c r="L1275" s="168"/>
    </row>
    <row r="1276" spans="1:12" ht="25.5" customHeight="1" x14ac:dyDescent="0.3">
      <c r="A1276" s="400" t="s">
        <v>1038</v>
      </c>
      <c r="B1276" s="401" t="s">
        <v>1531</v>
      </c>
      <c r="C1276" s="400" t="s">
        <v>5902</v>
      </c>
      <c r="D1276" s="400" t="s">
        <v>1532</v>
      </c>
      <c r="E1276" s="605" t="s">
        <v>1039</v>
      </c>
      <c r="F1276" s="605"/>
      <c r="G1276" s="402" t="s">
        <v>7</v>
      </c>
      <c r="H1276" s="403">
        <v>1</v>
      </c>
      <c r="I1276" s="403">
        <v>0</v>
      </c>
      <c r="J1276" s="404">
        <v>0.54</v>
      </c>
      <c r="K1276" s="404">
        <v>0.54</v>
      </c>
      <c r="L1276" s="166"/>
    </row>
    <row r="1277" spans="1:12" ht="25.5" customHeight="1" x14ac:dyDescent="0.3">
      <c r="A1277" s="405"/>
      <c r="B1277" s="405"/>
      <c r="C1277" s="405"/>
      <c r="D1277" s="405"/>
      <c r="E1277" s="405" t="s">
        <v>1046</v>
      </c>
      <c r="F1277" s="406">
        <v>3.46</v>
      </c>
      <c r="G1277" s="405" t="s">
        <v>1047</v>
      </c>
      <c r="H1277" s="406">
        <v>0</v>
      </c>
      <c r="I1277" s="405" t="s">
        <v>1048</v>
      </c>
      <c r="J1277" s="406">
        <v>3.46</v>
      </c>
      <c r="K1277"/>
      <c r="L1277" s="166"/>
    </row>
    <row r="1278" spans="1:12" ht="15.6" thickBot="1" x14ac:dyDescent="0.35">
      <c r="A1278" s="405"/>
      <c r="B1278" s="405"/>
      <c r="C1278" s="405"/>
      <c r="D1278" s="405"/>
      <c r="E1278" s="405" t="s">
        <v>1049</v>
      </c>
      <c r="F1278" s="406">
        <v>0</v>
      </c>
      <c r="G1278" s="405"/>
      <c r="H1278" s="606"/>
      <c r="I1278" s="606" t="s">
        <v>1050</v>
      </c>
      <c r="J1278" s="406">
        <v>11.8</v>
      </c>
      <c r="K1278"/>
      <c r="L1278" s="166"/>
    </row>
    <row r="1279" spans="1:12" ht="15" customHeight="1" thickTop="1" x14ac:dyDescent="0.3">
      <c r="A1279" s="407"/>
      <c r="B1279" s="407"/>
      <c r="C1279" s="407"/>
      <c r="D1279" s="407"/>
      <c r="E1279" s="407"/>
      <c r="F1279" s="407"/>
      <c r="G1279" s="407"/>
      <c r="H1279" s="407"/>
      <c r="I1279" s="407"/>
      <c r="J1279" s="407"/>
      <c r="K1279" s="407"/>
      <c r="L1279" s="166"/>
    </row>
    <row r="1280" spans="1:12" ht="15" customHeight="1" x14ac:dyDescent="0.3">
      <c r="A1280" s="382" t="s">
        <v>779</v>
      </c>
      <c r="B1280" s="312" t="s">
        <v>413</v>
      </c>
      <c r="C1280" s="382" t="s">
        <v>414</v>
      </c>
      <c r="D1280" s="382" t="s">
        <v>415</v>
      </c>
      <c r="E1280" s="586" t="s">
        <v>1029</v>
      </c>
      <c r="F1280" s="586"/>
      <c r="G1280" s="383" t="s">
        <v>416</v>
      </c>
      <c r="H1280" s="312" t="s">
        <v>1030</v>
      </c>
      <c r="I1280" s="312" t="s">
        <v>3016</v>
      </c>
      <c r="J1280" s="312" t="s">
        <v>1031</v>
      </c>
      <c r="K1280" s="312" t="s">
        <v>1032</v>
      </c>
      <c r="L1280" s="166"/>
    </row>
    <row r="1281" spans="1:12" ht="25.5" customHeight="1" x14ac:dyDescent="0.3">
      <c r="A1281" s="313" t="s">
        <v>1033</v>
      </c>
      <c r="B1281" s="315" t="s">
        <v>1023</v>
      </c>
      <c r="C1281" s="313" t="s">
        <v>575</v>
      </c>
      <c r="D1281" s="313" t="s">
        <v>800</v>
      </c>
      <c r="E1281" s="603" t="s">
        <v>1597</v>
      </c>
      <c r="F1281" s="603"/>
      <c r="G1281" s="314" t="s">
        <v>437</v>
      </c>
      <c r="H1281" s="399">
        <v>1</v>
      </c>
      <c r="I1281" s="316"/>
      <c r="J1281" s="316">
        <v>27.46</v>
      </c>
      <c r="K1281" s="316">
        <v>27.46</v>
      </c>
      <c r="L1281" s="166"/>
    </row>
    <row r="1282" spans="1:12" ht="26.4" x14ac:dyDescent="0.3">
      <c r="A1282" s="408" t="s">
        <v>1034</v>
      </c>
      <c r="B1282" s="409" t="s">
        <v>1516</v>
      </c>
      <c r="C1282" s="408" t="s">
        <v>420</v>
      </c>
      <c r="D1282" s="408" t="s">
        <v>1517</v>
      </c>
      <c r="E1282" s="604" t="s">
        <v>1069</v>
      </c>
      <c r="F1282" s="604"/>
      <c r="G1282" s="410" t="s">
        <v>1070</v>
      </c>
      <c r="H1282" s="412">
        <v>0.5</v>
      </c>
      <c r="I1282" s="412">
        <v>0</v>
      </c>
      <c r="J1282" s="411">
        <v>3.78</v>
      </c>
      <c r="K1282" s="411">
        <v>1.89</v>
      </c>
      <c r="L1282" s="166"/>
    </row>
    <row r="1283" spans="1:12" ht="15" x14ac:dyDescent="0.3">
      <c r="A1283" s="400" t="s">
        <v>1038</v>
      </c>
      <c r="B1283" s="401" t="s">
        <v>1518</v>
      </c>
      <c r="C1283" s="400" t="s">
        <v>395</v>
      </c>
      <c r="D1283" s="400" t="s">
        <v>401</v>
      </c>
      <c r="E1283" s="605" t="s">
        <v>1053</v>
      </c>
      <c r="F1283" s="605"/>
      <c r="G1283" s="402" t="s">
        <v>6</v>
      </c>
      <c r="H1283" s="403">
        <v>0.5</v>
      </c>
      <c r="I1283" s="403">
        <v>0</v>
      </c>
      <c r="J1283" s="404">
        <v>30.3</v>
      </c>
      <c r="K1283" s="404">
        <v>15.15</v>
      </c>
      <c r="L1283" s="168"/>
    </row>
    <row r="1284" spans="1:12" ht="15" customHeight="1" x14ac:dyDescent="0.3">
      <c r="A1284" s="400" t="s">
        <v>1038</v>
      </c>
      <c r="B1284" s="401" t="s">
        <v>1598</v>
      </c>
      <c r="C1284" s="400" t="s">
        <v>575</v>
      </c>
      <c r="D1284" s="400" t="s">
        <v>1599</v>
      </c>
      <c r="E1284" s="605" t="s">
        <v>1039</v>
      </c>
      <c r="F1284" s="605"/>
      <c r="G1284" s="402" t="s">
        <v>437</v>
      </c>
      <c r="H1284" s="403">
        <v>1.05</v>
      </c>
      <c r="I1284" s="403">
        <v>0</v>
      </c>
      <c r="J1284" s="404">
        <v>9.92</v>
      </c>
      <c r="K1284" s="404">
        <v>10.416</v>
      </c>
      <c r="L1284" s="170"/>
    </row>
    <row r="1285" spans="1:12" ht="25.5" customHeight="1" x14ac:dyDescent="0.3">
      <c r="A1285" s="405"/>
      <c r="B1285" s="405"/>
      <c r="C1285" s="405"/>
      <c r="D1285" s="405"/>
      <c r="E1285" s="405" t="s">
        <v>1046</v>
      </c>
      <c r="F1285" s="406">
        <v>15.15</v>
      </c>
      <c r="G1285" s="405" t="s">
        <v>1047</v>
      </c>
      <c r="H1285" s="406">
        <v>0</v>
      </c>
      <c r="I1285" s="405" t="s">
        <v>1048</v>
      </c>
      <c r="J1285" s="406">
        <v>15.15</v>
      </c>
      <c r="K1285"/>
      <c r="L1285" s="168"/>
    </row>
    <row r="1286" spans="1:12" ht="25.5" customHeight="1" thickBot="1" x14ac:dyDescent="0.35">
      <c r="A1286" s="405"/>
      <c r="B1286" s="405"/>
      <c r="C1286" s="405"/>
      <c r="D1286" s="405"/>
      <c r="E1286" s="405" t="s">
        <v>1049</v>
      </c>
      <c r="F1286" s="406">
        <v>0</v>
      </c>
      <c r="G1286" s="405"/>
      <c r="H1286" s="606"/>
      <c r="I1286" s="606" t="s">
        <v>1050</v>
      </c>
      <c r="J1286" s="406">
        <v>27.46</v>
      </c>
      <c r="K1286"/>
      <c r="L1286" s="168"/>
    </row>
    <row r="1287" spans="1:12" ht="15.6" thickTop="1" x14ac:dyDescent="0.3">
      <c r="A1287" s="407"/>
      <c r="B1287" s="407"/>
      <c r="C1287" s="407"/>
      <c r="D1287" s="407"/>
      <c r="E1287" s="407"/>
      <c r="F1287" s="407"/>
      <c r="G1287" s="407"/>
      <c r="H1287" s="407"/>
      <c r="I1287" s="407"/>
      <c r="J1287" s="407"/>
      <c r="K1287" s="407"/>
      <c r="L1287" s="168"/>
    </row>
    <row r="1288" spans="1:12" ht="15" x14ac:dyDescent="0.3">
      <c r="A1288" s="382" t="s">
        <v>780</v>
      </c>
      <c r="B1288" s="312" t="s">
        <v>413</v>
      </c>
      <c r="C1288" s="382" t="s">
        <v>414</v>
      </c>
      <c r="D1288" s="382" t="s">
        <v>415</v>
      </c>
      <c r="E1288" s="586" t="s">
        <v>1029</v>
      </c>
      <c r="F1288" s="586"/>
      <c r="G1288" s="383" t="s">
        <v>416</v>
      </c>
      <c r="H1288" s="312" t="s">
        <v>1030</v>
      </c>
      <c r="I1288" s="312" t="s">
        <v>3016</v>
      </c>
      <c r="J1288" s="312" t="s">
        <v>1031</v>
      </c>
      <c r="K1288" s="312" t="s">
        <v>1032</v>
      </c>
      <c r="L1288" s="166"/>
    </row>
    <row r="1289" spans="1:12" ht="15" customHeight="1" x14ac:dyDescent="0.3">
      <c r="A1289" s="313" t="s">
        <v>1033</v>
      </c>
      <c r="B1289" s="315" t="s">
        <v>1024</v>
      </c>
      <c r="C1289" s="313" t="s">
        <v>575</v>
      </c>
      <c r="D1289" s="313" t="s">
        <v>802</v>
      </c>
      <c r="E1289" s="603" t="s">
        <v>1597</v>
      </c>
      <c r="F1289" s="603"/>
      <c r="G1289" s="314" t="s">
        <v>437</v>
      </c>
      <c r="H1289" s="399">
        <v>1</v>
      </c>
      <c r="I1289" s="316"/>
      <c r="J1289" s="316">
        <v>29.85</v>
      </c>
      <c r="K1289" s="316">
        <v>29.85</v>
      </c>
      <c r="L1289" s="166"/>
    </row>
    <row r="1290" spans="1:12" ht="14.25" customHeight="1" x14ac:dyDescent="0.3">
      <c r="A1290" s="408" t="s">
        <v>1034</v>
      </c>
      <c r="B1290" s="409" t="s">
        <v>1516</v>
      </c>
      <c r="C1290" s="408" t="s">
        <v>420</v>
      </c>
      <c r="D1290" s="408" t="s">
        <v>1517</v>
      </c>
      <c r="E1290" s="604" t="s">
        <v>1069</v>
      </c>
      <c r="F1290" s="604"/>
      <c r="G1290" s="410" t="s">
        <v>1070</v>
      </c>
      <c r="H1290" s="412">
        <v>0.5</v>
      </c>
      <c r="I1290" s="412">
        <v>0</v>
      </c>
      <c r="J1290" s="411">
        <v>3.78</v>
      </c>
      <c r="K1290" s="411">
        <v>1.89</v>
      </c>
      <c r="L1290" s="168"/>
    </row>
    <row r="1291" spans="1:12" ht="30" customHeight="1" x14ac:dyDescent="0.3">
      <c r="A1291" s="400" t="s">
        <v>1038</v>
      </c>
      <c r="B1291" s="401" t="s">
        <v>1518</v>
      </c>
      <c r="C1291" s="400" t="s">
        <v>395</v>
      </c>
      <c r="D1291" s="400" t="s">
        <v>401</v>
      </c>
      <c r="E1291" s="605" t="s">
        <v>1053</v>
      </c>
      <c r="F1291" s="605"/>
      <c r="G1291" s="402" t="s">
        <v>6</v>
      </c>
      <c r="H1291" s="403">
        <v>0.5</v>
      </c>
      <c r="I1291" s="403">
        <v>0</v>
      </c>
      <c r="J1291" s="404">
        <v>30.3</v>
      </c>
      <c r="K1291" s="404">
        <v>15.15</v>
      </c>
      <c r="L1291" s="168"/>
    </row>
    <row r="1292" spans="1:12" ht="15" x14ac:dyDescent="0.3">
      <c r="A1292" s="400" t="s">
        <v>1038</v>
      </c>
      <c r="B1292" s="401" t="s">
        <v>1600</v>
      </c>
      <c r="C1292" s="400" t="s">
        <v>575</v>
      </c>
      <c r="D1292" s="400" t="s">
        <v>802</v>
      </c>
      <c r="E1292" s="605" t="s">
        <v>1039</v>
      </c>
      <c r="F1292" s="605"/>
      <c r="G1292" s="402" t="s">
        <v>437</v>
      </c>
      <c r="H1292" s="403">
        <v>1.05</v>
      </c>
      <c r="I1292" s="403">
        <v>0</v>
      </c>
      <c r="J1292" s="404">
        <v>12.2</v>
      </c>
      <c r="K1292" s="404">
        <v>12.81</v>
      </c>
      <c r="L1292" s="168"/>
    </row>
    <row r="1293" spans="1:12" ht="15" customHeight="1" x14ac:dyDescent="0.3">
      <c r="A1293" s="405"/>
      <c r="B1293" s="405"/>
      <c r="C1293" s="405"/>
      <c r="D1293" s="405"/>
      <c r="E1293" s="405" t="s">
        <v>1046</v>
      </c>
      <c r="F1293" s="406">
        <v>15.15</v>
      </c>
      <c r="G1293" s="405" t="s">
        <v>1047</v>
      </c>
      <c r="H1293" s="406">
        <v>0</v>
      </c>
      <c r="I1293" s="405" t="s">
        <v>1048</v>
      </c>
      <c r="J1293" s="406">
        <v>15.15</v>
      </c>
      <c r="K1293"/>
      <c r="L1293" s="168"/>
    </row>
    <row r="1294" spans="1:12" ht="25.5" customHeight="1" thickBot="1" x14ac:dyDescent="0.35">
      <c r="A1294" s="405"/>
      <c r="B1294" s="405"/>
      <c r="C1294" s="405"/>
      <c r="D1294" s="405"/>
      <c r="E1294" s="405" t="s">
        <v>1049</v>
      </c>
      <c r="F1294" s="406">
        <v>0</v>
      </c>
      <c r="G1294" s="405"/>
      <c r="H1294" s="606"/>
      <c r="I1294" s="606" t="s">
        <v>1050</v>
      </c>
      <c r="J1294" s="406">
        <v>29.85</v>
      </c>
      <c r="K1294"/>
      <c r="L1294" s="168"/>
    </row>
    <row r="1295" spans="1:12" ht="25.5" customHeight="1" thickTop="1" x14ac:dyDescent="0.3">
      <c r="A1295" s="407"/>
      <c r="B1295" s="407"/>
      <c r="C1295" s="407"/>
      <c r="D1295" s="407"/>
      <c r="E1295" s="407"/>
      <c r="F1295" s="407"/>
      <c r="G1295" s="407"/>
      <c r="H1295" s="407"/>
      <c r="I1295" s="407"/>
      <c r="J1295" s="407"/>
      <c r="K1295" s="407"/>
      <c r="L1295" s="166"/>
    </row>
    <row r="1296" spans="1:12" ht="15" x14ac:dyDescent="0.3">
      <c r="A1296" s="382" t="s">
        <v>783</v>
      </c>
      <c r="B1296" s="312" t="s">
        <v>413</v>
      </c>
      <c r="C1296" s="382" t="s">
        <v>414</v>
      </c>
      <c r="D1296" s="382" t="s">
        <v>415</v>
      </c>
      <c r="E1296" s="586" t="s">
        <v>1029</v>
      </c>
      <c r="F1296" s="586"/>
      <c r="G1296" s="383" t="s">
        <v>416</v>
      </c>
      <c r="H1296" s="312" t="s">
        <v>1030</v>
      </c>
      <c r="I1296" s="312" t="s">
        <v>3016</v>
      </c>
      <c r="J1296" s="312" t="s">
        <v>1031</v>
      </c>
      <c r="K1296" s="312" t="s">
        <v>1032</v>
      </c>
      <c r="L1296" s="168"/>
    </row>
    <row r="1297" spans="1:12" ht="12.75" customHeight="1" x14ac:dyDescent="0.3">
      <c r="A1297" s="313" t="s">
        <v>1033</v>
      </c>
      <c r="B1297" s="315" t="s">
        <v>1010</v>
      </c>
      <c r="C1297" s="313" t="s">
        <v>395</v>
      </c>
      <c r="D1297" s="313" t="s">
        <v>5927</v>
      </c>
      <c r="E1297" s="603" t="s">
        <v>7855</v>
      </c>
      <c r="F1297" s="603"/>
      <c r="G1297" s="314" t="s">
        <v>3</v>
      </c>
      <c r="H1297" s="399">
        <v>1</v>
      </c>
      <c r="I1297" s="316"/>
      <c r="J1297" s="316">
        <v>18.38</v>
      </c>
      <c r="K1297" s="316">
        <v>18.38</v>
      </c>
      <c r="L1297" s="168"/>
    </row>
    <row r="1298" spans="1:12" ht="17.399999999999999" customHeight="1" x14ac:dyDescent="0.3">
      <c r="A1298" s="408" t="s">
        <v>1034</v>
      </c>
      <c r="B1298" s="409" t="s">
        <v>1301</v>
      </c>
      <c r="C1298" s="408" t="s">
        <v>395</v>
      </c>
      <c r="D1298" s="408" t="s">
        <v>126</v>
      </c>
      <c r="E1298" s="604" t="s">
        <v>7768</v>
      </c>
      <c r="F1298" s="604"/>
      <c r="G1298" s="410" t="s">
        <v>6</v>
      </c>
      <c r="H1298" s="412">
        <v>0.13839000000000001</v>
      </c>
      <c r="I1298" s="412">
        <v>0</v>
      </c>
      <c r="J1298" s="411">
        <v>40.86</v>
      </c>
      <c r="K1298" s="411">
        <v>5.6546154</v>
      </c>
      <c r="L1298" s="168"/>
    </row>
    <row r="1299" spans="1:12" ht="26.4" x14ac:dyDescent="0.3">
      <c r="A1299" s="408" t="s">
        <v>1034</v>
      </c>
      <c r="B1299" s="409" t="s">
        <v>1290</v>
      </c>
      <c r="C1299" s="408" t="s">
        <v>395</v>
      </c>
      <c r="D1299" s="408" t="s">
        <v>147</v>
      </c>
      <c r="E1299" s="604" t="s">
        <v>7768</v>
      </c>
      <c r="F1299" s="604"/>
      <c r="G1299" s="410" t="s">
        <v>6</v>
      </c>
      <c r="H1299" s="412">
        <v>6.5900000000000004E-3</v>
      </c>
      <c r="I1299" s="412">
        <v>0</v>
      </c>
      <c r="J1299" s="411">
        <v>32.82</v>
      </c>
      <c r="K1299" s="411">
        <v>0.2162838</v>
      </c>
      <c r="L1299" s="166"/>
    </row>
    <row r="1300" spans="1:12" ht="15" customHeight="1" x14ac:dyDescent="0.3">
      <c r="A1300" s="400" t="s">
        <v>1038</v>
      </c>
      <c r="B1300" s="401" t="s">
        <v>1519</v>
      </c>
      <c r="C1300" s="400" t="s">
        <v>395</v>
      </c>
      <c r="D1300" s="400" t="s">
        <v>231</v>
      </c>
      <c r="E1300" s="605" t="s">
        <v>1039</v>
      </c>
      <c r="F1300" s="605"/>
      <c r="G1300" s="402" t="s">
        <v>3</v>
      </c>
      <c r="H1300" s="403">
        <v>1</v>
      </c>
      <c r="I1300" s="403">
        <v>0</v>
      </c>
      <c r="J1300" s="404">
        <v>10.86</v>
      </c>
      <c r="K1300" s="404">
        <v>10.86</v>
      </c>
      <c r="L1300" s="166"/>
    </row>
    <row r="1301" spans="1:12" ht="12.75" customHeight="1" x14ac:dyDescent="0.3">
      <c r="A1301" s="400" t="s">
        <v>1038</v>
      </c>
      <c r="B1301" s="401" t="s">
        <v>1520</v>
      </c>
      <c r="C1301" s="400" t="s">
        <v>395</v>
      </c>
      <c r="D1301" s="400" t="s">
        <v>288</v>
      </c>
      <c r="E1301" s="605" t="s">
        <v>1039</v>
      </c>
      <c r="F1301" s="605"/>
      <c r="G1301" s="402" t="s">
        <v>7</v>
      </c>
      <c r="H1301" s="403">
        <v>0.31145</v>
      </c>
      <c r="I1301" s="403">
        <v>0</v>
      </c>
      <c r="J1301" s="404">
        <v>5.31</v>
      </c>
      <c r="K1301" s="404">
        <v>1.6537995000000001</v>
      </c>
      <c r="L1301" s="168"/>
    </row>
    <row r="1302" spans="1:12" ht="30" customHeight="1" x14ac:dyDescent="0.3">
      <c r="A1302" s="405"/>
      <c r="B1302" s="405"/>
      <c r="C1302" s="405"/>
      <c r="D1302" s="405"/>
      <c r="E1302" s="405" t="s">
        <v>1046</v>
      </c>
      <c r="F1302" s="406">
        <v>4.3899999999999997</v>
      </c>
      <c r="G1302" s="405" t="s">
        <v>1047</v>
      </c>
      <c r="H1302" s="406">
        <v>0</v>
      </c>
      <c r="I1302" s="405" t="s">
        <v>1048</v>
      </c>
      <c r="J1302" s="406">
        <v>4.3899999999999997</v>
      </c>
      <c r="K1302"/>
      <c r="L1302" s="168"/>
    </row>
    <row r="1303" spans="1:12" ht="14.25" customHeight="1" thickBot="1" x14ac:dyDescent="0.35">
      <c r="A1303" s="405"/>
      <c r="B1303" s="405"/>
      <c r="C1303" s="405"/>
      <c r="D1303" s="405"/>
      <c r="E1303" s="405" t="s">
        <v>1049</v>
      </c>
      <c r="F1303" s="406">
        <v>0</v>
      </c>
      <c r="G1303" s="405"/>
      <c r="H1303" s="606"/>
      <c r="I1303" s="606" t="s">
        <v>1050</v>
      </c>
      <c r="J1303" s="406">
        <v>18.38</v>
      </c>
      <c r="K1303"/>
      <c r="L1303" s="168"/>
    </row>
    <row r="1304" spans="1:12" ht="25.5" customHeight="1" thickTop="1" x14ac:dyDescent="0.3">
      <c r="A1304" s="407"/>
      <c r="B1304" s="407"/>
      <c r="C1304" s="407"/>
      <c r="D1304" s="407"/>
      <c r="E1304" s="407"/>
      <c r="F1304" s="407"/>
      <c r="G1304" s="407"/>
      <c r="H1304" s="407"/>
      <c r="I1304" s="407"/>
      <c r="J1304" s="407"/>
      <c r="K1304" s="407"/>
      <c r="L1304" s="166"/>
    </row>
    <row r="1305" spans="1:12" ht="15" x14ac:dyDescent="0.3">
      <c r="A1305" s="382" t="s">
        <v>784</v>
      </c>
      <c r="B1305" s="312" t="s">
        <v>413</v>
      </c>
      <c r="C1305" s="382" t="s">
        <v>414</v>
      </c>
      <c r="D1305" s="382" t="s">
        <v>415</v>
      </c>
      <c r="E1305" s="586" t="s">
        <v>1029</v>
      </c>
      <c r="F1305" s="586"/>
      <c r="G1305" s="383" t="s">
        <v>416</v>
      </c>
      <c r="H1305" s="312" t="s">
        <v>1030</v>
      </c>
      <c r="I1305" s="312" t="s">
        <v>3016</v>
      </c>
      <c r="J1305" s="312" t="s">
        <v>1031</v>
      </c>
      <c r="K1305" s="312" t="s">
        <v>1032</v>
      </c>
      <c r="L1305" s="166"/>
    </row>
    <row r="1306" spans="1:12" ht="26.4" x14ac:dyDescent="0.3">
      <c r="A1306" s="313" t="s">
        <v>1033</v>
      </c>
      <c r="B1306" s="315" t="s">
        <v>1002</v>
      </c>
      <c r="C1306" s="313" t="s">
        <v>5902</v>
      </c>
      <c r="D1306" s="313" t="s">
        <v>712</v>
      </c>
      <c r="E1306" s="603">
        <v>17.010000000000002</v>
      </c>
      <c r="F1306" s="603"/>
      <c r="G1306" s="314" t="s">
        <v>713</v>
      </c>
      <c r="H1306" s="399">
        <v>1</v>
      </c>
      <c r="I1306" s="316"/>
      <c r="J1306" s="316">
        <v>854.23</v>
      </c>
      <c r="K1306" s="316">
        <v>854.23</v>
      </c>
      <c r="L1306" s="166"/>
    </row>
    <row r="1307" spans="1:12" ht="26.4" x14ac:dyDescent="0.3">
      <c r="A1307" s="400" t="s">
        <v>1038</v>
      </c>
      <c r="B1307" s="401" t="s">
        <v>1471</v>
      </c>
      <c r="C1307" s="400" t="s">
        <v>5902</v>
      </c>
      <c r="D1307" s="400" t="s">
        <v>1472</v>
      </c>
      <c r="E1307" s="605" t="s">
        <v>1039</v>
      </c>
      <c r="F1307" s="605"/>
      <c r="G1307" s="402" t="s">
        <v>3</v>
      </c>
      <c r="H1307" s="403">
        <v>453</v>
      </c>
      <c r="I1307" s="403">
        <v>0</v>
      </c>
      <c r="J1307" s="404">
        <v>0.67</v>
      </c>
      <c r="K1307" s="404">
        <v>303.51</v>
      </c>
      <c r="L1307" s="166"/>
    </row>
    <row r="1308" spans="1:12" ht="25.5" customHeight="1" x14ac:dyDescent="0.3">
      <c r="A1308" s="400" t="s">
        <v>1038</v>
      </c>
      <c r="B1308" s="401" t="s">
        <v>1469</v>
      </c>
      <c r="C1308" s="400" t="s">
        <v>5902</v>
      </c>
      <c r="D1308" s="400" t="s">
        <v>1470</v>
      </c>
      <c r="E1308" s="605" t="s">
        <v>1053</v>
      </c>
      <c r="F1308" s="605"/>
      <c r="G1308" s="402" t="s">
        <v>6</v>
      </c>
      <c r="H1308" s="403">
        <v>6</v>
      </c>
      <c r="I1308" s="403">
        <v>0</v>
      </c>
      <c r="J1308" s="404">
        <v>27.64</v>
      </c>
      <c r="K1308" s="404">
        <v>165.84</v>
      </c>
      <c r="L1308" s="166"/>
    </row>
    <row r="1309" spans="1:12" ht="25.5" customHeight="1" x14ac:dyDescent="0.3">
      <c r="A1309" s="400" t="s">
        <v>1038</v>
      </c>
      <c r="B1309" s="401" t="s">
        <v>1467</v>
      </c>
      <c r="C1309" s="400" t="s">
        <v>5902</v>
      </c>
      <c r="D1309" s="400" t="s">
        <v>1468</v>
      </c>
      <c r="E1309" s="605" t="s">
        <v>1053</v>
      </c>
      <c r="F1309" s="605"/>
      <c r="G1309" s="402" t="s">
        <v>6</v>
      </c>
      <c r="H1309" s="403">
        <v>8.5</v>
      </c>
      <c r="I1309" s="403">
        <v>0</v>
      </c>
      <c r="J1309" s="404">
        <v>22.71</v>
      </c>
      <c r="K1309" s="404">
        <v>193.035</v>
      </c>
      <c r="L1309" s="166"/>
    </row>
    <row r="1310" spans="1:12" ht="12.75" customHeight="1" x14ac:dyDescent="0.3">
      <c r="A1310" s="400" t="s">
        <v>1038</v>
      </c>
      <c r="B1310" s="401" t="s">
        <v>1473</v>
      </c>
      <c r="C1310" s="400" t="s">
        <v>5902</v>
      </c>
      <c r="D1310" s="400" t="s">
        <v>1474</v>
      </c>
      <c r="E1310" s="605" t="s">
        <v>1039</v>
      </c>
      <c r="F1310" s="605"/>
      <c r="G1310" s="402" t="s">
        <v>713</v>
      </c>
      <c r="H1310" s="403">
        <v>1.0449999999999999</v>
      </c>
      <c r="I1310" s="403">
        <v>0</v>
      </c>
      <c r="J1310" s="404">
        <v>170.72</v>
      </c>
      <c r="K1310" s="404">
        <v>178.4024</v>
      </c>
      <c r="L1310" s="166"/>
    </row>
    <row r="1311" spans="1:12" ht="26.4" x14ac:dyDescent="0.3">
      <c r="A1311" s="400" t="s">
        <v>1038</v>
      </c>
      <c r="B1311" s="401" t="s">
        <v>1490</v>
      </c>
      <c r="C1311" s="400" t="s">
        <v>5902</v>
      </c>
      <c r="D1311" s="400" t="s">
        <v>1491</v>
      </c>
      <c r="E1311" s="605" t="s">
        <v>1039</v>
      </c>
      <c r="F1311" s="605"/>
      <c r="G1311" s="402" t="s">
        <v>6</v>
      </c>
      <c r="H1311" s="403">
        <v>0.43</v>
      </c>
      <c r="I1311" s="403">
        <v>0</v>
      </c>
      <c r="J1311" s="404">
        <v>31.27</v>
      </c>
      <c r="K1311" s="404">
        <v>13.446099999999999</v>
      </c>
      <c r="L1311" s="168"/>
    </row>
    <row r="1312" spans="1:12" ht="15" x14ac:dyDescent="0.3">
      <c r="A1312" s="405"/>
      <c r="B1312" s="405"/>
      <c r="C1312" s="405"/>
      <c r="D1312" s="405"/>
      <c r="E1312" s="405" t="s">
        <v>1046</v>
      </c>
      <c r="F1312" s="406">
        <v>358.88</v>
      </c>
      <c r="G1312" s="405" t="s">
        <v>1047</v>
      </c>
      <c r="H1312" s="406">
        <v>0</v>
      </c>
      <c r="I1312" s="405" t="s">
        <v>1048</v>
      </c>
      <c r="J1312" s="406">
        <v>358.88</v>
      </c>
      <c r="K1312"/>
      <c r="L1312" s="170"/>
    </row>
    <row r="1313" spans="1:12" ht="15" customHeight="1" thickBot="1" x14ac:dyDescent="0.35">
      <c r="A1313" s="405"/>
      <c r="B1313" s="405"/>
      <c r="C1313" s="405"/>
      <c r="D1313" s="405"/>
      <c r="E1313" s="405" t="s">
        <v>1049</v>
      </c>
      <c r="F1313" s="406">
        <v>0</v>
      </c>
      <c r="G1313" s="405"/>
      <c r="H1313" s="606"/>
      <c r="I1313" s="606" t="s">
        <v>1050</v>
      </c>
      <c r="J1313" s="406">
        <v>854.23</v>
      </c>
      <c r="K1313"/>
      <c r="L1313" s="168"/>
    </row>
    <row r="1314" spans="1:12" ht="14.25" customHeight="1" thickTop="1" x14ac:dyDescent="0.3">
      <c r="A1314" s="407"/>
      <c r="B1314" s="407"/>
      <c r="C1314" s="407"/>
      <c r="D1314" s="407"/>
      <c r="E1314" s="407"/>
      <c r="F1314" s="407"/>
      <c r="G1314" s="407"/>
      <c r="H1314" s="407"/>
      <c r="I1314" s="407"/>
      <c r="J1314" s="407"/>
      <c r="K1314" s="407"/>
      <c r="L1314" s="168"/>
    </row>
    <row r="1315" spans="1:12" ht="25.5" customHeight="1" x14ac:dyDescent="0.3">
      <c r="A1315" s="382" t="s">
        <v>785</v>
      </c>
      <c r="B1315" s="312" t="s">
        <v>413</v>
      </c>
      <c r="C1315" s="382" t="s">
        <v>414</v>
      </c>
      <c r="D1315" s="382" t="s">
        <v>415</v>
      </c>
      <c r="E1315" s="586" t="s">
        <v>1029</v>
      </c>
      <c r="F1315" s="586"/>
      <c r="G1315" s="383" t="s">
        <v>416</v>
      </c>
      <c r="H1315" s="312" t="s">
        <v>1030</v>
      </c>
      <c r="I1315" s="312" t="s">
        <v>3016</v>
      </c>
      <c r="J1315" s="312" t="s">
        <v>1031</v>
      </c>
      <c r="K1315" s="312" t="s">
        <v>1032</v>
      </c>
      <c r="L1315" s="168"/>
    </row>
    <row r="1316" spans="1:12" ht="25.5" customHeight="1" x14ac:dyDescent="0.3">
      <c r="A1316" s="313" t="s">
        <v>1033</v>
      </c>
      <c r="B1316" s="315" t="s">
        <v>9654</v>
      </c>
      <c r="C1316" s="313" t="s">
        <v>408</v>
      </c>
      <c r="D1316" s="313" t="s">
        <v>8525</v>
      </c>
      <c r="E1316" s="603" t="s">
        <v>9655</v>
      </c>
      <c r="F1316" s="603"/>
      <c r="G1316" s="314" t="s">
        <v>675</v>
      </c>
      <c r="H1316" s="399">
        <v>1</v>
      </c>
      <c r="I1316" s="316"/>
      <c r="J1316" s="316">
        <v>236.28</v>
      </c>
      <c r="K1316" s="316">
        <v>236.28</v>
      </c>
      <c r="L1316" s="166"/>
    </row>
    <row r="1317" spans="1:12" ht="15" customHeight="1" x14ac:dyDescent="0.3">
      <c r="A1317" s="400" t="s">
        <v>1038</v>
      </c>
      <c r="B1317" s="401" t="s">
        <v>9108</v>
      </c>
      <c r="C1317" s="400" t="s">
        <v>408</v>
      </c>
      <c r="D1317" s="400" t="s">
        <v>9109</v>
      </c>
      <c r="E1317" s="605" t="s">
        <v>1039</v>
      </c>
      <c r="F1317" s="605"/>
      <c r="G1317" s="402" t="s">
        <v>675</v>
      </c>
      <c r="H1317" s="403">
        <v>1.05</v>
      </c>
      <c r="I1317" s="403">
        <v>0</v>
      </c>
      <c r="J1317" s="404">
        <v>165</v>
      </c>
      <c r="K1317" s="404">
        <v>173.25</v>
      </c>
      <c r="L1317" s="166"/>
    </row>
    <row r="1318" spans="1:12" ht="15" x14ac:dyDescent="0.3">
      <c r="A1318" s="400" t="s">
        <v>1038</v>
      </c>
      <c r="B1318" s="401" t="s">
        <v>9440</v>
      </c>
      <c r="C1318" s="400" t="s">
        <v>408</v>
      </c>
      <c r="D1318" s="400" t="s">
        <v>9441</v>
      </c>
      <c r="E1318" s="605" t="s">
        <v>1039</v>
      </c>
      <c r="F1318" s="605"/>
      <c r="G1318" s="402" t="s">
        <v>3</v>
      </c>
      <c r="H1318" s="403">
        <v>17</v>
      </c>
      <c r="I1318" s="403">
        <v>0</v>
      </c>
      <c r="J1318" s="404">
        <v>0.94</v>
      </c>
      <c r="K1318" s="404">
        <v>15.98</v>
      </c>
      <c r="L1318" s="168"/>
    </row>
    <row r="1319" spans="1:12" ht="25.5" customHeight="1" x14ac:dyDescent="0.3">
      <c r="A1319" s="400" t="s">
        <v>1038</v>
      </c>
      <c r="B1319" s="401" t="s">
        <v>9378</v>
      </c>
      <c r="C1319" s="400" t="s">
        <v>408</v>
      </c>
      <c r="D1319" s="400" t="s">
        <v>9379</v>
      </c>
      <c r="E1319" s="605" t="s">
        <v>1053</v>
      </c>
      <c r="F1319" s="605"/>
      <c r="G1319" s="402" t="s">
        <v>6</v>
      </c>
      <c r="H1319" s="403">
        <v>0.90300000000000002</v>
      </c>
      <c r="I1319" s="403">
        <v>0</v>
      </c>
      <c r="J1319" s="404">
        <v>30.51</v>
      </c>
      <c r="K1319" s="404">
        <v>27.550529999999998</v>
      </c>
      <c r="L1319" s="168"/>
    </row>
    <row r="1320" spans="1:12" ht="25.5" customHeight="1" x14ac:dyDescent="0.3">
      <c r="A1320" s="400" t="s">
        <v>1038</v>
      </c>
      <c r="B1320" s="401" t="s">
        <v>9414</v>
      </c>
      <c r="C1320" s="400" t="s">
        <v>408</v>
      </c>
      <c r="D1320" s="400" t="s">
        <v>9415</v>
      </c>
      <c r="E1320" s="605" t="s">
        <v>1053</v>
      </c>
      <c r="F1320" s="605"/>
      <c r="G1320" s="402" t="s">
        <v>6</v>
      </c>
      <c r="H1320" s="403">
        <v>0.90300000000000002</v>
      </c>
      <c r="I1320" s="403">
        <v>0</v>
      </c>
      <c r="J1320" s="404">
        <v>21.59</v>
      </c>
      <c r="K1320" s="404">
        <v>19.49577</v>
      </c>
      <c r="L1320" s="168"/>
    </row>
    <row r="1321" spans="1:12" ht="15" x14ac:dyDescent="0.3">
      <c r="A1321" s="405"/>
      <c r="B1321" s="405"/>
      <c r="C1321" s="405"/>
      <c r="D1321" s="405"/>
      <c r="E1321" s="405" t="s">
        <v>1046</v>
      </c>
      <c r="F1321" s="406">
        <v>47.05</v>
      </c>
      <c r="G1321" s="405" t="s">
        <v>1047</v>
      </c>
      <c r="H1321" s="406">
        <v>0</v>
      </c>
      <c r="I1321" s="405" t="s">
        <v>1048</v>
      </c>
      <c r="J1321" s="406">
        <v>47.05</v>
      </c>
      <c r="K1321"/>
      <c r="L1321" s="168"/>
    </row>
    <row r="1322" spans="1:12" ht="17.399999999999999" customHeight="1" thickBot="1" x14ac:dyDescent="0.35">
      <c r="A1322" s="405"/>
      <c r="B1322" s="405"/>
      <c r="C1322" s="405"/>
      <c r="D1322" s="405"/>
      <c r="E1322" s="405" t="s">
        <v>1049</v>
      </c>
      <c r="F1322" s="406">
        <v>0</v>
      </c>
      <c r="G1322" s="405"/>
      <c r="H1322" s="606"/>
      <c r="I1322" s="606" t="s">
        <v>1050</v>
      </c>
      <c r="J1322" s="406">
        <v>236.28</v>
      </c>
      <c r="K1322"/>
      <c r="L1322" s="168"/>
    </row>
    <row r="1323" spans="1:12" ht="15.6" thickTop="1" x14ac:dyDescent="0.3">
      <c r="A1323" s="407"/>
      <c r="B1323" s="407"/>
      <c r="C1323" s="407"/>
      <c r="D1323" s="407"/>
      <c r="E1323" s="407"/>
      <c r="F1323" s="407"/>
      <c r="G1323" s="407"/>
      <c r="H1323" s="407"/>
      <c r="I1323" s="407"/>
      <c r="J1323" s="407"/>
      <c r="K1323" s="407"/>
      <c r="L1323" s="166"/>
    </row>
    <row r="1324" spans="1:12" ht="14.25" customHeight="1" x14ac:dyDescent="0.3">
      <c r="A1324" s="382" t="s">
        <v>787</v>
      </c>
      <c r="B1324" s="312" t="s">
        <v>413</v>
      </c>
      <c r="C1324" s="382" t="s">
        <v>414</v>
      </c>
      <c r="D1324" s="382" t="s">
        <v>415</v>
      </c>
      <c r="E1324" s="586" t="s">
        <v>1029</v>
      </c>
      <c r="F1324" s="586"/>
      <c r="G1324" s="383" t="s">
        <v>416</v>
      </c>
      <c r="H1324" s="312" t="s">
        <v>1030</v>
      </c>
      <c r="I1324" s="312" t="s">
        <v>3016</v>
      </c>
      <c r="J1324" s="312" t="s">
        <v>1031</v>
      </c>
      <c r="K1324" s="312" t="s">
        <v>1032</v>
      </c>
      <c r="L1324" s="168"/>
    </row>
    <row r="1325" spans="1:12" ht="15" customHeight="1" x14ac:dyDescent="0.3">
      <c r="A1325" s="313" t="s">
        <v>1033</v>
      </c>
      <c r="B1325" s="315" t="s">
        <v>9656</v>
      </c>
      <c r="C1325" s="313" t="s">
        <v>408</v>
      </c>
      <c r="D1325" s="313" t="s">
        <v>8527</v>
      </c>
      <c r="E1325" s="603" t="s">
        <v>9655</v>
      </c>
      <c r="F1325" s="603"/>
      <c r="G1325" s="314" t="s">
        <v>675</v>
      </c>
      <c r="H1325" s="399">
        <v>1</v>
      </c>
      <c r="I1325" s="316"/>
      <c r="J1325" s="316">
        <v>284.07</v>
      </c>
      <c r="K1325" s="316">
        <v>284.07</v>
      </c>
      <c r="L1325" s="168"/>
    </row>
    <row r="1326" spans="1:12" ht="25.5" customHeight="1" x14ac:dyDescent="0.3">
      <c r="A1326" s="400" t="s">
        <v>1038</v>
      </c>
      <c r="B1326" s="401" t="s">
        <v>1367</v>
      </c>
      <c r="C1326" s="400" t="s">
        <v>408</v>
      </c>
      <c r="D1326" s="400" t="s">
        <v>1368</v>
      </c>
      <c r="E1326" s="605" t="s">
        <v>1039</v>
      </c>
      <c r="F1326" s="605"/>
      <c r="G1326" s="402" t="s">
        <v>713</v>
      </c>
      <c r="H1326" s="403">
        <v>0.03</v>
      </c>
      <c r="I1326" s="403">
        <v>0</v>
      </c>
      <c r="J1326" s="404">
        <v>106.37</v>
      </c>
      <c r="K1326" s="404">
        <v>3.1911</v>
      </c>
      <c r="L1326" s="168"/>
    </row>
    <row r="1327" spans="1:12" ht="15" x14ac:dyDescent="0.3">
      <c r="A1327" s="400" t="s">
        <v>1038</v>
      </c>
      <c r="B1327" s="401" t="s">
        <v>1484</v>
      </c>
      <c r="C1327" s="400" t="s">
        <v>408</v>
      </c>
      <c r="D1327" s="400" t="s">
        <v>1485</v>
      </c>
      <c r="E1327" s="605" t="s">
        <v>1039</v>
      </c>
      <c r="F1327" s="605"/>
      <c r="G1327" s="402" t="s">
        <v>3</v>
      </c>
      <c r="H1327" s="403">
        <v>12.968999999999999</v>
      </c>
      <c r="I1327" s="403">
        <v>0</v>
      </c>
      <c r="J1327" s="404">
        <v>4.75</v>
      </c>
      <c r="K1327" s="404">
        <v>61.60275</v>
      </c>
      <c r="L1327" s="166"/>
    </row>
    <row r="1328" spans="1:12" ht="15" x14ac:dyDescent="0.3">
      <c r="A1328" s="400" t="s">
        <v>1038</v>
      </c>
      <c r="B1328" s="401" t="s">
        <v>9157</v>
      </c>
      <c r="C1328" s="400" t="s">
        <v>408</v>
      </c>
      <c r="D1328" s="400" t="s">
        <v>9158</v>
      </c>
      <c r="E1328" s="605" t="s">
        <v>1039</v>
      </c>
      <c r="F1328" s="605"/>
      <c r="G1328" s="402" t="s">
        <v>675</v>
      </c>
      <c r="H1328" s="403">
        <v>1.1000000000000001</v>
      </c>
      <c r="I1328" s="403">
        <v>0</v>
      </c>
      <c r="J1328" s="404">
        <v>118.5</v>
      </c>
      <c r="K1328" s="404">
        <v>130.35</v>
      </c>
      <c r="L1328" s="166"/>
    </row>
    <row r="1329" spans="1:12" ht="15" customHeight="1" x14ac:dyDescent="0.3">
      <c r="A1329" s="400" t="s">
        <v>1038</v>
      </c>
      <c r="B1329" s="401" t="s">
        <v>1486</v>
      </c>
      <c r="C1329" s="400" t="s">
        <v>408</v>
      </c>
      <c r="D1329" s="400" t="s">
        <v>1487</v>
      </c>
      <c r="E1329" s="605" t="s">
        <v>1039</v>
      </c>
      <c r="F1329" s="605"/>
      <c r="G1329" s="402" t="s">
        <v>7</v>
      </c>
      <c r="H1329" s="403">
        <v>1.36</v>
      </c>
      <c r="I1329" s="403">
        <v>0</v>
      </c>
      <c r="J1329" s="404">
        <v>7.52</v>
      </c>
      <c r="K1329" s="404">
        <v>10.2272</v>
      </c>
      <c r="L1329" s="168"/>
    </row>
    <row r="1330" spans="1:12" ht="15" x14ac:dyDescent="0.3">
      <c r="A1330" s="400" t="s">
        <v>1038</v>
      </c>
      <c r="B1330" s="401" t="s">
        <v>6536</v>
      </c>
      <c r="C1330" s="400" t="s">
        <v>408</v>
      </c>
      <c r="D1330" s="400" t="s">
        <v>1464</v>
      </c>
      <c r="E1330" s="605" t="s">
        <v>1053</v>
      </c>
      <c r="F1330" s="605"/>
      <c r="G1330" s="402" t="s">
        <v>6</v>
      </c>
      <c r="H1330" s="403">
        <v>1.7010000000000001</v>
      </c>
      <c r="I1330" s="403">
        <v>0</v>
      </c>
      <c r="J1330" s="404">
        <v>28.35</v>
      </c>
      <c r="K1330" s="404">
        <v>48.223350000000003</v>
      </c>
      <c r="L1330" s="168"/>
    </row>
    <row r="1331" spans="1:12" ht="12.75" customHeight="1" x14ac:dyDescent="0.3">
      <c r="A1331" s="400" t="s">
        <v>1038</v>
      </c>
      <c r="B1331" s="401" t="s">
        <v>6167</v>
      </c>
      <c r="C1331" s="400" t="s">
        <v>408</v>
      </c>
      <c r="D1331" s="400" t="s">
        <v>1466</v>
      </c>
      <c r="E1331" s="605" t="s">
        <v>1053</v>
      </c>
      <c r="F1331" s="605"/>
      <c r="G1331" s="402" t="s">
        <v>6</v>
      </c>
      <c r="H1331" s="403">
        <v>1.488</v>
      </c>
      <c r="I1331" s="403">
        <v>0</v>
      </c>
      <c r="J1331" s="404">
        <v>20.48</v>
      </c>
      <c r="K1331" s="404">
        <v>30.474240000000002</v>
      </c>
      <c r="L1331" s="168"/>
    </row>
    <row r="1332" spans="1:12" ht="30" customHeight="1" x14ac:dyDescent="0.3">
      <c r="A1332" s="405"/>
      <c r="B1332" s="405"/>
      <c r="C1332" s="405"/>
      <c r="D1332" s="405"/>
      <c r="E1332" s="405" t="s">
        <v>1046</v>
      </c>
      <c r="F1332" s="406">
        <v>78.69</v>
      </c>
      <c r="G1332" s="405" t="s">
        <v>1047</v>
      </c>
      <c r="H1332" s="406">
        <v>0</v>
      </c>
      <c r="I1332" s="405" t="s">
        <v>1048</v>
      </c>
      <c r="J1332" s="406">
        <v>78.69</v>
      </c>
      <c r="K1332"/>
      <c r="L1332" s="166"/>
    </row>
    <row r="1333" spans="1:12" ht="14.25" customHeight="1" thickBot="1" x14ac:dyDescent="0.35">
      <c r="A1333" s="405"/>
      <c r="B1333" s="405"/>
      <c r="C1333" s="405"/>
      <c r="D1333" s="405"/>
      <c r="E1333" s="405" t="s">
        <v>1049</v>
      </c>
      <c r="F1333" s="406">
        <v>0</v>
      </c>
      <c r="G1333" s="405"/>
      <c r="H1333" s="606"/>
      <c r="I1333" s="606" t="s">
        <v>1050</v>
      </c>
      <c r="J1333" s="406">
        <v>284.07</v>
      </c>
      <c r="K1333"/>
      <c r="L1333" s="166"/>
    </row>
    <row r="1334" spans="1:12" ht="15.6" thickTop="1" x14ac:dyDescent="0.3">
      <c r="A1334" s="407"/>
      <c r="B1334" s="407"/>
      <c r="C1334" s="407"/>
      <c r="D1334" s="407"/>
      <c r="E1334" s="407"/>
      <c r="F1334" s="407"/>
      <c r="G1334" s="407"/>
      <c r="H1334" s="407"/>
      <c r="I1334" s="407"/>
      <c r="J1334" s="407"/>
      <c r="K1334" s="407"/>
      <c r="L1334" s="166"/>
    </row>
    <row r="1335" spans="1:12" ht="15" customHeight="1" x14ac:dyDescent="0.3">
      <c r="A1335" s="382" t="s">
        <v>790</v>
      </c>
      <c r="B1335" s="312" t="s">
        <v>413</v>
      </c>
      <c r="C1335" s="382" t="s">
        <v>414</v>
      </c>
      <c r="D1335" s="382" t="s">
        <v>415</v>
      </c>
      <c r="E1335" s="586" t="s">
        <v>1029</v>
      </c>
      <c r="F1335" s="586"/>
      <c r="G1335" s="383" t="s">
        <v>416</v>
      </c>
      <c r="H1335" s="312" t="s">
        <v>1030</v>
      </c>
      <c r="I1335" s="312" t="s">
        <v>3016</v>
      </c>
      <c r="J1335" s="312" t="s">
        <v>1031</v>
      </c>
      <c r="K1335" s="312" t="s">
        <v>1032</v>
      </c>
      <c r="L1335" s="166"/>
    </row>
    <row r="1336" spans="1:12" ht="25.5" customHeight="1" x14ac:dyDescent="0.3">
      <c r="A1336" s="313" t="s">
        <v>1033</v>
      </c>
      <c r="B1336" s="315" t="s">
        <v>1951</v>
      </c>
      <c r="C1336" s="313" t="s">
        <v>575</v>
      </c>
      <c r="D1336" s="313" t="s">
        <v>1765</v>
      </c>
      <c r="E1336" s="603" t="s">
        <v>1597</v>
      </c>
      <c r="F1336" s="603"/>
      <c r="G1336" s="314" t="s">
        <v>675</v>
      </c>
      <c r="H1336" s="399">
        <v>1</v>
      </c>
      <c r="I1336" s="316"/>
      <c r="J1336" s="316">
        <v>401.71</v>
      </c>
      <c r="K1336" s="316">
        <v>401.71</v>
      </c>
      <c r="L1336" s="166"/>
    </row>
    <row r="1337" spans="1:12" ht="26.4" x14ac:dyDescent="0.3">
      <c r="A1337" s="408" t="s">
        <v>1034</v>
      </c>
      <c r="B1337" s="409" t="s">
        <v>1302</v>
      </c>
      <c r="C1337" s="408" t="s">
        <v>395</v>
      </c>
      <c r="D1337" s="408" t="s">
        <v>144</v>
      </c>
      <c r="E1337" s="604" t="s">
        <v>7768</v>
      </c>
      <c r="F1337" s="604"/>
      <c r="G1337" s="410" t="s">
        <v>6</v>
      </c>
      <c r="H1337" s="412">
        <v>1.7010000000000001</v>
      </c>
      <c r="I1337" s="412">
        <v>0</v>
      </c>
      <c r="J1337" s="411">
        <v>42.06</v>
      </c>
      <c r="K1337" s="411">
        <v>71.544060000000002</v>
      </c>
      <c r="L1337" s="166"/>
    </row>
    <row r="1338" spans="1:12" ht="26.4" x14ac:dyDescent="0.3">
      <c r="A1338" s="408" t="s">
        <v>1034</v>
      </c>
      <c r="B1338" s="409" t="s">
        <v>1290</v>
      </c>
      <c r="C1338" s="408" t="s">
        <v>395</v>
      </c>
      <c r="D1338" s="408" t="s">
        <v>147</v>
      </c>
      <c r="E1338" s="604" t="s">
        <v>7768</v>
      </c>
      <c r="F1338" s="604"/>
      <c r="G1338" s="410" t="s">
        <v>6</v>
      </c>
      <c r="H1338" s="412">
        <v>1.488</v>
      </c>
      <c r="I1338" s="412">
        <v>0</v>
      </c>
      <c r="J1338" s="411">
        <v>32.82</v>
      </c>
      <c r="K1338" s="411">
        <v>48.83616</v>
      </c>
      <c r="L1338" s="166"/>
    </row>
    <row r="1339" spans="1:12" ht="15" customHeight="1" x14ac:dyDescent="0.3">
      <c r="A1339" s="400" t="s">
        <v>1038</v>
      </c>
      <c r="B1339" s="401" t="s">
        <v>1484</v>
      </c>
      <c r="C1339" s="400" t="s">
        <v>408</v>
      </c>
      <c r="D1339" s="400" t="s">
        <v>1485</v>
      </c>
      <c r="E1339" s="605" t="s">
        <v>1039</v>
      </c>
      <c r="F1339" s="605"/>
      <c r="G1339" s="402" t="s">
        <v>3</v>
      </c>
      <c r="H1339" s="403">
        <v>12.968999999999999</v>
      </c>
      <c r="I1339" s="403">
        <v>0</v>
      </c>
      <c r="J1339" s="404">
        <v>4.75</v>
      </c>
      <c r="K1339" s="404">
        <v>61.60275</v>
      </c>
      <c r="L1339" s="168"/>
    </row>
    <row r="1340" spans="1:12" ht="25.5" customHeight="1" x14ac:dyDescent="0.3">
      <c r="A1340" s="400" t="s">
        <v>1038</v>
      </c>
      <c r="B1340" s="401" t="s">
        <v>1488</v>
      </c>
      <c r="C1340" s="400" t="s">
        <v>408</v>
      </c>
      <c r="D1340" s="400" t="s">
        <v>1489</v>
      </c>
      <c r="E1340" s="605" t="s">
        <v>1039</v>
      </c>
      <c r="F1340" s="605"/>
      <c r="G1340" s="402" t="s">
        <v>675</v>
      </c>
      <c r="H1340" s="403">
        <v>1.1000000000000001</v>
      </c>
      <c r="I1340" s="403">
        <v>0</v>
      </c>
      <c r="J1340" s="404">
        <v>190.45</v>
      </c>
      <c r="K1340" s="404">
        <v>209.495</v>
      </c>
      <c r="L1340" s="170"/>
    </row>
    <row r="1341" spans="1:12" ht="25.5" customHeight="1" x14ac:dyDescent="0.3">
      <c r="A1341" s="400" t="s">
        <v>1038</v>
      </c>
      <c r="B1341" s="401" t="s">
        <v>1486</v>
      </c>
      <c r="C1341" s="400" t="s">
        <v>408</v>
      </c>
      <c r="D1341" s="400" t="s">
        <v>1487</v>
      </c>
      <c r="E1341" s="605" t="s">
        <v>1039</v>
      </c>
      <c r="F1341" s="605"/>
      <c r="G1341" s="402" t="s">
        <v>7</v>
      </c>
      <c r="H1341" s="403">
        <v>1.36</v>
      </c>
      <c r="I1341" s="403">
        <v>0</v>
      </c>
      <c r="J1341" s="404">
        <v>7.52</v>
      </c>
      <c r="K1341" s="404">
        <v>10.2272</v>
      </c>
      <c r="L1341" s="168"/>
    </row>
    <row r="1342" spans="1:12" ht="15" x14ac:dyDescent="0.3">
      <c r="A1342" s="405"/>
      <c r="B1342" s="405"/>
      <c r="C1342" s="405"/>
      <c r="D1342" s="405"/>
      <c r="E1342" s="405" t="s">
        <v>1046</v>
      </c>
      <c r="F1342" s="406">
        <v>87.82</v>
      </c>
      <c r="G1342" s="405" t="s">
        <v>1047</v>
      </c>
      <c r="H1342" s="406">
        <v>0</v>
      </c>
      <c r="I1342" s="405" t="s">
        <v>1048</v>
      </c>
      <c r="J1342" s="406">
        <v>87.82</v>
      </c>
      <c r="K1342"/>
      <c r="L1342" s="168"/>
    </row>
    <row r="1343" spans="1:12" ht="17.399999999999999" customHeight="1" thickBot="1" x14ac:dyDescent="0.35">
      <c r="A1343" s="405"/>
      <c r="B1343" s="405"/>
      <c r="C1343" s="405"/>
      <c r="D1343" s="405"/>
      <c r="E1343" s="405" t="s">
        <v>1049</v>
      </c>
      <c r="F1343" s="406">
        <v>0</v>
      </c>
      <c r="G1343" s="405"/>
      <c r="H1343" s="606"/>
      <c r="I1343" s="606" t="s">
        <v>1050</v>
      </c>
      <c r="J1343" s="406">
        <v>401.71</v>
      </c>
      <c r="K1343"/>
      <c r="L1343" s="168"/>
    </row>
    <row r="1344" spans="1:12" ht="15" customHeight="1" thickTop="1" x14ac:dyDescent="0.3">
      <c r="A1344" s="407"/>
      <c r="B1344" s="407"/>
      <c r="C1344" s="407"/>
      <c r="D1344" s="407"/>
      <c r="E1344" s="407"/>
      <c r="F1344" s="407"/>
      <c r="G1344" s="407"/>
      <c r="H1344" s="407"/>
      <c r="I1344" s="407"/>
      <c r="J1344" s="407"/>
      <c r="K1344" s="407"/>
      <c r="L1344" s="166"/>
    </row>
    <row r="1345" spans="1:12" ht="15" x14ac:dyDescent="0.3">
      <c r="A1345" s="382" t="s">
        <v>792</v>
      </c>
      <c r="B1345" s="312" t="s">
        <v>413</v>
      </c>
      <c r="C1345" s="382" t="s">
        <v>414</v>
      </c>
      <c r="D1345" s="382" t="s">
        <v>415</v>
      </c>
      <c r="E1345" s="586" t="s">
        <v>1029</v>
      </c>
      <c r="F1345" s="586"/>
      <c r="G1345" s="383" t="s">
        <v>416</v>
      </c>
      <c r="H1345" s="312" t="s">
        <v>1030</v>
      </c>
      <c r="I1345" s="312" t="s">
        <v>3016</v>
      </c>
      <c r="J1345" s="312" t="s">
        <v>1031</v>
      </c>
      <c r="K1345" s="312" t="s">
        <v>1032</v>
      </c>
      <c r="L1345" s="166"/>
    </row>
    <row r="1346" spans="1:12" ht="30" customHeight="1" x14ac:dyDescent="0.3">
      <c r="A1346" s="313" t="s">
        <v>1033</v>
      </c>
      <c r="B1346" s="315" t="s">
        <v>3817</v>
      </c>
      <c r="C1346" s="313" t="s">
        <v>395</v>
      </c>
      <c r="D1346" s="313" t="s">
        <v>5928</v>
      </c>
      <c r="E1346" s="603" t="s">
        <v>7856</v>
      </c>
      <c r="F1346" s="603"/>
      <c r="G1346" s="314" t="s">
        <v>675</v>
      </c>
      <c r="H1346" s="399">
        <v>1</v>
      </c>
      <c r="I1346" s="316"/>
      <c r="J1346" s="316">
        <v>58.21</v>
      </c>
      <c r="K1346" s="316">
        <v>58.21</v>
      </c>
      <c r="L1346" s="168"/>
    </row>
    <row r="1347" spans="1:12" ht="14.25" customHeight="1" x14ac:dyDescent="0.3">
      <c r="A1347" s="408" t="s">
        <v>1034</v>
      </c>
      <c r="B1347" s="409" t="s">
        <v>7857</v>
      </c>
      <c r="C1347" s="408" t="s">
        <v>395</v>
      </c>
      <c r="D1347" s="408" t="s">
        <v>7858</v>
      </c>
      <c r="E1347" s="604" t="s">
        <v>7840</v>
      </c>
      <c r="F1347" s="604"/>
      <c r="G1347" s="410" t="s">
        <v>713</v>
      </c>
      <c r="H1347" s="412">
        <v>5.2999999999999999E-2</v>
      </c>
      <c r="I1347" s="412">
        <v>0</v>
      </c>
      <c r="J1347" s="411">
        <v>583.15</v>
      </c>
      <c r="K1347" s="411">
        <v>30.906949999999998</v>
      </c>
      <c r="L1347" s="168"/>
    </row>
    <row r="1348" spans="1:12" ht="15" customHeight="1" x14ac:dyDescent="0.3">
      <c r="A1348" s="408" t="s">
        <v>1034</v>
      </c>
      <c r="B1348" s="409" t="s">
        <v>1302</v>
      </c>
      <c r="C1348" s="408" t="s">
        <v>395</v>
      </c>
      <c r="D1348" s="408" t="s">
        <v>144</v>
      </c>
      <c r="E1348" s="604" t="s">
        <v>7768</v>
      </c>
      <c r="F1348" s="604"/>
      <c r="G1348" s="410" t="s">
        <v>6</v>
      </c>
      <c r="H1348" s="412">
        <v>0.43701000000000001</v>
      </c>
      <c r="I1348" s="412">
        <v>0</v>
      </c>
      <c r="J1348" s="411">
        <v>42.06</v>
      </c>
      <c r="K1348" s="411">
        <v>18.3806406</v>
      </c>
      <c r="L1348" s="168"/>
    </row>
    <row r="1349" spans="1:12" ht="25.5" customHeight="1" x14ac:dyDescent="0.3">
      <c r="A1349" s="408" t="s">
        <v>1034</v>
      </c>
      <c r="B1349" s="409" t="s">
        <v>1290</v>
      </c>
      <c r="C1349" s="408" t="s">
        <v>395</v>
      </c>
      <c r="D1349" s="408" t="s">
        <v>147</v>
      </c>
      <c r="E1349" s="604" t="s">
        <v>7768</v>
      </c>
      <c r="F1349" s="604"/>
      <c r="G1349" s="410" t="s">
        <v>6</v>
      </c>
      <c r="H1349" s="412">
        <v>0.218505</v>
      </c>
      <c r="I1349" s="412">
        <v>0</v>
      </c>
      <c r="J1349" s="411">
        <v>32.82</v>
      </c>
      <c r="K1349" s="411">
        <v>7.1713341000000002</v>
      </c>
      <c r="L1349" s="168"/>
    </row>
    <row r="1350" spans="1:12" ht="25.5" customHeight="1" x14ac:dyDescent="0.3">
      <c r="A1350" s="400" t="s">
        <v>1038</v>
      </c>
      <c r="B1350" s="401" t="s">
        <v>1304</v>
      </c>
      <c r="C1350" s="400" t="s">
        <v>395</v>
      </c>
      <c r="D1350" s="400" t="s">
        <v>251</v>
      </c>
      <c r="E1350" s="605" t="s">
        <v>1039</v>
      </c>
      <c r="F1350" s="605"/>
      <c r="G1350" s="402" t="s">
        <v>3</v>
      </c>
      <c r="H1350" s="403">
        <v>0.5</v>
      </c>
      <c r="I1350" s="403">
        <v>0</v>
      </c>
      <c r="J1350" s="404">
        <v>0.72</v>
      </c>
      <c r="K1350" s="404">
        <v>0.36</v>
      </c>
      <c r="L1350" s="166"/>
    </row>
    <row r="1351" spans="1:12" ht="25.5" customHeight="1" x14ac:dyDescent="0.3">
      <c r="A1351" s="400" t="s">
        <v>1038</v>
      </c>
      <c r="B1351" s="401" t="s">
        <v>4929</v>
      </c>
      <c r="C1351" s="400" t="s">
        <v>395</v>
      </c>
      <c r="D1351" s="400" t="s">
        <v>4930</v>
      </c>
      <c r="E1351" s="605" t="s">
        <v>1039</v>
      </c>
      <c r="F1351" s="605"/>
      <c r="G1351" s="402" t="s">
        <v>7</v>
      </c>
      <c r="H1351" s="403">
        <v>1</v>
      </c>
      <c r="I1351" s="403">
        <v>0</v>
      </c>
      <c r="J1351" s="404">
        <v>1.39</v>
      </c>
      <c r="K1351" s="404">
        <v>1.39</v>
      </c>
      <c r="L1351" s="168"/>
    </row>
    <row r="1352" spans="1:12" ht="15" x14ac:dyDescent="0.3">
      <c r="A1352" s="405"/>
      <c r="B1352" s="405"/>
      <c r="C1352" s="405"/>
      <c r="D1352" s="405"/>
      <c r="E1352" s="405" t="s">
        <v>1046</v>
      </c>
      <c r="F1352" s="406">
        <v>24.73</v>
      </c>
      <c r="G1352" s="405" t="s">
        <v>1047</v>
      </c>
      <c r="H1352" s="406">
        <v>0</v>
      </c>
      <c r="I1352" s="405" t="s">
        <v>1048</v>
      </c>
      <c r="J1352" s="406">
        <v>24.73</v>
      </c>
      <c r="K1352"/>
      <c r="L1352" s="168"/>
    </row>
    <row r="1353" spans="1:12" ht="15" customHeight="1" thickBot="1" x14ac:dyDescent="0.35">
      <c r="A1353" s="405"/>
      <c r="B1353" s="405"/>
      <c r="C1353" s="405"/>
      <c r="D1353" s="405"/>
      <c r="E1353" s="405" t="s">
        <v>1049</v>
      </c>
      <c r="F1353" s="406">
        <v>0</v>
      </c>
      <c r="G1353" s="405"/>
      <c r="H1353" s="606"/>
      <c r="I1353" s="606" t="s">
        <v>1050</v>
      </c>
      <c r="J1353" s="406">
        <v>58.21</v>
      </c>
      <c r="K1353"/>
      <c r="L1353" s="168"/>
    </row>
    <row r="1354" spans="1:12" ht="25.5" customHeight="1" thickTop="1" x14ac:dyDescent="0.3">
      <c r="A1354" s="407"/>
      <c r="B1354" s="407"/>
      <c r="C1354" s="407"/>
      <c r="D1354" s="407"/>
      <c r="E1354" s="407"/>
      <c r="F1354" s="407"/>
      <c r="G1354" s="407"/>
      <c r="H1354" s="407"/>
      <c r="I1354" s="407"/>
      <c r="J1354" s="407"/>
      <c r="K1354" s="407"/>
      <c r="L1354" s="166"/>
    </row>
    <row r="1355" spans="1:12" ht="15" x14ac:dyDescent="0.3">
      <c r="A1355" s="382" t="s">
        <v>794</v>
      </c>
      <c r="B1355" s="312" t="s">
        <v>413</v>
      </c>
      <c r="C1355" s="382" t="s">
        <v>414</v>
      </c>
      <c r="D1355" s="382" t="s">
        <v>415</v>
      </c>
      <c r="E1355" s="586" t="s">
        <v>1029</v>
      </c>
      <c r="F1355" s="586"/>
      <c r="G1355" s="383" t="s">
        <v>416</v>
      </c>
      <c r="H1355" s="312" t="s">
        <v>1030</v>
      </c>
      <c r="I1355" s="312" t="s">
        <v>3016</v>
      </c>
      <c r="J1355" s="312" t="s">
        <v>1031</v>
      </c>
      <c r="K1355" s="312" t="s">
        <v>1032</v>
      </c>
      <c r="L1355" s="166"/>
    </row>
    <row r="1356" spans="1:12" ht="14.25" customHeight="1" x14ac:dyDescent="0.3">
      <c r="A1356" s="313" t="s">
        <v>1033</v>
      </c>
      <c r="B1356" s="315" t="s">
        <v>3818</v>
      </c>
      <c r="C1356" s="313" t="s">
        <v>395</v>
      </c>
      <c r="D1356" s="313" t="s">
        <v>5929</v>
      </c>
      <c r="E1356" s="603" t="s">
        <v>7859</v>
      </c>
      <c r="F1356" s="603"/>
      <c r="G1356" s="314" t="s">
        <v>675</v>
      </c>
      <c r="H1356" s="399">
        <v>1</v>
      </c>
      <c r="I1356" s="316"/>
      <c r="J1356" s="316">
        <v>147.44999999999999</v>
      </c>
      <c r="K1356" s="316">
        <v>147.44999999999999</v>
      </c>
      <c r="L1356" s="168"/>
    </row>
    <row r="1357" spans="1:12" ht="15" customHeight="1" x14ac:dyDescent="0.3">
      <c r="A1357" s="408" t="s">
        <v>1034</v>
      </c>
      <c r="B1357" s="409" t="s">
        <v>1420</v>
      </c>
      <c r="C1357" s="408" t="s">
        <v>395</v>
      </c>
      <c r="D1357" s="408" t="s">
        <v>7860</v>
      </c>
      <c r="E1357" s="604" t="s">
        <v>7768</v>
      </c>
      <c r="F1357" s="604"/>
      <c r="G1357" s="410" t="s">
        <v>6</v>
      </c>
      <c r="H1357" s="412">
        <v>0.80379999999999996</v>
      </c>
      <c r="I1357" s="412">
        <v>0</v>
      </c>
      <c r="J1357" s="411">
        <v>44.41</v>
      </c>
      <c r="K1357" s="411">
        <v>35.696758000000003</v>
      </c>
      <c r="L1357" s="168"/>
    </row>
    <row r="1358" spans="1:12" ht="25.5" customHeight="1" x14ac:dyDescent="0.3">
      <c r="A1358" s="408" t="s">
        <v>1034</v>
      </c>
      <c r="B1358" s="409" t="s">
        <v>1290</v>
      </c>
      <c r="C1358" s="408" t="s">
        <v>395</v>
      </c>
      <c r="D1358" s="408" t="s">
        <v>147</v>
      </c>
      <c r="E1358" s="604" t="s">
        <v>7768</v>
      </c>
      <c r="F1358" s="604"/>
      <c r="G1358" s="410" t="s">
        <v>6</v>
      </c>
      <c r="H1358" s="412">
        <v>0.2064</v>
      </c>
      <c r="I1358" s="412">
        <v>0</v>
      </c>
      <c r="J1358" s="411">
        <v>32.82</v>
      </c>
      <c r="K1358" s="411">
        <v>6.7740479999999996</v>
      </c>
      <c r="L1358" s="168"/>
    </row>
    <row r="1359" spans="1:12" ht="25.5" customHeight="1" x14ac:dyDescent="0.3">
      <c r="A1359" s="400" t="s">
        <v>1038</v>
      </c>
      <c r="B1359" s="401" t="s">
        <v>2297</v>
      </c>
      <c r="C1359" s="400" t="s">
        <v>395</v>
      </c>
      <c r="D1359" s="400" t="s">
        <v>277</v>
      </c>
      <c r="E1359" s="605" t="s">
        <v>1039</v>
      </c>
      <c r="F1359" s="605"/>
      <c r="G1359" s="402" t="s">
        <v>3</v>
      </c>
      <c r="H1359" s="403">
        <v>0.14099999999999999</v>
      </c>
      <c r="I1359" s="403">
        <v>0</v>
      </c>
      <c r="J1359" s="404">
        <v>4.34</v>
      </c>
      <c r="K1359" s="404">
        <v>0.61194000000000004</v>
      </c>
      <c r="L1359" s="166"/>
    </row>
    <row r="1360" spans="1:12" ht="15" x14ac:dyDescent="0.3">
      <c r="A1360" s="400" t="s">
        <v>1038</v>
      </c>
      <c r="B1360" s="401" t="s">
        <v>1341</v>
      </c>
      <c r="C1360" s="400" t="s">
        <v>395</v>
      </c>
      <c r="D1360" s="400" t="s">
        <v>240</v>
      </c>
      <c r="E1360" s="605" t="s">
        <v>1039</v>
      </c>
      <c r="F1360" s="605"/>
      <c r="G1360" s="402" t="s">
        <v>3</v>
      </c>
      <c r="H1360" s="403">
        <v>9.1300000000000008</v>
      </c>
      <c r="I1360" s="403">
        <v>0</v>
      </c>
      <c r="J1360" s="404">
        <v>2.27</v>
      </c>
      <c r="K1360" s="404">
        <v>20.725100000000001</v>
      </c>
      <c r="L1360" s="166"/>
    </row>
    <row r="1361" spans="1:12" ht="25.5" customHeight="1" x14ac:dyDescent="0.3">
      <c r="A1361" s="400" t="s">
        <v>1038</v>
      </c>
      <c r="B1361" s="401" t="s">
        <v>6737</v>
      </c>
      <c r="C1361" s="400" t="s">
        <v>395</v>
      </c>
      <c r="D1361" s="400" t="s">
        <v>6738</v>
      </c>
      <c r="E1361" s="605" t="s">
        <v>1039</v>
      </c>
      <c r="F1361" s="605"/>
      <c r="G1361" s="402" t="s">
        <v>675</v>
      </c>
      <c r="H1361" s="403">
        <v>1.0864</v>
      </c>
      <c r="I1361" s="403">
        <v>0</v>
      </c>
      <c r="J1361" s="404">
        <v>76.989999999999995</v>
      </c>
      <c r="K1361" s="404">
        <v>83.641936000000001</v>
      </c>
      <c r="L1361" s="166"/>
    </row>
    <row r="1362" spans="1:12" ht="15" customHeight="1" x14ac:dyDescent="0.3">
      <c r="A1362" s="405"/>
      <c r="B1362" s="405"/>
      <c r="C1362" s="405"/>
      <c r="D1362" s="405"/>
      <c r="E1362" s="405" t="s">
        <v>1046</v>
      </c>
      <c r="F1362" s="406">
        <v>32.159999999999997</v>
      </c>
      <c r="G1362" s="405" t="s">
        <v>1047</v>
      </c>
      <c r="H1362" s="406">
        <v>0</v>
      </c>
      <c r="I1362" s="405" t="s">
        <v>1048</v>
      </c>
      <c r="J1362" s="406">
        <v>32.159999999999997</v>
      </c>
      <c r="K1362"/>
      <c r="L1362" s="166"/>
    </row>
    <row r="1363" spans="1:12" ht="25.5" customHeight="1" thickBot="1" x14ac:dyDescent="0.35">
      <c r="A1363" s="405"/>
      <c r="B1363" s="405"/>
      <c r="C1363" s="405"/>
      <c r="D1363" s="405"/>
      <c r="E1363" s="405" t="s">
        <v>1049</v>
      </c>
      <c r="F1363" s="406">
        <v>0</v>
      </c>
      <c r="G1363" s="405"/>
      <c r="H1363" s="606"/>
      <c r="I1363" s="606" t="s">
        <v>1050</v>
      </c>
      <c r="J1363" s="406">
        <v>147.44999999999999</v>
      </c>
      <c r="K1363"/>
      <c r="L1363" s="166"/>
    </row>
    <row r="1364" spans="1:12" ht="15.6" thickTop="1" x14ac:dyDescent="0.3">
      <c r="A1364" s="407"/>
      <c r="B1364" s="407"/>
      <c r="C1364" s="407"/>
      <c r="D1364" s="407"/>
      <c r="E1364" s="407"/>
      <c r="F1364" s="407"/>
      <c r="G1364" s="407"/>
      <c r="H1364" s="407"/>
      <c r="I1364" s="407"/>
      <c r="J1364" s="407"/>
      <c r="K1364" s="407"/>
      <c r="L1364" s="166"/>
    </row>
    <row r="1365" spans="1:12" ht="12.75" customHeight="1" x14ac:dyDescent="0.3">
      <c r="A1365" s="382" t="s">
        <v>795</v>
      </c>
      <c r="B1365" s="312" t="s">
        <v>413</v>
      </c>
      <c r="C1365" s="382" t="s">
        <v>414</v>
      </c>
      <c r="D1365" s="382" t="s">
        <v>415</v>
      </c>
      <c r="E1365" s="586" t="s">
        <v>1029</v>
      </c>
      <c r="F1365" s="586"/>
      <c r="G1365" s="383" t="s">
        <v>416</v>
      </c>
      <c r="H1365" s="312" t="s">
        <v>1030</v>
      </c>
      <c r="I1365" s="312" t="s">
        <v>3016</v>
      </c>
      <c r="J1365" s="312" t="s">
        <v>1031</v>
      </c>
      <c r="K1365" s="312" t="s">
        <v>1032</v>
      </c>
      <c r="L1365" s="166"/>
    </row>
    <row r="1366" spans="1:12" ht="15" customHeight="1" x14ac:dyDescent="0.3">
      <c r="A1366" s="313" t="s">
        <v>1033</v>
      </c>
      <c r="B1366" s="315" t="s">
        <v>1909</v>
      </c>
      <c r="C1366" s="313" t="s">
        <v>575</v>
      </c>
      <c r="D1366" s="313" t="s">
        <v>1682</v>
      </c>
      <c r="E1366" s="603" t="s">
        <v>1597</v>
      </c>
      <c r="F1366" s="603"/>
      <c r="G1366" s="314" t="s">
        <v>7</v>
      </c>
      <c r="H1366" s="399">
        <v>1</v>
      </c>
      <c r="I1366" s="316"/>
      <c r="J1366" s="316">
        <v>186.13</v>
      </c>
      <c r="K1366" s="316">
        <v>186.13</v>
      </c>
      <c r="L1366" s="168"/>
    </row>
    <row r="1367" spans="1:12" ht="25.5" customHeight="1" x14ac:dyDescent="0.3">
      <c r="A1367" s="408" t="s">
        <v>1034</v>
      </c>
      <c r="B1367" s="409" t="s">
        <v>1365</v>
      </c>
      <c r="C1367" s="408" t="s">
        <v>395</v>
      </c>
      <c r="D1367" s="408" t="s">
        <v>146</v>
      </c>
      <c r="E1367" s="604" t="s">
        <v>7768</v>
      </c>
      <c r="F1367" s="604"/>
      <c r="G1367" s="410" t="s">
        <v>6</v>
      </c>
      <c r="H1367" s="412">
        <v>0.63800000000000001</v>
      </c>
      <c r="I1367" s="412">
        <v>0</v>
      </c>
      <c r="J1367" s="411">
        <v>41.76</v>
      </c>
      <c r="K1367" s="411">
        <v>26.642880000000002</v>
      </c>
      <c r="L1367" s="170"/>
    </row>
    <row r="1368" spans="1:12" ht="25.5" customHeight="1" x14ac:dyDescent="0.3">
      <c r="A1368" s="408" t="s">
        <v>1034</v>
      </c>
      <c r="B1368" s="409" t="s">
        <v>1364</v>
      </c>
      <c r="C1368" s="408" t="s">
        <v>395</v>
      </c>
      <c r="D1368" s="408" t="s">
        <v>131</v>
      </c>
      <c r="E1368" s="604" t="s">
        <v>7768</v>
      </c>
      <c r="F1368" s="604"/>
      <c r="G1368" s="410" t="s">
        <v>6</v>
      </c>
      <c r="H1368" s="412">
        <v>0.42499999999999999</v>
      </c>
      <c r="I1368" s="412">
        <v>0</v>
      </c>
      <c r="J1368" s="411">
        <v>33.79</v>
      </c>
      <c r="K1368" s="411">
        <v>14.360749999999999</v>
      </c>
      <c r="L1368" s="168"/>
    </row>
    <row r="1369" spans="1:12" ht="14.25" customHeight="1" x14ac:dyDescent="0.3">
      <c r="A1369" s="400" t="s">
        <v>1038</v>
      </c>
      <c r="B1369" s="401" t="s">
        <v>2296</v>
      </c>
      <c r="C1369" s="400" t="s">
        <v>575</v>
      </c>
      <c r="D1369" s="400" t="s">
        <v>1682</v>
      </c>
      <c r="E1369" s="605" t="s">
        <v>1039</v>
      </c>
      <c r="F1369" s="605"/>
      <c r="G1369" s="402" t="s">
        <v>437</v>
      </c>
      <c r="H1369" s="403">
        <v>1.05</v>
      </c>
      <c r="I1369" s="403">
        <v>0</v>
      </c>
      <c r="J1369" s="404">
        <v>138.22</v>
      </c>
      <c r="K1369" s="404">
        <v>145.131</v>
      </c>
      <c r="L1369" s="168"/>
    </row>
    <row r="1370" spans="1:12" ht="25.5" customHeight="1" x14ac:dyDescent="0.3">
      <c r="A1370" s="405"/>
      <c r="B1370" s="405"/>
      <c r="C1370" s="405"/>
      <c r="D1370" s="405"/>
      <c r="E1370" s="405" t="s">
        <v>1046</v>
      </c>
      <c r="F1370" s="406">
        <v>30.15</v>
      </c>
      <c r="G1370" s="405" t="s">
        <v>1047</v>
      </c>
      <c r="H1370" s="406">
        <v>0</v>
      </c>
      <c r="I1370" s="405" t="s">
        <v>1048</v>
      </c>
      <c r="J1370" s="406">
        <v>30.15</v>
      </c>
      <c r="K1370"/>
      <c r="L1370" s="168"/>
    </row>
    <row r="1371" spans="1:12" ht="15.6" thickBot="1" x14ac:dyDescent="0.35">
      <c r="A1371" s="405"/>
      <c r="B1371" s="405"/>
      <c r="C1371" s="405"/>
      <c r="D1371" s="405"/>
      <c r="E1371" s="405" t="s">
        <v>1049</v>
      </c>
      <c r="F1371" s="406">
        <v>0</v>
      </c>
      <c r="G1371" s="405"/>
      <c r="H1371" s="606"/>
      <c r="I1371" s="606" t="s">
        <v>1050</v>
      </c>
      <c r="J1371" s="406">
        <v>186.13</v>
      </c>
      <c r="K1371"/>
      <c r="L1371" s="166"/>
    </row>
    <row r="1372" spans="1:12" ht="15.6" thickTop="1" x14ac:dyDescent="0.3">
      <c r="A1372" s="407"/>
      <c r="B1372" s="407"/>
      <c r="C1372" s="407"/>
      <c r="D1372" s="407"/>
      <c r="E1372" s="407"/>
      <c r="F1372" s="407"/>
      <c r="G1372" s="407"/>
      <c r="H1372" s="407"/>
      <c r="I1372" s="407"/>
      <c r="J1372" s="407"/>
      <c r="K1372" s="407"/>
      <c r="L1372" s="166"/>
    </row>
    <row r="1373" spans="1:12" ht="15" customHeight="1" x14ac:dyDescent="0.3">
      <c r="A1373" s="382" t="s">
        <v>796</v>
      </c>
      <c r="B1373" s="312" t="s">
        <v>413</v>
      </c>
      <c r="C1373" s="382" t="s">
        <v>414</v>
      </c>
      <c r="D1373" s="382" t="s">
        <v>415</v>
      </c>
      <c r="E1373" s="586" t="s">
        <v>1029</v>
      </c>
      <c r="F1373" s="586"/>
      <c r="G1373" s="383" t="s">
        <v>416</v>
      </c>
      <c r="H1373" s="312" t="s">
        <v>1030</v>
      </c>
      <c r="I1373" s="312" t="s">
        <v>3016</v>
      </c>
      <c r="J1373" s="312" t="s">
        <v>1031</v>
      </c>
      <c r="K1373" s="312" t="s">
        <v>1032</v>
      </c>
      <c r="L1373" s="168"/>
    </row>
    <row r="1374" spans="1:12" ht="38.25" customHeight="1" x14ac:dyDescent="0.3">
      <c r="A1374" s="313" t="s">
        <v>1033</v>
      </c>
      <c r="B1374" s="315" t="s">
        <v>2133</v>
      </c>
      <c r="C1374" s="313" t="s">
        <v>5902</v>
      </c>
      <c r="D1374" s="313" t="s">
        <v>1763</v>
      </c>
      <c r="E1374" s="603">
        <v>17.12</v>
      </c>
      <c r="F1374" s="603"/>
      <c r="G1374" s="314" t="s">
        <v>7</v>
      </c>
      <c r="H1374" s="399">
        <v>1</v>
      </c>
      <c r="I1374" s="316"/>
      <c r="J1374" s="316">
        <v>52.79</v>
      </c>
      <c r="K1374" s="316">
        <v>52.79</v>
      </c>
      <c r="L1374" s="168"/>
    </row>
    <row r="1375" spans="1:12" ht="38.25" customHeight="1" x14ac:dyDescent="0.3">
      <c r="A1375" s="400" t="s">
        <v>1038</v>
      </c>
      <c r="B1375" s="401" t="s">
        <v>1471</v>
      </c>
      <c r="C1375" s="400" t="s">
        <v>5902</v>
      </c>
      <c r="D1375" s="400" t="s">
        <v>1472</v>
      </c>
      <c r="E1375" s="605" t="s">
        <v>1039</v>
      </c>
      <c r="F1375" s="605"/>
      <c r="G1375" s="402" t="s">
        <v>3</v>
      </c>
      <c r="H1375" s="403">
        <v>2.2000000000000002</v>
      </c>
      <c r="I1375" s="403">
        <v>0</v>
      </c>
      <c r="J1375" s="404">
        <v>0.67</v>
      </c>
      <c r="K1375" s="404">
        <v>1.474</v>
      </c>
      <c r="L1375" s="168"/>
    </row>
    <row r="1376" spans="1:12" ht="12.75" customHeight="1" x14ac:dyDescent="0.3">
      <c r="A1376" s="400" t="s">
        <v>1038</v>
      </c>
      <c r="B1376" s="401" t="s">
        <v>1467</v>
      </c>
      <c r="C1376" s="400" t="s">
        <v>5902</v>
      </c>
      <c r="D1376" s="400" t="s">
        <v>1468</v>
      </c>
      <c r="E1376" s="605" t="s">
        <v>1053</v>
      </c>
      <c r="F1376" s="605"/>
      <c r="G1376" s="402" t="s">
        <v>6</v>
      </c>
      <c r="H1376" s="403">
        <v>0.2</v>
      </c>
      <c r="I1376" s="403">
        <v>0</v>
      </c>
      <c r="J1376" s="404">
        <v>22.71</v>
      </c>
      <c r="K1376" s="404">
        <v>4.5419999999999998</v>
      </c>
      <c r="L1376" s="168"/>
    </row>
    <row r="1377" spans="1:12" ht="15" customHeight="1" x14ac:dyDescent="0.3">
      <c r="A1377" s="400" t="s">
        <v>1038</v>
      </c>
      <c r="B1377" s="401" t="s">
        <v>2365</v>
      </c>
      <c r="C1377" s="400" t="s">
        <v>5902</v>
      </c>
      <c r="D1377" s="400" t="s">
        <v>2366</v>
      </c>
      <c r="E1377" s="605" t="s">
        <v>1039</v>
      </c>
      <c r="F1377" s="605"/>
      <c r="G1377" s="402" t="s">
        <v>7</v>
      </c>
      <c r="H1377" s="403">
        <v>1</v>
      </c>
      <c r="I1377" s="403">
        <v>0</v>
      </c>
      <c r="J1377" s="404">
        <v>46.77</v>
      </c>
      <c r="K1377" s="404">
        <v>46.77</v>
      </c>
      <c r="L1377" s="166"/>
    </row>
    <row r="1378" spans="1:12" ht="25.5" customHeight="1" x14ac:dyDescent="0.3">
      <c r="A1378" s="405"/>
      <c r="B1378" s="405"/>
      <c r="C1378" s="405"/>
      <c r="D1378" s="405"/>
      <c r="E1378" s="405" t="s">
        <v>1046</v>
      </c>
      <c r="F1378" s="406">
        <v>4.54</v>
      </c>
      <c r="G1378" s="405" t="s">
        <v>1047</v>
      </c>
      <c r="H1378" s="406">
        <v>0</v>
      </c>
      <c r="I1378" s="405" t="s">
        <v>1048</v>
      </c>
      <c r="J1378" s="406">
        <v>4.54</v>
      </c>
      <c r="K1378"/>
      <c r="L1378" s="168"/>
    </row>
    <row r="1379" spans="1:12" ht="25.5" customHeight="1" thickBot="1" x14ac:dyDescent="0.35">
      <c r="A1379" s="405"/>
      <c r="B1379" s="405"/>
      <c r="C1379" s="405"/>
      <c r="D1379" s="405"/>
      <c r="E1379" s="405" t="s">
        <v>1049</v>
      </c>
      <c r="F1379" s="406">
        <v>0</v>
      </c>
      <c r="G1379" s="405"/>
      <c r="H1379" s="606"/>
      <c r="I1379" s="606" t="s">
        <v>1050</v>
      </c>
      <c r="J1379" s="406">
        <v>52.79</v>
      </c>
      <c r="K1379"/>
      <c r="L1379" s="168"/>
    </row>
    <row r="1380" spans="1:12" ht="25.5" customHeight="1" thickTop="1" x14ac:dyDescent="0.3">
      <c r="A1380" s="407"/>
      <c r="B1380" s="407"/>
      <c r="C1380" s="407"/>
      <c r="D1380" s="407"/>
      <c r="E1380" s="407"/>
      <c r="F1380" s="407"/>
      <c r="G1380" s="407"/>
      <c r="H1380" s="407"/>
      <c r="I1380" s="407"/>
      <c r="J1380" s="407"/>
      <c r="K1380" s="407"/>
      <c r="L1380" s="168"/>
    </row>
    <row r="1381" spans="1:12" ht="15" x14ac:dyDescent="0.3">
      <c r="A1381" s="382" t="s">
        <v>797</v>
      </c>
      <c r="B1381" s="312" t="s">
        <v>413</v>
      </c>
      <c r="C1381" s="382" t="s">
        <v>414</v>
      </c>
      <c r="D1381" s="382" t="s">
        <v>415</v>
      </c>
      <c r="E1381" s="586" t="s">
        <v>1029</v>
      </c>
      <c r="F1381" s="586"/>
      <c r="G1381" s="383" t="s">
        <v>416</v>
      </c>
      <c r="H1381" s="312" t="s">
        <v>1030</v>
      </c>
      <c r="I1381" s="312" t="s">
        <v>3016</v>
      </c>
      <c r="J1381" s="312" t="s">
        <v>1031</v>
      </c>
      <c r="K1381" s="312" t="s">
        <v>1032</v>
      </c>
      <c r="L1381" s="166"/>
    </row>
    <row r="1382" spans="1:12" ht="14.25" customHeight="1" x14ac:dyDescent="0.3">
      <c r="A1382" s="313" t="s">
        <v>1033</v>
      </c>
      <c r="B1382" s="315" t="s">
        <v>2119</v>
      </c>
      <c r="C1382" s="313" t="s">
        <v>5902</v>
      </c>
      <c r="D1382" s="313" t="s">
        <v>1688</v>
      </c>
      <c r="E1382" s="603">
        <v>21.1</v>
      </c>
      <c r="F1382" s="603"/>
      <c r="G1382" s="314" t="s">
        <v>7</v>
      </c>
      <c r="H1382" s="399">
        <v>1</v>
      </c>
      <c r="I1382" s="316"/>
      <c r="J1382" s="316">
        <v>77.180000000000007</v>
      </c>
      <c r="K1382" s="316">
        <v>77.180000000000007</v>
      </c>
      <c r="L1382" s="166"/>
    </row>
    <row r="1383" spans="1:12" ht="25.5" customHeight="1" x14ac:dyDescent="0.3">
      <c r="A1383" s="400" t="s">
        <v>1038</v>
      </c>
      <c r="B1383" s="401" t="s">
        <v>1469</v>
      </c>
      <c r="C1383" s="400" t="s">
        <v>5902</v>
      </c>
      <c r="D1383" s="400" t="s">
        <v>1470</v>
      </c>
      <c r="E1383" s="605" t="s">
        <v>1053</v>
      </c>
      <c r="F1383" s="605"/>
      <c r="G1383" s="402" t="s">
        <v>6</v>
      </c>
      <c r="H1383" s="403">
        <v>7.0000000000000007E-2</v>
      </c>
      <c r="I1383" s="403">
        <v>0</v>
      </c>
      <c r="J1383" s="404">
        <v>27.64</v>
      </c>
      <c r="K1383" s="404">
        <v>1.9348000000000001</v>
      </c>
      <c r="L1383" s="168"/>
    </row>
    <row r="1384" spans="1:12" ht="26.4" x14ac:dyDescent="0.3">
      <c r="A1384" s="400" t="s">
        <v>1038</v>
      </c>
      <c r="B1384" s="401" t="s">
        <v>1467</v>
      </c>
      <c r="C1384" s="400" t="s">
        <v>5902</v>
      </c>
      <c r="D1384" s="400" t="s">
        <v>1468</v>
      </c>
      <c r="E1384" s="605" t="s">
        <v>1053</v>
      </c>
      <c r="F1384" s="605"/>
      <c r="G1384" s="402" t="s">
        <v>6</v>
      </c>
      <c r="H1384" s="403">
        <v>0.06</v>
      </c>
      <c r="I1384" s="403">
        <v>0</v>
      </c>
      <c r="J1384" s="404">
        <v>22.71</v>
      </c>
      <c r="K1384" s="404">
        <v>1.3626</v>
      </c>
      <c r="L1384" s="168"/>
    </row>
    <row r="1385" spans="1:12" ht="15" customHeight="1" x14ac:dyDescent="0.3">
      <c r="A1385" s="400" t="s">
        <v>1038</v>
      </c>
      <c r="B1385" s="401" t="s">
        <v>2303</v>
      </c>
      <c r="C1385" s="400" t="s">
        <v>5902</v>
      </c>
      <c r="D1385" s="400" t="s">
        <v>2304</v>
      </c>
      <c r="E1385" s="605" t="s">
        <v>1053</v>
      </c>
      <c r="F1385" s="605"/>
      <c r="G1385" s="402" t="s">
        <v>6</v>
      </c>
      <c r="H1385" s="403">
        <v>0.1</v>
      </c>
      <c r="I1385" s="403">
        <v>0</v>
      </c>
      <c r="J1385" s="404">
        <v>33.119999999999997</v>
      </c>
      <c r="K1385" s="404">
        <v>3.3119999999999998</v>
      </c>
      <c r="L1385" s="168"/>
    </row>
    <row r="1386" spans="1:12" ht="26.4" x14ac:dyDescent="0.3">
      <c r="A1386" s="400" t="s">
        <v>1038</v>
      </c>
      <c r="B1386" s="401" t="s">
        <v>2301</v>
      </c>
      <c r="C1386" s="400" t="s">
        <v>5902</v>
      </c>
      <c r="D1386" s="400" t="s">
        <v>2302</v>
      </c>
      <c r="E1386" s="605" t="s">
        <v>1053</v>
      </c>
      <c r="F1386" s="605"/>
      <c r="G1386" s="402" t="s">
        <v>6</v>
      </c>
      <c r="H1386" s="403">
        <v>0.1</v>
      </c>
      <c r="I1386" s="403">
        <v>0</v>
      </c>
      <c r="J1386" s="404">
        <v>22.71</v>
      </c>
      <c r="K1386" s="404">
        <v>2.2709999999999999</v>
      </c>
      <c r="L1386" s="166"/>
    </row>
    <row r="1387" spans="1:12" ht="39.6" customHeight="1" x14ac:dyDescent="0.3">
      <c r="A1387" s="400" t="s">
        <v>1038</v>
      </c>
      <c r="B1387" s="401" t="s">
        <v>2305</v>
      </c>
      <c r="C1387" s="400" t="s">
        <v>5902</v>
      </c>
      <c r="D1387" s="400" t="s">
        <v>2306</v>
      </c>
      <c r="E1387" s="605" t="s">
        <v>1039</v>
      </c>
      <c r="F1387" s="605"/>
      <c r="G1387" s="402" t="s">
        <v>7</v>
      </c>
      <c r="H1387" s="403">
        <v>1.1000000000000001</v>
      </c>
      <c r="I1387" s="403">
        <v>0</v>
      </c>
      <c r="J1387" s="404">
        <v>53.27</v>
      </c>
      <c r="K1387" s="404">
        <v>58.597000000000001</v>
      </c>
      <c r="L1387" s="166"/>
    </row>
    <row r="1388" spans="1:12" ht="30" customHeight="1" x14ac:dyDescent="0.3">
      <c r="A1388" s="400" t="s">
        <v>1038</v>
      </c>
      <c r="B1388" s="401" t="s">
        <v>2307</v>
      </c>
      <c r="C1388" s="400" t="s">
        <v>5902</v>
      </c>
      <c r="D1388" s="400" t="s">
        <v>2308</v>
      </c>
      <c r="E1388" s="605" t="s">
        <v>1039</v>
      </c>
      <c r="F1388" s="605"/>
      <c r="G1388" s="402" t="s">
        <v>3</v>
      </c>
      <c r="H1388" s="403">
        <v>0.18</v>
      </c>
      <c r="I1388" s="403">
        <v>0</v>
      </c>
      <c r="J1388" s="404">
        <v>53.89</v>
      </c>
      <c r="K1388" s="404">
        <v>9.7002000000000006</v>
      </c>
      <c r="L1388" s="166"/>
    </row>
    <row r="1389" spans="1:12" ht="15" customHeight="1" x14ac:dyDescent="0.3">
      <c r="A1389" s="405"/>
      <c r="B1389" s="405"/>
      <c r="C1389" s="405"/>
      <c r="D1389" s="405"/>
      <c r="E1389" s="405" t="s">
        <v>1046</v>
      </c>
      <c r="F1389" s="406">
        <v>8.8699999999999992</v>
      </c>
      <c r="G1389" s="405" t="s">
        <v>1047</v>
      </c>
      <c r="H1389" s="406">
        <v>0</v>
      </c>
      <c r="I1389" s="405" t="s">
        <v>1048</v>
      </c>
      <c r="J1389" s="406">
        <v>8.8699999999999992</v>
      </c>
      <c r="K1389"/>
      <c r="L1389" s="166"/>
    </row>
    <row r="1390" spans="1:12" ht="25.5" customHeight="1" thickBot="1" x14ac:dyDescent="0.35">
      <c r="A1390" s="405"/>
      <c r="B1390" s="405"/>
      <c r="C1390" s="405"/>
      <c r="D1390" s="405"/>
      <c r="E1390" s="405" t="s">
        <v>1049</v>
      </c>
      <c r="F1390" s="406">
        <v>0</v>
      </c>
      <c r="G1390" s="405"/>
      <c r="H1390" s="606"/>
      <c r="I1390" s="606" t="s">
        <v>1050</v>
      </c>
      <c r="J1390" s="406">
        <v>77.180000000000007</v>
      </c>
      <c r="K1390"/>
      <c r="L1390" s="166"/>
    </row>
    <row r="1391" spans="1:12" ht="25.5" customHeight="1" thickTop="1" x14ac:dyDescent="0.3">
      <c r="A1391" s="407"/>
      <c r="B1391" s="407"/>
      <c r="C1391" s="407"/>
      <c r="D1391" s="407"/>
      <c r="E1391" s="407"/>
      <c r="F1391" s="407"/>
      <c r="G1391" s="407"/>
      <c r="H1391" s="407"/>
      <c r="I1391" s="407"/>
      <c r="J1391" s="407"/>
      <c r="K1391" s="407"/>
      <c r="L1391" s="166"/>
    </row>
    <row r="1392" spans="1:12" ht="38.25" customHeight="1" x14ac:dyDescent="0.3">
      <c r="A1392" s="382" t="s">
        <v>798</v>
      </c>
      <c r="B1392" s="312" t="s">
        <v>413</v>
      </c>
      <c r="C1392" s="382" t="s">
        <v>414</v>
      </c>
      <c r="D1392" s="382" t="s">
        <v>415</v>
      </c>
      <c r="E1392" s="586" t="s">
        <v>1029</v>
      </c>
      <c r="F1392" s="586"/>
      <c r="G1392" s="383" t="s">
        <v>416</v>
      </c>
      <c r="H1392" s="312" t="s">
        <v>1030</v>
      </c>
      <c r="I1392" s="312" t="s">
        <v>3016</v>
      </c>
      <c r="J1392" s="312" t="s">
        <v>1031</v>
      </c>
      <c r="K1392" s="312" t="s">
        <v>1032</v>
      </c>
      <c r="L1392" s="166"/>
    </row>
    <row r="1393" spans="1:12" ht="38.25" customHeight="1" x14ac:dyDescent="0.3">
      <c r="A1393" s="313" t="s">
        <v>1033</v>
      </c>
      <c r="B1393" s="315" t="s">
        <v>1910</v>
      </c>
      <c r="C1393" s="313" t="s">
        <v>575</v>
      </c>
      <c r="D1393" s="313" t="s">
        <v>1684</v>
      </c>
      <c r="E1393" s="603" t="s">
        <v>1597</v>
      </c>
      <c r="F1393" s="603"/>
      <c r="G1393" s="314" t="s">
        <v>7</v>
      </c>
      <c r="H1393" s="399">
        <v>1</v>
      </c>
      <c r="I1393" s="316"/>
      <c r="J1393" s="316">
        <v>38.79</v>
      </c>
      <c r="K1393" s="316">
        <v>38.79</v>
      </c>
      <c r="L1393" s="168"/>
    </row>
    <row r="1394" spans="1:12" ht="26.4" x14ac:dyDescent="0.3">
      <c r="A1394" s="408" t="s">
        <v>1034</v>
      </c>
      <c r="B1394" s="409" t="s">
        <v>1561</v>
      </c>
      <c r="C1394" s="408" t="s">
        <v>395</v>
      </c>
      <c r="D1394" s="408" t="s">
        <v>138</v>
      </c>
      <c r="E1394" s="604" t="s">
        <v>7768</v>
      </c>
      <c r="F1394" s="604"/>
      <c r="G1394" s="410" t="s">
        <v>6</v>
      </c>
      <c r="H1394" s="412">
        <v>0.29899999999999999</v>
      </c>
      <c r="I1394" s="412">
        <v>0</v>
      </c>
      <c r="J1394" s="411">
        <v>34.75</v>
      </c>
      <c r="K1394" s="411">
        <v>10.39025</v>
      </c>
      <c r="L1394" s="167"/>
    </row>
    <row r="1395" spans="1:12" ht="26.4" x14ac:dyDescent="0.3">
      <c r="A1395" s="408" t="s">
        <v>1034</v>
      </c>
      <c r="B1395" s="409" t="s">
        <v>1290</v>
      </c>
      <c r="C1395" s="408" t="s">
        <v>395</v>
      </c>
      <c r="D1395" s="408" t="s">
        <v>147</v>
      </c>
      <c r="E1395" s="604" t="s">
        <v>7768</v>
      </c>
      <c r="F1395" s="604"/>
      <c r="G1395" s="410" t="s">
        <v>6</v>
      </c>
      <c r="H1395" s="412">
        <v>0.15</v>
      </c>
      <c r="I1395" s="412">
        <v>0</v>
      </c>
      <c r="J1395" s="411">
        <v>32.82</v>
      </c>
      <c r="K1395" s="411">
        <v>4.923</v>
      </c>
      <c r="L1395" s="168"/>
    </row>
    <row r="1396" spans="1:12" ht="15" customHeight="1" x14ac:dyDescent="0.3">
      <c r="A1396" s="400" t="s">
        <v>1038</v>
      </c>
      <c r="B1396" s="401" t="s">
        <v>2297</v>
      </c>
      <c r="C1396" s="400" t="s">
        <v>395</v>
      </c>
      <c r="D1396" s="400" t="s">
        <v>277</v>
      </c>
      <c r="E1396" s="605" t="s">
        <v>1039</v>
      </c>
      <c r="F1396" s="605"/>
      <c r="G1396" s="402" t="s">
        <v>3</v>
      </c>
      <c r="H1396" s="403">
        <v>0.12</v>
      </c>
      <c r="I1396" s="403">
        <v>0</v>
      </c>
      <c r="J1396" s="404">
        <v>4.34</v>
      </c>
      <c r="K1396" s="404">
        <v>0.52080000000000004</v>
      </c>
      <c r="L1396" s="168"/>
    </row>
    <row r="1397" spans="1:12" ht="15" x14ac:dyDescent="0.3">
      <c r="A1397" s="400" t="s">
        <v>1038</v>
      </c>
      <c r="B1397" s="401" t="s">
        <v>1341</v>
      </c>
      <c r="C1397" s="400" t="s">
        <v>395</v>
      </c>
      <c r="D1397" s="400" t="s">
        <v>240</v>
      </c>
      <c r="E1397" s="605" t="s">
        <v>1039</v>
      </c>
      <c r="F1397" s="605"/>
      <c r="G1397" s="402" t="s">
        <v>3</v>
      </c>
      <c r="H1397" s="403">
        <v>0.86140000000000005</v>
      </c>
      <c r="I1397" s="403">
        <v>0</v>
      </c>
      <c r="J1397" s="404">
        <v>2.27</v>
      </c>
      <c r="K1397" s="404">
        <v>1.9553780000000001</v>
      </c>
      <c r="L1397" s="168"/>
    </row>
    <row r="1398" spans="1:12" ht="14.25" customHeight="1" x14ac:dyDescent="0.3">
      <c r="A1398" s="400" t="s">
        <v>1038</v>
      </c>
      <c r="B1398" s="401" t="s">
        <v>2298</v>
      </c>
      <c r="C1398" s="400" t="s">
        <v>575</v>
      </c>
      <c r="D1398" s="400" t="s">
        <v>2299</v>
      </c>
      <c r="E1398" s="605" t="s">
        <v>1039</v>
      </c>
      <c r="F1398" s="605"/>
      <c r="G1398" s="402" t="s">
        <v>437</v>
      </c>
      <c r="H1398" s="403">
        <v>1.05</v>
      </c>
      <c r="I1398" s="403">
        <v>0</v>
      </c>
      <c r="J1398" s="404">
        <v>20</v>
      </c>
      <c r="K1398" s="404">
        <v>21</v>
      </c>
      <c r="L1398" s="166"/>
    </row>
    <row r="1399" spans="1:12" ht="15" x14ac:dyDescent="0.3">
      <c r="A1399" s="405"/>
      <c r="B1399" s="405"/>
      <c r="C1399" s="405"/>
      <c r="D1399" s="405"/>
      <c r="E1399" s="405" t="s">
        <v>1046</v>
      </c>
      <c r="F1399" s="406">
        <v>10.73</v>
      </c>
      <c r="G1399" s="405" t="s">
        <v>1047</v>
      </c>
      <c r="H1399" s="406">
        <v>0</v>
      </c>
      <c r="I1399" s="405" t="s">
        <v>1048</v>
      </c>
      <c r="J1399" s="406">
        <v>10.73</v>
      </c>
      <c r="K1399"/>
      <c r="L1399" s="166"/>
    </row>
    <row r="1400" spans="1:12" ht="15" customHeight="1" thickBot="1" x14ac:dyDescent="0.35">
      <c r="A1400" s="405"/>
      <c r="B1400" s="405"/>
      <c r="C1400" s="405"/>
      <c r="D1400" s="405"/>
      <c r="E1400" s="405" t="s">
        <v>1049</v>
      </c>
      <c r="F1400" s="406">
        <v>0</v>
      </c>
      <c r="G1400" s="405"/>
      <c r="H1400" s="606"/>
      <c r="I1400" s="606" t="s">
        <v>1050</v>
      </c>
      <c r="J1400" s="406">
        <v>38.79</v>
      </c>
      <c r="K1400"/>
      <c r="L1400" s="168"/>
    </row>
    <row r="1401" spans="1:12" ht="25.5" customHeight="1" thickTop="1" x14ac:dyDescent="0.3">
      <c r="A1401" s="407"/>
      <c r="B1401" s="407"/>
      <c r="C1401" s="407"/>
      <c r="D1401" s="407"/>
      <c r="E1401" s="407"/>
      <c r="F1401" s="407"/>
      <c r="G1401" s="407"/>
      <c r="H1401" s="407"/>
      <c r="I1401" s="407"/>
      <c r="J1401" s="407"/>
      <c r="K1401" s="407"/>
      <c r="L1401" s="168"/>
    </row>
    <row r="1402" spans="1:12" ht="25.5" customHeight="1" x14ac:dyDescent="0.3">
      <c r="A1402" s="382" t="s">
        <v>799</v>
      </c>
      <c r="B1402" s="312" t="s">
        <v>413</v>
      </c>
      <c r="C1402" s="382" t="s">
        <v>414</v>
      </c>
      <c r="D1402" s="382" t="s">
        <v>415</v>
      </c>
      <c r="E1402" s="586" t="s">
        <v>1029</v>
      </c>
      <c r="F1402" s="586"/>
      <c r="G1402" s="383" t="s">
        <v>416</v>
      </c>
      <c r="H1402" s="312" t="s">
        <v>1030</v>
      </c>
      <c r="I1402" s="312" t="s">
        <v>3016</v>
      </c>
      <c r="J1402" s="312" t="s">
        <v>1031</v>
      </c>
      <c r="K1402" s="312" t="s">
        <v>1032</v>
      </c>
      <c r="L1402" s="168"/>
    </row>
    <row r="1403" spans="1:12" ht="25.5" customHeight="1" x14ac:dyDescent="0.3">
      <c r="A1403" s="313" t="s">
        <v>1033</v>
      </c>
      <c r="B1403" s="315" t="s">
        <v>1911</v>
      </c>
      <c r="C1403" s="313" t="s">
        <v>575</v>
      </c>
      <c r="D1403" s="313" t="s">
        <v>1686</v>
      </c>
      <c r="E1403" s="603" t="s">
        <v>1597</v>
      </c>
      <c r="F1403" s="603"/>
      <c r="G1403" s="314" t="s">
        <v>7</v>
      </c>
      <c r="H1403" s="399">
        <v>1</v>
      </c>
      <c r="I1403" s="316"/>
      <c r="J1403" s="316">
        <v>80.790000000000006</v>
      </c>
      <c r="K1403" s="316">
        <v>80.790000000000006</v>
      </c>
      <c r="L1403" s="168"/>
    </row>
    <row r="1404" spans="1:12" ht="25.5" customHeight="1" x14ac:dyDescent="0.3">
      <c r="A1404" s="408" t="s">
        <v>1034</v>
      </c>
      <c r="B1404" s="409" t="s">
        <v>1561</v>
      </c>
      <c r="C1404" s="408" t="s">
        <v>395</v>
      </c>
      <c r="D1404" s="408" t="s">
        <v>138</v>
      </c>
      <c r="E1404" s="604" t="s">
        <v>7768</v>
      </c>
      <c r="F1404" s="604"/>
      <c r="G1404" s="410" t="s">
        <v>6</v>
      </c>
      <c r="H1404" s="412">
        <v>0.29899999999999999</v>
      </c>
      <c r="I1404" s="412">
        <v>0</v>
      </c>
      <c r="J1404" s="411">
        <v>34.75</v>
      </c>
      <c r="K1404" s="411">
        <v>10.39025</v>
      </c>
      <c r="L1404" s="168"/>
    </row>
    <row r="1405" spans="1:12" ht="25.5" customHeight="1" x14ac:dyDescent="0.3">
      <c r="A1405" s="408" t="s">
        <v>1034</v>
      </c>
      <c r="B1405" s="409" t="s">
        <v>1290</v>
      </c>
      <c r="C1405" s="408" t="s">
        <v>395</v>
      </c>
      <c r="D1405" s="408" t="s">
        <v>147</v>
      </c>
      <c r="E1405" s="604" t="s">
        <v>7768</v>
      </c>
      <c r="F1405" s="604"/>
      <c r="G1405" s="410" t="s">
        <v>6</v>
      </c>
      <c r="H1405" s="412">
        <v>0.15</v>
      </c>
      <c r="I1405" s="412">
        <v>0</v>
      </c>
      <c r="J1405" s="411">
        <v>32.82</v>
      </c>
      <c r="K1405" s="411">
        <v>4.923</v>
      </c>
      <c r="L1405" s="166"/>
    </row>
    <row r="1406" spans="1:12" ht="25.5" customHeight="1" x14ac:dyDescent="0.3">
      <c r="A1406" s="400" t="s">
        <v>1038</v>
      </c>
      <c r="B1406" s="401" t="s">
        <v>2297</v>
      </c>
      <c r="C1406" s="400" t="s">
        <v>395</v>
      </c>
      <c r="D1406" s="400" t="s">
        <v>277</v>
      </c>
      <c r="E1406" s="605" t="s">
        <v>1039</v>
      </c>
      <c r="F1406" s="605"/>
      <c r="G1406" s="402" t="s">
        <v>3</v>
      </c>
      <c r="H1406" s="403">
        <v>0.12</v>
      </c>
      <c r="I1406" s="403">
        <v>0</v>
      </c>
      <c r="J1406" s="404">
        <v>4.34</v>
      </c>
      <c r="K1406" s="404">
        <v>0.52080000000000004</v>
      </c>
      <c r="L1406" s="168"/>
    </row>
    <row r="1407" spans="1:12" ht="38.25" customHeight="1" x14ac:dyDescent="0.3">
      <c r="A1407" s="400" t="s">
        <v>1038</v>
      </c>
      <c r="B1407" s="401" t="s">
        <v>1341</v>
      </c>
      <c r="C1407" s="400" t="s">
        <v>395</v>
      </c>
      <c r="D1407" s="400" t="s">
        <v>240</v>
      </c>
      <c r="E1407" s="605" t="s">
        <v>1039</v>
      </c>
      <c r="F1407" s="605"/>
      <c r="G1407" s="402" t="s">
        <v>3</v>
      </c>
      <c r="H1407" s="403">
        <v>0.86140000000000005</v>
      </c>
      <c r="I1407" s="403">
        <v>0</v>
      </c>
      <c r="J1407" s="404">
        <v>2.27</v>
      </c>
      <c r="K1407" s="404">
        <v>1.9553780000000001</v>
      </c>
      <c r="L1407" s="168"/>
    </row>
    <row r="1408" spans="1:12" ht="15" customHeight="1" x14ac:dyDescent="0.3">
      <c r="A1408" s="400" t="s">
        <v>1038</v>
      </c>
      <c r="B1408" s="401" t="s">
        <v>2300</v>
      </c>
      <c r="C1408" s="400" t="s">
        <v>575</v>
      </c>
      <c r="D1408" s="400" t="s">
        <v>1686</v>
      </c>
      <c r="E1408" s="605" t="s">
        <v>1039</v>
      </c>
      <c r="F1408" s="605"/>
      <c r="G1408" s="402" t="s">
        <v>437</v>
      </c>
      <c r="H1408" s="403">
        <v>1.05</v>
      </c>
      <c r="I1408" s="403">
        <v>0</v>
      </c>
      <c r="J1408" s="404">
        <v>60</v>
      </c>
      <c r="K1408" s="404">
        <v>63</v>
      </c>
      <c r="L1408" s="168"/>
    </row>
    <row r="1409" spans="1:12" ht="14.25" customHeight="1" x14ac:dyDescent="0.3">
      <c r="A1409" s="405"/>
      <c r="B1409" s="405"/>
      <c r="C1409" s="405"/>
      <c r="D1409" s="405"/>
      <c r="E1409" s="405" t="s">
        <v>1046</v>
      </c>
      <c r="F1409" s="406">
        <v>10.73</v>
      </c>
      <c r="G1409" s="405" t="s">
        <v>1047</v>
      </c>
      <c r="H1409" s="406">
        <v>0</v>
      </c>
      <c r="I1409" s="405" t="s">
        <v>1048</v>
      </c>
      <c r="J1409" s="406">
        <v>10.73</v>
      </c>
      <c r="K1409"/>
      <c r="L1409" s="166"/>
    </row>
    <row r="1410" spans="1:12" ht="15.6" thickBot="1" x14ac:dyDescent="0.35">
      <c r="A1410" s="405"/>
      <c r="B1410" s="405"/>
      <c r="C1410" s="405"/>
      <c r="D1410" s="405"/>
      <c r="E1410" s="405" t="s">
        <v>1049</v>
      </c>
      <c r="F1410" s="406">
        <v>0</v>
      </c>
      <c r="G1410" s="405"/>
      <c r="H1410" s="606"/>
      <c r="I1410" s="606" t="s">
        <v>1050</v>
      </c>
      <c r="J1410" s="406">
        <v>80.790000000000006</v>
      </c>
      <c r="K1410"/>
      <c r="L1410" s="166"/>
    </row>
    <row r="1411" spans="1:12" ht="14.25" customHeight="1" thickTop="1" x14ac:dyDescent="0.3">
      <c r="A1411" s="407"/>
      <c r="B1411" s="407"/>
      <c r="C1411" s="407"/>
      <c r="D1411" s="407"/>
      <c r="E1411" s="407"/>
      <c r="F1411" s="407"/>
      <c r="G1411" s="407"/>
      <c r="H1411" s="407"/>
      <c r="I1411" s="407"/>
      <c r="J1411" s="407"/>
      <c r="K1411" s="407"/>
      <c r="L1411" s="168"/>
    </row>
    <row r="1412" spans="1:12" ht="15" customHeight="1" x14ac:dyDescent="0.3">
      <c r="A1412" s="382" t="s">
        <v>801</v>
      </c>
      <c r="B1412" s="312" t="s">
        <v>413</v>
      </c>
      <c r="C1412" s="382" t="s">
        <v>414</v>
      </c>
      <c r="D1412" s="382" t="s">
        <v>415</v>
      </c>
      <c r="E1412" s="586" t="s">
        <v>1029</v>
      </c>
      <c r="F1412" s="586"/>
      <c r="G1412" s="383" t="s">
        <v>416</v>
      </c>
      <c r="H1412" s="312" t="s">
        <v>1030</v>
      </c>
      <c r="I1412" s="312" t="s">
        <v>3016</v>
      </c>
      <c r="J1412" s="312" t="s">
        <v>1031</v>
      </c>
      <c r="K1412" s="312" t="s">
        <v>1032</v>
      </c>
      <c r="L1412" s="168"/>
    </row>
    <row r="1413" spans="1:12" ht="25.5" customHeight="1" x14ac:dyDescent="0.3">
      <c r="A1413" s="313" t="s">
        <v>1033</v>
      </c>
      <c r="B1413" s="315" t="s">
        <v>2134</v>
      </c>
      <c r="C1413" s="313" t="s">
        <v>5902</v>
      </c>
      <c r="D1413" s="313" t="s">
        <v>1768</v>
      </c>
      <c r="E1413" s="603">
        <v>18.079999999999998</v>
      </c>
      <c r="F1413" s="603"/>
      <c r="G1413" s="314" t="s">
        <v>7</v>
      </c>
      <c r="H1413" s="399">
        <v>1</v>
      </c>
      <c r="I1413" s="316"/>
      <c r="J1413" s="316">
        <v>38.090000000000003</v>
      </c>
      <c r="K1413" s="316">
        <v>38.090000000000003</v>
      </c>
      <c r="L1413" s="168"/>
    </row>
    <row r="1414" spans="1:12" ht="25.5" customHeight="1" x14ac:dyDescent="0.3">
      <c r="A1414" s="400" t="s">
        <v>1038</v>
      </c>
      <c r="B1414" s="401" t="s">
        <v>1469</v>
      </c>
      <c r="C1414" s="400" t="s">
        <v>5902</v>
      </c>
      <c r="D1414" s="400" t="s">
        <v>1470</v>
      </c>
      <c r="E1414" s="605" t="s">
        <v>1053</v>
      </c>
      <c r="F1414" s="605"/>
      <c r="G1414" s="402" t="s">
        <v>6</v>
      </c>
      <c r="H1414" s="403">
        <v>0.25</v>
      </c>
      <c r="I1414" s="403">
        <v>0</v>
      </c>
      <c r="J1414" s="404">
        <v>27.64</v>
      </c>
      <c r="K1414" s="404">
        <v>6.91</v>
      </c>
      <c r="L1414" s="166"/>
    </row>
    <row r="1415" spans="1:12" ht="26.4" x14ac:dyDescent="0.3">
      <c r="A1415" s="400" t="s">
        <v>1038</v>
      </c>
      <c r="B1415" s="401" t="s">
        <v>1467</v>
      </c>
      <c r="C1415" s="400" t="s">
        <v>5902</v>
      </c>
      <c r="D1415" s="400" t="s">
        <v>1468</v>
      </c>
      <c r="E1415" s="605" t="s">
        <v>1053</v>
      </c>
      <c r="F1415" s="605"/>
      <c r="G1415" s="402" t="s">
        <v>6</v>
      </c>
      <c r="H1415" s="403">
        <v>0.25</v>
      </c>
      <c r="I1415" s="403">
        <v>0</v>
      </c>
      <c r="J1415" s="404">
        <v>22.71</v>
      </c>
      <c r="K1415" s="404">
        <v>5.6775000000000002</v>
      </c>
      <c r="L1415" s="166"/>
    </row>
    <row r="1416" spans="1:12" ht="38.25" customHeight="1" x14ac:dyDescent="0.3">
      <c r="A1416" s="400" t="s">
        <v>1038</v>
      </c>
      <c r="B1416" s="401" t="s">
        <v>2369</v>
      </c>
      <c r="C1416" s="400" t="s">
        <v>5902</v>
      </c>
      <c r="D1416" s="400" t="s">
        <v>2370</v>
      </c>
      <c r="E1416" s="605" t="s">
        <v>1039</v>
      </c>
      <c r="F1416" s="605"/>
      <c r="G1416" s="402" t="s">
        <v>3</v>
      </c>
      <c r="H1416" s="403">
        <v>1</v>
      </c>
      <c r="I1416" s="403">
        <v>0</v>
      </c>
      <c r="J1416" s="404">
        <v>1.75</v>
      </c>
      <c r="K1416" s="404">
        <v>1.75</v>
      </c>
      <c r="L1416" s="166"/>
    </row>
    <row r="1417" spans="1:12" ht="38.25" customHeight="1" x14ac:dyDescent="0.3">
      <c r="A1417" s="400" t="s">
        <v>1038</v>
      </c>
      <c r="B1417" s="401" t="s">
        <v>2367</v>
      </c>
      <c r="C1417" s="400" t="s">
        <v>5902</v>
      </c>
      <c r="D1417" s="400" t="s">
        <v>2368</v>
      </c>
      <c r="E1417" s="605" t="s">
        <v>1039</v>
      </c>
      <c r="F1417" s="605"/>
      <c r="G1417" s="402" t="s">
        <v>3</v>
      </c>
      <c r="H1417" s="403">
        <v>7.0000000000000007E-2</v>
      </c>
      <c r="I1417" s="403">
        <v>0</v>
      </c>
      <c r="J1417" s="404">
        <v>8.02</v>
      </c>
      <c r="K1417" s="404">
        <v>0.56140000000000001</v>
      </c>
      <c r="L1417" s="166"/>
    </row>
    <row r="1418" spans="1:12" ht="17.399999999999999" customHeight="1" x14ac:dyDescent="0.3">
      <c r="A1418" s="400" t="s">
        <v>1038</v>
      </c>
      <c r="B1418" s="401" t="s">
        <v>2371</v>
      </c>
      <c r="C1418" s="400" t="s">
        <v>5902</v>
      </c>
      <c r="D1418" s="400" t="s">
        <v>2372</v>
      </c>
      <c r="E1418" s="605" t="s">
        <v>1039</v>
      </c>
      <c r="F1418" s="605"/>
      <c r="G1418" s="402" t="s">
        <v>675</v>
      </c>
      <c r="H1418" s="403">
        <v>0.188</v>
      </c>
      <c r="I1418" s="403">
        <v>0</v>
      </c>
      <c r="J1418" s="404">
        <v>123.37</v>
      </c>
      <c r="K1418" s="404">
        <v>23.193560000000002</v>
      </c>
      <c r="L1418" s="166"/>
    </row>
    <row r="1419" spans="1:12" ht="15" customHeight="1" x14ac:dyDescent="0.3">
      <c r="A1419" s="405"/>
      <c r="B1419" s="405"/>
      <c r="C1419" s="405"/>
      <c r="D1419" s="405"/>
      <c r="E1419" s="405" t="s">
        <v>1046</v>
      </c>
      <c r="F1419" s="406">
        <v>12.59</v>
      </c>
      <c r="G1419" s="405" t="s">
        <v>1047</v>
      </c>
      <c r="H1419" s="406">
        <v>0</v>
      </c>
      <c r="I1419" s="405" t="s">
        <v>1048</v>
      </c>
      <c r="J1419" s="406">
        <v>12.59</v>
      </c>
      <c r="K1419"/>
      <c r="L1419" s="166"/>
    </row>
    <row r="1420" spans="1:12" ht="15.6" thickBot="1" x14ac:dyDescent="0.35">
      <c r="A1420" s="405"/>
      <c r="B1420" s="405"/>
      <c r="C1420" s="405"/>
      <c r="D1420" s="405"/>
      <c r="E1420" s="405" t="s">
        <v>1049</v>
      </c>
      <c r="F1420" s="406">
        <v>0</v>
      </c>
      <c r="G1420" s="405"/>
      <c r="H1420" s="606"/>
      <c r="I1420" s="606" t="s">
        <v>1050</v>
      </c>
      <c r="J1420" s="406">
        <v>38.090000000000003</v>
      </c>
      <c r="K1420"/>
      <c r="L1420" s="166"/>
    </row>
    <row r="1421" spans="1:12" ht="38.25" customHeight="1" thickTop="1" x14ac:dyDescent="0.3">
      <c r="A1421" s="407"/>
      <c r="B1421" s="407"/>
      <c r="C1421" s="407"/>
      <c r="D1421" s="407"/>
      <c r="E1421" s="407"/>
      <c r="F1421" s="407"/>
      <c r="G1421" s="407"/>
      <c r="H1421" s="407"/>
      <c r="I1421" s="407"/>
      <c r="J1421" s="407"/>
      <c r="K1421" s="407"/>
      <c r="L1421" s="168"/>
    </row>
    <row r="1422" spans="1:12" ht="30" customHeight="1" x14ac:dyDescent="0.3">
      <c r="A1422" s="382" t="s">
        <v>1025</v>
      </c>
      <c r="B1422" s="312" t="s">
        <v>413</v>
      </c>
      <c r="C1422" s="382" t="s">
        <v>414</v>
      </c>
      <c r="D1422" s="382" t="s">
        <v>415</v>
      </c>
      <c r="E1422" s="586" t="s">
        <v>1029</v>
      </c>
      <c r="F1422" s="586"/>
      <c r="G1422" s="383" t="s">
        <v>416</v>
      </c>
      <c r="H1422" s="312" t="s">
        <v>1030</v>
      </c>
      <c r="I1422" s="312" t="s">
        <v>3016</v>
      </c>
      <c r="J1422" s="312" t="s">
        <v>1031</v>
      </c>
      <c r="K1422" s="312" t="s">
        <v>1032</v>
      </c>
      <c r="L1422" s="170"/>
    </row>
    <row r="1423" spans="1:12" ht="15" customHeight="1" x14ac:dyDescent="0.3">
      <c r="A1423" s="313" t="s">
        <v>1033</v>
      </c>
      <c r="B1423" s="315" t="s">
        <v>3819</v>
      </c>
      <c r="C1423" s="313" t="s">
        <v>395</v>
      </c>
      <c r="D1423" s="313" t="s">
        <v>5930</v>
      </c>
      <c r="E1423" s="603" t="s">
        <v>7861</v>
      </c>
      <c r="F1423" s="603"/>
      <c r="G1423" s="314" t="s">
        <v>675</v>
      </c>
      <c r="H1423" s="399">
        <v>1</v>
      </c>
      <c r="I1423" s="316"/>
      <c r="J1423" s="316">
        <v>126.4</v>
      </c>
      <c r="K1423" s="316">
        <v>126.4</v>
      </c>
      <c r="L1423" s="168"/>
    </row>
    <row r="1424" spans="1:12" ht="25.5" customHeight="1" x14ac:dyDescent="0.3">
      <c r="A1424" s="408" t="s">
        <v>1034</v>
      </c>
      <c r="B1424" s="409" t="s">
        <v>2376</v>
      </c>
      <c r="C1424" s="408" t="s">
        <v>395</v>
      </c>
      <c r="D1424" s="408" t="s">
        <v>133</v>
      </c>
      <c r="E1424" s="604" t="s">
        <v>7768</v>
      </c>
      <c r="F1424" s="604"/>
      <c r="G1424" s="410" t="s">
        <v>6</v>
      </c>
      <c r="H1424" s="412">
        <v>0.3725</v>
      </c>
      <c r="I1424" s="412">
        <v>0</v>
      </c>
      <c r="J1424" s="411">
        <v>40.58</v>
      </c>
      <c r="K1424" s="411">
        <v>15.11605</v>
      </c>
      <c r="L1424" s="168"/>
    </row>
    <row r="1425" spans="1:12" ht="25.5" customHeight="1" x14ac:dyDescent="0.3">
      <c r="A1425" s="408" t="s">
        <v>1034</v>
      </c>
      <c r="B1425" s="409" t="s">
        <v>1290</v>
      </c>
      <c r="C1425" s="408" t="s">
        <v>395</v>
      </c>
      <c r="D1425" s="408" t="s">
        <v>147</v>
      </c>
      <c r="E1425" s="604" t="s">
        <v>7768</v>
      </c>
      <c r="F1425" s="604"/>
      <c r="G1425" s="410" t="s">
        <v>6</v>
      </c>
      <c r="H1425" s="412">
        <v>0.3725</v>
      </c>
      <c r="I1425" s="412">
        <v>0</v>
      </c>
      <c r="J1425" s="411">
        <v>32.82</v>
      </c>
      <c r="K1425" s="411">
        <v>12.22545</v>
      </c>
      <c r="L1425" s="168"/>
    </row>
    <row r="1426" spans="1:12" ht="17.399999999999999" customHeight="1" x14ac:dyDescent="0.3">
      <c r="A1426" s="408" t="s">
        <v>1034</v>
      </c>
      <c r="B1426" s="409" t="s">
        <v>1298</v>
      </c>
      <c r="C1426" s="408" t="s">
        <v>395</v>
      </c>
      <c r="D1426" s="408" t="s">
        <v>17</v>
      </c>
      <c r="E1426" s="604" t="s">
        <v>7772</v>
      </c>
      <c r="F1426" s="604"/>
      <c r="G1426" s="410" t="s">
        <v>15</v>
      </c>
      <c r="H1426" s="412">
        <v>4.1000000000000003E-3</v>
      </c>
      <c r="I1426" s="412">
        <v>0</v>
      </c>
      <c r="J1426" s="411">
        <v>10.98</v>
      </c>
      <c r="K1426" s="411">
        <v>4.5018000000000002E-2</v>
      </c>
      <c r="L1426" s="166"/>
    </row>
    <row r="1427" spans="1:12" ht="12.75" customHeight="1" x14ac:dyDescent="0.3">
      <c r="A1427" s="408" t="s">
        <v>1034</v>
      </c>
      <c r="B1427" s="409" t="s">
        <v>5240</v>
      </c>
      <c r="C1427" s="408" t="s">
        <v>395</v>
      </c>
      <c r="D1427" s="408" t="s">
        <v>5241</v>
      </c>
      <c r="E1427" s="604" t="s">
        <v>7772</v>
      </c>
      <c r="F1427" s="604"/>
      <c r="G1427" s="410" t="s">
        <v>19</v>
      </c>
      <c r="H1427" s="412">
        <v>0.18210000000000001</v>
      </c>
      <c r="I1427" s="412">
        <v>0</v>
      </c>
      <c r="J1427" s="411">
        <v>0.72</v>
      </c>
      <c r="K1427" s="411">
        <v>0.13111200000000001</v>
      </c>
      <c r="L1427" s="166"/>
    </row>
    <row r="1428" spans="1:12" ht="52.8" x14ac:dyDescent="0.3">
      <c r="A1428" s="408" t="s">
        <v>1034</v>
      </c>
      <c r="B1428" s="409" t="s">
        <v>5242</v>
      </c>
      <c r="C1428" s="408" t="s">
        <v>395</v>
      </c>
      <c r="D1428" s="408" t="s">
        <v>5243</v>
      </c>
      <c r="E1428" s="604" t="s">
        <v>7772</v>
      </c>
      <c r="F1428" s="604"/>
      <c r="G1428" s="410" t="s">
        <v>15</v>
      </c>
      <c r="H1428" s="412">
        <v>4.9099999999999998E-2</v>
      </c>
      <c r="I1428" s="412">
        <v>0</v>
      </c>
      <c r="J1428" s="411">
        <v>10.72</v>
      </c>
      <c r="K1428" s="411">
        <v>0.52635200000000004</v>
      </c>
      <c r="L1428" s="168"/>
    </row>
    <row r="1429" spans="1:12" ht="30" customHeight="1" x14ac:dyDescent="0.3">
      <c r="A1429" s="408" t="s">
        <v>1034</v>
      </c>
      <c r="B1429" s="409" t="s">
        <v>5244</v>
      </c>
      <c r="C1429" s="408" t="s">
        <v>395</v>
      </c>
      <c r="D1429" s="408" t="s">
        <v>5245</v>
      </c>
      <c r="E1429" s="604" t="s">
        <v>7772</v>
      </c>
      <c r="F1429" s="604"/>
      <c r="G1429" s="410" t="s">
        <v>19</v>
      </c>
      <c r="H1429" s="412">
        <v>0.1371</v>
      </c>
      <c r="I1429" s="412">
        <v>0</v>
      </c>
      <c r="J1429" s="411">
        <v>0.55000000000000004</v>
      </c>
      <c r="K1429" s="411">
        <v>7.5405E-2</v>
      </c>
      <c r="L1429" s="168"/>
    </row>
    <row r="1430" spans="1:12" ht="15" customHeight="1" x14ac:dyDescent="0.3">
      <c r="A1430" s="400" t="s">
        <v>1038</v>
      </c>
      <c r="B1430" s="401" t="s">
        <v>1303</v>
      </c>
      <c r="C1430" s="400" t="s">
        <v>395</v>
      </c>
      <c r="D1430" s="400" t="s">
        <v>239</v>
      </c>
      <c r="E1430" s="605" t="s">
        <v>1039</v>
      </c>
      <c r="F1430" s="605"/>
      <c r="G1430" s="402" t="s">
        <v>713</v>
      </c>
      <c r="H1430" s="403">
        <v>5.6800000000000003E-2</v>
      </c>
      <c r="I1430" s="403">
        <v>0</v>
      </c>
      <c r="J1430" s="404">
        <v>105</v>
      </c>
      <c r="K1430" s="404">
        <v>5.9640000000000004</v>
      </c>
      <c r="L1430" s="168"/>
    </row>
    <row r="1431" spans="1:12" ht="30" customHeight="1" x14ac:dyDescent="0.3">
      <c r="A1431" s="400" t="s">
        <v>1038</v>
      </c>
      <c r="B1431" s="401" t="s">
        <v>4480</v>
      </c>
      <c r="C1431" s="400" t="s">
        <v>395</v>
      </c>
      <c r="D1431" s="400" t="s">
        <v>4481</v>
      </c>
      <c r="E1431" s="605" t="s">
        <v>1039</v>
      </c>
      <c r="F1431" s="605"/>
      <c r="G1431" s="402" t="s">
        <v>713</v>
      </c>
      <c r="H1431" s="403">
        <v>9.7999999999999997E-3</v>
      </c>
      <c r="I1431" s="403">
        <v>0</v>
      </c>
      <c r="J1431" s="404">
        <v>130.09</v>
      </c>
      <c r="K1431" s="404">
        <v>1.2748820000000001</v>
      </c>
      <c r="L1431" s="168"/>
    </row>
    <row r="1432" spans="1:12" ht="14.25" customHeight="1" x14ac:dyDescent="0.3">
      <c r="A1432" s="400" t="s">
        <v>1038</v>
      </c>
      <c r="B1432" s="401" t="s">
        <v>4347</v>
      </c>
      <c r="C1432" s="400" t="s">
        <v>395</v>
      </c>
      <c r="D1432" s="400" t="s">
        <v>4348</v>
      </c>
      <c r="E1432" s="605" t="s">
        <v>1039</v>
      </c>
      <c r="F1432" s="605"/>
      <c r="G1432" s="402" t="s">
        <v>675</v>
      </c>
      <c r="H1432" s="403">
        <v>1.03</v>
      </c>
      <c r="I1432" s="403">
        <v>0</v>
      </c>
      <c r="J1432" s="404">
        <v>88.39</v>
      </c>
      <c r="K1432" s="404">
        <v>91.041700000000006</v>
      </c>
      <c r="L1432" s="166"/>
    </row>
    <row r="1433" spans="1:12" ht="25.5" customHeight="1" x14ac:dyDescent="0.3">
      <c r="A1433" s="405"/>
      <c r="B1433" s="405"/>
      <c r="C1433" s="405"/>
      <c r="D1433" s="405"/>
      <c r="E1433" s="405" t="s">
        <v>1046</v>
      </c>
      <c r="F1433" s="406">
        <v>19.73</v>
      </c>
      <c r="G1433" s="405" t="s">
        <v>1047</v>
      </c>
      <c r="H1433" s="406">
        <v>0</v>
      </c>
      <c r="I1433" s="405" t="s">
        <v>1048</v>
      </c>
      <c r="J1433" s="406">
        <v>19.73</v>
      </c>
      <c r="K1433"/>
      <c r="L1433" s="168"/>
    </row>
    <row r="1434" spans="1:12" ht="15" customHeight="1" thickBot="1" x14ac:dyDescent="0.35">
      <c r="A1434" s="405"/>
      <c r="B1434" s="405"/>
      <c r="C1434" s="405"/>
      <c r="D1434" s="405"/>
      <c r="E1434" s="405" t="s">
        <v>1049</v>
      </c>
      <c r="F1434" s="406">
        <v>0</v>
      </c>
      <c r="G1434" s="405"/>
      <c r="H1434" s="606"/>
      <c r="I1434" s="606" t="s">
        <v>1050</v>
      </c>
      <c r="J1434" s="406">
        <v>126.4</v>
      </c>
      <c r="K1434"/>
      <c r="L1434" s="168"/>
    </row>
    <row r="1435" spans="1:12" ht="25.5" customHeight="1" thickTop="1" x14ac:dyDescent="0.3">
      <c r="A1435" s="407"/>
      <c r="B1435" s="407"/>
      <c r="C1435" s="407"/>
      <c r="D1435" s="407"/>
      <c r="E1435" s="407"/>
      <c r="F1435" s="407"/>
      <c r="G1435" s="407"/>
      <c r="H1435" s="407"/>
      <c r="I1435" s="407"/>
      <c r="J1435" s="407"/>
      <c r="K1435" s="407"/>
      <c r="L1435" s="168"/>
    </row>
    <row r="1436" spans="1:12" ht="25.5" customHeight="1" x14ac:dyDescent="0.3">
      <c r="A1436" s="382" t="s">
        <v>804</v>
      </c>
      <c r="B1436" s="312" t="s">
        <v>413</v>
      </c>
      <c r="C1436" s="382" t="s">
        <v>414</v>
      </c>
      <c r="D1436" s="382" t="s">
        <v>415</v>
      </c>
      <c r="E1436" s="586" t="s">
        <v>1029</v>
      </c>
      <c r="F1436" s="586"/>
      <c r="G1436" s="383" t="s">
        <v>416</v>
      </c>
      <c r="H1436" s="312" t="s">
        <v>1030</v>
      </c>
      <c r="I1436" s="312" t="s">
        <v>3016</v>
      </c>
      <c r="J1436" s="312" t="s">
        <v>1031</v>
      </c>
      <c r="K1436" s="312" t="s">
        <v>1032</v>
      </c>
      <c r="L1436" s="166"/>
    </row>
    <row r="1437" spans="1:12" ht="26.4" x14ac:dyDescent="0.3">
      <c r="A1437" s="313" t="s">
        <v>1033</v>
      </c>
      <c r="B1437" s="315" t="s">
        <v>9657</v>
      </c>
      <c r="C1437" s="313" t="s">
        <v>395</v>
      </c>
      <c r="D1437" s="313" t="s">
        <v>8539</v>
      </c>
      <c r="E1437" s="603" t="s">
        <v>7886</v>
      </c>
      <c r="F1437" s="603"/>
      <c r="G1437" s="314" t="s">
        <v>675</v>
      </c>
      <c r="H1437" s="399">
        <v>1</v>
      </c>
      <c r="I1437" s="316"/>
      <c r="J1437" s="316">
        <v>22.49</v>
      </c>
      <c r="K1437" s="316">
        <v>22.49</v>
      </c>
      <c r="L1437" s="166"/>
    </row>
    <row r="1438" spans="1:12" ht="12.75" customHeight="1" x14ac:dyDescent="0.3">
      <c r="A1438" s="408" t="s">
        <v>1034</v>
      </c>
      <c r="B1438" s="409" t="s">
        <v>1290</v>
      </c>
      <c r="C1438" s="408" t="s">
        <v>395</v>
      </c>
      <c r="D1438" s="408" t="s">
        <v>147</v>
      </c>
      <c r="E1438" s="604" t="s">
        <v>7768</v>
      </c>
      <c r="F1438" s="604"/>
      <c r="G1438" s="410" t="s">
        <v>6</v>
      </c>
      <c r="H1438" s="412">
        <v>0.1386</v>
      </c>
      <c r="I1438" s="412">
        <v>0</v>
      </c>
      <c r="J1438" s="411">
        <v>32.82</v>
      </c>
      <c r="K1438" s="411">
        <v>4.5488520000000001</v>
      </c>
      <c r="L1438" s="168"/>
    </row>
    <row r="1439" spans="1:12" ht="30" customHeight="1" x14ac:dyDescent="0.3">
      <c r="A1439" s="408" t="s">
        <v>1034</v>
      </c>
      <c r="B1439" s="409" t="s">
        <v>2387</v>
      </c>
      <c r="C1439" s="408" t="s">
        <v>395</v>
      </c>
      <c r="D1439" s="408" t="s">
        <v>152</v>
      </c>
      <c r="E1439" s="604" t="s">
        <v>7768</v>
      </c>
      <c r="F1439" s="604"/>
      <c r="G1439" s="410" t="s">
        <v>6</v>
      </c>
      <c r="H1439" s="412">
        <v>2.7699999999999999E-2</v>
      </c>
      <c r="I1439" s="412">
        <v>0</v>
      </c>
      <c r="J1439" s="411">
        <v>34.06</v>
      </c>
      <c r="K1439" s="411">
        <v>0.94346200000000002</v>
      </c>
      <c r="L1439" s="168"/>
    </row>
    <row r="1440" spans="1:12" ht="30" customHeight="1" x14ac:dyDescent="0.3">
      <c r="A1440" s="400" t="s">
        <v>1038</v>
      </c>
      <c r="B1440" s="401" t="s">
        <v>2374</v>
      </c>
      <c r="C1440" s="400" t="s">
        <v>395</v>
      </c>
      <c r="D1440" s="400" t="s">
        <v>263</v>
      </c>
      <c r="E1440" s="605" t="s">
        <v>1039</v>
      </c>
      <c r="F1440" s="605"/>
      <c r="G1440" s="402" t="s">
        <v>675</v>
      </c>
      <c r="H1440" s="403">
        <v>1</v>
      </c>
      <c r="I1440" s="403">
        <v>0</v>
      </c>
      <c r="J1440" s="404">
        <v>17</v>
      </c>
      <c r="K1440" s="404">
        <v>17</v>
      </c>
      <c r="L1440" s="168"/>
    </row>
    <row r="1441" spans="1:12" ht="14.25" customHeight="1" x14ac:dyDescent="0.3">
      <c r="A1441" s="405"/>
      <c r="B1441" s="405"/>
      <c r="C1441" s="405"/>
      <c r="D1441" s="405"/>
      <c r="E1441" s="405" t="s">
        <v>1046</v>
      </c>
      <c r="F1441" s="406">
        <v>3.79</v>
      </c>
      <c r="G1441" s="405" t="s">
        <v>1047</v>
      </c>
      <c r="H1441" s="406">
        <v>0</v>
      </c>
      <c r="I1441" s="405" t="s">
        <v>1048</v>
      </c>
      <c r="J1441" s="406">
        <v>3.79</v>
      </c>
      <c r="K1441"/>
      <c r="L1441" s="166"/>
    </row>
    <row r="1442" spans="1:12" ht="15" customHeight="1" thickBot="1" x14ac:dyDescent="0.35">
      <c r="A1442" s="405"/>
      <c r="B1442" s="405"/>
      <c r="C1442" s="405"/>
      <c r="D1442" s="405"/>
      <c r="E1442" s="405" t="s">
        <v>1049</v>
      </c>
      <c r="F1442" s="406">
        <v>0</v>
      </c>
      <c r="G1442" s="405"/>
      <c r="H1442" s="606"/>
      <c r="I1442" s="606" t="s">
        <v>1050</v>
      </c>
      <c r="J1442" s="406">
        <v>22.49</v>
      </c>
      <c r="K1442"/>
      <c r="L1442" s="166"/>
    </row>
    <row r="1443" spans="1:12" ht="15.6" thickTop="1" x14ac:dyDescent="0.3">
      <c r="A1443" s="407"/>
      <c r="B1443" s="407"/>
      <c r="C1443" s="407"/>
      <c r="D1443" s="407"/>
      <c r="E1443" s="407"/>
      <c r="F1443" s="407"/>
      <c r="G1443" s="407"/>
      <c r="H1443" s="407"/>
      <c r="I1443" s="407"/>
      <c r="J1443" s="407"/>
      <c r="K1443" s="407"/>
      <c r="L1443" s="166"/>
    </row>
    <row r="1444" spans="1:12" ht="17.399999999999999" customHeight="1" x14ac:dyDescent="0.3">
      <c r="A1444" s="382" t="s">
        <v>805</v>
      </c>
      <c r="B1444" s="312" t="s">
        <v>413</v>
      </c>
      <c r="C1444" s="382" t="s">
        <v>414</v>
      </c>
      <c r="D1444" s="382" t="s">
        <v>415</v>
      </c>
      <c r="E1444" s="586" t="s">
        <v>1029</v>
      </c>
      <c r="F1444" s="586"/>
      <c r="G1444" s="383" t="s">
        <v>416</v>
      </c>
      <c r="H1444" s="312" t="s">
        <v>1030</v>
      </c>
      <c r="I1444" s="312" t="s">
        <v>3016</v>
      </c>
      <c r="J1444" s="312" t="s">
        <v>1031</v>
      </c>
      <c r="K1444" s="312" t="s">
        <v>1032</v>
      </c>
      <c r="L1444" s="166"/>
    </row>
    <row r="1445" spans="1:12" ht="39.6" x14ac:dyDescent="0.3">
      <c r="A1445" s="313" t="s">
        <v>1033</v>
      </c>
      <c r="B1445" s="315" t="s">
        <v>9658</v>
      </c>
      <c r="C1445" s="313" t="s">
        <v>395</v>
      </c>
      <c r="D1445" s="313" t="s">
        <v>8540</v>
      </c>
      <c r="E1445" s="603" t="s">
        <v>9659</v>
      </c>
      <c r="F1445" s="603"/>
      <c r="G1445" s="314" t="s">
        <v>7</v>
      </c>
      <c r="H1445" s="399">
        <v>1</v>
      </c>
      <c r="I1445" s="316"/>
      <c r="J1445" s="316">
        <v>73.89</v>
      </c>
      <c r="K1445" s="316">
        <v>73.89</v>
      </c>
      <c r="L1445" s="166"/>
    </row>
    <row r="1446" spans="1:12" ht="52.8" x14ac:dyDescent="0.3">
      <c r="A1446" s="408" t="s">
        <v>1034</v>
      </c>
      <c r="B1446" s="409" t="s">
        <v>9660</v>
      </c>
      <c r="C1446" s="408" t="s">
        <v>395</v>
      </c>
      <c r="D1446" s="408" t="s">
        <v>9661</v>
      </c>
      <c r="E1446" s="604" t="s">
        <v>7840</v>
      </c>
      <c r="F1446" s="604"/>
      <c r="G1446" s="410" t="s">
        <v>713</v>
      </c>
      <c r="H1446" s="412">
        <v>6.0000000000000001E-3</v>
      </c>
      <c r="I1446" s="412">
        <v>0</v>
      </c>
      <c r="J1446" s="411">
        <v>492.92</v>
      </c>
      <c r="K1446" s="411">
        <v>2.9575200000000001</v>
      </c>
      <c r="L1446" s="166"/>
    </row>
    <row r="1447" spans="1:12" ht="25.5" customHeight="1" x14ac:dyDescent="0.3">
      <c r="A1447" s="408" t="s">
        <v>1034</v>
      </c>
      <c r="B1447" s="409" t="s">
        <v>1302</v>
      </c>
      <c r="C1447" s="408" t="s">
        <v>395</v>
      </c>
      <c r="D1447" s="408" t="s">
        <v>144</v>
      </c>
      <c r="E1447" s="604" t="s">
        <v>7768</v>
      </c>
      <c r="F1447" s="604"/>
      <c r="G1447" s="410" t="s">
        <v>6</v>
      </c>
      <c r="H1447" s="412">
        <v>0.70199999999999996</v>
      </c>
      <c r="I1447" s="412">
        <v>0</v>
      </c>
      <c r="J1447" s="411">
        <v>42.06</v>
      </c>
      <c r="K1447" s="411">
        <v>29.526119999999999</v>
      </c>
      <c r="L1447" s="166"/>
    </row>
    <row r="1448" spans="1:12" ht="25.5" customHeight="1" x14ac:dyDescent="0.3">
      <c r="A1448" s="408" t="s">
        <v>1034</v>
      </c>
      <c r="B1448" s="409" t="s">
        <v>1290</v>
      </c>
      <c r="C1448" s="408" t="s">
        <v>395</v>
      </c>
      <c r="D1448" s="408" t="s">
        <v>147</v>
      </c>
      <c r="E1448" s="604" t="s">
        <v>7768</v>
      </c>
      <c r="F1448" s="604"/>
      <c r="G1448" s="410" t="s">
        <v>6</v>
      </c>
      <c r="H1448" s="412">
        <v>0.35099999999999998</v>
      </c>
      <c r="I1448" s="412">
        <v>0</v>
      </c>
      <c r="J1448" s="411">
        <v>32.82</v>
      </c>
      <c r="K1448" s="411">
        <v>11.519819999999999</v>
      </c>
      <c r="L1448" s="168"/>
    </row>
    <row r="1449" spans="1:12" ht="25.5" customHeight="1" x14ac:dyDescent="0.3">
      <c r="A1449" s="408" t="s">
        <v>1034</v>
      </c>
      <c r="B1449" s="409" t="s">
        <v>5130</v>
      </c>
      <c r="C1449" s="408" t="s">
        <v>395</v>
      </c>
      <c r="D1449" s="408" t="s">
        <v>5131</v>
      </c>
      <c r="E1449" s="604" t="s">
        <v>7772</v>
      </c>
      <c r="F1449" s="604"/>
      <c r="G1449" s="410" t="s">
        <v>15</v>
      </c>
      <c r="H1449" s="412">
        <v>3.5000000000000003E-2</v>
      </c>
      <c r="I1449" s="412">
        <v>0</v>
      </c>
      <c r="J1449" s="411">
        <v>44.3</v>
      </c>
      <c r="K1449" s="411">
        <v>1.5505</v>
      </c>
      <c r="L1449" s="170"/>
    </row>
    <row r="1450" spans="1:12" ht="25.5" customHeight="1" x14ac:dyDescent="0.3">
      <c r="A1450" s="408" t="s">
        <v>1034</v>
      </c>
      <c r="B1450" s="409" t="s">
        <v>5132</v>
      </c>
      <c r="C1450" s="408" t="s">
        <v>395</v>
      </c>
      <c r="D1450" s="408" t="s">
        <v>5133</v>
      </c>
      <c r="E1450" s="604" t="s">
        <v>7772</v>
      </c>
      <c r="F1450" s="604"/>
      <c r="G1450" s="410" t="s">
        <v>19</v>
      </c>
      <c r="H1450" s="412">
        <v>0.66700000000000004</v>
      </c>
      <c r="I1450" s="412">
        <v>0</v>
      </c>
      <c r="J1450" s="411">
        <v>42.49</v>
      </c>
      <c r="K1450" s="411">
        <v>28.34083</v>
      </c>
      <c r="L1450" s="168"/>
    </row>
    <row r="1451" spans="1:12" ht="25.5" customHeight="1" x14ac:dyDescent="0.3">
      <c r="A1451" s="400" t="s">
        <v>1038</v>
      </c>
      <c r="B1451" s="401" t="s">
        <v>9618</v>
      </c>
      <c r="C1451" s="400" t="s">
        <v>395</v>
      </c>
      <c r="D1451" s="400" t="s">
        <v>9619</v>
      </c>
      <c r="E1451" s="605" t="s">
        <v>1039</v>
      </c>
      <c r="F1451" s="605"/>
      <c r="G1451" s="402" t="s">
        <v>7</v>
      </c>
      <c r="H1451" s="403">
        <v>1.08</v>
      </c>
      <c r="I1451" s="403">
        <v>0</v>
      </c>
      <c r="J1451" s="404">
        <v>0</v>
      </c>
      <c r="K1451" s="404">
        <v>0</v>
      </c>
      <c r="L1451" s="168"/>
    </row>
    <row r="1452" spans="1:12" ht="17.399999999999999" customHeight="1" x14ac:dyDescent="0.3">
      <c r="A1452" s="405"/>
      <c r="B1452" s="405"/>
      <c r="C1452" s="405"/>
      <c r="D1452" s="405"/>
      <c r="E1452" s="405" t="s">
        <v>1046</v>
      </c>
      <c r="F1452" s="406">
        <v>54.41</v>
      </c>
      <c r="G1452" s="405" t="s">
        <v>1047</v>
      </c>
      <c r="H1452" s="406">
        <v>0</v>
      </c>
      <c r="I1452" s="405" t="s">
        <v>1048</v>
      </c>
      <c r="J1452" s="406">
        <v>54.41</v>
      </c>
      <c r="K1452"/>
      <c r="L1452" s="168"/>
    </row>
    <row r="1453" spans="1:12" ht="15.6" thickBot="1" x14ac:dyDescent="0.35">
      <c r="A1453" s="405"/>
      <c r="B1453" s="405"/>
      <c r="C1453" s="405"/>
      <c r="D1453" s="405"/>
      <c r="E1453" s="405" t="s">
        <v>1049</v>
      </c>
      <c r="F1453" s="406">
        <v>0</v>
      </c>
      <c r="G1453" s="405"/>
      <c r="H1453" s="606"/>
      <c r="I1453" s="606" t="s">
        <v>1050</v>
      </c>
      <c r="J1453" s="406">
        <v>73.89</v>
      </c>
      <c r="K1453"/>
      <c r="L1453" s="166"/>
    </row>
    <row r="1454" spans="1:12" ht="15.6" thickTop="1" x14ac:dyDescent="0.3">
      <c r="A1454" s="407"/>
      <c r="B1454" s="407"/>
      <c r="C1454" s="407"/>
      <c r="D1454" s="407"/>
      <c r="E1454" s="407"/>
      <c r="F1454" s="407"/>
      <c r="G1454" s="407"/>
      <c r="H1454" s="407"/>
      <c r="I1454" s="407"/>
      <c r="J1454" s="407"/>
      <c r="K1454" s="407"/>
      <c r="L1454" s="166"/>
    </row>
    <row r="1455" spans="1:12" ht="15" x14ac:dyDescent="0.3">
      <c r="A1455" s="382" t="s">
        <v>806</v>
      </c>
      <c r="B1455" s="312" t="s">
        <v>413</v>
      </c>
      <c r="C1455" s="382" t="s">
        <v>414</v>
      </c>
      <c r="D1455" s="382" t="s">
        <v>415</v>
      </c>
      <c r="E1455" s="586" t="s">
        <v>1029</v>
      </c>
      <c r="F1455" s="586"/>
      <c r="G1455" s="383" t="s">
        <v>416</v>
      </c>
      <c r="H1455" s="312" t="s">
        <v>1030</v>
      </c>
      <c r="I1455" s="312" t="s">
        <v>3016</v>
      </c>
      <c r="J1455" s="312" t="s">
        <v>1031</v>
      </c>
      <c r="K1455" s="312" t="s">
        <v>1032</v>
      </c>
      <c r="L1455" s="168"/>
    </row>
    <row r="1456" spans="1:12" ht="39.6" x14ac:dyDescent="0.3">
      <c r="A1456" s="313" t="s">
        <v>1033</v>
      </c>
      <c r="B1456" s="315" t="s">
        <v>9662</v>
      </c>
      <c r="C1456" s="313" t="s">
        <v>395</v>
      </c>
      <c r="D1456" s="313" t="s">
        <v>8541</v>
      </c>
      <c r="E1456" s="603" t="s">
        <v>9659</v>
      </c>
      <c r="F1456" s="603"/>
      <c r="G1456" s="314" t="s">
        <v>7</v>
      </c>
      <c r="H1456" s="399">
        <v>1</v>
      </c>
      <c r="I1456" s="316"/>
      <c r="J1456" s="316">
        <v>57.84</v>
      </c>
      <c r="K1456" s="316">
        <v>57.84</v>
      </c>
      <c r="L1456" s="168"/>
    </row>
    <row r="1457" spans="1:12" ht="52.8" x14ac:dyDescent="0.3">
      <c r="A1457" s="408" t="s">
        <v>1034</v>
      </c>
      <c r="B1457" s="409" t="s">
        <v>9660</v>
      </c>
      <c r="C1457" s="408" t="s">
        <v>395</v>
      </c>
      <c r="D1457" s="408" t="s">
        <v>9661</v>
      </c>
      <c r="E1457" s="604" t="s">
        <v>7840</v>
      </c>
      <c r="F1457" s="604"/>
      <c r="G1457" s="410" t="s">
        <v>713</v>
      </c>
      <c r="H1457" s="412">
        <v>6.0000000000000001E-3</v>
      </c>
      <c r="I1457" s="412">
        <v>0</v>
      </c>
      <c r="J1457" s="411">
        <v>492.92</v>
      </c>
      <c r="K1457" s="411">
        <v>2.9575200000000001</v>
      </c>
      <c r="L1457" s="168"/>
    </row>
    <row r="1458" spans="1:12" ht="15" customHeight="1" x14ac:dyDescent="0.3">
      <c r="A1458" s="408" t="s">
        <v>1034</v>
      </c>
      <c r="B1458" s="409" t="s">
        <v>1302</v>
      </c>
      <c r="C1458" s="408" t="s">
        <v>395</v>
      </c>
      <c r="D1458" s="408" t="s">
        <v>144</v>
      </c>
      <c r="E1458" s="604" t="s">
        <v>7768</v>
      </c>
      <c r="F1458" s="604"/>
      <c r="G1458" s="410" t="s">
        <v>6</v>
      </c>
      <c r="H1458" s="412">
        <v>0.54300000000000004</v>
      </c>
      <c r="I1458" s="412">
        <v>0</v>
      </c>
      <c r="J1458" s="411">
        <v>42.06</v>
      </c>
      <c r="K1458" s="411">
        <v>22.83858</v>
      </c>
      <c r="L1458" s="168"/>
    </row>
    <row r="1459" spans="1:12" ht="14.25" customHeight="1" x14ac:dyDescent="0.3">
      <c r="A1459" s="408" t="s">
        <v>1034</v>
      </c>
      <c r="B1459" s="409" t="s">
        <v>1290</v>
      </c>
      <c r="C1459" s="408" t="s">
        <v>395</v>
      </c>
      <c r="D1459" s="408" t="s">
        <v>147</v>
      </c>
      <c r="E1459" s="604" t="s">
        <v>7768</v>
      </c>
      <c r="F1459" s="604"/>
      <c r="G1459" s="410" t="s">
        <v>6</v>
      </c>
      <c r="H1459" s="412">
        <v>0.27200000000000002</v>
      </c>
      <c r="I1459" s="412">
        <v>0</v>
      </c>
      <c r="J1459" s="411">
        <v>32.82</v>
      </c>
      <c r="K1459" s="411">
        <v>8.9270399999999999</v>
      </c>
      <c r="L1459" s="166"/>
    </row>
    <row r="1460" spans="1:12" ht="26.4" x14ac:dyDescent="0.3">
      <c r="A1460" s="408" t="s">
        <v>1034</v>
      </c>
      <c r="B1460" s="409" t="s">
        <v>5130</v>
      </c>
      <c r="C1460" s="408" t="s">
        <v>395</v>
      </c>
      <c r="D1460" s="408" t="s">
        <v>5131</v>
      </c>
      <c r="E1460" s="604" t="s">
        <v>7772</v>
      </c>
      <c r="F1460" s="604"/>
      <c r="G1460" s="410" t="s">
        <v>15</v>
      </c>
      <c r="H1460" s="412">
        <v>2.7E-2</v>
      </c>
      <c r="I1460" s="412">
        <v>0</v>
      </c>
      <c r="J1460" s="411">
        <v>44.3</v>
      </c>
      <c r="K1460" s="411">
        <v>1.1960999999999999</v>
      </c>
      <c r="L1460" s="168"/>
    </row>
    <row r="1461" spans="1:12" ht="14.25" customHeight="1" x14ac:dyDescent="0.3">
      <c r="A1461" s="408" t="s">
        <v>1034</v>
      </c>
      <c r="B1461" s="409" t="s">
        <v>5132</v>
      </c>
      <c r="C1461" s="408" t="s">
        <v>395</v>
      </c>
      <c r="D1461" s="408" t="s">
        <v>5133</v>
      </c>
      <c r="E1461" s="604" t="s">
        <v>7772</v>
      </c>
      <c r="F1461" s="604"/>
      <c r="G1461" s="410" t="s">
        <v>19</v>
      </c>
      <c r="H1461" s="412">
        <v>0.51600000000000001</v>
      </c>
      <c r="I1461" s="412">
        <v>0</v>
      </c>
      <c r="J1461" s="411">
        <v>42.49</v>
      </c>
      <c r="K1461" s="411">
        <v>21.92484</v>
      </c>
      <c r="L1461" s="168"/>
    </row>
    <row r="1462" spans="1:12" ht="26.4" x14ac:dyDescent="0.3">
      <c r="A1462" s="400" t="s">
        <v>1038</v>
      </c>
      <c r="B1462" s="401" t="s">
        <v>9618</v>
      </c>
      <c r="C1462" s="400" t="s">
        <v>395</v>
      </c>
      <c r="D1462" s="400" t="s">
        <v>9619</v>
      </c>
      <c r="E1462" s="605" t="s">
        <v>1039</v>
      </c>
      <c r="F1462" s="605"/>
      <c r="G1462" s="402" t="s">
        <v>7</v>
      </c>
      <c r="H1462" s="403">
        <v>1.08</v>
      </c>
      <c r="I1462" s="403">
        <v>0</v>
      </c>
      <c r="J1462" s="404">
        <v>0</v>
      </c>
      <c r="K1462" s="404">
        <v>0</v>
      </c>
      <c r="L1462" s="168"/>
    </row>
    <row r="1463" spans="1:12" ht="15" x14ac:dyDescent="0.3">
      <c r="A1463" s="405"/>
      <c r="B1463" s="405"/>
      <c r="C1463" s="405"/>
      <c r="D1463" s="405"/>
      <c r="E1463" s="405" t="s">
        <v>1046</v>
      </c>
      <c r="F1463" s="406">
        <v>42.23</v>
      </c>
      <c r="G1463" s="405" t="s">
        <v>1047</v>
      </c>
      <c r="H1463" s="406">
        <v>0</v>
      </c>
      <c r="I1463" s="405" t="s">
        <v>1048</v>
      </c>
      <c r="J1463" s="406">
        <v>42.23</v>
      </c>
      <c r="K1463"/>
      <c r="L1463" s="166"/>
    </row>
    <row r="1464" spans="1:12" ht="25.5" customHeight="1" thickBot="1" x14ac:dyDescent="0.35">
      <c r="A1464" s="405"/>
      <c r="B1464" s="405"/>
      <c r="C1464" s="405"/>
      <c r="D1464" s="405"/>
      <c r="E1464" s="405" t="s">
        <v>1049</v>
      </c>
      <c r="F1464" s="406">
        <v>0</v>
      </c>
      <c r="G1464" s="405"/>
      <c r="H1464" s="606"/>
      <c r="I1464" s="606" t="s">
        <v>1050</v>
      </c>
      <c r="J1464" s="406">
        <v>57.84</v>
      </c>
      <c r="K1464"/>
      <c r="L1464" s="166"/>
    </row>
    <row r="1465" spans="1:12" ht="25.5" customHeight="1" thickTop="1" x14ac:dyDescent="0.3">
      <c r="A1465" s="407"/>
      <c r="B1465" s="407"/>
      <c r="C1465" s="407"/>
      <c r="D1465" s="407"/>
      <c r="E1465" s="407"/>
      <c r="F1465" s="407"/>
      <c r="G1465" s="407"/>
      <c r="H1465" s="407"/>
      <c r="I1465" s="407"/>
      <c r="J1465" s="407"/>
      <c r="K1465" s="407"/>
      <c r="L1465" s="168"/>
    </row>
    <row r="1466" spans="1:12" ht="15" x14ac:dyDescent="0.3">
      <c r="A1466" s="382" t="s">
        <v>808</v>
      </c>
      <c r="B1466" s="312" t="s">
        <v>413</v>
      </c>
      <c r="C1466" s="382" t="s">
        <v>414</v>
      </c>
      <c r="D1466" s="382" t="s">
        <v>415</v>
      </c>
      <c r="E1466" s="586" t="s">
        <v>1029</v>
      </c>
      <c r="F1466" s="586"/>
      <c r="G1466" s="383" t="s">
        <v>416</v>
      </c>
      <c r="H1466" s="312" t="s">
        <v>1030</v>
      </c>
      <c r="I1466" s="312" t="s">
        <v>3016</v>
      </c>
      <c r="J1466" s="312" t="s">
        <v>1031</v>
      </c>
      <c r="K1466" s="312" t="s">
        <v>1032</v>
      </c>
      <c r="L1466" s="168"/>
    </row>
    <row r="1467" spans="1:12" ht="15" customHeight="1" x14ac:dyDescent="0.3">
      <c r="A1467" s="313" t="s">
        <v>1033</v>
      </c>
      <c r="B1467" s="315" t="s">
        <v>2120</v>
      </c>
      <c r="C1467" s="313" t="s">
        <v>5902</v>
      </c>
      <c r="D1467" s="313" t="s">
        <v>1710</v>
      </c>
      <c r="E1467" s="603">
        <v>32.15</v>
      </c>
      <c r="F1467" s="603"/>
      <c r="G1467" s="314" t="s">
        <v>675</v>
      </c>
      <c r="H1467" s="399">
        <v>1</v>
      </c>
      <c r="I1467" s="316"/>
      <c r="J1467" s="316">
        <v>167.51</v>
      </c>
      <c r="K1467" s="316">
        <v>167.51</v>
      </c>
      <c r="L1467" s="168"/>
    </row>
    <row r="1468" spans="1:12" ht="17.399999999999999" customHeight="1" x14ac:dyDescent="0.3">
      <c r="A1468" s="400" t="s">
        <v>1038</v>
      </c>
      <c r="B1468" s="401" t="s">
        <v>1469</v>
      </c>
      <c r="C1468" s="400" t="s">
        <v>5902</v>
      </c>
      <c r="D1468" s="400" t="s">
        <v>1470</v>
      </c>
      <c r="E1468" s="605" t="s">
        <v>1053</v>
      </c>
      <c r="F1468" s="605"/>
      <c r="G1468" s="402" t="s">
        <v>6</v>
      </c>
      <c r="H1468" s="403">
        <v>0.3</v>
      </c>
      <c r="I1468" s="403">
        <v>0</v>
      </c>
      <c r="J1468" s="404">
        <v>27.64</v>
      </c>
      <c r="K1468" s="404">
        <v>8.2919999999999998</v>
      </c>
      <c r="L1468" s="166"/>
    </row>
    <row r="1469" spans="1:12" ht="14.25" customHeight="1" x14ac:dyDescent="0.3">
      <c r="A1469" s="400" t="s">
        <v>1038</v>
      </c>
      <c r="B1469" s="401" t="s">
        <v>1467</v>
      </c>
      <c r="C1469" s="400" t="s">
        <v>5902</v>
      </c>
      <c r="D1469" s="400" t="s">
        <v>1468</v>
      </c>
      <c r="E1469" s="605" t="s">
        <v>1053</v>
      </c>
      <c r="F1469" s="605"/>
      <c r="G1469" s="402" t="s">
        <v>6</v>
      </c>
      <c r="H1469" s="403">
        <v>0.85</v>
      </c>
      <c r="I1469" s="403">
        <v>0</v>
      </c>
      <c r="J1469" s="404">
        <v>22.71</v>
      </c>
      <c r="K1469" s="404">
        <v>19.3035</v>
      </c>
      <c r="L1469" s="166"/>
    </row>
    <row r="1470" spans="1:12" ht="14.25" customHeight="1" x14ac:dyDescent="0.3">
      <c r="A1470" s="400" t="s">
        <v>1038</v>
      </c>
      <c r="B1470" s="401" t="s">
        <v>2315</v>
      </c>
      <c r="C1470" s="400" t="s">
        <v>5902</v>
      </c>
      <c r="D1470" s="400" t="s">
        <v>2316</v>
      </c>
      <c r="E1470" s="605" t="s">
        <v>1039</v>
      </c>
      <c r="F1470" s="605"/>
      <c r="G1470" s="402" t="s">
        <v>675</v>
      </c>
      <c r="H1470" s="403">
        <v>1.1499999999999999</v>
      </c>
      <c r="I1470" s="403">
        <v>0</v>
      </c>
      <c r="J1470" s="404">
        <v>61.64</v>
      </c>
      <c r="K1470" s="404">
        <v>70.885999999999996</v>
      </c>
      <c r="L1470" s="166"/>
    </row>
    <row r="1471" spans="1:12" ht="26.4" x14ac:dyDescent="0.3">
      <c r="A1471" s="400" t="s">
        <v>1038</v>
      </c>
      <c r="B1471" s="401" t="s">
        <v>2313</v>
      </c>
      <c r="C1471" s="400" t="s">
        <v>5902</v>
      </c>
      <c r="D1471" s="400" t="s">
        <v>2314</v>
      </c>
      <c r="E1471" s="605" t="s">
        <v>1039</v>
      </c>
      <c r="F1471" s="605"/>
      <c r="G1471" s="402" t="s">
        <v>3</v>
      </c>
      <c r="H1471" s="403">
        <v>3.5</v>
      </c>
      <c r="I1471" s="403">
        <v>0</v>
      </c>
      <c r="J1471" s="404">
        <v>17.29</v>
      </c>
      <c r="K1471" s="404">
        <v>60.515000000000001</v>
      </c>
      <c r="L1471" s="166"/>
    </row>
    <row r="1472" spans="1:12" ht="26.4" x14ac:dyDescent="0.3">
      <c r="A1472" s="400" t="s">
        <v>1038</v>
      </c>
      <c r="B1472" s="401" t="s">
        <v>2317</v>
      </c>
      <c r="C1472" s="400" t="s">
        <v>5902</v>
      </c>
      <c r="D1472" s="400" t="s">
        <v>2318</v>
      </c>
      <c r="E1472" s="605" t="s">
        <v>1039</v>
      </c>
      <c r="F1472" s="605"/>
      <c r="G1472" s="402" t="s">
        <v>8</v>
      </c>
      <c r="H1472" s="403">
        <v>0.4</v>
      </c>
      <c r="I1472" s="403">
        <v>0</v>
      </c>
      <c r="J1472" s="404">
        <v>21.28</v>
      </c>
      <c r="K1472" s="404">
        <v>8.5120000000000005</v>
      </c>
      <c r="L1472" s="166"/>
    </row>
    <row r="1473" spans="1:12" ht="15" x14ac:dyDescent="0.3">
      <c r="A1473" s="405"/>
      <c r="B1473" s="405"/>
      <c r="C1473" s="405"/>
      <c r="D1473" s="405"/>
      <c r="E1473" s="405" t="s">
        <v>1046</v>
      </c>
      <c r="F1473" s="406">
        <v>27.59</v>
      </c>
      <c r="G1473" s="405" t="s">
        <v>1047</v>
      </c>
      <c r="H1473" s="406">
        <v>0</v>
      </c>
      <c r="I1473" s="405" t="s">
        <v>1048</v>
      </c>
      <c r="J1473" s="406">
        <v>27.59</v>
      </c>
      <c r="K1473"/>
      <c r="L1473" s="166"/>
    </row>
    <row r="1474" spans="1:12" ht="15.6" thickBot="1" x14ac:dyDescent="0.35">
      <c r="A1474" s="405"/>
      <c r="B1474" s="405"/>
      <c r="C1474" s="405"/>
      <c r="D1474" s="405"/>
      <c r="E1474" s="405" t="s">
        <v>1049</v>
      </c>
      <c r="F1474" s="406">
        <v>0</v>
      </c>
      <c r="G1474" s="405"/>
      <c r="H1474" s="606"/>
      <c r="I1474" s="606" t="s">
        <v>1050</v>
      </c>
      <c r="J1474" s="406">
        <v>167.51</v>
      </c>
      <c r="K1474"/>
      <c r="L1474" s="166"/>
    </row>
    <row r="1475" spans="1:12" ht="15.6" thickTop="1" x14ac:dyDescent="0.3">
      <c r="A1475" s="407"/>
      <c r="B1475" s="407"/>
      <c r="C1475" s="407"/>
      <c r="D1475" s="407"/>
      <c r="E1475" s="407"/>
      <c r="F1475" s="407"/>
      <c r="G1475" s="407"/>
      <c r="H1475" s="407"/>
      <c r="I1475" s="407"/>
      <c r="J1475" s="407"/>
      <c r="K1475" s="407"/>
      <c r="L1475" s="168"/>
    </row>
    <row r="1476" spans="1:12" ht="15" customHeight="1" x14ac:dyDescent="0.3">
      <c r="A1476" s="382" t="s">
        <v>809</v>
      </c>
      <c r="B1476" s="312" t="s">
        <v>413</v>
      </c>
      <c r="C1476" s="382" t="s">
        <v>414</v>
      </c>
      <c r="D1476" s="382" t="s">
        <v>415</v>
      </c>
      <c r="E1476" s="586" t="s">
        <v>1029</v>
      </c>
      <c r="F1476" s="586"/>
      <c r="G1476" s="383" t="s">
        <v>416</v>
      </c>
      <c r="H1476" s="312" t="s">
        <v>1030</v>
      </c>
      <c r="I1476" s="312" t="s">
        <v>3016</v>
      </c>
      <c r="J1476" s="312" t="s">
        <v>1031</v>
      </c>
      <c r="K1476" s="312" t="s">
        <v>1032</v>
      </c>
      <c r="L1476" s="170"/>
    </row>
    <row r="1477" spans="1:12" ht="17.399999999999999" customHeight="1" x14ac:dyDescent="0.3">
      <c r="A1477" s="313" t="s">
        <v>1033</v>
      </c>
      <c r="B1477" s="315" t="s">
        <v>2121</v>
      </c>
      <c r="C1477" s="313" t="s">
        <v>5902</v>
      </c>
      <c r="D1477" s="313" t="s">
        <v>1712</v>
      </c>
      <c r="E1477" s="603">
        <v>32.159999999999997</v>
      </c>
      <c r="F1477" s="603"/>
      <c r="G1477" s="314" t="s">
        <v>675</v>
      </c>
      <c r="H1477" s="399">
        <v>1</v>
      </c>
      <c r="I1477" s="316"/>
      <c r="J1477" s="316">
        <v>103.17</v>
      </c>
      <c r="K1477" s="316">
        <v>103.17</v>
      </c>
      <c r="L1477" s="168"/>
    </row>
    <row r="1478" spans="1:12" ht="26.4" x14ac:dyDescent="0.3">
      <c r="A1478" s="400" t="s">
        <v>1038</v>
      </c>
      <c r="B1478" s="401" t="s">
        <v>1469</v>
      </c>
      <c r="C1478" s="400" t="s">
        <v>5902</v>
      </c>
      <c r="D1478" s="400" t="s">
        <v>1470</v>
      </c>
      <c r="E1478" s="605" t="s">
        <v>1053</v>
      </c>
      <c r="F1478" s="605"/>
      <c r="G1478" s="402" t="s">
        <v>6</v>
      </c>
      <c r="H1478" s="403">
        <v>0.5</v>
      </c>
      <c r="I1478" s="403">
        <v>0</v>
      </c>
      <c r="J1478" s="404">
        <v>27.64</v>
      </c>
      <c r="K1478" s="404">
        <v>13.82</v>
      </c>
      <c r="L1478" s="168"/>
    </row>
    <row r="1479" spans="1:12" ht="14.25" customHeight="1" x14ac:dyDescent="0.3">
      <c r="A1479" s="400" t="s">
        <v>1038</v>
      </c>
      <c r="B1479" s="401" t="s">
        <v>1467</v>
      </c>
      <c r="C1479" s="400" t="s">
        <v>5902</v>
      </c>
      <c r="D1479" s="400" t="s">
        <v>1468</v>
      </c>
      <c r="E1479" s="605" t="s">
        <v>1053</v>
      </c>
      <c r="F1479" s="605"/>
      <c r="G1479" s="402" t="s">
        <v>6</v>
      </c>
      <c r="H1479" s="403">
        <v>0.5</v>
      </c>
      <c r="I1479" s="403">
        <v>0</v>
      </c>
      <c r="J1479" s="404">
        <v>22.71</v>
      </c>
      <c r="K1479" s="404">
        <v>11.355</v>
      </c>
      <c r="L1479" s="168"/>
    </row>
    <row r="1480" spans="1:12" ht="14.25" customHeight="1" x14ac:dyDescent="0.3">
      <c r="A1480" s="400" t="s">
        <v>1038</v>
      </c>
      <c r="B1480" s="401" t="s">
        <v>2319</v>
      </c>
      <c r="C1480" s="400" t="s">
        <v>5902</v>
      </c>
      <c r="D1480" s="400" t="s">
        <v>2320</v>
      </c>
      <c r="E1480" s="605" t="s">
        <v>1039</v>
      </c>
      <c r="F1480" s="605"/>
      <c r="G1480" s="402" t="s">
        <v>3</v>
      </c>
      <c r="H1480" s="403">
        <v>3.5</v>
      </c>
      <c r="I1480" s="403">
        <v>0</v>
      </c>
      <c r="J1480" s="404">
        <v>20.23</v>
      </c>
      <c r="K1480" s="404">
        <v>70.805000000000007</v>
      </c>
      <c r="L1480" s="166"/>
    </row>
    <row r="1481" spans="1:12" ht="26.4" x14ac:dyDescent="0.3">
      <c r="A1481" s="400" t="s">
        <v>1038</v>
      </c>
      <c r="B1481" s="401" t="s">
        <v>2321</v>
      </c>
      <c r="C1481" s="400" t="s">
        <v>5902</v>
      </c>
      <c r="D1481" s="400" t="s">
        <v>2322</v>
      </c>
      <c r="E1481" s="605" t="s">
        <v>1039</v>
      </c>
      <c r="F1481" s="605"/>
      <c r="G1481" s="402" t="s">
        <v>675</v>
      </c>
      <c r="H1481" s="403">
        <v>1.1000000000000001</v>
      </c>
      <c r="I1481" s="403">
        <v>0</v>
      </c>
      <c r="J1481" s="404">
        <v>6.54</v>
      </c>
      <c r="K1481" s="404">
        <v>7.194</v>
      </c>
      <c r="L1481" s="166"/>
    </row>
    <row r="1482" spans="1:12" ht="15" x14ac:dyDescent="0.3">
      <c r="A1482" s="405"/>
      <c r="B1482" s="405"/>
      <c r="C1482" s="405"/>
      <c r="D1482" s="405"/>
      <c r="E1482" s="405" t="s">
        <v>1046</v>
      </c>
      <c r="F1482" s="406">
        <v>25.18</v>
      </c>
      <c r="G1482" s="405" t="s">
        <v>1047</v>
      </c>
      <c r="H1482" s="406">
        <v>0</v>
      </c>
      <c r="I1482" s="405" t="s">
        <v>1048</v>
      </c>
      <c r="J1482" s="406">
        <v>25.18</v>
      </c>
      <c r="K1482"/>
      <c r="L1482" s="168"/>
    </row>
    <row r="1483" spans="1:12" ht="15.6" thickBot="1" x14ac:dyDescent="0.35">
      <c r="A1483" s="405"/>
      <c r="B1483" s="405"/>
      <c r="C1483" s="405"/>
      <c r="D1483" s="405"/>
      <c r="E1483" s="405" t="s">
        <v>1049</v>
      </c>
      <c r="F1483" s="406">
        <v>0</v>
      </c>
      <c r="G1483" s="405"/>
      <c r="H1483" s="606"/>
      <c r="I1483" s="606" t="s">
        <v>1050</v>
      </c>
      <c r="J1483" s="406">
        <v>103.17</v>
      </c>
      <c r="K1483"/>
      <c r="L1483" s="168"/>
    </row>
    <row r="1484" spans="1:12" ht="15.6" thickTop="1" x14ac:dyDescent="0.3">
      <c r="A1484" s="407"/>
      <c r="B1484" s="407"/>
      <c r="C1484" s="407"/>
      <c r="D1484" s="407"/>
      <c r="E1484" s="407"/>
      <c r="F1484" s="407"/>
      <c r="G1484" s="407"/>
      <c r="H1484" s="407"/>
      <c r="I1484" s="407"/>
      <c r="J1484" s="407"/>
      <c r="K1484" s="407"/>
      <c r="L1484" s="168"/>
    </row>
    <row r="1485" spans="1:12" ht="15" customHeight="1" x14ac:dyDescent="0.3">
      <c r="A1485" s="382" t="s">
        <v>810</v>
      </c>
      <c r="B1485" s="312" t="s">
        <v>413</v>
      </c>
      <c r="C1485" s="382" t="s">
        <v>414</v>
      </c>
      <c r="D1485" s="382" t="s">
        <v>415</v>
      </c>
      <c r="E1485" s="586" t="s">
        <v>1029</v>
      </c>
      <c r="F1485" s="586"/>
      <c r="G1485" s="383" t="s">
        <v>416</v>
      </c>
      <c r="H1485" s="312" t="s">
        <v>1030</v>
      </c>
      <c r="I1485" s="312" t="s">
        <v>3016</v>
      </c>
      <c r="J1485" s="312" t="s">
        <v>1031</v>
      </c>
      <c r="K1485" s="312" t="s">
        <v>1032</v>
      </c>
      <c r="L1485" s="168"/>
    </row>
    <row r="1486" spans="1:12" ht="25.5" customHeight="1" x14ac:dyDescent="0.3">
      <c r="A1486" s="313" t="s">
        <v>1033</v>
      </c>
      <c r="B1486" s="315" t="s">
        <v>1003</v>
      </c>
      <c r="C1486" s="313" t="s">
        <v>5902</v>
      </c>
      <c r="D1486" s="313" t="s">
        <v>5931</v>
      </c>
      <c r="E1486" s="603">
        <v>22.03</v>
      </c>
      <c r="F1486" s="603"/>
      <c r="G1486" s="314" t="s">
        <v>675</v>
      </c>
      <c r="H1486" s="399">
        <v>1</v>
      </c>
      <c r="I1486" s="316"/>
      <c r="J1486" s="316">
        <v>288.16000000000003</v>
      </c>
      <c r="K1486" s="316">
        <v>288.16000000000003</v>
      </c>
      <c r="L1486" s="168"/>
    </row>
    <row r="1487" spans="1:12" ht="26.4" x14ac:dyDescent="0.3">
      <c r="A1487" s="400" t="s">
        <v>1038</v>
      </c>
      <c r="B1487" s="401" t="s">
        <v>1492</v>
      </c>
      <c r="C1487" s="400" t="s">
        <v>5902</v>
      </c>
      <c r="D1487" s="400" t="s">
        <v>1493</v>
      </c>
      <c r="E1487" s="605" t="s">
        <v>1039</v>
      </c>
      <c r="F1487" s="605"/>
      <c r="G1487" s="402" t="s">
        <v>675</v>
      </c>
      <c r="H1487" s="403">
        <v>1</v>
      </c>
      <c r="I1487" s="403">
        <v>0</v>
      </c>
      <c r="J1487" s="404">
        <v>288.16000000000003</v>
      </c>
      <c r="K1487" s="404">
        <v>288.16000000000003</v>
      </c>
      <c r="L1487" s="166"/>
    </row>
    <row r="1488" spans="1:12" ht="12.75" customHeight="1" x14ac:dyDescent="0.3">
      <c r="A1488" s="405"/>
      <c r="B1488" s="405"/>
      <c r="C1488" s="405"/>
      <c r="D1488" s="405"/>
      <c r="E1488" s="405" t="s">
        <v>1046</v>
      </c>
      <c r="F1488" s="406">
        <v>0</v>
      </c>
      <c r="G1488" s="405" t="s">
        <v>1047</v>
      </c>
      <c r="H1488" s="406">
        <v>0</v>
      </c>
      <c r="I1488" s="405" t="s">
        <v>1048</v>
      </c>
      <c r="J1488" s="406">
        <v>0</v>
      </c>
      <c r="K1488"/>
      <c r="L1488" s="168"/>
    </row>
    <row r="1489" spans="1:12" ht="15" customHeight="1" thickBot="1" x14ac:dyDescent="0.35">
      <c r="A1489" s="405"/>
      <c r="B1489" s="405"/>
      <c r="C1489" s="405"/>
      <c r="D1489" s="405"/>
      <c r="E1489" s="405" t="s">
        <v>1049</v>
      </c>
      <c r="F1489" s="406">
        <v>0</v>
      </c>
      <c r="G1489" s="405"/>
      <c r="H1489" s="606"/>
      <c r="I1489" s="606" t="s">
        <v>1050</v>
      </c>
      <c r="J1489" s="406">
        <v>288.16000000000003</v>
      </c>
      <c r="K1489"/>
      <c r="L1489" s="168"/>
    </row>
    <row r="1490" spans="1:12" ht="30" customHeight="1" thickTop="1" x14ac:dyDescent="0.3">
      <c r="A1490" s="407"/>
      <c r="B1490" s="407"/>
      <c r="C1490" s="407"/>
      <c r="D1490" s="407"/>
      <c r="E1490" s="407"/>
      <c r="F1490" s="407"/>
      <c r="G1490" s="407"/>
      <c r="H1490" s="407"/>
      <c r="I1490" s="407"/>
      <c r="J1490" s="407"/>
      <c r="K1490" s="407"/>
      <c r="L1490" s="168"/>
    </row>
    <row r="1491" spans="1:12" ht="30" customHeight="1" x14ac:dyDescent="0.3">
      <c r="A1491" s="382" t="s">
        <v>812</v>
      </c>
      <c r="B1491" s="312" t="s">
        <v>413</v>
      </c>
      <c r="C1491" s="382" t="s">
        <v>414</v>
      </c>
      <c r="D1491" s="382" t="s">
        <v>415</v>
      </c>
      <c r="E1491" s="586" t="s">
        <v>1029</v>
      </c>
      <c r="F1491" s="586"/>
      <c r="G1491" s="383" t="s">
        <v>416</v>
      </c>
      <c r="H1491" s="312" t="s">
        <v>1030</v>
      </c>
      <c r="I1491" s="312" t="s">
        <v>3016</v>
      </c>
      <c r="J1491" s="312" t="s">
        <v>1031</v>
      </c>
      <c r="K1491" s="312" t="s">
        <v>1032</v>
      </c>
      <c r="L1491" s="166"/>
    </row>
    <row r="1492" spans="1:12" ht="14.25" customHeight="1" x14ac:dyDescent="0.3">
      <c r="A1492" s="313" t="s">
        <v>1033</v>
      </c>
      <c r="B1492" s="315" t="s">
        <v>1004</v>
      </c>
      <c r="C1492" s="313" t="s">
        <v>5902</v>
      </c>
      <c r="D1492" s="313" t="s">
        <v>5932</v>
      </c>
      <c r="E1492" s="603">
        <v>22.02</v>
      </c>
      <c r="F1492" s="603"/>
      <c r="G1492" s="314" t="s">
        <v>675</v>
      </c>
      <c r="H1492" s="399">
        <v>1</v>
      </c>
      <c r="I1492" s="316"/>
      <c r="J1492" s="316">
        <v>129.83000000000001</v>
      </c>
      <c r="K1492" s="316">
        <v>129.83000000000001</v>
      </c>
      <c r="L1492" s="166"/>
    </row>
    <row r="1493" spans="1:12" ht="25.5" customHeight="1" x14ac:dyDescent="0.3">
      <c r="A1493" s="400" t="s">
        <v>1038</v>
      </c>
      <c r="B1493" s="401" t="s">
        <v>1494</v>
      </c>
      <c r="C1493" s="400" t="s">
        <v>5902</v>
      </c>
      <c r="D1493" s="400" t="s">
        <v>1495</v>
      </c>
      <c r="E1493" s="605" t="s">
        <v>1039</v>
      </c>
      <c r="F1493" s="605"/>
      <c r="G1493" s="402" t="s">
        <v>675</v>
      </c>
      <c r="H1493" s="403">
        <v>1</v>
      </c>
      <c r="I1493" s="403">
        <v>0</v>
      </c>
      <c r="J1493" s="404">
        <v>129.83000000000001</v>
      </c>
      <c r="K1493" s="404">
        <v>129.83000000000001</v>
      </c>
      <c r="L1493" s="168"/>
    </row>
    <row r="1494" spans="1:12" ht="25.5" customHeight="1" x14ac:dyDescent="0.3">
      <c r="A1494" s="405"/>
      <c r="B1494" s="405"/>
      <c r="C1494" s="405"/>
      <c r="D1494" s="405"/>
      <c r="E1494" s="405" t="s">
        <v>1046</v>
      </c>
      <c r="F1494" s="406">
        <v>0</v>
      </c>
      <c r="G1494" s="405" t="s">
        <v>1047</v>
      </c>
      <c r="H1494" s="406">
        <v>0</v>
      </c>
      <c r="I1494" s="405" t="s">
        <v>1048</v>
      </c>
      <c r="J1494" s="406">
        <v>0</v>
      </c>
      <c r="K1494"/>
      <c r="L1494" s="168"/>
    </row>
    <row r="1495" spans="1:12" ht="15" customHeight="1" thickBot="1" x14ac:dyDescent="0.35">
      <c r="A1495" s="405"/>
      <c r="B1495" s="405"/>
      <c r="C1495" s="405"/>
      <c r="D1495" s="405"/>
      <c r="E1495" s="405" t="s">
        <v>1049</v>
      </c>
      <c r="F1495" s="406">
        <v>0</v>
      </c>
      <c r="G1495" s="405"/>
      <c r="H1495" s="606"/>
      <c r="I1495" s="606" t="s">
        <v>1050</v>
      </c>
      <c r="J1495" s="406">
        <v>129.83000000000001</v>
      </c>
      <c r="K1495"/>
      <c r="L1495" s="168"/>
    </row>
    <row r="1496" spans="1:12" ht="15" customHeight="1" thickTop="1" x14ac:dyDescent="0.3">
      <c r="A1496" s="407"/>
      <c r="B1496" s="407"/>
      <c r="C1496" s="407"/>
      <c r="D1496" s="407"/>
      <c r="E1496" s="407"/>
      <c r="F1496" s="407"/>
      <c r="G1496" s="407"/>
      <c r="H1496" s="407"/>
      <c r="I1496" s="407"/>
      <c r="J1496" s="407"/>
      <c r="K1496" s="407"/>
      <c r="L1496" s="166"/>
    </row>
    <row r="1497" spans="1:12" ht="15" x14ac:dyDescent="0.3">
      <c r="A1497" s="382" t="s">
        <v>813</v>
      </c>
      <c r="B1497" s="312" t="s">
        <v>413</v>
      </c>
      <c r="C1497" s="382" t="s">
        <v>414</v>
      </c>
      <c r="D1497" s="382" t="s">
        <v>415</v>
      </c>
      <c r="E1497" s="586" t="s">
        <v>1029</v>
      </c>
      <c r="F1497" s="586"/>
      <c r="G1497" s="383" t="s">
        <v>416</v>
      </c>
      <c r="H1497" s="312" t="s">
        <v>1030</v>
      </c>
      <c r="I1497" s="312" t="s">
        <v>3016</v>
      </c>
      <c r="J1497" s="312" t="s">
        <v>1031</v>
      </c>
      <c r="K1497" s="312" t="s">
        <v>1032</v>
      </c>
      <c r="L1497" s="166"/>
    </row>
    <row r="1498" spans="1:12" ht="25.5" customHeight="1" x14ac:dyDescent="0.3">
      <c r="A1498" s="313" t="s">
        <v>1033</v>
      </c>
      <c r="B1498" s="315" t="s">
        <v>2122</v>
      </c>
      <c r="C1498" s="313" t="s">
        <v>420</v>
      </c>
      <c r="D1498" s="313" t="s">
        <v>1719</v>
      </c>
      <c r="E1498" s="603" t="s">
        <v>1503</v>
      </c>
      <c r="F1498" s="603"/>
      <c r="G1498" s="314" t="s">
        <v>437</v>
      </c>
      <c r="H1498" s="399">
        <v>1</v>
      </c>
      <c r="I1498" s="316"/>
      <c r="J1498" s="316">
        <v>25.86</v>
      </c>
      <c r="K1498" s="316">
        <v>25.86</v>
      </c>
      <c r="L1498" s="166"/>
    </row>
    <row r="1499" spans="1:12" ht="25.5" customHeight="1" x14ac:dyDescent="0.3">
      <c r="A1499" s="400" t="s">
        <v>1038</v>
      </c>
      <c r="B1499" s="401" t="s">
        <v>2323</v>
      </c>
      <c r="C1499" s="400" t="s">
        <v>420</v>
      </c>
      <c r="D1499" s="400" t="s">
        <v>1719</v>
      </c>
      <c r="E1499" s="605" t="s">
        <v>1039</v>
      </c>
      <c r="F1499" s="605"/>
      <c r="G1499" s="402" t="s">
        <v>437</v>
      </c>
      <c r="H1499" s="403">
        <v>1</v>
      </c>
      <c r="I1499" s="403">
        <v>0</v>
      </c>
      <c r="J1499" s="404">
        <v>25.86</v>
      </c>
      <c r="K1499" s="404">
        <v>25.86</v>
      </c>
      <c r="L1499" s="166"/>
    </row>
    <row r="1500" spans="1:12" ht="25.5" customHeight="1" x14ac:dyDescent="0.3">
      <c r="A1500" s="405"/>
      <c r="B1500" s="405"/>
      <c r="C1500" s="405"/>
      <c r="D1500" s="405"/>
      <c r="E1500" s="405" t="s">
        <v>1046</v>
      </c>
      <c r="F1500" s="406">
        <v>0</v>
      </c>
      <c r="G1500" s="405" t="s">
        <v>1047</v>
      </c>
      <c r="H1500" s="406">
        <v>0</v>
      </c>
      <c r="I1500" s="405" t="s">
        <v>1048</v>
      </c>
      <c r="J1500" s="406">
        <v>0</v>
      </c>
      <c r="K1500"/>
      <c r="L1500" s="166"/>
    </row>
    <row r="1501" spans="1:12" ht="25.5" customHeight="1" thickBot="1" x14ac:dyDescent="0.35">
      <c r="A1501" s="405"/>
      <c r="B1501" s="405"/>
      <c r="C1501" s="405"/>
      <c r="D1501" s="405"/>
      <c r="E1501" s="405" t="s">
        <v>1049</v>
      </c>
      <c r="F1501" s="406">
        <v>0</v>
      </c>
      <c r="G1501" s="405"/>
      <c r="H1501" s="606"/>
      <c r="I1501" s="606" t="s">
        <v>1050</v>
      </c>
      <c r="J1501" s="406">
        <v>25.86</v>
      </c>
      <c r="K1501"/>
      <c r="L1501" s="166"/>
    </row>
    <row r="1502" spans="1:12" ht="15.6" thickTop="1" x14ac:dyDescent="0.3">
      <c r="A1502" s="407"/>
      <c r="B1502" s="407"/>
      <c r="C1502" s="407"/>
      <c r="D1502" s="407"/>
      <c r="E1502" s="407"/>
      <c r="F1502" s="407"/>
      <c r="G1502" s="407"/>
      <c r="H1502" s="407"/>
      <c r="I1502" s="407"/>
      <c r="J1502" s="407"/>
      <c r="K1502" s="407"/>
      <c r="L1502" s="166"/>
    </row>
    <row r="1503" spans="1:12" ht="14.25" customHeight="1" x14ac:dyDescent="0.3">
      <c r="A1503" s="382" t="s">
        <v>816</v>
      </c>
      <c r="B1503" s="312" t="s">
        <v>413</v>
      </c>
      <c r="C1503" s="382" t="s">
        <v>414</v>
      </c>
      <c r="D1503" s="382" t="s">
        <v>415</v>
      </c>
      <c r="E1503" s="586" t="s">
        <v>1029</v>
      </c>
      <c r="F1503" s="586"/>
      <c r="G1503" s="383" t="s">
        <v>416</v>
      </c>
      <c r="H1503" s="312" t="s">
        <v>1030</v>
      </c>
      <c r="I1503" s="312" t="s">
        <v>3016</v>
      </c>
      <c r="J1503" s="312" t="s">
        <v>1031</v>
      </c>
      <c r="K1503" s="312" t="s">
        <v>1032</v>
      </c>
      <c r="L1503" s="168"/>
    </row>
    <row r="1504" spans="1:12" ht="15" customHeight="1" x14ac:dyDescent="0.3">
      <c r="A1504" s="313" t="s">
        <v>1033</v>
      </c>
      <c r="B1504" s="315" t="s">
        <v>3820</v>
      </c>
      <c r="C1504" s="313" t="s">
        <v>395</v>
      </c>
      <c r="D1504" s="313" t="s">
        <v>5933</v>
      </c>
      <c r="E1504" s="603" t="s">
        <v>7862</v>
      </c>
      <c r="F1504" s="603"/>
      <c r="G1504" s="314" t="s">
        <v>4</v>
      </c>
      <c r="H1504" s="399">
        <v>1</v>
      </c>
      <c r="I1504" s="316"/>
      <c r="J1504" s="316">
        <v>615.84</v>
      </c>
      <c r="K1504" s="316">
        <v>615.84</v>
      </c>
      <c r="L1504" s="170"/>
    </row>
    <row r="1505" spans="1:12" ht="26.4" x14ac:dyDescent="0.3">
      <c r="A1505" s="408" t="s">
        <v>1034</v>
      </c>
      <c r="B1505" s="409" t="s">
        <v>5247</v>
      </c>
      <c r="C1505" s="408" t="s">
        <v>395</v>
      </c>
      <c r="D1505" s="408" t="s">
        <v>7863</v>
      </c>
      <c r="E1505" s="604" t="s">
        <v>7862</v>
      </c>
      <c r="F1505" s="604"/>
      <c r="G1505" s="410" t="s">
        <v>4</v>
      </c>
      <c r="H1505" s="412">
        <v>1</v>
      </c>
      <c r="I1505" s="412">
        <v>0</v>
      </c>
      <c r="J1505" s="411">
        <v>62.68</v>
      </c>
      <c r="K1505" s="411">
        <v>62.68</v>
      </c>
      <c r="L1505" s="168"/>
    </row>
    <row r="1506" spans="1:12" ht="15" customHeight="1" x14ac:dyDescent="0.3">
      <c r="A1506" s="408" t="s">
        <v>1034</v>
      </c>
      <c r="B1506" s="409" t="s">
        <v>5246</v>
      </c>
      <c r="C1506" s="408" t="s">
        <v>395</v>
      </c>
      <c r="D1506" s="408" t="s">
        <v>7864</v>
      </c>
      <c r="E1506" s="604" t="s">
        <v>7862</v>
      </c>
      <c r="F1506" s="604"/>
      <c r="G1506" s="410" t="s">
        <v>4</v>
      </c>
      <c r="H1506" s="412">
        <v>1</v>
      </c>
      <c r="I1506" s="412">
        <v>0</v>
      </c>
      <c r="J1506" s="411">
        <v>553.16</v>
      </c>
      <c r="K1506" s="411">
        <v>553.16</v>
      </c>
      <c r="L1506" s="168"/>
    </row>
    <row r="1507" spans="1:12" ht="38.25" customHeight="1" x14ac:dyDescent="0.3">
      <c r="A1507" s="405"/>
      <c r="B1507" s="405"/>
      <c r="C1507" s="405"/>
      <c r="D1507" s="405"/>
      <c r="E1507" s="405" t="s">
        <v>1046</v>
      </c>
      <c r="F1507" s="406">
        <v>45.39</v>
      </c>
      <c r="G1507" s="405" t="s">
        <v>1047</v>
      </c>
      <c r="H1507" s="406">
        <v>0</v>
      </c>
      <c r="I1507" s="405" t="s">
        <v>1048</v>
      </c>
      <c r="J1507" s="406">
        <v>45.39</v>
      </c>
      <c r="K1507"/>
      <c r="L1507" s="168"/>
    </row>
    <row r="1508" spans="1:12" ht="25.5" customHeight="1" thickBot="1" x14ac:dyDescent="0.35">
      <c r="A1508" s="405"/>
      <c r="B1508" s="405"/>
      <c r="C1508" s="405"/>
      <c r="D1508" s="405"/>
      <c r="E1508" s="405" t="s">
        <v>1049</v>
      </c>
      <c r="F1508" s="406">
        <v>0</v>
      </c>
      <c r="G1508" s="405"/>
      <c r="H1508" s="606"/>
      <c r="I1508" s="606" t="s">
        <v>1050</v>
      </c>
      <c r="J1508" s="406">
        <v>615.84</v>
      </c>
      <c r="K1508"/>
      <c r="L1508" s="166"/>
    </row>
    <row r="1509" spans="1:12" ht="25.5" customHeight="1" thickTop="1" x14ac:dyDescent="0.3">
      <c r="A1509" s="407"/>
      <c r="B1509" s="407"/>
      <c r="C1509" s="407"/>
      <c r="D1509" s="407"/>
      <c r="E1509" s="407"/>
      <c r="F1509" s="407"/>
      <c r="G1509" s="407"/>
      <c r="H1509" s="407"/>
      <c r="I1509" s="407"/>
      <c r="J1509" s="407"/>
      <c r="K1509" s="407"/>
      <c r="L1509" s="166"/>
    </row>
    <row r="1510" spans="1:12" ht="38.25" customHeight="1" x14ac:dyDescent="0.3">
      <c r="A1510" s="382" t="s">
        <v>818</v>
      </c>
      <c r="B1510" s="312" t="s">
        <v>413</v>
      </c>
      <c r="C1510" s="382" t="s">
        <v>414</v>
      </c>
      <c r="D1510" s="382" t="s">
        <v>415</v>
      </c>
      <c r="E1510" s="586" t="s">
        <v>1029</v>
      </c>
      <c r="F1510" s="586"/>
      <c r="G1510" s="383" t="s">
        <v>416</v>
      </c>
      <c r="H1510" s="312" t="s">
        <v>1030</v>
      </c>
      <c r="I1510" s="312" t="s">
        <v>3016</v>
      </c>
      <c r="J1510" s="312" t="s">
        <v>1031</v>
      </c>
      <c r="K1510" s="312" t="s">
        <v>1032</v>
      </c>
      <c r="L1510" s="168"/>
    </row>
    <row r="1511" spans="1:12" ht="25.5" customHeight="1" x14ac:dyDescent="0.3">
      <c r="A1511" s="313" t="s">
        <v>1033</v>
      </c>
      <c r="B1511" s="315" t="s">
        <v>2124</v>
      </c>
      <c r="C1511" s="313" t="s">
        <v>408</v>
      </c>
      <c r="D1511" s="313" t="s">
        <v>1730</v>
      </c>
      <c r="E1511" s="603" t="s">
        <v>343</v>
      </c>
      <c r="F1511" s="603"/>
      <c r="G1511" s="314" t="s">
        <v>4</v>
      </c>
      <c r="H1511" s="399">
        <v>1</v>
      </c>
      <c r="I1511" s="316"/>
      <c r="J1511" s="316">
        <v>1527.07</v>
      </c>
      <c r="K1511" s="316">
        <v>1527.07</v>
      </c>
      <c r="L1511" s="168"/>
    </row>
    <row r="1512" spans="1:12" ht="38.25" customHeight="1" x14ac:dyDescent="0.3">
      <c r="A1512" s="400" t="s">
        <v>1038</v>
      </c>
      <c r="B1512" s="401" t="s">
        <v>2337</v>
      </c>
      <c r="C1512" s="400" t="s">
        <v>408</v>
      </c>
      <c r="D1512" s="400" t="s">
        <v>2338</v>
      </c>
      <c r="E1512" s="605" t="s">
        <v>1039</v>
      </c>
      <c r="F1512" s="605"/>
      <c r="G1512" s="402" t="s">
        <v>4</v>
      </c>
      <c r="H1512" s="403">
        <v>1</v>
      </c>
      <c r="I1512" s="403">
        <v>0</v>
      </c>
      <c r="J1512" s="404">
        <v>1520.59</v>
      </c>
      <c r="K1512" s="404">
        <v>1520.59</v>
      </c>
      <c r="L1512" s="168"/>
    </row>
    <row r="1513" spans="1:12" ht="38.25" customHeight="1" x14ac:dyDescent="0.3">
      <c r="A1513" s="400" t="s">
        <v>1038</v>
      </c>
      <c r="B1513" s="401" t="s">
        <v>6301</v>
      </c>
      <c r="C1513" s="400" t="s">
        <v>408</v>
      </c>
      <c r="D1513" s="400" t="s">
        <v>6302</v>
      </c>
      <c r="E1513" s="605" t="s">
        <v>1053</v>
      </c>
      <c r="F1513" s="605"/>
      <c r="G1513" s="402" t="s">
        <v>6</v>
      </c>
      <c r="H1513" s="403">
        <v>0.3</v>
      </c>
      <c r="I1513" s="403">
        <v>0</v>
      </c>
      <c r="J1513" s="404">
        <v>21.59</v>
      </c>
      <c r="K1513" s="404">
        <v>6.4770000000000003</v>
      </c>
      <c r="L1513" s="168"/>
    </row>
    <row r="1514" spans="1:12" ht="25.5" customHeight="1" x14ac:dyDescent="0.3">
      <c r="A1514" s="405"/>
      <c r="B1514" s="405"/>
      <c r="C1514" s="405"/>
      <c r="D1514" s="405"/>
      <c r="E1514" s="405" t="s">
        <v>1046</v>
      </c>
      <c r="F1514" s="406">
        <v>6.48</v>
      </c>
      <c r="G1514" s="405" t="s">
        <v>1047</v>
      </c>
      <c r="H1514" s="406">
        <v>0</v>
      </c>
      <c r="I1514" s="405" t="s">
        <v>1048</v>
      </c>
      <c r="J1514" s="406">
        <v>6.48</v>
      </c>
      <c r="K1514"/>
      <c r="L1514" s="168"/>
    </row>
    <row r="1515" spans="1:12" ht="25.5" customHeight="1" thickBot="1" x14ac:dyDescent="0.35">
      <c r="A1515" s="405"/>
      <c r="B1515" s="405"/>
      <c r="C1515" s="405"/>
      <c r="D1515" s="405"/>
      <c r="E1515" s="405" t="s">
        <v>1049</v>
      </c>
      <c r="F1515" s="406">
        <v>0</v>
      </c>
      <c r="G1515" s="405"/>
      <c r="H1515" s="606"/>
      <c r="I1515" s="606" t="s">
        <v>1050</v>
      </c>
      <c r="J1515" s="406">
        <v>1527.07</v>
      </c>
      <c r="K1515"/>
      <c r="L1515" s="166"/>
    </row>
    <row r="1516" spans="1:12" ht="25.5" customHeight="1" thickTop="1" x14ac:dyDescent="0.3">
      <c r="A1516" s="407"/>
      <c r="B1516" s="407"/>
      <c r="C1516" s="407"/>
      <c r="D1516" s="407"/>
      <c r="E1516" s="407"/>
      <c r="F1516" s="407"/>
      <c r="G1516" s="407"/>
      <c r="H1516" s="407"/>
      <c r="I1516" s="407"/>
      <c r="J1516" s="407"/>
      <c r="K1516" s="407"/>
      <c r="L1516" s="168"/>
    </row>
    <row r="1517" spans="1:12" ht="25.5" customHeight="1" x14ac:dyDescent="0.3">
      <c r="A1517" s="382" t="s">
        <v>819</v>
      </c>
      <c r="B1517" s="312" t="s">
        <v>413</v>
      </c>
      <c r="C1517" s="382" t="s">
        <v>414</v>
      </c>
      <c r="D1517" s="382" t="s">
        <v>415</v>
      </c>
      <c r="E1517" s="586" t="s">
        <v>1029</v>
      </c>
      <c r="F1517" s="586"/>
      <c r="G1517" s="383" t="s">
        <v>416</v>
      </c>
      <c r="H1517" s="312" t="s">
        <v>1030</v>
      </c>
      <c r="I1517" s="312" t="s">
        <v>3016</v>
      </c>
      <c r="J1517" s="312" t="s">
        <v>1031</v>
      </c>
      <c r="K1517" s="312" t="s">
        <v>1032</v>
      </c>
      <c r="L1517" s="168"/>
    </row>
    <row r="1518" spans="1:12" ht="15" x14ac:dyDescent="0.3">
      <c r="A1518" s="313" t="s">
        <v>1033</v>
      </c>
      <c r="B1518" s="315" t="s">
        <v>1008</v>
      </c>
      <c r="C1518" s="313" t="s">
        <v>408</v>
      </c>
      <c r="D1518" s="313" t="s">
        <v>384</v>
      </c>
      <c r="E1518" s="603" t="s">
        <v>2269</v>
      </c>
      <c r="F1518" s="603"/>
      <c r="G1518" s="314" t="s">
        <v>4</v>
      </c>
      <c r="H1518" s="399">
        <v>1</v>
      </c>
      <c r="I1518" s="316"/>
      <c r="J1518" s="316">
        <v>384.07</v>
      </c>
      <c r="K1518" s="316">
        <v>384.07</v>
      </c>
      <c r="L1518" s="168"/>
    </row>
    <row r="1519" spans="1:12" ht="25.5" customHeight="1" x14ac:dyDescent="0.3">
      <c r="A1519" s="400" t="s">
        <v>1038</v>
      </c>
      <c r="B1519" s="401" t="s">
        <v>1369</v>
      </c>
      <c r="C1519" s="400" t="s">
        <v>408</v>
      </c>
      <c r="D1519" s="400" t="s">
        <v>1370</v>
      </c>
      <c r="E1519" s="605" t="s">
        <v>1039</v>
      </c>
      <c r="F1519" s="605"/>
      <c r="G1519" s="402" t="s">
        <v>3</v>
      </c>
      <c r="H1519" s="403">
        <v>2.8</v>
      </c>
      <c r="I1519" s="403">
        <v>0</v>
      </c>
      <c r="J1519" s="404">
        <v>0.71</v>
      </c>
      <c r="K1519" s="404">
        <v>1.988</v>
      </c>
      <c r="L1519" s="166"/>
    </row>
    <row r="1520" spans="1:12" ht="25.5" customHeight="1" x14ac:dyDescent="0.3">
      <c r="A1520" s="400" t="s">
        <v>1038</v>
      </c>
      <c r="B1520" s="401" t="s">
        <v>1367</v>
      </c>
      <c r="C1520" s="400" t="s">
        <v>408</v>
      </c>
      <c r="D1520" s="400" t="s">
        <v>1368</v>
      </c>
      <c r="E1520" s="605" t="s">
        <v>1039</v>
      </c>
      <c r="F1520" s="605"/>
      <c r="G1520" s="402" t="s">
        <v>713</v>
      </c>
      <c r="H1520" s="403">
        <v>1E-3</v>
      </c>
      <c r="I1520" s="403">
        <v>0</v>
      </c>
      <c r="J1520" s="404">
        <v>106.37</v>
      </c>
      <c r="K1520" s="404">
        <v>0.10637000000000001</v>
      </c>
      <c r="L1520" s="166"/>
    </row>
    <row r="1521" spans="1:12" ht="15" customHeight="1" x14ac:dyDescent="0.3">
      <c r="A1521" s="400" t="s">
        <v>1038</v>
      </c>
      <c r="B1521" s="401" t="s">
        <v>1484</v>
      </c>
      <c r="C1521" s="400" t="s">
        <v>408</v>
      </c>
      <c r="D1521" s="400" t="s">
        <v>1485</v>
      </c>
      <c r="E1521" s="605" t="s">
        <v>1039</v>
      </c>
      <c r="F1521" s="605"/>
      <c r="G1521" s="402" t="s">
        <v>3</v>
      </c>
      <c r="H1521" s="403">
        <v>0.8</v>
      </c>
      <c r="I1521" s="403">
        <v>0</v>
      </c>
      <c r="J1521" s="404">
        <v>4.75</v>
      </c>
      <c r="K1521" s="404">
        <v>3.8</v>
      </c>
      <c r="L1521" s="168"/>
    </row>
    <row r="1522" spans="1:12" ht="25.5" customHeight="1" x14ac:dyDescent="0.3">
      <c r="A1522" s="400" t="s">
        <v>1038</v>
      </c>
      <c r="B1522" s="401" t="s">
        <v>1507</v>
      </c>
      <c r="C1522" s="400" t="s">
        <v>408</v>
      </c>
      <c r="D1522" s="400" t="s">
        <v>1508</v>
      </c>
      <c r="E1522" s="605" t="s">
        <v>1039</v>
      </c>
      <c r="F1522" s="605"/>
      <c r="G1522" s="402" t="s">
        <v>4</v>
      </c>
      <c r="H1522" s="403">
        <v>2</v>
      </c>
      <c r="I1522" s="403">
        <v>0</v>
      </c>
      <c r="J1522" s="404">
        <v>22.63</v>
      </c>
      <c r="K1522" s="404">
        <v>45.26</v>
      </c>
      <c r="L1522" s="168"/>
    </row>
    <row r="1523" spans="1:12" ht="25.5" customHeight="1" x14ac:dyDescent="0.3">
      <c r="A1523" s="400" t="s">
        <v>1038</v>
      </c>
      <c r="B1523" s="401" t="s">
        <v>1506</v>
      </c>
      <c r="C1523" s="400" t="s">
        <v>408</v>
      </c>
      <c r="D1523" s="400" t="s">
        <v>384</v>
      </c>
      <c r="E1523" s="605" t="s">
        <v>1039</v>
      </c>
      <c r="F1523" s="605"/>
      <c r="G1523" s="402" t="s">
        <v>4</v>
      </c>
      <c r="H1523" s="403">
        <v>1</v>
      </c>
      <c r="I1523" s="403">
        <v>0</v>
      </c>
      <c r="J1523" s="404">
        <v>176.97</v>
      </c>
      <c r="K1523" s="404">
        <v>176.97</v>
      </c>
      <c r="L1523" s="168"/>
    </row>
    <row r="1524" spans="1:12" ht="30" customHeight="1" x14ac:dyDescent="0.3">
      <c r="A1524" s="400" t="s">
        <v>1038</v>
      </c>
      <c r="B1524" s="401" t="s">
        <v>1114</v>
      </c>
      <c r="C1524" s="400" t="s">
        <v>408</v>
      </c>
      <c r="D1524" s="400" t="s">
        <v>1115</v>
      </c>
      <c r="E1524" s="605" t="s">
        <v>1039</v>
      </c>
      <c r="F1524" s="605"/>
      <c r="G1524" s="402" t="s">
        <v>7</v>
      </c>
      <c r="H1524" s="403">
        <v>0.8</v>
      </c>
      <c r="I1524" s="403">
        <v>0</v>
      </c>
      <c r="J1524" s="404">
        <v>0.23</v>
      </c>
      <c r="K1524" s="404">
        <v>0.184</v>
      </c>
      <c r="L1524" s="166"/>
    </row>
    <row r="1525" spans="1:12" ht="25.5" customHeight="1" x14ac:dyDescent="0.3">
      <c r="A1525" s="400" t="s">
        <v>1038</v>
      </c>
      <c r="B1525" s="401" t="s">
        <v>1509</v>
      </c>
      <c r="C1525" s="400" t="s">
        <v>408</v>
      </c>
      <c r="D1525" s="400" t="s">
        <v>1510</v>
      </c>
      <c r="E1525" s="605" t="s">
        <v>1039</v>
      </c>
      <c r="F1525" s="605"/>
      <c r="G1525" s="402" t="s">
        <v>4</v>
      </c>
      <c r="H1525" s="403">
        <v>1</v>
      </c>
      <c r="I1525" s="403">
        <v>0</v>
      </c>
      <c r="J1525" s="404">
        <v>39</v>
      </c>
      <c r="K1525" s="404">
        <v>39</v>
      </c>
      <c r="L1525" s="166"/>
    </row>
    <row r="1526" spans="1:12" ht="15" customHeight="1" x14ac:dyDescent="0.3">
      <c r="A1526" s="400" t="s">
        <v>1038</v>
      </c>
      <c r="B1526" s="401" t="s">
        <v>6301</v>
      </c>
      <c r="C1526" s="400" t="s">
        <v>408</v>
      </c>
      <c r="D1526" s="400" t="s">
        <v>6302</v>
      </c>
      <c r="E1526" s="605" t="s">
        <v>1053</v>
      </c>
      <c r="F1526" s="605"/>
      <c r="G1526" s="402" t="s">
        <v>6</v>
      </c>
      <c r="H1526" s="403">
        <v>2.3380000000000001</v>
      </c>
      <c r="I1526" s="403">
        <v>0</v>
      </c>
      <c r="J1526" s="404">
        <v>21.59</v>
      </c>
      <c r="K1526" s="404">
        <v>50.477420000000002</v>
      </c>
      <c r="L1526" s="166"/>
    </row>
    <row r="1527" spans="1:12" ht="12.75" customHeight="1" x14ac:dyDescent="0.3">
      <c r="A1527" s="400" t="s">
        <v>1038</v>
      </c>
      <c r="B1527" s="401" t="s">
        <v>6235</v>
      </c>
      <c r="C1527" s="400" t="s">
        <v>408</v>
      </c>
      <c r="D1527" s="400" t="s">
        <v>6236</v>
      </c>
      <c r="E1527" s="605" t="s">
        <v>1053</v>
      </c>
      <c r="F1527" s="605"/>
      <c r="G1527" s="402" t="s">
        <v>6</v>
      </c>
      <c r="H1527" s="403">
        <v>2.3380000000000001</v>
      </c>
      <c r="I1527" s="403">
        <v>0</v>
      </c>
      <c r="J1527" s="404">
        <v>28.35</v>
      </c>
      <c r="K1527" s="404">
        <v>66.282300000000006</v>
      </c>
      <c r="L1527" s="166"/>
    </row>
    <row r="1528" spans="1:12" ht="15" x14ac:dyDescent="0.3">
      <c r="A1528" s="405"/>
      <c r="B1528" s="405"/>
      <c r="C1528" s="405"/>
      <c r="D1528" s="405"/>
      <c r="E1528" s="405" t="s">
        <v>1046</v>
      </c>
      <c r="F1528" s="406">
        <v>116.76</v>
      </c>
      <c r="G1528" s="405" t="s">
        <v>1047</v>
      </c>
      <c r="H1528" s="406">
        <v>0</v>
      </c>
      <c r="I1528" s="405" t="s">
        <v>1048</v>
      </c>
      <c r="J1528" s="406">
        <v>116.76</v>
      </c>
      <c r="K1528"/>
      <c r="L1528" s="166"/>
    </row>
    <row r="1529" spans="1:12" ht="15.6" thickBot="1" x14ac:dyDescent="0.35">
      <c r="A1529" s="405"/>
      <c r="B1529" s="405"/>
      <c r="C1529" s="405"/>
      <c r="D1529" s="405"/>
      <c r="E1529" s="405" t="s">
        <v>1049</v>
      </c>
      <c r="F1529" s="406">
        <v>0</v>
      </c>
      <c r="G1529" s="405"/>
      <c r="H1529" s="606"/>
      <c r="I1529" s="606" t="s">
        <v>1050</v>
      </c>
      <c r="J1529" s="406">
        <v>384.07</v>
      </c>
      <c r="K1529"/>
      <c r="L1529" s="166"/>
    </row>
    <row r="1530" spans="1:12" ht="15" customHeight="1" thickTop="1" x14ac:dyDescent="0.3">
      <c r="A1530" s="407"/>
      <c r="B1530" s="407"/>
      <c r="C1530" s="407"/>
      <c r="D1530" s="407"/>
      <c r="E1530" s="407"/>
      <c r="F1530" s="407"/>
      <c r="G1530" s="407"/>
      <c r="H1530" s="407"/>
      <c r="I1530" s="407"/>
      <c r="J1530" s="407"/>
      <c r="K1530" s="407"/>
      <c r="L1530" s="166"/>
    </row>
    <row r="1531" spans="1:12" ht="15" x14ac:dyDescent="0.3">
      <c r="A1531" s="382" t="s">
        <v>820</v>
      </c>
      <c r="B1531" s="312" t="s">
        <v>413</v>
      </c>
      <c r="C1531" s="382" t="s">
        <v>414</v>
      </c>
      <c r="D1531" s="382" t="s">
        <v>415</v>
      </c>
      <c r="E1531" s="586" t="s">
        <v>1029</v>
      </c>
      <c r="F1531" s="586"/>
      <c r="G1531" s="383" t="s">
        <v>416</v>
      </c>
      <c r="H1531" s="312" t="s">
        <v>1030</v>
      </c>
      <c r="I1531" s="312" t="s">
        <v>3016</v>
      </c>
      <c r="J1531" s="312" t="s">
        <v>1031</v>
      </c>
      <c r="K1531" s="312" t="s">
        <v>1032</v>
      </c>
      <c r="L1531" s="168"/>
    </row>
    <row r="1532" spans="1:12" ht="14.25" customHeight="1" x14ac:dyDescent="0.3">
      <c r="A1532" s="313" t="s">
        <v>1033</v>
      </c>
      <c r="B1532" s="315" t="s">
        <v>3003</v>
      </c>
      <c r="C1532" s="313" t="s">
        <v>420</v>
      </c>
      <c r="D1532" s="313" t="s">
        <v>3004</v>
      </c>
      <c r="E1532" s="603" t="s">
        <v>1261</v>
      </c>
      <c r="F1532" s="603"/>
      <c r="G1532" s="314" t="s">
        <v>422</v>
      </c>
      <c r="H1532" s="399">
        <v>1</v>
      </c>
      <c r="I1532" s="316"/>
      <c r="J1532" s="316">
        <v>1385.81</v>
      </c>
      <c r="K1532" s="316">
        <v>1385.81</v>
      </c>
      <c r="L1532" s="170"/>
    </row>
    <row r="1533" spans="1:12" ht="25.5" customHeight="1" x14ac:dyDescent="0.3">
      <c r="A1533" s="408" t="s">
        <v>1034</v>
      </c>
      <c r="B1533" s="409" t="s">
        <v>1071</v>
      </c>
      <c r="C1533" s="408" t="s">
        <v>420</v>
      </c>
      <c r="D1533" s="408" t="s">
        <v>1072</v>
      </c>
      <c r="E1533" s="604" t="s">
        <v>1069</v>
      </c>
      <c r="F1533" s="604"/>
      <c r="G1533" s="410" t="s">
        <v>1070</v>
      </c>
      <c r="H1533" s="412">
        <v>1.5</v>
      </c>
      <c r="I1533" s="412">
        <v>0</v>
      </c>
      <c r="J1533" s="411">
        <v>3.95</v>
      </c>
      <c r="K1533" s="411">
        <v>5.9249999999999998</v>
      </c>
      <c r="L1533" s="168"/>
    </row>
    <row r="1534" spans="1:12" ht="25.5" customHeight="1" x14ac:dyDescent="0.3">
      <c r="A1534" s="408" t="s">
        <v>1034</v>
      </c>
      <c r="B1534" s="409" t="s">
        <v>1180</v>
      </c>
      <c r="C1534" s="408" t="s">
        <v>420</v>
      </c>
      <c r="D1534" s="408" t="s">
        <v>1181</v>
      </c>
      <c r="E1534" s="604" t="s">
        <v>1069</v>
      </c>
      <c r="F1534" s="604"/>
      <c r="G1534" s="410" t="s">
        <v>1070</v>
      </c>
      <c r="H1534" s="412">
        <v>1.5</v>
      </c>
      <c r="I1534" s="412">
        <v>0</v>
      </c>
      <c r="J1534" s="411">
        <v>3.91</v>
      </c>
      <c r="K1534" s="411">
        <v>5.8650000000000002</v>
      </c>
      <c r="L1534" s="168"/>
    </row>
    <row r="1535" spans="1:12" ht="25.5" customHeight="1" x14ac:dyDescent="0.3">
      <c r="A1535" s="400" t="s">
        <v>1038</v>
      </c>
      <c r="B1535" s="401" t="s">
        <v>1262</v>
      </c>
      <c r="C1535" s="400" t="s">
        <v>420</v>
      </c>
      <c r="D1535" s="400" t="s">
        <v>1263</v>
      </c>
      <c r="E1535" s="605" t="s">
        <v>1039</v>
      </c>
      <c r="F1535" s="605"/>
      <c r="G1535" s="402" t="s">
        <v>437</v>
      </c>
      <c r="H1535" s="403">
        <v>0.84</v>
      </c>
      <c r="I1535" s="403">
        <v>0</v>
      </c>
      <c r="J1535" s="404">
        <v>0.31</v>
      </c>
      <c r="K1535" s="404">
        <v>0.26040000000000002</v>
      </c>
      <c r="L1535" s="168"/>
    </row>
    <row r="1536" spans="1:12" ht="15" customHeight="1" x14ac:dyDescent="0.3">
      <c r="A1536" s="400" t="s">
        <v>1038</v>
      </c>
      <c r="B1536" s="401" t="s">
        <v>3277</v>
      </c>
      <c r="C1536" s="400" t="s">
        <v>420</v>
      </c>
      <c r="D1536" s="400" t="s">
        <v>3278</v>
      </c>
      <c r="E1536" s="605" t="s">
        <v>1039</v>
      </c>
      <c r="F1536" s="605"/>
      <c r="G1536" s="402" t="s">
        <v>422</v>
      </c>
      <c r="H1536" s="403">
        <v>1</v>
      </c>
      <c r="I1536" s="403">
        <v>0</v>
      </c>
      <c r="J1536" s="404">
        <v>43.88</v>
      </c>
      <c r="K1536" s="404">
        <v>43.88</v>
      </c>
      <c r="L1536" s="166"/>
    </row>
    <row r="1537" spans="1:12" ht="15" customHeight="1" x14ac:dyDescent="0.3">
      <c r="A1537" s="400" t="s">
        <v>1038</v>
      </c>
      <c r="B1537" s="401" t="s">
        <v>3279</v>
      </c>
      <c r="C1537" s="400" t="s">
        <v>420</v>
      </c>
      <c r="D1537" s="400" t="s">
        <v>3280</v>
      </c>
      <c r="E1537" s="605" t="s">
        <v>1039</v>
      </c>
      <c r="F1537" s="605"/>
      <c r="G1537" s="402" t="s">
        <v>422</v>
      </c>
      <c r="H1537" s="403">
        <v>1</v>
      </c>
      <c r="I1537" s="403">
        <v>0</v>
      </c>
      <c r="J1537" s="404">
        <v>999.9</v>
      </c>
      <c r="K1537" s="404">
        <v>999.9</v>
      </c>
      <c r="L1537" s="166"/>
    </row>
    <row r="1538" spans="1:12" ht="12.75" customHeight="1" x14ac:dyDescent="0.3">
      <c r="A1538" s="400" t="s">
        <v>1038</v>
      </c>
      <c r="B1538" s="401" t="s">
        <v>6480</v>
      </c>
      <c r="C1538" s="400" t="s">
        <v>420</v>
      </c>
      <c r="D1538" s="400" t="s">
        <v>6481</v>
      </c>
      <c r="E1538" s="605" t="s">
        <v>1053</v>
      </c>
      <c r="F1538" s="605"/>
      <c r="G1538" s="402" t="s">
        <v>1070</v>
      </c>
      <c r="H1538" s="403">
        <v>1.5</v>
      </c>
      <c r="I1538" s="403">
        <v>0</v>
      </c>
      <c r="J1538" s="404">
        <v>20.45</v>
      </c>
      <c r="K1538" s="404">
        <v>30.675000000000001</v>
      </c>
      <c r="L1538" s="168"/>
    </row>
    <row r="1539" spans="1:12" ht="30" customHeight="1" x14ac:dyDescent="0.3">
      <c r="A1539" s="400" t="s">
        <v>1038</v>
      </c>
      <c r="B1539" s="401" t="s">
        <v>6251</v>
      </c>
      <c r="C1539" s="400" t="s">
        <v>420</v>
      </c>
      <c r="D1539" s="400" t="s">
        <v>6252</v>
      </c>
      <c r="E1539" s="605" t="s">
        <v>1053</v>
      </c>
      <c r="F1539" s="605"/>
      <c r="G1539" s="402" t="s">
        <v>1070</v>
      </c>
      <c r="H1539" s="403">
        <v>1.5</v>
      </c>
      <c r="I1539" s="403">
        <v>0</v>
      </c>
      <c r="J1539" s="404">
        <v>15.59</v>
      </c>
      <c r="K1539" s="404">
        <v>23.385000000000002</v>
      </c>
      <c r="L1539" s="168"/>
    </row>
    <row r="1540" spans="1:12" ht="15" customHeight="1" x14ac:dyDescent="0.3">
      <c r="A1540" s="400" t="s">
        <v>1038</v>
      </c>
      <c r="B1540" s="401" t="s">
        <v>6445</v>
      </c>
      <c r="C1540" s="400" t="s">
        <v>420</v>
      </c>
      <c r="D1540" s="400" t="s">
        <v>6446</v>
      </c>
      <c r="E1540" s="605" t="s">
        <v>1039</v>
      </c>
      <c r="F1540" s="605"/>
      <c r="G1540" s="402" t="s">
        <v>422</v>
      </c>
      <c r="H1540" s="403">
        <v>1</v>
      </c>
      <c r="I1540" s="403">
        <v>0</v>
      </c>
      <c r="J1540" s="404">
        <v>224.45</v>
      </c>
      <c r="K1540" s="404">
        <v>224.45</v>
      </c>
      <c r="L1540" s="168"/>
    </row>
    <row r="1541" spans="1:12" ht="25.5" customHeight="1" x14ac:dyDescent="0.3">
      <c r="A1541" s="400" t="s">
        <v>1038</v>
      </c>
      <c r="B1541" s="401" t="s">
        <v>6875</v>
      </c>
      <c r="C1541" s="400" t="s">
        <v>420</v>
      </c>
      <c r="D1541" s="400" t="s">
        <v>6876</v>
      </c>
      <c r="E1541" s="605" t="s">
        <v>1039</v>
      </c>
      <c r="F1541" s="605"/>
      <c r="G1541" s="402" t="s">
        <v>422</v>
      </c>
      <c r="H1541" s="403">
        <v>1</v>
      </c>
      <c r="I1541" s="403">
        <v>0</v>
      </c>
      <c r="J1541" s="404">
        <v>51.47</v>
      </c>
      <c r="K1541" s="404">
        <v>51.47</v>
      </c>
      <c r="L1541" s="168"/>
    </row>
    <row r="1542" spans="1:12" ht="25.5" customHeight="1" x14ac:dyDescent="0.3">
      <c r="A1542" s="405"/>
      <c r="B1542" s="405"/>
      <c r="C1542" s="405"/>
      <c r="D1542" s="405"/>
      <c r="E1542" s="405" t="s">
        <v>1046</v>
      </c>
      <c r="F1542" s="406">
        <v>54.07</v>
      </c>
      <c r="G1542" s="405" t="s">
        <v>1047</v>
      </c>
      <c r="H1542" s="406">
        <v>0</v>
      </c>
      <c r="I1542" s="405" t="s">
        <v>1048</v>
      </c>
      <c r="J1542" s="406">
        <v>54.07</v>
      </c>
      <c r="K1542"/>
      <c r="L1542" s="168"/>
    </row>
    <row r="1543" spans="1:12" ht="38.25" customHeight="1" thickBot="1" x14ac:dyDescent="0.35">
      <c r="A1543" s="405"/>
      <c r="B1543" s="405"/>
      <c r="C1543" s="405"/>
      <c r="D1543" s="405"/>
      <c r="E1543" s="405" t="s">
        <v>1049</v>
      </c>
      <c r="F1543" s="406">
        <v>0</v>
      </c>
      <c r="G1543" s="405"/>
      <c r="H1543" s="606"/>
      <c r="I1543" s="606" t="s">
        <v>1050</v>
      </c>
      <c r="J1543" s="406">
        <v>1385.81</v>
      </c>
      <c r="K1543"/>
      <c r="L1543" s="166"/>
    </row>
    <row r="1544" spans="1:12" ht="25.5" customHeight="1" thickTop="1" x14ac:dyDescent="0.3">
      <c r="A1544" s="407"/>
      <c r="B1544" s="407"/>
      <c r="C1544" s="407"/>
      <c r="D1544" s="407"/>
      <c r="E1544" s="407"/>
      <c r="F1544" s="407"/>
      <c r="G1544" s="407"/>
      <c r="H1544" s="407"/>
      <c r="I1544" s="407"/>
      <c r="J1544" s="407"/>
      <c r="K1544" s="407"/>
      <c r="L1544" s="168"/>
    </row>
    <row r="1545" spans="1:12" ht="38.25" customHeight="1" x14ac:dyDescent="0.3">
      <c r="A1545" s="382" t="s">
        <v>823</v>
      </c>
      <c r="B1545" s="312" t="s">
        <v>413</v>
      </c>
      <c r="C1545" s="382" t="s">
        <v>414</v>
      </c>
      <c r="D1545" s="382" t="s">
        <v>415</v>
      </c>
      <c r="E1545" s="586" t="s">
        <v>1029</v>
      </c>
      <c r="F1545" s="586"/>
      <c r="G1545" s="383" t="s">
        <v>416</v>
      </c>
      <c r="H1545" s="312" t="s">
        <v>1030</v>
      </c>
      <c r="I1545" s="312" t="s">
        <v>3016</v>
      </c>
      <c r="J1545" s="312" t="s">
        <v>1031</v>
      </c>
      <c r="K1545" s="312" t="s">
        <v>1032</v>
      </c>
      <c r="L1545" s="168"/>
    </row>
    <row r="1546" spans="1:12" ht="38.25" customHeight="1" x14ac:dyDescent="0.3">
      <c r="A1546" s="313" t="s">
        <v>1033</v>
      </c>
      <c r="B1546" s="315" t="s">
        <v>814</v>
      </c>
      <c r="C1546" s="313" t="s">
        <v>408</v>
      </c>
      <c r="D1546" s="313" t="s">
        <v>815</v>
      </c>
      <c r="E1546" s="603" t="s">
        <v>2269</v>
      </c>
      <c r="F1546" s="603"/>
      <c r="G1546" s="314" t="s">
        <v>4</v>
      </c>
      <c r="H1546" s="399">
        <v>1</v>
      </c>
      <c r="I1546" s="316"/>
      <c r="J1546" s="316">
        <v>1245.67</v>
      </c>
      <c r="K1546" s="316">
        <v>1245.67</v>
      </c>
      <c r="L1546" s="168"/>
    </row>
    <row r="1547" spans="1:12" ht="15" customHeight="1" x14ac:dyDescent="0.3">
      <c r="A1547" s="400" t="s">
        <v>1038</v>
      </c>
      <c r="B1547" s="401" t="s">
        <v>1603</v>
      </c>
      <c r="C1547" s="400" t="s">
        <v>408</v>
      </c>
      <c r="D1547" s="400" t="s">
        <v>1604</v>
      </c>
      <c r="E1547" s="605" t="s">
        <v>1039</v>
      </c>
      <c r="F1547" s="605"/>
      <c r="G1547" s="402" t="s">
        <v>4</v>
      </c>
      <c r="H1547" s="403">
        <v>1</v>
      </c>
      <c r="I1547" s="403">
        <v>0</v>
      </c>
      <c r="J1547" s="404">
        <v>1125.96</v>
      </c>
      <c r="K1547" s="404">
        <v>1125.96</v>
      </c>
      <c r="L1547" s="166"/>
    </row>
    <row r="1548" spans="1:12" ht="25.5" customHeight="1" x14ac:dyDescent="0.3">
      <c r="A1548" s="400" t="s">
        <v>1038</v>
      </c>
      <c r="B1548" s="401" t="s">
        <v>1114</v>
      </c>
      <c r="C1548" s="400" t="s">
        <v>408</v>
      </c>
      <c r="D1548" s="400" t="s">
        <v>1115</v>
      </c>
      <c r="E1548" s="605" t="s">
        <v>1039</v>
      </c>
      <c r="F1548" s="605"/>
      <c r="G1548" s="402" t="s">
        <v>7</v>
      </c>
      <c r="H1548" s="403">
        <v>0.65</v>
      </c>
      <c r="I1548" s="403">
        <v>0</v>
      </c>
      <c r="J1548" s="404">
        <v>0.23</v>
      </c>
      <c r="K1548" s="404">
        <v>0.14949999999999999</v>
      </c>
      <c r="L1548" s="166"/>
    </row>
    <row r="1549" spans="1:12" ht="25.5" customHeight="1" x14ac:dyDescent="0.3">
      <c r="A1549" s="400" t="s">
        <v>1038</v>
      </c>
      <c r="B1549" s="401" t="s">
        <v>1605</v>
      </c>
      <c r="C1549" s="400" t="s">
        <v>408</v>
      </c>
      <c r="D1549" s="400" t="s">
        <v>1606</v>
      </c>
      <c r="E1549" s="605" t="s">
        <v>1039</v>
      </c>
      <c r="F1549" s="605"/>
      <c r="G1549" s="402" t="s">
        <v>4</v>
      </c>
      <c r="H1549" s="403">
        <v>1</v>
      </c>
      <c r="I1549" s="403">
        <v>0</v>
      </c>
      <c r="J1549" s="404">
        <v>29.67</v>
      </c>
      <c r="K1549" s="404">
        <v>29.67</v>
      </c>
      <c r="L1549" s="168"/>
    </row>
    <row r="1550" spans="1:12" ht="25.5" customHeight="1" x14ac:dyDescent="0.3">
      <c r="A1550" s="400" t="s">
        <v>1038</v>
      </c>
      <c r="B1550" s="401" t="s">
        <v>6301</v>
      </c>
      <c r="C1550" s="400" t="s">
        <v>408</v>
      </c>
      <c r="D1550" s="400" t="s">
        <v>6302</v>
      </c>
      <c r="E1550" s="605" t="s">
        <v>1053</v>
      </c>
      <c r="F1550" s="605"/>
      <c r="G1550" s="402" t="s">
        <v>6</v>
      </c>
      <c r="H1550" s="403">
        <v>1.8</v>
      </c>
      <c r="I1550" s="403">
        <v>0</v>
      </c>
      <c r="J1550" s="404">
        <v>21.59</v>
      </c>
      <c r="K1550" s="404">
        <v>38.862000000000002</v>
      </c>
      <c r="L1550" s="168"/>
    </row>
    <row r="1551" spans="1:12" ht="15" customHeight="1" x14ac:dyDescent="0.3">
      <c r="A1551" s="400" t="s">
        <v>1038</v>
      </c>
      <c r="B1551" s="401" t="s">
        <v>6235</v>
      </c>
      <c r="C1551" s="400" t="s">
        <v>408</v>
      </c>
      <c r="D1551" s="400" t="s">
        <v>6236</v>
      </c>
      <c r="E1551" s="605" t="s">
        <v>1053</v>
      </c>
      <c r="F1551" s="605"/>
      <c r="G1551" s="402" t="s">
        <v>6</v>
      </c>
      <c r="H1551" s="403">
        <v>1.8</v>
      </c>
      <c r="I1551" s="403">
        <v>0</v>
      </c>
      <c r="J1551" s="404">
        <v>28.35</v>
      </c>
      <c r="K1551" s="404">
        <v>51.03</v>
      </c>
      <c r="L1551" s="168"/>
    </row>
    <row r="1552" spans="1:12" ht="25.5" customHeight="1" x14ac:dyDescent="0.3">
      <c r="A1552" s="405"/>
      <c r="B1552" s="405"/>
      <c r="C1552" s="405"/>
      <c r="D1552" s="405"/>
      <c r="E1552" s="405" t="s">
        <v>1046</v>
      </c>
      <c r="F1552" s="406">
        <v>89.89</v>
      </c>
      <c r="G1552" s="405" t="s">
        <v>1047</v>
      </c>
      <c r="H1552" s="406">
        <v>0</v>
      </c>
      <c r="I1552" s="405" t="s">
        <v>1048</v>
      </c>
      <c r="J1552" s="406">
        <v>89.89</v>
      </c>
      <c r="K1552"/>
      <c r="L1552" s="166"/>
    </row>
    <row r="1553" spans="1:12" ht="25.5" customHeight="1" thickBot="1" x14ac:dyDescent="0.35">
      <c r="A1553" s="405"/>
      <c r="B1553" s="405"/>
      <c r="C1553" s="405"/>
      <c r="D1553" s="405"/>
      <c r="E1553" s="405" t="s">
        <v>1049</v>
      </c>
      <c r="F1553" s="406">
        <v>0</v>
      </c>
      <c r="G1553" s="405"/>
      <c r="H1553" s="606"/>
      <c r="I1553" s="606" t="s">
        <v>1050</v>
      </c>
      <c r="J1553" s="406">
        <v>1245.67</v>
      </c>
      <c r="K1553"/>
      <c r="L1553" s="166"/>
    </row>
    <row r="1554" spans="1:12" ht="15.6" thickTop="1" x14ac:dyDescent="0.3">
      <c r="A1554" s="407"/>
      <c r="B1554" s="407"/>
      <c r="C1554" s="407"/>
      <c r="D1554" s="407"/>
      <c r="E1554" s="407"/>
      <c r="F1554" s="407"/>
      <c r="G1554" s="407"/>
      <c r="H1554" s="407"/>
      <c r="I1554" s="407"/>
      <c r="J1554" s="407"/>
      <c r="K1554" s="407"/>
      <c r="L1554" s="166"/>
    </row>
    <row r="1555" spans="1:12" ht="14.25" customHeight="1" x14ac:dyDescent="0.3">
      <c r="A1555" s="382" t="s">
        <v>826</v>
      </c>
      <c r="B1555" s="312" t="s">
        <v>413</v>
      </c>
      <c r="C1555" s="382" t="s">
        <v>414</v>
      </c>
      <c r="D1555" s="382" t="s">
        <v>415</v>
      </c>
      <c r="E1555" s="586" t="s">
        <v>1029</v>
      </c>
      <c r="F1555" s="586"/>
      <c r="G1555" s="383" t="s">
        <v>416</v>
      </c>
      <c r="H1555" s="312" t="s">
        <v>1030</v>
      </c>
      <c r="I1555" s="312" t="s">
        <v>3016</v>
      </c>
      <c r="J1555" s="312" t="s">
        <v>1031</v>
      </c>
      <c r="K1555" s="312" t="s">
        <v>1032</v>
      </c>
      <c r="L1555" s="166"/>
    </row>
    <row r="1556" spans="1:12" ht="30" customHeight="1" x14ac:dyDescent="0.3">
      <c r="A1556" s="313" t="s">
        <v>1033</v>
      </c>
      <c r="B1556" s="315" t="s">
        <v>1946</v>
      </c>
      <c r="C1556" s="313" t="s">
        <v>575</v>
      </c>
      <c r="D1556" s="313" t="s">
        <v>8543</v>
      </c>
      <c r="E1556" s="603" t="s">
        <v>1319</v>
      </c>
      <c r="F1556" s="603"/>
      <c r="G1556" s="314" t="s">
        <v>4</v>
      </c>
      <c r="H1556" s="399">
        <v>1</v>
      </c>
      <c r="I1556" s="316"/>
      <c r="J1556" s="316">
        <v>726.09</v>
      </c>
      <c r="K1556" s="316">
        <v>726.09</v>
      </c>
      <c r="L1556" s="166"/>
    </row>
    <row r="1557" spans="1:12" ht="30" customHeight="1" x14ac:dyDescent="0.3">
      <c r="A1557" s="408" t="s">
        <v>1034</v>
      </c>
      <c r="B1557" s="409" t="s">
        <v>1561</v>
      </c>
      <c r="C1557" s="408" t="s">
        <v>395</v>
      </c>
      <c r="D1557" s="408" t="s">
        <v>138</v>
      </c>
      <c r="E1557" s="604" t="s">
        <v>7768</v>
      </c>
      <c r="F1557" s="604"/>
      <c r="G1557" s="410" t="s">
        <v>6</v>
      </c>
      <c r="H1557" s="412">
        <v>1.9209000000000001</v>
      </c>
      <c r="I1557" s="412">
        <v>0</v>
      </c>
      <c r="J1557" s="411">
        <v>34.75</v>
      </c>
      <c r="K1557" s="411">
        <v>66.751275000000007</v>
      </c>
      <c r="L1557" s="166"/>
    </row>
    <row r="1558" spans="1:12" ht="15" customHeight="1" x14ac:dyDescent="0.3">
      <c r="A1558" s="408" t="s">
        <v>1034</v>
      </c>
      <c r="B1558" s="409" t="s">
        <v>1290</v>
      </c>
      <c r="C1558" s="408" t="s">
        <v>395</v>
      </c>
      <c r="D1558" s="408" t="s">
        <v>147</v>
      </c>
      <c r="E1558" s="604" t="s">
        <v>7768</v>
      </c>
      <c r="F1558" s="604"/>
      <c r="G1558" s="410" t="s">
        <v>6</v>
      </c>
      <c r="H1558" s="412">
        <v>0.98109999999999997</v>
      </c>
      <c r="I1558" s="412">
        <v>0</v>
      </c>
      <c r="J1558" s="411">
        <v>32.82</v>
      </c>
      <c r="K1558" s="411">
        <v>32.199702000000002</v>
      </c>
      <c r="L1558" s="166"/>
    </row>
    <row r="1559" spans="1:12" ht="15" x14ac:dyDescent="0.3">
      <c r="A1559" s="400" t="s">
        <v>1038</v>
      </c>
      <c r="B1559" s="401" t="s">
        <v>2349</v>
      </c>
      <c r="C1559" s="400" t="s">
        <v>395</v>
      </c>
      <c r="D1559" s="400" t="s">
        <v>268</v>
      </c>
      <c r="E1559" s="605" t="s">
        <v>1039</v>
      </c>
      <c r="F1559" s="605"/>
      <c r="G1559" s="402" t="s">
        <v>3</v>
      </c>
      <c r="H1559" s="403">
        <v>0.38440000000000002</v>
      </c>
      <c r="I1559" s="403">
        <v>0</v>
      </c>
      <c r="J1559" s="404">
        <v>38.43</v>
      </c>
      <c r="K1559" s="404">
        <v>14.772492</v>
      </c>
      <c r="L1559" s="168"/>
    </row>
    <row r="1560" spans="1:12" ht="25.5" customHeight="1" x14ac:dyDescent="0.3">
      <c r="A1560" s="400" t="s">
        <v>1038</v>
      </c>
      <c r="B1560" s="401" t="s">
        <v>2350</v>
      </c>
      <c r="C1560" s="400" t="s">
        <v>395</v>
      </c>
      <c r="D1560" s="400" t="s">
        <v>241</v>
      </c>
      <c r="E1560" s="605" t="s">
        <v>1039</v>
      </c>
      <c r="F1560" s="605"/>
      <c r="G1560" s="402" t="s">
        <v>4</v>
      </c>
      <c r="H1560" s="403">
        <v>6</v>
      </c>
      <c r="I1560" s="403">
        <v>0</v>
      </c>
      <c r="J1560" s="404">
        <v>0.61</v>
      </c>
      <c r="K1560" s="404">
        <v>3.66</v>
      </c>
      <c r="L1560" s="170"/>
    </row>
    <row r="1561" spans="1:12" ht="25.5" customHeight="1" x14ac:dyDescent="0.3">
      <c r="A1561" s="400" t="s">
        <v>1038</v>
      </c>
      <c r="B1561" s="401" t="s">
        <v>2351</v>
      </c>
      <c r="C1561" s="400" t="s">
        <v>395</v>
      </c>
      <c r="D1561" s="400" t="s">
        <v>264</v>
      </c>
      <c r="E1561" s="605" t="s">
        <v>1039</v>
      </c>
      <c r="F1561" s="605"/>
      <c r="G1561" s="402" t="s">
        <v>675</v>
      </c>
      <c r="H1561" s="403">
        <v>0.76</v>
      </c>
      <c r="I1561" s="403">
        <v>0</v>
      </c>
      <c r="J1561" s="404">
        <v>754.71</v>
      </c>
      <c r="K1561" s="404">
        <v>573.57960000000003</v>
      </c>
      <c r="L1561" s="168"/>
    </row>
    <row r="1562" spans="1:12" ht="15" customHeight="1" x14ac:dyDescent="0.3">
      <c r="A1562" s="400" t="s">
        <v>1038</v>
      </c>
      <c r="B1562" s="401" t="s">
        <v>2352</v>
      </c>
      <c r="C1562" s="400" t="s">
        <v>395</v>
      </c>
      <c r="D1562" s="400" t="s">
        <v>278</v>
      </c>
      <c r="E1562" s="605" t="s">
        <v>1039</v>
      </c>
      <c r="F1562" s="605"/>
      <c r="G1562" s="402" t="s">
        <v>3</v>
      </c>
      <c r="H1562" s="403">
        <v>1.54E-2</v>
      </c>
      <c r="I1562" s="403">
        <v>0</v>
      </c>
      <c r="J1562" s="404">
        <v>91.51</v>
      </c>
      <c r="K1562" s="404">
        <v>1.409254</v>
      </c>
      <c r="L1562" s="168"/>
    </row>
    <row r="1563" spans="1:12" ht="25.5" customHeight="1" x14ac:dyDescent="0.3">
      <c r="A1563" s="400" t="s">
        <v>1038</v>
      </c>
      <c r="B1563" s="401" t="s">
        <v>2353</v>
      </c>
      <c r="C1563" s="400" t="s">
        <v>395</v>
      </c>
      <c r="D1563" s="400" t="s">
        <v>281</v>
      </c>
      <c r="E1563" s="605" t="s">
        <v>1039</v>
      </c>
      <c r="F1563" s="605"/>
      <c r="G1563" s="402" t="s">
        <v>4</v>
      </c>
      <c r="H1563" s="403">
        <v>2</v>
      </c>
      <c r="I1563" s="403">
        <v>0</v>
      </c>
      <c r="J1563" s="404">
        <v>16.86</v>
      </c>
      <c r="K1563" s="404">
        <v>33.72</v>
      </c>
      <c r="L1563" s="168"/>
    </row>
    <row r="1564" spans="1:12" ht="25.5" customHeight="1" x14ac:dyDescent="0.3">
      <c r="A1564" s="405"/>
      <c r="B1564" s="405"/>
      <c r="C1564" s="405"/>
      <c r="D1564" s="405"/>
      <c r="E1564" s="405" t="s">
        <v>1046</v>
      </c>
      <c r="F1564" s="406">
        <v>69.319999999999993</v>
      </c>
      <c r="G1564" s="405" t="s">
        <v>1047</v>
      </c>
      <c r="H1564" s="406">
        <v>0</v>
      </c>
      <c r="I1564" s="405" t="s">
        <v>1048</v>
      </c>
      <c r="J1564" s="406">
        <v>69.319999999999993</v>
      </c>
      <c r="K1564"/>
      <c r="L1564" s="166"/>
    </row>
    <row r="1565" spans="1:12" ht="15.6" thickBot="1" x14ac:dyDescent="0.35">
      <c r="A1565" s="405"/>
      <c r="B1565" s="405"/>
      <c r="C1565" s="405"/>
      <c r="D1565" s="405"/>
      <c r="E1565" s="405" t="s">
        <v>1049</v>
      </c>
      <c r="F1565" s="406">
        <v>0</v>
      </c>
      <c r="G1565" s="405"/>
      <c r="H1565" s="606"/>
      <c r="I1565" s="606" t="s">
        <v>1050</v>
      </c>
      <c r="J1565" s="406">
        <v>726.09</v>
      </c>
      <c r="K1565"/>
      <c r="L1565" s="166"/>
    </row>
    <row r="1566" spans="1:12" ht="14.25" customHeight="1" thickTop="1" x14ac:dyDescent="0.3">
      <c r="A1566" s="407"/>
      <c r="B1566" s="407"/>
      <c r="C1566" s="407"/>
      <c r="D1566" s="407"/>
      <c r="E1566" s="407"/>
      <c r="F1566" s="407"/>
      <c r="G1566" s="407"/>
      <c r="H1566" s="407"/>
      <c r="I1566" s="407"/>
      <c r="J1566" s="407"/>
      <c r="K1566" s="407"/>
      <c r="L1566" s="168"/>
    </row>
    <row r="1567" spans="1:12" ht="15" customHeight="1" x14ac:dyDescent="0.3">
      <c r="A1567" s="382" t="s">
        <v>829</v>
      </c>
      <c r="B1567" s="312" t="s">
        <v>413</v>
      </c>
      <c r="C1567" s="382" t="s">
        <v>414</v>
      </c>
      <c r="D1567" s="382" t="s">
        <v>415</v>
      </c>
      <c r="E1567" s="586" t="s">
        <v>1029</v>
      </c>
      <c r="F1567" s="586"/>
      <c r="G1567" s="383" t="s">
        <v>416</v>
      </c>
      <c r="H1567" s="312" t="s">
        <v>1030</v>
      </c>
      <c r="I1567" s="312" t="s">
        <v>3016</v>
      </c>
      <c r="J1567" s="312" t="s">
        <v>1031</v>
      </c>
      <c r="K1567" s="312" t="s">
        <v>1032</v>
      </c>
      <c r="L1567" s="168"/>
    </row>
    <row r="1568" spans="1:12" ht="39.6" x14ac:dyDescent="0.3">
      <c r="A1568" s="313" t="s">
        <v>1033</v>
      </c>
      <c r="B1568" s="315" t="s">
        <v>1947</v>
      </c>
      <c r="C1568" s="313" t="s">
        <v>575</v>
      </c>
      <c r="D1568" s="313" t="s">
        <v>8544</v>
      </c>
      <c r="E1568" s="603" t="s">
        <v>1319</v>
      </c>
      <c r="F1568" s="603"/>
      <c r="G1568" s="314" t="s">
        <v>4</v>
      </c>
      <c r="H1568" s="399">
        <v>1</v>
      </c>
      <c r="I1568" s="316"/>
      <c r="J1568" s="316">
        <v>758.07</v>
      </c>
      <c r="K1568" s="316">
        <v>758.07</v>
      </c>
      <c r="L1568" s="168"/>
    </row>
    <row r="1569" spans="1:12" ht="15" customHeight="1" x14ac:dyDescent="0.3">
      <c r="A1569" s="408" t="s">
        <v>1034</v>
      </c>
      <c r="B1569" s="409" t="s">
        <v>1561</v>
      </c>
      <c r="C1569" s="408" t="s">
        <v>395</v>
      </c>
      <c r="D1569" s="408" t="s">
        <v>138</v>
      </c>
      <c r="E1569" s="604" t="s">
        <v>7768</v>
      </c>
      <c r="F1569" s="604"/>
      <c r="G1569" s="410" t="s">
        <v>6</v>
      </c>
      <c r="H1569" s="412">
        <v>2.2000000000000002</v>
      </c>
      <c r="I1569" s="412">
        <v>0</v>
      </c>
      <c r="J1569" s="411">
        <v>34.75</v>
      </c>
      <c r="K1569" s="411">
        <v>76.45</v>
      </c>
      <c r="L1569" s="168"/>
    </row>
    <row r="1570" spans="1:12" ht="12.75" customHeight="1" x14ac:dyDescent="0.3">
      <c r="A1570" s="408" t="s">
        <v>1034</v>
      </c>
      <c r="B1570" s="409" t="s">
        <v>1290</v>
      </c>
      <c r="C1570" s="408" t="s">
        <v>395</v>
      </c>
      <c r="D1570" s="408" t="s">
        <v>147</v>
      </c>
      <c r="E1570" s="604" t="s">
        <v>7768</v>
      </c>
      <c r="F1570" s="604"/>
      <c r="G1570" s="410" t="s">
        <v>6</v>
      </c>
      <c r="H1570" s="412">
        <v>1.2</v>
      </c>
      <c r="I1570" s="412">
        <v>0</v>
      </c>
      <c r="J1570" s="411">
        <v>32.82</v>
      </c>
      <c r="K1570" s="411">
        <v>39.384</v>
      </c>
      <c r="L1570" s="168"/>
    </row>
    <row r="1571" spans="1:12" ht="15" customHeight="1" x14ac:dyDescent="0.3">
      <c r="A1571" s="400" t="s">
        <v>1038</v>
      </c>
      <c r="B1571" s="401" t="s">
        <v>2349</v>
      </c>
      <c r="C1571" s="400" t="s">
        <v>395</v>
      </c>
      <c r="D1571" s="400" t="s">
        <v>268</v>
      </c>
      <c r="E1571" s="605" t="s">
        <v>1039</v>
      </c>
      <c r="F1571" s="605"/>
      <c r="G1571" s="402" t="s">
        <v>3</v>
      </c>
      <c r="H1571" s="403">
        <v>0.38440000000000002</v>
      </c>
      <c r="I1571" s="403">
        <v>0</v>
      </c>
      <c r="J1571" s="404">
        <v>38.43</v>
      </c>
      <c r="K1571" s="404">
        <v>14.772492</v>
      </c>
      <c r="L1571" s="166"/>
    </row>
    <row r="1572" spans="1:12" ht="30" customHeight="1" x14ac:dyDescent="0.3">
      <c r="A1572" s="400" t="s">
        <v>1038</v>
      </c>
      <c r="B1572" s="401" t="s">
        <v>2350</v>
      </c>
      <c r="C1572" s="400" t="s">
        <v>395</v>
      </c>
      <c r="D1572" s="400" t="s">
        <v>241</v>
      </c>
      <c r="E1572" s="605" t="s">
        <v>1039</v>
      </c>
      <c r="F1572" s="605"/>
      <c r="G1572" s="402" t="s">
        <v>4</v>
      </c>
      <c r="H1572" s="403">
        <v>6</v>
      </c>
      <c r="I1572" s="403">
        <v>0</v>
      </c>
      <c r="J1572" s="404">
        <v>0.61</v>
      </c>
      <c r="K1572" s="404">
        <v>3.66</v>
      </c>
      <c r="L1572" s="168"/>
    </row>
    <row r="1573" spans="1:12" ht="15" customHeight="1" x14ac:dyDescent="0.3">
      <c r="A1573" s="400" t="s">
        <v>1038</v>
      </c>
      <c r="B1573" s="401" t="s">
        <v>2351</v>
      </c>
      <c r="C1573" s="400" t="s">
        <v>395</v>
      </c>
      <c r="D1573" s="400" t="s">
        <v>264</v>
      </c>
      <c r="E1573" s="605" t="s">
        <v>1039</v>
      </c>
      <c r="F1573" s="605"/>
      <c r="G1573" s="402" t="s">
        <v>675</v>
      </c>
      <c r="H1573" s="403">
        <v>0.78</v>
      </c>
      <c r="I1573" s="403">
        <v>0</v>
      </c>
      <c r="J1573" s="404">
        <v>754.71</v>
      </c>
      <c r="K1573" s="404">
        <v>588.67380000000003</v>
      </c>
      <c r="L1573" s="168"/>
    </row>
    <row r="1574" spans="1:12" ht="25.5" customHeight="1" x14ac:dyDescent="0.3">
      <c r="A1574" s="400" t="s">
        <v>1038</v>
      </c>
      <c r="B1574" s="401" t="s">
        <v>2352</v>
      </c>
      <c r="C1574" s="400" t="s">
        <v>395</v>
      </c>
      <c r="D1574" s="400" t="s">
        <v>278</v>
      </c>
      <c r="E1574" s="605" t="s">
        <v>1039</v>
      </c>
      <c r="F1574" s="605"/>
      <c r="G1574" s="402" t="s">
        <v>3</v>
      </c>
      <c r="H1574" s="403">
        <v>1.54E-2</v>
      </c>
      <c r="I1574" s="403">
        <v>0</v>
      </c>
      <c r="J1574" s="404">
        <v>91.51</v>
      </c>
      <c r="K1574" s="404">
        <v>1.409254</v>
      </c>
      <c r="L1574" s="168"/>
    </row>
    <row r="1575" spans="1:12" ht="25.5" customHeight="1" x14ac:dyDescent="0.3">
      <c r="A1575" s="400" t="s">
        <v>1038</v>
      </c>
      <c r="B1575" s="401" t="s">
        <v>2353</v>
      </c>
      <c r="C1575" s="400" t="s">
        <v>395</v>
      </c>
      <c r="D1575" s="400" t="s">
        <v>281</v>
      </c>
      <c r="E1575" s="605" t="s">
        <v>1039</v>
      </c>
      <c r="F1575" s="605"/>
      <c r="G1575" s="402" t="s">
        <v>4</v>
      </c>
      <c r="H1575" s="403">
        <v>2</v>
      </c>
      <c r="I1575" s="403">
        <v>0</v>
      </c>
      <c r="J1575" s="404">
        <v>16.86</v>
      </c>
      <c r="K1575" s="404">
        <v>33.72</v>
      </c>
      <c r="L1575" s="166"/>
    </row>
    <row r="1576" spans="1:12" ht="30" customHeight="1" x14ac:dyDescent="0.3">
      <c r="A1576" s="405"/>
      <c r="B1576" s="405"/>
      <c r="C1576" s="405"/>
      <c r="D1576" s="405"/>
      <c r="E1576" s="405" t="s">
        <v>1046</v>
      </c>
      <c r="F1576" s="406">
        <v>81.12</v>
      </c>
      <c r="G1576" s="405" t="s">
        <v>1047</v>
      </c>
      <c r="H1576" s="406">
        <v>0</v>
      </c>
      <c r="I1576" s="405" t="s">
        <v>1048</v>
      </c>
      <c r="J1576" s="406">
        <v>81.12</v>
      </c>
      <c r="K1576"/>
      <c r="L1576" s="166"/>
    </row>
    <row r="1577" spans="1:12" ht="15" customHeight="1" thickBot="1" x14ac:dyDescent="0.35">
      <c r="A1577" s="405"/>
      <c r="B1577" s="405"/>
      <c r="C1577" s="405"/>
      <c r="D1577" s="405"/>
      <c r="E1577" s="405" t="s">
        <v>1049</v>
      </c>
      <c r="F1577" s="406">
        <v>0</v>
      </c>
      <c r="G1577" s="405"/>
      <c r="H1577" s="606"/>
      <c r="I1577" s="606" t="s">
        <v>1050</v>
      </c>
      <c r="J1577" s="406">
        <v>758.07</v>
      </c>
      <c r="K1577"/>
      <c r="L1577" s="168"/>
    </row>
    <row r="1578" spans="1:12" ht="15.6" thickTop="1" x14ac:dyDescent="0.3">
      <c r="A1578" s="407"/>
      <c r="B1578" s="407"/>
      <c r="C1578" s="407"/>
      <c r="D1578" s="407"/>
      <c r="E1578" s="407"/>
      <c r="F1578" s="407"/>
      <c r="G1578" s="407"/>
      <c r="H1578" s="407"/>
      <c r="I1578" s="407"/>
      <c r="J1578" s="407"/>
      <c r="K1578" s="407"/>
      <c r="L1578" s="168"/>
    </row>
    <row r="1579" spans="1:12" ht="15" customHeight="1" x14ac:dyDescent="0.3">
      <c r="A1579" s="382" t="s">
        <v>832</v>
      </c>
      <c r="B1579" s="312" t="s">
        <v>413</v>
      </c>
      <c r="C1579" s="382" t="s">
        <v>414</v>
      </c>
      <c r="D1579" s="382" t="s">
        <v>415</v>
      </c>
      <c r="E1579" s="586" t="s">
        <v>1029</v>
      </c>
      <c r="F1579" s="586"/>
      <c r="G1579" s="383" t="s">
        <v>416</v>
      </c>
      <c r="H1579" s="312" t="s">
        <v>1030</v>
      </c>
      <c r="I1579" s="312" t="s">
        <v>3016</v>
      </c>
      <c r="J1579" s="312" t="s">
        <v>1031</v>
      </c>
      <c r="K1579" s="312" t="s">
        <v>1032</v>
      </c>
      <c r="L1579" s="168"/>
    </row>
    <row r="1580" spans="1:12" ht="39.6" x14ac:dyDescent="0.3">
      <c r="A1580" s="313" t="s">
        <v>1033</v>
      </c>
      <c r="B1580" s="315" t="s">
        <v>1949</v>
      </c>
      <c r="C1580" s="313" t="s">
        <v>575</v>
      </c>
      <c r="D1580" s="313" t="s">
        <v>8545</v>
      </c>
      <c r="E1580" s="603" t="s">
        <v>1319</v>
      </c>
      <c r="F1580" s="603"/>
      <c r="G1580" s="314" t="s">
        <v>4</v>
      </c>
      <c r="H1580" s="399">
        <v>1</v>
      </c>
      <c r="I1580" s="316"/>
      <c r="J1580" s="316">
        <v>1841.8</v>
      </c>
      <c r="K1580" s="316">
        <v>1841.8</v>
      </c>
      <c r="L1580" s="166"/>
    </row>
    <row r="1581" spans="1:12" ht="26.4" x14ac:dyDescent="0.3">
      <c r="A1581" s="408" t="s">
        <v>1034</v>
      </c>
      <c r="B1581" s="409" t="s">
        <v>1561</v>
      </c>
      <c r="C1581" s="408" t="s">
        <v>395</v>
      </c>
      <c r="D1581" s="408" t="s">
        <v>138</v>
      </c>
      <c r="E1581" s="604" t="s">
        <v>7768</v>
      </c>
      <c r="F1581" s="604"/>
      <c r="G1581" s="410" t="s">
        <v>6</v>
      </c>
      <c r="H1581" s="412">
        <v>3.5</v>
      </c>
      <c r="I1581" s="412">
        <v>0</v>
      </c>
      <c r="J1581" s="411">
        <v>34.75</v>
      </c>
      <c r="K1581" s="411">
        <v>121.625</v>
      </c>
      <c r="L1581" s="166"/>
    </row>
    <row r="1582" spans="1:12" ht="38.25" customHeight="1" x14ac:dyDescent="0.3">
      <c r="A1582" s="408" t="s">
        <v>1034</v>
      </c>
      <c r="B1582" s="409" t="s">
        <v>1290</v>
      </c>
      <c r="C1582" s="408" t="s">
        <v>395</v>
      </c>
      <c r="D1582" s="408" t="s">
        <v>147</v>
      </c>
      <c r="E1582" s="604" t="s">
        <v>7768</v>
      </c>
      <c r="F1582" s="604"/>
      <c r="G1582" s="410" t="s">
        <v>6</v>
      </c>
      <c r="H1582" s="412">
        <v>1.8</v>
      </c>
      <c r="I1582" s="412">
        <v>0</v>
      </c>
      <c r="J1582" s="411">
        <v>32.82</v>
      </c>
      <c r="K1582" s="411">
        <v>59.076000000000001</v>
      </c>
      <c r="L1582" s="166"/>
    </row>
    <row r="1583" spans="1:12" ht="15" customHeight="1" x14ac:dyDescent="0.3">
      <c r="A1583" s="400" t="s">
        <v>1038</v>
      </c>
      <c r="B1583" s="401" t="s">
        <v>2349</v>
      </c>
      <c r="C1583" s="400" t="s">
        <v>395</v>
      </c>
      <c r="D1583" s="400" t="s">
        <v>268</v>
      </c>
      <c r="E1583" s="605" t="s">
        <v>1039</v>
      </c>
      <c r="F1583" s="605"/>
      <c r="G1583" s="402" t="s">
        <v>3</v>
      </c>
      <c r="H1583" s="403">
        <v>0.38440000000000002</v>
      </c>
      <c r="I1583" s="403">
        <v>0</v>
      </c>
      <c r="J1583" s="404">
        <v>38.43</v>
      </c>
      <c r="K1583" s="404">
        <v>14.772492</v>
      </c>
      <c r="L1583" s="166"/>
    </row>
    <row r="1584" spans="1:12" ht="25.5" customHeight="1" x14ac:dyDescent="0.3">
      <c r="A1584" s="400" t="s">
        <v>1038</v>
      </c>
      <c r="B1584" s="401" t="s">
        <v>2350</v>
      </c>
      <c r="C1584" s="400" t="s">
        <v>395</v>
      </c>
      <c r="D1584" s="400" t="s">
        <v>241</v>
      </c>
      <c r="E1584" s="605" t="s">
        <v>1039</v>
      </c>
      <c r="F1584" s="605"/>
      <c r="G1584" s="402" t="s">
        <v>4</v>
      </c>
      <c r="H1584" s="403">
        <v>6</v>
      </c>
      <c r="I1584" s="403">
        <v>0</v>
      </c>
      <c r="J1584" s="404">
        <v>0.61</v>
      </c>
      <c r="K1584" s="404">
        <v>3.66</v>
      </c>
      <c r="L1584" s="166"/>
    </row>
    <row r="1585" spans="1:12" ht="25.5" customHeight="1" x14ac:dyDescent="0.3">
      <c r="A1585" s="400" t="s">
        <v>1038</v>
      </c>
      <c r="B1585" s="401" t="s">
        <v>2351</v>
      </c>
      <c r="C1585" s="400" t="s">
        <v>395</v>
      </c>
      <c r="D1585" s="400" t="s">
        <v>264</v>
      </c>
      <c r="E1585" s="605" t="s">
        <v>1039</v>
      </c>
      <c r="F1585" s="605"/>
      <c r="G1585" s="402" t="s">
        <v>675</v>
      </c>
      <c r="H1585" s="403">
        <v>2.13</v>
      </c>
      <c r="I1585" s="403">
        <v>0</v>
      </c>
      <c r="J1585" s="404">
        <v>754.71</v>
      </c>
      <c r="K1585" s="404">
        <v>1607.5323000000001</v>
      </c>
      <c r="L1585" s="166"/>
    </row>
    <row r="1586" spans="1:12" ht="15" customHeight="1" x14ac:dyDescent="0.3">
      <c r="A1586" s="400" t="s">
        <v>1038</v>
      </c>
      <c r="B1586" s="401" t="s">
        <v>2352</v>
      </c>
      <c r="C1586" s="400" t="s">
        <v>395</v>
      </c>
      <c r="D1586" s="400" t="s">
        <v>278</v>
      </c>
      <c r="E1586" s="605" t="s">
        <v>1039</v>
      </c>
      <c r="F1586" s="605"/>
      <c r="G1586" s="402" t="s">
        <v>3</v>
      </c>
      <c r="H1586" s="403">
        <v>1.54E-2</v>
      </c>
      <c r="I1586" s="403">
        <v>0</v>
      </c>
      <c r="J1586" s="404">
        <v>91.51</v>
      </c>
      <c r="K1586" s="404">
        <v>1.409254</v>
      </c>
      <c r="L1586" s="166"/>
    </row>
    <row r="1587" spans="1:12" ht="25.5" customHeight="1" x14ac:dyDescent="0.3">
      <c r="A1587" s="400" t="s">
        <v>1038</v>
      </c>
      <c r="B1587" s="401" t="s">
        <v>2353</v>
      </c>
      <c r="C1587" s="400" t="s">
        <v>395</v>
      </c>
      <c r="D1587" s="400" t="s">
        <v>281</v>
      </c>
      <c r="E1587" s="605" t="s">
        <v>1039</v>
      </c>
      <c r="F1587" s="605"/>
      <c r="G1587" s="402" t="s">
        <v>4</v>
      </c>
      <c r="H1587" s="403">
        <v>2</v>
      </c>
      <c r="I1587" s="403">
        <v>0</v>
      </c>
      <c r="J1587" s="404">
        <v>16.86</v>
      </c>
      <c r="K1587" s="404">
        <v>33.72</v>
      </c>
      <c r="L1587" s="168"/>
    </row>
    <row r="1588" spans="1:12" ht="15" x14ac:dyDescent="0.3">
      <c r="A1588" s="405"/>
      <c r="B1588" s="405"/>
      <c r="C1588" s="405"/>
      <c r="D1588" s="405"/>
      <c r="E1588" s="405" t="s">
        <v>1046</v>
      </c>
      <c r="F1588" s="406">
        <v>126.59</v>
      </c>
      <c r="G1588" s="405" t="s">
        <v>1047</v>
      </c>
      <c r="H1588" s="406">
        <v>0</v>
      </c>
      <c r="I1588" s="405" t="s">
        <v>1048</v>
      </c>
      <c r="J1588" s="406">
        <v>126.59</v>
      </c>
      <c r="K1588"/>
      <c r="L1588" s="170"/>
    </row>
    <row r="1589" spans="1:12" ht="15.6" thickBot="1" x14ac:dyDescent="0.35">
      <c r="A1589" s="405"/>
      <c r="B1589" s="405"/>
      <c r="C1589" s="405"/>
      <c r="D1589" s="405"/>
      <c r="E1589" s="405" t="s">
        <v>1049</v>
      </c>
      <c r="F1589" s="406">
        <v>0</v>
      </c>
      <c r="G1589" s="405"/>
      <c r="H1589" s="606"/>
      <c r="I1589" s="606" t="s">
        <v>1050</v>
      </c>
      <c r="J1589" s="406">
        <v>1841.8</v>
      </c>
      <c r="K1589"/>
      <c r="L1589" s="168"/>
    </row>
    <row r="1590" spans="1:12" ht="15" customHeight="1" thickTop="1" x14ac:dyDescent="0.3">
      <c r="A1590" s="407"/>
      <c r="B1590" s="407"/>
      <c r="C1590" s="407"/>
      <c r="D1590" s="407"/>
      <c r="E1590" s="407"/>
      <c r="F1590" s="407"/>
      <c r="G1590" s="407"/>
      <c r="H1590" s="407"/>
      <c r="I1590" s="407"/>
      <c r="J1590" s="407"/>
      <c r="K1590" s="407"/>
      <c r="L1590" s="168"/>
    </row>
    <row r="1591" spans="1:12" ht="30" customHeight="1" x14ac:dyDescent="0.3">
      <c r="A1591" s="382" t="s">
        <v>836</v>
      </c>
      <c r="B1591" s="312" t="s">
        <v>413</v>
      </c>
      <c r="C1591" s="382" t="s">
        <v>414</v>
      </c>
      <c r="D1591" s="382" t="s">
        <v>415</v>
      </c>
      <c r="E1591" s="586" t="s">
        <v>1029</v>
      </c>
      <c r="F1591" s="586"/>
      <c r="G1591" s="383" t="s">
        <v>416</v>
      </c>
      <c r="H1591" s="312" t="s">
        <v>1030</v>
      </c>
      <c r="I1591" s="312" t="s">
        <v>3016</v>
      </c>
      <c r="J1591" s="312" t="s">
        <v>1031</v>
      </c>
      <c r="K1591" s="312" t="s">
        <v>1032</v>
      </c>
      <c r="L1591" s="168"/>
    </row>
    <row r="1592" spans="1:12" ht="14.25" customHeight="1" x14ac:dyDescent="0.3">
      <c r="A1592" s="313" t="s">
        <v>1033</v>
      </c>
      <c r="B1592" s="315" t="s">
        <v>1005</v>
      </c>
      <c r="C1592" s="313" t="s">
        <v>5902</v>
      </c>
      <c r="D1592" s="313" t="s">
        <v>723</v>
      </c>
      <c r="E1592" s="603">
        <v>44.03</v>
      </c>
      <c r="F1592" s="603"/>
      <c r="G1592" s="314" t="s">
        <v>4</v>
      </c>
      <c r="H1592" s="399">
        <v>1</v>
      </c>
      <c r="I1592" s="316"/>
      <c r="J1592" s="316">
        <v>67.569999999999993</v>
      </c>
      <c r="K1592" s="316">
        <v>67.569999999999993</v>
      </c>
      <c r="L1592" s="166"/>
    </row>
    <row r="1593" spans="1:12" ht="26.4" x14ac:dyDescent="0.3">
      <c r="A1593" s="400" t="s">
        <v>1038</v>
      </c>
      <c r="B1593" s="401" t="s">
        <v>1469</v>
      </c>
      <c r="C1593" s="400" t="s">
        <v>5902</v>
      </c>
      <c r="D1593" s="400" t="s">
        <v>1470</v>
      </c>
      <c r="E1593" s="605" t="s">
        <v>1053</v>
      </c>
      <c r="F1593" s="605"/>
      <c r="G1593" s="402" t="s">
        <v>6</v>
      </c>
      <c r="H1593" s="403">
        <v>0.25</v>
      </c>
      <c r="I1593" s="403">
        <v>0</v>
      </c>
      <c r="J1593" s="404">
        <v>27.64</v>
      </c>
      <c r="K1593" s="404">
        <v>6.91</v>
      </c>
      <c r="L1593" s="166"/>
    </row>
    <row r="1594" spans="1:12" ht="15" customHeight="1" x14ac:dyDescent="0.3">
      <c r="A1594" s="400" t="s">
        <v>1038</v>
      </c>
      <c r="B1594" s="401" t="s">
        <v>1497</v>
      </c>
      <c r="C1594" s="400" t="s">
        <v>5902</v>
      </c>
      <c r="D1594" s="400" t="s">
        <v>1498</v>
      </c>
      <c r="E1594" s="605" t="s">
        <v>1039</v>
      </c>
      <c r="F1594" s="605"/>
      <c r="G1594" s="402" t="s">
        <v>4</v>
      </c>
      <c r="H1594" s="403">
        <v>1</v>
      </c>
      <c r="I1594" s="403">
        <v>0</v>
      </c>
      <c r="J1594" s="404">
        <v>60.66</v>
      </c>
      <c r="K1594" s="404">
        <v>60.66</v>
      </c>
      <c r="L1594" s="168"/>
    </row>
    <row r="1595" spans="1:12" ht="25.5" customHeight="1" x14ac:dyDescent="0.3">
      <c r="A1595" s="405"/>
      <c r="B1595" s="405"/>
      <c r="C1595" s="405"/>
      <c r="D1595" s="405"/>
      <c r="E1595" s="405" t="s">
        <v>1046</v>
      </c>
      <c r="F1595" s="406">
        <v>6.91</v>
      </c>
      <c r="G1595" s="405" t="s">
        <v>1047</v>
      </c>
      <c r="H1595" s="406">
        <v>0</v>
      </c>
      <c r="I1595" s="405" t="s">
        <v>1048</v>
      </c>
      <c r="J1595" s="406">
        <v>6.91</v>
      </c>
      <c r="K1595"/>
      <c r="L1595" s="168"/>
    </row>
    <row r="1596" spans="1:12" ht="15" customHeight="1" thickBot="1" x14ac:dyDescent="0.35">
      <c r="A1596" s="405"/>
      <c r="B1596" s="405"/>
      <c r="C1596" s="405"/>
      <c r="D1596" s="405"/>
      <c r="E1596" s="405" t="s">
        <v>1049</v>
      </c>
      <c r="F1596" s="406">
        <v>0</v>
      </c>
      <c r="G1596" s="405"/>
      <c r="H1596" s="606"/>
      <c r="I1596" s="606" t="s">
        <v>1050</v>
      </c>
      <c r="J1596" s="406">
        <v>67.569999999999993</v>
      </c>
      <c r="K1596"/>
      <c r="L1596" s="168"/>
    </row>
    <row r="1597" spans="1:12" ht="15.6" thickTop="1" x14ac:dyDescent="0.3">
      <c r="A1597" s="407"/>
      <c r="B1597" s="407"/>
      <c r="C1597" s="407"/>
      <c r="D1597" s="407"/>
      <c r="E1597" s="407"/>
      <c r="F1597" s="407"/>
      <c r="G1597" s="407"/>
      <c r="H1597" s="407"/>
      <c r="I1597" s="407"/>
      <c r="J1597" s="407"/>
      <c r="K1597" s="407"/>
      <c r="L1597" s="168"/>
    </row>
    <row r="1598" spans="1:12" ht="15" x14ac:dyDescent="0.3">
      <c r="A1598" s="382" t="s">
        <v>837</v>
      </c>
      <c r="B1598" s="312" t="s">
        <v>413</v>
      </c>
      <c r="C1598" s="382" t="s">
        <v>414</v>
      </c>
      <c r="D1598" s="382" t="s">
        <v>415</v>
      </c>
      <c r="E1598" s="586" t="s">
        <v>1029</v>
      </c>
      <c r="F1598" s="586"/>
      <c r="G1598" s="383" t="s">
        <v>416</v>
      </c>
      <c r="H1598" s="312" t="s">
        <v>1030</v>
      </c>
      <c r="I1598" s="312" t="s">
        <v>3016</v>
      </c>
      <c r="J1598" s="312" t="s">
        <v>1031</v>
      </c>
      <c r="K1598" s="312" t="s">
        <v>1032</v>
      </c>
      <c r="L1598" s="168"/>
    </row>
    <row r="1599" spans="1:12" ht="12.75" customHeight="1" x14ac:dyDescent="0.3">
      <c r="A1599" s="313" t="s">
        <v>1033</v>
      </c>
      <c r="B1599" s="315" t="s">
        <v>2253</v>
      </c>
      <c r="C1599" s="313" t="s">
        <v>575</v>
      </c>
      <c r="D1599" s="313" t="s">
        <v>2103</v>
      </c>
      <c r="E1599" s="603" t="s">
        <v>1319</v>
      </c>
      <c r="F1599" s="603"/>
      <c r="G1599" s="314" t="s">
        <v>4</v>
      </c>
      <c r="H1599" s="399">
        <v>1</v>
      </c>
      <c r="I1599" s="316"/>
      <c r="J1599" s="316">
        <v>242.77</v>
      </c>
      <c r="K1599" s="316">
        <v>242.77</v>
      </c>
      <c r="L1599" s="168"/>
    </row>
    <row r="1600" spans="1:12" ht="26.4" x14ac:dyDescent="0.3">
      <c r="A1600" s="400" t="s">
        <v>1038</v>
      </c>
      <c r="B1600" s="401" t="s">
        <v>1469</v>
      </c>
      <c r="C1600" s="400" t="s">
        <v>5902</v>
      </c>
      <c r="D1600" s="400" t="s">
        <v>1470</v>
      </c>
      <c r="E1600" s="605" t="s">
        <v>1053</v>
      </c>
      <c r="F1600" s="605"/>
      <c r="G1600" s="402" t="s">
        <v>6</v>
      </c>
      <c r="H1600" s="403">
        <v>0.25</v>
      </c>
      <c r="I1600" s="403">
        <v>0</v>
      </c>
      <c r="J1600" s="404">
        <v>27.64</v>
      </c>
      <c r="K1600" s="404">
        <v>6.91</v>
      </c>
      <c r="L1600" s="168"/>
    </row>
    <row r="1601" spans="1:12" ht="25.5" customHeight="1" x14ac:dyDescent="0.3">
      <c r="A1601" s="400" t="s">
        <v>1038</v>
      </c>
      <c r="B1601" s="401" t="s">
        <v>2593</v>
      </c>
      <c r="C1601" s="400" t="s">
        <v>575</v>
      </c>
      <c r="D1601" s="400" t="s">
        <v>2103</v>
      </c>
      <c r="E1601" s="605" t="s">
        <v>1039</v>
      </c>
      <c r="F1601" s="605"/>
      <c r="G1601" s="402" t="s">
        <v>422</v>
      </c>
      <c r="H1601" s="403">
        <v>1</v>
      </c>
      <c r="I1601" s="403">
        <v>0</v>
      </c>
      <c r="J1601" s="404">
        <v>235.86</v>
      </c>
      <c r="K1601" s="404">
        <v>235.86</v>
      </c>
      <c r="L1601" s="168"/>
    </row>
    <row r="1602" spans="1:12" ht="25.5" customHeight="1" x14ac:dyDescent="0.3">
      <c r="A1602" s="405"/>
      <c r="B1602" s="405"/>
      <c r="C1602" s="405"/>
      <c r="D1602" s="405"/>
      <c r="E1602" s="405" t="s">
        <v>1046</v>
      </c>
      <c r="F1602" s="406">
        <v>6.91</v>
      </c>
      <c r="G1602" s="405" t="s">
        <v>1047</v>
      </c>
      <c r="H1602" s="406">
        <v>0</v>
      </c>
      <c r="I1602" s="405" t="s">
        <v>1048</v>
      </c>
      <c r="J1602" s="406">
        <v>6.91</v>
      </c>
      <c r="K1602"/>
      <c r="L1602" s="168"/>
    </row>
    <row r="1603" spans="1:12" ht="15" customHeight="1" thickBot="1" x14ac:dyDescent="0.35">
      <c r="A1603" s="405"/>
      <c r="B1603" s="405"/>
      <c r="C1603" s="405"/>
      <c r="D1603" s="405"/>
      <c r="E1603" s="405" t="s">
        <v>1049</v>
      </c>
      <c r="F1603" s="406">
        <v>0</v>
      </c>
      <c r="G1603" s="405"/>
      <c r="H1603" s="606"/>
      <c r="I1603" s="606" t="s">
        <v>1050</v>
      </c>
      <c r="J1603" s="406">
        <v>242.77</v>
      </c>
      <c r="K1603"/>
      <c r="L1603" s="166"/>
    </row>
    <row r="1604" spans="1:12" ht="15.6" thickTop="1" x14ac:dyDescent="0.3">
      <c r="A1604" s="407"/>
      <c r="B1604" s="407"/>
      <c r="C1604" s="407"/>
      <c r="D1604" s="407"/>
      <c r="E1604" s="407"/>
      <c r="F1604" s="407"/>
      <c r="G1604" s="407"/>
      <c r="H1604" s="407"/>
      <c r="I1604" s="407"/>
      <c r="J1604" s="407"/>
      <c r="K1604" s="407"/>
      <c r="L1604" s="168"/>
    </row>
    <row r="1605" spans="1:12" ht="30" customHeight="1" x14ac:dyDescent="0.3">
      <c r="A1605" s="382" t="s">
        <v>840</v>
      </c>
      <c r="B1605" s="312" t="s">
        <v>413</v>
      </c>
      <c r="C1605" s="382" t="s">
        <v>414</v>
      </c>
      <c r="D1605" s="382" t="s">
        <v>415</v>
      </c>
      <c r="E1605" s="586" t="s">
        <v>1029</v>
      </c>
      <c r="F1605" s="586"/>
      <c r="G1605" s="383" t="s">
        <v>416</v>
      </c>
      <c r="H1605" s="312" t="s">
        <v>1030</v>
      </c>
      <c r="I1605" s="312" t="s">
        <v>3016</v>
      </c>
      <c r="J1605" s="312" t="s">
        <v>1031</v>
      </c>
      <c r="K1605" s="312" t="s">
        <v>1032</v>
      </c>
      <c r="L1605" s="168"/>
    </row>
    <row r="1606" spans="1:12" ht="30" customHeight="1" x14ac:dyDescent="0.3">
      <c r="A1606" s="313" t="s">
        <v>1033</v>
      </c>
      <c r="B1606" s="315" t="s">
        <v>1938</v>
      </c>
      <c r="C1606" s="313" t="s">
        <v>575</v>
      </c>
      <c r="D1606" s="313" t="s">
        <v>1742</v>
      </c>
      <c r="E1606" s="603" t="s">
        <v>1319</v>
      </c>
      <c r="F1606" s="603"/>
      <c r="G1606" s="314" t="s">
        <v>4</v>
      </c>
      <c r="H1606" s="399">
        <v>1</v>
      </c>
      <c r="I1606" s="316"/>
      <c r="J1606" s="316">
        <v>126.89</v>
      </c>
      <c r="K1606" s="316">
        <v>126.89</v>
      </c>
      <c r="L1606" s="168"/>
    </row>
    <row r="1607" spans="1:12" ht="15" customHeight="1" x14ac:dyDescent="0.3">
      <c r="A1607" s="400" t="s">
        <v>1038</v>
      </c>
      <c r="B1607" s="401" t="s">
        <v>1469</v>
      </c>
      <c r="C1607" s="400" t="s">
        <v>5902</v>
      </c>
      <c r="D1607" s="400" t="s">
        <v>1470</v>
      </c>
      <c r="E1607" s="605" t="s">
        <v>1053</v>
      </c>
      <c r="F1607" s="605"/>
      <c r="G1607" s="402" t="s">
        <v>6</v>
      </c>
      <c r="H1607" s="403">
        <v>0.25</v>
      </c>
      <c r="I1607" s="403">
        <v>0</v>
      </c>
      <c r="J1607" s="404">
        <v>27.64</v>
      </c>
      <c r="K1607" s="404">
        <v>6.91</v>
      </c>
      <c r="L1607" s="166"/>
    </row>
    <row r="1608" spans="1:12" ht="15" customHeight="1" x14ac:dyDescent="0.3">
      <c r="A1608" s="400" t="s">
        <v>1038</v>
      </c>
      <c r="B1608" s="401" t="s">
        <v>2354</v>
      </c>
      <c r="C1608" s="400" t="s">
        <v>575</v>
      </c>
      <c r="D1608" s="400" t="s">
        <v>1742</v>
      </c>
      <c r="E1608" s="605" t="s">
        <v>1039</v>
      </c>
      <c r="F1608" s="605"/>
      <c r="G1608" s="402" t="s">
        <v>422</v>
      </c>
      <c r="H1608" s="403">
        <v>1</v>
      </c>
      <c r="I1608" s="403">
        <v>0</v>
      </c>
      <c r="J1608" s="404">
        <v>119.98</v>
      </c>
      <c r="K1608" s="404">
        <v>119.98</v>
      </c>
      <c r="L1608" s="166"/>
    </row>
    <row r="1609" spans="1:12" ht="25.5" customHeight="1" x14ac:dyDescent="0.3">
      <c r="A1609" s="405"/>
      <c r="B1609" s="405"/>
      <c r="C1609" s="405"/>
      <c r="D1609" s="405"/>
      <c r="E1609" s="405" t="s">
        <v>1046</v>
      </c>
      <c r="F1609" s="406">
        <v>6.91</v>
      </c>
      <c r="G1609" s="405" t="s">
        <v>1047</v>
      </c>
      <c r="H1609" s="406">
        <v>0</v>
      </c>
      <c r="I1609" s="405" t="s">
        <v>1048</v>
      </c>
      <c r="J1609" s="406">
        <v>6.91</v>
      </c>
      <c r="K1609"/>
      <c r="L1609" s="168"/>
    </row>
    <row r="1610" spans="1:12" ht="15.6" thickBot="1" x14ac:dyDescent="0.35">
      <c r="A1610" s="405"/>
      <c r="B1610" s="405"/>
      <c r="C1610" s="405"/>
      <c r="D1610" s="405"/>
      <c r="E1610" s="405" t="s">
        <v>1049</v>
      </c>
      <c r="F1610" s="406">
        <v>0</v>
      </c>
      <c r="G1610" s="405"/>
      <c r="H1610" s="606"/>
      <c r="I1610" s="606" t="s">
        <v>1050</v>
      </c>
      <c r="J1610" s="406">
        <v>126.89</v>
      </c>
      <c r="K1610"/>
      <c r="L1610" s="168"/>
    </row>
    <row r="1611" spans="1:12" ht="15.6" thickTop="1" x14ac:dyDescent="0.3">
      <c r="A1611" s="407"/>
      <c r="B1611" s="407"/>
      <c r="C1611" s="407"/>
      <c r="D1611" s="407"/>
      <c r="E1611" s="407"/>
      <c r="F1611" s="407"/>
      <c r="G1611" s="407"/>
      <c r="H1611" s="407"/>
      <c r="I1611" s="407"/>
      <c r="J1611" s="407"/>
      <c r="K1611" s="407"/>
      <c r="L1611" s="168"/>
    </row>
    <row r="1612" spans="1:12" ht="15" x14ac:dyDescent="0.3">
      <c r="A1612" s="382" t="s">
        <v>841</v>
      </c>
      <c r="B1612" s="312" t="s">
        <v>413</v>
      </c>
      <c r="C1612" s="382" t="s">
        <v>414</v>
      </c>
      <c r="D1612" s="382" t="s">
        <v>415</v>
      </c>
      <c r="E1612" s="586" t="s">
        <v>1029</v>
      </c>
      <c r="F1612" s="586"/>
      <c r="G1612" s="383" t="s">
        <v>416</v>
      </c>
      <c r="H1612" s="312" t="s">
        <v>1030</v>
      </c>
      <c r="I1612" s="312" t="s">
        <v>3016</v>
      </c>
      <c r="J1612" s="312" t="s">
        <v>1031</v>
      </c>
      <c r="K1612" s="312" t="s">
        <v>1032</v>
      </c>
      <c r="L1612" s="166"/>
    </row>
    <row r="1613" spans="1:12" ht="25.5" customHeight="1" x14ac:dyDescent="0.3">
      <c r="A1613" s="313" t="s">
        <v>1033</v>
      </c>
      <c r="B1613" s="315" t="s">
        <v>1939</v>
      </c>
      <c r="C1613" s="313" t="s">
        <v>575</v>
      </c>
      <c r="D1613" s="313" t="s">
        <v>1744</v>
      </c>
      <c r="E1613" s="603" t="s">
        <v>1319</v>
      </c>
      <c r="F1613" s="603"/>
      <c r="G1613" s="314" t="s">
        <v>4</v>
      </c>
      <c r="H1613" s="399">
        <v>1</v>
      </c>
      <c r="I1613" s="316"/>
      <c r="J1613" s="316">
        <v>152.91</v>
      </c>
      <c r="K1613" s="316">
        <v>152.91</v>
      </c>
      <c r="L1613" s="166"/>
    </row>
    <row r="1614" spans="1:12" ht="25.5" customHeight="1" x14ac:dyDescent="0.3">
      <c r="A1614" s="400" t="s">
        <v>1038</v>
      </c>
      <c r="B1614" s="401" t="s">
        <v>1469</v>
      </c>
      <c r="C1614" s="400" t="s">
        <v>5902</v>
      </c>
      <c r="D1614" s="400" t="s">
        <v>1470</v>
      </c>
      <c r="E1614" s="605" t="s">
        <v>1053</v>
      </c>
      <c r="F1614" s="605"/>
      <c r="G1614" s="402" t="s">
        <v>6</v>
      </c>
      <c r="H1614" s="403">
        <v>0.25</v>
      </c>
      <c r="I1614" s="403">
        <v>0</v>
      </c>
      <c r="J1614" s="404">
        <v>27.64</v>
      </c>
      <c r="K1614" s="404">
        <v>6.91</v>
      </c>
      <c r="L1614" s="166"/>
    </row>
    <row r="1615" spans="1:12" ht="26.4" x14ac:dyDescent="0.3">
      <c r="A1615" s="400" t="s">
        <v>1038</v>
      </c>
      <c r="B1615" s="401" t="s">
        <v>2355</v>
      </c>
      <c r="C1615" s="400" t="s">
        <v>575</v>
      </c>
      <c r="D1615" s="400" t="s">
        <v>1744</v>
      </c>
      <c r="E1615" s="605" t="s">
        <v>1039</v>
      </c>
      <c r="F1615" s="605"/>
      <c r="G1615" s="402" t="s">
        <v>422</v>
      </c>
      <c r="H1615" s="403">
        <v>1</v>
      </c>
      <c r="I1615" s="403">
        <v>0</v>
      </c>
      <c r="J1615" s="404">
        <v>146</v>
      </c>
      <c r="K1615" s="404">
        <v>146</v>
      </c>
      <c r="L1615" s="166"/>
    </row>
    <row r="1616" spans="1:12" ht="15" x14ac:dyDescent="0.3">
      <c r="A1616" s="405"/>
      <c r="B1616" s="405"/>
      <c r="C1616" s="405"/>
      <c r="D1616" s="405"/>
      <c r="E1616" s="405" t="s">
        <v>1046</v>
      </c>
      <c r="F1616" s="406">
        <v>6.91</v>
      </c>
      <c r="G1616" s="405" t="s">
        <v>1047</v>
      </c>
      <c r="H1616" s="406">
        <v>0</v>
      </c>
      <c r="I1616" s="405" t="s">
        <v>1048</v>
      </c>
      <c r="J1616" s="406">
        <v>6.91</v>
      </c>
      <c r="K1616"/>
      <c r="L1616" s="166"/>
    </row>
    <row r="1617" spans="1:12" ht="15.6" thickBot="1" x14ac:dyDescent="0.35">
      <c r="A1617" s="405"/>
      <c r="B1617" s="405"/>
      <c r="C1617" s="405"/>
      <c r="D1617" s="405"/>
      <c r="E1617" s="405" t="s">
        <v>1049</v>
      </c>
      <c r="F1617" s="406">
        <v>0</v>
      </c>
      <c r="G1617" s="405"/>
      <c r="H1617" s="606"/>
      <c r="I1617" s="606" t="s">
        <v>1050</v>
      </c>
      <c r="J1617" s="406">
        <v>152.91</v>
      </c>
      <c r="K1617"/>
      <c r="L1617" s="166"/>
    </row>
    <row r="1618" spans="1:12" ht="15" customHeight="1" thickTop="1" x14ac:dyDescent="0.3">
      <c r="A1618" s="407"/>
      <c r="B1618" s="407"/>
      <c r="C1618" s="407"/>
      <c r="D1618" s="407"/>
      <c r="E1618" s="407"/>
      <c r="F1618" s="407"/>
      <c r="G1618" s="407"/>
      <c r="H1618" s="407"/>
      <c r="I1618" s="407"/>
      <c r="J1618" s="407"/>
      <c r="K1618" s="407"/>
      <c r="L1618" s="166"/>
    </row>
    <row r="1619" spans="1:12" ht="25.5" customHeight="1" x14ac:dyDescent="0.3">
      <c r="A1619" s="382" t="s">
        <v>844</v>
      </c>
      <c r="B1619" s="312" t="s">
        <v>413</v>
      </c>
      <c r="C1619" s="382" t="s">
        <v>414</v>
      </c>
      <c r="D1619" s="382" t="s">
        <v>415</v>
      </c>
      <c r="E1619" s="586" t="s">
        <v>1029</v>
      </c>
      <c r="F1619" s="586"/>
      <c r="G1619" s="383" t="s">
        <v>416</v>
      </c>
      <c r="H1619" s="312" t="s">
        <v>1030</v>
      </c>
      <c r="I1619" s="312" t="s">
        <v>3016</v>
      </c>
      <c r="J1619" s="312" t="s">
        <v>1031</v>
      </c>
      <c r="K1619" s="312" t="s">
        <v>1032</v>
      </c>
      <c r="L1619" s="168"/>
    </row>
    <row r="1620" spans="1:12" ht="15" customHeight="1" x14ac:dyDescent="0.3">
      <c r="A1620" s="313" t="s">
        <v>1033</v>
      </c>
      <c r="B1620" s="315" t="s">
        <v>1941</v>
      </c>
      <c r="C1620" s="313" t="s">
        <v>575</v>
      </c>
      <c r="D1620" s="313" t="s">
        <v>1746</v>
      </c>
      <c r="E1620" s="603" t="s">
        <v>1319</v>
      </c>
      <c r="F1620" s="603"/>
      <c r="G1620" s="314" t="s">
        <v>422</v>
      </c>
      <c r="H1620" s="399">
        <v>1</v>
      </c>
      <c r="I1620" s="316"/>
      <c r="J1620" s="316">
        <v>238.93</v>
      </c>
      <c r="K1620" s="316">
        <v>238.93</v>
      </c>
      <c r="L1620" s="170"/>
    </row>
    <row r="1621" spans="1:12" ht="26.4" x14ac:dyDescent="0.3">
      <c r="A1621" s="408" t="s">
        <v>1034</v>
      </c>
      <c r="B1621" s="409" t="s">
        <v>1180</v>
      </c>
      <c r="C1621" s="408" t="s">
        <v>420</v>
      </c>
      <c r="D1621" s="408" t="s">
        <v>1181</v>
      </c>
      <c r="E1621" s="604" t="s">
        <v>1069</v>
      </c>
      <c r="F1621" s="604"/>
      <c r="G1621" s="410" t="s">
        <v>1070</v>
      </c>
      <c r="H1621" s="412">
        <v>0.5</v>
      </c>
      <c r="I1621" s="412">
        <v>0</v>
      </c>
      <c r="J1621" s="411">
        <v>3.91</v>
      </c>
      <c r="K1621" s="411">
        <v>1.9550000000000001</v>
      </c>
      <c r="L1621" s="168"/>
    </row>
    <row r="1622" spans="1:12" ht="15" customHeight="1" x14ac:dyDescent="0.3">
      <c r="A1622" s="400" t="s">
        <v>1038</v>
      </c>
      <c r="B1622" s="401" t="s">
        <v>1184</v>
      </c>
      <c r="C1622" s="400" t="s">
        <v>395</v>
      </c>
      <c r="D1622" s="400" t="s">
        <v>405</v>
      </c>
      <c r="E1622" s="605" t="s">
        <v>1053</v>
      </c>
      <c r="F1622" s="605"/>
      <c r="G1622" s="402" t="s">
        <v>6</v>
      </c>
      <c r="H1622" s="403">
        <v>0.5</v>
      </c>
      <c r="I1622" s="403">
        <v>0</v>
      </c>
      <c r="J1622" s="404">
        <v>30.04</v>
      </c>
      <c r="K1622" s="404">
        <v>15.02</v>
      </c>
      <c r="L1622" s="168"/>
    </row>
    <row r="1623" spans="1:12" ht="30" customHeight="1" x14ac:dyDescent="0.3">
      <c r="A1623" s="400" t="s">
        <v>1038</v>
      </c>
      <c r="B1623" s="401" t="s">
        <v>2356</v>
      </c>
      <c r="C1623" s="400" t="s">
        <v>575</v>
      </c>
      <c r="D1623" s="400" t="s">
        <v>1746</v>
      </c>
      <c r="E1623" s="605" t="s">
        <v>1039</v>
      </c>
      <c r="F1623" s="605"/>
      <c r="G1623" s="402" t="s">
        <v>422</v>
      </c>
      <c r="H1623" s="403">
        <v>1</v>
      </c>
      <c r="I1623" s="403">
        <v>0</v>
      </c>
      <c r="J1623" s="404">
        <v>221.95</v>
      </c>
      <c r="K1623" s="404">
        <v>221.95</v>
      </c>
      <c r="L1623" s="168"/>
    </row>
    <row r="1624" spans="1:12" ht="14.25" customHeight="1" x14ac:dyDescent="0.3">
      <c r="A1624" s="405"/>
      <c r="B1624" s="405"/>
      <c r="C1624" s="405"/>
      <c r="D1624" s="405"/>
      <c r="E1624" s="405" t="s">
        <v>1046</v>
      </c>
      <c r="F1624" s="406">
        <v>15.02</v>
      </c>
      <c r="G1624" s="405" t="s">
        <v>1047</v>
      </c>
      <c r="H1624" s="406">
        <v>0</v>
      </c>
      <c r="I1624" s="405" t="s">
        <v>1048</v>
      </c>
      <c r="J1624" s="406">
        <v>15.02</v>
      </c>
      <c r="K1624"/>
      <c r="L1624" s="166"/>
    </row>
    <row r="1625" spans="1:12" ht="25.5" customHeight="1" thickBot="1" x14ac:dyDescent="0.35">
      <c r="A1625" s="405"/>
      <c r="B1625" s="405"/>
      <c r="C1625" s="405"/>
      <c r="D1625" s="405"/>
      <c r="E1625" s="405" t="s">
        <v>1049</v>
      </c>
      <c r="F1625" s="406">
        <v>0</v>
      </c>
      <c r="G1625" s="405"/>
      <c r="H1625" s="606"/>
      <c r="I1625" s="606" t="s">
        <v>1050</v>
      </c>
      <c r="J1625" s="406">
        <v>238.93</v>
      </c>
      <c r="K1625"/>
      <c r="L1625" s="166"/>
    </row>
    <row r="1626" spans="1:12" ht="25.5" customHeight="1" thickTop="1" x14ac:dyDescent="0.3">
      <c r="A1626" s="407"/>
      <c r="B1626" s="407"/>
      <c r="C1626" s="407"/>
      <c r="D1626" s="407"/>
      <c r="E1626" s="407"/>
      <c r="F1626" s="407"/>
      <c r="G1626" s="407"/>
      <c r="H1626" s="407"/>
      <c r="I1626" s="407"/>
      <c r="J1626" s="407"/>
      <c r="K1626" s="407"/>
      <c r="L1626" s="168"/>
    </row>
    <row r="1627" spans="1:12" ht="15" customHeight="1" x14ac:dyDescent="0.3">
      <c r="A1627" s="382" t="s">
        <v>850</v>
      </c>
      <c r="B1627" s="312" t="s">
        <v>413</v>
      </c>
      <c r="C1627" s="382" t="s">
        <v>414</v>
      </c>
      <c r="D1627" s="382" t="s">
        <v>415</v>
      </c>
      <c r="E1627" s="586" t="s">
        <v>1029</v>
      </c>
      <c r="F1627" s="586"/>
      <c r="G1627" s="383" t="s">
        <v>416</v>
      </c>
      <c r="H1627" s="312" t="s">
        <v>1030</v>
      </c>
      <c r="I1627" s="312" t="s">
        <v>3016</v>
      </c>
      <c r="J1627" s="312" t="s">
        <v>1031</v>
      </c>
      <c r="K1627" s="312" t="s">
        <v>1032</v>
      </c>
      <c r="L1627" s="168"/>
    </row>
    <row r="1628" spans="1:12" ht="26.4" x14ac:dyDescent="0.3">
      <c r="A1628" s="313" t="s">
        <v>1033</v>
      </c>
      <c r="B1628" s="315" t="s">
        <v>2128</v>
      </c>
      <c r="C1628" s="313" t="s">
        <v>5902</v>
      </c>
      <c r="D1628" s="313" t="s">
        <v>1748</v>
      </c>
      <c r="E1628" s="603">
        <v>44.03</v>
      </c>
      <c r="F1628" s="603"/>
      <c r="G1628" s="314" t="s">
        <v>4</v>
      </c>
      <c r="H1628" s="399">
        <v>1</v>
      </c>
      <c r="I1628" s="316"/>
      <c r="J1628" s="316">
        <v>77.459999999999994</v>
      </c>
      <c r="K1628" s="316">
        <v>77.459999999999994</v>
      </c>
      <c r="L1628" s="168"/>
    </row>
    <row r="1629" spans="1:12" ht="26.4" x14ac:dyDescent="0.3">
      <c r="A1629" s="400" t="s">
        <v>1038</v>
      </c>
      <c r="B1629" s="401" t="s">
        <v>1469</v>
      </c>
      <c r="C1629" s="400" t="s">
        <v>5902</v>
      </c>
      <c r="D1629" s="400" t="s">
        <v>1470</v>
      </c>
      <c r="E1629" s="605" t="s">
        <v>1053</v>
      </c>
      <c r="F1629" s="605"/>
      <c r="G1629" s="402" t="s">
        <v>6</v>
      </c>
      <c r="H1629" s="403">
        <v>0.25</v>
      </c>
      <c r="I1629" s="403">
        <v>0</v>
      </c>
      <c r="J1629" s="404">
        <v>27.64</v>
      </c>
      <c r="K1629" s="404">
        <v>6.91</v>
      </c>
      <c r="L1629" s="168"/>
    </row>
    <row r="1630" spans="1:12" ht="15" customHeight="1" x14ac:dyDescent="0.3">
      <c r="A1630" s="400" t="s">
        <v>1038</v>
      </c>
      <c r="B1630" s="401" t="s">
        <v>2357</v>
      </c>
      <c r="C1630" s="400" t="s">
        <v>5902</v>
      </c>
      <c r="D1630" s="400" t="s">
        <v>2358</v>
      </c>
      <c r="E1630" s="605" t="s">
        <v>1039</v>
      </c>
      <c r="F1630" s="605"/>
      <c r="G1630" s="402" t="s">
        <v>4</v>
      </c>
      <c r="H1630" s="403">
        <v>1</v>
      </c>
      <c r="I1630" s="403">
        <v>0</v>
      </c>
      <c r="J1630" s="404">
        <v>70.55</v>
      </c>
      <c r="K1630" s="404">
        <v>70.55</v>
      </c>
      <c r="L1630" s="168"/>
    </row>
    <row r="1631" spans="1:12" ht="15" customHeight="1" x14ac:dyDescent="0.3">
      <c r="A1631" s="405"/>
      <c r="B1631" s="405"/>
      <c r="C1631" s="405"/>
      <c r="D1631" s="405"/>
      <c r="E1631" s="405" t="s">
        <v>1046</v>
      </c>
      <c r="F1631" s="406">
        <v>6.91</v>
      </c>
      <c r="G1631" s="405" t="s">
        <v>1047</v>
      </c>
      <c r="H1631" s="406">
        <v>0</v>
      </c>
      <c r="I1631" s="405" t="s">
        <v>1048</v>
      </c>
      <c r="J1631" s="406">
        <v>6.91</v>
      </c>
      <c r="K1631"/>
      <c r="L1631" s="168"/>
    </row>
    <row r="1632" spans="1:12" ht="15" customHeight="1" thickBot="1" x14ac:dyDescent="0.35">
      <c r="A1632" s="405"/>
      <c r="B1632" s="405"/>
      <c r="C1632" s="405"/>
      <c r="D1632" s="405"/>
      <c r="E1632" s="405" t="s">
        <v>1049</v>
      </c>
      <c r="F1632" s="406">
        <v>0</v>
      </c>
      <c r="G1632" s="405"/>
      <c r="H1632" s="606"/>
      <c r="I1632" s="606" t="s">
        <v>1050</v>
      </c>
      <c r="J1632" s="406">
        <v>77.459999999999994</v>
      </c>
      <c r="K1632"/>
      <c r="L1632" s="168"/>
    </row>
    <row r="1633" spans="1:12" ht="25.5" customHeight="1" thickTop="1" x14ac:dyDescent="0.3">
      <c r="A1633" s="407"/>
      <c r="B1633" s="407"/>
      <c r="C1633" s="407"/>
      <c r="D1633" s="407"/>
      <c r="E1633" s="407"/>
      <c r="F1633" s="407"/>
      <c r="G1633" s="407"/>
      <c r="H1633" s="407"/>
      <c r="I1633" s="407"/>
      <c r="J1633" s="407"/>
      <c r="K1633" s="407"/>
      <c r="L1633" s="168"/>
    </row>
    <row r="1634" spans="1:12" ht="15" x14ac:dyDescent="0.3">
      <c r="A1634" s="382" t="s">
        <v>854</v>
      </c>
      <c r="B1634" s="312" t="s">
        <v>413</v>
      </c>
      <c r="C1634" s="382" t="s">
        <v>414</v>
      </c>
      <c r="D1634" s="382" t="s">
        <v>415</v>
      </c>
      <c r="E1634" s="586" t="s">
        <v>1029</v>
      </c>
      <c r="F1634" s="586"/>
      <c r="G1634" s="383" t="s">
        <v>416</v>
      </c>
      <c r="H1634" s="312" t="s">
        <v>1030</v>
      </c>
      <c r="I1634" s="312" t="s">
        <v>3016</v>
      </c>
      <c r="J1634" s="312" t="s">
        <v>1031</v>
      </c>
      <c r="K1634" s="312" t="s">
        <v>1032</v>
      </c>
      <c r="L1634" s="168"/>
    </row>
    <row r="1635" spans="1:12" ht="17.399999999999999" customHeight="1" x14ac:dyDescent="0.3">
      <c r="A1635" s="313" t="s">
        <v>1033</v>
      </c>
      <c r="B1635" s="315" t="s">
        <v>2125</v>
      </c>
      <c r="C1635" s="313" t="s">
        <v>408</v>
      </c>
      <c r="D1635" s="313" t="s">
        <v>1732</v>
      </c>
      <c r="E1635" s="603" t="s">
        <v>343</v>
      </c>
      <c r="F1635" s="603"/>
      <c r="G1635" s="314" t="s">
        <v>4</v>
      </c>
      <c r="H1635" s="399">
        <v>1</v>
      </c>
      <c r="I1635" s="316"/>
      <c r="J1635" s="316">
        <v>683.38</v>
      </c>
      <c r="K1635" s="316">
        <v>683.38</v>
      </c>
      <c r="L1635" s="166"/>
    </row>
    <row r="1636" spans="1:12" ht="15" customHeight="1" x14ac:dyDescent="0.3">
      <c r="A1636" s="400" t="s">
        <v>1038</v>
      </c>
      <c r="B1636" s="401" t="s">
        <v>1114</v>
      </c>
      <c r="C1636" s="400" t="s">
        <v>408</v>
      </c>
      <c r="D1636" s="400" t="s">
        <v>1115</v>
      </c>
      <c r="E1636" s="605" t="s">
        <v>1039</v>
      </c>
      <c r="F1636" s="605"/>
      <c r="G1636" s="402" t="s">
        <v>7</v>
      </c>
      <c r="H1636" s="403">
        <v>0.4</v>
      </c>
      <c r="I1636" s="403">
        <v>0</v>
      </c>
      <c r="J1636" s="404">
        <v>0.23</v>
      </c>
      <c r="K1636" s="404">
        <v>9.1999999999999998E-2</v>
      </c>
      <c r="L1636" s="168"/>
    </row>
    <row r="1637" spans="1:12" ht="25.5" customHeight="1" x14ac:dyDescent="0.3">
      <c r="A1637" s="400" t="s">
        <v>1038</v>
      </c>
      <c r="B1637" s="401" t="s">
        <v>2339</v>
      </c>
      <c r="C1637" s="400" t="s">
        <v>408</v>
      </c>
      <c r="D1637" s="400" t="s">
        <v>2340</v>
      </c>
      <c r="E1637" s="605" t="s">
        <v>1039</v>
      </c>
      <c r="F1637" s="605"/>
      <c r="G1637" s="402" t="s">
        <v>4</v>
      </c>
      <c r="H1637" s="403">
        <v>1</v>
      </c>
      <c r="I1637" s="403">
        <v>0</v>
      </c>
      <c r="J1637" s="404">
        <v>664.9</v>
      </c>
      <c r="K1637" s="404">
        <v>664.9</v>
      </c>
      <c r="L1637" s="168"/>
    </row>
    <row r="1638" spans="1:12" ht="25.5" customHeight="1" x14ac:dyDescent="0.3">
      <c r="A1638" s="400" t="s">
        <v>1038</v>
      </c>
      <c r="B1638" s="401" t="s">
        <v>6301</v>
      </c>
      <c r="C1638" s="400" t="s">
        <v>408</v>
      </c>
      <c r="D1638" s="400" t="s">
        <v>6302</v>
      </c>
      <c r="E1638" s="605" t="s">
        <v>1053</v>
      </c>
      <c r="F1638" s="605"/>
      <c r="G1638" s="402" t="s">
        <v>6</v>
      </c>
      <c r="H1638" s="403">
        <v>0.3</v>
      </c>
      <c r="I1638" s="403">
        <v>0</v>
      </c>
      <c r="J1638" s="404">
        <v>21.59</v>
      </c>
      <c r="K1638" s="404">
        <v>6.4770000000000003</v>
      </c>
      <c r="L1638" s="168"/>
    </row>
    <row r="1639" spans="1:12" ht="30" customHeight="1" x14ac:dyDescent="0.3">
      <c r="A1639" s="400" t="s">
        <v>1038</v>
      </c>
      <c r="B1639" s="401" t="s">
        <v>6235</v>
      </c>
      <c r="C1639" s="400" t="s">
        <v>408</v>
      </c>
      <c r="D1639" s="400" t="s">
        <v>6236</v>
      </c>
      <c r="E1639" s="605" t="s">
        <v>1053</v>
      </c>
      <c r="F1639" s="605"/>
      <c r="G1639" s="402" t="s">
        <v>6</v>
      </c>
      <c r="H1639" s="403">
        <v>0.42</v>
      </c>
      <c r="I1639" s="403">
        <v>0</v>
      </c>
      <c r="J1639" s="404">
        <v>28.35</v>
      </c>
      <c r="K1639" s="404">
        <v>11.907</v>
      </c>
      <c r="L1639" s="166"/>
    </row>
    <row r="1640" spans="1:12" ht="15" customHeight="1" x14ac:dyDescent="0.3">
      <c r="A1640" s="405"/>
      <c r="B1640" s="405"/>
      <c r="C1640" s="405"/>
      <c r="D1640" s="405"/>
      <c r="E1640" s="405" t="s">
        <v>1046</v>
      </c>
      <c r="F1640" s="406">
        <v>18.39</v>
      </c>
      <c r="G1640" s="405" t="s">
        <v>1047</v>
      </c>
      <c r="H1640" s="406">
        <v>0</v>
      </c>
      <c r="I1640" s="405" t="s">
        <v>1048</v>
      </c>
      <c r="J1640" s="406">
        <v>18.39</v>
      </c>
      <c r="K1640"/>
      <c r="L1640" s="166"/>
    </row>
    <row r="1641" spans="1:12" ht="25.5" customHeight="1" thickBot="1" x14ac:dyDescent="0.35">
      <c r="A1641" s="405"/>
      <c r="B1641" s="405"/>
      <c r="C1641" s="405"/>
      <c r="D1641" s="405"/>
      <c r="E1641" s="405" t="s">
        <v>1049</v>
      </c>
      <c r="F1641" s="406">
        <v>0</v>
      </c>
      <c r="G1641" s="405"/>
      <c r="H1641" s="606"/>
      <c r="I1641" s="606" t="s">
        <v>1050</v>
      </c>
      <c r="J1641" s="406">
        <v>683.38</v>
      </c>
      <c r="K1641"/>
      <c r="L1641" s="168"/>
    </row>
    <row r="1642" spans="1:12" ht="25.5" customHeight="1" thickTop="1" x14ac:dyDescent="0.3">
      <c r="A1642" s="407"/>
      <c r="B1642" s="407"/>
      <c r="C1642" s="407"/>
      <c r="D1642" s="407"/>
      <c r="E1642" s="407"/>
      <c r="F1642" s="407"/>
      <c r="G1642" s="407"/>
      <c r="H1642" s="407"/>
      <c r="I1642" s="407"/>
      <c r="J1642" s="407"/>
      <c r="K1642" s="407"/>
      <c r="L1642" s="168"/>
    </row>
    <row r="1643" spans="1:12" ht="17.399999999999999" customHeight="1" x14ac:dyDescent="0.3">
      <c r="A1643" s="382" t="s">
        <v>857</v>
      </c>
      <c r="B1643" s="312" t="s">
        <v>413</v>
      </c>
      <c r="C1643" s="382" t="s">
        <v>414</v>
      </c>
      <c r="D1643" s="382" t="s">
        <v>415</v>
      </c>
      <c r="E1643" s="586" t="s">
        <v>1029</v>
      </c>
      <c r="F1643" s="586"/>
      <c r="G1643" s="383" t="s">
        <v>416</v>
      </c>
      <c r="H1643" s="312" t="s">
        <v>1030</v>
      </c>
      <c r="I1643" s="312" t="s">
        <v>3016</v>
      </c>
      <c r="J1643" s="312" t="s">
        <v>1031</v>
      </c>
      <c r="K1643" s="312" t="s">
        <v>1032</v>
      </c>
      <c r="L1643" s="168"/>
    </row>
    <row r="1644" spans="1:12" ht="15" customHeight="1" x14ac:dyDescent="0.3">
      <c r="A1644" s="313" t="s">
        <v>1033</v>
      </c>
      <c r="B1644" s="315" t="s">
        <v>2129</v>
      </c>
      <c r="C1644" s="313" t="s">
        <v>5902</v>
      </c>
      <c r="D1644" s="313" t="s">
        <v>1750</v>
      </c>
      <c r="E1644" s="603">
        <v>44.03</v>
      </c>
      <c r="F1644" s="603"/>
      <c r="G1644" s="314" t="s">
        <v>4</v>
      </c>
      <c r="H1644" s="399">
        <v>1</v>
      </c>
      <c r="I1644" s="316"/>
      <c r="J1644" s="316">
        <v>502.49</v>
      </c>
      <c r="K1644" s="316">
        <v>502.49</v>
      </c>
      <c r="L1644" s="166"/>
    </row>
    <row r="1645" spans="1:12" ht="14.25" customHeight="1" x14ac:dyDescent="0.3">
      <c r="A1645" s="400" t="s">
        <v>1038</v>
      </c>
      <c r="B1645" s="401" t="s">
        <v>1358</v>
      </c>
      <c r="C1645" s="400" t="s">
        <v>5902</v>
      </c>
      <c r="D1645" s="400" t="s">
        <v>1359</v>
      </c>
      <c r="E1645" s="605" t="s">
        <v>1053</v>
      </c>
      <c r="F1645" s="605"/>
      <c r="G1645" s="402" t="s">
        <v>6</v>
      </c>
      <c r="H1645" s="403">
        <v>0.5</v>
      </c>
      <c r="I1645" s="403">
        <v>0</v>
      </c>
      <c r="J1645" s="404">
        <v>22.71</v>
      </c>
      <c r="K1645" s="404">
        <v>11.355</v>
      </c>
      <c r="L1645" s="166"/>
    </row>
    <row r="1646" spans="1:12" ht="15" customHeight="1" x14ac:dyDescent="0.3">
      <c r="A1646" s="400" t="s">
        <v>1038</v>
      </c>
      <c r="B1646" s="401" t="s">
        <v>1360</v>
      </c>
      <c r="C1646" s="400" t="s">
        <v>5902</v>
      </c>
      <c r="D1646" s="400" t="s">
        <v>1361</v>
      </c>
      <c r="E1646" s="605" t="s">
        <v>1053</v>
      </c>
      <c r="F1646" s="605"/>
      <c r="G1646" s="402" t="s">
        <v>6</v>
      </c>
      <c r="H1646" s="403">
        <v>0.5</v>
      </c>
      <c r="I1646" s="403">
        <v>0</v>
      </c>
      <c r="J1646" s="404">
        <v>33.119999999999997</v>
      </c>
      <c r="K1646" s="404">
        <v>16.559999999999999</v>
      </c>
      <c r="L1646" s="166"/>
    </row>
    <row r="1647" spans="1:12" ht="30" customHeight="1" x14ac:dyDescent="0.3">
      <c r="A1647" s="400" t="s">
        <v>1038</v>
      </c>
      <c r="B1647" s="401" t="s">
        <v>1310</v>
      </c>
      <c r="C1647" s="400" t="s">
        <v>5902</v>
      </c>
      <c r="D1647" s="400" t="s">
        <v>1311</v>
      </c>
      <c r="E1647" s="605" t="s">
        <v>1039</v>
      </c>
      <c r="F1647" s="605"/>
      <c r="G1647" s="402" t="s">
        <v>7</v>
      </c>
      <c r="H1647" s="403">
        <v>0.28000000000000003</v>
      </c>
      <c r="I1647" s="403">
        <v>0</v>
      </c>
      <c r="J1647" s="404">
        <v>0.2</v>
      </c>
      <c r="K1647" s="404">
        <v>5.6000000000000001E-2</v>
      </c>
      <c r="L1647" s="166"/>
    </row>
    <row r="1648" spans="1:12" ht="15" customHeight="1" x14ac:dyDescent="0.3">
      <c r="A1648" s="400" t="s">
        <v>1038</v>
      </c>
      <c r="B1648" s="401" t="s">
        <v>2359</v>
      </c>
      <c r="C1648" s="400" t="s">
        <v>5902</v>
      </c>
      <c r="D1648" s="400" t="s">
        <v>2360</v>
      </c>
      <c r="E1648" s="605" t="s">
        <v>1039</v>
      </c>
      <c r="F1648" s="605"/>
      <c r="G1648" s="402" t="s">
        <v>4</v>
      </c>
      <c r="H1648" s="403">
        <v>1</v>
      </c>
      <c r="I1648" s="403">
        <v>0</v>
      </c>
      <c r="J1648" s="404">
        <v>474.52</v>
      </c>
      <c r="K1648" s="404">
        <v>474.52</v>
      </c>
      <c r="L1648" s="166"/>
    </row>
    <row r="1649" spans="1:12" ht="15" customHeight="1" x14ac:dyDescent="0.3">
      <c r="A1649" s="405"/>
      <c r="B1649" s="405"/>
      <c r="C1649" s="405"/>
      <c r="D1649" s="405"/>
      <c r="E1649" s="405" t="s">
        <v>1046</v>
      </c>
      <c r="F1649" s="406">
        <v>27.92</v>
      </c>
      <c r="G1649" s="405" t="s">
        <v>1047</v>
      </c>
      <c r="H1649" s="406">
        <v>0</v>
      </c>
      <c r="I1649" s="405" t="s">
        <v>1048</v>
      </c>
      <c r="J1649" s="406">
        <v>27.92</v>
      </c>
      <c r="K1649"/>
      <c r="L1649" s="166"/>
    </row>
    <row r="1650" spans="1:12" ht="25.5" customHeight="1" thickBot="1" x14ac:dyDescent="0.35">
      <c r="A1650" s="405"/>
      <c r="B1650" s="405"/>
      <c r="C1650" s="405"/>
      <c r="D1650" s="405"/>
      <c r="E1650" s="405" t="s">
        <v>1049</v>
      </c>
      <c r="F1650" s="406">
        <v>0</v>
      </c>
      <c r="G1650" s="405"/>
      <c r="H1650" s="606"/>
      <c r="I1650" s="606" t="s">
        <v>1050</v>
      </c>
      <c r="J1650" s="406">
        <v>502.49</v>
      </c>
      <c r="K1650"/>
      <c r="L1650" s="166"/>
    </row>
    <row r="1651" spans="1:12" ht="25.5" customHeight="1" thickTop="1" x14ac:dyDescent="0.3">
      <c r="A1651" s="407"/>
      <c r="B1651" s="407"/>
      <c r="C1651" s="407"/>
      <c r="D1651" s="407"/>
      <c r="E1651" s="407"/>
      <c r="F1651" s="407"/>
      <c r="G1651" s="407"/>
      <c r="H1651" s="407"/>
      <c r="I1651" s="407"/>
      <c r="J1651" s="407"/>
      <c r="K1651" s="407"/>
      <c r="L1651" s="168"/>
    </row>
    <row r="1652" spans="1:12" ht="15" x14ac:dyDescent="0.3">
      <c r="A1652" s="382" t="s">
        <v>1641</v>
      </c>
      <c r="B1652" s="312" t="s">
        <v>413</v>
      </c>
      <c r="C1652" s="382" t="s">
        <v>414</v>
      </c>
      <c r="D1652" s="382" t="s">
        <v>415</v>
      </c>
      <c r="E1652" s="586" t="s">
        <v>1029</v>
      </c>
      <c r="F1652" s="586"/>
      <c r="G1652" s="383" t="s">
        <v>416</v>
      </c>
      <c r="H1652" s="312" t="s">
        <v>1030</v>
      </c>
      <c r="I1652" s="312" t="s">
        <v>3016</v>
      </c>
      <c r="J1652" s="312" t="s">
        <v>1031</v>
      </c>
      <c r="K1652" s="312" t="s">
        <v>1032</v>
      </c>
      <c r="L1652" s="170"/>
    </row>
    <row r="1653" spans="1:12" ht="15" customHeight="1" x14ac:dyDescent="0.3">
      <c r="A1653" s="313" t="s">
        <v>1033</v>
      </c>
      <c r="B1653" s="315" t="s">
        <v>3821</v>
      </c>
      <c r="C1653" s="313" t="s">
        <v>395</v>
      </c>
      <c r="D1653" s="313" t="s">
        <v>5934</v>
      </c>
      <c r="E1653" s="603" t="s">
        <v>7862</v>
      </c>
      <c r="F1653" s="603"/>
      <c r="G1653" s="314" t="s">
        <v>4</v>
      </c>
      <c r="H1653" s="399">
        <v>1</v>
      </c>
      <c r="I1653" s="316"/>
      <c r="J1653" s="316">
        <v>297.67</v>
      </c>
      <c r="K1653" s="316">
        <v>297.67</v>
      </c>
      <c r="L1653" s="168"/>
    </row>
    <row r="1654" spans="1:12" ht="15" customHeight="1" x14ac:dyDescent="0.3">
      <c r="A1654" s="408" t="s">
        <v>1034</v>
      </c>
      <c r="B1654" s="409" t="s">
        <v>1112</v>
      </c>
      <c r="C1654" s="408" t="s">
        <v>395</v>
      </c>
      <c r="D1654" s="408" t="s">
        <v>137</v>
      </c>
      <c r="E1654" s="604" t="s">
        <v>7768</v>
      </c>
      <c r="F1654" s="604"/>
      <c r="G1654" s="410" t="s">
        <v>6</v>
      </c>
      <c r="H1654" s="412">
        <v>1.128414</v>
      </c>
      <c r="I1654" s="412">
        <v>0</v>
      </c>
      <c r="J1654" s="411">
        <v>40.299999999999997</v>
      </c>
      <c r="K1654" s="411">
        <v>45.475084199999998</v>
      </c>
      <c r="L1654" s="168"/>
    </row>
    <row r="1655" spans="1:12" ht="30" customHeight="1" x14ac:dyDescent="0.3">
      <c r="A1655" s="408" t="s">
        <v>1034</v>
      </c>
      <c r="B1655" s="409" t="s">
        <v>1290</v>
      </c>
      <c r="C1655" s="408" t="s">
        <v>395</v>
      </c>
      <c r="D1655" s="408" t="s">
        <v>147</v>
      </c>
      <c r="E1655" s="604" t="s">
        <v>7768</v>
      </c>
      <c r="F1655" s="604"/>
      <c r="G1655" s="410" t="s">
        <v>6</v>
      </c>
      <c r="H1655" s="412">
        <v>0.43312859999999997</v>
      </c>
      <c r="I1655" s="412">
        <v>0</v>
      </c>
      <c r="J1655" s="411">
        <v>32.82</v>
      </c>
      <c r="K1655" s="411">
        <v>14.215280699999999</v>
      </c>
      <c r="L1655" s="168"/>
    </row>
    <row r="1656" spans="1:12" ht="30" customHeight="1" x14ac:dyDescent="0.3">
      <c r="A1656" s="400" t="s">
        <v>1038</v>
      </c>
      <c r="B1656" s="401" t="s">
        <v>4156</v>
      </c>
      <c r="C1656" s="400" t="s">
        <v>395</v>
      </c>
      <c r="D1656" s="400" t="s">
        <v>4157</v>
      </c>
      <c r="E1656" s="605" t="s">
        <v>1039</v>
      </c>
      <c r="F1656" s="605"/>
      <c r="G1656" s="402" t="s">
        <v>4</v>
      </c>
      <c r="H1656" s="403">
        <v>6</v>
      </c>
      <c r="I1656" s="403">
        <v>0</v>
      </c>
      <c r="J1656" s="404">
        <v>19.329999999999998</v>
      </c>
      <c r="K1656" s="404">
        <v>115.98</v>
      </c>
      <c r="L1656" s="166"/>
    </row>
    <row r="1657" spans="1:12" ht="15" customHeight="1" x14ac:dyDescent="0.3">
      <c r="A1657" s="400" t="s">
        <v>1038</v>
      </c>
      <c r="B1657" s="401" t="s">
        <v>4198</v>
      </c>
      <c r="C1657" s="400" t="s">
        <v>395</v>
      </c>
      <c r="D1657" s="400" t="s">
        <v>4199</v>
      </c>
      <c r="E1657" s="605" t="s">
        <v>1039</v>
      </c>
      <c r="F1657" s="605"/>
      <c r="G1657" s="402" t="s">
        <v>4</v>
      </c>
      <c r="H1657" s="403">
        <v>1</v>
      </c>
      <c r="I1657" s="403">
        <v>0</v>
      </c>
      <c r="J1657" s="404">
        <v>122</v>
      </c>
      <c r="K1657" s="404">
        <v>122</v>
      </c>
      <c r="L1657" s="166"/>
    </row>
    <row r="1658" spans="1:12" ht="25.5" customHeight="1" x14ac:dyDescent="0.3">
      <c r="A1658" s="405"/>
      <c r="B1658" s="405"/>
      <c r="C1658" s="405"/>
      <c r="D1658" s="405"/>
      <c r="E1658" s="405" t="s">
        <v>1046</v>
      </c>
      <c r="F1658" s="406">
        <v>44.3</v>
      </c>
      <c r="G1658" s="405" t="s">
        <v>1047</v>
      </c>
      <c r="H1658" s="406">
        <v>0</v>
      </c>
      <c r="I1658" s="405" t="s">
        <v>1048</v>
      </c>
      <c r="J1658" s="406">
        <v>44.3</v>
      </c>
      <c r="K1658"/>
      <c r="L1658" s="168"/>
    </row>
    <row r="1659" spans="1:12" ht="15" customHeight="1" thickBot="1" x14ac:dyDescent="0.35">
      <c r="A1659" s="405"/>
      <c r="B1659" s="405"/>
      <c r="C1659" s="405"/>
      <c r="D1659" s="405"/>
      <c r="E1659" s="405" t="s">
        <v>1049</v>
      </c>
      <c r="F1659" s="406">
        <v>0</v>
      </c>
      <c r="G1659" s="405"/>
      <c r="H1659" s="606"/>
      <c r="I1659" s="606" t="s">
        <v>1050</v>
      </c>
      <c r="J1659" s="406">
        <v>297.67</v>
      </c>
      <c r="K1659"/>
      <c r="L1659" s="168"/>
    </row>
    <row r="1660" spans="1:12" ht="15.6" thickTop="1" x14ac:dyDescent="0.3">
      <c r="A1660" s="407"/>
      <c r="B1660" s="407"/>
      <c r="C1660" s="407"/>
      <c r="D1660" s="407"/>
      <c r="E1660" s="407"/>
      <c r="F1660" s="407"/>
      <c r="G1660" s="407"/>
      <c r="H1660" s="407"/>
      <c r="I1660" s="407"/>
      <c r="J1660" s="407"/>
      <c r="K1660" s="407"/>
      <c r="L1660" s="168"/>
    </row>
    <row r="1661" spans="1:12" ht="25.5" customHeight="1" x14ac:dyDescent="0.3">
      <c r="A1661" s="382" t="s">
        <v>1642</v>
      </c>
      <c r="B1661" s="312" t="s">
        <v>413</v>
      </c>
      <c r="C1661" s="382" t="s">
        <v>414</v>
      </c>
      <c r="D1661" s="382" t="s">
        <v>415</v>
      </c>
      <c r="E1661" s="586" t="s">
        <v>1029</v>
      </c>
      <c r="F1661" s="586"/>
      <c r="G1661" s="383" t="s">
        <v>416</v>
      </c>
      <c r="H1661" s="312" t="s">
        <v>1030</v>
      </c>
      <c r="I1661" s="312" t="s">
        <v>3016</v>
      </c>
      <c r="J1661" s="312" t="s">
        <v>1031</v>
      </c>
      <c r="K1661" s="312" t="s">
        <v>1032</v>
      </c>
      <c r="L1661" s="168"/>
    </row>
    <row r="1662" spans="1:12" ht="25.5" customHeight="1" x14ac:dyDescent="0.3">
      <c r="A1662" s="313" t="s">
        <v>1033</v>
      </c>
      <c r="B1662" s="315" t="s">
        <v>2132</v>
      </c>
      <c r="C1662" s="313" t="s">
        <v>5902</v>
      </c>
      <c r="D1662" s="313" t="s">
        <v>1757</v>
      </c>
      <c r="E1662" s="603">
        <v>30.01</v>
      </c>
      <c r="F1662" s="603"/>
      <c r="G1662" s="314" t="s">
        <v>4</v>
      </c>
      <c r="H1662" s="399">
        <v>1</v>
      </c>
      <c r="I1662" s="316"/>
      <c r="J1662" s="316">
        <v>187.42</v>
      </c>
      <c r="K1662" s="316">
        <v>187.42</v>
      </c>
      <c r="L1662" s="166"/>
    </row>
    <row r="1663" spans="1:12" ht="25.5" customHeight="1" x14ac:dyDescent="0.3">
      <c r="A1663" s="400" t="s">
        <v>1038</v>
      </c>
      <c r="B1663" s="401" t="s">
        <v>1469</v>
      </c>
      <c r="C1663" s="400" t="s">
        <v>5902</v>
      </c>
      <c r="D1663" s="400" t="s">
        <v>1470</v>
      </c>
      <c r="E1663" s="605" t="s">
        <v>1053</v>
      </c>
      <c r="F1663" s="605"/>
      <c r="G1663" s="402" t="s">
        <v>6</v>
      </c>
      <c r="H1663" s="403">
        <v>0.3</v>
      </c>
      <c r="I1663" s="403">
        <v>0</v>
      </c>
      <c r="J1663" s="404">
        <v>27.64</v>
      </c>
      <c r="K1663" s="404">
        <v>8.2919999999999998</v>
      </c>
      <c r="L1663" s="168"/>
    </row>
    <row r="1664" spans="1:12" ht="30" customHeight="1" x14ac:dyDescent="0.3">
      <c r="A1664" s="400" t="s">
        <v>1038</v>
      </c>
      <c r="B1664" s="401" t="s">
        <v>1467</v>
      </c>
      <c r="C1664" s="400" t="s">
        <v>5902</v>
      </c>
      <c r="D1664" s="400" t="s">
        <v>1468</v>
      </c>
      <c r="E1664" s="605" t="s">
        <v>1053</v>
      </c>
      <c r="F1664" s="605"/>
      <c r="G1664" s="402" t="s">
        <v>6</v>
      </c>
      <c r="H1664" s="403">
        <v>0.3</v>
      </c>
      <c r="I1664" s="403">
        <v>0</v>
      </c>
      <c r="J1664" s="404">
        <v>22.71</v>
      </c>
      <c r="K1664" s="404">
        <v>6.8129999999999997</v>
      </c>
      <c r="L1664" s="168"/>
    </row>
    <row r="1665" spans="1:12" ht="12.75" customHeight="1" x14ac:dyDescent="0.3">
      <c r="A1665" s="400" t="s">
        <v>1038</v>
      </c>
      <c r="B1665" s="401" t="s">
        <v>2363</v>
      </c>
      <c r="C1665" s="400" t="s">
        <v>5902</v>
      </c>
      <c r="D1665" s="400" t="s">
        <v>2364</v>
      </c>
      <c r="E1665" s="605" t="s">
        <v>1039</v>
      </c>
      <c r="F1665" s="605"/>
      <c r="G1665" s="402" t="s">
        <v>4</v>
      </c>
      <c r="H1665" s="403">
        <v>1</v>
      </c>
      <c r="I1665" s="403">
        <v>0</v>
      </c>
      <c r="J1665" s="404">
        <v>172.31</v>
      </c>
      <c r="K1665" s="404">
        <v>172.31</v>
      </c>
      <c r="L1665" s="168"/>
    </row>
    <row r="1666" spans="1:12" ht="25.5" customHeight="1" x14ac:dyDescent="0.3">
      <c r="A1666" s="405"/>
      <c r="B1666" s="405"/>
      <c r="C1666" s="405"/>
      <c r="D1666" s="405"/>
      <c r="E1666" s="405" t="s">
        <v>1046</v>
      </c>
      <c r="F1666" s="406">
        <v>15.1</v>
      </c>
      <c r="G1666" s="405" t="s">
        <v>1047</v>
      </c>
      <c r="H1666" s="406">
        <v>0</v>
      </c>
      <c r="I1666" s="405" t="s">
        <v>1048</v>
      </c>
      <c r="J1666" s="406">
        <v>15.1</v>
      </c>
      <c r="K1666"/>
      <c r="L1666" s="166"/>
    </row>
    <row r="1667" spans="1:12" ht="25.5" customHeight="1" thickBot="1" x14ac:dyDescent="0.35">
      <c r="A1667" s="405"/>
      <c r="B1667" s="405"/>
      <c r="C1667" s="405"/>
      <c r="D1667" s="405"/>
      <c r="E1667" s="405" t="s">
        <v>1049</v>
      </c>
      <c r="F1667" s="406">
        <v>0</v>
      </c>
      <c r="G1667" s="405"/>
      <c r="H1667" s="606"/>
      <c r="I1667" s="606" t="s">
        <v>1050</v>
      </c>
      <c r="J1667" s="406">
        <v>187.42</v>
      </c>
      <c r="K1667"/>
      <c r="L1667" s="166"/>
    </row>
    <row r="1668" spans="1:12" ht="15" customHeight="1" thickTop="1" x14ac:dyDescent="0.3">
      <c r="A1668" s="407"/>
      <c r="B1668" s="407"/>
      <c r="C1668" s="407"/>
      <c r="D1668" s="407"/>
      <c r="E1668" s="407"/>
      <c r="F1668" s="407"/>
      <c r="G1668" s="407"/>
      <c r="H1668" s="407"/>
      <c r="I1668" s="407"/>
      <c r="J1668" s="407"/>
      <c r="K1668" s="407"/>
      <c r="L1668" s="168"/>
    </row>
    <row r="1669" spans="1:12" ht="15" customHeight="1" x14ac:dyDescent="0.3">
      <c r="A1669" s="382" t="s">
        <v>1652</v>
      </c>
      <c r="B1669" s="312" t="s">
        <v>413</v>
      </c>
      <c r="C1669" s="382" t="s">
        <v>414</v>
      </c>
      <c r="D1669" s="382" t="s">
        <v>415</v>
      </c>
      <c r="E1669" s="586" t="s">
        <v>1029</v>
      </c>
      <c r="F1669" s="586"/>
      <c r="G1669" s="383" t="s">
        <v>416</v>
      </c>
      <c r="H1669" s="312" t="s">
        <v>1030</v>
      </c>
      <c r="I1669" s="312" t="s">
        <v>3016</v>
      </c>
      <c r="J1669" s="312" t="s">
        <v>1031</v>
      </c>
      <c r="K1669" s="312" t="s">
        <v>1032</v>
      </c>
      <c r="L1669" s="168"/>
    </row>
    <row r="1670" spans="1:12" ht="39.6" x14ac:dyDescent="0.3">
      <c r="A1670" s="313" t="s">
        <v>1033</v>
      </c>
      <c r="B1670" s="315" t="s">
        <v>3822</v>
      </c>
      <c r="C1670" s="313" t="s">
        <v>395</v>
      </c>
      <c r="D1670" s="313" t="s">
        <v>5935</v>
      </c>
      <c r="E1670" s="603" t="s">
        <v>7862</v>
      </c>
      <c r="F1670" s="603"/>
      <c r="G1670" s="314" t="s">
        <v>4</v>
      </c>
      <c r="H1670" s="399">
        <v>1</v>
      </c>
      <c r="I1670" s="316"/>
      <c r="J1670" s="316">
        <v>407.68</v>
      </c>
      <c r="K1670" s="316">
        <v>407.68</v>
      </c>
      <c r="L1670" s="168"/>
    </row>
    <row r="1671" spans="1:12" ht="26.4" x14ac:dyDescent="0.3">
      <c r="A1671" s="408" t="s">
        <v>1034</v>
      </c>
      <c r="B1671" s="409" t="s">
        <v>1112</v>
      </c>
      <c r="C1671" s="408" t="s">
        <v>395</v>
      </c>
      <c r="D1671" s="408" t="s">
        <v>137</v>
      </c>
      <c r="E1671" s="604" t="s">
        <v>7768</v>
      </c>
      <c r="F1671" s="604"/>
      <c r="G1671" s="410" t="s">
        <v>6</v>
      </c>
      <c r="H1671" s="412">
        <v>0.75227599999999994</v>
      </c>
      <c r="I1671" s="412">
        <v>0</v>
      </c>
      <c r="J1671" s="411">
        <v>40.299999999999997</v>
      </c>
      <c r="K1671" s="411">
        <v>30.316722800000001</v>
      </c>
      <c r="L1671" s="166"/>
    </row>
    <row r="1672" spans="1:12" ht="12.75" customHeight="1" x14ac:dyDescent="0.3">
      <c r="A1672" s="408" t="s">
        <v>1034</v>
      </c>
      <c r="B1672" s="409" t="s">
        <v>1290</v>
      </c>
      <c r="C1672" s="408" t="s">
        <v>395</v>
      </c>
      <c r="D1672" s="408" t="s">
        <v>147</v>
      </c>
      <c r="E1672" s="604" t="s">
        <v>7768</v>
      </c>
      <c r="F1672" s="604"/>
      <c r="G1672" s="410" t="s">
        <v>6</v>
      </c>
      <c r="H1672" s="412">
        <v>0.28875240000000002</v>
      </c>
      <c r="I1672" s="412">
        <v>0</v>
      </c>
      <c r="J1672" s="411">
        <v>32.82</v>
      </c>
      <c r="K1672" s="411">
        <v>9.4768538000000007</v>
      </c>
      <c r="L1672" s="166"/>
    </row>
    <row r="1673" spans="1:12" ht="25.5" customHeight="1" x14ac:dyDescent="0.3">
      <c r="A1673" s="400" t="s">
        <v>1038</v>
      </c>
      <c r="B1673" s="401" t="s">
        <v>4156</v>
      </c>
      <c r="C1673" s="400" t="s">
        <v>395</v>
      </c>
      <c r="D1673" s="400" t="s">
        <v>4157</v>
      </c>
      <c r="E1673" s="605" t="s">
        <v>1039</v>
      </c>
      <c r="F1673" s="605"/>
      <c r="G1673" s="402" t="s">
        <v>4</v>
      </c>
      <c r="H1673" s="403">
        <v>4</v>
      </c>
      <c r="I1673" s="403">
        <v>0</v>
      </c>
      <c r="J1673" s="404">
        <v>19.329999999999998</v>
      </c>
      <c r="K1673" s="404">
        <v>77.319999999999993</v>
      </c>
      <c r="L1673" s="166"/>
    </row>
    <row r="1674" spans="1:12" ht="25.5" customHeight="1" x14ac:dyDescent="0.3">
      <c r="A1674" s="400" t="s">
        <v>1038</v>
      </c>
      <c r="B1674" s="401" t="s">
        <v>4135</v>
      </c>
      <c r="C1674" s="400" t="s">
        <v>395</v>
      </c>
      <c r="D1674" s="400" t="s">
        <v>4136</v>
      </c>
      <c r="E1674" s="605" t="s">
        <v>1039</v>
      </c>
      <c r="F1674" s="605"/>
      <c r="G1674" s="402" t="s">
        <v>4</v>
      </c>
      <c r="H1674" s="403">
        <v>1</v>
      </c>
      <c r="I1674" s="403">
        <v>0</v>
      </c>
      <c r="J1674" s="404">
        <v>290.57</v>
      </c>
      <c r="K1674" s="404">
        <v>290.57</v>
      </c>
      <c r="L1674" s="166"/>
    </row>
    <row r="1675" spans="1:12" ht="25.5" customHeight="1" x14ac:dyDescent="0.3">
      <c r="A1675" s="405"/>
      <c r="B1675" s="405"/>
      <c r="C1675" s="405"/>
      <c r="D1675" s="405"/>
      <c r="E1675" s="405" t="s">
        <v>1046</v>
      </c>
      <c r="F1675" s="406">
        <v>29.53</v>
      </c>
      <c r="G1675" s="405" t="s">
        <v>1047</v>
      </c>
      <c r="H1675" s="406">
        <v>0</v>
      </c>
      <c r="I1675" s="405" t="s">
        <v>1048</v>
      </c>
      <c r="J1675" s="406">
        <v>29.53</v>
      </c>
      <c r="K1675"/>
      <c r="L1675" s="166"/>
    </row>
    <row r="1676" spans="1:12" ht="15" customHeight="1" thickBot="1" x14ac:dyDescent="0.35">
      <c r="A1676" s="405"/>
      <c r="B1676" s="405"/>
      <c r="C1676" s="405"/>
      <c r="D1676" s="405"/>
      <c r="E1676" s="405" t="s">
        <v>1049</v>
      </c>
      <c r="F1676" s="406">
        <v>0</v>
      </c>
      <c r="G1676" s="405"/>
      <c r="H1676" s="606"/>
      <c r="I1676" s="606" t="s">
        <v>1050</v>
      </c>
      <c r="J1676" s="406">
        <v>407.68</v>
      </c>
      <c r="K1676"/>
      <c r="L1676" s="166"/>
    </row>
    <row r="1677" spans="1:12" ht="15.6" thickTop="1" x14ac:dyDescent="0.3">
      <c r="A1677" s="407"/>
      <c r="B1677" s="407"/>
      <c r="C1677" s="407"/>
      <c r="D1677" s="407"/>
      <c r="E1677" s="407"/>
      <c r="F1677" s="407"/>
      <c r="G1677" s="407"/>
      <c r="H1677" s="407"/>
      <c r="I1677" s="407"/>
      <c r="J1677" s="407"/>
      <c r="K1677" s="407"/>
      <c r="L1677" s="166"/>
    </row>
    <row r="1678" spans="1:12" ht="15" x14ac:dyDescent="0.3">
      <c r="A1678" s="382" t="s">
        <v>1653</v>
      </c>
      <c r="B1678" s="312" t="s">
        <v>413</v>
      </c>
      <c r="C1678" s="382" t="s">
        <v>414</v>
      </c>
      <c r="D1678" s="382" t="s">
        <v>415</v>
      </c>
      <c r="E1678" s="586" t="s">
        <v>1029</v>
      </c>
      <c r="F1678" s="586"/>
      <c r="G1678" s="383" t="s">
        <v>416</v>
      </c>
      <c r="H1678" s="312" t="s">
        <v>1030</v>
      </c>
      <c r="I1678" s="312" t="s">
        <v>3016</v>
      </c>
      <c r="J1678" s="312" t="s">
        <v>1031</v>
      </c>
      <c r="K1678" s="312" t="s">
        <v>1032</v>
      </c>
      <c r="L1678" s="168"/>
    </row>
    <row r="1679" spans="1:12" ht="15" customHeight="1" x14ac:dyDescent="0.3">
      <c r="A1679" s="313" t="s">
        <v>1033</v>
      </c>
      <c r="B1679" s="315" t="s">
        <v>2126</v>
      </c>
      <c r="C1679" s="313" t="s">
        <v>408</v>
      </c>
      <c r="D1679" s="313" t="s">
        <v>1735</v>
      </c>
      <c r="E1679" s="603" t="s">
        <v>2269</v>
      </c>
      <c r="F1679" s="603"/>
      <c r="G1679" s="314" t="s">
        <v>4</v>
      </c>
      <c r="H1679" s="399">
        <v>1</v>
      </c>
      <c r="I1679" s="316"/>
      <c r="J1679" s="316">
        <v>145.94</v>
      </c>
      <c r="K1679" s="316">
        <v>145.94</v>
      </c>
      <c r="L1679" s="170"/>
    </row>
    <row r="1680" spans="1:12" ht="15" customHeight="1" x14ac:dyDescent="0.3">
      <c r="A1680" s="400" t="s">
        <v>1038</v>
      </c>
      <c r="B1680" s="401" t="s">
        <v>1114</v>
      </c>
      <c r="C1680" s="400" t="s">
        <v>408</v>
      </c>
      <c r="D1680" s="400" t="s">
        <v>1115</v>
      </c>
      <c r="E1680" s="605" t="s">
        <v>1039</v>
      </c>
      <c r="F1680" s="605"/>
      <c r="G1680" s="402" t="s">
        <v>7</v>
      </c>
      <c r="H1680" s="403">
        <v>0.3</v>
      </c>
      <c r="I1680" s="403">
        <v>0</v>
      </c>
      <c r="J1680" s="404">
        <v>0.23</v>
      </c>
      <c r="K1680" s="404">
        <v>6.9000000000000006E-2</v>
      </c>
      <c r="L1680" s="168"/>
    </row>
    <row r="1681" spans="1:12" ht="15" x14ac:dyDescent="0.3">
      <c r="A1681" s="400" t="s">
        <v>1038</v>
      </c>
      <c r="B1681" s="401" t="s">
        <v>2341</v>
      </c>
      <c r="C1681" s="400" t="s">
        <v>408</v>
      </c>
      <c r="D1681" s="400" t="s">
        <v>1735</v>
      </c>
      <c r="E1681" s="605" t="s">
        <v>1039</v>
      </c>
      <c r="F1681" s="605"/>
      <c r="G1681" s="402" t="s">
        <v>4</v>
      </c>
      <c r="H1681" s="403">
        <v>1</v>
      </c>
      <c r="I1681" s="403">
        <v>0</v>
      </c>
      <c r="J1681" s="404">
        <v>124.9</v>
      </c>
      <c r="K1681" s="404">
        <v>124.9</v>
      </c>
      <c r="L1681" s="168"/>
    </row>
    <row r="1682" spans="1:12" ht="15" x14ac:dyDescent="0.3">
      <c r="A1682" s="400" t="s">
        <v>1038</v>
      </c>
      <c r="B1682" s="401" t="s">
        <v>6301</v>
      </c>
      <c r="C1682" s="400" t="s">
        <v>408</v>
      </c>
      <c r="D1682" s="400" t="s">
        <v>6302</v>
      </c>
      <c r="E1682" s="605" t="s">
        <v>1053</v>
      </c>
      <c r="F1682" s="605"/>
      <c r="G1682" s="402" t="s">
        <v>6</v>
      </c>
      <c r="H1682" s="403">
        <v>0.42</v>
      </c>
      <c r="I1682" s="403">
        <v>0</v>
      </c>
      <c r="J1682" s="404">
        <v>21.59</v>
      </c>
      <c r="K1682" s="404">
        <v>9.0678000000000001</v>
      </c>
      <c r="L1682" s="168"/>
    </row>
    <row r="1683" spans="1:12" ht="30" customHeight="1" x14ac:dyDescent="0.3">
      <c r="A1683" s="400" t="s">
        <v>1038</v>
      </c>
      <c r="B1683" s="401" t="s">
        <v>6235</v>
      </c>
      <c r="C1683" s="400" t="s">
        <v>408</v>
      </c>
      <c r="D1683" s="400" t="s">
        <v>6236</v>
      </c>
      <c r="E1683" s="605" t="s">
        <v>1053</v>
      </c>
      <c r="F1683" s="605"/>
      <c r="G1683" s="402" t="s">
        <v>6</v>
      </c>
      <c r="H1683" s="403">
        <v>0.42</v>
      </c>
      <c r="I1683" s="403">
        <v>0</v>
      </c>
      <c r="J1683" s="404">
        <v>28.35</v>
      </c>
      <c r="K1683" s="404">
        <v>11.907</v>
      </c>
      <c r="L1683" s="166"/>
    </row>
    <row r="1684" spans="1:12" ht="25.5" customHeight="1" x14ac:dyDescent="0.3">
      <c r="A1684" s="405"/>
      <c r="B1684" s="405"/>
      <c r="C1684" s="405"/>
      <c r="D1684" s="405"/>
      <c r="E1684" s="405" t="s">
        <v>1046</v>
      </c>
      <c r="F1684" s="406">
        <v>20.98</v>
      </c>
      <c r="G1684" s="405" t="s">
        <v>1047</v>
      </c>
      <c r="H1684" s="406">
        <v>0</v>
      </c>
      <c r="I1684" s="405" t="s">
        <v>1048</v>
      </c>
      <c r="J1684" s="406">
        <v>20.98</v>
      </c>
      <c r="K1684"/>
      <c r="L1684" s="166"/>
    </row>
    <row r="1685" spans="1:12" ht="25.5" customHeight="1" thickBot="1" x14ac:dyDescent="0.35">
      <c r="A1685" s="405"/>
      <c r="B1685" s="405"/>
      <c r="C1685" s="405"/>
      <c r="D1685" s="405"/>
      <c r="E1685" s="405" t="s">
        <v>1049</v>
      </c>
      <c r="F1685" s="406">
        <v>0</v>
      </c>
      <c r="G1685" s="405"/>
      <c r="H1685" s="606"/>
      <c r="I1685" s="606" t="s">
        <v>1050</v>
      </c>
      <c r="J1685" s="406">
        <v>145.94</v>
      </c>
      <c r="K1685"/>
      <c r="L1685" s="168"/>
    </row>
    <row r="1686" spans="1:12" ht="15" customHeight="1" thickTop="1" x14ac:dyDescent="0.3">
      <c r="A1686" s="407"/>
      <c r="B1686" s="407"/>
      <c r="C1686" s="407"/>
      <c r="D1686" s="407"/>
      <c r="E1686" s="407"/>
      <c r="F1686" s="407"/>
      <c r="G1686" s="407"/>
      <c r="H1686" s="407"/>
      <c r="I1686" s="407"/>
      <c r="J1686" s="407"/>
      <c r="K1686" s="407"/>
      <c r="L1686" s="168"/>
    </row>
    <row r="1687" spans="1:12" ht="15" x14ac:dyDescent="0.3">
      <c r="A1687" s="382" t="s">
        <v>1770</v>
      </c>
      <c r="B1687" s="312" t="s">
        <v>413</v>
      </c>
      <c r="C1687" s="382" t="s">
        <v>414</v>
      </c>
      <c r="D1687" s="382" t="s">
        <v>415</v>
      </c>
      <c r="E1687" s="586" t="s">
        <v>1029</v>
      </c>
      <c r="F1687" s="586"/>
      <c r="G1687" s="383" t="s">
        <v>416</v>
      </c>
      <c r="H1687" s="312" t="s">
        <v>1030</v>
      </c>
      <c r="I1687" s="312" t="s">
        <v>3016</v>
      </c>
      <c r="J1687" s="312" t="s">
        <v>1031</v>
      </c>
      <c r="K1687" s="312" t="s">
        <v>1032</v>
      </c>
      <c r="L1687" s="168"/>
    </row>
    <row r="1688" spans="1:12" ht="39.6" x14ac:dyDescent="0.3">
      <c r="A1688" s="313" t="s">
        <v>1033</v>
      </c>
      <c r="B1688" s="315" t="s">
        <v>3823</v>
      </c>
      <c r="C1688" s="313" t="s">
        <v>395</v>
      </c>
      <c r="D1688" s="313" t="s">
        <v>5936</v>
      </c>
      <c r="E1688" s="603" t="s">
        <v>7862</v>
      </c>
      <c r="F1688" s="603"/>
      <c r="G1688" s="314" t="s">
        <v>4</v>
      </c>
      <c r="H1688" s="399">
        <v>1</v>
      </c>
      <c r="I1688" s="316"/>
      <c r="J1688" s="316">
        <v>77.95</v>
      </c>
      <c r="K1688" s="316">
        <v>77.95</v>
      </c>
      <c r="L1688" s="168"/>
    </row>
    <row r="1689" spans="1:12" ht="26.4" x14ac:dyDescent="0.3">
      <c r="A1689" s="408" t="s">
        <v>1034</v>
      </c>
      <c r="B1689" s="409" t="s">
        <v>1112</v>
      </c>
      <c r="C1689" s="408" t="s">
        <v>395</v>
      </c>
      <c r="D1689" s="408" t="s">
        <v>137</v>
      </c>
      <c r="E1689" s="604" t="s">
        <v>7768</v>
      </c>
      <c r="F1689" s="604"/>
      <c r="G1689" s="410" t="s">
        <v>6</v>
      </c>
      <c r="H1689" s="412">
        <v>0.17908479999999999</v>
      </c>
      <c r="I1689" s="412">
        <v>0</v>
      </c>
      <c r="J1689" s="411">
        <v>40.299999999999997</v>
      </c>
      <c r="K1689" s="411">
        <v>7.2171174000000002</v>
      </c>
      <c r="L1689" s="166"/>
    </row>
    <row r="1690" spans="1:12" ht="15" customHeight="1" x14ac:dyDescent="0.3">
      <c r="A1690" s="408" t="s">
        <v>1034</v>
      </c>
      <c r="B1690" s="409" t="s">
        <v>1290</v>
      </c>
      <c r="C1690" s="408" t="s">
        <v>395</v>
      </c>
      <c r="D1690" s="408" t="s">
        <v>147</v>
      </c>
      <c r="E1690" s="604" t="s">
        <v>7768</v>
      </c>
      <c r="F1690" s="604"/>
      <c r="G1690" s="410" t="s">
        <v>6</v>
      </c>
      <c r="H1690" s="412">
        <v>6.8739599999999998E-2</v>
      </c>
      <c r="I1690" s="412">
        <v>0</v>
      </c>
      <c r="J1690" s="411">
        <v>32.82</v>
      </c>
      <c r="K1690" s="411">
        <v>2.2560337000000001</v>
      </c>
      <c r="L1690" s="168"/>
    </row>
    <row r="1691" spans="1:12" ht="25.5" customHeight="1" x14ac:dyDescent="0.3">
      <c r="A1691" s="400" t="s">
        <v>1038</v>
      </c>
      <c r="B1691" s="401" t="s">
        <v>4380</v>
      </c>
      <c r="C1691" s="400" t="s">
        <v>395</v>
      </c>
      <c r="D1691" s="400" t="s">
        <v>4381</v>
      </c>
      <c r="E1691" s="605" t="s">
        <v>1039</v>
      </c>
      <c r="F1691" s="605"/>
      <c r="G1691" s="402" t="s">
        <v>4</v>
      </c>
      <c r="H1691" s="403">
        <v>1</v>
      </c>
      <c r="I1691" s="403">
        <v>0</v>
      </c>
      <c r="J1691" s="404">
        <v>68.48</v>
      </c>
      <c r="K1691" s="404">
        <v>68.48</v>
      </c>
      <c r="L1691" s="168"/>
    </row>
    <row r="1692" spans="1:12" ht="25.5" customHeight="1" x14ac:dyDescent="0.3">
      <c r="A1692" s="405"/>
      <c r="B1692" s="405"/>
      <c r="C1692" s="405"/>
      <c r="D1692" s="405"/>
      <c r="E1692" s="405" t="s">
        <v>1046</v>
      </c>
      <c r="F1692" s="406">
        <v>7.03</v>
      </c>
      <c r="G1692" s="405" t="s">
        <v>1047</v>
      </c>
      <c r="H1692" s="406">
        <v>0</v>
      </c>
      <c r="I1692" s="405" t="s">
        <v>1048</v>
      </c>
      <c r="J1692" s="406">
        <v>7.03</v>
      </c>
      <c r="K1692"/>
      <c r="L1692" s="168"/>
    </row>
    <row r="1693" spans="1:12" ht="15.6" thickBot="1" x14ac:dyDescent="0.35">
      <c r="A1693" s="405"/>
      <c r="B1693" s="405"/>
      <c r="C1693" s="405"/>
      <c r="D1693" s="405"/>
      <c r="E1693" s="405" t="s">
        <v>1049</v>
      </c>
      <c r="F1693" s="406">
        <v>0</v>
      </c>
      <c r="G1693" s="405"/>
      <c r="H1693" s="606"/>
      <c r="I1693" s="606" t="s">
        <v>1050</v>
      </c>
      <c r="J1693" s="406">
        <v>77.95</v>
      </c>
      <c r="K1693"/>
      <c r="L1693" s="166"/>
    </row>
    <row r="1694" spans="1:12" ht="15" customHeight="1" thickTop="1" x14ac:dyDescent="0.3">
      <c r="A1694" s="407"/>
      <c r="B1694" s="407"/>
      <c r="C1694" s="407"/>
      <c r="D1694" s="407"/>
      <c r="E1694" s="407"/>
      <c r="F1694" s="407"/>
      <c r="G1694" s="407"/>
      <c r="H1694" s="407"/>
      <c r="I1694" s="407"/>
      <c r="J1694" s="407"/>
      <c r="K1694" s="407"/>
      <c r="L1694" s="166"/>
    </row>
    <row r="1695" spans="1:12" ht="25.5" customHeight="1" x14ac:dyDescent="0.3">
      <c r="A1695" s="382" t="s">
        <v>1655</v>
      </c>
      <c r="B1695" s="312" t="s">
        <v>413</v>
      </c>
      <c r="C1695" s="382" t="s">
        <v>414</v>
      </c>
      <c r="D1695" s="382" t="s">
        <v>415</v>
      </c>
      <c r="E1695" s="586" t="s">
        <v>1029</v>
      </c>
      <c r="F1695" s="586"/>
      <c r="G1695" s="383" t="s">
        <v>416</v>
      </c>
      <c r="H1695" s="312" t="s">
        <v>1030</v>
      </c>
      <c r="I1695" s="312" t="s">
        <v>3016</v>
      </c>
      <c r="J1695" s="312" t="s">
        <v>1031</v>
      </c>
      <c r="K1695" s="312" t="s">
        <v>1032</v>
      </c>
      <c r="L1695" s="168"/>
    </row>
    <row r="1696" spans="1:12" ht="25.5" customHeight="1" x14ac:dyDescent="0.3">
      <c r="A1696" s="313" t="s">
        <v>1033</v>
      </c>
      <c r="B1696" s="315" t="s">
        <v>3824</v>
      </c>
      <c r="C1696" s="313" t="s">
        <v>395</v>
      </c>
      <c r="D1696" s="313" t="s">
        <v>352</v>
      </c>
      <c r="E1696" s="603" t="s">
        <v>7811</v>
      </c>
      <c r="F1696" s="603"/>
      <c r="G1696" s="314" t="s">
        <v>4</v>
      </c>
      <c r="H1696" s="399">
        <v>1</v>
      </c>
      <c r="I1696" s="316"/>
      <c r="J1696" s="316">
        <v>75.91</v>
      </c>
      <c r="K1696" s="316">
        <v>75.91</v>
      </c>
      <c r="L1696" s="168"/>
    </row>
    <row r="1697" spans="1:12" ht="25.5" customHeight="1" x14ac:dyDescent="0.3">
      <c r="A1697" s="408" t="s">
        <v>1034</v>
      </c>
      <c r="B1697" s="409" t="s">
        <v>1113</v>
      </c>
      <c r="C1697" s="408" t="s">
        <v>395</v>
      </c>
      <c r="D1697" s="408" t="s">
        <v>129</v>
      </c>
      <c r="E1697" s="604" t="s">
        <v>7768</v>
      </c>
      <c r="F1697" s="604"/>
      <c r="G1697" s="410" t="s">
        <v>6</v>
      </c>
      <c r="H1697" s="412">
        <v>0.22120000000000001</v>
      </c>
      <c r="I1697" s="412">
        <v>0</v>
      </c>
      <c r="J1697" s="411">
        <v>33.450000000000003</v>
      </c>
      <c r="K1697" s="411">
        <v>7.3991400000000001</v>
      </c>
      <c r="L1697" s="168"/>
    </row>
    <row r="1698" spans="1:12" ht="25.5" customHeight="1" x14ac:dyDescent="0.3">
      <c r="A1698" s="408" t="s">
        <v>1034</v>
      </c>
      <c r="B1698" s="409" t="s">
        <v>1112</v>
      </c>
      <c r="C1698" s="408" t="s">
        <v>395</v>
      </c>
      <c r="D1698" s="408" t="s">
        <v>137</v>
      </c>
      <c r="E1698" s="604" t="s">
        <v>7768</v>
      </c>
      <c r="F1698" s="604"/>
      <c r="G1698" s="410" t="s">
        <v>6</v>
      </c>
      <c r="H1698" s="412">
        <v>0.22120000000000001</v>
      </c>
      <c r="I1698" s="412">
        <v>0</v>
      </c>
      <c r="J1698" s="411">
        <v>40.299999999999997</v>
      </c>
      <c r="K1698" s="411">
        <v>8.9143600000000003</v>
      </c>
      <c r="L1698" s="166"/>
    </row>
    <row r="1699" spans="1:12" ht="15" customHeight="1" x14ac:dyDescent="0.3">
      <c r="A1699" s="400" t="s">
        <v>1038</v>
      </c>
      <c r="B1699" s="401" t="s">
        <v>2535</v>
      </c>
      <c r="C1699" s="400" t="s">
        <v>395</v>
      </c>
      <c r="D1699" s="400" t="s">
        <v>262</v>
      </c>
      <c r="E1699" s="605" t="s">
        <v>1039</v>
      </c>
      <c r="F1699" s="605"/>
      <c r="G1699" s="402" t="s">
        <v>4</v>
      </c>
      <c r="H1699" s="403">
        <v>1.06E-2</v>
      </c>
      <c r="I1699" s="403">
        <v>0</v>
      </c>
      <c r="J1699" s="404">
        <v>16.45</v>
      </c>
      <c r="K1699" s="404">
        <v>0.17437</v>
      </c>
      <c r="L1699" s="166"/>
    </row>
    <row r="1700" spans="1:12" ht="12.75" customHeight="1" x14ac:dyDescent="0.3">
      <c r="A1700" s="400" t="s">
        <v>1038</v>
      </c>
      <c r="B1700" s="401" t="s">
        <v>4260</v>
      </c>
      <c r="C1700" s="400" t="s">
        <v>395</v>
      </c>
      <c r="D1700" s="400" t="s">
        <v>4261</v>
      </c>
      <c r="E1700" s="605" t="s">
        <v>1039</v>
      </c>
      <c r="F1700" s="605"/>
      <c r="G1700" s="402" t="s">
        <v>4</v>
      </c>
      <c r="H1700" s="403">
        <v>1</v>
      </c>
      <c r="I1700" s="403">
        <v>0</v>
      </c>
      <c r="J1700" s="404">
        <v>59.42</v>
      </c>
      <c r="K1700" s="404">
        <v>59.42</v>
      </c>
      <c r="L1700" s="166"/>
    </row>
    <row r="1701" spans="1:12" ht="15" x14ac:dyDescent="0.3">
      <c r="A1701" s="405"/>
      <c r="B1701" s="405"/>
      <c r="C1701" s="405"/>
      <c r="D1701" s="405"/>
      <c r="E1701" s="405" t="s">
        <v>1046</v>
      </c>
      <c r="F1701" s="406">
        <v>12.01</v>
      </c>
      <c r="G1701" s="405" t="s">
        <v>1047</v>
      </c>
      <c r="H1701" s="406">
        <v>0</v>
      </c>
      <c r="I1701" s="405" t="s">
        <v>1048</v>
      </c>
      <c r="J1701" s="406">
        <v>12.01</v>
      </c>
      <c r="K1701"/>
      <c r="L1701" s="166"/>
    </row>
    <row r="1702" spans="1:12" ht="15" customHeight="1" thickBot="1" x14ac:dyDescent="0.35">
      <c r="A1702" s="405"/>
      <c r="B1702" s="405"/>
      <c r="C1702" s="405"/>
      <c r="D1702" s="405"/>
      <c r="E1702" s="405" t="s">
        <v>1049</v>
      </c>
      <c r="F1702" s="406">
        <v>0</v>
      </c>
      <c r="G1702" s="405"/>
      <c r="H1702" s="606"/>
      <c r="I1702" s="606" t="s">
        <v>1050</v>
      </c>
      <c r="J1702" s="406">
        <v>75.91</v>
      </c>
      <c r="K1702"/>
      <c r="L1702" s="166"/>
    </row>
    <row r="1703" spans="1:12" ht="15" customHeight="1" thickTop="1" x14ac:dyDescent="0.3">
      <c r="A1703" s="407"/>
      <c r="B1703" s="407"/>
      <c r="C1703" s="407"/>
      <c r="D1703" s="407"/>
      <c r="E1703" s="407"/>
      <c r="F1703" s="407"/>
      <c r="G1703" s="407"/>
      <c r="H1703" s="407"/>
      <c r="I1703" s="407"/>
      <c r="J1703" s="407"/>
      <c r="K1703" s="407"/>
      <c r="L1703" s="166"/>
    </row>
    <row r="1704" spans="1:12" ht="15" customHeight="1" x14ac:dyDescent="0.3">
      <c r="A1704" s="382" t="s">
        <v>1657</v>
      </c>
      <c r="B1704" s="312" t="s">
        <v>413</v>
      </c>
      <c r="C1704" s="382" t="s">
        <v>414</v>
      </c>
      <c r="D1704" s="382" t="s">
        <v>415</v>
      </c>
      <c r="E1704" s="586" t="s">
        <v>1029</v>
      </c>
      <c r="F1704" s="586"/>
      <c r="G1704" s="383" t="s">
        <v>416</v>
      </c>
      <c r="H1704" s="312" t="s">
        <v>1030</v>
      </c>
      <c r="I1704" s="312" t="s">
        <v>3016</v>
      </c>
      <c r="J1704" s="312" t="s">
        <v>1031</v>
      </c>
      <c r="K1704" s="312" t="s">
        <v>1032</v>
      </c>
      <c r="L1704" s="166"/>
    </row>
    <row r="1705" spans="1:12" ht="25.5" customHeight="1" x14ac:dyDescent="0.3">
      <c r="A1705" s="313" t="s">
        <v>1033</v>
      </c>
      <c r="B1705" s="315" t="s">
        <v>3825</v>
      </c>
      <c r="C1705" s="313" t="s">
        <v>395</v>
      </c>
      <c r="D1705" s="313" t="s">
        <v>353</v>
      </c>
      <c r="E1705" s="603" t="s">
        <v>7811</v>
      </c>
      <c r="F1705" s="603"/>
      <c r="G1705" s="314" t="s">
        <v>4</v>
      </c>
      <c r="H1705" s="399">
        <v>1</v>
      </c>
      <c r="I1705" s="316"/>
      <c r="J1705" s="316">
        <v>79.489999999999995</v>
      </c>
      <c r="K1705" s="316">
        <v>79.489999999999995</v>
      </c>
      <c r="L1705" s="168"/>
    </row>
    <row r="1706" spans="1:12" ht="38.25" customHeight="1" x14ac:dyDescent="0.3">
      <c r="A1706" s="408" t="s">
        <v>1034</v>
      </c>
      <c r="B1706" s="409" t="s">
        <v>1113</v>
      </c>
      <c r="C1706" s="408" t="s">
        <v>395</v>
      </c>
      <c r="D1706" s="408" t="s">
        <v>129</v>
      </c>
      <c r="E1706" s="604" t="s">
        <v>7768</v>
      </c>
      <c r="F1706" s="604"/>
      <c r="G1706" s="410" t="s">
        <v>6</v>
      </c>
      <c r="H1706" s="412">
        <v>0.22120000000000001</v>
      </c>
      <c r="I1706" s="412">
        <v>0</v>
      </c>
      <c r="J1706" s="411">
        <v>33.450000000000003</v>
      </c>
      <c r="K1706" s="411">
        <v>7.3991400000000001</v>
      </c>
      <c r="L1706" s="170"/>
    </row>
    <row r="1707" spans="1:12" ht="25.5" customHeight="1" x14ac:dyDescent="0.3">
      <c r="A1707" s="408" t="s">
        <v>1034</v>
      </c>
      <c r="B1707" s="409" t="s">
        <v>1112</v>
      </c>
      <c r="C1707" s="408" t="s">
        <v>395</v>
      </c>
      <c r="D1707" s="408" t="s">
        <v>137</v>
      </c>
      <c r="E1707" s="604" t="s">
        <v>7768</v>
      </c>
      <c r="F1707" s="604"/>
      <c r="G1707" s="410" t="s">
        <v>6</v>
      </c>
      <c r="H1707" s="412">
        <v>0.22120000000000001</v>
      </c>
      <c r="I1707" s="412">
        <v>0</v>
      </c>
      <c r="J1707" s="411">
        <v>40.299999999999997</v>
      </c>
      <c r="K1707" s="411">
        <v>8.9143600000000003</v>
      </c>
      <c r="L1707" s="168"/>
    </row>
    <row r="1708" spans="1:12" ht="15" customHeight="1" x14ac:dyDescent="0.3">
      <c r="A1708" s="400" t="s">
        <v>1038</v>
      </c>
      <c r="B1708" s="401" t="s">
        <v>2535</v>
      </c>
      <c r="C1708" s="400" t="s">
        <v>395</v>
      </c>
      <c r="D1708" s="400" t="s">
        <v>262</v>
      </c>
      <c r="E1708" s="605" t="s">
        <v>1039</v>
      </c>
      <c r="F1708" s="605"/>
      <c r="G1708" s="402" t="s">
        <v>4</v>
      </c>
      <c r="H1708" s="403">
        <v>1.06E-2</v>
      </c>
      <c r="I1708" s="403">
        <v>0</v>
      </c>
      <c r="J1708" s="404">
        <v>16.45</v>
      </c>
      <c r="K1708" s="404">
        <v>0.17437</v>
      </c>
      <c r="L1708" s="168"/>
    </row>
    <row r="1709" spans="1:12" ht="25.5" customHeight="1" x14ac:dyDescent="0.3">
      <c r="A1709" s="400" t="s">
        <v>1038</v>
      </c>
      <c r="B1709" s="401" t="s">
        <v>4253</v>
      </c>
      <c r="C1709" s="400" t="s">
        <v>395</v>
      </c>
      <c r="D1709" s="400" t="s">
        <v>4254</v>
      </c>
      <c r="E1709" s="605" t="s">
        <v>1039</v>
      </c>
      <c r="F1709" s="605"/>
      <c r="G1709" s="402" t="s">
        <v>4</v>
      </c>
      <c r="H1709" s="403">
        <v>1</v>
      </c>
      <c r="I1709" s="403">
        <v>0</v>
      </c>
      <c r="J1709" s="404">
        <v>63</v>
      </c>
      <c r="K1709" s="404">
        <v>63</v>
      </c>
      <c r="L1709" s="168"/>
    </row>
    <row r="1710" spans="1:12" ht="25.5" customHeight="1" x14ac:dyDescent="0.3">
      <c r="A1710" s="405"/>
      <c r="B1710" s="405"/>
      <c r="C1710" s="405"/>
      <c r="D1710" s="405"/>
      <c r="E1710" s="405" t="s">
        <v>1046</v>
      </c>
      <c r="F1710" s="406">
        <v>12.01</v>
      </c>
      <c r="G1710" s="405" t="s">
        <v>1047</v>
      </c>
      <c r="H1710" s="406">
        <v>0</v>
      </c>
      <c r="I1710" s="405" t="s">
        <v>1048</v>
      </c>
      <c r="J1710" s="406">
        <v>12.01</v>
      </c>
      <c r="K1710"/>
      <c r="L1710" s="166"/>
    </row>
    <row r="1711" spans="1:12" ht="15" customHeight="1" thickBot="1" x14ac:dyDescent="0.35">
      <c r="A1711" s="405"/>
      <c r="B1711" s="405"/>
      <c r="C1711" s="405"/>
      <c r="D1711" s="405"/>
      <c r="E1711" s="405" t="s">
        <v>1049</v>
      </c>
      <c r="F1711" s="406">
        <v>0</v>
      </c>
      <c r="G1711" s="405"/>
      <c r="H1711" s="606"/>
      <c r="I1711" s="606" t="s">
        <v>1050</v>
      </c>
      <c r="J1711" s="406">
        <v>79.489999999999995</v>
      </c>
      <c r="K1711"/>
      <c r="L1711" s="166"/>
    </row>
    <row r="1712" spans="1:12" ht="15.6" thickTop="1" x14ac:dyDescent="0.3">
      <c r="A1712" s="407"/>
      <c r="B1712" s="407"/>
      <c r="C1712" s="407"/>
      <c r="D1712" s="407"/>
      <c r="E1712" s="407"/>
      <c r="F1712" s="407"/>
      <c r="G1712" s="407"/>
      <c r="H1712" s="407"/>
      <c r="I1712" s="407"/>
      <c r="J1712" s="407"/>
      <c r="K1712" s="407"/>
      <c r="L1712" s="168"/>
    </row>
    <row r="1713" spans="1:12" ht="15" customHeight="1" x14ac:dyDescent="0.3">
      <c r="A1713" s="382" t="s">
        <v>1658</v>
      </c>
      <c r="B1713" s="312" t="s">
        <v>413</v>
      </c>
      <c r="C1713" s="382" t="s">
        <v>414</v>
      </c>
      <c r="D1713" s="382" t="s">
        <v>415</v>
      </c>
      <c r="E1713" s="586" t="s">
        <v>1029</v>
      </c>
      <c r="F1713" s="586"/>
      <c r="G1713" s="383" t="s">
        <v>416</v>
      </c>
      <c r="H1713" s="312" t="s">
        <v>1030</v>
      </c>
      <c r="I1713" s="312" t="s">
        <v>3016</v>
      </c>
      <c r="J1713" s="312" t="s">
        <v>1031</v>
      </c>
      <c r="K1713" s="312" t="s">
        <v>1032</v>
      </c>
      <c r="L1713" s="168"/>
    </row>
    <row r="1714" spans="1:12" ht="15" x14ac:dyDescent="0.3">
      <c r="A1714" s="313" t="s">
        <v>1033</v>
      </c>
      <c r="B1714" s="315" t="s">
        <v>2130</v>
      </c>
      <c r="C1714" s="313" t="s">
        <v>420</v>
      </c>
      <c r="D1714" s="313" t="s">
        <v>1752</v>
      </c>
      <c r="E1714" s="603" t="s">
        <v>1261</v>
      </c>
      <c r="F1714" s="603"/>
      <c r="G1714" s="314" t="s">
        <v>422</v>
      </c>
      <c r="H1714" s="399">
        <v>1</v>
      </c>
      <c r="I1714" s="316"/>
      <c r="J1714" s="316">
        <v>116.92</v>
      </c>
      <c r="K1714" s="316">
        <v>116.92</v>
      </c>
      <c r="L1714" s="168"/>
    </row>
    <row r="1715" spans="1:12" ht="15" customHeight="1" x14ac:dyDescent="0.3">
      <c r="A1715" s="408" t="s">
        <v>1034</v>
      </c>
      <c r="B1715" s="409" t="s">
        <v>1478</v>
      </c>
      <c r="C1715" s="408" t="s">
        <v>420</v>
      </c>
      <c r="D1715" s="408" t="s">
        <v>1479</v>
      </c>
      <c r="E1715" s="604" t="s">
        <v>1069</v>
      </c>
      <c r="F1715" s="604"/>
      <c r="G1715" s="410" t="s">
        <v>1070</v>
      </c>
      <c r="H1715" s="412">
        <v>0.7</v>
      </c>
      <c r="I1715" s="412">
        <v>0</v>
      </c>
      <c r="J1715" s="411">
        <v>3.86</v>
      </c>
      <c r="K1715" s="411">
        <v>2.702</v>
      </c>
      <c r="L1715" s="168"/>
    </row>
    <row r="1716" spans="1:12" ht="25.5" customHeight="1" x14ac:dyDescent="0.3">
      <c r="A1716" s="400" t="s">
        <v>1038</v>
      </c>
      <c r="B1716" s="401" t="s">
        <v>2361</v>
      </c>
      <c r="C1716" s="400" t="s">
        <v>420</v>
      </c>
      <c r="D1716" s="400" t="s">
        <v>1752</v>
      </c>
      <c r="E1716" s="605" t="s">
        <v>1039</v>
      </c>
      <c r="F1716" s="605"/>
      <c r="G1716" s="402" t="s">
        <v>422</v>
      </c>
      <c r="H1716" s="403">
        <v>1</v>
      </c>
      <c r="I1716" s="403">
        <v>0</v>
      </c>
      <c r="J1716" s="404">
        <v>99.9</v>
      </c>
      <c r="K1716" s="404">
        <v>99.9</v>
      </c>
      <c r="L1716" s="166"/>
    </row>
    <row r="1717" spans="1:12" ht="15" customHeight="1" x14ac:dyDescent="0.3">
      <c r="A1717" s="400" t="s">
        <v>1038</v>
      </c>
      <c r="B1717" s="401" t="s">
        <v>6295</v>
      </c>
      <c r="C1717" s="400" t="s">
        <v>420</v>
      </c>
      <c r="D1717" s="400" t="s">
        <v>6296</v>
      </c>
      <c r="E1717" s="605" t="s">
        <v>1053</v>
      </c>
      <c r="F1717" s="605"/>
      <c r="G1717" s="402" t="s">
        <v>1070</v>
      </c>
      <c r="H1717" s="403">
        <v>0.7</v>
      </c>
      <c r="I1717" s="403">
        <v>0</v>
      </c>
      <c r="J1717" s="404">
        <v>20.45</v>
      </c>
      <c r="K1717" s="404">
        <v>14.315</v>
      </c>
      <c r="L1717" s="168"/>
    </row>
    <row r="1718" spans="1:12" ht="25.5" customHeight="1" x14ac:dyDescent="0.3">
      <c r="A1718" s="405"/>
      <c r="B1718" s="405"/>
      <c r="C1718" s="405"/>
      <c r="D1718" s="405"/>
      <c r="E1718" s="405" t="s">
        <v>1046</v>
      </c>
      <c r="F1718" s="406">
        <v>14.32</v>
      </c>
      <c r="G1718" s="405" t="s">
        <v>1047</v>
      </c>
      <c r="H1718" s="406">
        <v>0</v>
      </c>
      <c r="I1718" s="405" t="s">
        <v>1048</v>
      </c>
      <c r="J1718" s="406">
        <v>14.32</v>
      </c>
      <c r="K1718"/>
      <c r="L1718" s="168"/>
    </row>
    <row r="1719" spans="1:12" ht="25.5" customHeight="1" thickBot="1" x14ac:dyDescent="0.35">
      <c r="A1719" s="405"/>
      <c r="B1719" s="405"/>
      <c r="C1719" s="405"/>
      <c r="D1719" s="405"/>
      <c r="E1719" s="405" t="s">
        <v>1049</v>
      </c>
      <c r="F1719" s="406">
        <v>0</v>
      </c>
      <c r="G1719" s="405"/>
      <c r="H1719" s="606"/>
      <c r="I1719" s="606" t="s">
        <v>1050</v>
      </c>
      <c r="J1719" s="406">
        <v>116.92</v>
      </c>
      <c r="K1719"/>
      <c r="L1719" s="168"/>
    </row>
    <row r="1720" spans="1:12" ht="25.5" customHeight="1" thickTop="1" x14ac:dyDescent="0.3">
      <c r="A1720" s="407"/>
      <c r="B1720" s="407"/>
      <c r="C1720" s="407"/>
      <c r="D1720" s="407"/>
      <c r="E1720" s="407"/>
      <c r="F1720" s="407"/>
      <c r="G1720" s="407"/>
      <c r="H1720" s="407"/>
      <c r="I1720" s="407"/>
      <c r="J1720" s="407"/>
      <c r="K1720" s="407"/>
      <c r="L1720" s="166"/>
    </row>
    <row r="1721" spans="1:12" ht="25.5" customHeight="1" x14ac:dyDescent="0.3">
      <c r="A1721" s="382" t="s">
        <v>1659</v>
      </c>
      <c r="B1721" s="312" t="s">
        <v>413</v>
      </c>
      <c r="C1721" s="382" t="s">
        <v>414</v>
      </c>
      <c r="D1721" s="382" t="s">
        <v>415</v>
      </c>
      <c r="E1721" s="586" t="s">
        <v>1029</v>
      </c>
      <c r="F1721" s="586"/>
      <c r="G1721" s="383" t="s">
        <v>416</v>
      </c>
      <c r="H1721" s="312" t="s">
        <v>1030</v>
      </c>
      <c r="I1721" s="312" t="s">
        <v>3016</v>
      </c>
      <c r="J1721" s="312" t="s">
        <v>1031</v>
      </c>
      <c r="K1721" s="312" t="s">
        <v>1032</v>
      </c>
      <c r="L1721" s="166"/>
    </row>
    <row r="1722" spans="1:12" ht="15" customHeight="1" x14ac:dyDescent="0.3">
      <c r="A1722" s="313" t="s">
        <v>1033</v>
      </c>
      <c r="B1722" s="315" t="s">
        <v>2131</v>
      </c>
      <c r="C1722" s="313" t="s">
        <v>420</v>
      </c>
      <c r="D1722" s="313" t="s">
        <v>5937</v>
      </c>
      <c r="E1722" s="603" t="s">
        <v>1261</v>
      </c>
      <c r="F1722" s="603"/>
      <c r="G1722" s="314" t="s">
        <v>422</v>
      </c>
      <c r="H1722" s="399">
        <v>1</v>
      </c>
      <c r="I1722" s="316"/>
      <c r="J1722" s="316">
        <v>328.57</v>
      </c>
      <c r="K1722" s="316">
        <v>328.57</v>
      </c>
      <c r="L1722" s="168"/>
    </row>
    <row r="1723" spans="1:12" ht="15" customHeight="1" x14ac:dyDescent="0.3">
      <c r="A1723" s="400" t="s">
        <v>1038</v>
      </c>
      <c r="B1723" s="401" t="s">
        <v>2362</v>
      </c>
      <c r="C1723" s="400" t="s">
        <v>420</v>
      </c>
      <c r="D1723" s="400" t="s">
        <v>1754</v>
      </c>
      <c r="E1723" s="605" t="s">
        <v>1039</v>
      </c>
      <c r="F1723" s="605"/>
      <c r="G1723" s="402" t="s">
        <v>422</v>
      </c>
      <c r="H1723" s="403">
        <v>1</v>
      </c>
      <c r="I1723" s="403">
        <v>0</v>
      </c>
      <c r="J1723" s="404">
        <v>328.57</v>
      </c>
      <c r="K1723" s="404">
        <v>328.57</v>
      </c>
      <c r="L1723" s="168"/>
    </row>
    <row r="1724" spans="1:12" ht="15" x14ac:dyDescent="0.3">
      <c r="A1724" s="405"/>
      <c r="B1724" s="405"/>
      <c r="C1724" s="405"/>
      <c r="D1724" s="405"/>
      <c r="E1724" s="405" t="s">
        <v>1046</v>
      </c>
      <c r="F1724" s="406">
        <v>0</v>
      </c>
      <c r="G1724" s="405" t="s">
        <v>1047</v>
      </c>
      <c r="H1724" s="406">
        <v>0</v>
      </c>
      <c r="I1724" s="405" t="s">
        <v>1048</v>
      </c>
      <c r="J1724" s="406">
        <v>0</v>
      </c>
      <c r="K1724"/>
      <c r="L1724" s="168"/>
    </row>
    <row r="1725" spans="1:12" ht="15.6" thickBot="1" x14ac:dyDescent="0.35">
      <c r="A1725" s="405"/>
      <c r="B1725" s="405"/>
      <c r="C1725" s="405"/>
      <c r="D1725" s="405"/>
      <c r="E1725" s="405" t="s">
        <v>1049</v>
      </c>
      <c r="F1725" s="406">
        <v>0</v>
      </c>
      <c r="G1725" s="405"/>
      <c r="H1725" s="606"/>
      <c r="I1725" s="606" t="s">
        <v>1050</v>
      </c>
      <c r="J1725" s="406">
        <v>328.57</v>
      </c>
      <c r="K1725"/>
      <c r="L1725" s="166"/>
    </row>
    <row r="1726" spans="1:12" ht="15.6" thickTop="1" x14ac:dyDescent="0.3">
      <c r="A1726" s="407"/>
      <c r="B1726" s="407"/>
      <c r="C1726" s="407"/>
      <c r="D1726" s="407"/>
      <c r="E1726" s="407"/>
      <c r="F1726" s="407"/>
      <c r="G1726" s="407"/>
      <c r="H1726" s="407"/>
      <c r="I1726" s="407"/>
      <c r="J1726" s="407"/>
      <c r="K1726" s="407"/>
      <c r="L1726" s="166"/>
    </row>
    <row r="1727" spans="1:12" ht="15" customHeight="1" x14ac:dyDescent="0.3">
      <c r="A1727" s="382" t="s">
        <v>1660</v>
      </c>
      <c r="B1727" s="312" t="s">
        <v>413</v>
      </c>
      <c r="C1727" s="382" t="s">
        <v>414</v>
      </c>
      <c r="D1727" s="382" t="s">
        <v>415</v>
      </c>
      <c r="E1727" s="586" t="s">
        <v>1029</v>
      </c>
      <c r="F1727" s="586"/>
      <c r="G1727" s="383" t="s">
        <v>416</v>
      </c>
      <c r="H1727" s="312" t="s">
        <v>1030</v>
      </c>
      <c r="I1727" s="312" t="s">
        <v>3016</v>
      </c>
      <c r="J1727" s="312" t="s">
        <v>1031</v>
      </c>
      <c r="K1727" s="312" t="s">
        <v>1032</v>
      </c>
      <c r="L1727" s="166"/>
    </row>
    <row r="1728" spans="1:12" ht="25.5" customHeight="1" x14ac:dyDescent="0.3">
      <c r="A1728" s="313" t="s">
        <v>1033</v>
      </c>
      <c r="B1728" s="315" t="s">
        <v>2127</v>
      </c>
      <c r="C1728" s="313" t="s">
        <v>408</v>
      </c>
      <c r="D1728" s="313" t="s">
        <v>1737</v>
      </c>
      <c r="E1728" s="603" t="s">
        <v>2342</v>
      </c>
      <c r="F1728" s="603"/>
      <c r="G1728" s="314" t="s">
        <v>675</v>
      </c>
      <c r="H1728" s="399">
        <v>1</v>
      </c>
      <c r="I1728" s="316"/>
      <c r="J1728" s="316">
        <v>438.2</v>
      </c>
      <c r="K1728" s="316">
        <v>438.2</v>
      </c>
      <c r="L1728" s="166"/>
    </row>
    <row r="1729" spans="1:12" ht="25.5" customHeight="1" x14ac:dyDescent="0.3">
      <c r="A1729" s="400" t="s">
        <v>1038</v>
      </c>
      <c r="B1729" s="401" t="s">
        <v>2343</v>
      </c>
      <c r="C1729" s="400" t="s">
        <v>408</v>
      </c>
      <c r="D1729" s="400" t="s">
        <v>2344</v>
      </c>
      <c r="E1729" s="605" t="s">
        <v>1039</v>
      </c>
      <c r="F1729" s="605"/>
      <c r="G1729" s="402" t="s">
        <v>675</v>
      </c>
      <c r="H1729" s="403">
        <v>1.05</v>
      </c>
      <c r="I1729" s="403">
        <v>0</v>
      </c>
      <c r="J1729" s="404">
        <v>15.7</v>
      </c>
      <c r="K1729" s="404">
        <v>16.484999999999999</v>
      </c>
      <c r="L1729" s="166"/>
    </row>
    <row r="1730" spans="1:12" ht="15" x14ac:dyDescent="0.3">
      <c r="A1730" s="400" t="s">
        <v>1038</v>
      </c>
      <c r="B1730" s="401" t="s">
        <v>2347</v>
      </c>
      <c r="C1730" s="400" t="s">
        <v>408</v>
      </c>
      <c r="D1730" s="400" t="s">
        <v>2348</v>
      </c>
      <c r="E1730" s="605" t="s">
        <v>1039</v>
      </c>
      <c r="F1730" s="605"/>
      <c r="G1730" s="402" t="s">
        <v>7</v>
      </c>
      <c r="H1730" s="403">
        <v>4</v>
      </c>
      <c r="I1730" s="403">
        <v>0</v>
      </c>
      <c r="J1730" s="404">
        <v>16.690000000000001</v>
      </c>
      <c r="K1730" s="404">
        <v>66.760000000000005</v>
      </c>
      <c r="L1730" s="166"/>
    </row>
    <row r="1731" spans="1:12" ht="15" customHeight="1" x14ac:dyDescent="0.3">
      <c r="A1731" s="400" t="s">
        <v>1038</v>
      </c>
      <c r="B1731" s="401" t="s">
        <v>2345</v>
      </c>
      <c r="C1731" s="400" t="s">
        <v>408</v>
      </c>
      <c r="D1731" s="400" t="s">
        <v>2346</v>
      </c>
      <c r="E1731" s="605" t="s">
        <v>1039</v>
      </c>
      <c r="F1731" s="605"/>
      <c r="G1731" s="402" t="s">
        <v>675</v>
      </c>
      <c r="H1731" s="403">
        <v>1</v>
      </c>
      <c r="I1731" s="403">
        <v>0</v>
      </c>
      <c r="J1731" s="404">
        <v>320</v>
      </c>
      <c r="K1731" s="404">
        <v>320</v>
      </c>
      <c r="L1731" s="166"/>
    </row>
    <row r="1732" spans="1:12" ht="38.25" customHeight="1" x14ac:dyDescent="0.3">
      <c r="A1732" s="400" t="s">
        <v>1038</v>
      </c>
      <c r="B1732" s="401" t="s">
        <v>6387</v>
      </c>
      <c r="C1732" s="400" t="s">
        <v>408</v>
      </c>
      <c r="D1732" s="400" t="s">
        <v>6388</v>
      </c>
      <c r="E1732" s="605" t="s">
        <v>1053</v>
      </c>
      <c r="F1732" s="605"/>
      <c r="G1732" s="402" t="s">
        <v>6</v>
      </c>
      <c r="H1732" s="403">
        <v>0.7</v>
      </c>
      <c r="I1732" s="403">
        <v>0</v>
      </c>
      <c r="J1732" s="404">
        <v>28.35</v>
      </c>
      <c r="K1732" s="404">
        <v>19.844999999999999</v>
      </c>
      <c r="L1732" s="168"/>
    </row>
    <row r="1733" spans="1:12" ht="25.5" customHeight="1" x14ac:dyDescent="0.3">
      <c r="A1733" s="400" t="s">
        <v>1038</v>
      </c>
      <c r="B1733" s="401" t="s">
        <v>7192</v>
      </c>
      <c r="C1733" s="400" t="s">
        <v>408</v>
      </c>
      <c r="D1733" s="400" t="s">
        <v>7193</v>
      </c>
      <c r="E1733" s="605" t="s">
        <v>1053</v>
      </c>
      <c r="F1733" s="605"/>
      <c r="G1733" s="402" t="s">
        <v>6</v>
      </c>
      <c r="H1733" s="403">
        <v>0.7</v>
      </c>
      <c r="I1733" s="403">
        <v>0</v>
      </c>
      <c r="J1733" s="404">
        <v>21.59</v>
      </c>
      <c r="K1733" s="404">
        <v>15.113</v>
      </c>
      <c r="L1733" s="170"/>
    </row>
    <row r="1734" spans="1:12" ht="25.5" customHeight="1" x14ac:dyDescent="0.3">
      <c r="A1734" s="405"/>
      <c r="B1734" s="405"/>
      <c r="C1734" s="405"/>
      <c r="D1734" s="405"/>
      <c r="E1734" s="405" t="s">
        <v>1046</v>
      </c>
      <c r="F1734" s="406">
        <v>34.96</v>
      </c>
      <c r="G1734" s="405" t="s">
        <v>1047</v>
      </c>
      <c r="H1734" s="406">
        <v>0</v>
      </c>
      <c r="I1734" s="405" t="s">
        <v>1048</v>
      </c>
      <c r="J1734" s="406">
        <v>34.96</v>
      </c>
      <c r="K1734"/>
      <c r="L1734" s="168"/>
    </row>
    <row r="1735" spans="1:12" ht="15" customHeight="1" thickBot="1" x14ac:dyDescent="0.35">
      <c r="A1735" s="405"/>
      <c r="B1735" s="405"/>
      <c r="C1735" s="405"/>
      <c r="D1735" s="405"/>
      <c r="E1735" s="405" t="s">
        <v>1049</v>
      </c>
      <c r="F1735" s="406">
        <v>0</v>
      </c>
      <c r="G1735" s="405"/>
      <c r="H1735" s="606"/>
      <c r="I1735" s="606" t="s">
        <v>1050</v>
      </c>
      <c r="J1735" s="406">
        <v>438.2</v>
      </c>
      <c r="K1735"/>
      <c r="L1735" s="168"/>
    </row>
    <row r="1736" spans="1:12" ht="25.5" customHeight="1" thickTop="1" x14ac:dyDescent="0.3">
      <c r="A1736" s="407"/>
      <c r="B1736" s="407"/>
      <c r="C1736" s="407"/>
      <c r="D1736" s="407"/>
      <c r="E1736" s="407"/>
      <c r="F1736" s="407"/>
      <c r="G1736" s="407"/>
      <c r="H1736" s="407"/>
      <c r="I1736" s="407"/>
      <c r="J1736" s="407"/>
      <c r="K1736" s="407"/>
      <c r="L1736" s="168"/>
    </row>
    <row r="1737" spans="1:12" ht="25.5" customHeight="1" x14ac:dyDescent="0.3">
      <c r="A1737" s="382" t="s">
        <v>1661</v>
      </c>
      <c r="B1737" s="312" t="s">
        <v>413</v>
      </c>
      <c r="C1737" s="382" t="s">
        <v>414</v>
      </c>
      <c r="D1737" s="382" t="s">
        <v>415</v>
      </c>
      <c r="E1737" s="586" t="s">
        <v>1029</v>
      </c>
      <c r="F1737" s="586"/>
      <c r="G1737" s="383" t="s">
        <v>416</v>
      </c>
      <c r="H1737" s="312" t="s">
        <v>1030</v>
      </c>
      <c r="I1737" s="312" t="s">
        <v>3016</v>
      </c>
      <c r="J1737" s="312" t="s">
        <v>1031</v>
      </c>
      <c r="K1737" s="312" t="s">
        <v>1032</v>
      </c>
      <c r="L1737" s="166"/>
    </row>
    <row r="1738" spans="1:12" ht="26.4" x14ac:dyDescent="0.3">
      <c r="A1738" s="313" t="s">
        <v>1033</v>
      </c>
      <c r="B1738" s="315" t="s">
        <v>1006</v>
      </c>
      <c r="C1738" s="313" t="s">
        <v>5902</v>
      </c>
      <c r="D1738" s="313" t="s">
        <v>726</v>
      </c>
      <c r="E1738" s="603">
        <v>44.2</v>
      </c>
      <c r="F1738" s="603"/>
      <c r="G1738" s="314" t="s">
        <v>4</v>
      </c>
      <c r="H1738" s="399">
        <v>1</v>
      </c>
      <c r="I1738" s="316"/>
      <c r="J1738" s="316">
        <v>195.2</v>
      </c>
      <c r="K1738" s="316">
        <v>195.2</v>
      </c>
      <c r="L1738" s="166"/>
    </row>
    <row r="1739" spans="1:12" ht="27" customHeight="1" x14ac:dyDescent="0.3">
      <c r="A1739" s="400" t="s">
        <v>1038</v>
      </c>
      <c r="B1739" s="401" t="s">
        <v>1358</v>
      </c>
      <c r="C1739" s="400" t="s">
        <v>5902</v>
      </c>
      <c r="D1739" s="400" t="s">
        <v>1359</v>
      </c>
      <c r="E1739" s="605" t="s">
        <v>1053</v>
      </c>
      <c r="F1739" s="605"/>
      <c r="G1739" s="402" t="s">
        <v>6</v>
      </c>
      <c r="H1739" s="403">
        <v>0.5</v>
      </c>
      <c r="I1739" s="403">
        <v>0</v>
      </c>
      <c r="J1739" s="404">
        <v>22.71</v>
      </c>
      <c r="K1739" s="404">
        <v>11.355</v>
      </c>
      <c r="L1739" s="168"/>
    </row>
    <row r="1740" spans="1:12" ht="27" customHeight="1" x14ac:dyDescent="0.3">
      <c r="A1740" s="400" t="s">
        <v>1038</v>
      </c>
      <c r="B1740" s="401" t="s">
        <v>1360</v>
      </c>
      <c r="C1740" s="400" t="s">
        <v>5902</v>
      </c>
      <c r="D1740" s="400" t="s">
        <v>1361</v>
      </c>
      <c r="E1740" s="605" t="s">
        <v>1053</v>
      </c>
      <c r="F1740" s="605"/>
      <c r="G1740" s="402" t="s">
        <v>6</v>
      </c>
      <c r="H1740" s="403">
        <v>0.5</v>
      </c>
      <c r="I1740" s="403">
        <v>0</v>
      </c>
      <c r="J1740" s="404">
        <v>33.119999999999997</v>
      </c>
      <c r="K1740" s="404">
        <v>16.559999999999999</v>
      </c>
      <c r="L1740" s="168"/>
    </row>
    <row r="1741" spans="1:12" ht="25.5" customHeight="1" x14ac:dyDescent="0.3">
      <c r="A1741" s="400" t="s">
        <v>1038</v>
      </c>
      <c r="B1741" s="401" t="s">
        <v>1310</v>
      </c>
      <c r="C1741" s="400" t="s">
        <v>5902</v>
      </c>
      <c r="D1741" s="400" t="s">
        <v>1311</v>
      </c>
      <c r="E1741" s="605" t="s">
        <v>1039</v>
      </c>
      <c r="F1741" s="605"/>
      <c r="G1741" s="402" t="s">
        <v>7</v>
      </c>
      <c r="H1741" s="403">
        <v>0.5</v>
      </c>
      <c r="I1741" s="403">
        <v>0</v>
      </c>
      <c r="J1741" s="404">
        <v>0.2</v>
      </c>
      <c r="K1741" s="404">
        <v>0.1</v>
      </c>
      <c r="L1741" s="168"/>
    </row>
    <row r="1742" spans="1:12" ht="26.4" x14ac:dyDescent="0.3">
      <c r="A1742" s="400" t="s">
        <v>1038</v>
      </c>
      <c r="B1742" s="401" t="s">
        <v>1499</v>
      </c>
      <c r="C1742" s="400" t="s">
        <v>5902</v>
      </c>
      <c r="D1742" s="400" t="s">
        <v>1500</v>
      </c>
      <c r="E1742" s="605" t="s">
        <v>1039</v>
      </c>
      <c r="F1742" s="605"/>
      <c r="G1742" s="402" t="s">
        <v>4</v>
      </c>
      <c r="H1742" s="403">
        <v>1</v>
      </c>
      <c r="I1742" s="403">
        <v>0</v>
      </c>
      <c r="J1742" s="404">
        <v>167.18</v>
      </c>
      <c r="K1742" s="404">
        <v>167.18</v>
      </c>
      <c r="L1742" s="168"/>
    </row>
    <row r="1743" spans="1:12" ht="15" x14ac:dyDescent="0.3">
      <c r="A1743" s="405"/>
      <c r="B1743" s="405"/>
      <c r="C1743" s="405"/>
      <c r="D1743" s="405"/>
      <c r="E1743" s="405" t="s">
        <v>1046</v>
      </c>
      <c r="F1743" s="406">
        <v>27.92</v>
      </c>
      <c r="G1743" s="405" t="s">
        <v>1047</v>
      </c>
      <c r="H1743" s="406">
        <v>0</v>
      </c>
      <c r="I1743" s="405" t="s">
        <v>1048</v>
      </c>
      <c r="J1743" s="406">
        <v>27.92</v>
      </c>
      <c r="K1743"/>
      <c r="L1743" s="166"/>
    </row>
    <row r="1744" spans="1:12" ht="15" customHeight="1" thickBot="1" x14ac:dyDescent="0.35">
      <c r="A1744" s="405"/>
      <c r="B1744" s="405"/>
      <c r="C1744" s="405"/>
      <c r="D1744" s="405"/>
      <c r="E1744" s="405" t="s">
        <v>1049</v>
      </c>
      <c r="F1744" s="406">
        <v>0</v>
      </c>
      <c r="G1744" s="405"/>
      <c r="H1744" s="606"/>
      <c r="I1744" s="606" t="s">
        <v>1050</v>
      </c>
      <c r="J1744" s="406">
        <v>195.2</v>
      </c>
      <c r="K1744"/>
      <c r="L1744" s="168"/>
    </row>
    <row r="1745" spans="1:12" ht="15.6" thickTop="1" x14ac:dyDescent="0.3">
      <c r="A1745" s="407"/>
      <c r="B1745" s="407"/>
      <c r="C1745" s="407"/>
      <c r="D1745" s="407"/>
      <c r="E1745" s="407"/>
      <c r="F1745" s="407"/>
      <c r="G1745" s="407"/>
      <c r="H1745" s="407"/>
      <c r="I1745" s="407"/>
      <c r="J1745" s="407"/>
      <c r="K1745" s="407"/>
      <c r="L1745" s="168"/>
    </row>
    <row r="1746" spans="1:12" ht="12.75" customHeight="1" x14ac:dyDescent="0.3">
      <c r="A1746" s="382" t="s">
        <v>1771</v>
      </c>
      <c r="B1746" s="312" t="s">
        <v>413</v>
      </c>
      <c r="C1746" s="382" t="s">
        <v>414</v>
      </c>
      <c r="D1746" s="382" t="s">
        <v>415</v>
      </c>
      <c r="E1746" s="586" t="s">
        <v>1029</v>
      </c>
      <c r="F1746" s="586"/>
      <c r="G1746" s="383" t="s">
        <v>416</v>
      </c>
      <c r="H1746" s="312" t="s">
        <v>1030</v>
      </c>
      <c r="I1746" s="312" t="s">
        <v>3016</v>
      </c>
      <c r="J1746" s="312" t="s">
        <v>1031</v>
      </c>
      <c r="K1746" s="312" t="s">
        <v>1032</v>
      </c>
      <c r="L1746" s="168"/>
    </row>
    <row r="1747" spans="1:12" ht="15" customHeight="1" x14ac:dyDescent="0.3">
      <c r="A1747" s="313" t="s">
        <v>1033</v>
      </c>
      <c r="B1747" s="315" t="s">
        <v>1007</v>
      </c>
      <c r="C1747" s="313" t="s">
        <v>5902</v>
      </c>
      <c r="D1747" s="313" t="s">
        <v>728</v>
      </c>
      <c r="E1747" s="603">
        <v>44.2</v>
      </c>
      <c r="F1747" s="603"/>
      <c r="G1747" s="314" t="s">
        <v>4</v>
      </c>
      <c r="H1747" s="399">
        <v>1</v>
      </c>
      <c r="I1747" s="316"/>
      <c r="J1747" s="316">
        <v>152.47999999999999</v>
      </c>
      <c r="K1747" s="316">
        <v>152.47999999999999</v>
      </c>
      <c r="L1747" s="166"/>
    </row>
    <row r="1748" spans="1:12" ht="26.4" x14ac:dyDescent="0.3">
      <c r="A1748" s="400" t="s">
        <v>1038</v>
      </c>
      <c r="B1748" s="401" t="s">
        <v>1360</v>
      </c>
      <c r="C1748" s="400" t="s">
        <v>5902</v>
      </c>
      <c r="D1748" s="400" t="s">
        <v>1361</v>
      </c>
      <c r="E1748" s="605" t="s">
        <v>1053</v>
      </c>
      <c r="F1748" s="605"/>
      <c r="G1748" s="402" t="s">
        <v>6</v>
      </c>
      <c r="H1748" s="403">
        <v>0.5</v>
      </c>
      <c r="I1748" s="403">
        <v>0</v>
      </c>
      <c r="J1748" s="404">
        <v>33.119999999999997</v>
      </c>
      <c r="K1748" s="404">
        <v>16.559999999999999</v>
      </c>
      <c r="L1748" s="166"/>
    </row>
    <row r="1749" spans="1:12" ht="25.5" customHeight="1" x14ac:dyDescent="0.3">
      <c r="A1749" s="400" t="s">
        <v>1038</v>
      </c>
      <c r="B1749" s="401" t="s">
        <v>1358</v>
      </c>
      <c r="C1749" s="400" t="s">
        <v>5902</v>
      </c>
      <c r="D1749" s="400" t="s">
        <v>1359</v>
      </c>
      <c r="E1749" s="605" t="s">
        <v>1053</v>
      </c>
      <c r="F1749" s="605"/>
      <c r="G1749" s="402" t="s">
        <v>6</v>
      </c>
      <c r="H1749" s="403">
        <v>0.5</v>
      </c>
      <c r="I1749" s="403">
        <v>0</v>
      </c>
      <c r="J1749" s="404">
        <v>22.71</v>
      </c>
      <c r="K1749" s="404">
        <v>11.355</v>
      </c>
      <c r="L1749" s="168"/>
    </row>
    <row r="1750" spans="1:12" ht="25.5" customHeight="1" x14ac:dyDescent="0.3">
      <c r="A1750" s="400" t="s">
        <v>1038</v>
      </c>
      <c r="B1750" s="401" t="s">
        <v>1310</v>
      </c>
      <c r="C1750" s="400" t="s">
        <v>5902</v>
      </c>
      <c r="D1750" s="400" t="s">
        <v>1311</v>
      </c>
      <c r="E1750" s="605" t="s">
        <v>1039</v>
      </c>
      <c r="F1750" s="605"/>
      <c r="G1750" s="402" t="s">
        <v>7</v>
      </c>
      <c r="H1750" s="403">
        <v>0.5</v>
      </c>
      <c r="I1750" s="403">
        <v>0</v>
      </c>
      <c r="J1750" s="404">
        <v>0.2</v>
      </c>
      <c r="K1750" s="404">
        <v>0.1</v>
      </c>
      <c r="L1750" s="168"/>
    </row>
    <row r="1751" spans="1:12" ht="15" customHeight="1" x14ac:dyDescent="0.3">
      <c r="A1751" s="400" t="s">
        <v>1038</v>
      </c>
      <c r="B1751" s="401" t="s">
        <v>1501</v>
      </c>
      <c r="C1751" s="400" t="s">
        <v>5902</v>
      </c>
      <c r="D1751" s="400" t="s">
        <v>1502</v>
      </c>
      <c r="E1751" s="605" t="s">
        <v>1039</v>
      </c>
      <c r="F1751" s="605"/>
      <c r="G1751" s="402" t="s">
        <v>4</v>
      </c>
      <c r="H1751" s="403">
        <v>1</v>
      </c>
      <c r="I1751" s="403">
        <v>0</v>
      </c>
      <c r="J1751" s="404">
        <v>124.46</v>
      </c>
      <c r="K1751" s="404">
        <v>124.46</v>
      </c>
      <c r="L1751" s="168"/>
    </row>
    <row r="1752" spans="1:12" ht="15" x14ac:dyDescent="0.3">
      <c r="A1752" s="405"/>
      <c r="B1752" s="405"/>
      <c r="C1752" s="405"/>
      <c r="D1752" s="405"/>
      <c r="E1752" s="405" t="s">
        <v>1046</v>
      </c>
      <c r="F1752" s="406">
        <v>27.92</v>
      </c>
      <c r="G1752" s="405" t="s">
        <v>1047</v>
      </c>
      <c r="H1752" s="406">
        <v>0</v>
      </c>
      <c r="I1752" s="405" t="s">
        <v>1048</v>
      </c>
      <c r="J1752" s="406">
        <v>27.92</v>
      </c>
      <c r="K1752"/>
      <c r="L1752" s="166"/>
    </row>
    <row r="1753" spans="1:12" ht="25.5" customHeight="1" thickBot="1" x14ac:dyDescent="0.35">
      <c r="A1753" s="405"/>
      <c r="B1753" s="405"/>
      <c r="C1753" s="405"/>
      <c r="D1753" s="405"/>
      <c r="E1753" s="405" t="s">
        <v>1049</v>
      </c>
      <c r="F1753" s="406">
        <v>0</v>
      </c>
      <c r="G1753" s="405"/>
      <c r="H1753" s="606"/>
      <c r="I1753" s="606" t="s">
        <v>1050</v>
      </c>
      <c r="J1753" s="406">
        <v>152.47999999999999</v>
      </c>
      <c r="K1753"/>
      <c r="L1753" s="166"/>
    </row>
    <row r="1754" spans="1:12" ht="15.6" thickTop="1" x14ac:dyDescent="0.3">
      <c r="A1754" s="407"/>
      <c r="B1754" s="407"/>
      <c r="C1754" s="407"/>
      <c r="D1754" s="407"/>
      <c r="E1754" s="407"/>
      <c r="F1754" s="407"/>
      <c r="G1754" s="407"/>
      <c r="H1754" s="407"/>
      <c r="I1754" s="407"/>
      <c r="J1754" s="407"/>
      <c r="K1754" s="407"/>
      <c r="L1754" s="166"/>
    </row>
    <row r="1755" spans="1:12" ht="17.399999999999999" customHeight="1" x14ac:dyDescent="0.3">
      <c r="A1755" s="382" t="s">
        <v>1668</v>
      </c>
      <c r="B1755" s="312" t="s">
        <v>413</v>
      </c>
      <c r="C1755" s="382" t="s">
        <v>414</v>
      </c>
      <c r="D1755" s="382" t="s">
        <v>415</v>
      </c>
      <c r="E1755" s="586" t="s">
        <v>1029</v>
      </c>
      <c r="F1755" s="586"/>
      <c r="G1755" s="383" t="s">
        <v>416</v>
      </c>
      <c r="H1755" s="312" t="s">
        <v>1030</v>
      </c>
      <c r="I1755" s="312" t="s">
        <v>3016</v>
      </c>
      <c r="J1755" s="312" t="s">
        <v>1031</v>
      </c>
      <c r="K1755" s="312" t="s">
        <v>1032</v>
      </c>
      <c r="L1755" s="166"/>
    </row>
    <row r="1756" spans="1:12" ht="26.4" x14ac:dyDescent="0.3">
      <c r="A1756" s="313" t="s">
        <v>1033</v>
      </c>
      <c r="B1756" s="315" t="s">
        <v>3826</v>
      </c>
      <c r="C1756" s="313" t="s">
        <v>395</v>
      </c>
      <c r="D1756" s="313" t="s">
        <v>5938</v>
      </c>
      <c r="E1756" s="603" t="s">
        <v>7862</v>
      </c>
      <c r="F1756" s="603"/>
      <c r="G1756" s="314" t="s">
        <v>4</v>
      </c>
      <c r="H1756" s="399">
        <v>1</v>
      </c>
      <c r="I1756" s="316"/>
      <c r="J1756" s="316">
        <v>2101.84</v>
      </c>
      <c r="K1756" s="316">
        <v>2101.84</v>
      </c>
      <c r="L1756" s="166"/>
    </row>
    <row r="1757" spans="1:12" ht="15" customHeight="1" x14ac:dyDescent="0.3">
      <c r="A1757" s="408" t="s">
        <v>1034</v>
      </c>
      <c r="B1757" s="409" t="s">
        <v>1112</v>
      </c>
      <c r="C1757" s="408" t="s">
        <v>395</v>
      </c>
      <c r="D1757" s="408" t="s">
        <v>137</v>
      </c>
      <c r="E1757" s="604" t="s">
        <v>7768</v>
      </c>
      <c r="F1757" s="604"/>
      <c r="G1757" s="410" t="s">
        <v>6</v>
      </c>
      <c r="H1757" s="412">
        <v>0.48754189999999997</v>
      </c>
      <c r="I1757" s="412">
        <v>0</v>
      </c>
      <c r="J1757" s="411">
        <v>40.299999999999997</v>
      </c>
      <c r="K1757" s="411">
        <v>19.6479386</v>
      </c>
      <c r="L1757" s="166"/>
    </row>
    <row r="1758" spans="1:12" ht="25.5" customHeight="1" x14ac:dyDescent="0.3">
      <c r="A1758" s="408" t="s">
        <v>1034</v>
      </c>
      <c r="B1758" s="409" t="s">
        <v>1290</v>
      </c>
      <c r="C1758" s="408" t="s">
        <v>395</v>
      </c>
      <c r="D1758" s="408" t="s">
        <v>147</v>
      </c>
      <c r="E1758" s="604" t="s">
        <v>7768</v>
      </c>
      <c r="F1758" s="604"/>
      <c r="G1758" s="410" t="s">
        <v>6</v>
      </c>
      <c r="H1758" s="412">
        <v>0.18713730000000001</v>
      </c>
      <c r="I1758" s="412">
        <v>0</v>
      </c>
      <c r="J1758" s="411">
        <v>32.82</v>
      </c>
      <c r="K1758" s="411">
        <v>6.1418461999999998</v>
      </c>
      <c r="L1758" s="166"/>
    </row>
    <row r="1759" spans="1:12" ht="39.9" customHeight="1" x14ac:dyDescent="0.3">
      <c r="A1759" s="400" t="s">
        <v>1038</v>
      </c>
      <c r="B1759" s="401" t="s">
        <v>4073</v>
      </c>
      <c r="C1759" s="400" t="s">
        <v>395</v>
      </c>
      <c r="D1759" s="400" t="s">
        <v>4074</v>
      </c>
      <c r="E1759" s="605" t="s">
        <v>1039</v>
      </c>
      <c r="F1759" s="605"/>
      <c r="G1759" s="402" t="s">
        <v>4</v>
      </c>
      <c r="H1759" s="403">
        <v>1</v>
      </c>
      <c r="I1759" s="403">
        <v>0</v>
      </c>
      <c r="J1759" s="404">
        <v>2076.0500000000002</v>
      </c>
      <c r="K1759" s="404">
        <v>2076.0500000000002</v>
      </c>
      <c r="L1759" s="168"/>
    </row>
    <row r="1760" spans="1:12" ht="15" customHeight="1" x14ac:dyDescent="0.3">
      <c r="A1760" s="405"/>
      <c r="B1760" s="405"/>
      <c r="C1760" s="405"/>
      <c r="D1760" s="405"/>
      <c r="E1760" s="405" t="s">
        <v>1046</v>
      </c>
      <c r="F1760" s="406">
        <v>19.14</v>
      </c>
      <c r="G1760" s="405" t="s">
        <v>1047</v>
      </c>
      <c r="H1760" s="406">
        <v>0</v>
      </c>
      <c r="I1760" s="405" t="s">
        <v>1048</v>
      </c>
      <c r="J1760" s="406">
        <v>19.14</v>
      </c>
      <c r="K1760"/>
      <c r="L1760" s="170"/>
    </row>
    <row r="1761" spans="1:12" ht="25.5" customHeight="1" thickBot="1" x14ac:dyDescent="0.35">
      <c r="A1761" s="405"/>
      <c r="B1761" s="405"/>
      <c r="C1761" s="405"/>
      <c r="D1761" s="405"/>
      <c r="E1761" s="405" t="s">
        <v>1049</v>
      </c>
      <c r="F1761" s="406">
        <v>0</v>
      </c>
      <c r="G1761" s="405"/>
      <c r="H1761" s="606"/>
      <c r="I1761" s="606" t="s">
        <v>1050</v>
      </c>
      <c r="J1761" s="406">
        <v>2101.84</v>
      </c>
      <c r="K1761"/>
      <c r="L1761" s="168"/>
    </row>
    <row r="1762" spans="1:12" ht="25.5" customHeight="1" thickTop="1" x14ac:dyDescent="0.3">
      <c r="A1762" s="407"/>
      <c r="B1762" s="407"/>
      <c r="C1762" s="407"/>
      <c r="D1762" s="407"/>
      <c r="E1762" s="407"/>
      <c r="F1762" s="407"/>
      <c r="G1762" s="407"/>
      <c r="H1762" s="407"/>
      <c r="I1762" s="407"/>
      <c r="J1762" s="407"/>
      <c r="K1762" s="407"/>
      <c r="L1762" s="168"/>
    </row>
    <row r="1763" spans="1:12" ht="25.5" customHeight="1" x14ac:dyDescent="0.3">
      <c r="A1763" s="382" t="s">
        <v>1672</v>
      </c>
      <c r="B1763" s="312" t="s">
        <v>413</v>
      </c>
      <c r="C1763" s="382" t="s">
        <v>414</v>
      </c>
      <c r="D1763" s="382" t="s">
        <v>415</v>
      </c>
      <c r="E1763" s="586" t="s">
        <v>1029</v>
      </c>
      <c r="F1763" s="586"/>
      <c r="G1763" s="383" t="s">
        <v>416</v>
      </c>
      <c r="H1763" s="312" t="s">
        <v>1030</v>
      </c>
      <c r="I1763" s="312" t="s">
        <v>3016</v>
      </c>
      <c r="J1763" s="312" t="s">
        <v>1031</v>
      </c>
      <c r="K1763" s="312" t="s">
        <v>1032</v>
      </c>
      <c r="L1763" s="168"/>
    </row>
    <row r="1764" spans="1:12" ht="25.5" customHeight="1" x14ac:dyDescent="0.3">
      <c r="A1764" s="313" t="s">
        <v>1033</v>
      </c>
      <c r="B1764" s="315" t="s">
        <v>3827</v>
      </c>
      <c r="C1764" s="313" t="s">
        <v>395</v>
      </c>
      <c r="D1764" s="313" t="s">
        <v>5939</v>
      </c>
      <c r="E1764" s="603" t="s">
        <v>7862</v>
      </c>
      <c r="F1764" s="603"/>
      <c r="G1764" s="314" t="s">
        <v>4</v>
      </c>
      <c r="H1764" s="399">
        <v>1</v>
      </c>
      <c r="I1764" s="316"/>
      <c r="J1764" s="316">
        <v>118.04</v>
      </c>
      <c r="K1764" s="316">
        <v>118.04</v>
      </c>
      <c r="L1764" s="166"/>
    </row>
    <row r="1765" spans="1:12" ht="14.25" customHeight="1" x14ac:dyDescent="0.3">
      <c r="A1765" s="408" t="s">
        <v>1034</v>
      </c>
      <c r="B1765" s="409" t="s">
        <v>1112</v>
      </c>
      <c r="C1765" s="408" t="s">
        <v>395</v>
      </c>
      <c r="D1765" s="408" t="s">
        <v>137</v>
      </c>
      <c r="E1765" s="604" t="s">
        <v>7768</v>
      </c>
      <c r="F1765" s="604"/>
      <c r="G1765" s="410" t="s">
        <v>6</v>
      </c>
      <c r="H1765" s="412">
        <v>0.16171540000000001</v>
      </c>
      <c r="I1765" s="412">
        <v>0</v>
      </c>
      <c r="J1765" s="411">
        <v>40.299999999999997</v>
      </c>
      <c r="K1765" s="411">
        <v>6.5171305999999998</v>
      </c>
      <c r="L1765" s="166"/>
    </row>
    <row r="1766" spans="1:12" ht="15" customHeight="1" x14ac:dyDescent="0.3">
      <c r="A1766" s="408" t="s">
        <v>1034</v>
      </c>
      <c r="B1766" s="409" t="s">
        <v>1290</v>
      </c>
      <c r="C1766" s="408" t="s">
        <v>395</v>
      </c>
      <c r="D1766" s="408" t="s">
        <v>147</v>
      </c>
      <c r="E1766" s="604" t="s">
        <v>7768</v>
      </c>
      <c r="F1766" s="604"/>
      <c r="G1766" s="410" t="s">
        <v>6</v>
      </c>
      <c r="H1766" s="412">
        <v>6.2072599999999999E-2</v>
      </c>
      <c r="I1766" s="412">
        <v>0</v>
      </c>
      <c r="J1766" s="411">
        <v>32.82</v>
      </c>
      <c r="K1766" s="411">
        <v>2.0372227000000001</v>
      </c>
      <c r="L1766" s="168"/>
    </row>
    <row r="1767" spans="1:12" ht="25.5" customHeight="1" x14ac:dyDescent="0.3">
      <c r="A1767" s="400" t="s">
        <v>1038</v>
      </c>
      <c r="B1767" s="401" t="s">
        <v>4999</v>
      </c>
      <c r="C1767" s="400" t="s">
        <v>395</v>
      </c>
      <c r="D1767" s="400" t="s">
        <v>5000</v>
      </c>
      <c r="E1767" s="605" t="s">
        <v>1039</v>
      </c>
      <c r="F1767" s="605"/>
      <c r="G1767" s="402" t="s">
        <v>4</v>
      </c>
      <c r="H1767" s="403">
        <v>2.1000000000000001E-2</v>
      </c>
      <c r="I1767" s="403">
        <v>0</v>
      </c>
      <c r="J1767" s="404">
        <v>4.18</v>
      </c>
      <c r="K1767" s="404">
        <v>8.7779999999999997E-2</v>
      </c>
      <c r="L1767" s="168"/>
    </row>
    <row r="1768" spans="1:12" ht="39.6" x14ac:dyDescent="0.3">
      <c r="A1768" s="400" t="s">
        <v>1038</v>
      </c>
      <c r="B1768" s="401" t="s">
        <v>4328</v>
      </c>
      <c r="C1768" s="400" t="s">
        <v>395</v>
      </c>
      <c r="D1768" s="400" t="s">
        <v>4329</v>
      </c>
      <c r="E1768" s="605" t="s">
        <v>1039</v>
      </c>
      <c r="F1768" s="605"/>
      <c r="G1768" s="402" t="s">
        <v>4</v>
      </c>
      <c r="H1768" s="403">
        <v>1</v>
      </c>
      <c r="I1768" s="403">
        <v>0</v>
      </c>
      <c r="J1768" s="404">
        <v>109.4</v>
      </c>
      <c r="K1768" s="404">
        <v>109.4</v>
      </c>
      <c r="L1768" s="168"/>
    </row>
    <row r="1769" spans="1:12" ht="25.5" customHeight="1" x14ac:dyDescent="0.3">
      <c r="A1769" s="405"/>
      <c r="B1769" s="405"/>
      <c r="C1769" s="405"/>
      <c r="D1769" s="405"/>
      <c r="E1769" s="405" t="s">
        <v>1046</v>
      </c>
      <c r="F1769" s="406">
        <v>6.35</v>
      </c>
      <c r="G1769" s="405" t="s">
        <v>1047</v>
      </c>
      <c r="H1769" s="406">
        <v>0</v>
      </c>
      <c r="I1769" s="405" t="s">
        <v>1048</v>
      </c>
      <c r="J1769" s="406">
        <v>6.35</v>
      </c>
      <c r="K1769"/>
      <c r="L1769" s="168"/>
    </row>
    <row r="1770" spans="1:12" ht="15.6" thickBot="1" x14ac:dyDescent="0.35">
      <c r="A1770" s="405"/>
      <c r="B1770" s="405"/>
      <c r="C1770" s="405"/>
      <c r="D1770" s="405"/>
      <c r="E1770" s="405" t="s">
        <v>1049</v>
      </c>
      <c r="F1770" s="406">
        <v>0</v>
      </c>
      <c r="G1770" s="405"/>
      <c r="H1770" s="606"/>
      <c r="I1770" s="606" t="s">
        <v>1050</v>
      </c>
      <c r="J1770" s="406">
        <v>118.04</v>
      </c>
      <c r="K1770"/>
      <c r="L1770" s="166"/>
    </row>
    <row r="1771" spans="1:12" ht="25.5" customHeight="1" thickTop="1" x14ac:dyDescent="0.3">
      <c r="A1771" s="407"/>
      <c r="B1771" s="407"/>
      <c r="C1771" s="407"/>
      <c r="D1771" s="407"/>
      <c r="E1771" s="407"/>
      <c r="F1771" s="407"/>
      <c r="G1771" s="407"/>
      <c r="H1771" s="407"/>
      <c r="I1771" s="407"/>
      <c r="J1771" s="407"/>
      <c r="K1771" s="407"/>
      <c r="L1771" s="168"/>
    </row>
    <row r="1772" spans="1:12" ht="25.5" customHeight="1" x14ac:dyDescent="0.3">
      <c r="A1772" s="382" t="s">
        <v>1676</v>
      </c>
      <c r="B1772" s="312" t="s">
        <v>413</v>
      </c>
      <c r="C1772" s="382" t="s">
        <v>414</v>
      </c>
      <c r="D1772" s="382" t="s">
        <v>415</v>
      </c>
      <c r="E1772" s="586" t="s">
        <v>1029</v>
      </c>
      <c r="F1772" s="586"/>
      <c r="G1772" s="383" t="s">
        <v>416</v>
      </c>
      <c r="H1772" s="312" t="s">
        <v>1030</v>
      </c>
      <c r="I1772" s="312" t="s">
        <v>3016</v>
      </c>
      <c r="J1772" s="312" t="s">
        <v>1031</v>
      </c>
      <c r="K1772" s="312" t="s">
        <v>1032</v>
      </c>
      <c r="L1772" s="168"/>
    </row>
    <row r="1773" spans="1:12" ht="14.25" customHeight="1" x14ac:dyDescent="0.3">
      <c r="A1773" s="313" t="s">
        <v>1033</v>
      </c>
      <c r="B1773" s="315" t="s">
        <v>1912</v>
      </c>
      <c r="C1773" s="313" t="s">
        <v>575</v>
      </c>
      <c r="D1773" s="313" t="s">
        <v>1690</v>
      </c>
      <c r="E1773" s="603" t="s">
        <v>1496</v>
      </c>
      <c r="F1773" s="603"/>
      <c r="G1773" s="314" t="s">
        <v>4</v>
      </c>
      <c r="H1773" s="399">
        <v>1</v>
      </c>
      <c r="I1773" s="316"/>
      <c r="J1773" s="316">
        <v>1946.81</v>
      </c>
      <c r="K1773" s="316">
        <v>1946.81</v>
      </c>
      <c r="L1773" s="168"/>
    </row>
    <row r="1774" spans="1:12" ht="30" customHeight="1" x14ac:dyDescent="0.3">
      <c r="A1774" s="408" t="s">
        <v>1034</v>
      </c>
      <c r="B1774" s="409" t="s">
        <v>1403</v>
      </c>
      <c r="C1774" s="408" t="s">
        <v>395</v>
      </c>
      <c r="D1774" s="408" t="s">
        <v>7865</v>
      </c>
      <c r="E1774" s="604" t="s">
        <v>7768</v>
      </c>
      <c r="F1774" s="604"/>
      <c r="G1774" s="410" t="s">
        <v>6</v>
      </c>
      <c r="H1774" s="412">
        <v>14.64</v>
      </c>
      <c r="I1774" s="412">
        <v>0</v>
      </c>
      <c r="J1774" s="411">
        <v>44.64</v>
      </c>
      <c r="K1774" s="411">
        <v>653.52959999999996</v>
      </c>
      <c r="L1774" s="166"/>
    </row>
    <row r="1775" spans="1:12" ht="30" customHeight="1" x14ac:dyDescent="0.3">
      <c r="A1775" s="408" t="s">
        <v>1034</v>
      </c>
      <c r="B1775" s="409" t="s">
        <v>1288</v>
      </c>
      <c r="C1775" s="408" t="s">
        <v>395</v>
      </c>
      <c r="D1775" s="408" t="s">
        <v>124</v>
      </c>
      <c r="E1775" s="604" t="s">
        <v>7768</v>
      </c>
      <c r="F1775" s="604"/>
      <c r="G1775" s="410" t="s">
        <v>6</v>
      </c>
      <c r="H1775" s="412">
        <v>16.084</v>
      </c>
      <c r="I1775" s="412">
        <v>0</v>
      </c>
      <c r="J1775" s="411">
        <v>33.47</v>
      </c>
      <c r="K1775" s="411">
        <v>538.33148000000006</v>
      </c>
      <c r="L1775" s="166"/>
    </row>
    <row r="1776" spans="1:12" ht="15" customHeight="1" x14ac:dyDescent="0.3">
      <c r="A1776" s="400" t="s">
        <v>1038</v>
      </c>
      <c r="B1776" s="401" t="s">
        <v>1369</v>
      </c>
      <c r="C1776" s="400" t="s">
        <v>408</v>
      </c>
      <c r="D1776" s="400" t="s">
        <v>1370</v>
      </c>
      <c r="E1776" s="605" t="s">
        <v>1039</v>
      </c>
      <c r="F1776" s="605"/>
      <c r="G1776" s="402" t="s">
        <v>3</v>
      </c>
      <c r="H1776" s="403">
        <v>7.62</v>
      </c>
      <c r="I1776" s="403">
        <v>0</v>
      </c>
      <c r="J1776" s="404">
        <v>0.71</v>
      </c>
      <c r="K1776" s="404">
        <v>5.4101999999999997</v>
      </c>
      <c r="L1776" s="171"/>
    </row>
    <row r="1777" spans="1:12" ht="25.5" customHeight="1" x14ac:dyDescent="0.3">
      <c r="A1777" s="400" t="s">
        <v>1038</v>
      </c>
      <c r="B1777" s="401" t="s">
        <v>1367</v>
      </c>
      <c r="C1777" s="400" t="s">
        <v>408</v>
      </c>
      <c r="D1777" s="400" t="s">
        <v>1368</v>
      </c>
      <c r="E1777" s="605" t="s">
        <v>1039</v>
      </c>
      <c r="F1777" s="605"/>
      <c r="G1777" s="402" t="s">
        <v>713</v>
      </c>
      <c r="H1777" s="403">
        <v>1.2E-2</v>
      </c>
      <c r="I1777" s="403">
        <v>0</v>
      </c>
      <c r="J1777" s="404">
        <v>106.37</v>
      </c>
      <c r="K1777" s="404">
        <v>1.27644</v>
      </c>
      <c r="L1777" s="171"/>
    </row>
    <row r="1778" spans="1:12" ht="25.5" customHeight="1" x14ac:dyDescent="0.3">
      <c r="A1778" s="400" t="s">
        <v>1038</v>
      </c>
      <c r="B1778" s="401" t="s">
        <v>1410</v>
      </c>
      <c r="C1778" s="400" t="s">
        <v>408</v>
      </c>
      <c r="D1778" s="400" t="s">
        <v>1411</v>
      </c>
      <c r="E1778" s="605" t="s">
        <v>1039</v>
      </c>
      <c r="F1778" s="605"/>
      <c r="G1778" s="402" t="s">
        <v>675</v>
      </c>
      <c r="H1778" s="403">
        <v>3.09</v>
      </c>
      <c r="I1778" s="403">
        <v>0</v>
      </c>
      <c r="J1778" s="404">
        <v>64.34</v>
      </c>
      <c r="K1778" s="404">
        <v>198.81059999999999</v>
      </c>
      <c r="L1778" s="168"/>
    </row>
    <row r="1779" spans="1:12" ht="15" customHeight="1" x14ac:dyDescent="0.3">
      <c r="A1779" s="400" t="s">
        <v>1038</v>
      </c>
      <c r="B1779" s="401" t="s">
        <v>1441</v>
      </c>
      <c r="C1779" s="400" t="s">
        <v>408</v>
      </c>
      <c r="D1779" s="400" t="s">
        <v>1442</v>
      </c>
      <c r="E1779" s="605" t="s">
        <v>1039</v>
      </c>
      <c r="F1779" s="605"/>
      <c r="G1779" s="402" t="s">
        <v>4</v>
      </c>
      <c r="H1779" s="403">
        <v>1</v>
      </c>
      <c r="I1779" s="403">
        <v>0</v>
      </c>
      <c r="J1779" s="404">
        <v>142</v>
      </c>
      <c r="K1779" s="404">
        <v>142</v>
      </c>
      <c r="L1779" s="166"/>
    </row>
    <row r="1780" spans="1:12" ht="25.5" customHeight="1" x14ac:dyDescent="0.3">
      <c r="A1780" s="400" t="s">
        <v>1038</v>
      </c>
      <c r="B1780" s="401" t="s">
        <v>1439</v>
      </c>
      <c r="C1780" s="400" t="s">
        <v>408</v>
      </c>
      <c r="D1780" s="400" t="s">
        <v>1440</v>
      </c>
      <c r="E1780" s="605" t="s">
        <v>1039</v>
      </c>
      <c r="F1780" s="605"/>
      <c r="G1780" s="402" t="s">
        <v>7</v>
      </c>
      <c r="H1780" s="403">
        <v>10.769</v>
      </c>
      <c r="I1780" s="403">
        <v>0</v>
      </c>
      <c r="J1780" s="404">
        <v>13.68</v>
      </c>
      <c r="K1780" s="404">
        <v>147.31992</v>
      </c>
      <c r="L1780" s="168"/>
    </row>
    <row r="1781" spans="1:12" ht="25.5" customHeight="1" x14ac:dyDescent="0.3">
      <c r="A1781" s="400" t="s">
        <v>1038</v>
      </c>
      <c r="B1781" s="401" t="s">
        <v>1414</v>
      </c>
      <c r="C1781" s="400" t="s">
        <v>408</v>
      </c>
      <c r="D1781" s="400" t="s">
        <v>1415</v>
      </c>
      <c r="E1781" s="605" t="s">
        <v>1039</v>
      </c>
      <c r="F1781" s="605"/>
      <c r="G1781" s="402" t="s">
        <v>4</v>
      </c>
      <c r="H1781" s="403">
        <v>6</v>
      </c>
      <c r="I1781" s="403">
        <v>0</v>
      </c>
      <c r="J1781" s="404">
        <v>1</v>
      </c>
      <c r="K1781" s="404">
        <v>6</v>
      </c>
      <c r="L1781" s="166"/>
    </row>
    <row r="1782" spans="1:12" ht="15" customHeight="1" x14ac:dyDescent="0.3">
      <c r="A1782" s="400" t="s">
        <v>1038</v>
      </c>
      <c r="B1782" s="401" t="s">
        <v>1445</v>
      </c>
      <c r="C1782" s="400" t="s">
        <v>408</v>
      </c>
      <c r="D1782" s="400" t="s">
        <v>1446</v>
      </c>
      <c r="E1782" s="605" t="s">
        <v>1039</v>
      </c>
      <c r="F1782" s="605"/>
      <c r="G1782" s="402" t="s">
        <v>3</v>
      </c>
      <c r="H1782" s="403">
        <v>9.1999999999999998E-2</v>
      </c>
      <c r="I1782" s="403">
        <v>0</v>
      </c>
      <c r="J1782" s="404">
        <v>23.22</v>
      </c>
      <c r="K1782" s="404">
        <v>2.1362399999999999</v>
      </c>
      <c r="L1782" s="166"/>
    </row>
    <row r="1783" spans="1:12" ht="15" customHeight="1" x14ac:dyDescent="0.3">
      <c r="A1783" s="400" t="s">
        <v>1038</v>
      </c>
      <c r="B1783" s="401" t="s">
        <v>1406</v>
      </c>
      <c r="C1783" s="400" t="s">
        <v>408</v>
      </c>
      <c r="D1783" s="400" t="s">
        <v>1407</v>
      </c>
      <c r="E1783" s="605" t="s">
        <v>1039</v>
      </c>
      <c r="F1783" s="605"/>
      <c r="G1783" s="402" t="s">
        <v>3</v>
      </c>
      <c r="H1783" s="403">
        <v>0.46</v>
      </c>
      <c r="I1783" s="403">
        <v>0</v>
      </c>
      <c r="J1783" s="404">
        <v>23.9</v>
      </c>
      <c r="K1783" s="404">
        <v>10.994</v>
      </c>
      <c r="L1783" s="166"/>
    </row>
    <row r="1784" spans="1:12" ht="25.5" customHeight="1" x14ac:dyDescent="0.3">
      <c r="A1784" s="400" t="s">
        <v>1038</v>
      </c>
      <c r="B1784" s="401" t="s">
        <v>1443</v>
      </c>
      <c r="C1784" s="400" t="s">
        <v>408</v>
      </c>
      <c r="D1784" s="400" t="s">
        <v>1444</v>
      </c>
      <c r="E1784" s="605" t="s">
        <v>1039</v>
      </c>
      <c r="F1784" s="605"/>
      <c r="G1784" s="402" t="s">
        <v>3</v>
      </c>
      <c r="H1784" s="403">
        <v>2.8000000000000001E-2</v>
      </c>
      <c r="I1784" s="403">
        <v>0</v>
      </c>
      <c r="J1784" s="404">
        <v>39.44</v>
      </c>
      <c r="K1784" s="404">
        <v>1.10432</v>
      </c>
      <c r="L1784" s="166"/>
    </row>
    <row r="1785" spans="1:12" ht="25.5" customHeight="1" x14ac:dyDescent="0.3">
      <c r="A1785" s="400" t="s">
        <v>1038</v>
      </c>
      <c r="B1785" s="401" t="s">
        <v>1437</v>
      </c>
      <c r="C1785" s="400" t="s">
        <v>408</v>
      </c>
      <c r="D1785" s="400" t="s">
        <v>1438</v>
      </c>
      <c r="E1785" s="605" t="s">
        <v>1039</v>
      </c>
      <c r="F1785" s="605"/>
      <c r="G1785" s="402" t="s">
        <v>4</v>
      </c>
      <c r="H1785" s="403">
        <v>1</v>
      </c>
      <c r="I1785" s="403">
        <v>0</v>
      </c>
      <c r="J1785" s="404">
        <v>239.9</v>
      </c>
      <c r="K1785" s="404">
        <v>239.9</v>
      </c>
      <c r="L1785" s="166"/>
    </row>
    <row r="1786" spans="1:12" ht="15" customHeight="1" x14ac:dyDescent="0.3">
      <c r="A1786" s="405"/>
      <c r="B1786" s="405"/>
      <c r="C1786" s="405"/>
      <c r="D1786" s="405"/>
      <c r="E1786" s="405" t="s">
        <v>1046</v>
      </c>
      <c r="F1786" s="406">
        <v>890.15</v>
      </c>
      <c r="G1786" s="405" t="s">
        <v>1047</v>
      </c>
      <c r="H1786" s="406">
        <v>0</v>
      </c>
      <c r="I1786" s="405" t="s">
        <v>1048</v>
      </c>
      <c r="J1786" s="406">
        <v>890.15</v>
      </c>
      <c r="K1786"/>
      <c r="L1786" s="168"/>
    </row>
    <row r="1787" spans="1:12" ht="25.5" customHeight="1" thickBot="1" x14ac:dyDescent="0.35">
      <c r="A1787" s="405"/>
      <c r="B1787" s="405"/>
      <c r="C1787" s="405"/>
      <c r="D1787" s="405"/>
      <c r="E1787" s="405" t="s">
        <v>1049</v>
      </c>
      <c r="F1787" s="406">
        <v>0</v>
      </c>
      <c r="G1787" s="405"/>
      <c r="H1787" s="606"/>
      <c r="I1787" s="606" t="s">
        <v>1050</v>
      </c>
      <c r="J1787" s="406">
        <v>1946.81</v>
      </c>
      <c r="K1787"/>
      <c r="L1787" s="170"/>
    </row>
    <row r="1788" spans="1:12" ht="25.5" customHeight="1" thickTop="1" x14ac:dyDescent="0.3">
      <c r="A1788" s="407"/>
      <c r="B1788" s="407"/>
      <c r="C1788" s="407"/>
      <c r="D1788" s="407"/>
      <c r="E1788" s="407"/>
      <c r="F1788" s="407"/>
      <c r="G1788" s="407"/>
      <c r="H1788" s="407"/>
      <c r="I1788" s="407"/>
      <c r="J1788" s="407"/>
      <c r="K1788" s="407"/>
      <c r="L1788" s="168"/>
    </row>
    <row r="1789" spans="1:12" ht="15" x14ac:dyDescent="0.3">
      <c r="A1789" s="382" t="s">
        <v>1677</v>
      </c>
      <c r="B1789" s="312" t="s">
        <v>413</v>
      </c>
      <c r="C1789" s="382" t="s">
        <v>414</v>
      </c>
      <c r="D1789" s="382" t="s">
        <v>415</v>
      </c>
      <c r="E1789" s="586" t="s">
        <v>1029</v>
      </c>
      <c r="F1789" s="586"/>
      <c r="G1789" s="383" t="s">
        <v>416</v>
      </c>
      <c r="H1789" s="312" t="s">
        <v>1030</v>
      </c>
      <c r="I1789" s="312" t="s">
        <v>3016</v>
      </c>
      <c r="J1789" s="312" t="s">
        <v>1031</v>
      </c>
      <c r="K1789" s="312" t="s">
        <v>1032</v>
      </c>
      <c r="L1789" s="168"/>
    </row>
    <row r="1790" spans="1:12" ht="14.25" customHeight="1" x14ac:dyDescent="0.3">
      <c r="A1790" s="313" t="s">
        <v>1033</v>
      </c>
      <c r="B1790" s="315" t="s">
        <v>1913</v>
      </c>
      <c r="C1790" s="313" t="s">
        <v>575</v>
      </c>
      <c r="D1790" s="313" t="s">
        <v>1692</v>
      </c>
      <c r="E1790" s="603" t="s">
        <v>1496</v>
      </c>
      <c r="F1790" s="603"/>
      <c r="G1790" s="314" t="s">
        <v>4</v>
      </c>
      <c r="H1790" s="399">
        <v>1</v>
      </c>
      <c r="I1790" s="316"/>
      <c r="J1790" s="316">
        <v>2581.37</v>
      </c>
      <c r="K1790" s="316">
        <v>2581.37</v>
      </c>
      <c r="L1790" s="168"/>
    </row>
    <row r="1791" spans="1:12" ht="38.25" customHeight="1" x14ac:dyDescent="0.3">
      <c r="A1791" s="408" t="s">
        <v>1034</v>
      </c>
      <c r="B1791" s="409" t="s">
        <v>1403</v>
      </c>
      <c r="C1791" s="408" t="s">
        <v>395</v>
      </c>
      <c r="D1791" s="408" t="s">
        <v>7865</v>
      </c>
      <c r="E1791" s="604" t="s">
        <v>7768</v>
      </c>
      <c r="F1791" s="604"/>
      <c r="G1791" s="410" t="s">
        <v>6</v>
      </c>
      <c r="H1791" s="412">
        <v>18.558</v>
      </c>
      <c r="I1791" s="412">
        <v>0</v>
      </c>
      <c r="J1791" s="411">
        <v>44.64</v>
      </c>
      <c r="K1791" s="411">
        <v>828.42912000000001</v>
      </c>
      <c r="L1791" s="166"/>
    </row>
    <row r="1792" spans="1:12" ht="15" customHeight="1" x14ac:dyDescent="0.3">
      <c r="A1792" s="408" t="s">
        <v>1034</v>
      </c>
      <c r="B1792" s="409" t="s">
        <v>1288</v>
      </c>
      <c r="C1792" s="408" t="s">
        <v>395</v>
      </c>
      <c r="D1792" s="408" t="s">
        <v>124</v>
      </c>
      <c r="E1792" s="604" t="s">
        <v>7768</v>
      </c>
      <c r="F1792" s="604"/>
      <c r="G1792" s="410" t="s">
        <v>6</v>
      </c>
      <c r="H1792" s="412">
        <v>13.093999999999999</v>
      </c>
      <c r="I1792" s="412">
        <v>0</v>
      </c>
      <c r="J1792" s="411">
        <v>33.47</v>
      </c>
      <c r="K1792" s="411">
        <v>438.25617999999997</v>
      </c>
      <c r="L1792" s="166"/>
    </row>
    <row r="1793" spans="1:12" ht="15" customHeight="1" x14ac:dyDescent="0.3">
      <c r="A1793" s="400" t="s">
        <v>1038</v>
      </c>
      <c r="B1793" s="401" t="s">
        <v>1369</v>
      </c>
      <c r="C1793" s="400" t="s">
        <v>408</v>
      </c>
      <c r="D1793" s="400" t="s">
        <v>1370</v>
      </c>
      <c r="E1793" s="605" t="s">
        <v>1039</v>
      </c>
      <c r="F1793" s="605"/>
      <c r="G1793" s="402" t="s">
        <v>3</v>
      </c>
      <c r="H1793" s="403">
        <v>8.64</v>
      </c>
      <c r="I1793" s="403">
        <v>0</v>
      </c>
      <c r="J1793" s="404">
        <v>0.71</v>
      </c>
      <c r="K1793" s="404">
        <v>6.1344000000000003</v>
      </c>
      <c r="L1793" s="168"/>
    </row>
    <row r="1794" spans="1:12" ht="15" x14ac:dyDescent="0.3">
      <c r="A1794" s="400" t="s">
        <v>1038</v>
      </c>
      <c r="B1794" s="401" t="s">
        <v>1447</v>
      </c>
      <c r="C1794" s="400" t="s">
        <v>408</v>
      </c>
      <c r="D1794" s="400" t="s">
        <v>1448</v>
      </c>
      <c r="E1794" s="605" t="s">
        <v>1039</v>
      </c>
      <c r="F1794" s="605"/>
      <c r="G1794" s="402" t="s">
        <v>713</v>
      </c>
      <c r="H1794" s="403">
        <v>2.5999999999999999E-2</v>
      </c>
      <c r="I1794" s="403">
        <v>0</v>
      </c>
      <c r="J1794" s="404">
        <v>105</v>
      </c>
      <c r="K1794" s="404">
        <v>2.73</v>
      </c>
      <c r="L1794" s="168"/>
    </row>
    <row r="1795" spans="1:12" ht="25.5" customHeight="1" x14ac:dyDescent="0.3">
      <c r="A1795" s="400" t="s">
        <v>1038</v>
      </c>
      <c r="B1795" s="401" t="s">
        <v>1410</v>
      </c>
      <c r="C1795" s="400" t="s">
        <v>408</v>
      </c>
      <c r="D1795" s="400" t="s">
        <v>1411</v>
      </c>
      <c r="E1795" s="605" t="s">
        <v>1039</v>
      </c>
      <c r="F1795" s="605"/>
      <c r="G1795" s="402" t="s">
        <v>675</v>
      </c>
      <c r="H1795" s="403">
        <v>7.62</v>
      </c>
      <c r="I1795" s="403">
        <v>0</v>
      </c>
      <c r="J1795" s="404">
        <v>64.34</v>
      </c>
      <c r="K1795" s="404">
        <v>490.27080000000001</v>
      </c>
      <c r="L1795" s="168"/>
    </row>
    <row r="1796" spans="1:12" ht="25.5" customHeight="1" x14ac:dyDescent="0.3">
      <c r="A1796" s="400" t="s">
        <v>1038</v>
      </c>
      <c r="B1796" s="401" t="s">
        <v>1441</v>
      </c>
      <c r="C1796" s="400" t="s">
        <v>408</v>
      </c>
      <c r="D1796" s="400" t="s">
        <v>1442</v>
      </c>
      <c r="E1796" s="605" t="s">
        <v>1039</v>
      </c>
      <c r="F1796" s="605"/>
      <c r="G1796" s="402" t="s">
        <v>4</v>
      </c>
      <c r="H1796" s="403">
        <v>1</v>
      </c>
      <c r="I1796" s="403">
        <v>0</v>
      </c>
      <c r="J1796" s="404">
        <v>142</v>
      </c>
      <c r="K1796" s="404">
        <v>142</v>
      </c>
      <c r="L1796" s="168"/>
    </row>
    <row r="1797" spans="1:12" ht="25.5" customHeight="1" x14ac:dyDescent="0.3">
      <c r="A1797" s="400" t="s">
        <v>1038</v>
      </c>
      <c r="B1797" s="401" t="s">
        <v>1439</v>
      </c>
      <c r="C1797" s="400" t="s">
        <v>408</v>
      </c>
      <c r="D1797" s="400" t="s">
        <v>1440</v>
      </c>
      <c r="E1797" s="605" t="s">
        <v>1039</v>
      </c>
      <c r="F1797" s="605"/>
      <c r="G1797" s="402" t="s">
        <v>7</v>
      </c>
      <c r="H1797" s="403">
        <v>10.199999999999999</v>
      </c>
      <c r="I1797" s="403">
        <v>0</v>
      </c>
      <c r="J1797" s="404">
        <v>13.68</v>
      </c>
      <c r="K1797" s="404">
        <v>139.536</v>
      </c>
      <c r="L1797" s="166"/>
    </row>
    <row r="1798" spans="1:12" ht="25.5" customHeight="1" x14ac:dyDescent="0.3">
      <c r="A1798" s="400" t="s">
        <v>1038</v>
      </c>
      <c r="B1798" s="401" t="s">
        <v>1451</v>
      </c>
      <c r="C1798" s="400" t="s">
        <v>408</v>
      </c>
      <c r="D1798" s="400" t="s">
        <v>1452</v>
      </c>
      <c r="E1798" s="605" t="s">
        <v>1039</v>
      </c>
      <c r="F1798" s="605"/>
      <c r="G1798" s="402" t="s">
        <v>4</v>
      </c>
      <c r="H1798" s="403">
        <v>4</v>
      </c>
      <c r="I1798" s="403">
        <v>0</v>
      </c>
      <c r="J1798" s="404">
        <v>1</v>
      </c>
      <c r="K1798" s="404">
        <v>4</v>
      </c>
      <c r="L1798" s="168"/>
    </row>
    <row r="1799" spans="1:12" ht="25.5" customHeight="1" x14ac:dyDescent="0.3">
      <c r="A1799" s="400" t="s">
        <v>1038</v>
      </c>
      <c r="B1799" s="401" t="s">
        <v>1406</v>
      </c>
      <c r="C1799" s="400" t="s">
        <v>408</v>
      </c>
      <c r="D1799" s="400" t="s">
        <v>1407</v>
      </c>
      <c r="E1799" s="605" t="s">
        <v>1039</v>
      </c>
      <c r="F1799" s="605"/>
      <c r="G1799" s="402" t="s">
        <v>3</v>
      </c>
      <c r="H1799" s="403">
        <v>0.5</v>
      </c>
      <c r="I1799" s="403">
        <v>0</v>
      </c>
      <c r="J1799" s="404">
        <v>23.9</v>
      </c>
      <c r="K1799" s="404">
        <v>11.95</v>
      </c>
      <c r="L1799" s="168"/>
    </row>
    <row r="1800" spans="1:12" ht="25.5" customHeight="1" x14ac:dyDescent="0.3">
      <c r="A1800" s="400" t="s">
        <v>1038</v>
      </c>
      <c r="B1800" s="401" t="s">
        <v>1449</v>
      </c>
      <c r="C1800" s="400" t="s">
        <v>408</v>
      </c>
      <c r="D1800" s="400" t="s">
        <v>1450</v>
      </c>
      <c r="E1800" s="605" t="s">
        <v>1039</v>
      </c>
      <c r="F1800" s="605"/>
      <c r="G1800" s="402" t="s">
        <v>7</v>
      </c>
      <c r="H1800" s="403">
        <v>4.2</v>
      </c>
      <c r="I1800" s="403">
        <v>0</v>
      </c>
      <c r="J1800" s="404">
        <v>66.23</v>
      </c>
      <c r="K1800" s="404">
        <v>278.166</v>
      </c>
      <c r="L1800" s="168"/>
    </row>
    <row r="1801" spans="1:12" ht="25.5" customHeight="1" x14ac:dyDescent="0.3">
      <c r="A1801" s="400" t="s">
        <v>1038</v>
      </c>
      <c r="B1801" s="401" t="s">
        <v>1437</v>
      </c>
      <c r="C1801" s="400" t="s">
        <v>408</v>
      </c>
      <c r="D1801" s="400" t="s">
        <v>1438</v>
      </c>
      <c r="E1801" s="605" t="s">
        <v>1039</v>
      </c>
      <c r="F1801" s="605"/>
      <c r="G1801" s="402" t="s">
        <v>4</v>
      </c>
      <c r="H1801" s="403">
        <v>1</v>
      </c>
      <c r="I1801" s="403">
        <v>0</v>
      </c>
      <c r="J1801" s="404">
        <v>239.9</v>
      </c>
      <c r="K1801" s="404">
        <v>239.9</v>
      </c>
      <c r="L1801" s="166"/>
    </row>
    <row r="1802" spans="1:12" ht="30" customHeight="1" x14ac:dyDescent="0.3">
      <c r="A1802" s="405"/>
      <c r="B1802" s="405"/>
      <c r="C1802" s="405"/>
      <c r="D1802" s="405"/>
      <c r="E1802" s="405" t="s">
        <v>1046</v>
      </c>
      <c r="F1802" s="406">
        <v>955.86</v>
      </c>
      <c r="G1802" s="405" t="s">
        <v>1047</v>
      </c>
      <c r="H1802" s="406">
        <v>0</v>
      </c>
      <c r="I1802" s="405" t="s">
        <v>1048</v>
      </c>
      <c r="J1802" s="406">
        <v>955.86</v>
      </c>
      <c r="K1802"/>
      <c r="L1802" s="166"/>
    </row>
    <row r="1803" spans="1:12" ht="15.6" thickBot="1" x14ac:dyDescent="0.35">
      <c r="A1803" s="405"/>
      <c r="B1803" s="405"/>
      <c r="C1803" s="405"/>
      <c r="D1803" s="405"/>
      <c r="E1803" s="405" t="s">
        <v>1049</v>
      </c>
      <c r="F1803" s="406">
        <v>0</v>
      </c>
      <c r="G1803" s="405"/>
      <c r="H1803" s="606"/>
      <c r="I1803" s="606" t="s">
        <v>1050</v>
      </c>
      <c r="J1803" s="406">
        <v>2581.37</v>
      </c>
      <c r="K1803"/>
      <c r="L1803" s="171"/>
    </row>
    <row r="1804" spans="1:12" ht="15.6" thickTop="1" x14ac:dyDescent="0.3">
      <c r="A1804" s="407"/>
      <c r="B1804" s="407"/>
      <c r="C1804" s="407"/>
      <c r="D1804" s="407"/>
      <c r="E1804" s="407"/>
      <c r="F1804" s="407"/>
      <c r="G1804" s="407"/>
      <c r="H1804" s="407"/>
      <c r="I1804" s="407"/>
      <c r="J1804" s="407"/>
      <c r="K1804" s="407"/>
      <c r="L1804" s="171"/>
    </row>
    <row r="1805" spans="1:12" ht="15" customHeight="1" x14ac:dyDescent="0.3">
      <c r="A1805" s="382" t="s">
        <v>1678</v>
      </c>
      <c r="B1805" s="312" t="s">
        <v>413</v>
      </c>
      <c r="C1805" s="382" t="s">
        <v>414</v>
      </c>
      <c r="D1805" s="382" t="s">
        <v>415</v>
      </c>
      <c r="E1805" s="586" t="s">
        <v>1029</v>
      </c>
      <c r="F1805" s="586"/>
      <c r="G1805" s="383" t="s">
        <v>416</v>
      </c>
      <c r="H1805" s="312" t="s">
        <v>1030</v>
      </c>
      <c r="I1805" s="312" t="s">
        <v>3016</v>
      </c>
      <c r="J1805" s="312" t="s">
        <v>1031</v>
      </c>
      <c r="K1805" s="312" t="s">
        <v>1032</v>
      </c>
      <c r="L1805" s="168"/>
    </row>
    <row r="1806" spans="1:12" ht="17.399999999999999" customHeight="1" x14ac:dyDescent="0.3">
      <c r="A1806" s="313" t="s">
        <v>1033</v>
      </c>
      <c r="B1806" s="315" t="s">
        <v>1925</v>
      </c>
      <c r="C1806" s="313" t="s">
        <v>575</v>
      </c>
      <c r="D1806" s="313" t="s">
        <v>1694</v>
      </c>
      <c r="E1806" s="603" t="s">
        <v>1496</v>
      </c>
      <c r="F1806" s="603"/>
      <c r="G1806" s="314" t="s">
        <v>4</v>
      </c>
      <c r="H1806" s="399">
        <v>1</v>
      </c>
      <c r="I1806" s="316"/>
      <c r="J1806" s="316">
        <v>3207.34</v>
      </c>
      <c r="K1806" s="316">
        <v>3207.34</v>
      </c>
      <c r="L1806" s="166"/>
    </row>
    <row r="1807" spans="1:12" ht="15" customHeight="1" x14ac:dyDescent="0.3">
      <c r="A1807" s="408" t="s">
        <v>1034</v>
      </c>
      <c r="B1807" s="409" t="s">
        <v>1403</v>
      </c>
      <c r="C1807" s="408" t="s">
        <v>395</v>
      </c>
      <c r="D1807" s="408" t="s">
        <v>7865</v>
      </c>
      <c r="E1807" s="604" t="s">
        <v>7768</v>
      </c>
      <c r="F1807" s="604"/>
      <c r="G1807" s="410" t="s">
        <v>6</v>
      </c>
      <c r="H1807" s="412">
        <v>25.576000000000001</v>
      </c>
      <c r="I1807" s="412">
        <v>0</v>
      </c>
      <c r="J1807" s="411">
        <v>44.64</v>
      </c>
      <c r="K1807" s="411">
        <v>1141.71264</v>
      </c>
      <c r="L1807" s="168"/>
    </row>
    <row r="1808" spans="1:12" ht="12.75" customHeight="1" x14ac:dyDescent="0.3">
      <c r="A1808" s="408" t="s">
        <v>1034</v>
      </c>
      <c r="B1808" s="409" t="s">
        <v>1288</v>
      </c>
      <c r="C1808" s="408" t="s">
        <v>395</v>
      </c>
      <c r="D1808" s="408" t="s">
        <v>124</v>
      </c>
      <c r="E1808" s="604" t="s">
        <v>7768</v>
      </c>
      <c r="F1808" s="604"/>
      <c r="G1808" s="410" t="s">
        <v>6</v>
      </c>
      <c r="H1808" s="412">
        <v>18.343</v>
      </c>
      <c r="I1808" s="412">
        <v>0</v>
      </c>
      <c r="J1808" s="411">
        <v>33.47</v>
      </c>
      <c r="K1808" s="411">
        <v>613.94020999999998</v>
      </c>
      <c r="L1808" s="166"/>
    </row>
    <row r="1809" spans="1:12" ht="45" customHeight="1" x14ac:dyDescent="0.3">
      <c r="A1809" s="400" t="s">
        <v>1038</v>
      </c>
      <c r="B1809" s="401" t="s">
        <v>1369</v>
      </c>
      <c r="C1809" s="400" t="s">
        <v>408</v>
      </c>
      <c r="D1809" s="400" t="s">
        <v>1370</v>
      </c>
      <c r="E1809" s="605" t="s">
        <v>1039</v>
      </c>
      <c r="F1809" s="605"/>
      <c r="G1809" s="402" t="s">
        <v>3</v>
      </c>
      <c r="H1809" s="403">
        <v>6.92</v>
      </c>
      <c r="I1809" s="403">
        <v>0</v>
      </c>
      <c r="J1809" s="404">
        <v>0.71</v>
      </c>
      <c r="K1809" s="404">
        <v>4.9131999999999998</v>
      </c>
      <c r="L1809" s="166"/>
    </row>
    <row r="1810" spans="1:12" ht="25.5" customHeight="1" x14ac:dyDescent="0.3">
      <c r="A1810" s="400" t="s">
        <v>1038</v>
      </c>
      <c r="B1810" s="401" t="s">
        <v>1367</v>
      </c>
      <c r="C1810" s="400" t="s">
        <v>408</v>
      </c>
      <c r="D1810" s="400" t="s">
        <v>1368</v>
      </c>
      <c r="E1810" s="605" t="s">
        <v>1039</v>
      </c>
      <c r="F1810" s="605"/>
      <c r="G1810" s="402" t="s">
        <v>713</v>
      </c>
      <c r="H1810" s="403">
        <v>0.01</v>
      </c>
      <c r="I1810" s="403">
        <v>0</v>
      </c>
      <c r="J1810" s="404">
        <v>106.37</v>
      </c>
      <c r="K1810" s="404">
        <v>1.0637000000000001</v>
      </c>
      <c r="L1810" s="166"/>
    </row>
    <row r="1811" spans="1:12" ht="25.5" customHeight="1" x14ac:dyDescent="0.3">
      <c r="A1811" s="400" t="s">
        <v>1038</v>
      </c>
      <c r="B1811" s="401" t="s">
        <v>1410</v>
      </c>
      <c r="C1811" s="400" t="s">
        <v>408</v>
      </c>
      <c r="D1811" s="400" t="s">
        <v>1411</v>
      </c>
      <c r="E1811" s="605" t="s">
        <v>1039</v>
      </c>
      <c r="F1811" s="605"/>
      <c r="G1811" s="402" t="s">
        <v>675</v>
      </c>
      <c r="H1811" s="403">
        <v>3.57</v>
      </c>
      <c r="I1811" s="403">
        <v>0</v>
      </c>
      <c r="J1811" s="404">
        <v>64.34</v>
      </c>
      <c r="K1811" s="404">
        <v>229.69380000000001</v>
      </c>
      <c r="L1811" s="166"/>
    </row>
    <row r="1812" spans="1:12" ht="25.5" customHeight="1" x14ac:dyDescent="0.3">
      <c r="A1812" s="400" t="s">
        <v>1038</v>
      </c>
      <c r="B1812" s="401" t="s">
        <v>1459</v>
      </c>
      <c r="C1812" s="400" t="s">
        <v>408</v>
      </c>
      <c r="D1812" s="400" t="s">
        <v>1460</v>
      </c>
      <c r="E1812" s="605" t="s">
        <v>1039</v>
      </c>
      <c r="F1812" s="605"/>
      <c r="G1812" s="402" t="s">
        <v>4</v>
      </c>
      <c r="H1812" s="403">
        <v>1</v>
      </c>
      <c r="I1812" s="403">
        <v>0</v>
      </c>
      <c r="J1812" s="404">
        <v>188</v>
      </c>
      <c r="K1812" s="404">
        <v>188</v>
      </c>
      <c r="L1812" s="166"/>
    </row>
    <row r="1813" spans="1:12" ht="25.5" customHeight="1" x14ac:dyDescent="0.3">
      <c r="A1813" s="400" t="s">
        <v>1038</v>
      </c>
      <c r="B1813" s="401" t="s">
        <v>1439</v>
      </c>
      <c r="C1813" s="400" t="s">
        <v>408</v>
      </c>
      <c r="D1813" s="400" t="s">
        <v>1440</v>
      </c>
      <c r="E1813" s="605" t="s">
        <v>1039</v>
      </c>
      <c r="F1813" s="605"/>
      <c r="G1813" s="402" t="s">
        <v>7</v>
      </c>
      <c r="H1813" s="403">
        <v>10.1</v>
      </c>
      <c r="I1813" s="403">
        <v>0</v>
      </c>
      <c r="J1813" s="404">
        <v>13.68</v>
      </c>
      <c r="K1813" s="404">
        <v>138.16800000000001</v>
      </c>
      <c r="L1813" s="168"/>
    </row>
    <row r="1814" spans="1:12" ht="25.5" customHeight="1" x14ac:dyDescent="0.3">
      <c r="A1814" s="400" t="s">
        <v>1038</v>
      </c>
      <c r="B1814" s="401" t="s">
        <v>1414</v>
      </c>
      <c r="C1814" s="400" t="s">
        <v>408</v>
      </c>
      <c r="D1814" s="400" t="s">
        <v>1415</v>
      </c>
      <c r="E1814" s="605" t="s">
        <v>1039</v>
      </c>
      <c r="F1814" s="605"/>
      <c r="G1814" s="402" t="s">
        <v>4</v>
      </c>
      <c r="H1814" s="403">
        <v>4</v>
      </c>
      <c r="I1814" s="403">
        <v>0</v>
      </c>
      <c r="J1814" s="404">
        <v>1</v>
      </c>
      <c r="K1814" s="404">
        <v>4</v>
      </c>
      <c r="L1814" s="170"/>
    </row>
    <row r="1815" spans="1:12" ht="25.5" customHeight="1" x14ac:dyDescent="0.3">
      <c r="A1815" s="400" t="s">
        <v>1038</v>
      </c>
      <c r="B1815" s="401" t="s">
        <v>1406</v>
      </c>
      <c r="C1815" s="400" t="s">
        <v>408</v>
      </c>
      <c r="D1815" s="400" t="s">
        <v>1407</v>
      </c>
      <c r="E1815" s="605" t="s">
        <v>1039</v>
      </c>
      <c r="F1815" s="605"/>
      <c r="G1815" s="402" t="s">
        <v>3</v>
      </c>
      <c r="H1815" s="403">
        <v>1.76</v>
      </c>
      <c r="I1815" s="403">
        <v>0</v>
      </c>
      <c r="J1815" s="404">
        <v>23.9</v>
      </c>
      <c r="K1815" s="404">
        <v>42.064</v>
      </c>
      <c r="L1815" s="168"/>
    </row>
    <row r="1816" spans="1:12" ht="15" customHeight="1" x14ac:dyDescent="0.3">
      <c r="A1816" s="400" t="s">
        <v>1038</v>
      </c>
      <c r="B1816" s="401" t="s">
        <v>1457</v>
      </c>
      <c r="C1816" s="400" t="s">
        <v>408</v>
      </c>
      <c r="D1816" s="400" t="s">
        <v>1458</v>
      </c>
      <c r="E1816" s="605" t="s">
        <v>1039</v>
      </c>
      <c r="F1816" s="605"/>
      <c r="G1816" s="402" t="s">
        <v>675</v>
      </c>
      <c r="H1816" s="403">
        <v>0.76</v>
      </c>
      <c r="I1816" s="403">
        <v>0</v>
      </c>
      <c r="J1816" s="404">
        <v>537.5</v>
      </c>
      <c r="K1816" s="404">
        <v>408.5</v>
      </c>
      <c r="L1816" s="168"/>
    </row>
    <row r="1817" spans="1:12" ht="15" x14ac:dyDescent="0.3">
      <c r="A1817" s="400" t="s">
        <v>1038</v>
      </c>
      <c r="B1817" s="401" t="s">
        <v>1404</v>
      </c>
      <c r="C1817" s="400" t="s">
        <v>408</v>
      </c>
      <c r="D1817" s="400" t="s">
        <v>1405</v>
      </c>
      <c r="E1817" s="605" t="s">
        <v>1039</v>
      </c>
      <c r="F1817" s="605"/>
      <c r="G1817" s="402" t="s">
        <v>7</v>
      </c>
      <c r="H1817" s="403">
        <v>5.05</v>
      </c>
      <c r="I1817" s="403">
        <v>0</v>
      </c>
      <c r="J1817" s="404">
        <v>46.65</v>
      </c>
      <c r="K1817" s="404">
        <v>235.58250000000001</v>
      </c>
      <c r="L1817" s="168"/>
    </row>
    <row r="1818" spans="1:12" ht="15" customHeight="1" x14ac:dyDescent="0.3">
      <c r="A1818" s="400" t="s">
        <v>1038</v>
      </c>
      <c r="B1818" s="401" t="s">
        <v>1443</v>
      </c>
      <c r="C1818" s="400" t="s">
        <v>408</v>
      </c>
      <c r="D1818" s="400" t="s">
        <v>1444</v>
      </c>
      <c r="E1818" s="605" t="s">
        <v>1039</v>
      </c>
      <c r="F1818" s="605"/>
      <c r="G1818" s="402" t="s">
        <v>3</v>
      </c>
      <c r="H1818" s="403">
        <v>0.11</v>
      </c>
      <c r="I1818" s="403">
        <v>0</v>
      </c>
      <c r="J1818" s="404">
        <v>39.44</v>
      </c>
      <c r="K1818" s="404">
        <v>4.3384</v>
      </c>
      <c r="L1818" s="166"/>
    </row>
    <row r="1819" spans="1:12" ht="30" customHeight="1" x14ac:dyDescent="0.3">
      <c r="A1819" s="400" t="s">
        <v>1038</v>
      </c>
      <c r="B1819" s="401" t="s">
        <v>9081</v>
      </c>
      <c r="C1819" s="400" t="s">
        <v>408</v>
      </c>
      <c r="D1819" s="400" t="s">
        <v>9082</v>
      </c>
      <c r="E1819" s="605" t="s">
        <v>1039</v>
      </c>
      <c r="F1819" s="605"/>
      <c r="G1819" s="402" t="s">
        <v>4</v>
      </c>
      <c r="H1819" s="403">
        <v>2</v>
      </c>
      <c r="I1819" s="403">
        <v>0</v>
      </c>
      <c r="J1819" s="404">
        <v>97.68</v>
      </c>
      <c r="K1819" s="404">
        <v>195.36</v>
      </c>
      <c r="L1819" s="166"/>
    </row>
    <row r="1820" spans="1:12" ht="27" customHeight="1" x14ac:dyDescent="0.3">
      <c r="A1820" s="405"/>
      <c r="B1820" s="405"/>
      <c r="C1820" s="405"/>
      <c r="D1820" s="405"/>
      <c r="E1820" s="405" t="s">
        <v>1046</v>
      </c>
      <c r="F1820" s="406">
        <v>1324.37</v>
      </c>
      <c r="G1820" s="405" t="s">
        <v>1047</v>
      </c>
      <c r="H1820" s="406">
        <v>0</v>
      </c>
      <c r="I1820" s="405" t="s">
        <v>1048</v>
      </c>
      <c r="J1820" s="406">
        <v>1324.37</v>
      </c>
      <c r="K1820"/>
      <c r="L1820" s="168"/>
    </row>
    <row r="1821" spans="1:12" ht="27" customHeight="1" thickBot="1" x14ac:dyDescent="0.35">
      <c r="A1821" s="405"/>
      <c r="B1821" s="405"/>
      <c r="C1821" s="405"/>
      <c r="D1821" s="405"/>
      <c r="E1821" s="405" t="s">
        <v>1049</v>
      </c>
      <c r="F1821" s="406">
        <v>0</v>
      </c>
      <c r="G1821" s="405"/>
      <c r="H1821" s="606"/>
      <c r="I1821" s="606" t="s">
        <v>1050</v>
      </c>
      <c r="J1821" s="406">
        <v>3207.34</v>
      </c>
      <c r="K1821"/>
      <c r="L1821" s="168"/>
    </row>
    <row r="1822" spans="1:12" ht="25.5" customHeight="1" thickTop="1" x14ac:dyDescent="0.3">
      <c r="A1822" s="407"/>
      <c r="B1822" s="407"/>
      <c r="C1822" s="407"/>
      <c r="D1822" s="407"/>
      <c r="E1822" s="407"/>
      <c r="F1822" s="407"/>
      <c r="G1822" s="407"/>
      <c r="H1822" s="407"/>
      <c r="I1822" s="407"/>
      <c r="J1822" s="407"/>
      <c r="K1822" s="407"/>
      <c r="L1822" s="168"/>
    </row>
    <row r="1823" spans="1:12" ht="25.5" customHeight="1" x14ac:dyDescent="0.3">
      <c r="A1823" s="382" t="s">
        <v>1681</v>
      </c>
      <c r="B1823" s="312" t="s">
        <v>413</v>
      </c>
      <c r="C1823" s="382" t="s">
        <v>414</v>
      </c>
      <c r="D1823" s="382" t="s">
        <v>415</v>
      </c>
      <c r="E1823" s="586" t="s">
        <v>1029</v>
      </c>
      <c r="F1823" s="586"/>
      <c r="G1823" s="383" t="s">
        <v>416</v>
      </c>
      <c r="H1823" s="312" t="s">
        <v>1030</v>
      </c>
      <c r="I1823" s="312" t="s">
        <v>3016</v>
      </c>
      <c r="J1823" s="312" t="s">
        <v>1031</v>
      </c>
      <c r="K1823" s="312" t="s">
        <v>1032</v>
      </c>
      <c r="L1823" s="168"/>
    </row>
    <row r="1824" spans="1:12" ht="25.5" customHeight="1" x14ac:dyDescent="0.3">
      <c r="A1824" s="313" t="s">
        <v>1033</v>
      </c>
      <c r="B1824" s="315" t="s">
        <v>1927</v>
      </c>
      <c r="C1824" s="313" t="s">
        <v>575</v>
      </c>
      <c r="D1824" s="313" t="s">
        <v>1696</v>
      </c>
      <c r="E1824" s="603" t="s">
        <v>1496</v>
      </c>
      <c r="F1824" s="603"/>
      <c r="G1824" s="314" t="s">
        <v>4</v>
      </c>
      <c r="H1824" s="399">
        <v>1</v>
      </c>
      <c r="I1824" s="316"/>
      <c r="J1824" s="316">
        <v>1987.43</v>
      </c>
      <c r="K1824" s="316">
        <v>1987.43</v>
      </c>
      <c r="L1824" s="166"/>
    </row>
    <row r="1825" spans="1:12" ht="15" customHeight="1" x14ac:dyDescent="0.3">
      <c r="A1825" s="408" t="s">
        <v>1034</v>
      </c>
      <c r="B1825" s="409" t="s">
        <v>1403</v>
      </c>
      <c r="C1825" s="408" t="s">
        <v>395</v>
      </c>
      <c r="D1825" s="408" t="s">
        <v>7865</v>
      </c>
      <c r="E1825" s="604" t="s">
        <v>7768</v>
      </c>
      <c r="F1825" s="604"/>
      <c r="G1825" s="410" t="s">
        <v>6</v>
      </c>
      <c r="H1825" s="412">
        <v>14.64</v>
      </c>
      <c r="I1825" s="412">
        <v>0</v>
      </c>
      <c r="J1825" s="411">
        <v>44.64</v>
      </c>
      <c r="K1825" s="411">
        <v>653.52959999999996</v>
      </c>
      <c r="L1825" s="168"/>
    </row>
    <row r="1826" spans="1:12" ht="26.4" x14ac:dyDescent="0.3">
      <c r="A1826" s="408" t="s">
        <v>1034</v>
      </c>
      <c r="B1826" s="409" t="s">
        <v>1288</v>
      </c>
      <c r="C1826" s="408" t="s">
        <v>395</v>
      </c>
      <c r="D1826" s="408" t="s">
        <v>124</v>
      </c>
      <c r="E1826" s="604" t="s">
        <v>7768</v>
      </c>
      <c r="F1826" s="604"/>
      <c r="G1826" s="410" t="s">
        <v>6</v>
      </c>
      <c r="H1826" s="412">
        <v>16.084</v>
      </c>
      <c r="I1826" s="412">
        <v>0</v>
      </c>
      <c r="J1826" s="411">
        <v>33.47</v>
      </c>
      <c r="K1826" s="411">
        <v>538.33148000000006</v>
      </c>
      <c r="L1826" s="168"/>
    </row>
    <row r="1827" spans="1:12" ht="15" x14ac:dyDescent="0.3">
      <c r="A1827" s="400" t="s">
        <v>1038</v>
      </c>
      <c r="B1827" s="401" t="s">
        <v>1369</v>
      </c>
      <c r="C1827" s="400" t="s">
        <v>408</v>
      </c>
      <c r="D1827" s="400" t="s">
        <v>1370</v>
      </c>
      <c r="E1827" s="605" t="s">
        <v>1039</v>
      </c>
      <c r="F1827" s="605"/>
      <c r="G1827" s="402" t="s">
        <v>3</v>
      </c>
      <c r="H1827" s="403">
        <v>5.1840000000000002</v>
      </c>
      <c r="I1827" s="403">
        <v>0</v>
      </c>
      <c r="J1827" s="404">
        <v>0.71</v>
      </c>
      <c r="K1827" s="404">
        <v>3.6806399999999999</v>
      </c>
      <c r="L1827" s="168"/>
    </row>
    <row r="1828" spans="1:12" ht="25.5" customHeight="1" x14ac:dyDescent="0.3">
      <c r="A1828" s="400" t="s">
        <v>1038</v>
      </c>
      <c r="B1828" s="401" t="s">
        <v>1367</v>
      </c>
      <c r="C1828" s="400" t="s">
        <v>408</v>
      </c>
      <c r="D1828" s="400" t="s">
        <v>1368</v>
      </c>
      <c r="E1828" s="605" t="s">
        <v>1039</v>
      </c>
      <c r="F1828" s="605"/>
      <c r="G1828" s="402" t="s">
        <v>713</v>
      </c>
      <c r="H1828" s="403">
        <v>1.2E-2</v>
      </c>
      <c r="I1828" s="403">
        <v>0</v>
      </c>
      <c r="J1828" s="404">
        <v>106.37</v>
      </c>
      <c r="K1828" s="404">
        <v>1.27644</v>
      </c>
      <c r="L1828" s="166"/>
    </row>
    <row r="1829" spans="1:12" ht="14.25" customHeight="1" x14ac:dyDescent="0.3">
      <c r="A1829" s="400" t="s">
        <v>1038</v>
      </c>
      <c r="B1829" s="401" t="s">
        <v>1410</v>
      </c>
      <c r="C1829" s="400" t="s">
        <v>408</v>
      </c>
      <c r="D1829" s="400" t="s">
        <v>1411</v>
      </c>
      <c r="E1829" s="605" t="s">
        <v>1039</v>
      </c>
      <c r="F1829" s="605"/>
      <c r="G1829" s="402" t="s">
        <v>675</v>
      </c>
      <c r="H1829" s="403">
        <v>7.62</v>
      </c>
      <c r="I1829" s="403">
        <v>0</v>
      </c>
      <c r="J1829" s="404">
        <v>64.34</v>
      </c>
      <c r="K1829" s="404">
        <v>490.27080000000001</v>
      </c>
      <c r="L1829" s="166"/>
    </row>
    <row r="1830" spans="1:12" ht="15" x14ac:dyDescent="0.3">
      <c r="A1830" s="400" t="s">
        <v>1038</v>
      </c>
      <c r="B1830" s="401" t="s">
        <v>1441</v>
      </c>
      <c r="C1830" s="400" t="s">
        <v>408</v>
      </c>
      <c r="D1830" s="400" t="s">
        <v>1442</v>
      </c>
      <c r="E1830" s="605" t="s">
        <v>1039</v>
      </c>
      <c r="F1830" s="605"/>
      <c r="G1830" s="402" t="s">
        <v>4</v>
      </c>
      <c r="H1830" s="403">
        <v>1</v>
      </c>
      <c r="I1830" s="403">
        <v>0</v>
      </c>
      <c r="J1830" s="404">
        <v>142</v>
      </c>
      <c r="K1830" s="404">
        <v>142</v>
      </c>
      <c r="L1830" s="168"/>
    </row>
    <row r="1831" spans="1:12" ht="15" x14ac:dyDescent="0.3">
      <c r="A1831" s="400" t="s">
        <v>1038</v>
      </c>
      <c r="B1831" s="401" t="s">
        <v>1439</v>
      </c>
      <c r="C1831" s="400" t="s">
        <v>408</v>
      </c>
      <c r="D1831" s="400" t="s">
        <v>1440</v>
      </c>
      <c r="E1831" s="605" t="s">
        <v>1039</v>
      </c>
      <c r="F1831" s="605"/>
      <c r="G1831" s="402" t="s">
        <v>7</v>
      </c>
      <c r="H1831" s="403">
        <v>10.199999999999999</v>
      </c>
      <c r="I1831" s="403">
        <v>0</v>
      </c>
      <c r="J1831" s="404">
        <v>13.68</v>
      </c>
      <c r="K1831" s="404">
        <v>139.536</v>
      </c>
      <c r="L1831" s="168"/>
    </row>
    <row r="1832" spans="1:12" ht="15" customHeight="1" x14ac:dyDescent="0.3">
      <c r="A1832" s="400" t="s">
        <v>1038</v>
      </c>
      <c r="B1832" s="401" t="s">
        <v>1414</v>
      </c>
      <c r="C1832" s="400" t="s">
        <v>408</v>
      </c>
      <c r="D1832" s="400" t="s">
        <v>1415</v>
      </c>
      <c r="E1832" s="605" t="s">
        <v>1039</v>
      </c>
      <c r="F1832" s="605"/>
      <c r="G1832" s="402" t="s">
        <v>4</v>
      </c>
      <c r="H1832" s="403">
        <v>6</v>
      </c>
      <c r="I1832" s="403">
        <v>0</v>
      </c>
      <c r="J1832" s="404">
        <v>1</v>
      </c>
      <c r="K1832" s="404">
        <v>6</v>
      </c>
      <c r="L1832" s="168"/>
    </row>
    <row r="1833" spans="1:12" ht="38.25" customHeight="1" x14ac:dyDescent="0.3">
      <c r="A1833" s="400" t="s">
        <v>1038</v>
      </c>
      <c r="B1833" s="401" t="s">
        <v>1445</v>
      </c>
      <c r="C1833" s="400" t="s">
        <v>408</v>
      </c>
      <c r="D1833" s="400" t="s">
        <v>1446</v>
      </c>
      <c r="E1833" s="605" t="s">
        <v>1039</v>
      </c>
      <c r="F1833" s="605"/>
      <c r="G1833" s="402" t="s">
        <v>3</v>
      </c>
      <c r="H1833" s="403">
        <v>9.1999999999999998E-2</v>
      </c>
      <c r="I1833" s="403">
        <v>0</v>
      </c>
      <c r="J1833" s="404">
        <v>23.22</v>
      </c>
      <c r="K1833" s="404">
        <v>2.1362399999999999</v>
      </c>
      <c r="L1833" s="166"/>
    </row>
    <row r="1834" spans="1:12" ht="15" customHeight="1" x14ac:dyDescent="0.3">
      <c r="A1834" s="400" t="s">
        <v>1038</v>
      </c>
      <c r="B1834" s="401" t="s">
        <v>1406</v>
      </c>
      <c r="C1834" s="400" t="s">
        <v>408</v>
      </c>
      <c r="D1834" s="400" t="s">
        <v>1407</v>
      </c>
      <c r="E1834" s="605" t="s">
        <v>1039</v>
      </c>
      <c r="F1834" s="605"/>
      <c r="G1834" s="402" t="s">
        <v>3</v>
      </c>
      <c r="H1834" s="403">
        <v>0.4</v>
      </c>
      <c r="I1834" s="403">
        <v>0</v>
      </c>
      <c r="J1834" s="404">
        <v>23.9</v>
      </c>
      <c r="K1834" s="404">
        <v>9.56</v>
      </c>
      <c r="L1834" s="166"/>
    </row>
    <row r="1835" spans="1:12" ht="25.5" customHeight="1" x14ac:dyDescent="0.3">
      <c r="A1835" s="400" t="s">
        <v>1038</v>
      </c>
      <c r="B1835" s="401" t="s">
        <v>1443</v>
      </c>
      <c r="C1835" s="400" t="s">
        <v>408</v>
      </c>
      <c r="D1835" s="400" t="s">
        <v>1444</v>
      </c>
      <c r="E1835" s="605" t="s">
        <v>1039</v>
      </c>
      <c r="F1835" s="605"/>
      <c r="G1835" s="402" t="s">
        <v>3</v>
      </c>
      <c r="H1835" s="403">
        <v>2.8000000000000001E-2</v>
      </c>
      <c r="I1835" s="403">
        <v>0</v>
      </c>
      <c r="J1835" s="404">
        <v>39.44</v>
      </c>
      <c r="K1835" s="404">
        <v>1.10432</v>
      </c>
      <c r="L1835" s="166"/>
    </row>
    <row r="1836" spans="1:12" ht="25.5" customHeight="1" x14ac:dyDescent="0.3">
      <c r="A1836" s="405"/>
      <c r="B1836" s="405"/>
      <c r="C1836" s="405"/>
      <c r="D1836" s="405"/>
      <c r="E1836" s="405" t="s">
        <v>1046</v>
      </c>
      <c r="F1836" s="406">
        <v>890.15</v>
      </c>
      <c r="G1836" s="405" t="s">
        <v>1047</v>
      </c>
      <c r="H1836" s="406">
        <v>0</v>
      </c>
      <c r="I1836" s="405" t="s">
        <v>1048</v>
      </c>
      <c r="J1836" s="406">
        <v>890.15</v>
      </c>
      <c r="K1836"/>
      <c r="L1836" s="166"/>
    </row>
    <row r="1837" spans="1:12" ht="25.5" customHeight="1" thickBot="1" x14ac:dyDescent="0.35">
      <c r="A1837" s="405"/>
      <c r="B1837" s="405"/>
      <c r="C1837" s="405"/>
      <c r="D1837" s="405"/>
      <c r="E1837" s="405" t="s">
        <v>1049</v>
      </c>
      <c r="F1837" s="406">
        <v>0</v>
      </c>
      <c r="G1837" s="405"/>
      <c r="H1837" s="606"/>
      <c r="I1837" s="606" t="s">
        <v>1050</v>
      </c>
      <c r="J1837" s="406">
        <v>1987.43</v>
      </c>
      <c r="K1837"/>
      <c r="L1837" s="166"/>
    </row>
    <row r="1838" spans="1:12" ht="25.5" customHeight="1" thickTop="1" x14ac:dyDescent="0.3">
      <c r="A1838" s="407"/>
      <c r="B1838" s="407"/>
      <c r="C1838" s="407"/>
      <c r="D1838" s="407"/>
      <c r="E1838" s="407"/>
      <c r="F1838" s="407"/>
      <c r="G1838" s="407"/>
      <c r="H1838" s="407"/>
      <c r="I1838" s="407"/>
      <c r="J1838" s="407"/>
      <c r="K1838" s="407"/>
      <c r="L1838" s="166"/>
    </row>
    <row r="1839" spans="1:12" ht="25.5" customHeight="1" x14ac:dyDescent="0.3">
      <c r="A1839" s="382" t="s">
        <v>1683</v>
      </c>
      <c r="B1839" s="312" t="s">
        <v>413</v>
      </c>
      <c r="C1839" s="382" t="s">
        <v>414</v>
      </c>
      <c r="D1839" s="382" t="s">
        <v>415</v>
      </c>
      <c r="E1839" s="586" t="s">
        <v>1029</v>
      </c>
      <c r="F1839" s="586"/>
      <c r="G1839" s="383" t="s">
        <v>416</v>
      </c>
      <c r="H1839" s="312" t="s">
        <v>1030</v>
      </c>
      <c r="I1839" s="312" t="s">
        <v>3016</v>
      </c>
      <c r="J1839" s="312" t="s">
        <v>1031</v>
      </c>
      <c r="K1839" s="312" t="s">
        <v>1032</v>
      </c>
      <c r="L1839" s="166"/>
    </row>
    <row r="1840" spans="1:12" ht="25.5" customHeight="1" x14ac:dyDescent="0.3">
      <c r="A1840" s="313" t="s">
        <v>1033</v>
      </c>
      <c r="B1840" s="315" t="s">
        <v>1928</v>
      </c>
      <c r="C1840" s="313" t="s">
        <v>575</v>
      </c>
      <c r="D1840" s="313" t="s">
        <v>8456</v>
      </c>
      <c r="E1840" s="603" t="s">
        <v>1496</v>
      </c>
      <c r="F1840" s="603"/>
      <c r="G1840" s="314" t="s">
        <v>4</v>
      </c>
      <c r="H1840" s="399">
        <v>1</v>
      </c>
      <c r="I1840" s="316"/>
      <c r="J1840" s="316">
        <v>2078.71</v>
      </c>
      <c r="K1840" s="316">
        <v>2078.71</v>
      </c>
      <c r="L1840" s="168" t="s">
        <v>388</v>
      </c>
    </row>
    <row r="1841" spans="1:12" ht="14.25" customHeight="1" x14ac:dyDescent="0.3">
      <c r="A1841" s="408" t="s">
        <v>1034</v>
      </c>
      <c r="B1841" s="409" t="s">
        <v>1403</v>
      </c>
      <c r="C1841" s="408" t="s">
        <v>395</v>
      </c>
      <c r="D1841" s="408" t="s">
        <v>7865</v>
      </c>
      <c r="E1841" s="604" t="s">
        <v>7768</v>
      </c>
      <c r="F1841" s="604"/>
      <c r="G1841" s="410" t="s">
        <v>6</v>
      </c>
      <c r="H1841" s="412">
        <v>18.335000000000001</v>
      </c>
      <c r="I1841" s="412">
        <v>0</v>
      </c>
      <c r="J1841" s="411">
        <v>44.64</v>
      </c>
      <c r="K1841" s="411">
        <v>818.47439999999995</v>
      </c>
      <c r="L1841" s="170"/>
    </row>
    <row r="1842" spans="1:12" ht="26.4" x14ac:dyDescent="0.3">
      <c r="A1842" s="408" t="s">
        <v>1034</v>
      </c>
      <c r="B1842" s="409" t="s">
        <v>1288</v>
      </c>
      <c r="C1842" s="408" t="s">
        <v>395</v>
      </c>
      <c r="D1842" s="408" t="s">
        <v>124</v>
      </c>
      <c r="E1842" s="604" t="s">
        <v>7768</v>
      </c>
      <c r="F1842" s="604"/>
      <c r="G1842" s="410" t="s">
        <v>6</v>
      </c>
      <c r="H1842" s="412">
        <v>13.827</v>
      </c>
      <c r="I1842" s="412">
        <v>0</v>
      </c>
      <c r="J1842" s="411">
        <v>33.47</v>
      </c>
      <c r="K1842" s="411">
        <v>462.78969000000001</v>
      </c>
      <c r="L1842" s="168">
        <v>1.5</v>
      </c>
    </row>
    <row r="1843" spans="1:12" ht="12.75" customHeight="1" x14ac:dyDescent="0.3">
      <c r="A1843" s="408" t="s">
        <v>1034</v>
      </c>
      <c r="B1843" s="409" t="s">
        <v>1366</v>
      </c>
      <c r="C1843" s="408" t="s">
        <v>395</v>
      </c>
      <c r="D1843" s="408" t="s">
        <v>149</v>
      </c>
      <c r="E1843" s="604" t="s">
        <v>7768</v>
      </c>
      <c r="F1843" s="604"/>
      <c r="G1843" s="410" t="s">
        <v>6</v>
      </c>
      <c r="H1843" s="412">
        <v>0.63800000000000001</v>
      </c>
      <c r="I1843" s="412">
        <v>0</v>
      </c>
      <c r="J1843" s="411">
        <v>37.57</v>
      </c>
      <c r="K1843" s="411">
        <v>23.969660000000001</v>
      </c>
      <c r="L1843" s="168">
        <v>1.5</v>
      </c>
    </row>
    <row r="1844" spans="1:12" ht="25.5" customHeight="1" x14ac:dyDescent="0.3">
      <c r="A1844" s="408" t="s">
        <v>1034</v>
      </c>
      <c r="B1844" s="409" t="s">
        <v>1153</v>
      </c>
      <c r="C1844" s="408" t="s">
        <v>395</v>
      </c>
      <c r="D1844" s="408" t="s">
        <v>125</v>
      </c>
      <c r="E1844" s="604" t="s">
        <v>7768</v>
      </c>
      <c r="F1844" s="604"/>
      <c r="G1844" s="410" t="s">
        <v>6</v>
      </c>
      <c r="H1844" s="412">
        <v>0.63800000000000001</v>
      </c>
      <c r="I1844" s="412">
        <v>0</v>
      </c>
      <c r="J1844" s="411">
        <v>34.17</v>
      </c>
      <c r="K1844" s="411">
        <v>21.800460000000001</v>
      </c>
      <c r="L1844" s="168"/>
    </row>
    <row r="1845" spans="1:12" ht="15" customHeight="1" x14ac:dyDescent="0.3">
      <c r="A1845" s="400" t="s">
        <v>1038</v>
      </c>
      <c r="B1845" s="401" t="s">
        <v>1369</v>
      </c>
      <c r="C1845" s="400" t="s">
        <v>408</v>
      </c>
      <c r="D1845" s="400" t="s">
        <v>1370</v>
      </c>
      <c r="E1845" s="605" t="s">
        <v>1039</v>
      </c>
      <c r="F1845" s="605"/>
      <c r="G1845" s="402" t="s">
        <v>3</v>
      </c>
      <c r="H1845" s="403">
        <v>5.1840000000000002</v>
      </c>
      <c r="I1845" s="403">
        <v>0</v>
      </c>
      <c r="J1845" s="404">
        <v>0.71</v>
      </c>
      <c r="K1845" s="404">
        <v>3.6806399999999999</v>
      </c>
      <c r="L1845" s="166"/>
    </row>
    <row r="1846" spans="1:12" ht="15" x14ac:dyDescent="0.3">
      <c r="A1846" s="400" t="s">
        <v>1038</v>
      </c>
      <c r="B1846" s="401" t="s">
        <v>1367</v>
      </c>
      <c r="C1846" s="400" t="s">
        <v>408</v>
      </c>
      <c r="D1846" s="400" t="s">
        <v>1368</v>
      </c>
      <c r="E1846" s="605" t="s">
        <v>1039</v>
      </c>
      <c r="F1846" s="605"/>
      <c r="G1846" s="402" t="s">
        <v>713</v>
      </c>
      <c r="H1846" s="403">
        <v>1.2E-2</v>
      </c>
      <c r="I1846" s="403">
        <v>0</v>
      </c>
      <c r="J1846" s="404">
        <v>106.37</v>
      </c>
      <c r="K1846" s="404">
        <v>1.27644</v>
      </c>
      <c r="L1846" s="166"/>
    </row>
    <row r="1847" spans="1:12" ht="15" customHeight="1" x14ac:dyDescent="0.3">
      <c r="A1847" s="400" t="s">
        <v>1038</v>
      </c>
      <c r="B1847" s="401" t="s">
        <v>1439</v>
      </c>
      <c r="C1847" s="400" t="s">
        <v>408</v>
      </c>
      <c r="D1847" s="400" t="s">
        <v>1440</v>
      </c>
      <c r="E1847" s="605" t="s">
        <v>1039</v>
      </c>
      <c r="F1847" s="605"/>
      <c r="G1847" s="402" t="s">
        <v>7</v>
      </c>
      <c r="H1847" s="403">
        <v>10.6</v>
      </c>
      <c r="I1847" s="403">
        <v>0</v>
      </c>
      <c r="J1847" s="404">
        <v>13.68</v>
      </c>
      <c r="K1847" s="404">
        <v>145.00800000000001</v>
      </c>
      <c r="L1847" s="168">
        <f>0.3+0.6+0.2</f>
        <v>1.0999999999999999</v>
      </c>
    </row>
    <row r="1848" spans="1:12" ht="17.399999999999999" customHeight="1" x14ac:dyDescent="0.3">
      <c r="A1848" s="400" t="s">
        <v>1038</v>
      </c>
      <c r="B1848" s="401" t="s">
        <v>1414</v>
      </c>
      <c r="C1848" s="400" t="s">
        <v>408</v>
      </c>
      <c r="D1848" s="400" t="s">
        <v>1415</v>
      </c>
      <c r="E1848" s="605" t="s">
        <v>1039</v>
      </c>
      <c r="F1848" s="605"/>
      <c r="G1848" s="402" t="s">
        <v>4</v>
      </c>
      <c r="H1848" s="403">
        <v>6</v>
      </c>
      <c r="I1848" s="403">
        <v>0</v>
      </c>
      <c r="J1848" s="404">
        <v>1</v>
      </c>
      <c r="K1848" s="404">
        <v>6</v>
      </c>
      <c r="L1848" s="168">
        <v>1.5</v>
      </c>
    </row>
    <row r="1849" spans="1:12" ht="14.25" customHeight="1" x14ac:dyDescent="0.3">
      <c r="A1849" s="400" t="s">
        <v>1038</v>
      </c>
      <c r="B1849" s="401" t="s">
        <v>1445</v>
      </c>
      <c r="C1849" s="400" t="s">
        <v>408</v>
      </c>
      <c r="D1849" s="400" t="s">
        <v>1446</v>
      </c>
      <c r="E1849" s="605" t="s">
        <v>1039</v>
      </c>
      <c r="F1849" s="605"/>
      <c r="G1849" s="402" t="s">
        <v>3</v>
      </c>
      <c r="H1849" s="403">
        <v>0.11</v>
      </c>
      <c r="I1849" s="403">
        <v>0</v>
      </c>
      <c r="J1849" s="404">
        <v>23.22</v>
      </c>
      <c r="K1849" s="404">
        <v>2.5541999999999998</v>
      </c>
      <c r="L1849" s="168">
        <v>1.5</v>
      </c>
    </row>
    <row r="1850" spans="1:12" ht="25.5" customHeight="1" x14ac:dyDescent="0.3">
      <c r="A1850" s="400" t="s">
        <v>1038</v>
      </c>
      <c r="B1850" s="401" t="s">
        <v>1404</v>
      </c>
      <c r="C1850" s="400" t="s">
        <v>408</v>
      </c>
      <c r="D1850" s="400" t="s">
        <v>1405</v>
      </c>
      <c r="E1850" s="605" t="s">
        <v>1039</v>
      </c>
      <c r="F1850" s="605"/>
      <c r="G1850" s="402" t="s">
        <v>7</v>
      </c>
      <c r="H1850" s="403">
        <v>5.3</v>
      </c>
      <c r="I1850" s="403">
        <v>0</v>
      </c>
      <c r="J1850" s="404">
        <v>46.65</v>
      </c>
      <c r="K1850" s="404">
        <v>247.245</v>
      </c>
      <c r="L1850" s="168"/>
    </row>
    <row r="1851" spans="1:12" ht="25.5" customHeight="1" x14ac:dyDescent="0.3">
      <c r="A1851" s="400" t="s">
        <v>1038</v>
      </c>
      <c r="B1851" s="401" t="s">
        <v>1461</v>
      </c>
      <c r="C1851" s="400" t="s">
        <v>408</v>
      </c>
      <c r="D1851" s="400" t="s">
        <v>1462</v>
      </c>
      <c r="E1851" s="605" t="s">
        <v>1039</v>
      </c>
      <c r="F1851" s="605"/>
      <c r="G1851" s="402" t="s">
        <v>675</v>
      </c>
      <c r="H1851" s="403">
        <v>0.4</v>
      </c>
      <c r="I1851" s="403">
        <v>0</v>
      </c>
      <c r="J1851" s="404">
        <v>122.06</v>
      </c>
      <c r="K1851" s="404">
        <v>48.823999999999998</v>
      </c>
      <c r="L1851" s="168"/>
    </row>
    <row r="1852" spans="1:12" ht="25.5" customHeight="1" x14ac:dyDescent="0.3">
      <c r="A1852" s="400" t="s">
        <v>1038</v>
      </c>
      <c r="B1852" s="401" t="s">
        <v>1443</v>
      </c>
      <c r="C1852" s="400" t="s">
        <v>408</v>
      </c>
      <c r="D1852" s="400" t="s">
        <v>1444</v>
      </c>
      <c r="E1852" s="605" t="s">
        <v>1039</v>
      </c>
      <c r="F1852" s="605"/>
      <c r="G1852" s="402" t="s">
        <v>3</v>
      </c>
      <c r="H1852" s="403">
        <v>0.03</v>
      </c>
      <c r="I1852" s="403">
        <v>0</v>
      </c>
      <c r="J1852" s="404">
        <v>39.44</v>
      </c>
      <c r="K1852" s="404">
        <v>1.1832</v>
      </c>
      <c r="L1852" s="168"/>
    </row>
    <row r="1853" spans="1:12" ht="25.5" customHeight="1" x14ac:dyDescent="0.3">
      <c r="A1853" s="400" t="s">
        <v>1038</v>
      </c>
      <c r="B1853" s="401" t="s">
        <v>1595</v>
      </c>
      <c r="C1853" s="400" t="s">
        <v>408</v>
      </c>
      <c r="D1853" s="400" t="s">
        <v>1596</v>
      </c>
      <c r="E1853" s="605" t="s">
        <v>1039</v>
      </c>
      <c r="F1853" s="605"/>
      <c r="G1853" s="402" t="s">
        <v>4</v>
      </c>
      <c r="H1853" s="403">
        <v>1</v>
      </c>
      <c r="I1853" s="403">
        <v>0</v>
      </c>
      <c r="J1853" s="404">
        <v>295.89999999999998</v>
      </c>
      <c r="K1853" s="404">
        <v>295.89999999999998</v>
      </c>
      <c r="L1853" s="168"/>
    </row>
    <row r="1854" spans="1:12" ht="25.5" customHeight="1" x14ac:dyDescent="0.3">
      <c r="A1854" s="405"/>
      <c r="B1854" s="405"/>
      <c r="C1854" s="405"/>
      <c r="D1854" s="405"/>
      <c r="E1854" s="405" t="s">
        <v>1046</v>
      </c>
      <c r="F1854" s="406">
        <v>998.18</v>
      </c>
      <c r="G1854" s="405" t="s">
        <v>1047</v>
      </c>
      <c r="H1854" s="406">
        <v>0</v>
      </c>
      <c r="I1854" s="405" t="s">
        <v>1048</v>
      </c>
      <c r="J1854" s="406">
        <v>998.18</v>
      </c>
      <c r="K1854"/>
      <c r="L1854" s="166"/>
    </row>
    <row r="1855" spans="1:12" ht="25.5" customHeight="1" thickBot="1" x14ac:dyDescent="0.35">
      <c r="A1855" s="405"/>
      <c r="B1855" s="405"/>
      <c r="C1855" s="405"/>
      <c r="D1855" s="405"/>
      <c r="E1855" s="405" t="s">
        <v>1049</v>
      </c>
      <c r="F1855" s="406">
        <v>0</v>
      </c>
      <c r="G1855" s="405"/>
      <c r="H1855" s="606"/>
      <c r="I1855" s="606" t="s">
        <v>1050</v>
      </c>
      <c r="J1855" s="406">
        <v>2078.71</v>
      </c>
      <c r="K1855"/>
      <c r="L1855" s="168"/>
    </row>
    <row r="1856" spans="1:12" ht="25.5" customHeight="1" thickTop="1" x14ac:dyDescent="0.3">
      <c r="A1856" s="407"/>
      <c r="B1856" s="407"/>
      <c r="C1856" s="407"/>
      <c r="D1856" s="407"/>
      <c r="E1856" s="407"/>
      <c r="F1856" s="407"/>
      <c r="G1856" s="407"/>
      <c r="H1856" s="407"/>
      <c r="I1856" s="407"/>
      <c r="J1856" s="407"/>
      <c r="K1856" s="407"/>
      <c r="L1856" s="168"/>
    </row>
    <row r="1857" spans="1:12" ht="25.5" customHeight="1" x14ac:dyDescent="0.3">
      <c r="A1857" s="382" t="s">
        <v>1685</v>
      </c>
      <c r="B1857" s="312" t="s">
        <v>413</v>
      </c>
      <c r="C1857" s="382" t="s">
        <v>414</v>
      </c>
      <c r="D1857" s="382" t="s">
        <v>415</v>
      </c>
      <c r="E1857" s="586" t="s">
        <v>1029</v>
      </c>
      <c r="F1857" s="586"/>
      <c r="G1857" s="383" t="s">
        <v>416</v>
      </c>
      <c r="H1857" s="312" t="s">
        <v>1030</v>
      </c>
      <c r="I1857" s="312" t="s">
        <v>3016</v>
      </c>
      <c r="J1857" s="312" t="s">
        <v>1031</v>
      </c>
      <c r="K1857" s="312" t="s">
        <v>1032</v>
      </c>
      <c r="L1857" s="168"/>
    </row>
    <row r="1858" spans="1:12" ht="15" customHeight="1" x14ac:dyDescent="0.3">
      <c r="A1858" s="313" t="s">
        <v>1033</v>
      </c>
      <c r="B1858" s="315" t="s">
        <v>1923</v>
      </c>
      <c r="C1858" s="313" t="s">
        <v>575</v>
      </c>
      <c r="D1858" s="313" t="s">
        <v>8455</v>
      </c>
      <c r="E1858" s="603" t="s">
        <v>1496</v>
      </c>
      <c r="F1858" s="603"/>
      <c r="G1858" s="314" t="s">
        <v>4</v>
      </c>
      <c r="H1858" s="399">
        <v>1</v>
      </c>
      <c r="I1858" s="316"/>
      <c r="J1858" s="316">
        <v>3795.12</v>
      </c>
      <c r="K1858" s="316">
        <v>3795.12</v>
      </c>
      <c r="L1858" s="166"/>
    </row>
    <row r="1859" spans="1:12" ht="14.25" customHeight="1" x14ac:dyDescent="0.3">
      <c r="A1859" s="408" t="s">
        <v>1034</v>
      </c>
      <c r="B1859" s="409" t="s">
        <v>1403</v>
      </c>
      <c r="C1859" s="408" t="s">
        <v>395</v>
      </c>
      <c r="D1859" s="408" t="s">
        <v>7865</v>
      </c>
      <c r="E1859" s="604" t="s">
        <v>7768</v>
      </c>
      <c r="F1859" s="604"/>
      <c r="G1859" s="410" t="s">
        <v>6</v>
      </c>
      <c r="H1859" s="412">
        <v>25.792999999999999</v>
      </c>
      <c r="I1859" s="412">
        <v>0</v>
      </c>
      <c r="J1859" s="411">
        <v>44.64</v>
      </c>
      <c r="K1859" s="411">
        <v>1151.3995199999999</v>
      </c>
      <c r="L1859" s="166"/>
    </row>
    <row r="1860" spans="1:12" ht="15" customHeight="1" x14ac:dyDescent="0.3">
      <c r="A1860" s="408" t="s">
        <v>1034</v>
      </c>
      <c r="B1860" s="409" t="s">
        <v>1288</v>
      </c>
      <c r="C1860" s="408" t="s">
        <v>395</v>
      </c>
      <c r="D1860" s="408" t="s">
        <v>124</v>
      </c>
      <c r="E1860" s="604" t="s">
        <v>7768</v>
      </c>
      <c r="F1860" s="604"/>
      <c r="G1860" s="410" t="s">
        <v>6</v>
      </c>
      <c r="H1860" s="412">
        <v>18.407</v>
      </c>
      <c r="I1860" s="412">
        <v>0</v>
      </c>
      <c r="J1860" s="411">
        <v>33.47</v>
      </c>
      <c r="K1860" s="411">
        <v>616.08228999999994</v>
      </c>
      <c r="L1860" s="168"/>
    </row>
    <row r="1861" spans="1:12" ht="14.25" customHeight="1" x14ac:dyDescent="0.3">
      <c r="A1861" s="408" t="s">
        <v>1034</v>
      </c>
      <c r="B1861" s="409" t="s">
        <v>1366</v>
      </c>
      <c r="C1861" s="408" t="s">
        <v>395</v>
      </c>
      <c r="D1861" s="408" t="s">
        <v>149</v>
      </c>
      <c r="E1861" s="604" t="s">
        <v>7768</v>
      </c>
      <c r="F1861" s="604"/>
      <c r="G1861" s="410" t="s">
        <v>6</v>
      </c>
      <c r="H1861" s="412">
        <v>0.63800000000000001</v>
      </c>
      <c r="I1861" s="412">
        <v>0</v>
      </c>
      <c r="J1861" s="411">
        <v>37.57</v>
      </c>
      <c r="K1861" s="411">
        <v>23.969660000000001</v>
      </c>
      <c r="L1861" s="168"/>
    </row>
    <row r="1862" spans="1:12" ht="26.4" x14ac:dyDescent="0.3">
      <c r="A1862" s="408" t="s">
        <v>1034</v>
      </c>
      <c r="B1862" s="409" t="s">
        <v>1153</v>
      </c>
      <c r="C1862" s="408" t="s">
        <v>395</v>
      </c>
      <c r="D1862" s="408" t="s">
        <v>125</v>
      </c>
      <c r="E1862" s="604" t="s">
        <v>7768</v>
      </c>
      <c r="F1862" s="604"/>
      <c r="G1862" s="410" t="s">
        <v>6</v>
      </c>
      <c r="H1862" s="412">
        <v>0.63800000000000001</v>
      </c>
      <c r="I1862" s="412">
        <v>0</v>
      </c>
      <c r="J1862" s="411">
        <v>34.17</v>
      </c>
      <c r="K1862" s="411">
        <v>21.800460000000001</v>
      </c>
      <c r="L1862" s="168"/>
    </row>
    <row r="1863" spans="1:12" ht="25.5" customHeight="1" x14ac:dyDescent="0.3">
      <c r="A1863" s="400" t="s">
        <v>1038</v>
      </c>
      <c r="B1863" s="401" t="s">
        <v>1410</v>
      </c>
      <c r="C1863" s="400" t="s">
        <v>408</v>
      </c>
      <c r="D1863" s="400" t="s">
        <v>1411</v>
      </c>
      <c r="E1863" s="605" t="s">
        <v>1039</v>
      </c>
      <c r="F1863" s="605"/>
      <c r="G1863" s="402" t="s">
        <v>675</v>
      </c>
      <c r="H1863" s="403">
        <v>7.62</v>
      </c>
      <c r="I1863" s="403">
        <v>0</v>
      </c>
      <c r="J1863" s="404">
        <v>64.34</v>
      </c>
      <c r="K1863" s="404">
        <v>490.27080000000001</v>
      </c>
      <c r="L1863" s="166"/>
    </row>
    <row r="1864" spans="1:12" ht="25.5" customHeight="1" x14ac:dyDescent="0.3">
      <c r="A1864" s="400" t="s">
        <v>1038</v>
      </c>
      <c r="B1864" s="401" t="s">
        <v>1455</v>
      </c>
      <c r="C1864" s="400" t="s">
        <v>408</v>
      </c>
      <c r="D1864" s="400" t="s">
        <v>1456</v>
      </c>
      <c r="E1864" s="605" t="s">
        <v>1039</v>
      </c>
      <c r="F1864" s="605"/>
      <c r="G1864" s="402" t="s">
        <v>4</v>
      </c>
      <c r="H1864" s="403">
        <v>2</v>
      </c>
      <c r="I1864" s="403">
        <v>0</v>
      </c>
      <c r="J1864" s="404">
        <v>179.9</v>
      </c>
      <c r="K1864" s="404">
        <v>359.8</v>
      </c>
      <c r="L1864" s="166"/>
    </row>
    <row r="1865" spans="1:12" ht="25.5" customHeight="1" x14ac:dyDescent="0.3">
      <c r="A1865" s="400" t="s">
        <v>1038</v>
      </c>
      <c r="B1865" s="401" t="s">
        <v>1439</v>
      </c>
      <c r="C1865" s="400" t="s">
        <v>408</v>
      </c>
      <c r="D1865" s="400" t="s">
        <v>1440</v>
      </c>
      <c r="E1865" s="605" t="s">
        <v>1039</v>
      </c>
      <c r="F1865" s="605"/>
      <c r="G1865" s="402" t="s">
        <v>7</v>
      </c>
      <c r="H1865" s="403">
        <v>10.8</v>
      </c>
      <c r="I1865" s="403">
        <v>0</v>
      </c>
      <c r="J1865" s="404">
        <v>13.68</v>
      </c>
      <c r="K1865" s="404">
        <v>147.744</v>
      </c>
      <c r="L1865" s="166"/>
    </row>
    <row r="1866" spans="1:12" ht="25.5" customHeight="1" x14ac:dyDescent="0.3">
      <c r="A1866" s="400" t="s">
        <v>1038</v>
      </c>
      <c r="B1866" s="401" t="s">
        <v>1445</v>
      </c>
      <c r="C1866" s="400" t="s">
        <v>408</v>
      </c>
      <c r="D1866" s="400" t="s">
        <v>1446</v>
      </c>
      <c r="E1866" s="605" t="s">
        <v>1039</v>
      </c>
      <c r="F1866" s="605"/>
      <c r="G1866" s="402" t="s">
        <v>3</v>
      </c>
      <c r="H1866" s="403">
        <v>0.09</v>
      </c>
      <c r="I1866" s="403">
        <v>0</v>
      </c>
      <c r="J1866" s="404">
        <v>23.22</v>
      </c>
      <c r="K1866" s="404">
        <v>2.0897999999999999</v>
      </c>
      <c r="L1866" s="166"/>
    </row>
    <row r="1867" spans="1:12" ht="15" x14ac:dyDescent="0.3">
      <c r="A1867" s="400" t="s">
        <v>1038</v>
      </c>
      <c r="B1867" s="401" t="s">
        <v>1406</v>
      </c>
      <c r="C1867" s="400" t="s">
        <v>408</v>
      </c>
      <c r="D1867" s="400" t="s">
        <v>1407</v>
      </c>
      <c r="E1867" s="605" t="s">
        <v>1039</v>
      </c>
      <c r="F1867" s="605"/>
      <c r="G1867" s="402" t="s">
        <v>3</v>
      </c>
      <c r="H1867" s="403">
        <v>0.79</v>
      </c>
      <c r="I1867" s="403">
        <v>0</v>
      </c>
      <c r="J1867" s="404">
        <v>23.9</v>
      </c>
      <c r="K1867" s="404">
        <v>18.881</v>
      </c>
      <c r="L1867" s="166"/>
    </row>
    <row r="1868" spans="1:12" ht="15" x14ac:dyDescent="0.3">
      <c r="A1868" s="400" t="s">
        <v>1038</v>
      </c>
      <c r="B1868" s="401" t="s">
        <v>1404</v>
      </c>
      <c r="C1868" s="400" t="s">
        <v>408</v>
      </c>
      <c r="D1868" s="400" t="s">
        <v>1405</v>
      </c>
      <c r="E1868" s="605" t="s">
        <v>1039</v>
      </c>
      <c r="F1868" s="605"/>
      <c r="G1868" s="402" t="s">
        <v>7</v>
      </c>
      <c r="H1868" s="403">
        <v>5.4</v>
      </c>
      <c r="I1868" s="403">
        <v>0</v>
      </c>
      <c r="J1868" s="404">
        <v>46.65</v>
      </c>
      <c r="K1868" s="404">
        <v>251.91</v>
      </c>
      <c r="L1868" s="166"/>
    </row>
    <row r="1869" spans="1:12" ht="15" customHeight="1" x14ac:dyDescent="0.3">
      <c r="A1869" s="400" t="s">
        <v>1038</v>
      </c>
      <c r="B1869" s="401" t="s">
        <v>1443</v>
      </c>
      <c r="C1869" s="400" t="s">
        <v>408</v>
      </c>
      <c r="D1869" s="400" t="s">
        <v>1444</v>
      </c>
      <c r="E1869" s="605" t="s">
        <v>1039</v>
      </c>
      <c r="F1869" s="605"/>
      <c r="G1869" s="402" t="s">
        <v>3</v>
      </c>
      <c r="H1869" s="403">
        <v>2.8000000000000001E-2</v>
      </c>
      <c r="I1869" s="403">
        <v>0</v>
      </c>
      <c r="J1869" s="404">
        <v>39.44</v>
      </c>
      <c r="K1869" s="404">
        <v>1.10432</v>
      </c>
      <c r="L1869" s="166"/>
    </row>
    <row r="1870" spans="1:12" ht="14.25" customHeight="1" x14ac:dyDescent="0.3">
      <c r="A1870" s="400" t="s">
        <v>1038</v>
      </c>
      <c r="B1870" s="401" t="s">
        <v>1453</v>
      </c>
      <c r="C1870" s="400" t="s">
        <v>408</v>
      </c>
      <c r="D1870" s="400" t="s">
        <v>1454</v>
      </c>
      <c r="E1870" s="605" t="s">
        <v>1039</v>
      </c>
      <c r="F1870" s="605"/>
      <c r="G1870" s="402" t="s">
        <v>3</v>
      </c>
      <c r="H1870" s="403">
        <v>13.25</v>
      </c>
      <c r="I1870" s="403">
        <v>0</v>
      </c>
      <c r="J1870" s="404">
        <v>53.59</v>
      </c>
      <c r="K1870" s="404">
        <v>710.0675</v>
      </c>
      <c r="L1870" s="166"/>
    </row>
    <row r="1871" spans="1:12" ht="15" customHeight="1" x14ac:dyDescent="0.3">
      <c r="A1871" s="405"/>
      <c r="B1871" s="405"/>
      <c r="C1871" s="405"/>
      <c r="D1871" s="405"/>
      <c r="E1871" s="405" t="s">
        <v>1046</v>
      </c>
      <c r="F1871" s="406">
        <v>1366.18</v>
      </c>
      <c r="G1871" s="405" t="s">
        <v>1047</v>
      </c>
      <c r="H1871" s="406">
        <v>0.01</v>
      </c>
      <c r="I1871" s="405" t="s">
        <v>1048</v>
      </c>
      <c r="J1871" s="406">
        <v>1366.19</v>
      </c>
      <c r="K1871"/>
      <c r="L1871" s="166"/>
    </row>
    <row r="1872" spans="1:12" ht="15.6" thickBot="1" x14ac:dyDescent="0.35">
      <c r="A1872" s="405"/>
      <c r="B1872" s="405"/>
      <c r="C1872" s="405"/>
      <c r="D1872" s="405"/>
      <c r="E1872" s="405" t="s">
        <v>1049</v>
      </c>
      <c r="F1872" s="406">
        <v>0</v>
      </c>
      <c r="G1872" s="405"/>
      <c r="H1872" s="606"/>
      <c r="I1872" s="606" t="s">
        <v>1050</v>
      </c>
      <c r="J1872" s="406">
        <v>3795.12</v>
      </c>
      <c r="K1872"/>
      <c r="L1872" s="166"/>
    </row>
    <row r="1873" spans="1:12" ht="15" customHeight="1" thickTop="1" x14ac:dyDescent="0.3">
      <c r="A1873" s="407"/>
      <c r="B1873" s="407"/>
      <c r="C1873" s="407"/>
      <c r="D1873" s="407"/>
      <c r="E1873" s="407"/>
      <c r="F1873" s="407"/>
      <c r="G1873" s="407"/>
      <c r="H1873" s="407"/>
      <c r="I1873" s="407"/>
      <c r="J1873" s="407"/>
      <c r="K1873" s="407"/>
      <c r="L1873" s="168" t="s">
        <v>388</v>
      </c>
    </row>
    <row r="1874" spans="1:12" ht="25.5" customHeight="1" x14ac:dyDescent="0.3">
      <c r="A1874" s="382" t="s">
        <v>1687</v>
      </c>
      <c r="B1874" s="312" t="s">
        <v>413</v>
      </c>
      <c r="C1874" s="382" t="s">
        <v>414</v>
      </c>
      <c r="D1874" s="382" t="s">
        <v>415</v>
      </c>
      <c r="E1874" s="586" t="s">
        <v>1029</v>
      </c>
      <c r="F1874" s="586"/>
      <c r="G1874" s="383" t="s">
        <v>416</v>
      </c>
      <c r="H1874" s="312" t="s">
        <v>1030</v>
      </c>
      <c r="I1874" s="312" t="s">
        <v>3016</v>
      </c>
      <c r="J1874" s="312" t="s">
        <v>1031</v>
      </c>
      <c r="K1874" s="312" t="s">
        <v>1032</v>
      </c>
      <c r="L1874" s="170"/>
    </row>
    <row r="1875" spans="1:12" ht="15" customHeight="1" x14ac:dyDescent="0.3">
      <c r="A1875" s="313" t="s">
        <v>1033</v>
      </c>
      <c r="B1875" s="315" t="s">
        <v>1929</v>
      </c>
      <c r="C1875" s="313" t="s">
        <v>575</v>
      </c>
      <c r="D1875" s="313" t="s">
        <v>8457</v>
      </c>
      <c r="E1875" s="603" t="s">
        <v>1496</v>
      </c>
      <c r="F1875" s="603"/>
      <c r="G1875" s="314" t="s">
        <v>4</v>
      </c>
      <c r="H1875" s="399">
        <v>1</v>
      </c>
      <c r="I1875" s="316"/>
      <c r="J1875" s="316">
        <v>2268.6</v>
      </c>
      <c r="K1875" s="316">
        <v>2268.6</v>
      </c>
      <c r="L1875" s="168">
        <v>1.5</v>
      </c>
    </row>
    <row r="1876" spans="1:12" ht="25.5" customHeight="1" x14ac:dyDescent="0.3">
      <c r="A1876" s="408" t="s">
        <v>1034</v>
      </c>
      <c r="B1876" s="409" t="s">
        <v>1403</v>
      </c>
      <c r="C1876" s="408" t="s">
        <v>395</v>
      </c>
      <c r="D1876" s="408" t="s">
        <v>7865</v>
      </c>
      <c r="E1876" s="604" t="s">
        <v>7768</v>
      </c>
      <c r="F1876" s="604"/>
      <c r="G1876" s="410" t="s">
        <v>6</v>
      </c>
      <c r="H1876" s="412">
        <v>14.64</v>
      </c>
      <c r="I1876" s="412">
        <v>0</v>
      </c>
      <c r="J1876" s="411">
        <v>44.64</v>
      </c>
      <c r="K1876" s="411">
        <v>653.52959999999996</v>
      </c>
      <c r="L1876" s="168">
        <v>1.5</v>
      </c>
    </row>
    <row r="1877" spans="1:12" ht="25.5" customHeight="1" x14ac:dyDescent="0.3">
      <c r="A1877" s="408" t="s">
        <v>1034</v>
      </c>
      <c r="B1877" s="409" t="s">
        <v>1288</v>
      </c>
      <c r="C1877" s="408" t="s">
        <v>395</v>
      </c>
      <c r="D1877" s="408" t="s">
        <v>124</v>
      </c>
      <c r="E1877" s="604" t="s">
        <v>7768</v>
      </c>
      <c r="F1877" s="604"/>
      <c r="G1877" s="410" t="s">
        <v>6</v>
      </c>
      <c r="H1877" s="412">
        <v>16.084</v>
      </c>
      <c r="I1877" s="412">
        <v>0</v>
      </c>
      <c r="J1877" s="411">
        <v>33.47</v>
      </c>
      <c r="K1877" s="411">
        <v>538.33148000000006</v>
      </c>
      <c r="L1877" s="168"/>
    </row>
    <row r="1878" spans="1:12" ht="15" x14ac:dyDescent="0.3">
      <c r="A1878" s="400" t="s">
        <v>1038</v>
      </c>
      <c r="B1878" s="401" t="s">
        <v>1369</v>
      </c>
      <c r="C1878" s="400" t="s">
        <v>408</v>
      </c>
      <c r="D1878" s="400" t="s">
        <v>1370</v>
      </c>
      <c r="E1878" s="605" t="s">
        <v>1039</v>
      </c>
      <c r="F1878" s="605"/>
      <c r="G1878" s="402" t="s">
        <v>3</v>
      </c>
      <c r="H1878" s="403">
        <v>5.1840000000000002</v>
      </c>
      <c r="I1878" s="403">
        <v>0</v>
      </c>
      <c r="J1878" s="404">
        <v>0.71</v>
      </c>
      <c r="K1878" s="404">
        <v>3.6806399999999999</v>
      </c>
      <c r="L1878" s="166"/>
    </row>
    <row r="1879" spans="1:12" ht="14.25" customHeight="1" x14ac:dyDescent="0.3">
      <c r="A1879" s="400" t="s">
        <v>1038</v>
      </c>
      <c r="B1879" s="401" t="s">
        <v>1367</v>
      </c>
      <c r="C1879" s="400" t="s">
        <v>408</v>
      </c>
      <c r="D1879" s="400" t="s">
        <v>1368</v>
      </c>
      <c r="E1879" s="605" t="s">
        <v>1039</v>
      </c>
      <c r="F1879" s="605"/>
      <c r="G1879" s="402" t="s">
        <v>713</v>
      </c>
      <c r="H1879" s="403">
        <v>1.2E-2</v>
      </c>
      <c r="I1879" s="403">
        <v>0</v>
      </c>
      <c r="J1879" s="404">
        <v>106.37</v>
      </c>
      <c r="K1879" s="404">
        <v>1.27644</v>
      </c>
      <c r="L1879" s="166"/>
    </row>
    <row r="1880" spans="1:12" ht="14.25" customHeight="1" x14ac:dyDescent="0.3">
      <c r="A1880" s="400" t="s">
        <v>1038</v>
      </c>
      <c r="B1880" s="401" t="s">
        <v>1410</v>
      </c>
      <c r="C1880" s="400" t="s">
        <v>408</v>
      </c>
      <c r="D1880" s="400" t="s">
        <v>1411</v>
      </c>
      <c r="E1880" s="605" t="s">
        <v>1039</v>
      </c>
      <c r="F1880" s="605"/>
      <c r="G1880" s="402" t="s">
        <v>675</v>
      </c>
      <c r="H1880" s="403">
        <v>7.62</v>
      </c>
      <c r="I1880" s="403">
        <v>0</v>
      </c>
      <c r="J1880" s="404">
        <v>64.34</v>
      </c>
      <c r="K1880" s="404">
        <v>490.27080000000001</v>
      </c>
      <c r="L1880" s="168">
        <f>0.3+0.6+0.2</f>
        <v>1.0999999999999999</v>
      </c>
    </row>
    <row r="1881" spans="1:12" ht="17.399999999999999" customHeight="1" x14ac:dyDescent="0.3">
      <c r="A1881" s="400" t="s">
        <v>1038</v>
      </c>
      <c r="B1881" s="401" t="s">
        <v>1441</v>
      </c>
      <c r="C1881" s="400" t="s">
        <v>408</v>
      </c>
      <c r="D1881" s="400" t="s">
        <v>1442</v>
      </c>
      <c r="E1881" s="605" t="s">
        <v>1039</v>
      </c>
      <c r="F1881" s="605"/>
      <c r="G1881" s="402" t="s">
        <v>4</v>
      </c>
      <c r="H1881" s="403">
        <v>1.2</v>
      </c>
      <c r="I1881" s="403">
        <v>0</v>
      </c>
      <c r="J1881" s="404">
        <v>142</v>
      </c>
      <c r="K1881" s="404">
        <v>170.4</v>
      </c>
      <c r="L1881" s="168">
        <v>1.5</v>
      </c>
    </row>
    <row r="1882" spans="1:12" ht="15" customHeight="1" x14ac:dyDescent="0.3">
      <c r="A1882" s="400" t="s">
        <v>1038</v>
      </c>
      <c r="B1882" s="401" t="s">
        <v>1439</v>
      </c>
      <c r="C1882" s="400" t="s">
        <v>408</v>
      </c>
      <c r="D1882" s="400" t="s">
        <v>1440</v>
      </c>
      <c r="E1882" s="605" t="s">
        <v>1039</v>
      </c>
      <c r="F1882" s="605"/>
      <c r="G1882" s="402" t="s">
        <v>7</v>
      </c>
      <c r="H1882" s="403">
        <v>11.84</v>
      </c>
      <c r="I1882" s="403">
        <v>0</v>
      </c>
      <c r="J1882" s="404">
        <v>13.68</v>
      </c>
      <c r="K1882" s="404">
        <v>161.97120000000001</v>
      </c>
      <c r="L1882" s="168">
        <v>1.5</v>
      </c>
    </row>
    <row r="1883" spans="1:12" ht="12.75" customHeight="1" x14ac:dyDescent="0.3">
      <c r="A1883" s="400" t="s">
        <v>1038</v>
      </c>
      <c r="B1883" s="401" t="s">
        <v>1414</v>
      </c>
      <c r="C1883" s="400" t="s">
        <v>408</v>
      </c>
      <c r="D1883" s="400" t="s">
        <v>1415</v>
      </c>
      <c r="E1883" s="605" t="s">
        <v>1039</v>
      </c>
      <c r="F1883" s="605"/>
      <c r="G1883" s="402" t="s">
        <v>4</v>
      </c>
      <c r="H1883" s="403">
        <v>6</v>
      </c>
      <c r="I1883" s="403">
        <v>0</v>
      </c>
      <c r="J1883" s="404">
        <v>1</v>
      </c>
      <c r="K1883" s="404">
        <v>6</v>
      </c>
      <c r="L1883" s="168"/>
    </row>
    <row r="1884" spans="1:12" ht="12.75" customHeight="1" x14ac:dyDescent="0.3">
      <c r="A1884" s="400" t="s">
        <v>1038</v>
      </c>
      <c r="B1884" s="401" t="s">
        <v>1445</v>
      </c>
      <c r="C1884" s="400" t="s">
        <v>408</v>
      </c>
      <c r="D1884" s="400" t="s">
        <v>1446</v>
      </c>
      <c r="E1884" s="605" t="s">
        <v>1039</v>
      </c>
      <c r="F1884" s="605"/>
      <c r="G1884" s="402" t="s">
        <v>3</v>
      </c>
      <c r="H1884" s="403">
        <v>9.1999999999999998E-2</v>
      </c>
      <c r="I1884" s="403">
        <v>0</v>
      </c>
      <c r="J1884" s="404">
        <v>23.22</v>
      </c>
      <c r="K1884" s="404">
        <v>2.1362399999999999</v>
      </c>
      <c r="L1884" s="168"/>
    </row>
    <row r="1885" spans="1:12" ht="25.5" customHeight="1" x14ac:dyDescent="0.3">
      <c r="A1885" s="400" t="s">
        <v>1038</v>
      </c>
      <c r="B1885" s="401" t="s">
        <v>1443</v>
      </c>
      <c r="C1885" s="400" t="s">
        <v>408</v>
      </c>
      <c r="D1885" s="400" t="s">
        <v>1444</v>
      </c>
      <c r="E1885" s="605" t="s">
        <v>1039</v>
      </c>
      <c r="F1885" s="605"/>
      <c r="G1885" s="402" t="s">
        <v>3</v>
      </c>
      <c r="H1885" s="403">
        <v>2.8000000000000001E-2</v>
      </c>
      <c r="I1885" s="403">
        <v>0</v>
      </c>
      <c r="J1885" s="404">
        <v>39.44</v>
      </c>
      <c r="K1885" s="404">
        <v>1.10432</v>
      </c>
      <c r="L1885" s="168"/>
    </row>
    <row r="1886" spans="1:12" ht="15" customHeight="1" x14ac:dyDescent="0.3">
      <c r="A1886" s="400" t="s">
        <v>1038</v>
      </c>
      <c r="B1886" s="401" t="s">
        <v>2294</v>
      </c>
      <c r="C1886" s="400" t="s">
        <v>408</v>
      </c>
      <c r="D1886" s="400" t="s">
        <v>2295</v>
      </c>
      <c r="E1886" s="605" t="s">
        <v>1039</v>
      </c>
      <c r="F1886" s="605"/>
      <c r="G1886" s="402" t="s">
        <v>675</v>
      </c>
      <c r="H1886" s="403">
        <v>0</v>
      </c>
      <c r="I1886" s="403">
        <v>0</v>
      </c>
      <c r="J1886" s="404">
        <v>231.31</v>
      </c>
      <c r="K1886" s="404">
        <v>0</v>
      </c>
      <c r="L1886" s="168"/>
    </row>
    <row r="1887" spans="1:12" ht="25.5" customHeight="1" x14ac:dyDescent="0.3">
      <c r="A1887" s="400" t="s">
        <v>1038</v>
      </c>
      <c r="B1887" s="401" t="s">
        <v>1437</v>
      </c>
      <c r="C1887" s="400" t="s">
        <v>408</v>
      </c>
      <c r="D1887" s="400" t="s">
        <v>1438</v>
      </c>
      <c r="E1887" s="605" t="s">
        <v>1039</v>
      </c>
      <c r="F1887" s="605"/>
      <c r="G1887" s="402" t="s">
        <v>4</v>
      </c>
      <c r="H1887" s="403">
        <v>1</v>
      </c>
      <c r="I1887" s="403">
        <v>0</v>
      </c>
      <c r="J1887" s="404">
        <v>239.9</v>
      </c>
      <c r="K1887" s="404">
        <v>239.9</v>
      </c>
      <c r="L1887" s="166"/>
    </row>
    <row r="1888" spans="1:12" ht="25.5" customHeight="1" x14ac:dyDescent="0.3">
      <c r="A1888" s="405"/>
      <c r="B1888" s="405"/>
      <c r="C1888" s="405"/>
      <c r="D1888" s="405"/>
      <c r="E1888" s="405" t="s">
        <v>1046</v>
      </c>
      <c r="F1888" s="406">
        <v>890.15</v>
      </c>
      <c r="G1888" s="405" t="s">
        <v>1047</v>
      </c>
      <c r="H1888" s="406">
        <v>0</v>
      </c>
      <c r="I1888" s="405" t="s">
        <v>1048</v>
      </c>
      <c r="J1888" s="406">
        <v>890.15</v>
      </c>
      <c r="K1888"/>
      <c r="L1888" s="168"/>
    </row>
    <row r="1889" spans="1:12" ht="15.6" thickBot="1" x14ac:dyDescent="0.35">
      <c r="A1889" s="405"/>
      <c r="B1889" s="405"/>
      <c r="C1889" s="405"/>
      <c r="D1889" s="405"/>
      <c r="E1889" s="405" t="s">
        <v>1049</v>
      </c>
      <c r="F1889" s="406">
        <v>0</v>
      </c>
      <c r="G1889" s="405"/>
      <c r="H1889" s="606"/>
      <c r="I1889" s="606" t="s">
        <v>1050</v>
      </c>
      <c r="J1889" s="406">
        <v>2268.6</v>
      </c>
      <c r="K1889"/>
      <c r="L1889" s="168"/>
    </row>
    <row r="1890" spans="1:12" ht="14.25" customHeight="1" thickTop="1" x14ac:dyDescent="0.3">
      <c r="A1890" s="407"/>
      <c r="B1890" s="407"/>
      <c r="C1890" s="407"/>
      <c r="D1890" s="407"/>
      <c r="E1890" s="407"/>
      <c r="F1890" s="407"/>
      <c r="G1890" s="407"/>
      <c r="H1890" s="407"/>
      <c r="I1890" s="407"/>
      <c r="J1890" s="407"/>
      <c r="K1890" s="407"/>
      <c r="L1890" s="168"/>
    </row>
    <row r="1891" spans="1:12" ht="17.399999999999999" customHeight="1" x14ac:dyDescent="0.3">
      <c r="A1891" s="382" t="s">
        <v>1689</v>
      </c>
      <c r="B1891" s="312" t="s">
        <v>413</v>
      </c>
      <c r="C1891" s="382" t="s">
        <v>414</v>
      </c>
      <c r="D1891" s="382" t="s">
        <v>415</v>
      </c>
      <c r="E1891" s="586" t="s">
        <v>1029</v>
      </c>
      <c r="F1891" s="586"/>
      <c r="G1891" s="383" t="s">
        <v>416</v>
      </c>
      <c r="H1891" s="312" t="s">
        <v>1030</v>
      </c>
      <c r="I1891" s="312" t="s">
        <v>3016</v>
      </c>
      <c r="J1891" s="312" t="s">
        <v>1031</v>
      </c>
      <c r="K1891" s="312" t="s">
        <v>1032</v>
      </c>
      <c r="L1891" s="166"/>
    </row>
    <row r="1892" spans="1:12" ht="15" x14ac:dyDescent="0.3">
      <c r="A1892" s="313" t="s">
        <v>1033</v>
      </c>
      <c r="B1892" s="315" t="s">
        <v>1931</v>
      </c>
      <c r="C1892" s="313" t="s">
        <v>575</v>
      </c>
      <c r="D1892" s="313" t="s">
        <v>1701</v>
      </c>
      <c r="E1892" s="603" t="s">
        <v>1496</v>
      </c>
      <c r="F1892" s="603"/>
      <c r="G1892" s="314" t="s">
        <v>4</v>
      </c>
      <c r="H1892" s="399">
        <v>1</v>
      </c>
      <c r="I1892" s="316"/>
      <c r="J1892" s="316">
        <v>333.03</v>
      </c>
      <c r="K1892" s="316">
        <v>333.03</v>
      </c>
      <c r="L1892" s="166"/>
    </row>
    <row r="1893" spans="1:12" ht="15" customHeight="1" x14ac:dyDescent="0.3">
      <c r="A1893" s="408" t="s">
        <v>1034</v>
      </c>
      <c r="B1893" s="409" t="s">
        <v>1403</v>
      </c>
      <c r="C1893" s="408" t="s">
        <v>395</v>
      </c>
      <c r="D1893" s="408" t="s">
        <v>7865</v>
      </c>
      <c r="E1893" s="604" t="s">
        <v>7768</v>
      </c>
      <c r="F1893" s="604"/>
      <c r="G1893" s="410" t="s">
        <v>6</v>
      </c>
      <c r="H1893" s="412">
        <v>0.76700000000000002</v>
      </c>
      <c r="I1893" s="412">
        <v>0</v>
      </c>
      <c r="J1893" s="411">
        <v>44.64</v>
      </c>
      <c r="K1893" s="411">
        <v>34.238880000000002</v>
      </c>
      <c r="L1893" s="168"/>
    </row>
    <row r="1894" spans="1:12" ht="38.25" customHeight="1" x14ac:dyDescent="0.3">
      <c r="A1894" s="408" t="s">
        <v>1034</v>
      </c>
      <c r="B1894" s="409" t="s">
        <v>1290</v>
      </c>
      <c r="C1894" s="408" t="s">
        <v>395</v>
      </c>
      <c r="D1894" s="408" t="s">
        <v>147</v>
      </c>
      <c r="E1894" s="604" t="s">
        <v>7768</v>
      </c>
      <c r="F1894" s="604"/>
      <c r="G1894" s="410" t="s">
        <v>6</v>
      </c>
      <c r="H1894" s="412">
        <v>0.38400000000000001</v>
      </c>
      <c r="I1894" s="412">
        <v>0</v>
      </c>
      <c r="J1894" s="411">
        <v>32.82</v>
      </c>
      <c r="K1894" s="411">
        <v>12.602880000000001</v>
      </c>
      <c r="L1894" s="168"/>
    </row>
    <row r="1895" spans="1:12" ht="15" customHeight="1" x14ac:dyDescent="0.3">
      <c r="A1895" s="400" t="s">
        <v>1038</v>
      </c>
      <c r="B1895" s="401" t="s">
        <v>2309</v>
      </c>
      <c r="C1895" s="400" t="s">
        <v>575</v>
      </c>
      <c r="D1895" s="400" t="s">
        <v>1701</v>
      </c>
      <c r="E1895" s="605" t="s">
        <v>1039</v>
      </c>
      <c r="F1895" s="605"/>
      <c r="G1895" s="402" t="s">
        <v>422</v>
      </c>
      <c r="H1895" s="403">
        <v>1</v>
      </c>
      <c r="I1895" s="403">
        <v>0</v>
      </c>
      <c r="J1895" s="404">
        <v>286.19</v>
      </c>
      <c r="K1895" s="404">
        <v>286.19</v>
      </c>
      <c r="L1895" s="168"/>
    </row>
    <row r="1896" spans="1:12" ht="25.5" customHeight="1" x14ac:dyDescent="0.3">
      <c r="A1896" s="405"/>
      <c r="B1896" s="405"/>
      <c r="C1896" s="405"/>
      <c r="D1896" s="405"/>
      <c r="E1896" s="405" t="s">
        <v>1046</v>
      </c>
      <c r="F1896" s="406">
        <v>35.39</v>
      </c>
      <c r="G1896" s="405" t="s">
        <v>1047</v>
      </c>
      <c r="H1896" s="406">
        <v>0</v>
      </c>
      <c r="I1896" s="405" t="s">
        <v>1048</v>
      </c>
      <c r="J1896" s="406">
        <v>35.39</v>
      </c>
      <c r="K1896"/>
      <c r="L1896" s="166"/>
    </row>
    <row r="1897" spans="1:12" ht="15" customHeight="1" thickBot="1" x14ac:dyDescent="0.35">
      <c r="A1897" s="405"/>
      <c r="B1897" s="405"/>
      <c r="C1897" s="405"/>
      <c r="D1897" s="405"/>
      <c r="E1897" s="405" t="s">
        <v>1049</v>
      </c>
      <c r="F1897" s="406">
        <v>0</v>
      </c>
      <c r="G1897" s="405"/>
      <c r="H1897" s="606"/>
      <c r="I1897" s="606" t="s">
        <v>1050</v>
      </c>
      <c r="J1897" s="406">
        <v>333.03</v>
      </c>
      <c r="K1897"/>
      <c r="L1897" s="166"/>
    </row>
    <row r="1898" spans="1:12" ht="25.5" customHeight="1" thickTop="1" x14ac:dyDescent="0.3">
      <c r="A1898" s="407"/>
      <c r="B1898" s="407"/>
      <c r="C1898" s="407"/>
      <c r="D1898" s="407"/>
      <c r="E1898" s="407"/>
      <c r="F1898" s="407"/>
      <c r="G1898" s="407"/>
      <c r="H1898" s="407"/>
      <c r="I1898" s="407"/>
      <c r="J1898" s="407"/>
      <c r="K1898" s="407"/>
      <c r="L1898" s="166"/>
    </row>
    <row r="1899" spans="1:12" ht="25.5" customHeight="1" x14ac:dyDescent="0.3">
      <c r="A1899" s="382" t="s">
        <v>1691</v>
      </c>
      <c r="B1899" s="312" t="s">
        <v>413</v>
      </c>
      <c r="C1899" s="382" t="s">
        <v>414</v>
      </c>
      <c r="D1899" s="382" t="s">
        <v>415</v>
      </c>
      <c r="E1899" s="586" t="s">
        <v>1029</v>
      </c>
      <c r="F1899" s="586"/>
      <c r="G1899" s="383" t="s">
        <v>416</v>
      </c>
      <c r="H1899" s="312" t="s">
        <v>1030</v>
      </c>
      <c r="I1899" s="312" t="s">
        <v>3016</v>
      </c>
      <c r="J1899" s="312" t="s">
        <v>1031</v>
      </c>
      <c r="K1899" s="312" t="s">
        <v>1032</v>
      </c>
      <c r="L1899" s="166"/>
    </row>
    <row r="1900" spans="1:12" ht="25.5" customHeight="1" x14ac:dyDescent="0.3">
      <c r="A1900" s="313" t="s">
        <v>1033</v>
      </c>
      <c r="B1900" s="315" t="s">
        <v>1932</v>
      </c>
      <c r="C1900" s="313" t="s">
        <v>575</v>
      </c>
      <c r="D1900" s="313" t="s">
        <v>1703</v>
      </c>
      <c r="E1900" s="603" t="s">
        <v>1496</v>
      </c>
      <c r="F1900" s="603"/>
      <c r="G1900" s="314" t="s">
        <v>4</v>
      </c>
      <c r="H1900" s="399">
        <v>1</v>
      </c>
      <c r="I1900" s="316"/>
      <c r="J1900" s="316">
        <v>238.71</v>
      </c>
      <c r="K1900" s="316">
        <v>238.71</v>
      </c>
      <c r="L1900" s="166"/>
    </row>
    <row r="1901" spans="1:12" ht="25.5" customHeight="1" x14ac:dyDescent="0.3">
      <c r="A1901" s="408" t="s">
        <v>1034</v>
      </c>
      <c r="B1901" s="409" t="s">
        <v>1403</v>
      </c>
      <c r="C1901" s="408" t="s">
        <v>395</v>
      </c>
      <c r="D1901" s="408" t="s">
        <v>7865</v>
      </c>
      <c r="E1901" s="604" t="s">
        <v>7768</v>
      </c>
      <c r="F1901" s="604"/>
      <c r="G1901" s="410" t="s">
        <v>6</v>
      </c>
      <c r="H1901" s="412">
        <v>0.16700000000000001</v>
      </c>
      <c r="I1901" s="412">
        <v>0</v>
      </c>
      <c r="J1901" s="411">
        <v>44.64</v>
      </c>
      <c r="K1901" s="411">
        <v>7.4548800000000002</v>
      </c>
      <c r="L1901" s="166"/>
    </row>
    <row r="1902" spans="1:12" ht="26.4" x14ac:dyDescent="0.3">
      <c r="A1902" s="408" t="s">
        <v>1034</v>
      </c>
      <c r="B1902" s="409" t="s">
        <v>1290</v>
      </c>
      <c r="C1902" s="408" t="s">
        <v>395</v>
      </c>
      <c r="D1902" s="408" t="s">
        <v>147</v>
      </c>
      <c r="E1902" s="604" t="s">
        <v>7768</v>
      </c>
      <c r="F1902" s="604"/>
      <c r="G1902" s="410" t="s">
        <v>6</v>
      </c>
      <c r="H1902" s="412">
        <v>0.184</v>
      </c>
      <c r="I1902" s="412">
        <v>0</v>
      </c>
      <c r="J1902" s="411">
        <v>32.82</v>
      </c>
      <c r="K1902" s="411">
        <v>6.0388799999999998</v>
      </c>
      <c r="L1902" s="166"/>
    </row>
    <row r="1903" spans="1:12" ht="15" x14ac:dyDescent="0.3">
      <c r="A1903" s="400" t="s">
        <v>1038</v>
      </c>
      <c r="B1903" s="401" t="s">
        <v>2310</v>
      </c>
      <c r="C1903" s="400" t="s">
        <v>575</v>
      </c>
      <c r="D1903" s="400" t="s">
        <v>2311</v>
      </c>
      <c r="E1903" s="605" t="s">
        <v>1039</v>
      </c>
      <c r="F1903" s="605"/>
      <c r="G1903" s="402" t="s">
        <v>422</v>
      </c>
      <c r="H1903" s="403">
        <v>1</v>
      </c>
      <c r="I1903" s="403">
        <v>0</v>
      </c>
      <c r="J1903" s="404">
        <v>225.22</v>
      </c>
      <c r="K1903" s="404">
        <v>225.22</v>
      </c>
      <c r="L1903" s="166"/>
    </row>
    <row r="1904" spans="1:12" ht="15" customHeight="1" x14ac:dyDescent="0.3">
      <c r="A1904" s="405"/>
      <c r="B1904" s="405"/>
      <c r="C1904" s="405"/>
      <c r="D1904" s="405"/>
      <c r="E1904" s="405" t="s">
        <v>1046</v>
      </c>
      <c r="F1904" s="406">
        <v>9.9700000000000006</v>
      </c>
      <c r="G1904" s="405" t="s">
        <v>1047</v>
      </c>
      <c r="H1904" s="406">
        <v>0</v>
      </c>
      <c r="I1904" s="405" t="s">
        <v>1048</v>
      </c>
      <c r="J1904" s="406">
        <v>9.9700000000000006</v>
      </c>
      <c r="K1904"/>
      <c r="L1904" s="166"/>
    </row>
    <row r="1905" spans="1:12" ht="25.5" customHeight="1" thickBot="1" x14ac:dyDescent="0.35">
      <c r="A1905" s="405"/>
      <c r="B1905" s="405"/>
      <c r="C1905" s="405"/>
      <c r="D1905" s="405"/>
      <c r="E1905" s="405" t="s">
        <v>1049</v>
      </c>
      <c r="F1905" s="406">
        <v>0</v>
      </c>
      <c r="G1905" s="405"/>
      <c r="H1905" s="606"/>
      <c r="I1905" s="606" t="s">
        <v>1050</v>
      </c>
      <c r="J1905" s="406">
        <v>238.71</v>
      </c>
      <c r="K1905"/>
      <c r="L1905" s="166"/>
    </row>
    <row r="1906" spans="1:12" ht="14.25" customHeight="1" thickTop="1" x14ac:dyDescent="0.3">
      <c r="A1906" s="407"/>
      <c r="B1906" s="407"/>
      <c r="C1906" s="407"/>
      <c r="D1906" s="407"/>
      <c r="E1906" s="407"/>
      <c r="F1906" s="407"/>
      <c r="G1906" s="407"/>
      <c r="H1906" s="407"/>
      <c r="I1906" s="407"/>
      <c r="J1906" s="407"/>
      <c r="K1906" s="407"/>
      <c r="L1906" s="168" t="s">
        <v>388</v>
      </c>
    </row>
    <row r="1907" spans="1:12" ht="15" x14ac:dyDescent="0.3">
      <c r="A1907" s="382" t="s">
        <v>1693</v>
      </c>
      <c r="B1907" s="312" t="s">
        <v>413</v>
      </c>
      <c r="C1907" s="382" t="s">
        <v>414</v>
      </c>
      <c r="D1907" s="382" t="s">
        <v>415</v>
      </c>
      <c r="E1907" s="586" t="s">
        <v>1029</v>
      </c>
      <c r="F1907" s="586"/>
      <c r="G1907" s="383" t="s">
        <v>416</v>
      </c>
      <c r="H1907" s="312" t="s">
        <v>1030</v>
      </c>
      <c r="I1907" s="312" t="s">
        <v>3016</v>
      </c>
      <c r="J1907" s="312" t="s">
        <v>1031</v>
      </c>
      <c r="K1907" s="312" t="s">
        <v>1032</v>
      </c>
      <c r="L1907" s="170"/>
    </row>
    <row r="1908" spans="1:12" ht="15" customHeight="1" x14ac:dyDescent="0.3">
      <c r="A1908" s="313" t="s">
        <v>1033</v>
      </c>
      <c r="B1908" s="315" t="s">
        <v>1933</v>
      </c>
      <c r="C1908" s="313" t="s">
        <v>575</v>
      </c>
      <c r="D1908" s="313" t="s">
        <v>1705</v>
      </c>
      <c r="E1908" s="603">
        <v>140</v>
      </c>
      <c r="F1908" s="603"/>
      <c r="G1908" s="314" t="s">
        <v>4</v>
      </c>
      <c r="H1908" s="399">
        <v>1</v>
      </c>
      <c r="I1908" s="316"/>
      <c r="J1908" s="316">
        <v>973.27</v>
      </c>
      <c r="K1908" s="316">
        <v>973.27</v>
      </c>
      <c r="L1908" s="168">
        <v>1.5</v>
      </c>
    </row>
    <row r="1909" spans="1:12" ht="25.5" customHeight="1" x14ac:dyDescent="0.3">
      <c r="A1909" s="408" t="s">
        <v>1034</v>
      </c>
      <c r="B1909" s="409" t="s">
        <v>1403</v>
      </c>
      <c r="C1909" s="408" t="s">
        <v>395</v>
      </c>
      <c r="D1909" s="408" t="s">
        <v>7865</v>
      </c>
      <c r="E1909" s="604" t="s">
        <v>7768</v>
      </c>
      <c r="F1909" s="604"/>
      <c r="G1909" s="410" t="s">
        <v>6</v>
      </c>
      <c r="H1909" s="412">
        <v>1.2749999999999999</v>
      </c>
      <c r="I1909" s="412">
        <v>0</v>
      </c>
      <c r="J1909" s="411">
        <v>44.64</v>
      </c>
      <c r="K1909" s="411">
        <v>56.915999999999997</v>
      </c>
      <c r="L1909" s="168">
        <v>1.5</v>
      </c>
    </row>
    <row r="1910" spans="1:12" ht="25.5" customHeight="1" x14ac:dyDescent="0.3">
      <c r="A1910" s="408" t="s">
        <v>1034</v>
      </c>
      <c r="B1910" s="409" t="s">
        <v>1288</v>
      </c>
      <c r="C1910" s="408" t="s">
        <v>395</v>
      </c>
      <c r="D1910" s="408" t="s">
        <v>124</v>
      </c>
      <c r="E1910" s="604" t="s">
        <v>7768</v>
      </c>
      <c r="F1910" s="604"/>
      <c r="G1910" s="410" t="s">
        <v>6</v>
      </c>
      <c r="H1910" s="412">
        <v>0.63800000000000001</v>
      </c>
      <c r="I1910" s="412">
        <v>0</v>
      </c>
      <c r="J1910" s="411">
        <v>33.47</v>
      </c>
      <c r="K1910" s="411">
        <v>21.353860000000001</v>
      </c>
      <c r="L1910" s="168"/>
    </row>
    <row r="1911" spans="1:12" ht="15" x14ac:dyDescent="0.3">
      <c r="A1911" s="400" t="s">
        <v>1038</v>
      </c>
      <c r="B1911" s="401" t="s">
        <v>2312</v>
      </c>
      <c r="C1911" s="400" t="s">
        <v>575</v>
      </c>
      <c r="D1911" s="400" t="s">
        <v>1705</v>
      </c>
      <c r="E1911" s="605" t="s">
        <v>1039</v>
      </c>
      <c r="F1911" s="605"/>
      <c r="G1911" s="402" t="s">
        <v>422</v>
      </c>
      <c r="H1911" s="403">
        <v>1</v>
      </c>
      <c r="I1911" s="403">
        <v>0</v>
      </c>
      <c r="J1911" s="404">
        <v>895</v>
      </c>
      <c r="K1911" s="404">
        <v>895</v>
      </c>
      <c r="L1911" s="166"/>
    </row>
    <row r="1912" spans="1:12" ht="17.399999999999999" customHeight="1" x14ac:dyDescent="0.3">
      <c r="A1912" s="405"/>
      <c r="B1912" s="405"/>
      <c r="C1912" s="405"/>
      <c r="D1912" s="405"/>
      <c r="E1912" s="405" t="s">
        <v>1046</v>
      </c>
      <c r="F1912" s="406">
        <v>59.48</v>
      </c>
      <c r="G1912" s="405" t="s">
        <v>1047</v>
      </c>
      <c r="H1912" s="406">
        <v>0.01</v>
      </c>
      <c r="I1912" s="405" t="s">
        <v>1048</v>
      </c>
      <c r="J1912" s="406">
        <v>59.49</v>
      </c>
      <c r="K1912"/>
      <c r="L1912" s="166"/>
    </row>
    <row r="1913" spans="1:12" ht="25.5" customHeight="1" thickBot="1" x14ac:dyDescent="0.35">
      <c r="A1913" s="405"/>
      <c r="B1913" s="405"/>
      <c r="C1913" s="405"/>
      <c r="D1913" s="405"/>
      <c r="E1913" s="405" t="s">
        <v>1049</v>
      </c>
      <c r="F1913" s="406">
        <v>0</v>
      </c>
      <c r="G1913" s="405"/>
      <c r="H1913" s="606"/>
      <c r="I1913" s="606" t="s">
        <v>1050</v>
      </c>
      <c r="J1913" s="406">
        <v>973.27</v>
      </c>
      <c r="K1913"/>
      <c r="L1913" s="168">
        <f>0.3+0.6+0.2</f>
        <v>1.0999999999999999</v>
      </c>
    </row>
    <row r="1914" spans="1:12" ht="25.5" customHeight="1" thickTop="1" x14ac:dyDescent="0.3">
      <c r="A1914" s="407"/>
      <c r="B1914" s="407"/>
      <c r="C1914" s="407"/>
      <c r="D1914" s="407"/>
      <c r="E1914" s="407"/>
      <c r="F1914" s="407"/>
      <c r="G1914" s="407"/>
      <c r="H1914" s="407"/>
      <c r="I1914" s="407"/>
      <c r="J1914" s="407"/>
      <c r="K1914" s="407"/>
      <c r="L1914" s="168">
        <v>1.5</v>
      </c>
    </row>
    <row r="1915" spans="1:12" ht="15" customHeight="1" x14ac:dyDescent="0.3">
      <c r="A1915" s="382" t="s">
        <v>1695</v>
      </c>
      <c r="B1915" s="312" t="s">
        <v>413</v>
      </c>
      <c r="C1915" s="382" t="s">
        <v>414</v>
      </c>
      <c r="D1915" s="382" t="s">
        <v>415</v>
      </c>
      <c r="E1915" s="586" t="s">
        <v>1029</v>
      </c>
      <c r="F1915" s="586"/>
      <c r="G1915" s="383" t="s">
        <v>416</v>
      </c>
      <c r="H1915" s="312" t="s">
        <v>1030</v>
      </c>
      <c r="I1915" s="312" t="s">
        <v>3016</v>
      </c>
      <c r="J1915" s="312" t="s">
        <v>1031</v>
      </c>
      <c r="K1915" s="312" t="s">
        <v>1032</v>
      </c>
      <c r="L1915" s="168">
        <v>1.5</v>
      </c>
    </row>
    <row r="1916" spans="1:12" ht="14.25" customHeight="1" x14ac:dyDescent="0.3">
      <c r="A1916" s="313" t="s">
        <v>1033</v>
      </c>
      <c r="B1916" s="315" t="s">
        <v>1962</v>
      </c>
      <c r="C1916" s="313" t="s">
        <v>575</v>
      </c>
      <c r="D1916" s="313" t="s">
        <v>1787</v>
      </c>
      <c r="E1916" s="603" t="s">
        <v>1496</v>
      </c>
      <c r="F1916" s="603"/>
      <c r="G1916" s="314" t="s">
        <v>422</v>
      </c>
      <c r="H1916" s="399">
        <v>1</v>
      </c>
      <c r="I1916" s="316"/>
      <c r="J1916" s="316">
        <v>261.36</v>
      </c>
      <c r="K1916" s="316">
        <v>261.36</v>
      </c>
      <c r="L1916" s="168"/>
    </row>
    <row r="1917" spans="1:12" ht="26.4" x14ac:dyDescent="0.3">
      <c r="A1917" s="408" t="s">
        <v>1034</v>
      </c>
      <c r="B1917" s="409" t="s">
        <v>1403</v>
      </c>
      <c r="C1917" s="408" t="s">
        <v>395</v>
      </c>
      <c r="D1917" s="408" t="s">
        <v>7865</v>
      </c>
      <c r="E1917" s="604" t="s">
        <v>7768</v>
      </c>
      <c r="F1917" s="604"/>
      <c r="G1917" s="410" t="s">
        <v>6</v>
      </c>
      <c r="H1917" s="412">
        <v>0.8</v>
      </c>
      <c r="I1917" s="412">
        <v>0</v>
      </c>
      <c r="J1917" s="411">
        <v>44.64</v>
      </c>
      <c r="K1917" s="411">
        <v>35.712000000000003</v>
      </c>
      <c r="L1917" s="168"/>
    </row>
    <row r="1918" spans="1:12" ht="30" customHeight="1" x14ac:dyDescent="0.3">
      <c r="A1918" s="408" t="s">
        <v>1034</v>
      </c>
      <c r="B1918" s="409" t="s">
        <v>1288</v>
      </c>
      <c r="C1918" s="408" t="s">
        <v>395</v>
      </c>
      <c r="D1918" s="408" t="s">
        <v>124</v>
      </c>
      <c r="E1918" s="604" t="s">
        <v>7768</v>
      </c>
      <c r="F1918" s="604"/>
      <c r="G1918" s="410" t="s">
        <v>6</v>
      </c>
      <c r="H1918" s="412">
        <v>0.8</v>
      </c>
      <c r="I1918" s="412">
        <v>0</v>
      </c>
      <c r="J1918" s="411">
        <v>33.47</v>
      </c>
      <c r="K1918" s="411">
        <v>26.776</v>
      </c>
      <c r="L1918" s="168"/>
    </row>
    <row r="1919" spans="1:12" ht="15" customHeight="1" x14ac:dyDescent="0.3">
      <c r="A1919" s="400" t="s">
        <v>1038</v>
      </c>
      <c r="B1919" s="401" t="s">
        <v>2390</v>
      </c>
      <c r="C1919" s="400" t="s">
        <v>575</v>
      </c>
      <c r="D1919" s="400" t="s">
        <v>2391</v>
      </c>
      <c r="E1919" s="605" t="s">
        <v>1039</v>
      </c>
      <c r="F1919" s="605"/>
      <c r="G1919" s="402" t="s">
        <v>4</v>
      </c>
      <c r="H1919" s="403">
        <v>1</v>
      </c>
      <c r="I1919" s="403">
        <v>0</v>
      </c>
      <c r="J1919" s="404">
        <v>198.87</v>
      </c>
      <c r="K1919" s="404">
        <v>198.87</v>
      </c>
      <c r="L1919" s="168"/>
    </row>
    <row r="1920" spans="1:12" ht="25.5" customHeight="1" x14ac:dyDescent="0.3">
      <c r="A1920" s="405"/>
      <c r="B1920" s="405"/>
      <c r="C1920" s="405"/>
      <c r="D1920" s="405"/>
      <c r="E1920" s="405" t="s">
        <v>1046</v>
      </c>
      <c r="F1920" s="406">
        <v>46.78</v>
      </c>
      <c r="G1920" s="405" t="s">
        <v>1047</v>
      </c>
      <c r="H1920" s="406">
        <v>0</v>
      </c>
      <c r="I1920" s="405" t="s">
        <v>1048</v>
      </c>
      <c r="J1920" s="406">
        <v>46.78</v>
      </c>
      <c r="K1920"/>
      <c r="L1920" s="166"/>
    </row>
    <row r="1921" spans="1:12" ht="25.5" customHeight="1" thickBot="1" x14ac:dyDescent="0.35">
      <c r="A1921" s="405"/>
      <c r="B1921" s="405"/>
      <c r="C1921" s="405"/>
      <c r="D1921" s="405"/>
      <c r="E1921" s="405" t="s">
        <v>1049</v>
      </c>
      <c r="F1921" s="406">
        <v>0</v>
      </c>
      <c r="G1921" s="405"/>
      <c r="H1921" s="606"/>
      <c r="I1921" s="606" t="s">
        <v>1050</v>
      </c>
      <c r="J1921" s="406">
        <v>261.36</v>
      </c>
      <c r="K1921"/>
      <c r="L1921" s="168"/>
    </row>
    <row r="1922" spans="1:12" ht="17.399999999999999" customHeight="1" thickTop="1" x14ac:dyDescent="0.3">
      <c r="A1922" s="407"/>
      <c r="B1922" s="407"/>
      <c r="C1922" s="407"/>
      <c r="D1922" s="407"/>
      <c r="E1922" s="407"/>
      <c r="F1922" s="407"/>
      <c r="G1922" s="407"/>
      <c r="H1922" s="407"/>
      <c r="I1922" s="407"/>
      <c r="J1922" s="407"/>
      <c r="K1922" s="407"/>
      <c r="L1922" s="168"/>
    </row>
    <row r="1923" spans="1:12" ht="15" x14ac:dyDescent="0.3">
      <c r="A1923" s="382" t="s">
        <v>1697</v>
      </c>
      <c r="B1923" s="312" t="s">
        <v>413</v>
      </c>
      <c r="C1923" s="382" t="s">
        <v>414</v>
      </c>
      <c r="D1923" s="382" t="s">
        <v>415</v>
      </c>
      <c r="E1923" s="586" t="s">
        <v>1029</v>
      </c>
      <c r="F1923" s="586"/>
      <c r="G1923" s="383" t="s">
        <v>416</v>
      </c>
      <c r="H1923" s="312" t="s">
        <v>1030</v>
      </c>
      <c r="I1923" s="312" t="s">
        <v>3016</v>
      </c>
      <c r="J1923" s="312" t="s">
        <v>1031</v>
      </c>
      <c r="K1923" s="312" t="s">
        <v>1032</v>
      </c>
      <c r="L1923" s="168"/>
    </row>
    <row r="1924" spans="1:12" ht="12.75" customHeight="1" x14ac:dyDescent="0.3">
      <c r="A1924" s="313" t="s">
        <v>1033</v>
      </c>
      <c r="B1924" s="315" t="s">
        <v>1963</v>
      </c>
      <c r="C1924" s="313" t="s">
        <v>575</v>
      </c>
      <c r="D1924" s="313" t="s">
        <v>1789</v>
      </c>
      <c r="E1924" s="603" t="s">
        <v>1496</v>
      </c>
      <c r="F1924" s="603"/>
      <c r="G1924" s="314" t="s">
        <v>422</v>
      </c>
      <c r="H1924" s="399">
        <v>1</v>
      </c>
      <c r="I1924" s="316"/>
      <c r="J1924" s="316">
        <v>261.36</v>
      </c>
      <c r="K1924" s="316">
        <v>261.36</v>
      </c>
      <c r="L1924" s="166"/>
    </row>
    <row r="1925" spans="1:12" ht="15" customHeight="1" x14ac:dyDescent="0.3">
      <c r="A1925" s="408" t="s">
        <v>1034</v>
      </c>
      <c r="B1925" s="409" t="s">
        <v>1403</v>
      </c>
      <c r="C1925" s="408" t="s">
        <v>395</v>
      </c>
      <c r="D1925" s="408" t="s">
        <v>7865</v>
      </c>
      <c r="E1925" s="604" t="s">
        <v>7768</v>
      </c>
      <c r="F1925" s="604"/>
      <c r="G1925" s="410" t="s">
        <v>6</v>
      </c>
      <c r="H1925" s="412">
        <v>0.8</v>
      </c>
      <c r="I1925" s="412">
        <v>0</v>
      </c>
      <c r="J1925" s="411">
        <v>44.64</v>
      </c>
      <c r="K1925" s="411">
        <v>35.712000000000003</v>
      </c>
      <c r="L1925" s="166"/>
    </row>
    <row r="1926" spans="1:12" ht="25.5" customHeight="1" x14ac:dyDescent="0.3">
      <c r="A1926" s="408" t="s">
        <v>1034</v>
      </c>
      <c r="B1926" s="409" t="s">
        <v>1288</v>
      </c>
      <c r="C1926" s="408" t="s">
        <v>395</v>
      </c>
      <c r="D1926" s="408" t="s">
        <v>124</v>
      </c>
      <c r="E1926" s="604" t="s">
        <v>7768</v>
      </c>
      <c r="F1926" s="604"/>
      <c r="G1926" s="410" t="s">
        <v>6</v>
      </c>
      <c r="H1926" s="412">
        <v>0.8</v>
      </c>
      <c r="I1926" s="412">
        <v>0</v>
      </c>
      <c r="J1926" s="411">
        <v>33.47</v>
      </c>
      <c r="K1926" s="411">
        <v>26.776</v>
      </c>
      <c r="L1926" s="168"/>
    </row>
    <row r="1927" spans="1:12" ht="25.5" customHeight="1" x14ac:dyDescent="0.3">
      <c r="A1927" s="400" t="s">
        <v>1038</v>
      </c>
      <c r="B1927" s="401" t="s">
        <v>2392</v>
      </c>
      <c r="C1927" s="400" t="s">
        <v>575</v>
      </c>
      <c r="D1927" s="400" t="s">
        <v>2393</v>
      </c>
      <c r="E1927" s="605" t="s">
        <v>1039</v>
      </c>
      <c r="F1927" s="605"/>
      <c r="G1927" s="402" t="s">
        <v>4</v>
      </c>
      <c r="H1927" s="403">
        <v>1</v>
      </c>
      <c r="I1927" s="403">
        <v>0</v>
      </c>
      <c r="J1927" s="404">
        <v>198.87</v>
      </c>
      <c r="K1927" s="404">
        <v>198.87</v>
      </c>
      <c r="L1927" s="168"/>
    </row>
    <row r="1928" spans="1:12" ht="30" customHeight="1" x14ac:dyDescent="0.3">
      <c r="A1928" s="405"/>
      <c r="B1928" s="405"/>
      <c r="C1928" s="405"/>
      <c r="D1928" s="405"/>
      <c r="E1928" s="405" t="s">
        <v>1046</v>
      </c>
      <c r="F1928" s="406">
        <v>46.78</v>
      </c>
      <c r="G1928" s="405" t="s">
        <v>1047</v>
      </c>
      <c r="H1928" s="406">
        <v>0</v>
      </c>
      <c r="I1928" s="405" t="s">
        <v>1048</v>
      </c>
      <c r="J1928" s="406">
        <v>46.78</v>
      </c>
      <c r="K1928"/>
      <c r="L1928" s="168"/>
    </row>
    <row r="1929" spans="1:12" ht="15" customHeight="1" thickBot="1" x14ac:dyDescent="0.35">
      <c r="A1929" s="405"/>
      <c r="B1929" s="405"/>
      <c r="C1929" s="405"/>
      <c r="D1929" s="405"/>
      <c r="E1929" s="405" t="s">
        <v>1049</v>
      </c>
      <c r="F1929" s="406">
        <v>0</v>
      </c>
      <c r="G1929" s="405"/>
      <c r="H1929" s="606"/>
      <c r="I1929" s="606" t="s">
        <v>1050</v>
      </c>
      <c r="J1929" s="406">
        <v>261.36</v>
      </c>
      <c r="K1929"/>
      <c r="L1929" s="166"/>
    </row>
    <row r="1930" spans="1:12" ht="25.5" customHeight="1" thickTop="1" x14ac:dyDescent="0.3">
      <c r="A1930" s="407"/>
      <c r="B1930" s="407"/>
      <c r="C1930" s="407"/>
      <c r="D1930" s="407"/>
      <c r="E1930" s="407"/>
      <c r="F1930" s="407"/>
      <c r="G1930" s="407"/>
      <c r="H1930" s="407"/>
      <c r="I1930" s="407"/>
      <c r="J1930" s="407"/>
      <c r="K1930" s="407"/>
      <c r="L1930" s="166"/>
    </row>
    <row r="1931" spans="1:12" ht="25.5" customHeight="1" x14ac:dyDescent="0.3">
      <c r="A1931" s="382" t="s">
        <v>1698</v>
      </c>
      <c r="B1931" s="312" t="s">
        <v>413</v>
      </c>
      <c r="C1931" s="382" t="s">
        <v>414</v>
      </c>
      <c r="D1931" s="382" t="s">
        <v>415</v>
      </c>
      <c r="E1931" s="586" t="s">
        <v>1029</v>
      </c>
      <c r="F1931" s="586"/>
      <c r="G1931" s="383" t="s">
        <v>416</v>
      </c>
      <c r="H1931" s="312" t="s">
        <v>1030</v>
      </c>
      <c r="I1931" s="312" t="s">
        <v>3016</v>
      </c>
      <c r="J1931" s="312" t="s">
        <v>1031</v>
      </c>
      <c r="K1931" s="312" t="s">
        <v>1032</v>
      </c>
      <c r="L1931" s="166"/>
    </row>
    <row r="1932" spans="1:12" ht="25.5" customHeight="1" x14ac:dyDescent="0.3">
      <c r="A1932" s="313" t="s">
        <v>1033</v>
      </c>
      <c r="B1932" s="315" t="s">
        <v>3829</v>
      </c>
      <c r="C1932" s="313" t="s">
        <v>395</v>
      </c>
      <c r="D1932" s="313" t="s">
        <v>5941</v>
      </c>
      <c r="E1932" s="603" t="s">
        <v>7866</v>
      </c>
      <c r="F1932" s="603"/>
      <c r="G1932" s="314" t="s">
        <v>675</v>
      </c>
      <c r="H1932" s="399">
        <v>1</v>
      </c>
      <c r="I1932" s="316"/>
      <c r="J1932" s="316">
        <v>1466.28</v>
      </c>
      <c r="K1932" s="316">
        <v>1466.28</v>
      </c>
      <c r="L1932" s="166"/>
    </row>
    <row r="1933" spans="1:12" ht="26.4" x14ac:dyDescent="0.3">
      <c r="A1933" s="408" t="s">
        <v>1034</v>
      </c>
      <c r="B1933" s="409" t="s">
        <v>1302</v>
      </c>
      <c r="C1933" s="408" t="s">
        <v>395</v>
      </c>
      <c r="D1933" s="408" t="s">
        <v>144</v>
      </c>
      <c r="E1933" s="604" t="s">
        <v>7768</v>
      </c>
      <c r="F1933" s="604"/>
      <c r="G1933" s="410" t="s">
        <v>6</v>
      </c>
      <c r="H1933" s="412">
        <v>0.7422493</v>
      </c>
      <c r="I1933" s="412">
        <v>0</v>
      </c>
      <c r="J1933" s="411">
        <v>42.06</v>
      </c>
      <c r="K1933" s="411">
        <v>31.219005599999999</v>
      </c>
      <c r="L1933" s="166"/>
    </row>
    <row r="1934" spans="1:12" ht="26.4" x14ac:dyDescent="0.3">
      <c r="A1934" s="408" t="s">
        <v>1034</v>
      </c>
      <c r="B1934" s="409" t="s">
        <v>1290</v>
      </c>
      <c r="C1934" s="408" t="s">
        <v>395</v>
      </c>
      <c r="D1934" s="408" t="s">
        <v>147</v>
      </c>
      <c r="E1934" s="604" t="s">
        <v>7768</v>
      </c>
      <c r="F1934" s="604"/>
      <c r="G1934" s="410" t="s">
        <v>6</v>
      </c>
      <c r="H1934" s="412">
        <v>0.37112469999999997</v>
      </c>
      <c r="I1934" s="412">
        <v>0</v>
      </c>
      <c r="J1934" s="411">
        <v>32.82</v>
      </c>
      <c r="K1934" s="411">
        <v>12.1803127</v>
      </c>
      <c r="L1934" s="166"/>
    </row>
    <row r="1935" spans="1:12" ht="15" customHeight="1" x14ac:dyDescent="0.3">
      <c r="A1935" s="400" t="s">
        <v>1038</v>
      </c>
      <c r="B1935" s="401" t="s">
        <v>4091</v>
      </c>
      <c r="C1935" s="400" t="s">
        <v>395</v>
      </c>
      <c r="D1935" s="400" t="s">
        <v>4092</v>
      </c>
      <c r="E1935" s="605" t="s">
        <v>1039</v>
      </c>
      <c r="F1935" s="605"/>
      <c r="G1935" s="402" t="s">
        <v>675</v>
      </c>
      <c r="H1935" s="403">
        <v>1</v>
      </c>
      <c r="I1935" s="403">
        <v>0</v>
      </c>
      <c r="J1935" s="404">
        <v>1394.19</v>
      </c>
      <c r="K1935" s="404">
        <v>1394.19</v>
      </c>
      <c r="L1935" s="166"/>
    </row>
    <row r="1936" spans="1:12" ht="14.25" customHeight="1" x14ac:dyDescent="0.3">
      <c r="A1936" s="400" t="s">
        <v>1038</v>
      </c>
      <c r="B1936" s="401" t="s">
        <v>4305</v>
      </c>
      <c r="C1936" s="400" t="s">
        <v>395</v>
      </c>
      <c r="D1936" s="400" t="s">
        <v>4306</v>
      </c>
      <c r="E1936" s="605" t="s">
        <v>1039</v>
      </c>
      <c r="F1936" s="605"/>
      <c r="G1936" s="402" t="s">
        <v>4</v>
      </c>
      <c r="H1936" s="403">
        <v>17.413</v>
      </c>
      <c r="I1936" s="403">
        <v>0</v>
      </c>
      <c r="J1936" s="404">
        <v>0.21</v>
      </c>
      <c r="K1936" s="404">
        <v>3.65673</v>
      </c>
      <c r="L1936" s="166"/>
    </row>
    <row r="1937" spans="1:12" ht="30" customHeight="1" x14ac:dyDescent="0.3">
      <c r="A1937" s="400" t="s">
        <v>1038</v>
      </c>
      <c r="B1937" s="401" t="s">
        <v>2292</v>
      </c>
      <c r="C1937" s="400" t="s">
        <v>395</v>
      </c>
      <c r="D1937" s="400" t="s">
        <v>279</v>
      </c>
      <c r="E1937" s="605" t="s">
        <v>1039</v>
      </c>
      <c r="F1937" s="605"/>
      <c r="G1937" s="402" t="s">
        <v>4</v>
      </c>
      <c r="H1937" s="403">
        <v>1.1688000000000001</v>
      </c>
      <c r="I1937" s="403">
        <v>0</v>
      </c>
      <c r="J1937" s="404">
        <v>21.42</v>
      </c>
      <c r="K1937" s="404">
        <v>25.035696000000002</v>
      </c>
      <c r="L1937" s="166"/>
    </row>
    <row r="1938" spans="1:12" ht="30" customHeight="1" x14ac:dyDescent="0.3">
      <c r="A1938" s="405"/>
      <c r="B1938" s="405"/>
      <c r="C1938" s="405"/>
      <c r="D1938" s="405"/>
      <c r="E1938" s="405" t="s">
        <v>1046</v>
      </c>
      <c r="F1938" s="406">
        <v>32.03</v>
      </c>
      <c r="G1938" s="405" t="s">
        <v>1047</v>
      </c>
      <c r="H1938" s="406">
        <v>0</v>
      </c>
      <c r="I1938" s="405" t="s">
        <v>1048</v>
      </c>
      <c r="J1938" s="406">
        <v>32.03</v>
      </c>
      <c r="K1938"/>
      <c r="L1938" s="166"/>
    </row>
    <row r="1939" spans="1:12" ht="15.6" thickBot="1" x14ac:dyDescent="0.35">
      <c r="A1939" s="405"/>
      <c r="B1939" s="405"/>
      <c r="C1939" s="405"/>
      <c r="D1939" s="405"/>
      <c r="E1939" s="405" t="s">
        <v>1049</v>
      </c>
      <c r="F1939" s="406">
        <v>0</v>
      </c>
      <c r="G1939" s="405"/>
      <c r="H1939" s="606"/>
      <c r="I1939" s="606" t="s">
        <v>1050</v>
      </c>
      <c r="J1939" s="406">
        <v>1466.28</v>
      </c>
      <c r="K1939"/>
      <c r="L1939" s="168" t="s">
        <v>388</v>
      </c>
    </row>
    <row r="1940" spans="1:12" ht="15" customHeight="1" thickTop="1" x14ac:dyDescent="0.3">
      <c r="A1940" s="407"/>
      <c r="B1940" s="407"/>
      <c r="C1940" s="407"/>
      <c r="D1940" s="407"/>
      <c r="E1940" s="407"/>
      <c r="F1940" s="407"/>
      <c r="G1940" s="407"/>
      <c r="H1940" s="407"/>
      <c r="I1940" s="407"/>
      <c r="J1940" s="407"/>
      <c r="K1940" s="407"/>
      <c r="L1940" s="170"/>
    </row>
    <row r="1941" spans="1:12" ht="25.5" customHeight="1" x14ac:dyDescent="0.3">
      <c r="A1941" s="382" t="s">
        <v>1699</v>
      </c>
      <c r="B1941" s="312" t="s">
        <v>413</v>
      </c>
      <c r="C1941" s="382" t="s">
        <v>414</v>
      </c>
      <c r="D1941" s="382" t="s">
        <v>415</v>
      </c>
      <c r="E1941" s="586" t="s">
        <v>1029</v>
      </c>
      <c r="F1941" s="586"/>
      <c r="G1941" s="383" t="s">
        <v>416</v>
      </c>
      <c r="H1941" s="312" t="s">
        <v>1030</v>
      </c>
      <c r="I1941" s="312" t="s">
        <v>3016</v>
      </c>
      <c r="J1941" s="312" t="s">
        <v>1031</v>
      </c>
      <c r="K1941" s="312" t="s">
        <v>1032</v>
      </c>
      <c r="L1941" s="168">
        <v>1.5</v>
      </c>
    </row>
    <row r="1942" spans="1:12" ht="25.5" customHeight="1" x14ac:dyDescent="0.3">
      <c r="A1942" s="313" t="s">
        <v>1033</v>
      </c>
      <c r="B1942" s="315" t="s">
        <v>3828</v>
      </c>
      <c r="C1942" s="313" t="s">
        <v>395</v>
      </c>
      <c r="D1942" s="313" t="s">
        <v>5940</v>
      </c>
      <c r="E1942" s="603" t="s">
        <v>7866</v>
      </c>
      <c r="F1942" s="603"/>
      <c r="G1942" s="314" t="s">
        <v>675</v>
      </c>
      <c r="H1942" s="399">
        <v>1</v>
      </c>
      <c r="I1942" s="316"/>
      <c r="J1942" s="316">
        <v>1262.01</v>
      </c>
      <c r="K1942" s="316">
        <v>1262.01</v>
      </c>
      <c r="L1942" s="168">
        <v>1.5</v>
      </c>
    </row>
    <row r="1943" spans="1:12" ht="26.4" x14ac:dyDescent="0.3">
      <c r="A1943" s="408" t="s">
        <v>1034</v>
      </c>
      <c r="B1943" s="409" t="s">
        <v>1302</v>
      </c>
      <c r="C1943" s="408" t="s">
        <v>395</v>
      </c>
      <c r="D1943" s="408" t="s">
        <v>144</v>
      </c>
      <c r="E1943" s="604" t="s">
        <v>7768</v>
      </c>
      <c r="F1943" s="604"/>
      <c r="G1943" s="410" t="s">
        <v>6</v>
      </c>
      <c r="H1943" s="412">
        <v>1.0104139000000001</v>
      </c>
      <c r="I1943" s="412">
        <v>0</v>
      </c>
      <c r="J1943" s="411">
        <v>42.06</v>
      </c>
      <c r="K1943" s="411">
        <v>42.498008599999999</v>
      </c>
      <c r="L1943" s="168"/>
    </row>
    <row r="1944" spans="1:12" ht="26.4" x14ac:dyDescent="0.3">
      <c r="A1944" s="408" t="s">
        <v>1034</v>
      </c>
      <c r="B1944" s="409" t="s">
        <v>1290</v>
      </c>
      <c r="C1944" s="408" t="s">
        <v>395</v>
      </c>
      <c r="D1944" s="408" t="s">
        <v>147</v>
      </c>
      <c r="E1944" s="604" t="s">
        <v>7768</v>
      </c>
      <c r="F1944" s="604"/>
      <c r="G1944" s="410" t="s">
        <v>6</v>
      </c>
      <c r="H1944" s="412">
        <v>0.50520690000000001</v>
      </c>
      <c r="I1944" s="412">
        <v>0</v>
      </c>
      <c r="J1944" s="411">
        <v>32.82</v>
      </c>
      <c r="K1944" s="411">
        <v>16.580890499999999</v>
      </c>
      <c r="L1944" s="166"/>
    </row>
    <row r="1945" spans="1:12" ht="25.5" customHeight="1" x14ac:dyDescent="0.3">
      <c r="A1945" s="400" t="s">
        <v>1038</v>
      </c>
      <c r="B1945" s="401" t="s">
        <v>4305</v>
      </c>
      <c r="C1945" s="400" t="s">
        <v>395</v>
      </c>
      <c r="D1945" s="400" t="s">
        <v>4306</v>
      </c>
      <c r="E1945" s="605" t="s">
        <v>1039</v>
      </c>
      <c r="F1945" s="605"/>
      <c r="G1945" s="402" t="s">
        <v>4</v>
      </c>
      <c r="H1945" s="403">
        <v>24.4</v>
      </c>
      <c r="I1945" s="403">
        <v>0</v>
      </c>
      <c r="J1945" s="404">
        <v>0.21</v>
      </c>
      <c r="K1945" s="404">
        <v>5.1239999999999997</v>
      </c>
      <c r="L1945" s="166"/>
    </row>
    <row r="1946" spans="1:12" ht="25.5" customHeight="1" x14ac:dyDescent="0.3">
      <c r="A1946" s="400" t="s">
        <v>1038</v>
      </c>
      <c r="B1946" s="401" t="s">
        <v>4020</v>
      </c>
      <c r="C1946" s="400" t="s">
        <v>395</v>
      </c>
      <c r="D1946" s="400" t="s">
        <v>4021</v>
      </c>
      <c r="E1946" s="605" t="s">
        <v>1039</v>
      </c>
      <c r="F1946" s="605"/>
      <c r="G1946" s="402" t="s">
        <v>4</v>
      </c>
      <c r="H1946" s="403">
        <v>2.0832999999999999</v>
      </c>
      <c r="I1946" s="403">
        <v>0</v>
      </c>
      <c r="J1946" s="404">
        <v>562.94000000000005</v>
      </c>
      <c r="K1946" s="404">
        <v>1172.7729019999999</v>
      </c>
      <c r="L1946" s="168">
        <f>0.3+0.6+0.2</f>
        <v>1.0999999999999999</v>
      </c>
    </row>
    <row r="1947" spans="1:12" ht="14.25" customHeight="1" x14ac:dyDescent="0.3">
      <c r="A1947" s="400" t="s">
        <v>1038</v>
      </c>
      <c r="B1947" s="401" t="s">
        <v>2292</v>
      </c>
      <c r="C1947" s="400" t="s">
        <v>395</v>
      </c>
      <c r="D1947" s="400" t="s">
        <v>279</v>
      </c>
      <c r="E1947" s="605" t="s">
        <v>1039</v>
      </c>
      <c r="F1947" s="605"/>
      <c r="G1947" s="402" t="s">
        <v>4</v>
      </c>
      <c r="H1947" s="403">
        <v>1.16875</v>
      </c>
      <c r="I1947" s="403">
        <v>0</v>
      </c>
      <c r="J1947" s="404">
        <v>21.42</v>
      </c>
      <c r="K1947" s="404">
        <v>25.034624999999998</v>
      </c>
      <c r="L1947" s="168">
        <v>1.5</v>
      </c>
    </row>
    <row r="1948" spans="1:12" ht="15" customHeight="1" x14ac:dyDescent="0.3">
      <c r="A1948" s="405"/>
      <c r="B1948" s="405"/>
      <c r="C1948" s="405"/>
      <c r="D1948" s="405"/>
      <c r="E1948" s="405" t="s">
        <v>1046</v>
      </c>
      <c r="F1948" s="406">
        <v>43.6</v>
      </c>
      <c r="G1948" s="405" t="s">
        <v>1047</v>
      </c>
      <c r="H1948" s="406">
        <v>0</v>
      </c>
      <c r="I1948" s="405" t="s">
        <v>1048</v>
      </c>
      <c r="J1948" s="406">
        <v>43.6</v>
      </c>
      <c r="K1948"/>
      <c r="L1948" s="168">
        <v>1.5</v>
      </c>
    </row>
    <row r="1949" spans="1:12" ht="15.6" thickBot="1" x14ac:dyDescent="0.35">
      <c r="A1949" s="405"/>
      <c r="B1949" s="405"/>
      <c r="C1949" s="405"/>
      <c r="D1949" s="405"/>
      <c r="E1949" s="405" t="s">
        <v>1049</v>
      </c>
      <c r="F1949" s="406">
        <v>0</v>
      </c>
      <c r="G1949" s="405"/>
      <c r="H1949" s="606"/>
      <c r="I1949" s="606" t="s">
        <v>1050</v>
      </c>
      <c r="J1949" s="406">
        <v>1262.01</v>
      </c>
      <c r="K1949"/>
      <c r="L1949" s="168"/>
    </row>
    <row r="1950" spans="1:12" ht="25.5" customHeight="1" thickTop="1" x14ac:dyDescent="0.3">
      <c r="A1950" s="407"/>
      <c r="B1950" s="407"/>
      <c r="C1950" s="407"/>
      <c r="D1950" s="407"/>
      <c r="E1950" s="407"/>
      <c r="F1950" s="407"/>
      <c r="G1950" s="407"/>
      <c r="H1950" s="407"/>
      <c r="I1950" s="407"/>
      <c r="J1950" s="407"/>
      <c r="K1950" s="407"/>
      <c r="L1950" s="168"/>
    </row>
    <row r="1951" spans="1:12" ht="25.5" customHeight="1" x14ac:dyDescent="0.3">
      <c r="A1951" s="382" t="s">
        <v>1700</v>
      </c>
      <c r="B1951" s="312" t="s">
        <v>413</v>
      </c>
      <c r="C1951" s="382" t="s">
        <v>414</v>
      </c>
      <c r="D1951" s="382" t="s">
        <v>415</v>
      </c>
      <c r="E1951" s="586" t="s">
        <v>1029</v>
      </c>
      <c r="F1951" s="586"/>
      <c r="G1951" s="383" t="s">
        <v>416</v>
      </c>
      <c r="H1951" s="312" t="s">
        <v>1030</v>
      </c>
      <c r="I1951" s="312" t="s">
        <v>3016</v>
      </c>
      <c r="J1951" s="312" t="s">
        <v>1031</v>
      </c>
      <c r="K1951" s="312" t="s">
        <v>1032</v>
      </c>
      <c r="L1951" s="168"/>
    </row>
    <row r="1952" spans="1:12" ht="25.5" customHeight="1" x14ac:dyDescent="0.3">
      <c r="A1952" s="313" t="s">
        <v>1033</v>
      </c>
      <c r="B1952" s="315" t="s">
        <v>3830</v>
      </c>
      <c r="C1952" s="313" t="s">
        <v>395</v>
      </c>
      <c r="D1952" s="313" t="s">
        <v>5942</v>
      </c>
      <c r="E1952" s="603" t="s">
        <v>7867</v>
      </c>
      <c r="F1952" s="603"/>
      <c r="G1952" s="314" t="s">
        <v>675</v>
      </c>
      <c r="H1952" s="399">
        <v>1</v>
      </c>
      <c r="I1952" s="316"/>
      <c r="J1952" s="316">
        <v>898.85</v>
      </c>
      <c r="K1952" s="316">
        <v>898.85</v>
      </c>
      <c r="L1952" s="168"/>
    </row>
    <row r="1953" spans="1:12" ht="15" customHeight="1" x14ac:dyDescent="0.3">
      <c r="A1953" s="408" t="s">
        <v>1034</v>
      </c>
      <c r="B1953" s="409" t="s">
        <v>1302</v>
      </c>
      <c r="C1953" s="408" t="s">
        <v>395</v>
      </c>
      <c r="D1953" s="408" t="s">
        <v>144</v>
      </c>
      <c r="E1953" s="604" t="s">
        <v>7768</v>
      </c>
      <c r="F1953" s="604"/>
      <c r="G1953" s="410" t="s">
        <v>6</v>
      </c>
      <c r="H1953" s="412">
        <v>0.55487889999999995</v>
      </c>
      <c r="I1953" s="412">
        <v>0</v>
      </c>
      <c r="J1953" s="411">
        <v>42.06</v>
      </c>
      <c r="K1953" s="411">
        <v>23.338206499999998</v>
      </c>
      <c r="L1953" s="166"/>
    </row>
    <row r="1954" spans="1:12" ht="25.5" customHeight="1" x14ac:dyDescent="0.3">
      <c r="A1954" s="408" t="s">
        <v>1034</v>
      </c>
      <c r="B1954" s="409" t="s">
        <v>1290</v>
      </c>
      <c r="C1954" s="408" t="s">
        <v>395</v>
      </c>
      <c r="D1954" s="408" t="s">
        <v>147</v>
      </c>
      <c r="E1954" s="604" t="s">
        <v>7768</v>
      </c>
      <c r="F1954" s="604"/>
      <c r="G1954" s="410" t="s">
        <v>6</v>
      </c>
      <c r="H1954" s="412">
        <v>0.1568136</v>
      </c>
      <c r="I1954" s="412">
        <v>0</v>
      </c>
      <c r="J1954" s="411">
        <v>32.82</v>
      </c>
      <c r="K1954" s="411">
        <v>5.1466224</v>
      </c>
      <c r="L1954" s="168"/>
    </row>
    <row r="1955" spans="1:12" ht="30" customHeight="1" x14ac:dyDescent="0.3">
      <c r="A1955" s="400" t="s">
        <v>1038</v>
      </c>
      <c r="B1955" s="401" t="s">
        <v>4282</v>
      </c>
      <c r="C1955" s="400" t="s">
        <v>395</v>
      </c>
      <c r="D1955" s="400" t="s">
        <v>4283</v>
      </c>
      <c r="E1955" s="605" t="s">
        <v>1039</v>
      </c>
      <c r="F1955" s="605"/>
      <c r="G1955" s="402" t="s">
        <v>4284</v>
      </c>
      <c r="H1955" s="403">
        <v>0.88290000000000002</v>
      </c>
      <c r="I1955" s="403">
        <v>0</v>
      </c>
      <c r="J1955" s="404">
        <v>32.42</v>
      </c>
      <c r="K1955" s="404">
        <v>28.623618</v>
      </c>
      <c r="L1955" s="168"/>
    </row>
    <row r="1956" spans="1:12" ht="30" customHeight="1" x14ac:dyDescent="0.3">
      <c r="A1956" s="400" t="s">
        <v>1038</v>
      </c>
      <c r="B1956" s="401" t="s">
        <v>2350</v>
      </c>
      <c r="C1956" s="400" t="s">
        <v>395</v>
      </c>
      <c r="D1956" s="400" t="s">
        <v>241</v>
      </c>
      <c r="E1956" s="605" t="s">
        <v>1039</v>
      </c>
      <c r="F1956" s="605"/>
      <c r="G1956" s="402" t="s">
        <v>4</v>
      </c>
      <c r="H1956" s="403">
        <v>4.8166000000000002</v>
      </c>
      <c r="I1956" s="403">
        <v>0</v>
      </c>
      <c r="J1956" s="404">
        <v>0.61</v>
      </c>
      <c r="K1956" s="404">
        <v>2.938126</v>
      </c>
      <c r="L1956" s="168"/>
    </row>
    <row r="1957" spans="1:12" ht="12.75" customHeight="1" x14ac:dyDescent="0.3">
      <c r="A1957" s="400" t="s">
        <v>1038</v>
      </c>
      <c r="B1957" s="401" t="s">
        <v>4101</v>
      </c>
      <c r="C1957" s="400" t="s">
        <v>395</v>
      </c>
      <c r="D1957" s="400" t="s">
        <v>4102</v>
      </c>
      <c r="E1957" s="605" t="s">
        <v>1039</v>
      </c>
      <c r="F1957" s="605"/>
      <c r="G1957" s="402" t="s">
        <v>7</v>
      </c>
      <c r="H1957" s="403">
        <v>6.8503999999999996</v>
      </c>
      <c r="I1957" s="403">
        <v>0</v>
      </c>
      <c r="J1957" s="404">
        <v>56.05</v>
      </c>
      <c r="K1957" s="404">
        <v>383.96492000000001</v>
      </c>
      <c r="L1957" s="166"/>
    </row>
    <row r="1958" spans="1:12" ht="25.5" customHeight="1" x14ac:dyDescent="0.3">
      <c r="A1958" s="400" t="s">
        <v>1038</v>
      </c>
      <c r="B1958" s="401" t="s">
        <v>4075</v>
      </c>
      <c r="C1958" s="400" t="s">
        <v>395</v>
      </c>
      <c r="D1958" s="400" t="s">
        <v>4076</v>
      </c>
      <c r="E1958" s="605" t="s">
        <v>1039</v>
      </c>
      <c r="F1958" s="605"/>
      <c r="G1958" s="402" t="s">
        <v>4</v>
      </c>
      <c r="H1958" s="403">
        <v>0.54730000000000001</v>
      </c>
      <c r="I1958" s="403">
        <v>0</v>
      </c>
      <c r="J1958" s="404">
        <v>831.05</v>
      </c>
      <c r="K1958" s="404">
        <v>454.833665</v>
      </c>
      <c r="L1958" s="166"/>
    </row>
    <row r="1959" spans="1:12" ht="25.5" customHeight="1" x14ac:dyDescent="0.3">
      <c r="A1959" s="405"/>
      <c r="B1959" s="405"/>
      <c r="C1959" s="405"/>
      <c r="D1959" s="405"/>
      <c r="E1959" s="405" t="s">
        <v>1046</v>
      </c>
      <c r="F1959" s="406">
        <v>21.22</v>
      </c>
      <c r="G1959" s="405" t="s">
        <v>1047</v>
      </c>
      <c r="H1959" s="406">
        <v>0</v>
      </c>
      <c r="I1959" s="405" t="s">
        <v>1048</v>
      </c>
      <c r="J1959" s="406">
        <v>21.22</v>
      </c>
      <c r="K1959"/>
      <c r="L1959" s="168"/>
    </row>
    <row r="1960" spans="1:12" ht="15.6" thickBot="1" x14ac:dyDescent="0.35">
      <c r="A1960" s="405"/>
      <c r="B1960" s="405"/>
      <c r="C1960" s="405"/>
      <c r="D1960" s="405"/>
      <c r="E1960" s="405" t="s">
        <v>1049</v>
      </c>
      <c r="F1960" s="406">
        <v>0</v>
      </c>
      <c r="G1960" s="405"/>
      <c r="H1960" s="606"/>
      <c r="I1960" s="606" t="s">
        <v>1050</v>
      </c>
      <c r="J1960" s="406">
        <v>898.85</v>
      </c>
      <c r="K1960"/>
      <c r="L1960" s="168"/>
    </row>
    <row r="1961" spans="1:12" ht="15" customHeight="1" thickTop="1" x14ac:dyDescent="0.3">
      <c r="A1961" s="407"/>
      <c r="B1961" s="407"/>
      <c r="C1961" s="407"/>
      <c r="D1961" s="407"/>
      <c r="E1961" s="407"/>
      <c r="F1961" s="407"/>
      <c r="G1961" s="407"/>
      <c r="H1961" s="407"/>
      <c r="I1961" s="407"/>
      <c r="J1961" s="407"/>
      <c r="K1961" s="407"/>
      <c r="L1961" s="168"/>
    </row>
    <row r="1962" spans="1:12" ht="25.5" customHeight="1" x14ac:dyDescent="0.3">
      <c r="A1962" s="382" t="s">
        <v>1704</v>
      </c>
      <c r="B1962" s="312" t="s">
        <v>413</v>
      </c>
      <c r="C1962" s="382" t="s">
        <v>414</v>
      </c>
      <c r="D1962" s="382" t="s">
        <v>415</v>
      </c>
      <c r="E1962" s="586" t="s">
        <v>1029</v>
      </c>
      <c r="F1962" s="586"/>
      <c r="G1962" s="383" t="s">
        <v>416</v>
      </c>
      <c r="H1962" s="312" t="s">
        <v>1030</v>
      </c>
      <c r="I1962" s="312" t="s">
        <v>3016</v>
      </c>
      <c r="J1962" s="312" t="s">
        <v>1031</v>
      </c>
      <c r="K1962" s="312" t="s">
        <v>1032</v>
      </c>
      <c r="L1962" s="166"/>
    </row>
    <row r="1963" spans="1:12" ht="25.5" customHeight="1" x14ac:dyDescent="0.3">
      <c r="A1963" s="313" t="s">
        <v>1033</v>
      </c>
      <c r="B1963" s="315" t="s">
        <v>2117</v>
      </c>
      <c r="C1963" s="313" t="s">
        <v>395</v>
      </c>
      <c r="D1963" s="313" t="s">
        <v>5943</v>
      </c>
      <c r="E1963" s="603" t="s">
        <v>7868</v>
      </c>
      <c r="F1963" s="603"/>
      <c r="G1963" s="314" t="s">
        <v>675</v>
      </c>
      <c r="H1963" s="399">
        <v>1</v>
      </c>
      <c r="I1963" s="316"/>
      <c r="J1963" s="316">
        <v>559.79999999999995</v>
      </c>
      <c r="K1963" s="316">
        <v>559.79999999999995</v>
      </c>
      <c r="L1963" s="166"/>
    </row>
    <row r="1964" spans="1:12" ht="14.25" customHeight="1" x14ac:dyDescent="0.3">
      <c r="A1964" s="408" t="s">
        <v>1034</v>
      </c>
      <c r="B1964" s="409" t="s">
        <v>1290</v>
      </c>
      <c r="C1964" s="408" t="s">
        <v>395</v>
      </c>
      <c r="D1964" s="408" t="s">
        <v>147</v>
      </c>
      <c r="E1964" s="604" t="s">
        <v>7768</v>
      </c>
      <c r="F1964" s="604"/>
      <c r="G1964" s="410" t="s">
        <v>6</v>
      </c>
      <c r="H1964" s="412">
        <v>1.0547200999999999</v>
      </c>
      <c r="I1964" s="412">
        <v>0</v>
      </c>
      <c r="J1964" s="411">
        <v>32.82</v>
      </c>
      <c r="K1964" s="411">
        <v>34.6159137</v>
      </c>
      <c r="L1964" s="166"/>
    </row>
    <row r="1965" spans="1:12" ht="15" customHeight="1" x14ac:dyDescent="0.3">
      <c r="A1965" s="408" t="s">
        <v>1034</v>
      </c>
      <c r="B1965" s="409" t="s">
        <v>1366</v>
      </c>
      <c r="C1965" s="408" t="s">
        <v>395</v>
      </c>
      <c r="D1965" s="408" t="s">
        <v>149</v>
      </c>
      <c r="E1965" s="604" t="s">
        <v>7768</v>
      </c>
      <c r="F1965" s="604"/>
      <c r="G1965" s="410" t="s">
        <v>6</v>
      </c>
      <c r="H1965" s="412">
        <v>1.2225165</v>
      </c>
      <c r="I1965" s="412">
        <v>0</v>
      </c>
      <c r="J1965" s="411">
        <v>37.57</v>
      </c>
      <c r="K1965" s="411">
        <v>45.929944900000002</v>
      </c>
      <c r="L1965" s="166"/>
    </row>
    <row r="1966" spans="1:12" ht="25.5" customHeight="1" x14ac:dyDescent="0.3">
      <c r="A1966" s="400" t="s">
        <v>1038</v>
      </c>
      <c r="B1966" s="401" t="s">
        <v>2293</v>
      </c>
      <c r="C1966" s="400" t="s">
        <v>395</v>
      </c>
      <c r="D1966" s="400" t="s">
        <v>292</v>
      </c>
      <c r="E1966" s="605" t="s">
        <v>1039</v>
      </c>
      <c r="F1966" s="605"/>
      <c r="G1966" s="402" t="s">
        <v>675</v>
      </c>
      <c r="H1966" s="403">
        <v>1</v>
      </c>
      <c r="I1966" s="403">
        <v>0</v>
      </c>
      <c r="J1966" s="404">
        <v>422.67</v>
      </c>
      <c r="K1966" s="404">
        <v>422.67</v>
      </c>
      <c r="L1966" s="166"/>
    </row>
    <row r="1967" spans="1:12" ht="25.5" customHeight="1" x14ac:dyDescent="0.3">
      <c r="A1967" s="400" t="s">
        <v>1038</v>
      </c>
      <c r="B1967" s="401" t="s">
        <v>2289</v>
      </c>
      <c r="C1967" s="400" t="s">
        <v>395</v>
      </c>
      <c r="D1967" s="400" t="s">
        <v>242</v>
      </c>
      <c r="E1967" s="605" t="s">
        <v>1039</v>
      </c>
      <c r="F1967" s="605"/>
      <c r="G1967" s="402" t="s">
        <v>4</v>
      </c>
      <c r="H1967" s="403">
        <v>1.913</v>
      </c>
      <c r="I1967" s="403">
        <v>0</v>
      </c>
      <c r="J1967" s="404">
        <v>0.2</v>
      </c>
      <c r="K1967" s="404">
        <v>0.3826</v>
      </c>
      <c r="L1967" s="166"/>
    </row>
    <row r="1968" spans="1:12" ht="15" customHeight="1" x14ac:dyDescent="0.3">
      <c r="A1968" s="400" t="s">
        <v>1038</v>
      </c>
      <c r="B1968" s="401" t="s">
        <v>2291</v>
      </c>
      <c r="C1968" s="400" t="s">
        <v>395</v>
      </c>
      <c r="D1968" s="400" t="s">
        <v>272</v>
      </c>
      <c r="E1968" s="605" t="s">
        <v>1039</v>
      </c>
      <c r="F1968" s="605"/>
      <c r="G1968" s="402" t="s">
        <v>3</v>
      </c>
      <c r="H1968" s="403">
        <v>0.83899999999999997</v>
      </c>
      <c r="I1968" s="403">
        <v>0</v>
      </c>
      <c r="J1968" s="404">
        <v>49.58</v>
      </c>
      <c r="K1968" s="404">
        <v>41.597619999999999</v>
      </c>
      <c r="L1968" s="166"/>
    </row>
    <row r="1969" spans="1:12" ht="25.5" customHeight="1" x14ac:dyDescent="0.3">
      <c r="A1969" s="400" t="s">
        <v>1038</v>
      </c>
      <c r="B1969" s="401" t="s">
        <v>2290</v>
      </c>
      <c r="C1969" s="400" t="s">
        <v>395</v>
      </c>
      <c r="D1969" s="400" t="s">
        <v>261</v>
      </c>
      <c r="E1969" s="605" t="s">
        <v>1039</v>
      </c>
      <c r="F1969" s="605"/>
      <c r="G1969" s="402" t="s">
        <v>7</v>
      </c>
      <c r="H1969" s="403">
        <v>2.605</v>
      </c>
      <c r="I1969" s="403">
        <v>0</v>
      </c>
      <c r="J1969" s="404">
        <v>2.76</v>
      </c>
      <c r="K1969" s="404">
        <v>7.1898</v>
      </c>
      <c r="L1969" s="166"/>
    </row>
    <row r="1970" spans="1:12" ht="25.5" customHeight="1" x14ac:dyDescent="0.3">
      <c r="A1970" s="400" t="s">
        <v>1038</v>
      </c>
      <c r="B1970" s="401" t="s">
        <v>2292</v>
      </c>
      <c r="C1970" s="400" t="s">
        <v>395</v>
      </c>
      <c r="D1970" s="400" t="s">
        <v>279</v>
      </c>
      <c r="E1970" s="605" t="s">
        <v>1039</v>
      </c>
      <c r="F1970" s="605"/>
      <c r="G1970" s="402" t="s">
        <v>4</v>
      </c>
      <c r="H1970" s="403">
        <v>0.34599999999999997</v>
      </c>
      <c r="I1970" s="403">
        <v>0</v>
      </c>
      <c r="J1970" s="404">
        <v>21.42</v>
      </c>
      <c r="K1970" s="404">
        <v>7.4113199999999999</v>
      </c>
      <c r="L1970" s="166"/>
    </row>
    <row r="1971" spans="1:12" ht="25.5" customHeight="1" x14ac:dyDescent="0.3">
      <c r="A1971" s="405"/>
      <c r="B1971" s="405"/>
      <c r="C1971" s="405"/>
      <c r="D1971" s="405"/>
      <c r="E1971" s="405" t="s">
        <v>1046</v>
      </c>
      <c r="F1971" s="406">
        <v>57.3</v>
      </c>
      <c r="G1971" s="405" t="s">
        <v>1047</v>
      </c>
      <c r="H1971" s="406">
        <v>0</v>
      </c>
      <c r="I1971" s="405" t="s">
        <v>1048</v>
      </c>
      <c r="J1971" s="406">
        <v>57.3</v>
      </c>
      <c r="K1971"/>
      <c r="L1971" s="166"/>
    </row>
    <row r="1972" spans="1:12" ht="25.5" customHeight="1" thickBot="1" x14ac:dyDescent="0.35">
      <c r="A1972" s="405"/>
      <c r="B1972" s="405"/>
      <c r="C1972" s="405"/>
      <c r="D1972" s="405"/>
      <c r="E1972" s="405" t="s">
        <v>1049</v>
      </c>
      <c r="F1972" s="406">
        <v>0</v>
      </c>
      <c r="G1972" s="405"/>
      <c r="H1972" s="606"/>
      <c r="I1972" s="606" t="s">
        <v>1050</v>
      </c>
      <c r="J1972" s="406">
        <v>559.79999999999995</v>
      </c>
      <c r="K1972"/>
      <c r="L1972" s="168" t="s">
        <v>388</v>
      </c>
    </row>
    <row r="1973" spans="1:12" ht="25.5" customHeight="1" thickTop="1" x14ac:dyDescent="0.3">
      <c r="A1973" s="407"/>
      <c r="B1973" s="407"/>
      <c r="C1973" s="407"/>
      <c r="D1973" s="407"/>
      <c r="E1973" s="407"/>
      <c r="F1973" s="407"/>
      <c r="G1973" s="407"/>
      <c r="H1973" s="407"/>
      <c r="I1973" s="407"/>
      <c r="J1973" s="407"/>
      <c r="K1973" s="407"/>
      <c r="L1973" s="170"/>
    </row>
    <row r="1974" spans="1:12" ht="25.5" customHeight="1" x14ac:dyDescent="0.3">
      <c r="A1974" s="382" t="s">
        <v>1708</v>
      </c>
      <c r="B1974" s="312" t="s">
        <v>413</v>
      </c>
      <c r="C1974" s="382" t="s">
        <v>414</v>
      </c>
      <c r="D1974" s="382" t="s">
        <v>415</v>
      </c>
      <c r="E1974" s="586" t="s">
        <v>1029</v>
      </c>
      <c r="F1974" s="586"/>
      <c r="G1974" s="383" t="s">
        <v>416</v>
      </c>
      <c r="H1974" s="312" t="s">
        <v>1030</v>
      </c>
      <c r="I1974" s="312" t="s">
        <v>3016</v>
      </c>
      <c r="J1974" s="312" t="s">
        <v>1031</v>
      </c>
      <c r="K1974" s="312" t="s">
        <v>1032</v>
      </c>
      <c r="L1974" s="168">
        <v>1.5</v>
      </c>
    </row>
    <row r="1975" spans="1:12" ht="30" customHeight="1" x14ac:dyDescent="0.3">
      <c r="A1975" s="313" t="s">
        <v>1033</v>
      </c>
      <c r="B1975" s="315" t="s">
        <v>9663</v>
      </c>
      <c r="C1975" s="313" t="s">
        <v>5902</v>
      </c>
      <c r="D1975" s="313" t="s">
        <v>8452</v>
      </c>
      <c r="E1975" s="603">
        <v>24.02</v>
      </c>
      <c r="F1975" s="603"/>
      <c r="G1975" s="314" t="s">
        <v>4</v>
      </c>
      <c r="H1975" s="399">
        <v>1</v>
      </c>
      <c r="I1975" s="316"/>
      <c r="J1975" s="316">
        <v>2747.7</v>
      </c>
      <c r="K1975" s="316">
        <v>2747.7</v>
      </c>
      <c r="L1975" s="168">
        <v>1.5</v>
      </c>
    </row>
    <row r="1976" spans="1:12" ht="26.4" x14ac:dyDescent="0.3">
      <c r="A1976" s="400" t="s">
        <v>1038</v>
      </c>
      <c r="B1976" s="401" t="s">
        <v>1469</v>
      </c>
      <c r="C1976" s="400" t="s">
        <v>5902</v>
      </c>
      <c r="D1976" s="400" t="s">
        <v>1470</v>
      </c>
      <c r="E1976" s="605" t="s">
        <v>1053</v>
      </c>
      <c r="F1976" s="605"/>
      <c r="G1976" s="402" t="s">
        <v>6</v>
      </c>
      <c r="H1976" s="403">
        <v>2</v>
      </c>
      <c r="I1976" s="403">
        <v>0</v>
      </c>
      <c r="J1976" s="404">
        <v>27.64</v>
      </c>
      <c r="K1976" s="404">
        <v>55.28</v>
      </c>
      <c r="L1976" s="168"/>
    </row>
    <row r="1977" spans="1:12" ht="12.75" customHeight="1" x14ac:dyDescent="0.3">
      <c r="A1977" s="400" t="s">
        <v>1038</v>
      </c>
      <c r="B1977" s="401" t="s">
        <v>1467</v>
      </c>
      <c r="C1977" s="400" t="s">
        <v>5902</v>
      </c>
      <c r="D1977" s="400" t="s">
        <v>1468</v>
      </c>
      <c r="E1977" s="605" t="s">
        <v>1053</v>
      </c>
      <c r="F1977" s="605"/>
      <c r="G1977" s="402" t="s">
        <v>6</v>
      </c>
      <c r="H1977" s="403">
        <v>5</v>
      </c>
      <c r="I1977" s="403">
        <v>0</v>
      </c>
      <c r="J1977" s="404">
        <v>22.71</v>
      </c>
      <c r="K1977" s="404">
        <v>113.55</v>
      </c>
      <c r="L1977" s="166"/>
    </row>
    <row r="1978" spans="1:12" ht="15" customHeight="1" x14ac:dyDescent="0.3">
      <c r="A1978" s="400" t="s">
        <v>1038</v>
      </c>
      <c r="B1978" s="401" t="s">
        <v>1471</v>
      </c>
      <c r="C1978" s="400" t="s">
        <v>5902</v>
      </c>
      <c r="D1978" s="400" t="s">
        <v>1472</v>
      </c>
      <c r="E1978" s="605" t="s">
        <v>1039</v>
      </c>
      <c r="F1978" s="605"/>
      <c r="G1978" s="402" t="s">
        <v>3</v>
      </c>
      <c r="H1978" s="403">
        <v>3.84</v>
      </c>
      <c r="I1978" s="403">
        <v>0</v>
      </c>
      <c r="J1978" s="404">
        <v>0.67</v>
      </c>
      <c r="K1978" s="404">
        <v>2.5728</v>
      </c>
      <c r="L1978" s="166"/>
    </row>
    <row r="1979" spans="1:12" ht="25.5" customHeight="1" x14ac:dyDescent="0.3">
      <c r="A1979" s="400" t="s">
        <v>1038</v>
      </c>
      <c r="B1979" s="401" t="s">
        <v>1473</v>
      </c>
      <c r="C1979" s="400" t="s">
        <v>5902</v>
      </c>
      <c r="D1979" s="400" t="s">
        <v>1474</v>
      </c>
      <c r="E1979" s="605" t="s">
        <v>1039</v>
      </c>
      <c r="F1979" s="605"/>
      <c r="G1979" s="402" t="s">
        <v>713</v>
      </c>
      <c r="H1979" s="403">
        <v>0.01</v>
      </c>
      <c r="I1979" s="403">
        <v>0</v>
      </c>
      <c r="J1979" s="404">
        <v>170.72</v>
      </c>
      <c r="K1979" s="404">
        <v>1.7072000000000001</v>
      </c>
      <c r="L1979" s="168">
        <f>0.3+0.6+0.2</f>
        <v>1.0999999999999999</v>
      </c>
    </row>
    <row r="1980" spans="1:12" ht="25.5" customHeight="1" x14ac:dyDescent="0.3">
      <c r="A1980" s="400" t="s">
        <v>1038</v>
      </c>
      <c r="B1980" s="401" t="s">
        <v>8719</v>
      </c>
      <c r="C1980" s="400" t="s">
        <v>5902</v>
      </c>
      <c r="D1980" s="400" t="s">
        <v>8720</v>
      </c>
      <c r="E1980" s="605" t="s">
        <v>1039</v>
      </c>
      <c r="F1980" s="605"/>
      <c r="G1980" s="402" t="s">
        <v>4</v>
      </c>
      <c r="H1980" s="403">
        <v>1</v>
      </c>
      <c r="I1980" s="403">
        <v>0</v>
      </c>
      <c r="J1980" s="404">
        <v>2574.59</v>
      </c>
      <c r="K1980" s="404">
        <v>2574.59</v>
      </c>
      <c r="L1980" s="168">
        <v>1.5</v>
      </c>
    </row>
    <row r="1981" spans="1:12" ht="15" customHeight="1" x14ac:dyDescent="0.3">
      <c r="A1981" s="405"/>
      <c r="B1981" s="405"/>
      <c r="C1981" s="405"/>
      <c r="D1981" s="405"/>
      <c r="E1981" s="405" t="s">
        <v>1046</v>
      </c>
      <c r="F1981" s="406">
        <v>168.83</v>
      </c>
      <c r="G1981" s="405" t="s">
        <v>1047</v>
      </c>
      <c r="H1981" s="406">
        <v>0</v>
      </c>
      <c r="I1981" s="405" t="s">
        <v>1048</v>
      </c>
      <c r="J1981" s="406">
        <v>168.83</v>
      </c>
      <c r="K1981"/>
      <c r="L1981" s="168">
        <v>1.5</v>
      </c>
    </row>
    <row r="1982" spans="1:12" ht="25.5" customHeight="1" thickBot="1" x14ac:dyDescent="0.35">
      <c r="A1982" s="405"/>
      <c r="B1982" s="405"/>
      <c r="C1982" s="405"/>
      <c r="D1982" s="405"/>
      <c r="E1982" s="405" t="s">
        <v>1049</v>
      </c>
      <c r="F1982" s="406">
        <v>0</v>
      </c>
      <c r="G1982" s="405"/>
      <c r="H1982" s="606"/>
      <c r="I1982" s="606" t="s">
        <v>1050</v>
      </c>
      <c r="J1982" s="406">
        <v>2747.7</v>
      </c>
      <c r="K1982"/>
      <c r="L1982" s="168"/>
    </row>
    <row r="1983" spans="1:12" ht="25.5" customHeight="1" thickTop="1" x14ac:dyDescent="0.3">
      <c r="A1983" s="407"/>
      <c r="B1983" s="407"/>
      <c r="C1983" s="407"/>
      <c r="D1983" s="407"/>
      <c r="E1983" s="407"/>
      <c r="F1983" s="407"/>
      <c r="G1983" s="407"/>
      <c r="H1983" s="407"/>
      <c r="I1983" s="407"/>
      <c r="J1983" s="407"/>
      <c r="K1983" s="407"/>
      <c r="L1983" s="168"/>
    </row>
    <row r="1984" spans="1:12" ht="15" x14ac:dyDescent="0.3">
      <c r="A1984" s="382" t="s">
        <v>1709</v>
      </c>
      <c r="B1984" s="312" t="s">
        <v>413</v>
      </c>
      <c r="C1984" s="382" t="s">
        <v>414</v>
      </c>
      <c r="D1984" s="382" t="s">
        <v>415</v>
      </c>
      <c r="E1984" s="586" t="s">
        <v>1029</v>
      </c>
      <c r="F1984" s="586"/>
      <c r="G1984" s="383" t="s">
        <v>416</v>
      </c>
      <c r="H1984" s="312" t="s">
        <v>1030</v>
      </c>
      <c r="I1984" s="312" t="s">
        <v>3016</v>
      </c>
      <c r="J1984" s="312" t="s">
        <v>1031</v>
      </c>
      <c r="K1984" s="312" t="s">
        <v>1032</v>
      </c>
      <c r="L1984" s="168"/>
    </row>
    <row r="1985" spans="1:12" ht="15" customHeight="1" x14ac:dyDescent="0.3">
      <c r="A1985" s="313" t="s">
        <v>1033</v>
      </c>
      <c r="B1985" s="315" t="s">
        <v>9664</v>
      </c>
      <c r="C1985" s="313" t="s">
        <v>5902</v>
      </c>
      <c r="D1985" s="313" t="s">
        <v>8453</v>
      </c>
      <c r="E1985" s="603">
        <v>24.02</v>
      </c>
      <c r="F1985" s="603"/>
      <c r="G1985" s="314" t="s">
        <v>4</v>
      </c>
      <c r="H1985" s="399">
        <v>1</v>
      </c>
      <c r="I1985" s="316"/>
      <c r="J1985" s="316">
        <v>1595.51</v>
      </c>
      <c r="K1985" s="316">
        <v>1595.51</v>
      </c>
      <c r="L1985" s="168"/>
    </row>
    <row r="1986" spans="1:12" ht="25.5" customHeight="1" x14ac:dyDescent="0.3">
      <c r="A1986" s="400" t="s">
        <v>1038</v>
      </c>
      <c r="B1986" s="401" t="s">
        <v>1469</v>
      </c>
      <c r="C1986" s="400" t="s">
        <v>5902</v>
      </c>
      <c r="D1986" s="400" t="s">
        <v>1470</v>
      </c>
      <c r="E1986" s="605" t="s">
        <v>1053</v>
      </c>
      <c r="F1986" s="605"/>
      <c r="G1986" s="402" t="s">
        <v>6</v>
      </c>
      <c r="H1986" s="403">
        <v>2</v>
      </c>
      <c r="I1986" s="403">
        <v>0</v>
      </c>
      <c r="J1986" s="404">
        <v>27.64</v>
      </c>
      <c r="K1986" s="404">
        <v>55.28</v>
      </c>
      <c r="L1986" s="166"/>
    </row>
    <row r="1987" spans="1:12" ht="25.5" customHeight="1" x14ac:dyDescent="0.3">
      <c r="A1987" s="400" t="s">
        <v>1038</v>
      </c>
      <c r="B1987" s="401" t="s">
        <v>1467</v>
      </c>
      <c r="C1987" s="400" t="s">
        <v>5902</v>
      </c>
      <c r="D1987" s="400" t="s">
        <v>1468</v>
      </c>
      <c r="E1987" s="605" t="s">
        <v>1053</v>
      </c>
      <c r="F1987" s="605"/>
      <c r="G1987" s="402" t="s">
        <v>6</v>
      </c>
      <c r="H1987" s="403">
        <v>5</v>
      </c>
      <c r="I1987" s="403">
        <v>0</v>
      </c>
      <c r="J1987" s="404">
        <v>22.71</v>
      </c>
      <c r="K1987" s="404">
        <v>113.55</v>
      </c>
      <c r="L1987" s="168"/>
    </row>
    <row r="1988" spans="1:12" ht="26.4" x14ac:dyDescent="0.3">
      <c r="A1988" s="400" t="s">
        <v>1038</v>
      </c>
      <c r="B1988" s="401" t="s">
        <v>1471</v>
      </c>
      <c r="C1988" s="400" t="s">
        <v>5902</v>
      </c>
      <c r="D1988" s="400" t="s">
        <v>1472</v>
      </c>
      <c r="E1988" s="605" t="s">
        <v>1039</v>
      </c>
      <c r="F1988" s="605"/>
      <c r="G1988" s="402" t="s">
        <v>3</v>
      </c>
      <c r="H1988" s="403">
        <v>3.84</v>
      </c>
      <c r="I1988" s="403">
        <v>0</v>
      </c>
      <c r="J1988" s="404">
        <v>0.67</v>
      </c>
      <c r="K1988" s="404">
        <v>2.5728</v>
      </c>
      <c r="L1988" s="168"/>
    </row>
    <row r="1989" spans="1:12" ht="15" customHeight="1" x14ac:dyDescent="0.3">
      <c r="A1989" s="400" t="s">
        <v>1038</v>
      </c>
      <c r="B1989" s="401" t="s">
        <v>1473</v>
      </c>
      <c r="C1989" s="400" t="s">
        <v>5902</v>
      </c>
      <c r="D1989" s="400" t="s">
        <v>1474</v>
      </c>
      <c r="E1989" s="605" t="s">
        <v>1039</v>
      </c>
      <c r="F1989" s="605"/>
      <c r="G1989" s="402" t="s">
        <v>713</v>
      </c>
      <c r="H1989" s="403">
        <v>0.01</v>
      </c>
      <c r="I1989" s="403">
        <v>0</v>
      </c>
      <c r="J1989" s="404">
        <v>170.72</v>
      </c>
      <c r="K1989" s="404">
        <v>1.7072000000000001</v>
      </c>
      <c r="L1989" s="168"/>
    </row>
    <row r="1990" spans="1:12" ht="25.5" customHeight="1" x14ac:dyDescent="0.3">
      <c r="A1990" s="400" t="s">
        <v>1038</v>
      </c>
      <c r="B1990" s="401" t="s">
        <v>8769</v>
      </c>
      <c r="C1990" s="400" t="s">
        <v>5902</v>
      </c>
      <c r="D1990" s="400" t="s">
        <v>8770</v>
      </c>
      <c r="E1990" s="605" t="s">
        <v>1039</v>
      </c>
      <c r="F1990" s="605"/>
      <c r="G1990" s="402" t="s">
        <v>4</v>
      </c>
      <c r="H1990" s="403">
        <v>1</v>
      </c>
      <c r="I1990" s="403">
        <v>0</v>
      </c>
      <c r="J1990" s="404">
        <v>1422.4</v>
      </c>
      <c r="K1990" s="404">
        <v>1422.4</v>
      </c>
      <c r="L1990" s="166"/>
    </row>
    <row r="1991" spans="1:12" ht="25.5" customHeight="1" x14ac:dyDescent="0.3">
      <c r="A1991" s="405"/>
      <c r="B1991" s="405"/>
      <c r="C1991" s="405"/>
      <c r="D1991" s="405"/>
      <c r="E1991" s="405" t="s">
        <v>1046</v>
      </c>
      <c r="F1991" s="406">
        <v>168.83</v>
      </c>
      <c r="G1991" s="405" t="s">
        <v>1047</v>
      </c>
      <c r="H1991" s="406">
        <v>0</v>
      </c>
      <c r="I1991" s="405" t="s">
        <v>1048</v>
      </c>
      <c r="J1991" s="406">
        <v>168.83</v>
      </c>
      <c r="K1991"/>
      <c r="L1991" s="166"/>
    </row>
    <row r="1992" spans="1:12" ht="25.5" customHeight="1" thickBot="1" x14ac:dyDescent="0.35">
      <c r="A1992" s="405"/>
      <c r="B1992" s="405"/>
      <c r="C1992" s="405"/>
      <c r="D1992" s="405"/>
      <c r="E1992" s="405" t="s">
        <v>1049</v>
      </c>
      <c r="F1992" s="406">
        <v>0</v>
      </c>
      <c r="G1992" s="405"/>
      <c r="H1992" s="606"/>
      <c r="I1992" s="606" t="s">
        <v>1050</v>
      </c>
      <c r="J1992" s="406">
        <v>1595.51</v>
      </c>
      <c r="K1992"/>
      <c r="L1992" s="168"/>
    </row>
    <row r="1993" spans="1:12" ht="25.5" customHeight="1" thickTop="1" x14ac:dyDescent="0.3">
      <c r="A1993" s="407"/>
      <c r="B1993" s="407"/>
      <c r="C1993" s="407"/>
      <c r="D1993" s="407"/>
      <c r="E1993" s="407"/>
      <c r="F1993" s="407"/>
      <c r="G1993" s="407"/>
      <c r="H1993" s="407"/>
      <c r="I1993" s="407"/>
      <c r="J1993" s="407"/>
      <c r="K1993" s="407"/>
      <c r="L1993" s="168"/>
    </row>
    <row r="1994" spans="1:12" ht="15" customHeight="1" x14ac:dyDescent="0.3">
      <c r="A1994" s="382" t="s">
        <v>1711</v>
      </c>
      <c r="B1994" s="312" t="s">
        <v>413</v>
      </c>
      <c r="C1994" s="382" t="s">
        <v>414</v>
      </c>
      <c r="D1994" s="382" t="s">
        <v>415</v>
      </c>
      <c r="E1994" s="586" t="s">
        <v>1029</v>
      </c>
      <c r="F1994" s="586"/>
      <c r="G1994" s="383" t="s">
        <v>416</v>
      </c>
      <c r="H1994" s="312" t="s">
        <v>1030</v>
      </c>
      <c r="I1994" s="312" t="s">
        <v>3016</v>
      </c>
      <c r="J1994" s="312" t="s">
        <v>1031</v>
      </c>
      <c r="K1994" s="312" t="s">
        <v>1032</v>
      </c>
      <c r="L1994" s="168"/>
    </row>
    <row r="1995" spans="1:12" ht="52.8" x14ac:dyDescent="0.3">
      <c r="A1995" s="313" t="s">
        <v>1033</v>
      </c>
      <c r="B1995" s="315" t="s">
        <v>998</v>
      </c>
      <c r="C1995" s="313" t="s">
        <v>420</v>
      </c>
      <c r="D1995" s="313" t="s">
        <v>709</v>
      </c>
      <c r="E1995" s="603" t="s">
        <v>1477</v>
      </c>
      <c r="F1995" s="603"/>
      <c r="G1995" s="314" t="s">
        <v>422</v>
      </c>
      <c r="H1995" s="399">
        <v>1</v>
      </c>
      <c r="I1995" s="316"/>
      <c r="J1995" s="316">
        <v>1812.97</v>
      </c>
      <c r="K1995" s="316">
        <v>1812.97</v>
      </c>
      <c r="L1995" s="166"/>
    </row>
    <row r="1996" spans="1:12" ht="15" customHeight="1" x14ac:dyDescent="0.3">
      <c r="A1996" s="408" t="s">
        <v>1034</v>
      </c>
      <c r="B1996" s="409" t="s">
        <v>1071</v>
      </c>
      <c r="C1996" s="408" t="s">
        <v>420</v>
      </c>
      <c r="D1996" s="408" t="s">
        <v>1072</v>
      </c>
      <c r="E1996" s="604" t="s">
        <v>1069</v>
      </c>
      <c r="F1996" s="604"/>
      <c r="G1996" s="410" t="s">
        <v>1070</v>
      </c>
      <c r="H1996" s="412">
        <v>6</v>
      </c>
      <c r="I1996" s="412">
        <v>0</v>
      </c>
      <c r="J1996" s="411">
        <v>3.95</v>
      </c>
      <c r="K1996" s="411">
        <v>23.7</v>
      </c>
      <c r="L1996" s="166"/>
    </row>
    <row r="1997" spans="1:12" ht="26.4" x14ac:dyDescent="0.3">
      <c r="A1997" s="408" t="s">
        <v>1034</v>
      </c>
      <c r="B1997" s="409" t="s">
        <v>1478</v>
      </c>
      <c r="C1997" s="408" t="s">
        <v>420</v>
      </c>
      <c r="D1997" s="408" t="s">
        <v>1479</v>
      </c>
      <c r="E1997" s="604" t="s">
        <v>1069</v>
      </c>
      <c r="F1997" s="604"/>
      <c r="G1997" s="410" t="s">
        <v>1070</v>
      </c>
      <c r="H1997" s="412">
        <v>7.5</v>
      </c>
      <c r="I1997" s="412">
        <v>0</v>
      </c>
      <c r="J1997" s="411">
        <v>3.86</v>
      </c>
      <c r="K1997" s="411">
        <v>28.95</v>
      </c>
      <c r="L1997" s="166"/>
    </row>
    <row r="1998" spans="1:12" ht="25.5" customHeight="1" x14ac:dyDescent="0.3">
      <c r="A1998" s="400" t="s">
        <v>1038</v>
      </c>
      <c r="B1998" s="401" t="s">
        <v>1480</v>
      </c>
      <c r="C1998" s="400" t="s">
        <v>420</v>
      </c>
      <c r="D1998" s="400" t="s">
        <v>709</v>
      </c>
      <c r="E1998" s="605" t="s">
        <v>1039</v>
      </c>
      <c r="F1998" s="605"/>
      <c r="G1998" s="402" t="s">
        <v>422</v>
      </c>
      <c r="H1998" s="403">
        <v>1</v>
      </c>
      <c r="I1998" s="403">
        <v>0</v>
      </c>
      <c r="J1998" s="404">
        <v>1491.86</v>
      </c>
      <c r="K1998" s="404">
        <v>1491.86</v>
      </c>
      <c r="L1998" s="166"/>
    </row>
    <row r="1999" spans="1:12" ht="14.25" customHeight="1" x14ac:dyDescent="0.3">
      <c r="A1999" s="400" t="s">
        <v>1038</v>
      </c>
      <c r="B1999" s="401" t="s">
        <v>7411</v>
      </c>
      <c r="C1999" s="400" t="s">
        <v>420</v>
      </c>
      <c r="D1999" s="400" t="s">
        <v>7412</v>
      </c>
      <c r="E1999" s="605" t="s">
        <v>1039</v>
      </c>
      <c r="F1999" s="605"/>
      <c r="G1999" s="402" t="s">
        <v>713</v>
      </c>
      <c r="H1999" s="403">
        <v>2.9600000000000001E-2</v>
      </c>
      <c r="I1999" s="403">
        <v>0</v>
      </c>
      <c r="J1999" s="404">
        <v>115</v>
      </c>
      <c r="K1999" s="404">
        <v>3.4039999999999999</v>
      </c>
      <c r="L1999" s="166"/>
    </row>
    <row r="2000" spans="1:12" ht="15" customHeight="1" x14ac:dyDescent="0.3">
      <c r="A2000" s="400" t="s">
        <v>1038</v>
      </c>
      <c r="B2000" s="401" t="s">
        <v>7064</v>
      </c>
      <c r="C2000" s="400" t="s">
        <v>420</v>
      </c>
      <c r="D2000" s="400" t="s">
        <v>7065</v>
      </c>
      <c r="E2000" s="605" t="s">
        <v>1039</v>
      </c>
      <c r="F2000" s="605"/>
      <c r="G2000" s="402" t="s">
        <v>1246</v>
      </c>
      <c r="H2000" s="403">
        <v>14.5</v>
      </c>
      <c r="I2000" s="403">
        <v>0</v>
      </c>
      <c r="J2000" s="404">
        <v>0.94</v>
      </c>
      <c r="K2000" s="404">
        <v>13.63</v>
      </c>
      <c r="L2000" s="166"/>
    </row>
    <row r="2001" spans="1:12" ht="25.5" customHeight="1" x14ac:dyDescent="0.3">
      <c r="A2001" s="400" t="s">
        <v>1038</v>
      </c>
      <c r="B2001" s="401" t="s">
        <v>6861</v>
      </c>
      <c r="C2001" s="400" t="s">
        <v>420</v>
      </c>
      <c r="D2001" s="400" t="s">
        <v>6862</v>
      </c>
      <c r="E2001" s="605" t="s">
        <v>1039</v>
      </c>
      <c r="F2001" s="605"/>
      <c r="G2001" s="402" t="s">
        <v>713</v>
      </c>
      <c r="H2001" s="403">
        <v>3.2399999999999998E-2</v>
      </c>
      <c r="I2001" s="403">
        <v>0</v>
      </c>
      <c r="J2001" s="404">
        <v>139.30000000000001</v>
      </c>
      <c r="K2001" s="404">
        <v>4.5133200000000002</v>
      </c>
      <c r="L2001" s="166"/>
    </row>
    <row r="2002" spans="1:12" ht="25.5" customHeight="1" x14ac:dyDescent="0.3">
      <c r="A2002" s="400" t="s">
        <v>1038</v>
      </c>
      <c r="B2002" s="401" t="s">
        <v>6295</v>
      </c>
      <c r="C2002" s="400" t="s">
        <v>420</v>
      </c>
      <c r="D2002" s="400" t="s">
        <v>6296</v>
      </c>
      <c r="E2002" s="605" t="s">
        <v>1053</v>
      </c>
      <c r="F2002" s="605"/>
      <c r="G2002" s="402" t="s">
        <v>1070</v>
      </c>
      <c r="H2002" s="403">
        <v>7.5</v>
      </c>
      <c r="I2002" s="403">
        <v>0</v>
      </c>
      <c r="J2002" s="404">
        <v>20.45</v>
      </c>
      <c r="K2002" s="404">
        <v>153.375</v>
      </c>
      <c r="L2002" s="166"/>
    </row>
    <row r="2003" spans="1:12" ht="25.5" customHeight="1" x14ac:dyDescent="0.3">
      <c r="A2003" s="400" t="s">
        <v>1038</v>
      </c>
      <c r="B2003" s="401" t="s">
        <v>6251</v>
      </c>
      <c r="C2003" s="400" t="s">
        <v>420</v>
      </c>
      <c r="D2003" s="400" t="s">
        <v>6252</v>
      </c>
      <c r="E2003" s="605" t="s">
        <v>1053</v>
      </c>
      <c r="F2003" s="605"/>
      <c r="G2003" s="402" t="s">
        <v>1070</v>
      </c>
      <c r="H2003" s="403">
        <v>6</v>
      </c>
      <c r="I2003" s="403">
        <v>0</v>
      </c>
      <c r="J2003" s="404">
        <v>15.59</v>
      </c>
      <c r="K2003" s="404">
        <v>93.54</v>
      </c>
      <c r="L2003" s="166"/>
    </row>
    <row r="2004" spans="1:12" ht="25.5" customHeight="1" x14ac:dyDescent="0.3">
      <c r="A2004" s="405"/>
      <c r="B2004" s="405"/>
      <c r="C2004" s="405"/>
      <c r="D2004" s="405"/>
      <c r="E2004" s="405" t="s">
        <v>1046</v>
      </c>
      <c r="F2004" s="406">
        <v>246.92</v>
      </c>
      <c r="G2004" s="405" t="s">
        <v>1047</v>
      </c>
      <c r="H2004" s="406">
        <v>0</v>
      </c>
      <c r="I2004" s="405" t="s">
        <v>1048</v>
      </c>
      <c r="J2004" s="406">
        <v>246.92</v>
      </c>
      <c r="K2004"/>
      <c r="L2004" s="166"/>
    </row>
    <row r="2005" spans="1:12" ht="15" customHeight="1" thickBot="1" x14ac:dyDescent="0.35">
      <c r="A2005" s="405"/>
      <c r="B2005" s="405"/>
      <c r="C2005" s="405"/>
      <c r="D2005" s="405"/>
      <c r="E2005" s="405" t="s">
        <v>1049</v>
      </c>
      <c r="F2005" s="406">
        <v>0</v>
      </c>
      <c r="G2005" s="405"/>
      <c r="H2005" s="606"/>
      <c r="I2005" s="606" t="s">
        <v>1050</v>
      </c>
      <c r="J2005" s="406">
        <v>1812.97</v>
      </c>
      <c r="K2005"/>
      <c r="L2005" s="168" t="s">
        <v>388</v>
      </c>
    </row>
    <row r="2006" spans="1:12" ht="15.6" thickTop="1" x14ac:dyDescent="0.3">
      <c r="A2006" s="407"/>
      <c r="B2006" s="407"/>
      <c r="C2006" s="407"/>
      <c r="D2006" s="407"/>
      <c r="E2006" s="407"/>
      <c r="F2006" s="407"/>
      <c r="G2006" s="407"/>
      <c r="H2006" s="407"/>
      <c r="I2006" s="407"/>
      <c r="J2006" s="407"/>
      <c r="K2006" s="407"/>
      <c r="L2006" s="170"/>
    </row>
    <row r="2007" spans="1:12" ht="15" customHeight="1" x14ac:dyDescent="0.3">
      <c r="A2007" s="382" t="s">
        <v>1713</v>
      </c>
      <c r="B2007" s="312" t="s">
        <v>413</v>
      </c>
      <c r="C2007" s="382" t="s">
        <v>414</v>
      </c>
      <c r="D2007" s="382" t="s">
        <v>415</v>
      </c>
      <c r="E2007" s="586" t="s">
        <v>1029</v>
      </c>
      <c r="F2007" s="586"/>
      <c r="G2007" s="383" t="s">
        <v>416</v>
      </c>
      <c r="H2007" s="312" t="s">
        <v>1030</v>
      </c>
      <c r="I2007" s="312" t="s">
        <v>3016</v>
      </c>
      <c r="J2007" s="312" t="s">
        <v>1031</v>
      </c>
      <c r="K2007" s="312" t="s">
        <v>1032</v>
      </c>
      <c r="L2007" s="168">
        <v>1.5</v>
      </c>
    </row>
    <row r="2008" spans="1:12" ht="17.399999999999999" customHeight="1" x14ac:dyDescent="0.3">
      <c r="A2008" s="313" t="s">
        <v>1033</v>
      </c>
      <c r="B2008" s="315" t="s">
        <v>999</v>
      </c>
      <c r="C2008" s="313" t="s">
        <v>420</v>
      </c>
      <c r="D2008" s="313" t="s">
        <v>8454</v>
      </c>
      <c r="E2008" s="603" t="s">
        <v>1477</v>
      </c>
      <c r="F2008" s="603"/>
      <c r="G2008" s="314" t="s">
        <v>422</v>
      </c>
      <c r="H2008" s="399">
        <v>1</v>
      </c>
      <c r="I2008" s="316"/>
      <c r="J2008" s="316">
        <v>3049.86</v>
      </c>
      <c r="K2008" s="316">
        <v>3049.86</v>
      </c>
      <c r="L2008" s="168">
        <v>1.5</v>
      </c>
    </row>
    <row r="2009" spans="1:12" ht="25.5" customHeight="1" x14ac:dyDescent="0.3">
      <c r="A2009" s="408" t="s">
        <v>1034</v>
      </c>
      <c r="B2009" s="409" t="s">
        <v>1071</v>
      </c>
      <c r="C2009" s="408" t="s">
        <v>420</v>
      </c>
      <c r="D2009" s="408" t="s">
        <v>1072</v>
      </c>
      <c r="E2009" s="604" t="s">
        <v>1069</v>
      </c>
      <c r="F2009" s="604"/>
      <c r="G2009" s="410" t="s">
        <v>1070</v>
      </c>
      <c r="H2009" s="412">
        <v>6</v>
      </c>
      <c r="I2009" s="412">
        <v>0</v>
      </c>
      <c r="J2009" s="411">
        <v>3.95</v>
      </c>
      <c r="K2009" s="411">
        <v>23.7</v>
      </c>
      <c r="L2009" s="168"/>
    </row>
    <row r="2010" spans="1:12" ht="25.5" customHeight="1" x14ac:dyDescent="0.3">
      <c r="A2010" s="408" t="s">
        <v>1034</v>
      </c>
      <c r="B2010" s="409" t="s">
        <v>1478</v>
      </c>
      <c r="C2010" s="408" t="s">
        <v>420</v>
      </c>
      <c r="D2010" s="408" t="s">
        <v>1479</v>
      </c>
      <c r="E2010" s="604" t="s">
        <v>1069</v>
      </c>
      <c r="F2010" s="604"/>
      <c r="G2010" s="410" t="s">
        <v>1070</v>
      </c>
      <c r="H2010" s="412">
        <v>7.5</v>
      </c>
      <c r="I2010" s="412">
        <v>0</v>
      </c>
      <c r="J2010" s="411">
        <v>3.86</v>
      </c>
      <c r="K2010" s="411">
        <v>28.95</v>
      </c>
      <c r="L2010" s="166"/>
    </row>
    <row r="2011" spans="1:12" ht="25.5" customHeight="1" x14ac:dyDescent="0.3">
      <c r="A2011" s="400" t="s">
        <v>1038</v>
      </c>
      <c r="B2011" s="401" t="s">
        <v>1483</v>
      </c>
      <c r="C2011" s="400" t="s">
        <v>420</v>
      </c>
      <c r="D2011" s="400" t="s">
        <v>711</v>
      </c>
      <c r="E2011" s="605" t="s">
        <v>1039</v>
      </c>
      <c r="F2011" s="605"/>
      <c r="G2011" s="402" t="s">
        <v>422</v>
      </c>
      <c r="H2011" s="403">
        <v>1</v>
      </c>
      <c r="I2011" s="403">
        <v>0</v>
      </c>
      <c r="J2011" s="404">
        <v>2728.75</v>
      </c>
      <c r="K2011" s="404">
        <v>2728.75</v>
      </c>
      <c r="L2011" s="166"/>
    </row>
    <row r="2012" spans="1:12" ht="25.5" customHeight="1" x14ac:dyDescent="0.3">
      <c r="A2012" s="400" t="s">
        <v>1038</v>
      </c>
      <c r="B2012" s="401" t="s">
        <v>7411</v>
      </c>
      <c r="C2012" s="400" t="s">
        <v>420</v>
      </c>
      <c r="D2012" s="400" t="s">
        <v>7412</v>
      </c>
      <c r="E2012" s="605" t="s">
        <v>1039</v>
      </c>
      <c r="F2012" s="605"/>
      <c r="G2012" s="402" t="s">
        <v>713</v>
      </c>
      <c r="H2012" s="403">
        <v>2.9600000000000001E-2</v>
      </c>
      <c r="I2012" s="403">
        <v>0</v>
      </c>
      <c r="J2012" s="404">
        <v>115</v>
      </c>
      <c r="K2012" s="404">
        <v>3.4039999999999999</v>
      </c>
      <c r="L2012" s="168">
        <f>0.3+0.6+0.2</f>
        <v>1.0999999999999999</v>
      </c>
    </row>
    <row r="2013" spans="1:12" ht="25.5" customHeight="1" x14ac:dyDescent="0.3">
      <c r="A2013" s="400" t="s">
        <v>1038</v>
      </c>
      <c r="B2013" s="401" t="s">
        <v>7064</v>
      </c>
      <c r="C2013" s="400" t="s">
        <v>420</v>
      </c>
      <c r="D2013" s="400" t="s">
        <v>7065</v>
      </c>
      <c r="E2013" s="605" t="s">
        <v>1039</v>
      </c>
      <c r="F2013" s="605"/>
      <c r="G2013" s="402" t="s">
        <v>1246</v>
      </c>
      <c r="H2013" s="403">
        <v>14.5</v>
      </c>
      <c r="I2013" s="403">
        <v>0</v>
      </c>
      <c r="J2013" s="404">
        <v>0.94</v>
      </c>
      <c r="K2013" s="404">
        <v>13.63</v>
      </c>
      <c r="L2013" s="168">
        <v>1.5</v>
      </c>
    </row>
    <row r="2014" spans="1:12" ht="15" x14ac:dyDescent="0.3">
      <c r="A2014" s="400" t="s">
        <v>1038</v>
      </c>
      <c r="B2014" s="401" t="s">
        <v>6861</v>
      </c>
      <c r="C2014" s="400" t="s">
        <v>420</v>
      </c>
      <c r="D2014" s="400" t="s">
        <v>6862</v>
      </c>
      <c r="E2014" s="605" t="s">
        <v>1039</v>
      </c>
      <c r="F2014" s="605"/>
      <c r="G2014" s="402" t="s">
        <v>713</v>
      </c>
      <c r="H2014" s="403">
        <v>3.2399999999999998E-2</v>
      </c>
      <c r="I2014" s="403">
        <v>0</v>
      </c>
      <c r="J2014" s="404">
        <v>139.30000000000001</v>
      </c>
      <c r="K2014" s="404">
        <v>4.5133200000000002</v>
      </c>
      <c r="L2014" s="168">
        <v>1.5</v>
      </c>
    </row>
    <row r="2015" spans="1:12" ht="15" customHeight="1" x14ac:dyDescent="0.3">
      <c r="A2015" s="400" t="s">
        <v>1038</v>
      </c>
      <c r="B2015" s="401" t="s">
        <v>6295</v>
      </c>
      <c r="C2015" s="400" t="s">
        <v>420</v>
      </c>
      <c r="D2015" s="400" t="s">
        <v>6296</v>
      </c>
      <c r="E2015" s="605" t="s">
        <v>1053</v>
      </c>
      <c r="F2015" s="605"/>
      <c r="G2015" s="402" t="s">
        <v>1070</v>
      </c>
      <c r="H2015" s="403">
        <v>7.5</v>
      </c>
      <c r="I2015" s="403">
        <v>0</v>
      </c>
      <c r="J2015" s="404">
        <v>20.45</v>
      </c>
      <c r="K2015" s="404">
        <v>153.375</v>
      </c>
      <c r="L2015" s="168"/>
    </row>
    <row r="2016" spans="1:12" ht="14.25" customHeight="1" x14ac:dyDescent="0.3">
      <c r="A2016" s="400" t="s">
        <v>1038</v>
      </c>
      <c r="B2016" s="401" t="s">
        <v>6251</v>
      </c>
      <c r="C2016" s="400" t="s">
        <v>420</v>
      </c>
      <c r="D2016" s="400" t="s">
        <v>6252</v>
      </c>
      <c r="E2016" s="605" t="s">
        <v>1053</v>
      </c>
      <c r="F2016" s="605"/>
      <c r="G2016" s="402" t="s">
        <v>1070</v>
      </c>
      <c r="H2016" s="403">
        <v>6</v>
      </c>
      <c r="I2016" s="403">
        <v>0</v>
      </c>
      <c r="J2016" s="404">
        <v>15.59</v>
      </c>
      <c r="K2016" s="404">
        <v>93.54</v>
      </c>
      <c r="L2016" s="168"/>
    </row>
    <row r="2017" spans="1:12" ht="15" x14ac:dyDescent="0.3">
      <c r="A2017" s="405"/>
      <c r="B2017" s="405"/>
      <c r="C2017" s="405"/>
      <c r="D2017" s="405"/>
      <c r="E2017" s="405" t="s">
        <v>1046</v>
      </c>
      <c r="F2017" s="406">
        <v>246.92</v>
      </c>
      <c r="G2017" s="405" t="s">
        <v>1047</v>
      </c>
      <c r="H2017" s="406">
        <v>0</v>
      </c>
      <c r="I2017" s="405" t="s">
        <v>1048</v>
      </c>
      <c r="J2017" s="406">
        <v>246.92</v>
      </c>
      <c r="K2017"/>
      <c r="L2017" s="168"/>
    </row>
    <row r="2018" spans="1:12" ht="15" customHeight="1" thickBot="1" x14ac:dyDescent="0.35">
      <c r="A2018" s="405"/>
      <c r="B2018" s="405"/>
      <c r="C2018" s="405"/>
      <c r="D2018" s="405"/>
      <c r="E2018" s="405" t="s">
        <v>1049</v>
      </c>
      <c r="F2018" s="406">
        <v>0</v>
      </c>
      <c r="G2018" s="405"/>
      <c r="H2018" s="606"/>
      <c r="I2018" s="606" t="s">
        <v>1050</v>
      </c>
      <c r="J2018" s="406">
        <v>3049.86</v>
      </c>
      <c r="K2018"/>
      <c r="L2018" s="168"/>
    </row>
    <row r="2019" spans="1:12" ht="30" customHeight="1" thickTop="1" x14ac:dyDescent="0.3">
      <c r="A2019" s="407"/>
      <c r="B2019" s="407"/>
      <c r="C2019" s="407"/>
      <c r="D2019" s="407"/>
      <c r="E2019" s="407"/>
      <c r="F2019" s="407"/>
      <c r="G2019" s="407"/>
      <c r="H2019" s="407"/>
      <c r="I2019" s="407"/>
      <c r="J2019" s="407"/>
      <c r="K2019" s="407"/>
      <c r="L2019" s="166"/>
    </row>
    <row r="2020" spans="1:12" ht="25.5" customHeight="1" x14ac:dyDescent="0.3">
      <c r="A2020" s="382" t="s">
        <v>1714</v>
      </c>
      <c r="B2020" s="312" t="s">
        <v>413</v>
      </c>
      <c r="C2020" s="382" t="s">
        <v>414</v>
      </c>
      <c r="D2020" s="382" t="s">
        <v>415</v>
      </c>
      <c r="E2020" s="586" t="s">
        <v>1029</v>
      </c>
      <c r="F2020" s="586"/>
      <c r="G2020" s="383" t="s">
        <v>416</v>
      </c>
      <c r="H2020" s="312" t="s">
        <v>1030</v>
      </c>
      <c r="I2020" s="312" t="s">
        <v>3016</v>
      </c>
      <c r="J2020" s="312" t="s">
        <v>1031</v>
      </c>
      <c r="K2020" s="312" t="s">
        <v>1032</v>
      </c>
      <c r="L2020" s="168"/>
    </row>
    <row r="2021" spans="1:12" ht="25.5" customHeight="1" x14ac:dyDescent="0.3">
      <c r="A2021" s="313" t="s">
        <v>1033</v>
      </c>
      <c r="B2021" s="315" t="s">
        <v>1886</v>
      </c>
      <c r="C2021" s="313" t="s">
        <v>575</v>
      </c>
      <c r="D2021" s="313" t="s">
        <v>8458</v>
      </c>
      <c r="E2021" s="603" t="s">
        <v>1496</v>
      </c>
      <c r="F2021" s="603"/>
      <c r="G2021" s="314" t="s">
        <v>422</v>
      </c>
      <c r="H2021" s="399">
        <v>1</v>
      </c>
      <c r="I2021" s="316"/>
      <c r="J2021" s="316">
        <v>4225.2</v>
      </c>
      <c r="K2021" s="316">
        <v>4225.2</v>
      </c>
      <c r="L2021" s="168"/>
    </row>
    <row r="2022" spans="1:12" ht="15" customHeight="1" x14ac:dyDescent="0.3">
      <c r="A2022" s="400" t="s">
        <v>1038</v>
      </c>
      <c r="B2022" s="401" t="s">
        <v>2377</v>
      </c>
      <c r="C2022" s="400" t="s">
        <v>575</v>
      </c>
      <c r="D2022" s="400" t="s">
        <v>2378</v>
      </c>
      <c r="E2022" s="605" t="s">
        <v>1039</v>
      </c>
      <c r="F2022" s="605"/>
      <c r="G2022" s="402" t="s">
        <v>422</v>
      </c>
      <c r="H2022" s="403">
        <v>1</v>
      </c>
      <c r="I2022" s="403">
        <v>0</v>
      </c>
      <c r="J2022" s="404">
        <v>7.7</v>
      </c>
      <c r="K2022" s="404">
        <v>7.7</v>
      </c>
      <c r="L2022" s="168"/>
    </row>
    <row r="2023" spans="1:12" ht="25.5" customHeight="1" x14ac:dyDescent="0.3">
      <c r="A2023" s="400" t="s">
        <v>1038</v>
      </c>
      <c r="B2023" s="401" t="s">
        <v>2379</v>
      </c>
      <c r="C2023" s="400" t="s">
        <v>575</v>
      </c>
      <c r="D2023" s="400" t="s">
        <v>2380</v>
      </c>
      <c r="E2023" s="605" t="s">
        <v>2381</v>
      </c>
      <c r="F2023" s="605"/>
      <c r="G2023" s="402" t="s">
        <v>422</v>
      </c>
      <c r="H2023" s="403">
        <v>1</v>
      </c>
      <c r="I2023" s="403">
        <v>0</v>
      </c>
      <c r="J2023" s="404">
        <v>980</v>
      </c>
      <c r="K2023" s="404">
        <v>980</v>
      </c>
      <c r="L2023" s="166"/>
    </row>
    <row r="2024" spans="1:12" ht="25.5" customHeight="1" x14ac:dyDescent="0.3">
      <c r="A2024" s="400" t="s">
        <v>1038</v>
      </c>
      <c r="B2024" s="401" t="s">
        <v>2382</v>
      </c>
      <c r="C2024" s="400" t="s">
        <v>575</v>
      </c>
      <c r="D2024" s="400" t="s">
        <v>2383</v>
      </c>
      <c r="E2024" s="605" t="s">
        <v>2381</v>
      </c>
      <c r="F2024" s="605"/>
      <c r="G2024" s="402" t="s">
        <v>422</v>
      </c>
      <c r="H2024" s="403">
        <v>1</v>
      </c>
      <c r="I2024" s="403">
        <v>0</v>
      </c>
      <c r="J2024" s="404">
        <v>2200</v>
      </c>
      <c r="K2024" s="404">
        <v>2200</v>
      </c>
      <c r="L2024" s="166"/>
    </row>
    <row r="2025" spans="1:12" ht="15" customHeight="1" x14ac:dyDescent="0.3">
      <c r="A2025" s="400" t="s">
        <v>1038</v>
      </c>
      <c r="B2025" s="401" t="s">
        <v>2384</v>
      </c>
      <c r="C2025" s="400" t="s">
        <v>575</v>
      </c>
      <c r="D2025" s="400" t="s">
        <v>2385</v>
      </c>
      <c r="E2025" s="605" t="s">
        <v>2386</v>
      </c>
      <c r="F2025" s="605"/>
      <c r="G2025" s="402" t="s">
        <v>422</v>
      </c>
      <c r="H2025" s="403">
        <v>1</v>
      </c>
      <c r="I2025" s="403">
        <v>0</v>
      </c>
      <c r="J2025" s="404">
        <v>1037.5</v>
      </c>
      <c r="K2025" s="404">
        <v>1037.5</v>
      </c>
      <c r="L2025" s="168"/>
    </row>
    <row r="2026" spans="1:12" ht="25.5" customHeight="1" x14ac:dyDescent="0.3">
      <c r="A2026" s="405"/>
      <c r="B2026" s="405"/>
      <c r="C2026" s="405"/>
      <c r="D2026" s="405"/>
      <c r="E2026" s="405" t="s">
        <v>1046</v>
      </c>
      <c r="F2026" s="406">
        <v>0</v>
      </c>
      <c r="G2026" s="405" t="s">
        <v>1047</v>
      </c>
      <c r="H2026" s="406">
        <v>0</v>
      </c>
      <c r="I2026" s="405" t="s">
        <v>1048</v>
      </c>
      <c r="J2026" s="406">
        <v>0</v>
      </c>
      <c r="K2026"/>
      <c r="L2026" s="168"/>
    </row>
    <row r="2027" spans="1:12" ht="25.5" customHeight="1" thickBot="1" x14ac:dyDescent="0.35">
      <c r="A2027" s="405"/>
      <c r="B2027" s="405"/>
      <c r="C2027" s="405"/>
      <c r="D2027" s="405"/>
      <c r="E2027" s="405" t="s">
        <v>1049</v>
      </c>
      <c r="F2027" s="406">
        <v>0</v>
      </c>
      <c r="G2027" s="405"/>
      <c r="H2027" s="606"/>
      <c r="I2027" s="606" t="s">
        <v>1050</v>
      </c>
      <c r="J2027" s="406">
        <v>4225.2</v>
      </c>
      <c r="K2027"/>
      <c r="L2027" s="168"/>
    </row>
    <row r="2028" spans="1:12" ht="15" customHeight="1" thickTop="1" x14ac:dyDescent="0.3">
      <c r="A2028" s="407"/>
      <c r="B2028" s="407"/>
      <c r="C2028" s="407"/>
      <c r="D2028" s="407"/>
      <c r="E2028" s="407"/>
      <c r="F2028" s="407"/>
      <c r="G2028" s="407"/>
      <c r="H2028" s="407"/>
      <c r="I2028" s="407"/>
      <c r="J2028" s="407"/>
      <c r="K2028" s="407"/>
      <c r="L2028" s="166"/>
    </row>
    <row r="2029" spans="1:12" ht="30" customHeight="1" x14ac:dyDescent="0.3">
      <c r="A2029" s="382" t="s">
        <v>1715</v>
      </c>
      <c r="B2029" s="312" t="s">
        <v>413</v>
      </c>
      <c r="C2029" s="382" t="s">
        <v>414</v>
      </c>
      <c r="D2029" s="382" t="s">
        <v>415</v>
      </c>
      <c r="E2029" s="586" t="s">
        <v>1029</v>
      </c>
      <c r="F2029" s="586"/>
      <c r="G2029" s="383" t="s">
        <v>416</v>
      </c>
      <c r="H2029" s="312" t="s">
        <v>1030</v>
      </c>
      <c r="I2029" s="312" t="s">
        <v>3016</v>
      </c>
      <c r="J2029" s="312" t="s">
        <v>1031</v>
      </c>
      <c r="K2029" s="312" t="s">
        <v>1032</v>
      </c>
      <c r="L2029" s="166"/>
    </row>
    <row r="2030" spans="1:12" ht="25.5" customHeight="1" x14ac:dyDescent="0.3">
      <c r="A2030" s="313" t="s">
        <v>1033</v>
      </c>
      <c r="B2030" s="315" t="s">
        <v>997</v>
      </c>
      <c r="C2030" s="313" t="s">
        <v>5902</v>
      </c>
      <c r="D2030" s="313" t="s">
        <v>707</v>
      </c>
      <c r="E2030" s="603">
        <v>24.02</v>
      </c>
      <c r="F2030" s="603"/>
      <c r="G2030" s="314" t="s">
        <v>675</v>
      </c>
      <c r="H2030" s="399">
        <v>1</v>
      </c>
      <c r="I2030" s="316"/>
      <c r="J2030" s="316">
        <v>957.66</v>
      </c>
      <c r="K2030" s="316">
        <v>957.66</v>
      </c>
      <c r="L2030" s="166"/>
    </row>
    <row r="2031" spans="1:12" ht="25.5" customHeight="1" x14ac:dyDescent="0.3">
      <c r="A2031" s="400" t="s">
        <v>1038</v>
      </c>
      <c r="B2031" s="401" t="s">
        <v>1471</v>
      </c>
      <c r="C2031" s="400" t="s">
        <v>5902</v>
      </c>
      <c r="D2031" s="400" t="s">
        <v>1472</v>
      </c>
      <c r="E2031" s="605" t="s">
        <v>1039</v>
      </c>
      <c r="F2031" s="605"/>
      <c r="G2031" s="402" t="s">
        <v>3</v>
      </c>
      <c r="H2031" s="403">
        <v>2.0299999999999998</v>
      </c>
      <c r="I2031" s="403">
        <v>0</v>
      </c>
      <c r="J2031" s="404">
        <v>0.67</v>
      </c>
      <c r="K2031" s="404">
        <v>1.3601000000000001</v>
      </c>
      <c r="L2031" s="166"/>
    </row>
    <row r="2032" spans="1:12" ht="17.399999999999999" customHeight="1" x14ac:dyDescent="0.3">
      <c r="A2032" s="400" t="s">
        <v>1038</v>
      </c>
      <c r="B2032" s="401" t="s">
        <v>1469</v>
      </c>
      <c r="C2032" s="400" t="s">
        <v>5902</v>
      </c>
      <c r="D2032" s="400" t="s">
        <v>1470</v>
      </c>
      <c r="E2032" s="605" t="s">
        <v>1053</v>
      </c>
      <c r="F2032" s="605"/>
      <c r="G2032" s="402" t="s">
        <v>6</v>
      </c>
      <c r="H2032" s="403">
        <v>1</v>
      </c>
      <c r="I2032" s="403">
        <v>0</v>
      </c>
      <c r="J2032" s="404">
        <v>27.64</v>
      </c>
      <c r="K2032" s="404">
        <v>27.64</v>
      </c>
      <c r="L2032" s="166"/>
    </row>
    <row r="2033" spans="1:12" ht="25.5" customHeight="1" x14ac:dyDescent="0.3">
      <c r="A2033" s="400" t="s">
        <v>1038</v>
      </c>
      <c r="B2033" s="401" t="s">
        <v>1467</v>
      </c>
      <c r="C2033" s="400" t="s">
        <v>5902</v>
      </c>
      <c r="D2033" s="400" t="s">
        <v>1468</v>
      </c>
      <c r="E2033" s="605" t="s">
        <v>1053</v>
      </c>
      <c r="F2033" s="605"/>
      <c r="G2033" s="402" t="s">
        <v>6</v>
      </c>
      <c r="H2033" s="403">
        <v>3</v>
      </c>
      <c r="I2033" s="403">
        <v>0</v>
      </c>
      <c r="J2033" s="404">
        <v>22.71</v>
      </c>
      <c r="K2033" s="404">
        <v>68.13</v>
      </c>
      <c r="L2033" s="166"/>
    </row>
    <row r="2034" spans="1:12" ht="25.5" customHeight="1" x14ac:dyDescent="0.3">
      <c r="A2034" s="400" t="s">
        <v>1038</v>
      </c>
      <c r="B2034" s="401" t="s">
        <v>1473</v>
      </c>
      <c r="C2034" s="400" t="s">
        <v>5902</v>
      </c>
      <c r="D2034" s="400" t="s">
        <v>1474</v>
      </c>
      <c r="E2034" s="605" t="s">
        <v>1039</v>
      </c>
      <c r="F2034" s="605"/>
      <c r="G2034" s="402" t="s">
        <v>713</v>
      </c>
      <c r="H2034" s="403">
        <v>0.01</v>
      </c>
      <c r="I2034" s="403">
        <v>0</v>
      </c>
      <c r="J2034" s="404">
        <v>170.72</v>
      </c>
      <c r="K2034" s="404">
        <v>1.7072000000000001</v>
      </c>
      <c r="L2034" s="166"/>
    </row>
    <row r="2035" spans="1:12" ht="15" customHeight="1" x14ac:dyDescent="0.3">
      <c r="A2035" s="400" t="s">
        <v>1038</v>
      </c>
      <c r="B2035" s="401" t="s">
        <v>1475</v>
      </c>
      <c r="C2035" s="400" t="s">
        <v>5902</v>
      </c>
      <c r="D2035" s="400" t="s">
        <v>1476</v>
      </c>
      <c r="E2035" s="605" t="s">
        <v>1039</v>
      </c>
      <c r="F2035" s="605"/>
      <c r="G2035" s="402" t="s">
        <v>675</v>
      </c>
      <c r="H2035" s="403">
        <v>1</v>
      </c>
      <c r="I2035" s="403">
        <v>0</v>
      </c>
      <c r="J2035" s="404">
        <v>858.82</v>
      </c>
      <c r="K2035" s="404">
        <v>858.82</v>
      </c>
      <c r="L2035" s="166"/>
    </row>
    <row r="2036" spans="1:12" ht="15" x14ac:dyDescent="0.3">
      <c r="A2036" s="405"/>
      <c r="B2036" s="405"/>
      <c r="C2036" s="405"/>
      <c r="D2036" s="405"/>
      <c r="E2036" s="405" t="s">
        <v>1046</v>
      </c>
      <c r="F2036" s="406">
        <v>95.77</v>
      </c>
      <c r="G2036" s="405" t="s">
        <v>1047</v>
      </c>
      <c r="H2036" s="406">
        <v>0</v>
      </c>
      <c r="I2036" s="405" t="s">
        <v>1048</v>
      </c>
      <c r="J2036" s="406">
        <v>95.77</v>
      </c>
      <c r="K2036"/>
      <c r="L2036" s="166"/>
    </row>
    <row r="2037" spans="1:12" ht="38.25" customHeight="1" thickBot="1" x14ac:dyDescent="0.35">
      <c r="A2037" s="405"/>
      <c r="B2037" s="405"/>
      <c r="C2037" s="405"/>
      <c r="D2037" s="405"/>
      <c r="E2037" s="405" t="s">
        <v>1049</v>
      </c>
      <c r="F2037" s="406">
        <v>0</v>
      </c>
      <c r="G2037" s="405"/>
      <c r="H2037" s="606"/>
      <c r="I2037" s="606" t="s">
        <v>1050</v>
      </c>
      <c r="J2037" s="406">
        <v>957.66</v>
      </c>
      <c r="K2037"/>
      <c r="L2037" s="166"/>
    </row>
    <row r="2038" spans="1:12" ht="15.6" thickTop="1" x14ac:dyDescent="0.3">
      <c r="A2038" s="407"/>
      <c r="B2038" s="407"/>
      <c r="C2038" s="407"/>
      <c r="D2038" s="407"/>
      <c r="E2038" s="407"/>
      <c r="F2038" s="407"/>
      <c r="G2038" s="407"/>
      <c r="H2038" s="407"/>
      <c r="I2038" s="407"/>
      <c r="J2038" s="407"/>
      <c r="K2038" s="407"/>
      <c r="L2038" s="168" t="s">
        <v>388</v>
      </c>
    </row>
    <row r="2039" spans="1:12" ht="15" x14ac:dyDescent="0.3">
      <c r="A2039" s="382" t="s">
        <v>1716</v>
      </c>
      <c r="B2039" s="312" t="s">
        <v>413</v>
      </c>
      <c r="C2039" s="382" t="s">
        <v>414</v>
      </c>
      <c r="D2039" s="382" t="s">
        <v>415</v>
      </c>
      <c r="E2039" s="586" t="s">
        <v>1029</v>
      </c>
      <c r="F2039" s="586"/>
      <c r="G2039" s="383" t="s">
        <v>416</v>
      </c>
      <c r="H2039" s="312" t="s">
        <v>1030</v>
      </c>
      <c r="I2039" s="312" t="s">
        <v>3016</v>
      </c>
      <c r="J2039" s="312" t="s">
        <v>1031</v>
      </c>
      <c r="K2039" s="312" t="s">
        <v>1032</v>
      </c>
      <c r="L2039" s="170"/>
    </row>
    <row r="2040" spans="1:12" ht="25.5" customHeight="1" x14ac:dyDescent="0.3">
      <c r="A2040" s="313" t="s">
        <v>1033</v>
      </c>
      <c r="B2040" s="315" t="s">
        <v>817</v>
      </c>
      <c r="C2040" s="313" t="s">
        <v>5902</v>
      </c>
      <c r="D2040" s="313" t="s">
        <v>811</v>
      </c>
      <c r="E2040" s="603">
        <v>24.08</v>
      </c>
      <c r="F2040" s="603"/>
      <c r="G2040" s="314" t="s">
        <v>7</v>
      </c>
      <c r="H2040" s="399">
        <v>1</v>
      </c>
      <c r="I2040" s="316"/>
      <c r="J2040" s="316">
        <v>736.31</v>
      </c>
      <c r="K2040" s="316">
        <v>736.31</v>
      </c>
      <c r="L2040" s="168">
        <v>1.5</v>
      </c>
    </row>
    <row r="2041" spans="1:12" ht="25.5" customHeight="1" x14ac:dyDescent="0.3">
      <c r="A2041" s="400" t="s">
        <v>1038</v>
      </c>
      <c r="B2041" s="401" t="s">
        <v>1469</v>
      </c>
      <c r="C2041" s="400" t="s">
        <v>5902</v>
      </c>
      <c r="D2041" s="400" t="s">
        <v>1470</v>
      </c>
      <c r="E2041" s="605" t="s">
        <v>1053</v>
      </c>
      <c r="F2041" s="605"/>
      <c r="G2041" s="402" t="s">
        <v>6</v>
      </c>
      <c r="H2041" s="403">
        <v>1.2</v>
      </c>
      <c r="I2041" s="403">
        <v>0</v>
      </c>
      <c r="J2041" s="404">
        <v>27.64</v>
      </c>
      <c r="K2041" s="404">
        <v>33.167999999999999</v>
      </c>
      <c r="L2041" s="168">
        <v>1.5</v>
      </c>
    </row>
    <row r="2042" spans="1:12" ht="26.4" x14ac:dyDescent="0.3">
      <c r="A2042" s="400" t="s">
        <v>1038</v>
      </c>
      <c r="B2042" s="401" t="s">
        <v>1467</v>
      </c>
      <c r="C2042" s="400" t="s">
        <v>5902</v>
      </c>
      <c r="D2042" s="400" t="s">
        <v>1468</v>
      </c>
      <c r="E2042" s="605" t="s">
        <v>1053</v>
      </c>
      <c r="F2042" s="605"/>
      <c r="G2042" s="402" t="s">
        <v>6</v>
      </c>
      <c r="H2042" s="403">
        <v>1.2</v>
      </c>
      <c r="I2042" s="403">
        <v>0</v>
      </c>
      <c r="J2042" s="404">
        <v>22.71</v>
      </c>
      <c r="K2042" s="404">
        <v>27.251999999999999</v>
      </c>
      <c r="L2042" s="168"/>
    </row>
    <row r="2043" spans="1:12" ht="15" customHeight="1" x14ac:dyDescent="0.3">
      <c r="A2043" s="400" t="s">
        <v>1038</v>
      </c>
      <c r="B2043" s="401" t="s">
        <v>1601</v>
      </c>
      <c r="C2043" s="400" t="s">
        <v>5902</v>
      </c>
      <c r="D2043" s="400" t="s">
        <v>1602</v>
      </c>
      <c r="E2043" s="605" t="s">
        <v>1039</v>
      </c>
      <c r="F2043" s="605"/>
      <c r="G2043" s="402" t="s">
        <v>7</v>
      </c>
      <c r="H2043" s="403">
        <v>1</v>
      </c>
      <c r="I2043" s="403">
        <v>0</v>
      </c>
      <c r="J2043" s="404">
        <v>675.89</v>
      </c>
      <c r="K2043" s="404">
        <v>675.89</v>
      </c>
      <c r="L2043" s="166"/>
    </row>
    <row r="2044" spans="1:12" ht="25.5" customHeight="1" x14ac:dyDescent="0.3">
      <c r="A2044" s="405"/>
      <c r="B2044" s="405"/>
      <c r="C2044" s="405"/>
      <c r="D2044" s="405"/>
      <c r="E2044" s="405" t="s">
        <v>1046</v>
      </c>
      <c r="F2044" s="406">
        <v>60.42</v>
      </c>
      <c r="G2044" s="405" t="s">
        <v>1047</v>
      </c>
      <c r="H2044" s="406">
        <v>0</v>
      </c>
      <c r="I2044" s="405" t="s">
        <v>1048</v>
      </c>
      <c r="J2044" s="406">
        <v>60.42</v>
      </c>
      <c r="K2044"/>
      <c r="L2044" s="166"/>
    </row>
    <row r="2045" spans="1:12" ht="15" customHeight="1" thickBot="1" x14ac:dyDescent="0.35">
      <c r="A2045" s="405"/>
      <c r="B2045" s="405"/>
      <c r="C2045" s="405"/>
      <c r="D2045" s="405"/>
      <c r="E2045" s="405" t="s">
        <v>1049</v>
      </c>
      <c r="F2045" s="406">
        <v>0</v>
      </c>
      <c r="G2045" s="405"/>
      <c r="H2045" s="606"/>
      <c r="I2045" s="606" t="s">
        <v>1050</v>
      </c>
      <c r="J2045" s="406">
        <v>736.31</v>
      </c>
      <c r="K2045"/>
      <c r="L2045" s="168">
        <f>0.3+0.6+0.2</f>
        <v>1.0999999999999999</v>
      </c>
    </row>
    <row r="2046" spans="1:12" ht="25.5" customHeight="1" thickTop="1" x14ac:dyDescent="0.3">
      <c r="A2046" s="407"/>
      <c r="B2046" s="407"/>
      <c r="C2046" s="407"/>
      <c r="D2046" s="407"/>
      <c r="E2046" s="407"/>
      <c r="F2046" s="407"/>
      <c r="G2046" s="407"/>
      <c r="H2046" s="407"/>
      <c r="I2046" s="407"/>
      <c r="J2046" s="407"/>
      <c r="K2046" s="407"/>
      <c r="L2046" s="168">
        <v>1.5</v>
      </c>
    </row>
    <row r="2047" spans="1:12" ht="15" x14ac:dyDescent="0.3">
      <c r="A2047" s="382" t="s">
        <v>1718</v>
      </c>
      <c r="B2047" s="312" t="s">
        <v>413</v>
      </c>
      <c r="C2047" s="382" t="s">
        <v>414</v>
      </c>
      <c r="D2047" s="382" t="s">
        <v>415</v>
      </c>
      <c r="E2047" s="586" t="s">
        <v>1029</v>
      </c>
      <c r="F2047" s="586"/>
      <c r="G2047" s="383" t="s">
        <v>416</v>
      </c>
      <c r="H2047" s="312" t="s">
        <v>1030</v>
      </c>
      <c r="I2047" s="312" t="s">
        <v>3016</v>
      </c>
      <c r="J2047" s="312" t="s">
        <v>1031</v>
      </c>
      <c r="K2047" s="312" t="s">
        <v>1032</v>
      </c>
      <c r="L2047" s="168">
        <v>1.5</v>
      </c>
    </row>
    <row r="2048" spans="1:12" ht="25.5" customHeight="1" x14ac:dyDescent="0.3">
      <c r="A2048" s="313" t="s">
        <v>1033</v>
      </c>
      <c r="B2048" s="315" t="s">
        <v>2980</v>
      </c>
      <c r="C2048" s="313" t="s">
        <v>575</v>
      </c>
      <c r="D2048" s="313" t="s">
        <v>2777</v>
      </c>
      <c r="E2048" s="603" t="s">
        <v>1227</v>
      </c>
      <c r="F2048" s="603"/>
      <c r="G2048" s="314" t="s">
        <v>4</v>
      </c>
      <c r="H2048" s="399">
        <v>1</v>
      </c>
      <c r="I2048" s="316"/>
      <c r="J2048" s="316">
        <v>28.23</v>
      </c>
      <c r="K2048" s="316">
        <v>28.23</v>
      </c>
      <c r="L2048" s="168"/>
    </row>
    <row r="2049" spans="1:12" ht="25.5" customHeight="1" x14ac:dyDescent="0.3">
      <c r="A2049" s="408" t="s">
        <v>1034</v>
      </c>
      <c r="B2049" s="409" t="s">
        <v>1035</v>
      </c>
      <c r="C2049" s="408" t="s">
        <v>395</v>
      </c>
      <c r="D2049" s="408" t="s">
        <v>128</v>
      </c>
      <c r="E2049" s="604" t="s">
        <v>7768</v>
      </c>
      <c r="F2049" s="604"/>
      <c r="G2049" s="410" t="s">
        <v>6</v>
      </c>
      <c r="H2049" s="412">
        <v>0.37</v>
      </c>
      <c r="I2049" s="412">
        <v>0</v>
      </c>
      <c r="J2049" s="411">
        <v>34.5</v>
      </c>
      <c r="K2049" s="411">
        <v>12.765000000000001</v>
      </c>
      <c r="L2049" s="168"/>
    </row>
    <row r="2050" spans="1:12" ht="17.399999999999999" customHeight="1" x14ac:dyDescent="0.3">
      <c r="A2050" s="408" t="s">
        <v>1034</v>
      </c>
      <c r="B2050" s="409" t="s">
        <v>1037</v>
      </c>
      <c r="C2050" s="408" t="s">
        <v>395</v>
      </c>
      <c r="D2050" s="408" t="s">
        <v>135</v>
      </c>
      <c r="E2050" s="604" t="s">
        <v>7768</v>
      </c>
      <c r="F2050" s="604"/>
      <c r="G2050" s="410" t="s">
        <v>6</v>
      </c>
      <c r="H2050" s="412">
        <v>0.37</v>
      </c>
      <c r="I2050" s="412">
        <v>0</v>
      </c>
      <c r="J2050" s="411">
        <v>41.81</v>
      </c>
      <c r="K2050" s="411">
        <v>15.4697</v>
      </c>
      <c r="L2050" s="168"/>
    </row>
    <row r="2051" spans="1:12" ht="14.25" customHeight="1" x14ac:dyDescent="0.3">
      <c r="A2051" s="405"/>
      <c r="B2051" s="405"/>
      <c r="C2051" s="405"/>
      <c r="D2051" s="405"/>
      <c r="E2051" s="405" t="s">
        <v>1046</v>
      </c>
      <c r="F2051" s="406">
        <v>20.6</v>
      </c>
      <c r="G2051" s="405" t="s">
        <v>1047</v>
      </c>
      <c r="H2051" s="406">
        <v>0</v>
      </c>
      <c r="I2051" s="405" t="s">
        <v>1048</v>
      </c>
      <c r="J2051" s="406">
        <v>20.6</v>
      </c>
      <c r="K2051"/>
      <c r="L2051" s="168"/>
    </row>
    <row r="2052" spans="1:12" ht="15.6" thickBot="1" x14ac:dyDescent="0.35">
      <c r="A2052" s="405"/>
      <c r="B2052" s="405"/>
      <c r="C2052" s="405"/>
      <c r="D2052" s="405"/>
      <c r="E2052" s="405" t="s">
        <v>1049</v>
      </c>
      <c r="F2052" s="406">
        <v>0</v>
      </c>
      <c r="G2052" s="405"/>
      <c r="H2052" s="606"/>
      <c r="I2052" s="606" t="s">
        <v>1050</v>
      </c>
      <c r="J2052" s="406">
        <v>28.23</v>
      </c>
      <c r="K2052"/>
      <c r="L2052" s="166"/>
    </row>
    <row r="2053" spans="1:12" ht="30" customHeight="1" thickTop="1" x14ac:dyDescent="0.3">
      <c r="A2053" s="407"/>
      <c r="B2053" s="407"/>
      <c r="C2053" s="407"/>
      <c r="D2053" s="407"/>
      <c r="E2053" s="407"/>
      <c r="F2053" s="407"/>
      <c r="G2053" s="407"/>
      <c r="H2053" s="407"/>
      <c r="I2053" s="407"/>
      <c r="J2053" s="407"/>
      <c r="K2053" s="407"/>
      <c r="L2053" s="168"/>
    </row>
    <row r="2054" spans="1:12" ht="15" x14ac:dyDescent="0.3">
      <c r="A2054" s="382" t="s">
        <v>1720</v>
      </c>
      <c r="B2054" s="312" t="s">
        <v>413</v>
      </c>
      <c r="C2054" s="382" t="s">
        <v>414</v>
      </c>
      <c r="D2054" s="382" t="s">
        <v>415</v>
      </c>
      <c r="E2054" s="586" t="s">
        <v>1029</v>
      </c>
      <c r="F2054" s="586"/>
      <c r="G2054" s="383" t="s">
        <v>416</v>
      </c>
      <c r="H2054" s="312" t="s">
        <v>1030</v>
      </c>
      <c r="I2054" s="312" t="s">
        <v>3016</v>
      </c>
      <c r="J2054" s="312" t="s">
        <v>1031</v>
      </c>
      <c r="K2054" s="312" t="s">
        <v>1032</v>
      </c>
      <c r="L2054" s="168"/>
    </row>
    <row r="2055" spans="1:12" ht="25.5" customHeight="1" x14ac:dyDescent="0.3">
      <c r="A2055" s="313" t="s">
        <v>1033</v>
      </c>
      <c r="B2055" s="315" t="s">
        <v>3831</v>
      </c>
      <c r="C2055" s="313" t="s">
        <v>395</v>
      </c>
      <c r="D2055" s="313" t="s">
        <v>5944</v>
      </c>
      <c r="E2055" s="603" t="s">
        <v>7783</v>
      </c>
      <c r="F2055" s="603"/>
      <c r="G2055" s="314" t="s">
        <v>4</v>
      </c>
      <c r="H2055" s="399">
        <v>1</v>
      </c>
      <c r="I2055" s="316"/>
      <c r="J2055" s="316">
        <v>16.41</v>
      </c>
      <c r="K2055" s="316">
        <v>16.41</v>
      </c>
      <c r="L2055" s="168"/>
    </row>
    <row r="2056" spans="1:12" ht="15" customHeight="1" x14ac:dyDescent="0.3">
      <c r="A2056" s="408" t="s">
        <v>1034</v>
      </c>
      <c r="B2056" s="409" t="s">
        <v>1035</v>
      </c>
      <c r="C2056" s="408" t="s">
        <v>395</v>
      </c>
      <c r="D2056" s="408" t="s">
        <v>128</v>
      </c>
      <c r="E2056" s="604" t="s">
        <v>7768</v>
      </c>
      <c r="F2056" s="604"/>
      <c r="G2056" s="410" t="s">
        <v>6</v>
      </c>
      <c r="H2056" s="412">
        <v>0.16400000000000001</v>
      </c>
      <c r="I2056" s="412">
        <v>0</v>
      </c>
      <c r="J2056" s="411">
        <v>34.5</v>
      </c>
      <c r="K2056" s="411">
        <v>5.6580000000000004</v>
      </c>
      <c r="L2056" s="166"/>
    </row>
    <row r="2057" spans="1:12" ht="25.5" customHeight="1" x14ac:dyDescent="0.3">
      <c r="A2057" s="408" t="s">
        <v>1034</v>
      </c>
      <c r="B2057" s="409" t="s">
        <v>1037</v>
      </c>
      <c r="C2057" s="408" t="s">
        <v>395</v>
      </c>
      <c r="D2057" s="408" t="s">
        <v>135</v>
      </c>
      <c r="E2057" s="604" t="s">
        <v>7768</v>
      </c>
      <c r="F2057" s="604"/>
      <c r="G2057" s="410" t="s">
        <v>6</v>
      </c>
      <c r="H2057" s="412">
        <v>0.16400000000000001</v>
      </c>
      <c r="I2057" s="412">
        <v>0</v>
      </c>
      <c r="J2057" s="411">
        <v>41.81</v>
      </c>
      <c r="K2057" s="411">
        <v>6.85684</v>
      </c>
      <c r="L2057" s="166"/>
    </row>
    <row r="2058" spans="1:12" ht="26.4" x14ac:dyDescent="0.3">
      <c r="A2058" s="408" t="s">
        <v>1034</v>
      </c>
      <c r="B2058" s="409" t="s">
        <v>1230</v>
      </c>
      <c r="C2058" s="408" t="s">
        <v>395</v>
      </c>
      <c r="D2058" s="408" t="s">
        <v>220</v>
      </c>
      <c r="E2058" s="604" t="s">
        <v>7840</v>
      </c>
      <c r="F2058" s="604"/>
      <c r="G2058" s="410" t="s">
        <v>713</v>
      </c>
      <c r="H2058" s="412">
        <v>8.9999999999999998E-4</v>
      </c>
      <c r="I2058" s="412">
        <v>0</v>
      </c>
      <c r="J2058" s="411">
        <v>741.35</v>
      </c>
      <c r="K2058" s="411">
        <v>0.667215</v>
      </c>
      <c r="L2058" s="168"/>
    </row>
    <row r="2059" spans="1:12" ht="26.4" x14ac:dyDescent="0.3">
      <c r="A2059" s="400" t="s">
        <v>1038</v>
      </c>
      <c r="B2059" s="401" t="s">
        <v>4752</v>
      </c>
      <c r="C2059" s="400" t="s">
        <v>395</v>
      </c>
      <c r="D2059" s="400" t="s">
        <v>4753</v>
      </c>
      <c r="E2059" s="605" t="s">
        <v>1039</v>
      </c>
      <c r="F2059" s="605"/>
      <c r="G2059" s="402" t="s">
        <v>4</v>
      </c>
      <c r="H2059" s="403">
        <v>1</v>
      </c>
      <c r="I2059" s="403">
        <v>0</v>
      </c>
      <c r="J2059" s="404">
        <v>3.23</v>
      </c>
      <c r="K2059" s="404">
        <v>3.23</v>
      </c>
      <c r="L2059" s="168"/>
    </row>
    <row r="2060" spans="1:12" ht="17.399999999999999" customHeight="1" x14ac:dyDescent="0.3">
      <c r="A2060" s="405"/>
      <c r="B2060" s="405"/>
      <c r="C2060" s="405"/>
      <c r="D2060" s="405"/>
      <c r="E2060" s="405" t="s">
        <v>1046</v>
      </c>
      <c r="F2060" s="406">
        <v>9.3000000000000007</v>
      </c>
      <c r="G2060" s="405" t="s">
        <v>1047</v>
      </c>
      <c r="H2060" s="406">
        <v>0</v>
      </c>
      <c r="I2060" s="405" t="s">
        <v>1048</v>
      </c>
      <c r="J2060" s="406">
        <v>9.3000000000000007</v>
      </c>
      <c r="K2060"/>
      <c r="L2060" s="168"/>
    </row>
    <row r="2061" spans="1:12" ht="25.5" customHeight="1" thickBot="1" x14ac:dyDescent="0.35">
      <c r="A2061" s="405"/>
      <c r="B2061" s="405"/>
      <c r="C2061" s="405"/>
      <c r="D2061" s="405"/>
      <c r="E2061" s="405" t="s">
        <v>1049</v>
      </c>
      <c r="F2061" s="406">
        <v>0</v>
      </c>
      <c r="G2061" s="405"/>
      <c r="H2061" s="606"/>
      <c r="I2061" s="606" t="s">
        <v>1050</v>
      </c>
      <c r="J2061" s="406">
        <v>16.41</v>
      </c>
      <c r="K2061"/>
      <c r="L2061" s="166"/>
    </row>
    <row r="2062" spans="1:12" ht="25.5" customHeight="1" thickTop="1" x14ac:dyDescent="0.3">
      <c r="A2062" s="407"/>
      <c r="B2062" s="407"/>
      <c r="C2062" s="407"/>
      <c r="D2062" s="407"/>
      <c r="E2062" s="407"/>
      <c r="F2062" s="407"/>
      <c r="G2062" s="407"/>
      <c r="H2062" s="407"/>
      <c r="I2062" s="407"/>
      <c r="J2062" s="407"/>
      <c r="K2062" s="407"/>
      <c r="L2062" s="166"/>
    </row>
    <row r="2063" spans="1:12" ht="25.5" customHeight="1" x14ac:dyDescent="0.3">
      <c r="A2063" s="382" t="s">
        <v>1722</v>
      </c>
      <c r="B2063" s="312" t="s">
        <v>413</v>
      </c>
      <c r="C2063" s="382" t="s">
        <v>414</v>
      </c>
      <c r="D2063" s="382" t="s">
        <v>415</v>
      </c>
      <c r="E2063" s="586" t="s">
        <v>1029</v>
      </c>
      <c r="F2063" s="586"/>
      <c r="G2063" s="383" t="s">
        <v>416</v>
      </c>
      <c r="H2063" s="312" t="s">
        <v>1030</v>
      </c>
      <c r="I2063" s="312" t="s">
        <v>3016</v>
      </c>
      <c r="J2063" s="312" t="s">
        <v>1031</v>
      </c>
      <c r="K2063" s="312" t="s">
        <v>1032</v>
      </c>
      <c r="L2063" s="166"/>
    </row>
    <row r="2064" spans="1:12" ht="26.4" x14ac:dyDescent="0.3">
      <c r="A2064" s="313" t="s">
        <v>1033</v>
      </c>
      <c r="B2064" s="315" t="s">
        <v>3832</v>
      </c>
      <c r="C2064" s="313" t="s">
        <v>395</v>
      </c>
      <c r="D2064" s="313" t="s">
        <v>5945</v>
      </c>
      <c r="E2064" s="603" t="s">
        <v>7783</v>
      </c>
      <c r="F2064" s="603"/>
      <c r="G2064" s="314" t="s">
        <v>4</v>
      </c>
      <c r="H2064" s="399">
        <v>1</v>
      </c>
      <c r="I2064" s="316"/>
      <c r="J2064" s="316">
        <v>20.2</v>
      </c>
      <c r="K2064" s="316">
        <v>20.2</v>
      </c>
      <c r="L2064" s="166"/>
    </row>
    <row r="2065" spans="1:12" ht="15" customHeight="1" x14ac:dyDescent="0.3">
      <c r="A2065" s="408" t="s">
        <v>1034</v>
      </c>
      <c r="B2065" s="409" t="s">
        <v>1035</v>
      </c>
      <c r="C2065" s="408" t="s">
        <v>395</v>
      </c>
      <c r="D2065" s="408" t="s">
        <v>128</v>
      </c>
      <c r="E2065" s="604" t="s">
        <v>7768</v>
      </c>
      <c r="F2065" s="604"/>
      <c r="G2065" s="410" t="s">
        <v>6</v>
      </c>
      <c r="H2065" s="412">
        <v>0.16900000000000001</v>
      </c>
      <c r="I2065" s="412">
        <v>0</v>
      </c>
      <c r="J2065" s="411">
        <v>34.5</v>
      </c>
      <c r="K2065" s="411">
        <v>5.8304999999999998</v>
      </c>
      <c r="L2065" s="166"/>
    </row>
    <row r="2066" spans="1:12" ht="26.4" x14ac:dyDescent="0.3">
      <c r="A2066" s="408" t="s">
        <v>1034</v>
      </c>
      <c r="B2066" s="409" t="s">
        <v>1037</v>
      </c>
      <c r="C2066" s="408" t="s">
        <v>395</v>
      </c>
      <c r="D2066" s="408" t="s">
        <v>135</v>
      </c>
      <c r="E2066" s="604" t="s">
        <v>7768</v>
      </c>
      <c r="F2066" s="604"/>
      <c r="G2066" s="410" t="s">
        <v>6</v>
      </c>
      <c r="H2066" s="412">
        <v>0.16900000000000001</v>
      </c>
      <c r="I2066" s="412">
        <v>0</v>
      </c>
      <c r="J2066" s="411">
        <v>41.81</v>
      </c>
      <c r="K2066" s="411">
        <v>7.0658899999999996</v>
      </c>
      <c r="L2066" s="166"/>
    </row>
    <row r="2067" spans="1:12" ht="26.4" x14ac:dyDescent="0.3">
      <c r="A2067" s="408" t="s">
        <v>1034</v>
      </c>
      <c r="B2067" s="409" t="s">
        <v>1230</v>
      </c>
      <c r="C2067" s="408" t="s">
        <v>395</v>
      </c>
      <c r="D2067" s="408" t="s">
        <v>220</v>
      </c>
      <c r="E2067" s="604" t="s">
        <v>7840</v>
      </c>
      <c r="F2067" s="604"/>
      <c r="G2067" s="410" t="s">
        <v>713</v>
      </c>
      <c r="H2067" s="412">
        <v>1.1999999999999999E-3</v>
      </c>
      <c r="I2067" s="412">
        <v>0</v>
      </c>
      <c r="J2067" s="411">
        <v>741.35</v>
      </c>
      <c r="K2067" s="411">
        <v>0.88961999999999997</v>
      </c>
      <c r="L2067" s="166"/>
    </row>
    <row r="2068" spans="1:12" ht="26.4" x14ac:dyDescent="0.3">
      <c r="A2068" s="400" t="s">
        <v>1038</v>
      </c>
      <c r="B2068" s="401" t="s">
        <v>4486</v>
      </c>
      <c r="C2068" s="400" t="s">
        <v>395</v>
      </c>
      <c r="D2068" s="400" t="s">
        <v>4487</v>
      </c>
      <c r="E2068" s="605" t="s">
        <v>1039</v>
      </c>
      <c r="F2068" s="605"/>
      <c r="G2068" s="402" t="s">
        <v>4</v>
      </c>
      <c r="H2068" s="403">
        <v>1</v>
      </c>
      <c r="I2068" s="403">
        <v>0</v>
      </c>
      <c r="J2068" s="404">
        <v>6.41</v>
      </c>
      <c r="K2068" s="404">
        <v>6.41</v>
      </c>
      <c r="L2068" s="166"/>
    </row>
    <row r="2069" spans="1:12" ht="14.25" customHeight="1" x14ac:dyDescent="0.3">
      <c r="A2069" s="405"/>
      <c r="B2069" s="405"/>
      <c r="C2069" s="405"/>
      <c r="D2069" s="405"/>
      <c r="E2069" s="405" t="s">
        <v>1046</v>
      </c>
      <c r="F2069" s="406">
        <v>9.64</v>
      </c>
      <c r="G2069" s="405" t="s">
        <v>1047</v>
      </c>
      <c r="H2069" s="406">
        <v>0</v>
      </c>
      <c r="I2069" s="405" t="s">
        <v>1048</v>
      </c>
      <c r="J2069" s="406">
        <v>9.64</v>
      </c>
      <c r="K2069"/>
      <c r="L2069" s="166"/>
    </row>
    <row r="2070" spans="1:12" ht="17.399999999999999" customHeight="1" thickBot="1" x14ac:dyDescent="0.35">
      <c r="A2070" s="405"/>
      <c r="B2070" s="405"/>
      <c r="C2070" s="405"/>
      <c r="D2070" s="405"/>
      <c r="E2070" s="405" t="s">
        <v>1049</v>
      </c>
      <c r="F2070" s="406">
        <v>0</v>
      </c>
      <c r="G2070" s="405"/>
      <c r="H2070" s="606"/>
      <c r="I2070" s="606" t="s">
        <v>1050</v>
      </c>
      <c r="J2070" s="406">
        <v>20.2</v>
      </c>
      <c r="K2070"/>
      <c r="L2070" s="166"/>
    </row>
    <row r="2071" spans="1:12" ht="15" customHeight="1" thickTop="1" x14ac:dyDescent="0.3">
      <c r="A2071" s="407"/>
      <c r="B2071" s="407"/>
      <c r="C2071" s="407"/>
      <c r="D2071" s="407"/>
      <c r="E2071" s="407"/>
      <c r="F2071" s="407"/>
      <c r="G2071" s="407"/>
      <c r="H2071" s="407"/>
      <c r="I2071" s="407"/>
      <c r="J2071" s="407"/>
      <c r="K2071" s="407"/>
      <c r="L2071" s="168" t="s">
        <v>388</v>
      </c>
    </row>
    <row r="2072" spans="1:12" ht="15" x14ac:dyDescent="0.3">
      <c r="A2072" s="382" t="s">
        <v>1724</v>
      </c>
      <c r="B2072" s="312" t="s">
        <v>413</v>
      </c>
      <c r="C2072" s="382" t="s">
        <v>414</v>
      </c>
      <c r="D2072" s="382" t="s">
        <v>415</v>
      </c>
      <c r="E2072" s="586" t="s">
        <v>1029</v>
      </c>
      <c r="F2072" s="586"/>
      <c r="G2072" s="383" t="s">
        <v>416</v>
      </c>
      <c r="H2072" s="312" t="s">
        <v>1030</v>
      </c>
      <c r="I2072" s="312" t="s">
        <v>3016</v>
      </c>
      <c r="J2072" s="312" t="s">
        <v>1031</v>
      </c>
      <c r="K2072" s="312" t="s">
        <v>1032</v>
      </c>
      <c r="L2072" s="170"/>
    </row>
    <row r="2073" spans="1:12" ht="12.75" customHeight="1" x14ac:dyDescent="0.3">
      <c r="A2073" s="313" t="s">
        <v>1033</v>
      </c>
      <c r="B2073" s="315" t="s">
        <v>918</v>
      </c>
      <c r="C2073" s="313" t="s">
        <v>490</v>
      </c>
      <c r="D2073" s="313" t="s">
        <v>491</v>
      </c>
      <c r="E2073" s="603" t="s">
        <v>7869</v>
      </c>
      <c r="F2073" s="603"/>
      <c r="G2073" s="314" t="s">
        <v>4</v>
      </c>
      <c r="H2073" s="399">
        <v>1</v>
      </c>
      <c r="I2073" s="316"/>
      <c r="J2073" s="316">
        <v>69.62</v>
      </c>
      <c r="K2073" s="316">
        <v>69.62</v>
      </c>
      <c r="L2073" s="168">
        <v>1.5</v>
      </c>
    </row>
    <row r="2074" spans="1:12" ht="15" customHeight="1" x14ac:dyDescent="0.3">
      <c r="A2074" s="400" t="s">
        <v>1038</v>
      </c>
      <c r="B2074" s="401" t="s">
        <v>1193</v>
      </c>
      <c r="C2074" s="400" t="s">
        <v>490</v>
      </c>
      <c r="D2074" s="400" t="s">
        <v>1093</v>
      </c>
      <c r="E2074" s="605" t="s">
        <v>1053</v>
      </c>
      <c r="F2074" s="605"/>
      <c r="G2074" s="402" t="s">
        <v>6</v>
      </c>
      <c r="H2074" s="403">
        <v>0.9</v>
      </c>
      <c r="I2074" s="403">
        <v>0</v>
      </c>
      <c r="J2074" s="404">
        <v>29.0154</v>
      </c>
      <c r="K2074" s="404">
        <v>26.113859999999999</v>
      </c>
      <c r="L2074" s="168">
        <v>1.5</v>
      </c>
    </row>
    <row r="2075" spans="1:12" ht="25.5" customHeight="1" x14ac:dyDescent="0.3">
      <c r="A2075" s="400" t="s">
        <v>1038</v>
      </c>
      <c r="B2075" s="401" t="s">
        <v>1191</v>
      </c>
      <c r="C2075" s="400" t="s">
        <v>490</v>
      </c>
      <c r="D2075" s="400" t="s">
        <v>1192</v>
      </c>
      <c r="E2075" s="605" t="s">
        <v>1053</v>
      </c>
      <c r="F2075" s="605"/>
      <c r="G2075" s="402" t="s">
        <v>6</v>
      </c>
      <c r="H2075" s="403">
        <v>0.9</v>
      </c>
      <c r="I2075" s="403">
        <v>0</v>
      </c>
      <c r="J2075" s="404">
        <v>25.596599999999999</v>
      </c>
      <c r="K2075" s="404">
        <v>23.036940000000001</v>
      </c>
      <c r="L2075" s="168"/>
    </row>
    <row r="2076" spans="1:12" ht="25.5" customHeight="1" x14ac:dyDescent="0.3">
      <c r="A2076" s="400" t="s">
        <v>1038</v>
      </c>
      <c r="B2076" s="401" t="s">
        <v>1194</v>
      </c>
      <c r="C2076" s="400" t="s">
        <v>490</v>
      </c>
      <c r="D2076" s="400" t="s">
        <v>1195</v>
      </c>
      <c r="E2076" s="605" t="s">
        <v>1039</v>
      </c>
      <c r="F2076" s="605"/>
      <c r="G2076" s="402" t="s">
        <v>4</v>
      </c>
      <c r="H2076" s="403">
        <v>1</v>
      </c>
      <c r="I2076" s="403">
        <v>0</v>
      </c>
      <c r="J2076" s="404">
        <v>20.47</v>
      </c>
      <c r="K2076" s="404">
        <v>20.47</v>
      </c>
      <c r="L2076" s="166"/>
    </row>
    <row r="2077" spans="1:12" ht="25.5" customHeight="1" x14ac:dyDescent="0.3">
      <c r="A2077" s="405"/>
      <c r="B2077" s="405"/>
      <c r="C2077" s="405"/>
      <c r="D2077" s="405"/>
      <c r="E2077" s="405" t="s">
        <v>1046</v>
      </c>
      <c r="F2077" s="406">
        <v>49.15</v>
      </c>
      <c r="G2077" s="405" t="s">
        <v>1047</v>
      </c>
      <c r="H2077" s="406">
        <v>0</v>
      </c>
      <c r="I2077" s="405" t="s">
        <v>1048</v>
      </c>
      <c r="J2077" s="406">
        <v>49.15</v>
      </c>
      <c r="K2077"/>
      <c r="L2077" s="166"/>
    </row>
    <row r="2078" spans="1:12" ht="14.25" customHeight="1" thickBot="1" x14ac:dyDescent="0.35">
      <c r="A2078" s="405"/>
      <c r="B2078" s="405"/>
      <c r="C2078" s="405"/>
      <c r="D2078" s="405"/>
      <c r="E2078" s="405" t="s">
        <v>1049</v>
      </c>
      <c r="F2078" s="406">
        <v>0</v>
      </c>
      <c r="G2078" s="405"/>
      <c r="H2078" s="606"/>
      <c r="I2078" s="606" t="s">
        <v>1050</v>
      </c>
      <c r="J2078" s="406">
        <v>69.62</v>
      </c>
      <c r="K2078"/>
      <c r="L2078" s="168">
        <f>0.3+0.6+0.2</f>
        <v>1.0999999999999999</v>
      </c>
    </row>
    <row r="2079" spans="1:12" ht="25.5" customHeight="1" thickTop="1" x14ac:dyDescent="0.3">
      <c r="A2079" s="407"/>
      <c r="B2079" s="407"/>
      <c r="C2079" s="407"/>
      <c r="D2079" s="407"/>
      <c r="E2079" s="407"/>
      <c r="F2079" s="407"/>
      <c r="G2079" s="407"/>
      <c r="H2079" s="407"/>
      <c r="I2079" s="407"/>
      <c r="J2079" s="407"/>
      <c r="K2079" s="407"/>
      <c r="L2079" s="168">
        <v>1.5</v>
      </c>
    </row>
    <row r="2080" spans="1:12" ht="17.399999999999999" customHeight="1" x14ac:dyDescent="0.3">
      <c r="A2080" s="382" t="s">
        <v>1729</v>
      </c>
      <c r="B2080" s="312" t="s">
        <v>413</v>
      </c>
      <c r="C2080" s="382" t="s">
        <v>414</v>
      </c>
      <c r="D2080" s="382" t="s">
        <v>415</v>
      </c>
      <c r="E2080" s="586" t="s">
        <v>1029</v>
      </c>
      <c r="F2080" s="586"/>
      <c r="G2080" s="383" t="s">
        <v>416</v>
      </c>
      <c r="H2080" s="312" t="s">
        <v>1030</v>
      </c>
      <c r="I2080" s="312" t="s">
        <v>3016</v>
      </c>
      <c r="J2080" s="312" t="s">
        <v>1031</v>
      </c>
      <c r="K2080" s="312" t="s">
        <v>1032</v>
      </c>
      <c r="L2080" s="168">
        <v>1.5</v>
      </c>
    </row>
    <row r="2081" spans="1:12" ht="39.6" x14ac:dyDescent="0.3">
      <c r="A2081" s="313" t="s">
        <v>1033</v>
      </c>
      <c r="B2081" s="315" t="s">
        <v>3833</v>
      </c>
      <c r="C2081" s="313" t="s">
        <v>395</v>
      </c>
      <c r="D2081" s="313" t="s">
        <v>5946</v>
      </c>
      <c r="E2081" s="603" t="s">
        <v>7786</v>
      </c>
      <c r="F2081" s="603"/>
      <c r="G2081" s="314" t="s">
        <v>4</v>
      </c>
      <c r="H2081" s="399">
        <v>1</v>
      </c>
      <c r="I2081" s="316"/>
      <c r="J2081" s="316">
        <v>42.41</v>
      </c>
      <c r="K2081" s="316">
        <v>42.41</v>
      </c>
      <c r="L2081" s="168"/>
    </row>
    <row r="2082" spans="1:12" ht="12.75" customHeight="1" x14ac:dyDescent="0.3">
      <c r="A2082" s="408" t="s">
        <v>1034</v>
      </c>
      <c r="B2082" s="409" t="s">
        <v>1035</v>
      </c>
      <c r="C2082" s="408" t="s">
        <v>395</v>
      </c>
      <c r="D2082" s="408" t="s">
        <v>128</v>
      </c>
      <c r="E2082" s="604" t="s">
        <v>7768</v>
      </c>
      <c r="F2082" s="604"/>
      <c r="G2082" s="410" t="s">
        <v>6</v>
      </c>
      <c r="H2082" s="412">
        <v>0.23920330000000001</v>
      </c>
      <c r="I2082" s="412">
        <v>0</v>
      </c>
      <c r="J2082" s="411">
        <v>34.5</v>
      </c>
      <c r="K2082" s="411">
        <v>8.2525139000000003</v>
      </c>
      <c r="L2082" s="168"/>
    </row>
    <row r="2083" spans="1:12" ht="25.5" customHeight="1" x14ac:dyDescent="0.3">
      <c r="A2083" s="408" t="s">
        <v>1034</v>
      </c>
      <c r="B2083" s="409" t="s">
        <v>1037</v>
      </c>
      <c r="C2083" s="408" t="s">
        <v>395</v>
      </c>
      <c r="D2083" s="408" t="s">
        <v>135</v>
      </c>
      <c r="E2083" s="604" t="s">
        <v>7768</v>
      </c>
      <c r="F2083" s="604"/>
      <c r="G2083" s="410" t="s">
        <v>6</v>
      </c>
      <c r="H2083" s="412">
        <v>0.47840670000000002</v>
      </c>
      <c r="I2083" s="412">
        <v>0</v>
      </c>
      <c r="J2083" s="411">
        <v>41.81</v>
      </c>
      <c r="K2083" s="411">
        <v>20.002184100000001</v>
      </c>
      <c r="L2083" s="168"/>
    </row>
    <row r="2084" spans="1:12" ht="15" customHeight="1" x14ac:dyDescent="0.3">
      <c r="A2084" s="400" t="s">
        <v>1038</v>
      </c>
      <c r="B2084" s="401" t="s">
        <v>4473</v>
      </c>
      <c r="C2084" s="400" t="s">
        <v>395</v>
      </c>
      <c r="D2084" s="400" t="s">
        <v>4474</v>
      </c>
      <c r="E2084" s="605" t="s">
        <v>1039</v>
      </c>
      <c r="F2084" s="605"/>
      <c r="G2084" s="402" t="s">
        <v>4</v>
      </c>
      <c r="H2084" s="403">
        <v>1</v>
      </c>
      <c r="I2084" s="403">
        <v>0</v>
      </c>
      <c r="J2084" s="404">
        <v>13.76</v>
      </c>
      <c r="K2084" s="404">
        <v>13.76</v>
      </c>
      <c r="L2084" s="168"/>
    </row>
    <row r="2085" spans="1:12" ht="26.4" x14ac:dyDescent="0.3">
      <c r="A2085" s="400" t="s">
        <v>1038</v>
      </c>
      <c r="B2085" s="401" t="s">
        <v>2289</v>
      </c>
      <c r="C2085" s="400" t="s">
        <v>395</v>
      </c>
      <c r="D2085" s="400" t="s">
        <v>242</v>
      </c>
      <c r="E2085" s="605" t="s">
        <v>1039</v>
      </c>
      <c r="F2085" s="605"/>
      <c r="G2085" s="402" t="s">
        <v>4</v>
      </c>
      <c r="H2085" s="403">
        <v>2</v>
      </c>
      <c r="I2085" s="403">
        <v>0</v>
      </c>
      <c r="J2085" s="404">
        <v>0.2</v>
      </c>
      <c r="K2085" s="404">
        <v>0.4</v>
      </c>
      <c r="L2085" s="166"/>
    </row>
    <row r="2086" spans="1:12" ht="30" customHeight="1" x14ac:dyDescent="0.3">
      <c r="A2086" s="405"/>
      <c r="B2086" s="405"/>
      <c r="C2086" s="405"/>
      <c r="D2086" s="405"/>
      <c r="E2086" s="405" t="s">
        <v>1046</v>
      </c>
      <c r="F2086" s="406">
        <v>20.85</v>
      </c>
      <c r="G2086" s="405" t="s">
        <v>1047</v>
      </c>
      <c r="H2086" s="406">
        <v>0</v>
      </c>
      <c r="I2086" s="405" t="s">
        <v>1048</v>
      </c>
      <c r="J2086" s="406">
        <v>20.85</v>
      </c>
      <c r="K2086"/>
      <c r="L2086" s="168"/>
    </row>
    <row r="2087" spans="1:12" ht="14.25" customHeight="1" thickBot="1" x14ac:dyDescent="0.35">
      <c r="A2087" s="405"/>
      <c r="B2087" s="405"/>
      <c r="C2087" s="405"/>
      <c r="D2087" s="405"/>
      <c r="E2087" s="405" t="s">
        <v>1049</v>
      </c>
      <c r="F2087" s="406">
        <v>0</v>
      </c>
      <c r="G2087" s="405"/>
      <c r="H2087" s="606"/>
      <c r="I2087" s="606" t="s">
        <v>1050</v>
      </c>
      <c r="J2087" s="406">
        <v>42.41</v>
      </c>
      <c r="K2087"/>
      <c r="L2087" s="168"/>
    </row>
    <row r="2088" spans="1:12" ht="15" customHeight="1" thickTop="1" x14ac:dyDescent="0.3">
      <c r="A2088" s="407"/>
      <c r="B2088" s="407"/>
      <c r="C2088" s="407"/>
      <c r="D2088" s="407"/>
      <c r="E2088" s="407"/>
      <c r="F2088" s="407"/>
      <c r="G2088" s="407"/>
      <c r="H2088" s="407"/>
      <c r="I2088" s="407"/>
      <c r="J2088" s="407"/>
      <c r="K2088" s="407"/>
      <c r="L2088" s="168"/>
    </row>
    <row r="2089" spans="1:12" ht="25.5" customHeight="1" x14ac:dyDescent="0.3">
      <c r="A2089" s="382" t="s">
        <v>1731</v>
      </c>
      <c r="B2089" s="312" t="s">
        <v>413</v>
      </c>
      <c r="C2089" s="382" t="s">
        <v>414</v>
      </c>
      <c r="D2089" s="382" t="s">
        <v>415</v>
      </c>
      <c r="E2089" s="586" t="s">
        <v>1029</v>
      </c>
      <c r="F2089" s="586"/>
      <c r="G2089" s="383" t="s">
        <v>416</v>
      </c>
      <c r="H2089" s="312" t="s">
        <v>1030</v>
      </c>
      <c r="I2089" s="312" t="s">
        <v>3016</v>
      </c>
      <c r="J2089" s="312" t="s">
        <v>1031</v>
      </c>
      <c r="K2089" s="312" t="s">
        <v>1032</v>
      </c>
      <c r="L2089" s="166"/>
    </row>
    <row r="2090" spans="1:12" ht="25.5" customHeight="1" x14ac:dyDescent="0.3">
      <c r="A2090" s="313" t="s">
        <v>1033</v>
      </c>
      <c r="B2090" s="315" t="s">
        <v>2138</v>
      </c>
      <c r="C2090" s="313" t="s">
        <v>575</v>
      </c>
      <c r="D2090" s="313" t="s">
        <v>1816</v>
      </c>
      <c r="E2090" s="603" t="s">
        <v>1227</v>
      </c>
      <c r="F2090" s="603"/>
      <c r="G2090" s="314" t="s">
        <v>4</v>
      </c>
      <c r="H2090" s="399">
        <v>1</v>
      </c>
      <c r="I2090" s="316"/>
      <c r="J2090" s="316">
        <v>62.48</v>
      </c>
      <c r="K2090" s="316">
        <v>62.48</v>
      </c>
      <c r="L2090" s="166"/>
    </row>
    <row r="2091" spans="1:12" ht="25.5" customHeight="1" x14ac:dyDescent="0.3">
      <c r="A2091" s="408" t="s">
        <v>1034</v>
      </c>
      <c r="B2091" s="409" t="s">
        <v>1035</v>
      </c>
      <c r="C2091" s="408" t="s">
        <v>395</v>
      </c>
      <c r="D2091" s="408" t="s">
        <v>128</v>
      </c>
      <c r="E2091" s="604" t="s">
        <v>7768</v>
      </c>
      <c r="F2091" s="604"/>
      <c r="G2091" s="410" t="s">
        <v>6</v>
      </c>
      <c r="H2091" s="412">
        <v>0.37690000000000001</v>
      </c>
      <c r="I2091" s="412">
        <v>0</v>
      </c>
      <c r="J2091" s="411">
        <v>34.5</v>
      </c>
      <c r="K2091" s="411">
        <v>13.00305</v>
      </c>
      <c r="L2091" s="168"/>
    </row>
    <row r="2092" spans="1:12" ht="25.5" customHeight="1" x14ac:dyDescent="0.3">
      <c r="A2092" s="408" t="s">
        <v>1034</v>
      </c>
      <c r="B2092" s="409" t="s">
        <v>1037</v>
      </c>
      <c r="C2092" s="408" t="s">
        <v>395</v>
      </c>
      <c r="D2092" s="408" t="s">
        <v>135</v>
      </c>
      <c r="E2092" s="604" t="s">
        <v>7768</v>
      </c>
      <c r="F2092" s="604"/>
      <c r="G2092" s="410" t="s">
        <v>6</v>
      </c>
      <c r="H2092" s="412">
        <v>0.37690000000000001</v>
      </c>
      <c r="I2092" s="412">
        <v>0</v>
      </c>
      <c r="J2092" s="411">
        <v>41.81</v>
      </c>
      <c r="K2092" s="411">
        <v>15.758189</v>
      </c>
      <c r="L2092" s="168"/>
    </row>
    <row r="2093" spans="1:12" ht="25.5" customHeight="1" x14ac:dyDescent="0.3">
      <c r="A2093" s="400" t="s">
        <v>1038</v>
      </c>
      <c r="B2093" s="401" t="s">
        <v>2289</v>
      </c>
      <c r="C2093" s="400" t="s">
        <v>395</v>
      </c>
      <c r="D2093" s="400" t="s">
        <v>242</v>
      </c>
      <c r="E2093" s="605" t="s">
        <v>1039</v>
      </c>
      <c r="F2093" s="605"/>
      <c r="G2093" s="402" t="s">
        <v>4</v>
      </c>
      <c r="H2093" s="403">
        <v>2</v>
      </c>
      <c r="I2093" s="403">
        <v>0</v>
      </c>
      <c r="J2093" s="404">
        <v>0.2</v>
      </c>
      <c r="K2093" s="404">
        <v>0.4</v>
      </c>
      <c r="L2093" s="168"/>
    </row>
    <row r="2094" spans="1:12" ht="26.4" x14ac:dyDescent="0.3">
      <c r="A2094" s="400" t="s">
        <v>1038</v>
      </c>
      <c r="B2094" s="401" t="s">
        <v>2402</v>
      </c>
      <c r="C2094" s="400" t="s">
        <v>575</v>
      </c>
      <c r="D2094" s="400" t="s">
        <v>254</v>
      </c>
      <c r="E2094" s="605" t="s">
        <v>1039</v>
      </c>
      <c r="F2094" s="605"/>
      <c r="G2094" s="402" t="s">
        <v>7</v>
      </c>
      <c r="H2094" s="403">
        <v>1</v>
      </c>
      <c r="I2094" s="403">
        <v>0</v>
      </c>
      <c r="J2094" s="404">
        <v>33.32</v>
      </c>
      <c r="K2094" s="404">
        <v>33.32</v>
      </c>
      <c r="L2094" s="166"/>
    </row>
    <row r="2095" spans="1:12" ht="25.5" customHeight="1" x14ac:dyDescent="0.3">
      <c r="A2095" s="405"/>
      <c r="B2095" s="405"/>
      <c r="C2095" s="405"/>
      <c r="D2095" s="405"/>
      <c r="E2095" s="405" t="s">
        <v>1046</v>
      </c>
      <c r="F2095" s="406">
        <v>20.98</v>
      </c>
      <c r="G2095" s="405" t="s">
        <v>1047</v>
      </c>
      <c r="H2095" s="406">
        <v>0</v>
      </c>
      <c r="I2095" s="405" t="s">
        <v>1048</v>
      </c>
      <c r="J2095" s="406">
        <v>20.98</v>
      </c>
      <c r="K2095"/>
      <c r="L2095" s="166"/>
    </row>
    <row r="2096" spans="1:12" ht="14.25" customHeight="1" thickBot="1" x14ac:dyDescent="0.35">
      <c r="A2096" s="405"/>
      <c r="B2096" s="405"/>
      <c r="C2096" s="405"/>
      <c r="D2096" s="405"/>
      <c r="E2096" s="405" t="s">
        <v>1049</v>
      </c>
      <c r="F2096" s="406">
        <v>0</v>
      </c>
      <c r="G2096" s="405"/>
      <c r="H2096" s="606"/>
      <c r="I2096" s="606" t="s">
        <v>1050</v>
      </c>
      <c r="J2096" s="406">
        <v>62.48</v>
      </c>
      <c r="K2096"/>
      <c r="L2096" s="166"/>
    </row>
    <row r="2097" spans="1:12" ht="15" customHeight="1" thickTop="1" x14ac:dyDescent="0.3">
      <c r="A2097" s="407"/>
      <c r="B2097" s="407"/>
      <c r="C2097" s="407"/>
      <c r="D2097" s="407"/>
      <c r="E2097" s="407"/>
      <c r="F2097" s="407"/>
      <c r="G2097" s="407"/>
      <c r="H2097" s="407"/>
      <c r="I2097" s="407"/>
      <c r="J2097" s="407"/>
      <c r="K2097" s="407"/>
      <c r="L2097" s="166"/>
    </row>
    <row r="2098" spans="1:12" ht="15" customHeight="1" x14ac:dyDescent="0.3">
      <c r="A2098" s="382" t="s">
        <v>1733</v>
      </c>
      <c r="B2098" s="312" t="s">
        <v>413</v>
      </c>
      <c r="C2098" s="382" t="s">
        <v>414</v>
      </c>
      <c r="D2098" s="382" t="s">
        <v>415</v>
      </c>
      <c r="E2098" s="586" t="s">
        <v>1029</v>
      </c>
      <c r="F2098" s="586"/>
      <c r="G2098" s="383" t="s">
        <v>416</v>
      </c>
      <c r="H2098" s="312" t="s">
        <v>1030</v>
      </c>
      <c r="I2098" s="312" t="s">
        <v>3016</v>
      </c>
      <c r="J2098" s="312" t="s">
        <v>1031</v>
      </c>
      <c r="K2098" s="312" t="s">
        <v>1032</v>
      </c>
      <c r="L2098" s="166"/>
    </row>
    <row r="2099" spans="1:12" ht="39.6" x14ac:dyDescent="0.3">
      <c r="A2099" s="313" t="s">
        <v>1033</v>
      </c>
      <c r="B2099" s="315" t="s">
        <v>3834</v>
      </c>
      <c r="C2099" s="313" t="s">
        <v>395</v>
      </c>
      <c r="D2099" s="313" t="s">
        <v>5947</v>
      </c>
      <c r="E2099" s="603" t="s">
        <v>7786</v>
      </c>
      <c r="F2099" s="603"/>
      <c r="G2099" s="314" t="s">
        <v>4</v>
      </c>
      <c r="H2099" s="399">
        <v>1</v>
      </c>
      <c r="I2099" s="316"/>
      <c r="J2099" s="316">
        <v>51.7</v>
      </c>
      <c r="K2099" s="316">
        <v>51.7</v>
      </c>
      <c r="L2099" s="166"/>
    </row>
    <row r="2100" spans="1:12" ht="12.75" customHeight="1" x14ac:dyDescent="0.3">
      <c r="A2100" s="408" t="s">
        <v>1034</v>
      </c>
      <c r="B2100" s="409" t="s">
        <v>1035</v>
      </c>
      <c r="C2100" s="408" t="s">
        <v>395</v>
      </c>
      <c r="D2100" s="408" t="s">
        <v>128</v>
      </c>
      <c r="E2100" s="604" t="s">
        <v>7768</v>
      </c>
      <c r="F2100" s="604"/>
      <c r="G2100" s="410" t="s">
        <v>6</v>
      </c>
      <c r="H2100" s="412">
        <v>0.24658479999999999</v>
      </c>
      <c r="I2100" s="412">
        <v>0</v>
      </c>
      <c r="J2100" s="411">
        <v>34.5</v>
      </c>
      <c r="K2100" s="411">
        <v>8.5071756000000001</v>
      </c>
      <c r="L2100" s="166"/>
    </row>
    <row r="2101" spans="1:12" ht="25.5" customHeight="1" x14ac:dyDescent="0.3">
      <c r="A2101" s="408" t="s">
        <v>1034</v>
      </c>
      <c r="B2101" s="409" t="s">
        <v>1037</v>
      </c>
      <c r="C2101" s="408" t="s">
        <v>395</v>
      </c>
      <c r="D2101" s="408" t="s">
        <v>135</v>
      </c>
      <c r="E2101" s="604" t="s">
        <v>7768</v>
      </c>
      <c r="F2101" s="604"/>
      <c r="G2101" s="410" t="s">
        <v>6</v>
      </c>
      <c r="H2101" s="412">
        <v>0.49316969999999999</v>
      </c>
      <c r="I2101" s="412">
        <v>0</v>
      </c>
      <c r="J2101" s="411">
        <v>41.81</v>
      </c>
      <c r="K2101" s="411">
        <v>20.619425199999998</v>
      </c>
      <c r="L2101" s="166"/>
    </row>
    <row r="2102" spans="1:12" ht="25.5" customHeight="1" x14ac:dyDescent="0.3">
      <c r="A2102" s="400" t="s">
        <v>1038</v>
      </c>
      <c r="B2102" s="401" t="s">
        <v>4354</v>
      </c>
      <c r="C2102" s="400" t="s">
        <v>395</v>
      </c>
      <c r="D2102" s="400" t="s">
        <v>4355</v>
      </c>
      <c r="E2102" s="605" t="s">
        <v>1039</v>
      </c>
      <c r="F2102" s="605"/>
      <c r="G2102" s="402" t="s">
        <v>4</v>
      </c>
      <c r="H2102" s="403">
        <v>1</v>
      </c>
      <c r="I2102" s="403">
        <v>0</v>
      </c>
      <c r="J2102" s="404">
        <v>22.17</v>
      </c>
      <c r="K2102" s="404">
        <v>22.17</v>
      </c>
      <c r="L2102" s="166"/>
    </row>
    <row r="2103" spans="1:12" ht="25.5" customHeight="1" x14ac:dyDescent="0.3">
      <c r="A2103" s="400" t="s">
        <v>1038</v>
      </c>
      <c r="B2103" s="401" t="s">
        <v>2289</v>
      </c>
      <c r="C2103" s="400" t="s">
        <v>395</v>
      </c>
      <c r="D2103" s="400" t="s">
        <v>242</v>
      </c>
      <c r="E2103" s="605" t="s">
        <v>1039</v>
      </c>
      <c r="F2103" s="605"/>
      <c r="G2103" s="402" t="s">
        <v>4</v>
      </c>
      <c r="H2103" s="403">
        <v>2</v>
      </c>
      <c r="I2103" s="403">
        <v>0</v>
      </c>
      <c r="J2103" s="404">
        <v>0.2</v>
      </c>
      <c r="K2103" s="404">
        <v>0.4</v>
      </c>
      <c r="L2103" s="166"/>
    </row>
    <row r="2104" spans="1:12" ht="25.5" customHeight="1" x14ac:dyDescent="0.3">
      <c r="A2104" s="405"/>
      <c r="B2104" s="405"/>
      <c r="C2104" s="405"/>
      <c r="D2104" s="405"/>
      <c r="E2104" s="405" t="s">
        <v>1046</v>
      </c>
      <c r="F2104" s="406">
        <v>21.49</v>
      </c>
      <c r="G2104" s="405" t="s">
        <v>1047</v>
      </c>
      <c r="H2104" s="406">
        <v>0</v>
      </c>
      <c r="I2104" s="405" t="s">
        <v>1048</v>
      </c>
      <c r="J2104" s="406">
        <v>21.49</v>
      </c>
      <c r="K2104"/>
      <c r="L2104" s="168" t="s">
        <v>388</v>
      </c>
    </row>
    <row r="2105" spans="1:12" ht="14.25" customHeight="1" thickBot="1" x14ac:dyDescent="0.35">
      <c r="A2105" s="405"/>
      <c r="B2105" s="405"/>
      <c r="C2105" s="405"/>
      <c r="D2105" s="405"/>
      <c r="E2105" s="405" t="s">
        <v>1049</v>
      </c>
      <c r="F2105" s="406">
        <v>0</v>
      </c>
      <c r="G2105" s="405"/>
      <c r="H2105" s="606"/>
      <c r="I2105" s="606" t="s">
        <v>1050</v>
      </c>
      <c r="J2105" s="406">
        <v>51.7</v>
      </c>
      <c r="K2105"/>
      <c r="L2105" s="170"/>
    </row>
    <row r="2106" spans="1:12" ht="17.399999999999999" customHeight="1" thickTop="1" x14ac:dyDescent="0.3">
      <c r="A2106" s="407"/>
      <c r="B2106" s="407"/>
      <c r="C2106" s="407"/>
      <c r="D2106" s="407"/>
      <c r="E2106" s="407"/>
      <c r="F2106" s="407"/>
      <c r="G2106" s="407"/>
      <c r="H2106" s="407"/>
      <c r="I2106" s="407"/>
      <c r="J2106" s="407"/>
      <c r="K2106" s="407"/>
      <c r="L2106" s="168">
        <v>1.5</v>
      </c>
    </row>
    <row r="2107" spans="1:12" ht="15" customHeight="1" x14ac:dyDescent="0.3">
      <c r="A2107" s="382" t="s">
        <v>1734</v>
      </c>
      <c r="B2107" s="312" t="s">
        <v>413</v>
      </c>
      <c r="C2107" s="382" t="s">
        <v>414</v>
      </c>
      <c r="D2107" s="382" t="s">
        <v>415</v>
      </c>
      <c r="E2107" s="586" t="s">
        <v>1029</v>
      </c>
      <c r="F2107" s="586"/>
      <c r="G2107" s="383" t="s">
        <v>416</v>
      </c>
      <c r="H2107" s="312" t="s">
        <v>1030</v>
      </c>
      <c r="I2107" s="312" t="s">
        <v>3016</v>
      </c>
      <c r="J2107" s="312" t="s">
        <v>1031</v>
      </c>
      <c r="K2107" s="312" t="s">
        <v>1032</v>
      </c>
      <c r="L2107" s="168">
        <v>1.5</v>
      </c>
    </row>
    <row r="2108" spans="1:12" ht="15" customHeight="1" x14ac:dyDescent="0.3">
      <c r="A2108" s="313" t="s">
        <v>1033</v>
      </c>
      <c r="B2108" s="315" t="s">
        <v>2139</v>
      </c>
      <c r="C2108" s="313" t="s">
        <v>575</v>
      </c>
      <c r="D2108" s="313" t="s">
        <v>1817</v>
      </c>
      <c r="E2108" s="603" t="s">
        <v>1227</v>
      </c>
      <c r="F2108" s="603"/>
      <c r="G2108" s="314" t="s">
        <v>4</v>
      </c>
      <c r="H2108" s="399">
        <v>1</v>
      </c>
      <c r="I2108" s="316"/>
      <c r="J2108" s="316">
        <v>85.84</v>
      </c>
      <c r="K2108" s="316">
        <v>85.84</v>
      </c>
      <c r="L2108" s="168"/>
    </row>
    <row r="2109" spans="1:12" ht="12.75" customHeight="1" x14ac:dyDescent="0.3">
      <c r="A2109" s="408" t="s">
        <v>1034</v>
      </c>
      <c r="B2109" s="409" t="s">
        <v>1035</v>
      </c>
      <c r="C2109" s="408" t="s">
        <v>395</v>
      </c>
      <c r="D2109" s="408" t="s">
        <v>128</v>
      </c>
      <c r="E2109" s="604" t="s">
        <v>7768</v>
      </c>
      <c r="F2109" s="604"/>
      <c r="G2109" s="410" t="s">
        <v>6</v>
      </c>
      <c r="H2109" s="412">
        <v>0.39779999999999999</v>
      </c>
      <c r="I2109" s="412">
        <v>0</v>
      </c>
      <c r="J2109" s="411">
        <v>34.5</v>
      </c>
      <c r="K2109" s="411">
        <v>13.7241</v>
      </c>
      <c r="L2109" s="166"/>
    </row>
    <row r="2110" spans="1:12" ht="25.5" customHeight="1" x14ac:dyDescent="0.3">
      <c r="A2110" s="408" t="s">
        <v>1034</v>
      </c>
      <c r="B2110" s="409" t="s">
        <v>1037</v>
      </c>
      <c r="C2110" s="408" t="s">
        <v>395</v>
      </c>
      <c r="D2110" s="408" t="s">
        <v>135</v>
      </c>
      <c r="E2110" s="604" t="s">
        <v>7768</v>
      </c>
      <c r="F2110" s="604"/>
      <c r="G2110" s="410" t="s">
        <v>6</v>
      </c>
      <c r="H2110" s="412">
        <v>0.39779999999999999</v>
      </c>
      <c r="I2110" s="412">
        <v>0</v>
      </c>
      <c r="J2110" s="411">
        <v>41.81</v>
      </c>
      <c r="K2110" s="411">
        <v>16.632017999999999</v>
      </c>
      <c r="L2110" s="166"/>
    </row>
    <row r="2111" spans="1:12" ht="15" customHeight="1" x14ac:dyDescent="0.3">
      <c r="A2111" s="400" t="s">
        <v>1038</v>
      </c>
      <c r="B2111" s="401" t="s">
        <v>2289</v>
      </c>
      <c r="C2111" s="400" t="s">
        <v>395</v>
      </c>
      <c r="D2111" s="400" t="s">
        <v>242</v>
      </c>
      <c r="E2111" s="605" t="s">
        <v>1039</v>
      </c>
      <c r="F2111" s="605"/>
      <c r="G2111" s="402" t="s">
        <v>4</v>
      </c>
      <c r="H2111" s="403">
        <v>2</v>
      </c>
      <c r="I2111" s="403">
        <v>0</v>
      </c>
      <c r="J2111" s="404">
        <v>0.2</v>
      </c>
      <c r="K2111" s="404">
        <v>0.4</v>
      </c>
      <c r="L2111" s="168">
        <f>0.3+0.6+0.2</f>
        <v>1.0999999999999999</v>
      </c>
    </row>
    <row r="2112" spans="1:12" ht="25.5" customHeight="1" x14ac:dyDescent="0.3">
      <c r="A2112" s="400" t="s">
        <v>1038</v>
      </c>
      <c r="B2112" s="401" t="s">
        <v>2403</v>
      </c>
      <c r="C2112" s="400" t="s">
        <v>575</v>
      </c>
      <c r="D2112" s="400" t="s">
        <v>253</v>
      </c>
      <c r="E2112" s="605" t="s">
        <v>1039</v>
      </c>
      <c r="F2112" s="605"/>
      <c r="G2112" s="402" t="s">
        <v>7</v>
      </c>
      <c r="H2112" s="403">
        <v>1</v>
      </c>
      <c r="I2112" s="403">
        <v>0</v>
      </c>
      <c r="J2112" s="404">
        <v>55.08</v>
      </c>
      <c r="K2112" s="404">
        <v>55.08</v>
      </c>
      <c r="L2112" s="168">
        <v>1.5</v>
      </c>
    </row>
    <row r="2113" spans="1:12" ht="25.5" customHeight="1" x14ac:dyDescent="0.3">
      <c r="A2113" s="405"/>
      <c r="B2113" s="405"/>
      <c r="C2113" s="405"/>
      <c r="D2113" s="405"/>
      <c r="E2113" s="405" t="s">
        <v>1046</v>
      </c>
      <c r="F2113" s="406">
        <v>22.15</v>
      </c>
      <c r="G2113" s="405" t="s">
        <v>1047</v>
      </c>
      <c r="H2113" s="406">
        <v>0</v>
      </c>
      <c r="I2113" s="405" t="s">
        <v>1048</v>
      </c>
      <c r="J2113" s="406">
        <v>22.15</v>
      </c>
      <c r="K2113"/>
      <c r="L2113" s="168">
        <v>1.5</v>
      </c>
    </row>
    <row r="2114" spans="1:12" ht="25.5" customHeight="1" thickBot="1" x14ac:dyDescent="0.35">
      <c r="A2114" s="405"/>
      <c r="B2114" s="405"/>
      <c r="C2114" s="405"/>
      <c r="D2114" s="405"/>
      <c r="E2114" s="405" t="s">
        <v>1049</v>
      </c>
      <c r="F2114" s="406">
        <v>0</v>
      </c>
      <c r="G2114" s="405"/>
      <c r="H2114" s="606"/>
      <c r="I2114" s="606" t="s">
        <v>1050</v>
      </c>
      <c r="J2114" s="406">
        <v>85.84</v>
      </c>
      <c r="K2114"/>
      <c r="L2114" s="168"/>
    </row>
    <row r="2115" spans="1:12" ht="25.5" customHeight="1" thickTop="1" x14ac:dyDescent="0.3">
      <c r="A2115" s="407"/>
      <c r="B2115" s="407"/>
      <c r="C2115" s="407"/>
      <c r="D2115" s="407"/>
      <c r="E2115" s="407"/>
      <c r="F2115" s="407"/>
      <c r="G2115" s="407"/>
      <c r="H2115" s="407"/>
      <c r="I2115" s="407"/>
      <c r="J2115" s="407"/>
      <c r="K2115" s="407"/>
      <c r="L2115" s="168"/>
    </row>
    <row r="2116" spans="1:12" ht="15" customHeight="1" x14ac:dyDescent="0.3">
      <c r="A2116" s="382" t="s">
        <v>1736</v>
      </c>
      <c r="B2116" s="312" t="s">
        <v>413</v>
      </c>
      <c r="C2116" s="382" t="s">
        <v>414</v>
      </c>
      <c r="D2116" s="382" t="s">
        <v>415</v>
      </c>
      <c r="E2116" s="586" t="s">
        <v>1029</v>
      </c>
      <c r="F2116" s="586"/>
      <c r="G2116" s="383" t="s">
        <v>416</v>
      </c>
      <c r="H2116" s="312" t="s">
        <v>1030</v>
      </c>
      <c r="I2116" s="312" t="s">
        <v>3016</v>
      </c>
      <c r="J2116" s="312" t="s">
        <v>1031</v>
      </c>
      <c r="K2116" s="312" t="s">
        <v>1032</v>
      </c>
      <c r="L2116" s="168"/>
    </row>
    <row r="2117" spans="1:12" ht="26.4" x14ac:dyDescent="0.3">
      <c r="A2117" s="313" t="s">
        <v>1033</v>
      </c>
      <c r="B2117" s="315" t="s">
        <v>868</v>
      </c>
      <c r="C2117" s="313" t="s">
        <v>5902</v>
      </c>
      <c r="D2117" s="313" t="s">
        <v>5948</v>
      </c>
      <c r="E2117" s="603">
        <v>40.049999999999997</v>
      </c>
      <c r="F2117" s="603"/>
      <c r="G2117" s="314" t="s">
        <v>380</v>
      </c>
      <c r="H2117" s="399">
        <v>1</v>
      </c>
      <c r="I2117" s="316"/>
      <c r="J2117" s="316">
        <v>33.479999999999997</v>
      </c>
      <c r="K2117" s="316">
        <v>33.479999999999997</v>
      </c>
      <c r="L2117" s="168"/>
    </row>
    <row r="2118" spans="1:12" ht="15" customHeight="1" x14ac:dyDescent="0.3">
      <c r="A2118" s="400" t="s">
        <v>1038</v>
      </c>
      <c r="B2118" s="401" t="s">
        <v>1051</v>
      </c>
      <c r="C2118" s="400" t="s">
        <v>5902</v>
      </c>
      <c r="D2118" s="400" t="s">
        <v>1052</v>
      </c>
      <c r="E2118" s="605" t="s">
        <v>1053</v>
      </c>
      <c r="F2118" s="605"/>
      <c r="G2118" s="402" t="s">
        <v>6</v>
      </c>
      <c r="H2118" s="403">
        <v>0.34</v>
      </c>
      <c r="I2118" s="403">
        <v>0</v>
      </c>
      <c r="J2118" s="404">
        <v>33.119999999999997</v>
      </c>
      <c r="K2118" s="404">
        <v>11.2608</v>
      </c>
      <c r="L2118" s="166"/>
    </row>
    <row r="2119" spans="1:12" ht="25.5" customHeight="1" x14ac:dyDescent="0.3">
      <c r="A2119" s="400" t="s">
        <v>1038</v>
      </c>
      <c r="B2119" s="401" t="s">
        <v>1054</v>
      </c>
      <c r="C2119" s="400" t="s">
        <v>5902</v>
      </c>
      <c r="D2119" s="400" t="s">
        <v>1055</v>
      </c>
      <c r="E2119" s="605" t="s">
        <v>1053</v>
      </c>
      <c r="F2119" s="605"/>
      <c r="G2119" s="402" t="s">
        <v>6</v>
      </c>
      <c r="H2119" s="403">
        <v>0.34</v>
      </c>
      <c r="I2119" s="403">
        <v>0</v>
      </c>
      <c r="J2119" s="404">
        <v>22.71</v>
      </c>
      <c r="K2119" s="404">
        <v>7.7214</v>
      </c>
      <c r="L2119" s="168"/>
    </row>
    <row r="2120" spans="1:12" ht="25.5" customHeight="1" x14ac:dyDescent="0.3">
      <c r="A2120" s="400" t="s">
        <v>1038</v>
      </c>
      <c r="B2120" s="401" t="s">
        <v>1056</v>
      </c>
      <c r="C2120" s="400" t="s">
        <v>5902</v>
      </c>
      <c r="D2120" s="400" t="s">
        <v>1057</v>
      </c>
      <c r="E2120" s="605" t="s">
        <v>1039</v>
      </c>
      <c r="F2120" s="605"/>
      <c r="G2120" s="402" t="s">
        <v>380</v>
      </c>
      <c r="H2120" s="403">
        <v>1</v>
      </c>
      <c r="I2120" s="403">
        <v>0</v>
      </c>
      <c r="J2120" s="404">
        <v>14.5</v>
      </c>
      <c r="K2120" s="404">
        <v>14.5</v>
      </c>
      <c r="L2120" s="168"/>
    </row>
    <row r="2121" spans="1:12" ht="25.5" customHeight="1" x14ac:dyDescent="0.3">
      <c r="A2121" s="405"/>
      <c r="B2121" s="405"/>
      <c r="C2121" s="405"/>
      <c r="D2121" s="405"/>
      <c r="E2121" s="405" t="s">
        <v>1046</v>
      </c>
      <c r="F2121" s="406">
        <v>18.98</v>
      </c>
      <c r="G2121" s="405" t="s">
        <v>1047</v>
      </c>
      <c r="H2121" s="406">
        <v>0</v>
      </c>
      <c r="I2121" s="405" t="s">
        <v>1048</v>
      </c>
      <c r="J2121" s="406">
        <v>18.98</v>
      </c>
      <c r="K2121"/>
      <c r="L2121" s="168"/>
    </row>
    <row r="2122" spans="1:12" ht="25.5" customHeight="1" thickBot="1" x14ac:dyDescent="0.35">
      <c r="A2122" s="405"/>
      <c r="B2122" s="405"/>
      <c r="C2122" s="405"/>
      <c r="D2122" s="405"/>
      <c r="E2122" s="405" t="s">
        <v>1049</v>
      </c>
      <c r="F2122" s="406">
        <v>0</v>
      </c>
      <c r="G2122" s="405"/>
      <c r="H2122" s="606"/>
      <c r="I2122" s="606" t="s">
        <v>1050</v>
      </c>
      <c r="J2122" s="406">
        <v>33.479999999999997</v>
      </c>
      <c r="K2122"/>
      <c r="L2122" s="166"/>
    </row>
    <row r="2123" spans="1:12" ht="25.5" customHeight="1" thickTop="1" x14ac:dyDescent="0.3">
      <c r="A2123" s="407"/>
      <c r="B2123" s="407"/>
      <c r="C2123" s="407"/>
      <c r="D2123" s="407"/>
      <c r="E2123" s="407"/>
      <c r="F2123" s="407"/>
      <c r="G2123" s="407"/>
      <c r="H2123" s="407"/>
      <c r="I2123" s="407"/>
      <c r="J2123" s="407"/>
      <c r="K2123" s="407"/>
      <c r="L2123" s="166"/>
    </row>
    <row r="2124" spans="1:12" ht="25.5" customHeight="1" x14ac:dyDescent="0.3">
      <c r="A2124" s="382" t="s">
        <v>1738</v>
      </c>
      <c r="B2124" s="312" t="s">
        <v>413</v>
      </c>
      <c r="C2124" s="382" t="s">
        <v>414</v>
      </c>
      <c r="D2124" s="382" t="s">
        <v>415</v>
      </c>
      <c r="E2124" s="586" t="s">
        <v>1029</v>
      </c>
      <c r="F2124" s="586"/>
      <c r="G2124" s="383" t="s">
        <v>416</v>
      </c>
      <c r="H2124" s="312" t="s">
        <v>1030</v>
      </c>
      <c r="I2124" s="312" t="s">
        <v>3016</v>
      </c>
      <c r="J2124" s="312" t="s">
        <v>1031</v>
      </c>
      <c r="K2124" s="312" t="s">
        <v>1032</v>
      </c>
      <c r="L2124" s="168"/>
    </row>
    <row r="2125" spans="1:12" ht="14.25" customHeight="1" x14ac:dyDescent="0.3">
      <c r="A2125" s="313" t="s">
        <v>1033</v>
      </c>
      <c r="B2125" s="315" t="s">
        <v>869</v>
      </c>
      <c r="C2125" s="313" t="s">
        <v>5902</v>
      </c>
      <c r="D2125" s="313" t="s">
        <v>5949</v>
      </c>
      <c r="E2125" s="603">
        <v>40.049999999999997</v>
      </c>
      <c r="F2125" s="603"/>
      <c r="G2125" s="314" t="s">
        <v>380</v>
      </c>
      <c r="H2125" s="399">
        <v>1</v>
      </c>
      <c r="I2125" s="316"/>
      <c r="J2125" s="316">
        <v>33.83</v>
      </c>
      <c r="K2125" s="316">
        <v>33.83</v>
      </c>
      <c r="L2125" s="168"/>
    </row>
    <row r="2126" spans="1:12" ht="15" customHeight="1" x14ac:dyDescent="0.3">
      <c r="A2126" s="400" t="s">
        <v>1038</v>
      </c>
      <c r="B2126" s="401" t="s">
        <v>1051</v>
      </c>
      <c r="C2126" s="400" t="s">
        <v>5902</v>
      </c>
      <c r="D2126" s="400" t="s">
        <v>1052</v>
      </c>
      <c r="E2126" s="605" t="s">
        <v>1053</v>
      </c>
      <c r="F2126" s="605"/>
      <c r="G2126" s="402" t="s">
        <v>6</v>
      </c>
      <c r="H2126" s="403">
        <v>0.27</v>
      </c>
      <c r="I2126" s="403">
        <v>0</v>
      </c>
      <c r="J2126" s="404">
        <v>33.119999999999997</v>
      </c>
      <c r="K2126" s="404">
        <v>8.9423999999999992</v>
      </c>
      <c r="L2126" s="168"/>
    </row>
    <row r="2127" spans="1:12" ht="14.25" customHeight="1" x14ac:dyDescent="0.3">
      <c r="A2127" s="400" t="s">
        <v>1038</v>
      </c>
      <c r="B2127" s="401" t="s">
        <v>1054</v>
      </c>
      <c r="C2127" s="400" t="s">
        <v>5902</v>
      </c>
      <c r="D2127" s="400" t="s">
        <v>1055</v>
      </c>
      <c r="E2127" s="605" t="s">
        <v>1053</v>
      </c>
      <c r="F2127" s="605"/>
      <c r="G2127" s="402" t="s">
        <v>6</v>
      </c>
      <c r="H2127" s="403">
        <v>0.27</v>
      </c>
      <c r="I2127" s="403">
        <v>0</v>
      </c>
      <c r="J2127" s="404">
        <v>22.71</v>
      </c>
      <c r="K2127" s="404">
        <v>6.1317000000000004</v>
      </c>
      <c r="L2127" s="166"/>
    </row>
    <row r="2128" spans="1:12" ht="15" customHeight="1" x14ac:dyDescent="0.3">
      <c r="A2128" s="400" t="s">
        <v>1038</v>
      </c>
      <c r="B2128" s="401" t="s">
        <v>1058</v>
      </c>
      <c r="C2128" s="400" t="s">
        <v>5902</v>
      </c>
      <c r="D2128" s="400" t="s">
        <v>1059</v>
      </c>
      <c r="E2128" s="605" t="s">
        <v>1039</v>
      </c>
      <c r="F2128" s="605"/>
      <c r="G2128" s="402" t="s">
        <v>380</v>
      </c>
      <c r="H2128" s="403">
        <v>1</v>
      </c>
      <c r="I2128" s="403">
        <v>0</v>
      </c>
      <c r="J2128" s="404">
        <v>18.760000000000002</v>
      </c>
      <c r="K2128" s="404">
        <v>18.760000000000002</v>
      </c>
      <c r="L2128" s="166"/>
    </row>
    <row r="2129" spans="1:12" ht="15" x14ac:dyDescent="0.3">
      <c r="A2129" s="405"/>
      <c r="B2129" s="405"/>
      <c r="C2129" s="405"/>
      <c r="D2129" s="405"/>
      <c r="E2129" s="405" t="s">
        <v>1046</v>
      </c>
      <c r="F2129" s="406">
        <v>15.07</v>
      </c>
      <c r="G2129" s="405" t="s">
        <v>1047</v>
      </c>
      <c r="H2129" s="406">
        <v>0</v>
      </c>
      <c r="I2129" s="405" t="s">
        <v>1048</v>
      </c>
      <c r="J2129" s="406">
        <v>15.07</v>
      </c>
      <c r="K2129"/>
      <c r="L2129" s="166"/>
    </row>
    <row r="2130" spans="1:12" ht="25.5" customHeight="1" thickBot="1" x14ac:dyDescent="0.35">
      <c r="A2130" s="405"/>
      <c r="B2130" s="405"/>
      <c r="C2130" s="405"/>
      <c r="D2130" s="405"/>
      <c r="E2130" s="405" t="s">
        <v>1049</v>
      </c>
      <c r="F2130" s="406">
        <v>0</v>
      </c>
      <c r="G2130" s="405"/>
      <c r="H2130" s="606"/>
      <c r="I2130" s="606" t="s">
        <v>1050</v>
      </c>
      <c r="J2130" s="406">
        <v>33.83</v>
      </c>
      <c r="K2130"/>
      <c r="L2130" s="166"/>
    </row>
    <row r="2131" spans="1:12" ht="25.5" customHeight="1" thickTop="1" x14ac:dyDescent="0.3">
      <c r="A2131" s="407"/>
      <c r="B2131" s="407"/>
      <c r="C2131" s="407"/>
      <c r="D2131" s="407"/>
      <c r="E2131" s="407"/>
      <c r="F2131" s="407"/>
      <c r="G2131" s="407"/>
      <c r="H2131" s="407"/>
      <c r="I2131" s="407"/>
      <c r="J2131" s="407"/>
      <c r="K2131" s="407"/>
      <c r="L2131" s="166"/>
    </row>
    <row r="2132" spans="1:12" ht="15" customHeight="1" x14ac:dyDescent="0.3">
      <c r="A2132" s="382" t="s">
        <v>1739</v>
      </c>
      <c r="B2132" s="312" t="s">
        <v>413</v>
      </c>
      <c r="C2132" s="382" t="s">
        <v>414</v>
      </c>
      <c r="D2132" s="382" t="s">
        <v>415</v>
      </c>
      <c r="E2132" s="586" t="s">
        <v>1029</v>
      </c>
      <c r="F2132" s="586"/>
      <c r="G2132" s="383" t="s">
        <v>416</v>
      </c>
      <c r="H2132" s="312" t="s">
        <v>1030</v>
      </c>
      <c r="I2132" s="312" t="s">
        <v>3016</v>
      </c>
      <c r="J2132" s="312" t="s">
        <v>1031</v>
      </c>
      <c r="K2132" s="312" t="s">
        <v>1032</v>
      </c>
      <c r="L2132" s="166"/>
    </row>
    <row r="2133" spans="1:12" ht="25.5" customHeight="1" x14ac:dyDescent="0.3">
      <c r="A2133" s="313" t="s">
        <v>1033</v>
      </c>
      <c r="B2133" s="315" t="s">
        <v>3835</v>
      </c>
      <c r="C2133" s="313" t="s">
        <v>395</v>
      </c>
      <c r="D2133" s="313" t="s">
        <v>5950</v>
      </c>
      <c r="E2133" s="603" t="s">
        <v>7783</v>
      </c>
      <c r="F2133" s="603"/>
      <c r="G2133" s="314" t="s">
        <v>4</v>
      </c>
      <c r="H2133" s="399">
        <v>1</v>
      </c>
      <c r="I2133" s="316"/>
      <c r="J2133" s="316">
        <v>45.46</v>
      </c>
      <c r="K2133" s="316">
        <v>45.46</v>
      </c>
      <c r="L2133" s="166"/>
    </row>
    <row r="2134" spans="1:12" ht="25.5" customHeight="1" x14ac:dyDescent="0.3">
      <c r="A2134" s="408" t="s">
        <v>1034</v>
      </c>
      <c r="B2134" s="409" t="s">
        <v>1035</v>
      </c>
      <c r="C2134" s="408" t="s">
        <v>395</v>
      </c>
      <c r="D2134" s="408" t="s">
        <v>128</v>
      </c>
      <c r="E2134" s="604" t="s">
        <v>7768</v>
      </c>
      <c r="F2134" s="604"/>
      <c r="G2134" s="410" t="s">
        <v>6</v>
      </c>
      <c r="H2134" s="412">
        <v>0.51100000000000001</v>
      </c>
      <c r="I2134" s="412">
        <v>0</v>
      </c>
      <c r="J2134" s="411">
        <v>34.5</v>
      </c>
      <c r="K2134" s="411">
        <v>17.6295</v>
      </c>
      <c r="L2134" s="166"/>
    </row>
    <row r="2135" spans="1:12" ht="26.4" x14ac:dyDescent="0.3">
      <c r="A2135" s="408" t="s">
        <v>1034</v>
      </c>
      <c r="B2135" s="409" t="s">
        <v>1037</v>
      </c>
      <c r="C2135" s="408" t="s">
        <v>395</v>
      </c>
      <c r="D2135" s="408" t="s">
        <v>135</v>
      </c>
      <c r="E2135" s="604" t="s">
        <v>7768</v>
      </c>
      <c r="F2135" s="604"/>
      <c r="G2135" s="410" t="s">
        <v>6</v>
      </c>
      <c r="H2135" s="412">
        <v>0.51100000000000001</v>
      </c>
      <c r="I2135" s="412">
        <v>0</v>
      </c>
      <c r="J2135" s="411">
        <v>41.81</v>
      </c>
      <c r="K2135" s="411">
        <v>21.364909999999998</v>
      </c>
      <c r="L2135" s="166"/>
    </row>
    <row r="2136" spans="1:12" ht="14.25" customHeight="1" x14ac:dyDescent="0.3">
      <c r="A2136" s="400" t="s">
        <v>1038</v>
      </c>
      <c r="B2136" s="401" t="s">
        <v>1228</v>
      </c>
      <c r="C2136" s="400" t="s">
        <v>395</v>
      </c>
      <c r="D2136" s="400" t="s">
        <v>286</v>
      </c>
      <c r="E2136" s="605" t="s">
        <v>1039</v>
      </c>
      <c r="F2136" s="605"/>
      <c r="G2136" s="402" t="s">
        <v>4</v>
      </c>
      <c r="H2136" s="403">
        <v>1</v>
      </c>
      <c r="I2136" s="403">
        <v>0</v>
      </c>
      <c r="J2136" s="404">
        <v>6.47</v>
      </c>
      <c r="K2136" s="404">
        <v>6.47</v>
      </c>
      <c r="L2136" s="166"/>
    </row>
    <row r="2137" spans="1:12" ht="15" customHeight="1" x14ac:dyDescent="0.3">
      <c r="A2137" s="405"/>
      <c r="B2137" s="405"/>
      <c r="C2137" s="405"/>
      <c r="D2137" s="405"/>
      <c r="E2137" s="405" t="s">
        <v>1046</v>
      </c>
      <c r="F2137" s="406">
        <v>28.45</v>
      </c>
      <c r="G2137" s="405" t="s">
        <v>1047</v>
      </c>
      <c r="H2137" s="406">
        <v>0</v>
      </c>
      <c r="I2137" s="405" t="s">
        <v>1048</v>
      </c>
      <c r="J2137" s="406">
        <v>28.45</v>
      </c>
      <c r="K2137"/>
      <c r="L2137" s="168"/>
    </row>
    <row r="2138" spans="1:12" ht="15" customHeight="1" thickBot="1" x14ac:dyDescent="0.35">
      <c r="A2138" s="405"/>
      <c r="B2138" s="405"/>
      <c r="C2138" s="405"/>
      <c r="D2138" s="405"/>
      <c r="E2138" s="405" t="s">
        <v>1049</v>
      </c>
      <c r="F2138" s="406">
        <v>0</v>
      </c>
      <c r="G2138" s="405"/>
      <c r="H2138" s="606"/>
      <c r="I2138" s="606" t="s">
        <v>1050</v>
      </c>
      <c r="J2138" s="406">
        <v>45.46</v>
      </c>
      <c r="K2138"/>
      <c r="L2138" s="170"/>
    </row>
    <row r="2139" spans="1:12" ht="15.6" thickTop="1" x14ac:dyDescent="0.3">
      <c r="A2139" s="407"/>
      <c r="B2139" s="407"/>
      <c r="C2139" s="407"/>
      <c r="D2139" s="407"/>
      <c r="E2139" s="407"/>
      <c r="F2139" s="407"/>
      <c r="G2139" s="407"/>
      <c r="H2139" s="407"/>
      <c r="I2139" s="407"/>
      <c r="J2139" s="407"/>
      <c r="K2139" s="407"/>
      <c r="L2139" s="168"/>
    </row>
    <row r="2140" spans="1:12" ht="12.75" customHeight="1" x14ac:dyDescent="0.3">
      <c r="A2140" s="382" t="s">
        <v>1740</v>
      </c>
      <c r="B2140" s="312" t="s">
        <v>413</v>
      </c>
      <c r="C2140" s="382" t="s">
        <v>414</v>
      </c>
      <c r="D2140" s="382" t="s">
        <v>415</v>
      </c>
      <c r="E2140" s="586" t="s">
        <v>1029</v>
      </c>
      <c r="F2140" s="586"/>
      <c r="G2140" s="383" t="s">
        <v>416</v>
      </c>
      <c r="H2140" s="312" t="s">
        <v>1030</v>
      </c>
      <c r="I2140" s="312" t="s">
        <v>3016</v>
      </c>
      <c r="J2140" s="312" t="s">
        <v>1031</v>
      </c>
      <c r="K2140" s="312" t="s">
        <v>1032</v>
      </c>
      <c r="L2140" s="168"/>
    </row>
    <row r="2141" spans="1:12" ht="25.5" customHeight="1" x14ac:dyDescent="0.3">
      <c r="A2141" s="313" t="s">
        <v>1033</v>
      </c>
      <c r="B2141" s="315" t="s">
        <v>934</v>
      </c>
      <c r="C2141" s="313" t="s">
        <v>395</v>
      </c>
      <c r="D2141" s="313" t="s">
        <v>5951</v>
      </c>
      <c r="E2141" s="603" t="s">
        <v>7783</v>
      </c>
      <c r="F2141" s="603"/>
      <c r="G2141" s="314" t="s">
        <v>4</v>
      </c>
      <c r="H2141" s="399">
        <v>1</v>
      </c>
      <c r="I2141" s="316"/>
      <c r="J2141" s="316">
        <v>47.26</v>
      </c>
      <c r="K2141" s="316">
        <v>47.26</v>
      </c>
      <c r="L2141" s="168"/>
    </row>
    <row r="2142" spans="1:12" ht="15" customHeight="1" x14ac:dyDescent="0.3">
      <c r="A2142" s="408" t="s">
        <v>1034</v>
      </c>
      <c r="B2142" s="409" t="s">
        <v>1035</v>
      </c>
      <c r="C2142" s="408" t="s">
        <v>395</v>
      </c>
      <c r="D2142" s="408" t="s">
        <v>128</v>
      </c>
      <c r="E2142" s="604" t="s">
        <v>7768</v>
      </c>
      <c r="F2142" s="604"/>
      <c r="G2142" s="410" t="s">
        <v>6</v>
      </c>
      <c r="H2142" s="412">
        <v>0.51100000000000001</v>
      </c>
      <c r="I2142" s="412">
        <v>0</v>
      </c>
      <c r="J2142" s="411">
        <v>34.5</v>
      </c>
      <c r="K2142" s="411">
        <v>17.6295</v>
      </c>
      <c r="L2142" s="166"/>
    </row>
    <row r="2143" spans="1:12" ht="25.5" customHeight="1" x14ac:dyDescent="0.3">
      <c r="A2143" s="408" t="s">
        <v>1034</v>
      </c>
      <c r="B2143" s="409" t="s">
        <v>1037</v>
      </c>
      <c r="C2143" s="408" t="s">
        <v>395</v>
      </c>
      <c r="D2143" s="408" t="s">
        <v>135</v>
      </c>
      <c r="E2143" s="604" t="s">
        <v>7768</v>
      </c>
      <c r="F2143" s="604"/>
      <c r="G2143" s="410" t="s">
        <v>6</v>
      </c>
      <c r="H2143" s="412">
        <v>0.51100000000000001</v>
      </c>
      <c r="I2143" s="412">
        <v>0</v>
      </c>
      <c r="J2143" s="411">
        <v>41.81</v>
      </c>
      <c r="K2143" s="411">
        <v>21.364909999999998</v>
      </c>
      <c r="L2143" s="166"/>
    </row>
    <row r="2144" spans="1:12" ht="25.5" customHeight="1" x14ac:dyDescent="0.3">
      <c r="A2144" s="400" t="s">
        <v>1038</v>
      </c>
      <c r="B2144" s="401" t="s">
        <v>1229</v>
      </c>
      <c r="C2144" s="400" t="s">
        <v>395</v>
      </c>
      <c r="D2144" s="400" t="s">
        <v>287</v>
      </c>
      <c r="E2144" s="605" t="s">
        <v>1039</v>
      </c>
      <c r="F2144" s="605"/>
      <c r="G2144" s="402" t="s">
        <v>4</v>
      </c>
      <c r="H2144" s="403">
        <v>1</v>
      </c>
      <c r="I2144" s="403">
        <v>0</v>
      </c>
      <c r="J2144" s="404">
        <v>8.27</v>
      </c>
      <c r="K2144" s="404">
        <v>8.27</v>
      </c>
      <c r="L2144" s="168"/>
    </row>
    <row r="2145" spans="1:12" ht="12.75" customHeight="1" x14ac:dyDescent="0.3">
      <c r="A2145" s="405"/>
      <c r="B2145" s="405"/>
      <c r="C2145" s="405"/>
      <c r="D2145" s="405"/>
      <c r="E2145" s="405" t="s">
        <v>1046</v>
      </c>
      <c r="F2145" s="406">
        <v>28.45</v>
      </c>
      <c r="G2145" s="405" t="s">
        <v>1047</v>
      </c>
      <c r="H2145" s="406">
        <v>0</v>
      </c>
      <c r="I2145" s="405" t="s">
        <v>1048</v>
      </c>
      <c r="J2145" s="406">
        <v>28.45</v>
      </c>
      <c r="K2145"/>
      <c r="L2145" s="168"/>
    </row>
    <row r="2146" spans="1:12" ht="15.6" thickBot="1" x14ac:dyDescent="0.35">
      <c r="A2146" s="405"/>
      <c r="B2146" s="405"/>
      <c r="C2146" s="405"/>
      <c r="D2146" s="405"/>
      <c r="E2146" s="405" t="s">
        <v>1049</v>
      </c>
      <c r="F2146" s="406">
        <v>0</v>
      </c>
      <c r="G2146" s="405"/>
      <c r="H2146" s="606"/>
      <c r="I2146" s="606" t="s">
        <v>1050</v>
      </c>
      <c r="J2146" s="406">
        <v>47.26</v>
      </c>
      <c r="K2146"/>
      <c r="L2146" s="168"/>
    </row>
    <row r="2147" spans="1:12" ht="14.25" customHeight="1" thickTop="1" x14ac:dyDescent="0.3">
      <c r="A2147" s="407"/>
      <c r="B2147" s="407"/>
      <c r="C2147" s="407"/>
      <c r="D2147" s="407"/>
      <c r="E2147" s="407"/>
      <c r="F2147" s="407"/>
      <c r="G2147" s="407"/>
      <c r="H2147" s="407"/>
      <c r="I2147" s="407"/>
      <c r="J2147" s="407"/>
      <c r="K2147" s="407"/>
      <c r="L2147" s="168"/>
    </row>
    <row r="2148" spans="1:12" ht="15" customHeight="1" x14ac:dyDescent="0.3">
      <c r="A2148" s="382" t="s">
        <v>1741</v>
      </c>
      <c r="B2148" s="312" t="s">
        <v>413</v>
      </c>
      <c r="C2148" s="382" t="s">
        <v>414</v>
      </c>
      <c r="D2148" s="382" t="s">
        <v>415</v>
      </c>
      <c r="E2148" s="586" t="s">
        <v>1029</v>
      </c>
      <c r="F2148" s="586"/>
      <c r="G2148" s="383" t="s">
        <v>416</v>
      </c>
      <c r="H2148" s="312" t="s">
        <v>1030</v>
      </c>
      <c r="I2148" s="312" t="s">
        <v>3016</v>
      </c>
      <c r="J2148" s="312" t="s">
        <v>1031</v>
      </c>
      <c r="K2148" s="312" t="s">
        <v>1032</v>
      </c>
      <c r="L2148" s="168"/>
    </row>
    <row r="2149" spans="1:12" ht="14.25" customHeight="1" x14ac:dyDescent="0.3">
      <c r="A2149" s="313" t="s">
        <v>1033</v>
      </c>
      <c r="B2149" s="315" t="s">
        <v>871</v>
      </c>
      <c r="C2149" s="313" t="s">
        <v>5902</v>
      </c>
      <c r="D2149" s="313" t="s">
        <v>419</v>
      </c>
      <c r="E2149" s="603">
        <v>40.020000000000003</v>
      </c>
      <c r="F2149" s="603"/>
      <c r="G2149" s="314" t="s">
        <v>4</v>
      </c>
      <c r="H2149" s="399">
        <v>1</v>
      </c>
      <c r="I2149" s="316"/>
      <c r="J2149" s="316">
        <v>87.43</v>
      </c>
      <c r="K2149" s="316">
        <v>87.43</v>
      </c>
      <c r="L2149" s="168"/>
    </row>
    <row r="2150" spans="1:12" ht="25.5" customHeight="1" x14ac:dyDescent="0.3">
      <c r="A2150" s="400" t="s">
        <v>1038</v>
      </c>
      <c r="B2150" s="401" t="s">
        <v>1051</v>
      </c>
      <c r="C2150" s="400" t="s">
        <v>5902</v>
      </c>
      <c r="D2150" s="400" t="s">
        <v>1052</v>
      </c>
      <c r="E2150" s="605" t="s">
        <v>1053</v>
      </c>
      <c r="F2150" s="605"/>
      <c r="G2150" s="402" t="s">
        <v>6</v>
      </c>
      <c r="H2150" s="403">
        <v>0.8</v>
      </c>
      <c r="I2150" s="403">
        <v>0</v>
      </c>
      <c r="J2150" s="404">
        <v>33.119999999999997</v>
      </c>
      <c r="K2150" s="404">
        <v>26.495999999999999</v>
      </c>
      <c r="L2150" s="168"/>
    </row>
    <row r="2151" spans="1:12" ht="25.5" customHeight="1" x14ac:dyDescent="0.3">
      <c r="A2151" s="400" t="s">
        <v>1038</v>
      </c>
      <c r="B2151" s="401" t="s">
        <v>1054</v>
      </c>
      <c r="C2151" s="400" t="s">
        <v>5902</v>
      </c>
      <c r="D2151" s="400" t="s">
        <v>1055</v>
      </c>
      <c r="E2151" s="605" t="s">
        <v>1053</v>
      </c>
      <c r="F2151" s="605"/>
      <c r="G2151" s="402" t="s">
        <v>6</v>
      </c>
      <c r="H2151" s="403">
        <v>0.8</v>
      </c>
      <c r="I2151" s="403">
        <v>0</v>
      </c>
      <c r="J2151" s="404">
        <v>22.71</v>
      </c>
      <c r="K2151" s="404">
        <v>18.167999999999999</v>
      </c>
      <c r="L2151" s="166"/>
    </row>
    <row r="2152" spans="1:12" ht="25.5" customHeight="1" x14ac:dyDescent="0.3">
      <c r="A2152" s="400" t="s">
        <v>1038</v>
      </c>
      <c r="B2152" s="401" t="s">
        <v>1064</v>
      </c>
      <c r="C2152" s="400" t="s">
        <v>5902</v>
      </c>
      <c r="D2152" s="400" t="s">
        <v>1065</v>
      </c>
      <c r="E2152" s="605" t="s">
        <v>1039</v>
      </c>
      <c r="F2152" s="605"/>
      <c r="G2152" s="402" t="s">
        <v>4</v>
      </c>
      <c r="H2152" s="403">
        <v>1</v>
      </c>
      <c r="I2152" s="403">
        <v>0</v>
      </c>
      <c r="J2152" s="404">
        <v>26.45</v>
      </c>
      <c r="K2152" s="404">
        <v>26.45</v>
      </c>
      <c r="L2152" s="168"/>
    </row>
    <row r="2153" spans="1:12" ht="25.5" customHeight="1" x14ac:dyDescent="0.3">
      <c r="A2153" s="400" t="s">
        <v>1038</v>
      </c>
      <c r="B2153" s="401" t="s">
        <v>1062</v>
      </c>
      <c r="C2153" s="400" t="s">
        <v>5902</v>
      </c>
      <c r="D2153" s="400" t="s">
        <v>1063</v>
      </c>
      <c r="E2153" s="605" t="s">
        <v>1039</v>
      </c>
      <c r="F2153" s="605"/>
      <c r="G2153" s="402" t="s">
        <v>4</v>
      </c>
      <c r="H2153" s="403">
        <v>1</v>
      </c>
      <c r="I2153" s="403">
        <v>0</v>
      </c>
      <c r="J2153" s="404">
        <v>16.32</v>
      </c>
      <c r="K2153" s="404">
        <v>16.32</v>
      </c>
      <c r="L2153" s="168"/>
    </row>
    <row r="2154" spans="1:12" ht="25.5" customHeight="1" x14ac:dyDescent="0.3">
      <c r="A2154" s="405"/>
      <c r="B2154" s="405"/>
      <c r="C2154" s="405"/>
      <c r="D2154" s="405"/>
      <c r="E2154" s="405" t="s">
        <v>1046</v>
      </c>
      <c r="F2154" s="406">
        <v>44.67</v>
      </c>
      <c r="G2154" s="405" t="s">
        <v>1047</v>
      </c>
      <c r="H2154" s="406">
        <v>0</v>
      </c>
      <c r="I2154" s="405" t="s">
        <v>1048</v>
      </c>
      <c r="J2154" s="406">
        <v>44.67</v>
      </c>
      <c r="K2154"/>
      <c r="L2154" s="168"/>
    </row>
    <row r="2155" spans="1:12" ht="15.6" thickBot="1" x14ac:dyDescent="0.35">
      <c r="A2155" s="405"/>
      <c r="B2155" s="405"/>
      <c r="C2155" s="405"/>
      <c r="D2155" s="405"/>
      <c r="E2155" s="405" t="s">
        <v>1049</v>
      </c>
      <c r="F2155" s="406">
        <v>0</v>
      </c>
      <c r="G2155" s="405"/>
      <c r="H2155" s="606"/>
      <c r="I2155" s="606" t="s">
        <v>1050</v>
      </c>
      <c r="J2155" s="406">
        <v>87.43</v>
      </c>
      <c r="K2155"/>
      <c r="L2155" s="166"/>
    </row>
    <row r="2156" spans="1:12" ht="15.6" thickTop="1" x14ac:dyDescent="0.3">
      <c r="A2156" s="407"/>
      <c r="B2156" s="407"/>
      <c r="C2156" s="407"/>
      <c r="D2156" s="407"/>
      <c r="E2156" s="407"/>
      <c r="F2156" s="407"/>
      <c r="G2156" s="407"/>
      <c r="H2156" s="407"/>
      <c r="I2156" s="407"/>
      <c r="J2156" s="407"/>
      <c r="K2156" s="407"/>
      <c r="L2156" s="166"/>
    </row>
    <row r="2157" spans="1:12" ht="15" customHeight="1" x14ac:dyDescent="0.3">
      <c r="A2157" s="382" t="s">
        <v>1743</v>
      </c>
      <c r="B2157" s="312" t="s">
        <v>413</v>
      </c>
      <c r="C2157" s="382" t="s">
        <v>414</v>
      </c>
      <c r="D2157" s="382" t="s">
        <v>415</v>
      </c>
      <c r="E2157" s="586" t="s">
        <v>1029</v>
      </c>
      <c r="F2157" s="586"/>
      <c r="G2157" s="383" t="s">
        <v>416</v>
      </c>
      <c r="H2157" s="312" t="s">
        <v>1030</v>
      </c>
      <c r="I2157" s="312" t="s">
        <v>3016</v>
      </c>
      <c r="J2157" s="312" t="s">
        <v>1031</v>
      </c>
      <c r="K2157" s="312" t="s">
        <v>1032</v>
      </c>
      <c r="L2157" s="168"/>
    </row>
    <row r="2158" spans="1:12" ht="14.25" customHeight="1" x14ac:dyDescent="0.3">
      <c r="A2158" s="313" t="s">
        <v>1033</v>
      </c>
      <c r="B2158" s="315" t="s">
        <v>939</v>
      </c>
      <c r="C2158" s="313" t="s">
        <v>5902</v>
      </c>
      <c r="D2158" s="313" t="s">
        <v>529</v>
      </c>
      <c r="E2158" s="603">
        <v>38.21</v>
      </c>
      <c r="F2158" s="603"/>
      <c r="G2158" s="314" t="s">
        <v>7</v>
      </c>
      <c r="H2158" s="399">
        <v>1</v>
      </c>
      <c r="I2158" s="316"/>
      <c r="J2158" s="316">
        <v>89.43</v>
      </c>
      <c r="K2158" s="316">
        <v>89.43</v>
      </c>
      <c r="L2158" s="168"/>
    </row>
    <row r="2159" spans="1:12" ht="15" customHeight="1" x14ac:dyDescent="0.3">
      <c r="A2159" s="400" t="s">
        <v>1038</v>
      </c>
      <c r="B2159" s="401" t="s">
        <v>1051</v>
      </c>
      <c r="C2159" s="400" t="s">
        <v>5902</v>
      </c>
      <c r="D2159" s="400" t="s">
        <v>1052</v>
      </c>
      <c r="E2159" s="605" t="s">
        <v>1053</v>
      </c>
      <c r="F2159" s="605"/>
      <c r="G2159" s="402" t="s">
        <v>6</v>
      </c>
      <c r="H2159" s="403">
        <v>0.5</v>
      </c>
      <c r="I2159" s="403">
        <v>0</v>
      </c>
      <c r="J2159" s="404">
        <v>33.119999999999997</v>
      </c>
      <c r="K2159" s="404">
        <v>16.559999999999999</v>
      </c>
      <c r="L2159" s="168"/>
    </row>
    <row r="2160" spans="1:12" ht="25.5" customHeight="1" x14ac:dyDescent="0.3">
      <c r="A2160" s="400" t="s">
        <v>1038</v>
      </c>
      <c r="B2160" s="401" t="s">
        <v>1054</v>
      </c>
      <c r="C2160" s="400" t="s">
        <v>5902</v>
      </c>
      <c r="D2160" s="400" t="s">
        <v>1055</v>
      </c>
      <c r="E2160" s="605" t="s">
        <v>1053</v>
      </c>
      <c r="F2160" s="605"/>
      <c r="G2160" s="402" t="s">
        <v>6</v>
      </c>
      <c r="H2160" s="403">
        <v>0.5</v>
      </c>
      <c r="I2160" s="403">
        <v>0</v>
      </c>
      <c r="J2160" s="404">
        <v>22.71</v>
      </c>
      <c r="K2160" s="404">
        <v>11.355</v>
      </c>
      <c r="L2160" s="166"/>
    </row>
    <row r="2161" spans="1:12" ht="25.5" customHeight="1" x14ac:dyDescent="0.3">
      <c r="A2161" s="400" t="s">
        <v>1038</v>
      </c>
      <c r="B2161" s="401" t="s">
        <v>1238</v>
      </c>
      <c r="C2161" s="400" t="s">
        <v>5902</v>
      </c>
      <c r="D2161" s="400" t="s">
        <v>1239</v>
      </c>
      <c r="E2161" s="605" t="s">
        <v>1039</v>
      </c>
      <c r="F2161" s="605"/>
      <c r="G2161" s="402" t="s">
        <v>7</v>
      </c>
      <c r="H2161" s="403">
        <v>1.3</v>
      </c>
      <c r="I2161" s="403">
        <v>0</v>
      </c>
      <c r="J2161" s="404">
        <v>47.32</v>
      </c>
      <c r="K2161" s="404">
        <v>61.515999999999998</v>
      </c>
      <c r="L2161" s="166"/>
    </row>
    <row r="2162" spans="1:12" ht="15" x14ac:dyDescent="0.3">
      <c r="A2162" s="405"/>
      <c r="B2162" s="405"/>
      <c r="C2162" s="405"/>
      <c r="D2162" s="405"/>
      <c r="E2162" s="405" t="s">
        <v>1046</v>
      </c>
      <c r="F2162" s="406">
        <v>27.92</v>
      </c>
      <c r="G2162" s="405" t="s">
        <v>1047</v>
      </c>
      <c r="H2162" s="406">
        <v>0</v>
      </c>
      <c r="I2162" s="405" t="s">
        <v>1048</v>
      </c>
      <c r="J2162" s="406">
        <v>27.92</v>
      </c>
      <c r="K2162"/>
      <c r="L2162" s="166"/>
    </row>
    <row r="2163" spans="1:12" ht="25.5" customHeight="1" thickBot="1" x14ac:dyDescent="0.35">
      <c r="A2163" s="405"/>
      <c r="B2163" s="405"/>
      <c r="C2163" s="405"/>
      <c r="D2163" s="405"/>
      <c r="E2163" s="405" t="s">
        <v>1049</v>
      </c>
      <c r="F2163" s="406">
        <v>0</v>
      </c>
      <c r="G2163" s="405"/>
      <c r="H2163" s="606"/>
      <c r="I2163" s="606" t="s">
        <v>1050</v>
      </c>
      <c r="J2163" s="406">
        <v>89.43</v>
      </c>
      <c r="K2163"/>
      <c r="L2163" s="166"/>
    </row>
    <row r="2164" spans="1:12" ht="25.5" customHeight="1" thickTop="1" x14ac:dyDescent="0.3">
      <c r="A2164" s="407"/>
      <c r="B2164" s="407"/>
      <c r="C2164" s="407"/>
      <c r="D2164" s="407"/>
      <c r="E2164" s="407"/>
      <c r="F2164" s="407"/>
      <c r="G2164" s="407"/>
      <c r="H2164" s="407"/>
      <c r="I2164" s="407"/>
      <c r="J2164" s="407"/>
      <c r="K2164" s="407"/>
      <c r="L2164" s="166"/>
    </row>
    <row r="2165" spans="1:12" ht="12.75" customHeight="1" x14ac:dyDescent="0.3">
      <c r="A2165" s="382" t="s">
        <v>1745</v>
      </c>
      <c r="B2165" s="312" t="s">
        <v>413</v>
      </c>
      <c r="C2165" s="382" t="s">
        <v>414</v>
      </c>
      <c r="D2165" s="382" t="s">
        <v>415</v>
      </c>
      <c r="E2165" s="586" t="s">
        <v>1029</v>
      </c>
      <c r="F2165" s="586"/>
      <c r="G2165" s="383" t="s">
        <v>416</v>
      </c>
      <c r="H2165" s="312" t="s">
        <v>1030</v>
      </c>
      <c r="I2165" s="312" t="s">
        <v>3016</v>
      </c>
      <c r="J2165" s="312" t="s">
        <v>1031</v>
      </c>
      <c r="K2165" s="312" t="s">
        <v>1032</v>
      </c>
      <c r="L2165" s="166"/>
    </row>
    <row r="2166" spans="1:12" ht="15" customHeight="1" x14ac:dyDescent="0.3">
      <c r="A2166" s="313" t="s">
        <v>1033</v>
      </c>
      <c r="B2166" s="315" t="s">
        <v>942</v>
      </c>
      <c r="C2166" s="313" t="s">
        <v>5902</v>
      </c>
      <c r="D2166" s="313" t="s">
        <v>530</v>
      </c>
      <c r="E2166" s="603">
        <v>38.22</v>
      </c>
      <c r="F2166" s="603"/>
      <c r="G2166" s="314" t="s">
        <v>7</v>
      </c>
      <c r="H2166" s="399">
        <v>1</v>
      </c>
      <c r="I2166" s="316"/>
      <c r="J2166" s="316">
        <v>144.36000000000001</v>
      </c>
      <c r="K2166" s="316">
        <v>144.36000000000001</v>
      </c>
      <c r="L2166" s="166"/>
    </row>
    <row r="2167" spans="1:12" ht="26.4" x14ac:dyDescent="0.3">
      <c r="A2167" s="400" t="s">
        <v>1038</v>
      </c>
      <c r="B2167" s="401" t="s">
        <v>1051</v>
      </c>
      <c r="C2167" s="400" t="s">
        <v>5902</v>
      </c>
      <c r="D2167" s="400" t="s">
        <v>1052</v>
      </c>
      <c r="E2167" s="605" t="s">
        <v>1053</v>
      </c>
      <c r="F2167" s="605"/>
      <c r="G2167" s="402" t="s">
        <v>6</v>
      </c>
      <c r="H2167" s="403">
        <v>0.75</v>
      </c>
      <c r="I2167" s="403">
        <v>0</v>
      </c>
      <c r="J2167" s="404">
        <v>33.119999999999997</v>
      </c>
      <c r="K2167" s="404">
        <v>24.84</v>
      </c>
      <c r="L2167" s="168"/>
    </row>
    <row r="2168" spans="1:12" ht="15" customHeight="1" x14ac:dyDescent="0.3">
      <c r="A2168" s="400" t="s">
        <v>1038</v>
      </c>
      <c r="B2168" s="401" t="s">
        <v>1054</v>
      </c>
      <c r="C2168" s="400" t="s">
        <v>5902</v>
      </c>
      <c r="D2168" s="400" t="s">
        <v>1055</v>
      </c>
      <c r="E2168" s="605" t="s">
        <v>1053</v>
      </c>
      <c r="F2168" s="605"/>
      <c r="G2168" s="402" t="s">
        <v>6</v>
      </c>
      <c r="H2168" s="403">
        <v>0.75</v>
      </c>
      <c r="I2168" s="403">
        <v>0</v>
      </c>
      <c r="J2168" s="404">
        <v>22.71</v>
      </c>
      <c r="K2168" s="404">
        <v>17.032499999999999</v>
      </c>
      <c r="L2168" s="170"/>
    </row>
    <row r="2169" spans="1:12" ht="14.25" customHeight="1" x14ac:dyDescent="0.3">
      <c r="A2169" s="400" t="s">
        <v>1038</v>
      </c>
      <c r="B2169" s="401" t="s">
        <v>1242</v>
      </c>
      <c r="C2169" s="400" t="s">
        <v>5902</v>
      </c>
      <c r="D2169" s="400" t="s">
        <v>1243</v>
      </c>
      <c r="E2169" s="605" t="s">
        <v>1039</v>
      </c>
      <c r="F2169" s="605"/>
      <c r="G2169" s="402" t="s">
        <v>7</v>
      </c>
      <c r="H2169" s="403">
        <v>1.3</v>
      </c>
      <c r="I2169" s="403">
        <v>0</v>
      </c>
      <c r="J2169" s="404">
        <v>78.84</v>
      </c>
      <c r="K2169" s="404">
        <v>102.492</v>
      </c>
      <c r="L2169" s="168"/>
    </row>
    <row r="2170" spans="1:12" ht="25.5" customHeight="1" x14ac:dyDescent="0.3">
      <c r="A2170" s="405"/>
      <c r="B2170" s="405"/>
      <c r="C2170" s="405"/>
      <c r="D2170" s="405"/>
      <c r="E2170" s="405" t="s">
        <v>1046</v>
      </c>
      <c r="F2170" s="406">
        <v>41.87</v>
      </c>
      <c r="G2170" s="405" t="s">
        <v>1047</v>
      </c>
      <c r="H2170" s="406">
        <v>0</v>
      </c>
      <c r="I2170" s="405" t="s">
        <v>1048</v>
      </c>
      <c r="J2170" s="406">
        <v>41.87</v>
      </c>
      <c r="K2170"/>
      <c r="L2170" s="168"/>
    </row>
    <row r="2171" spans="1:12" ht="25.5" customHeight="1" thickBot="1" x14ac:dyDescent="0.35">
      <c r="A2171" s="405"/>
      <c r="B2171" s="405"/>
      <c r="C2171" s="405"/>
      <c r="D2171" s="405"/>
      <c r="E2171" s="405" t="s">
        <v>1049</v>
      </c>
      <c r="F2171" s="406">
        <v>0</v>
      </c>
      <c r="G2171" s="405"/>
      <c r="H2171" s="606"/>
      <c r="I2171" s="606" t="s">
        <v>1050</v>
      </c>
      <c r="J2171" s="406">
        <v>144.36000000000001</v>
      </c>
      <c r="K2171"/>
      <c r="L2171" s="168"/>
    </row>
    <row r="2172" spans="1:12" ht="25.5" customHeight="1" thickTop="1" x14ac:dyDescent="0.3">
      <c r="A2172" s="407"/>
      <c r="B2172" s="407"/>
      <c r="C2172" s="407"/>
      <c r="D2172" s="407"/>
      <c r="E2172" s="407"/>
      <c r="F2172" s="407"/>
      <c r="G2172" s="407"/>
      <c r="H2172" s="407"/>
      <c r="I2172" s="407"/>
      <c r="J2172" s="407"/>
      <c r="K2172" s="407"/>
      <c r="L2172" s="166"/>
    </row>
    <row r="2173" spans="1:12" ht="15" x14ac:dyDescent="0.3">
      <c r="A2173" s="382" t="s">
        <v>1747</v>
      </c>
      <c r="B2173" s="312" t="s">
        <v>413</v>
      </c>
      <c r="C2173" s="382" t="s">
        <v>414</v>
      </c>
      <c r="D2173" s="382" t="s">
        <v>415</v>
      </c>
      <c r="E2173" s="586" t="s">
        <v>1029</v>
      </c>
      <c r="F2173" s="586"/>
      <c r="G2173" s="383" t="s">
        <v>416</v>
      </c>
      <c r="H2173" s="312" t="s">
        <v>1030</v>
      </c>
      <c r="I2173" s="312" t="s">
        <v>3016</v>
      </c>
      <c r="J2173" s="312" t="s">
        <v>1031</v>
      </c>
      <c r="K2173" s="312" t="s">
        <v>1032</v>
      </c>
      <c r="L2173" s="166"/>
    </row>
    <row r="2174" spans="1:12" ht="25.5" customHeight="1" x14ac:dyDescent="0.3">
      <c r="A2174" s="313" t="s">
        <v>1033</v>
      </c>
      <c r="B2174" s="315" t="s">
        <v>872</v>
      </c>
      <c r="C2174" s="313" t="s">
        <v>420</v>
      </c>
      <c r="D2174" s="313" t="s">
        <v>421</v>
      </c>
      <c r="E2174" s="603" t="s">
        <v>1066</v>
      </c>
      <c r="F2174" s="603"/>
      <c r="G2174" s="314" t="s">
        <v>422</v>
      </c>
      <c r="H2174" s="399">
        <v>1</v>
      </c>
      <c r="I2174" s="316"/>
      <c r="J2174" s="316">
        <v>38.71</v>
      </c>
      <c r="K2174" s="316">
        <v>38.71</v>
      </c>
      <c r="L2174" s="168"/>
    </row>
    <row r="2175" spans="1:12" ht="25.5" customHeight="1" x14ac:dyDescent="0.3">
      <c r="A2175" s="408" t="s">
        <v>1034</v>
      </c>
      <c r="B2175" s="409" t="s">
        <v>1071</v>
      </c>
      <c r="C2175" s="408" t="s">
        <v>420</v>
      </c>
      <c r="D2175" s="408" t="s">
        <v>1072</v>
      </c>
      <c r="E2175" s="604" t="s">
        <v>1069</v>
      </c>
      <c r="F2175" s="604"/>
      <c r="G2175" s="410" t="s">
        <v>1070</v>
      </c>
      <c r="H2175" s="412">
        <v>0.2</v>
      </c>
      <c r="I2175" s="412">
        <v>0</v>
      </c>
      <c r="J2175" s="411">
        <v>3.95</v>
      </c>
      <c r="K2175" s="411">
        <v>0.79</v>
      </c>
      <c r="L2175" s="168"/>
    </row>
    <row r="2176" spans="1:12" ht="26.4" x14ac:dyDescent="0.3">
      <c r="A2176" s="408" t="s">
        <v>1034</v>
      </c>
      <c r="B2176" s="409" t="s">
        <v>1067</v>
      </c>
      <c r="C2176" s="408" t="s">
        <v>420</v>
      </c>
      <c r="D2176" s="408" t="s">
        <v>1068</v>
      </c>
      <c r="E2176" s="604" t="s">
        <v>1069</v>
      </c>
      <c r="F2176" s="604"/>
      <c r="G2176" s="410" t="s">
        <v>1070</v>
      </c>
      <c r="H2176" s="412">
        <v>0.2</v>
      </c>
      <c r="I2176" s="412">
        <v>0</v>
      </c>
      <c r="J2176" s="411">
        <v>3.82</v>
      </c>
      <c r="K2176" s="411">
        <v>0.76400000000000001</v>
      </c>
      <c r="L2176" s="168"/>
    </row>
    <row r="2177" spans="1:12" ht="15" customHeight="1" x14ac:dyDescent="0.3">
      <c r="A2177" s="400" t="s">
        <v>1038</v>
      </c>
      <c r="B2177" s="401" t="s">
        <v>1073</v>
      </c>
      <c r="C2177" s="400" t="s">
        <v>420</v>
      </c>
      <c r="D2177" s="400" t="s">
        <v>421</v>
      </c>
      <c r="E2177" s="605" t="s">
        <v>1039</v>
      </c>
      <c r="F2177" s="605"/>
      <c r="G2177" s="402" t="s">
        <v>422</v>
      </c>
      <c r="H2177" s="403">
        <v>1</v>
      </c>
      <c r="I2177" s="403">
        <v>0</v>
      </c>
      <c r="J2177" s="404">
        <v>29.95</v>
      </c>
      <c r="K2177" s="404">
        <v>29.95</v>
      </c>
      <c r="L2177" s="168"/>
    </row>
    <row r="2178" spans="1:12" ht="15" x14ac:dyDescent="0.3">
      <c r="A2178" s="400" t="s">
        <v>1038</v>
      </c>
      <c r="B2178" s="401" t="s">
        <v>6199</v>
      </c>
      <c r="C2178" s="400" t="s">
        <v>420</v>
      </c>
      <c r="D2178" s="400" t="s">
        <v>6200</v>
      </c>
      <c r="E2178" s="605" t="s">
        <v>1053</v>
      </c>
      <c r="F2178" s="605"/>
      <c r="G2178" s="402" t="s">
        <v>1070</v>
      </c>
      <c r="H2178" s="403">
        <v>0.2</v>
      </c>
      <c r="I2178" s="403">
        <v>0</v>
      </c>
      <c r="J2178" s="404">
        <v>20.45</v>
      </c>
      <c r="K2178" s="404">
        <v>4.09</v>
      </c>
      <c r="L2178" s="168"/>
    </row>
    <row r="2179" spans="1:12" ht="38.25" customHeight="1" x14ac:dyDescent="0.3">
      <c r="A2179" s="400" t="s">
        <v>1038</v>
      </c>
      <c r="B2179" s="401" t="s">
        <v>6251</v>
      </c>
      <c r="C2179" s="400" t="s">
        <v>420</v>
      </c>
      <c r="D2179" s="400" t="s">
        <v>6252</v>
      </c>
      <c r="E2179" s="605" t="s">
        <v>1053</v>
      </c>
      <c r="F2179" s="605"/>
      <c r="G2179" s="402" t="s">
        <v>1070</v>
      </c>
      <c r="H2179" s="403">
        <v>0.2</v>
      </c>
      <c r="I2179" s="403">
        <v>0</v>
      </c>
      <c r="J2179" s="404">
        <v>15.59</v>
      </c>
      <c r="K2179" s="404">
        <v>3.1179999999999999</v>
      </c>
      <c r="L2179" s="168"/>
    </row>
    <row r="2180" spans="1:12" ht="14.25" customHeight="1" x14ac:dyDescent="0.3">
      <c r="A2180" s="405"/>
      <c r="B2180" s="405"/>
      <c r="C2180" s="405"/>
      <c r="D2180" s="405"/>
      <c r="E2180" s="405" t="s">
        <v>1046</v>
      </c>
      <c r="F2180" s="406">
        <v>7.21</v>
      </c>
      <c r="G2180" s="405" t="s">
        <v>1047</v>
      </c>
      <c r="H2180" s="406">
        <v>0</v>
      </c>
      <c r="I2180" s="405" t="s">
        <v>1048</v>
      </c>
      <c r="J2180" s="406">
        <v>7.21</v>
      </c>
      <c r="K2180"/>
      <c r="L2180" s="168"/>
    </row>
    <row r="2181" spans="1:12" ht="15" customHeight="1" thickBot="1" x14ac:dyDescent="0.35">
      <c r="A2181" s="405"/>
      <c r="B2181" s="405"/>
      <c r="C2181" s="405"/>
      <c r="D2181" s="405"/>
      <c r="E2181" s="405" t="s">
        <v>1049</v>
      </c>
      <c r="F2181" s="406">
        <v>0</v>
      </c>
      <c r="G2181" s="405"/>
      <c r="H2181" s="606"/>
      <c r="I2181" s="606" t="s">
        <v>1050</v>
      </c>
      <c r="J2181" s="406">
        <v>38.71</v>
      </c>
      <c r="K2181"/>
      <c r="L2181" s="166"/>
    </row>
    <row r="2182" spans="1:12" ht="25.5" customHeight="1" thickTop="1" x14ac:dyDescent="0.3">
      <c r="A2182" s="407"/>
      <c r="B2182" s="407"/>
      <c r="C2182" s="407"/>
      <c r="D2182" s="407"/>
      <c r="E2182" s="407"/>
      <c r="F2182" s="407"/>
      <c r="G2182" s="407"/>
      <c r="H2182" s="407"/>
      <c r="I2182" s="407"/>
      <c r="J2182" s="407"/>
      <c r="K2182" s="407"/>
      <c r="L2182" s="168"/>
    </row>
    <row r="2183" spans="1:12" ht="15" x14ac:dyDescent="0.3">
      <c r="A2183" s="382" t="s">
        <v>1749</v>
      </c>
      <c r="B2183" s="312" t="s">
        <v>413</v>
      </c>
      <c r="C2183" s="382" t="s">
        <v>414</v>
      </c>
      <c r="D2183" s="382" t="s">
        <v>415</v>
      </c>
      <c r="E2183" s="586" t="s">
        <v>1029</v>
      </c>
      <c r="F2183" s="586"/>
      <c r="G2183" s="383" t="s">
        <v>416</v>
      </c>
      <c r="H2183" s="312" t="s">
        <v>1030</v>
      </c>
      <c r="I2183" s="312" t="s">
        <v>3016</v>
      </c>
      <c r="J2183" s="312" t="s">
        <v>1031</v>
      </c>
      <c r="K2183" s="312" t="s">
        <v>1032</v>
      </c>
      <c r="L2183" s="168"/>
    </row>
    <row r="2184" spans="1:12" ht="26.4" x14ac:dyDescent="0.3">
      <c r="A2184" s="313" t="s">
        <v>1033</v>
      </c>
      <c r="B2184" s="315" t="s">
        <v>873</v>
      </c>
      <c r="C2184" s="313" t="s">
        <v>420</v>
      </c>
      <c r="D2184" s="313" t="s">
        <v>423</v>
      </c>
      <c r="E2184" s="603" t="s">
        <v>1066</v>
      </c>
      <c r="F2184" s="603"/>
      <c r="G2184" s="314" t="s">
        <v>422</v>
      </c>
      <c r="H2184" s="399">
        <v>1</v>
      </c>
      <c r="I2184" s="316"/>
      <c r="J2184" s="316">
        <v>26.76</v>
      </c>
      <c r="K2184" s="316">
        <v>26.76</v>
      </c>
      <c r="L2184" s="168"/>
    </row>
    <row r="2185" spans="1:12" ht="25.5" customHeight="1" x14ac:dyDescent="0.3">
      <c r="A2185" s="408" t="s">
        <v>1034</v>
      </c>
      <c r="B2185" s="409" t="s">
        <v>1071</v>
      </c>
      <c r="C2185" s="408" t="s">
        <v>420</v>
      </c>
      <c r="D2185" s="408" t="s">
        <v>1072</v>
      </c>
      <c r="E2185" s="604" t="s">
        <v>1069</v>
      </c>
      <c r="F2185" s="604"/>
      <c r="G2185" s="410" t="s">
        <v>1070</v>
      </c>
      <c r="H2185" s="412">
        <v>0.2</v>
      </c>
      <c r="I2185" s="412">
        <v>0</v>
      </c>
      <c r="J2185" s="411">
        <v>3.95</v>
      </c>
      <c r="K2185" s="411">
        <v>0.79</v>
      </c>
      <c r="L2185" s="166"/>
    </row>
    <row r="2186" spans="1:12" ht="25.5" customHeight="1" x14ac:dyDescent="0.3">
      <c r="A2186" s="408" t="s">
        <v>1034</v>
      </c>
      <c r="B2186" s="409" t="s">
        <v>1067</v>
      </c>
      <c r="C2186" s="408" t="s">
        <v>420</v>
      </c>
      <c r="D2186" s="408" t="s">
        <v>1068</v>
      </c>
      <c r="E2186" s="604" t="s">
        <v>1069</v>
      </c>
      <c r="F2186" s="604"/>
      <c r="G2186" s="410" t="s">
        <v>1070</v>
      </c>
      <c r="H2186" s="412">
        <v>0.2</v>
      </c>
      <c r="I2186" s="412">
        <v>0</v>
      </c>
      <c r="J2186" s="411">
        <v>3.82</v>
      </c>
      <c r="K2186" s="411">
        <v>0.76400000000000001</v>
      </c>
      <c r="L2186" s="166"/>
    </row>
    <row r="2187" spans="1:12" ht="15" customHeight="1" x14ac:dyDescent="0.3">
      <c r="A2187" s="400" t="s">
        <v>1038</v>
      </c>
      <c r="B2187" s="401" t="s">
        <v>1076</v>
      </c>
      <c r="C2187" s="400" t="s">
        <v>420</v>
      </c>
      <c r="D2187" s="400" t="s">
        <v>423</v>
      </c>
      <c r="E2187" s="605" t="s">
        <v>1039</v>
      </c>
      <c r="F2187" s="605"/>
      <c r="G2187" s="402" t="s">
        <v>422</v>
      </c>
      <c r="H2187" s="403">
        <v>1</v>
      </c>
      <c r="I2187" s="403">
        <v>0</v>
      </c>
      <c r="J2187" s="404">
        <v>18</v>
      </c>
      <c r="K2187" s="404">
        <v>18</v>
      </c>
      <c r="L2187" s="168"/>
    </row>
    <row r="2188" spans="1:12" ht="15" customHeight="1" x14ac:dyDescent="0.3">
      <c r="A2188" s="400" t="s">
        <v>1038</v>
      </c>
      <c r="B2188" s="401" t="s">
        <v>6199</v>
      </c>
      <c r="C2188" s="400" t="s">
        <v>420</v>
      </c>
      <c r="D2188" s="400" t="s">
        <v>6200</v>
      </c>
      <c r="E2188" s="605" t="s">
        <v>1053</v>
      </c>
      <c r="F2188" s="605"/>
      <c r="G2188" s="402" t="s">
        <v>1070</v>
      </c>
      <c r="H2188" s="403">
        <v>0.2</v>
      </c>
      <c r="I2188" s="403">
        <v>0</v>
      </c>
      <c r="J2188" s="404">
        <v>20.45</v>
      </c>
      <c r="K2188" s="404">
        <v>4.09</v>
      </c>
      <c r="L2188" s="168"/>
    </row>
    <row r="2189" spans="1:12" ht="38.25" customHeight="1" x14ac:dyDescent="0.3">
      <c r="A2189" s="400" t="s">
        <v>1038</v>
      </c>
      <c r="B2189" s="401" t="s">
        <v>6251</v>
      </c>
      <c r="C2189" s="400" t="s">
        <v>420</v>
      </c>
      <c r="D2189" s="400" t="s">
        <v>6252</v>
      </c>
      <c r="E2189" s="605" t="s">
        <v>1053</v>
      </c>
      <c r="F2189" s="605"/>
      <c r="G2189" s="402" t="s">
        <v>1070</v>
      </c>
      <c r="H2189" s="403">
        <v>0.2</v>
      </c>
      <c r="I2189" s="403">
        <v>0</v>
      </c>
      <c r="J2189" s="404">
        <v>15.59</v>
      </c>
      <c r="K2189" s="404">
        <v>3.1179999999999999</v>
      </c>
      <c r="L2189" s="168"/>
    </row>
    <row r="2190" spans="1:12" ht="25.5" customHeight="1" x14ac:dyDescent="0.3">
      <c r="A2190" s="405"/>
      <c r="B2190" s="405"/>
      <c r="C2190" s="405"/>
      <c r="D2190" s="405"/>
      <c r="E2190" s="405" t="s">
        <v>1046</v>
      </c>
      <c r="F2190" s="406">
        <v>7.21</v>
      </c>
      <c r="G2190" s="405" t="s">
        <v>1047</v>
      </c>
      <c r="H2190" s="406">
        <v>0</v>
      </c>
      <c r="I2190" s="405" t="s">
        <v>1048</v>
      </c>
      <c r="J2190" s="406">
        <v>7.21</v>
      </c>
      <c r="K2190"/>
      <c r="L2190" s="166"/>
    </row>
    <row r="2191" spans="1:12" ht="15" customHeight="1" thickBot="1" x14ac:dyDescent="0.35">
      <c r="A2191" s="405"/>
      <c r="B2191" s="405"/>
      <c r="C2191" s="405"/>
      <c r="D2191" s="405"/>
      <c r="E2191" s="405" t="s">
        <v>1049</v>
      </c>
      <c r="F2191" s="406">
        <v>0</v>
      </c>
      <c r="G2191" s="405"/>
      <c r="H2191" s="606"/>
      <c r="I2191" s="606" t="s">
        <v>1050</v>
      </c>
      <c r="J2191" s="406">
        <v>26.76</v>
      </c>
      <c r="K2191"/>
      <c r="L2191" s="166"/>
    </row>
    <row r="2192" spans="1:12" ht="15" customHeight="1" thickTop="1" x14ac:dyDescent="0.3">
      <c r="A2192" s="407"/>
      <c r="B2192" s="407"/>
      <c r="C2192" s="407"/>
      <c r="D2192" s="407"/>
      <c r="E2192" s="407"/>
      <c r="F2192" s="407"/>
      <c r="G2192" s="407"/>
      <c r="H2192" s="407"/>
      <c r="I2192" s="407"/>
      <c r="J2192" s="407"/>
      <c r="K2192" s="407"/>
      <c r="L2192" s="166"/>
    </row>
    <row r="2193" spans="1:12" ht="25.5" customHeight="1" x14ac:dyDescent="0.3">
      <c r="A2193" s="382" t="s">
        <v>1751</v>
      </c>
      <c r="B2193" s="312" t="s">
        <v>413</v>
      </c>
      <c r="C2193" s="382" t="s">
        <v>414</v>
      </c>
      <c r="D2193" s="382" t="s">
        <v>415</v>
      </c>
      <c r="E2193" s="586" t="s">
        <v>1029</v>
      </c>
      <c r="F2193" s="586"/>
      <c r="G2193" s="383" t="s">
        <v>416</v>
      </c>
      <c r="H2193" s="312" t="s">
        <v>1030</v>
      </c>
      <c r="I2193" s="312" t="s">
        <v>3016</v>
      </c>
      <c r="J2193" s="312" t="s">
        <v>1031</v>
      </c>
      <c r="K2193" s="312" t="s">
        <v>1032</v>
      </c>
      <c r="L2193" s="166"/>
    </row>
    <row r="2194" spans="1:12" ht="25.5" customHeight="1" x14ac:dyDescent="0.3">
      <c r="A2194" s="313" t="s">
        <v>1033</v>
      </c>
      <c r="B2194" s="315" t="s">
        <v>880</v>
      </c>
      <c r="C2194" s="313" t="s">
        <v>431</v>
      </c>
      <c r="D2194" s="313" t="s">
        <v>432</v>
      </c>
      <c r="E2194" s="603" t="s">
        <v>1089</v>
      </c>
      <c r="F2194" s="603"/>
      <c r="G2194" s="314" t="s">
        <v>4</v>
      </c>
      <c r="H2194" s="399">
        <v>1</v>
      </c>
      <c r="I2194" s="316"/>
      <c r="J2194" s="316">
        <v>13.4</v>
      </c>
      <c r="K2194" s="316">
        <v>13.4</v>
      </c>
      <c r="L2194" s="166"/>
    </row>
    <row r="2195" spans="1:12" ht="25.5" customHeight="1" x14ac:dyDescent="0.3">
      <c r="A2195" s="400" t="s">
        <v>1038</v>
      </c>
      <c r="B2195" s="401" t="s">
        <v>1090</v>
      </c>
      <c r="C2195" s="400" t="s">
        <v>431</v>
      </c>
      <c r="D2195" s="400" t="s">
        <v>1091</v>
      </c>
      <c r="E2195" s="605" t="s">
        <v>1053</v>
      </c>
      <c r="F2195" s="605"/>
      <c r="G2195" s="402" t="s">
        <v>6</v>
      </c>
      <c r="H2195" s="403">
        <v>0.13</v>
      </c>
      <c r="I2195" s="403">
        <v>0</v>
      </c>
      <c r="J2195" s="404">
        <v>20.32</v>
      </c>
      <c r="K2195" s="404">
        <v>2.6415999999999999</v>
      </c>
      <c r="L2195" s="166"/>
    </row>
    <row r="2196" spans="1:12" ht="25.5" customHeight="1" x14ac:dyDescent="0.3">
      <c r="A2196" s="400" t="s">
        <v>1038</v>
      </c>
      <c r="B2196" s="401" t="s">
        <v>1092</v>
      </c>
      <c r="C2196" s="400" t="s">
        <v>431</v>
      </c>
      <c r="D2196" s="400" t="s">
        <v>1093</v>
      </c>
      <c r="E2196" s="605" t="s">
        <v>1053</v>
      </c>
      <c r="F2196" s="605"/>
      <c r="G2196" s="402" t="s">
        <v>6</v>
      </c>
      <c r="H2196" s="403">
        <v>0.13</v>
      </c>
      <c r="I2196" s="403">
        <v>0</v>
      </c>
      <c r="J2196" s="404">
        <v>29.41</v>
      </c>
      <c r="K2196" s="404">
        <v>3.8233000000000001</v>
      </c>
      <c r="L2196" s="166"/>
    </row>
    <row r="2197" spans="1:12" ht="25.5" customHeight="1" x14ac:dyDescent="0.3">
      <c r="A2197" s="400" t="s">
        <v>1038</v>
      </c>
      <c r="B2197" s="401" t="s">
        <v>1094</v>
      </c>
      <c r="C2197" s="400" t="s">
        <v>431</v>
      </c>
      <c r="D2197" s="400" t="s">
        <v>1095</v>
      </c>
      <c r="E2197" s="605" t="s">
        <v>1039</v>
      </c>
      <c r="F2197" s="605"/>
      <c r="G2197" s="402" t="s">
        <v>4</v>
      </c>
      <c r="H2197" s="403">
        <v>1</v>
      </c>
      <c r="I2197" s="403">
        <v>0</v>
      </c>
      <c r="J2197" s="404">
        <v>1.85</v>
      </c>
      <c r="K2197" s="404">
        <v>1.85</v>
      </c>
      <c r="L2197" s="168"/>
    </row>
    <row r="2198" spans="1:12" ht="45" customHeight="1" x14ac:dyDescent="0.3">
      <c r="A2198" s="400" t="s">
        <v>1038</v>
      </c>
      <c r="B2198" s="401" t="s">
        <v>1096</v>
      </c>
      <c r="C2198" s="400" t="s">
        <v>431</v>
      </c>
      <c r="D2198" s="400" t="s">
        <v>1097</v>
      </c>
      <c r="E2198" s="605" t="s">
        <v>1039</v>
      </c>
      <c r="F2198" s="605"/>
      <c r="G2198" s="402" t="s">
        <v>4</v>
      </c>
      <c r="H2198" s="403">
        <v>1</v>
      </c>
      <c r="I2198" s="403">
        <v>0</v>
      </c>
      <c r="J2198" s="404">
        <v>0.4</v>
      </c>
      <c r="K2198" s="404">
        <v>0.4</v>
      </c>
      <c r="L2198" s="170"/>
    </row>
    <row r="2199" spans="1:12" ht="15" customHeight="1" x14ac:dyDescent="0.3">
      <c r="A2199" s="400" t="s">
        <v>1038</v>
      </c>
      <c r="B2199" s="401" t="s">
        <v>1098</v>
      </c>
      <c r="C2199" s="400" t="s">
        <v>431</v>
      </c>
      <c r="D2199" s="400" t="s">
        <v>1099</v>
      </c>
      <c r="E2199" s="605" t="s">
        <v>1039</v>
      </c>
      <c r="F2199" s="605"/>
      <c r="G2199" s="402" t="s">
        <v>4</v>
      </c>
      <c r="H2199" s="403">
        <v>1</v>
      </c>
      <c r="I2199" s="403">
        <v>0</v>
      </c>
      <c r="J2199" s="404">
        <v>4.4000000000000004</v>
      </c>
      <c r="K2199" s="404">
        <v>4.4000000000000004</v>
      </c>
      <c r="L2199" s="168"/>
    </row>
    <row r="2200" spans="1:12" ht="25.5" customHeight="1" x14ac:dyDescent="0.3">
      <c r="A2200" s="400" t="s">
        <v>1038</v>
      </c>
      <c r="B2200" s="401" t="s">
        <v>1100</v>
      </c>
      <c r="C2200" s="400" t="s">
        <v>431</v>
      </c>
      <c r="D2200" s="400" t="s">
        <v>1101</v>
      </c>
      <c r="E2200" s="605" t="s">
        <v>1039</v>
      </c>
      <c r="F2200" s="605"/>
      <c r="G2200" s="402" t="s">
        <v>4</v>
      </c>
      <c r="H2200" s="403">
        <v>1</v>
      </c>
      <c r="I2200" s="403">
        <v>0</v>
      </c>
      <c r="J2200" s="404">
        <v>0.28999999999999998</v>
      </c>
      <c r="K2200" s="404">
        <v>0.28999999999999998</v>
      </c>
      <c r="L2200" s="168"/>
    </row>
    <row r="2201" spans="1:12" ht="15" customHeight="1" x14ac:dyDescent="0.3">
      <c r="A2201" s="405"/>
      <c r="B2201" s="405"/>
      <c r="C2201" s="405"/>
      <c r="D2201" s="405"/>
      <c r="E2201" s="405" t="s">
        <v>1046</v>
      </c>
      <c r="F2201" s="406">
        <v>6.46</v>
      </c>
      <c r="G2201" s="405" t="s">
        <v>1047</v>
      </c>
      <c r="H2201" s="406">
        <v>0</v>
      </c>
      <c r="I2201" s="405" t="s">
        <v>1048</v>
      </c>
      <c r="J2201" s="406">
        <v>6.46</v>
      </c>
      <c r="K2201"/>
      <c r="L2201" s="168"/>
    </row>
    <row r="2202" spans="1:12" ht="14.25" customHeight="1" thickBot="1" x14ac:dyDescent="0.35">
      <c r="A2202" s="405"/>
      <c r="B2202" s="405"/>
      <c r="C2202" s="405"/>
      <c r="D2202" s="405"/>
      <c r="E2202" s="405" t="s">
        <v>1049</v>
      </c>
      <c r="F2202" s="406">
        <v>0</v>
      </c>
      <c r="G2202" s="405"/>
      <c r="H2202" s="606"/>
      <c r="I2202" s="606" t="s">
        <v>1050</v>
      </c>
      <c r="J2202" s="406">
        <v>13.4</v>
      </c>
      <c r="K2202"/>
      <c r="L2202" s="166"/>
    </row>
    <row r="2203" spans="1:12" ht="15.6" thickTop="1" x14ac:dyDescent="0.3">
      <c r="A2203" s="407"/>
      <c r="B2203" s="407"/>
      <c r="C2203" s="407"/>
      <c r="D2203" s="407"/>
      <c r="E2203" s="407"/>
      <c r="F2203" s="407"/>
      <c r="G2203" s="407"/>
      <c r="H2203" s="407"/>
      <c r="I2203" s="407"/>
      <c r="J2203" s="407"/>
      <c r="K2203" s="407"/>
      <c r="L2203" s="166"/>
    </row>
    <row r="2204" spans="1:12" ht="25.5" customHeight="1" x14ac:dyDescent="0.3">
      <c r="A2204" s="382" t="s">
        <v>1753</v>
      </c>
      <c r="B2204" s="312" t="s">
        <v>413</v>
      </c>
      <c r="C2204" s="382" t="s">
        <v>414</v>
      </c>
      <c r="D2204" s="382" t="s">
        <v>415</v>
      </c>
      <c r="E2204" s="586" t="s">
        <v>1029</v>
      </c>
      <c r="F2204" s="586"/>
      <c r="G2204" s="383" t="s">
        <v>416</v>
      </c>
      <c r="H2204" s="312" t="s">
        <v>1030</v>
      </c>
      <c r="I2204" s="312" t="s">
        <v>3016</v>
      </c>
      <c r="J2204" s="312" t="s">
        <v>1031</v>
      </c>
      <c r="K2204" s="312" t="s">
        <v>1032</v>
      </c>
      <c r="L2204" s="168"/>
    </row>
    <row r="2205" spans="1:12" ht="25.5" customHeight="1" x14ac:dyDescent="0.3">
      <c r="A2205" s="313" t="s">
        <v>1033</v>
      </c>
      <c r="B2205" s="315" t="s">
        <v>3836</v>
      </c>
      <c r="C2205" s="313" t="s">
        <v>395</v>
      </c>
      <c r="D2205" s="313" t="s">
        <v>21</v>
      </c>
      <c r="E2205" s="603" t="s">
        <v>1227</v>
      </c>
      <c r="F2205" s="603"/>
      <c r="G2205" s="314" t="s">
        <v>7</v>
      </c>
      <c r="H2205" s="399">
        <v>1</v>
      </c>
      <c r="I2205" s="316"/>
      <c r="J2205" s="316">
        <v>32.14</v>
      </c>
      <c r="K2205" s="316">
        <v>32.14</v>
      </c>
      <c r="L2205" s="168"/>
    </row>
    <row r="2206" spans="1:12" ht="25.5" customHeight="1" x14ac:dyDescent="0.3">
      <c r="A2206" s="408" t="s">
        <v>1034</v>
      </c>
      <c r="B2206" s="409" t="s">
        <v>5248</v>
      </c>
      <c r="C2206" s="408" t="s">
        <v>395</v>
      </c>
      <c r="D2206" s="408" t="s">
        <v>5249</v>
      </c>
      <c r="E2206" s="604" t="s">
        <v>1227</v>
      </c>
      <c r="F2206" s="604"/>
      <c r="G2206" s="410" t="s">
        <v>4</v>
      </c>
      <c r="H2206" s="412">
        <v>0.33329999999999999</v>
      </c>
      <c r="I2206" s="412">
        <v>0</v>
      </c>
      <c r="J2206" s="411">
        <v>9.75</v>
      </c>
      <c r="K2206" s="411">
        <v>3.2496749999999999</v>
      </c>
      <c r="L2206" s="168"/>
    </row>
    <row r="2207" spans="1:12" ht="25.5" customHeight="1" x14ac:dyDescent="0.3">
      <c r="A2207" s="408" t="s">
        <v>1034</v>
      </c>
      <c r="B2207" s="409" t="s">
        <v>5160</v>
      </c>
      <c r="C2207" s="408" t="s">
        <v>395</v>
      </c>
      <c r="D2207" s="408" t="s">
        <v>7796</v>
      </c>
      <c r="E2207" s="604" t="s">
        <v>7797</v>
      </c>
      <c r="F2207" s="604"/>
      <c r="G2207" s="410" t="s">
        <v>7</v>
      </c>
      <c r="H2207" s="412">
        <v>1</v>
      </c>
      <c r="I2207" s="412">
        <v>0</v>
      </c>
      <c r="J2207" s="411">
        <v>12.98</v>
      </c>
      <c r="K2207" s="411">
        <v>12.98</v>
      </c>
      <c r="L2207" s="168"/>
    </row>
    <row r="2208" spans="1:12" ht="15" customHeight="1" x14ac:dyDescent="0.3">
      <c r="A2208" s="408" t="s">
        <v>1034</v>
      </c>
      <c r="B2208" s="409" t="s">
        <v>1037</v>
      </c>
      <c r="C2208" s="408" t="s">
        <v>395</v>
      </c>
      <c r="D2208" s="408" t="s">
        <v>135</v>
      </c>
      <c r="E2208" s="604" t="s">
        <v>7768</v>
      </c>
      <c r="F2208" s="604"/>
      <c r="G2208" s="410" t="s">
        <v>6</v>
      </c>
      <c r="H2208" s="412">
        <v>8.2400000000000001E-2</v>
      </c>
      <c r="I2208" s="412">
        <v>0</v>
      </c>
      <c r="J2208" s="411">
        <v>41.81</v>
      </c>
      <c r="K2208" s="411">
        <v>3.445144</v>
      </c>
      <c r="L2208" s="168"/>
    </row>
    <row r="2209" spans="1:12" ht="25.5" customHeight="1" x14ac:dyDescent="0.3">
      <c r="A2209" s="408" t="s">
        <v>1034</v>
      </c>
      <c r="B2209" s="409" t="s">
        <v>1035</v>
      </c>
      <c r="C2209" s="408" t="s">
        <v>395</v>
      </c>
      <c r="D2209" s="408" t="s">
        <v>128</v>
      </c>
      <c r="E2209" s="604" t="s">
        <v>7768</v>
      </c>
      <c r="F2209" s="604"/>
      <c r="G2209" s="410" t="s">
        <v>6</v>
      </c>
      <c r="H2209" s="412">
        <v>8.2400000000000001E-2</v>
      </c>
      <c r="I2209" s="412">
        <v>0</v>
      </c>
      <c r="J2209" s="411">
        <v>34.5</v>
      </c>
      <c r="K2209" s="411">
        <v>2.8428</v>
      </c>
      <c r="L2209" s="168"/>
    </row>
    <row r="2210" spans="1:12" ht="15" customHeight="1" x14ac:dyDescent="0.3">
      <c r="A2210" s="400" t="s">
        <v>1038</v>
      </c>
      <c r="B2210" s="401" t="s">
        <v>4240</v>
      </c>
      <c r="C2210" s="400" t="s">
        <v>395</v>
      </c>
      <c r="D2210" s="400" t="s">
        <v>4241</v>
      </c>
      <c r="E2210" s="605" t="s">
        <v>1039</v>
      </c>
      <c r="F2210" s="605"/>
      <c r="G2210" s="402" t="s">
        <v>7</v>
      </c>
      <c r="H2210" s="403">
        <v>1.05</v>
      </c>
      <c r="I2210" s="403">
        <v>0</v>
      </c>
      <c r="J2210" s="404">
        <v>9.16</v>
      </c>
      <c r="K2210" s="404">
        <v>9.6180000000000003</v>
      </c>
      <c r="L2210" s="166"/>
    </row>
    <row r="2211" spans="1:12" ht="25.5" customHeight="1" x14ac:dyDescent="0.3">
      <c r="A2211" s="405"/>
      <c r="B2211" s="405"/>
      <c r="C2211" s="405"/>
      <c r="D2211" s="405"/>
      <c r="E2211" s="405" t="s">
        <v>1046</v>
      </c>
      <c r="F2211" s="406">
        <v>14.14</v>
      </c>
      <c r="G2211" s="405" t="s">
        <v>1047</v>
      </c>
      <c r="H2211" s="406">
        <v>0</v>
      </c>
      <c r="I2211" s="405" t="s">
        <v>1048</v>
      </c>
      <c r="J2211" s="406">
        <v>14.14</v>
      </c>
      <c r="K2211"/>
      <c r="L2211" s="168"/>
    </row>
    <row r="2212" spans="1:12" ht="15.6" thickBot="1" x14ac:dyDescent="0.35">
      <c r="A2212" s="405"/>
      <c r="B2212" s="405"/>
      <c r="C2212" s="405"/>
      <c r="D2212" s="405"/>
      <c r="E2212" s="405" t="s">
        <v>1049</v>
      </c>
      <c r="F2212" s="406">
        <v>0</v>
      </c>
      <c r="G2212" s="405"/>
      <c r="H2212" s="606"/>
      <c r="I2212" s="606" t="s">
        <v>1050</v>
      </c>
      <c r="J2212" s="406">
        <v>32.14</v>
      </c>
      <c r="K2212"/>
      <c r="L2212" s="168"/>
    </row>
    <row r="2213" spans="1:12" ht="25.5" customHeight="1" thickTop="1" x14ac:dyDescent="0.3">
      <c r="A2213" s="407"/>
      <c r="B2213" s="407"/>
      <c r="C2213" s="407"/>
      <c r="D2213" s="407"/>
      <c r="E2213" s="407"/>
      <c r="F2213" s="407"/>
      <c r="G2213" s="407"/>
      <c r="H2213" s="407"/>
      <c r="I2213" s="407"/>
      <c r="J2213" s="407"/>
      <c r="K2213" s="407"/>
      <c r="L2213" s="168"/>
    </row>
    <row r="2214" spans="1:12" ht="25.5" customHeight="1" x14ac:dyDescent="0.3">
      <c r="A2214" s="382" t="s">
        <v>1755</v>
      </c>
      <c r="B2214" s="312" t="s">
        <v>413</v>
      </c>
      <c r="C2214" s="382" t="s">
        <v>414</v>
      </c>
      <c r="D2214" s="382" t="s">
        <v>415</v>
      </c>
      <c r="E2214" s="586" t="s">
        <v>1029</v>
      </c>
      <c r="F2214" s="586"/>
      <c r="G2214" s="383" t="s">
        <v>416</v>
      </c>
      <c r="H2214" s="312" t="s">
        <v>1030</v>
      </c>
      <c r="I2214" s="312" t="s">
        <v>3016</v>
      </c>
      <c r="J2214" s="312" t="s">
        <v>1031</v>
      </c>
      <c r="K2214" s="312" t="s">
        <v>1032</v>
      </c>
      <c r="L2214" s="166"/>
    </row>
    <row r="2215" spans="1:12" ht="25.5" customHeight="1" x14ac:dyDescent="0.3">
      <c r="A2215" s="313" t="s">
        <v>1033</v>
      </c>
      <c r="B2215" s="315" t="s">
        <v>3837</v>
      </c>
      <c r="C2215" s="313" t="s">
        <v>395</v>
      </c>
      <c r="D2215" s="313" t="s">
        <v>22</v>
      </c>
      <c r="E2215" s="603" t="s">
        <v>1227</v>
      </c>
      <c r="F2215" s="603"/>
      <c r="G2215" s="314" t="s">
        <v>7</v>
      </c>
      <c r="H2215" s="399">
        <v>1</v>
      </c>
      <c r="I2215" s="316"/>
      <c r="J2215" s="316">
        <v>48.62</v>
      </c>
      <c r="K2215" s="316">
        <v>48.62</v>
      </c>
      <c r="L2215" s="166"/>
    </row>
    <row r="2216" spans="1:12" ht="25.5" customHeight="1" x14ac:dyDescent="0.3">
      <c r="A2216" s="408" t="s">
        <v>1034</v>
      </c>
      <c r="B2216" s="409" t="s">
        <v>5250</v>
      </c>
      <c r="C2216" s="408" t="s">
        <v>395</v>
      </c>
      <c r="D2216" s="408" t="s">
        <v>5251</v>
      </c>
      <c r="E2216" s="604" t="s">
        <v>1227</v>
      </c>
      <c r="F2216" s="604"/>
      <c r="G2216" s="410" t="s">
        <v>4</v>
      </c>
      <c r="H2216" s="412">
        <v>0.33329999999999999</v>
      </c>
      <c r="I2216" s="412">
        <v>0</v>
      </c>
      <c r="J2216" s="411">
        <v>12.29</v>
      </c>
      <c r="K2216" s="411">
        <v>4.0962569999999996</v>
      </c>
      <c r="L2216" s="168"/>
    </row>
    <row r="2217" spans="1:12" ht="15" customHeight="1" x14ac:dyDescent="0.3">
      <c r="A2217" s="408" t="s">
        <v>1034</v>
      </c>
      <c r="B2217" s="409" t="s">
        <v>5160</v>
      </c>
      <c r="C2217" s="408" t="s">
        <v>395</v>
      </c>
      <c r="D2217" s="408" t="s">
        <v>7796</v>
      </c>
      <c r="E2217" s="604" t="s">
        <v>7797</v>
      </c>
      <c r="F2217" s="604"/>
      <c r="G2217" s="410" t="s">
        <v>7</v>
      </c>
      <c r="H2217" s="412">
        <v>1</v>
      </c>
      <c r="I2217" s="412">
        <v>0</v>
      </c>
      <c r="J2217" s="411">
        <v>12.98</v>
      </c>
      <c r="K2217" s="411">
        <v>12.98</v>
      </c>
      <c r="L2217" s="168"/>
    </row>
    <row r="2218" spans="1:12" ht="25.5" customHeight="1" x14ac:dyDescent="0.3">
      <c r="A2218" s="408" t="s">
        <v>1034</v>
      </c>
      <c r="B2218" s="409" t="s">
        <v>1037</v>
      </c>
      <c r="C2218" s="408" t="s">
        <v>395</v>
      </c>
      <c r="D2218" s="408" t="s">
        <v>135</v>
      </c>
      <c r="E2218" s="604" t="s">
        <v>7768</v>
      </c>
      <c r="F2218" s="604"/>
      <c r="G2218" s="410" t="s">
        <v>6</v>
      </c>
      <c r="H2218" s="412">
        <v>0.10440000000000001</v>
      </c>
      <c r="I2218" s="412">
        <v>0</v>
      </c>
      <c r="J2218" s="411">
        <v>41.81</v>
      </c>
      <c r="K2218" s="411">
        <v>4.3649639999999996</v>
      </c>
      <c r="L2218" s="168"/>
    </row>
    <row r="2219" spans="1:12" ht="15" customHeight="1" x14ac:dyDescent="0.3">
      <c r="A2219" s="408" t="s">
        <v>1034</v>
      </c>
      <c r="B2219" s="409" t="s">
        <v>1035</v>
      </c>
      <c r="C2219" s="408" t="s">
        <v>395</v>
      </c>
      <c r="D2219" s="408" t="s">
        <v>128</v>
      </c>
      <c r="E2219" s="604" t="s">
        <v>7768</v>
      </c>
      <c r="F2219" s="604"/>
      <c r="G2219" s="410" t="s">
        <v>6</v>
      </c>
      <c r="H2219" s="412">
        <v>0.10440000000000001</v>
      </c>
      <c r="I2219" s="412">
        <v>0</v>
      </c>
      <c r="J2219" s="411">
        <v>34.5</v>
      </c>
      <c r="K2219" s="411">
        <v>3.6017999999999999</v>
      </c>
      <c r="L2219" s="166"/>
    </row>
    <row r="2220" spans="1:12" ht="17.399999999999999" customHeight="1" x14ac:dyDescent="0.3">
      <c r="A2220" s="400" t="s">
        <v>1038</v>
      </c>
      <c r="B2220" s="401" t="s">
        <v>4291</v>
      </c>
      <c r="C2220" s="400" t="s">
        <v>395</v>
      </c>
      <c r="D2220" s="400" t="s">
        <v>4292</v>
      </c>
      <c r="E2220" s="605" t="s">
        <v>1039</v>
      </c>
      <c r="F2220" s="605"/>
      <c r="G2220" s="402" t="s">
        <v>7</v>
      </c>
      <c r="H2220" s="403">
        <v>1.05</v>
      </c>
      <c r="I2220" s="403">
        <v>0</v>
      </c>
      <c r="J2220" s="404">
        <v>22.45</v>
      </c>
      <c r="K2220" s="404">
        <v>23.572500000000002</v>
      </c>
      <c r="L2220" s="166"/>
    </row>
    <row r="2221" spans="1:12" ht="25.5" customHeight="1" x14ac:dyDescent="0.3">
      <c r="A2221" s="405"/>
      <c r="B2221" s="405"/>
      <c r="C2221" s="405"/>
      <c r="D2221" s="405"/>
      <c r="E2221" s="405" t="s">
        <v>1046</v>
      </c>
      <c r="F2221" s="406">
        <v>15.92</v>
      </c>
      <c r="G2221" s="405" t="s">
        <v>1047</v>
      </c>
      <c r="H2221" s="406">
        <v>0</v>
      </c>
      <c r="I2221" s="405" t="s">
        <v>1048</v>
      </c>
      <c r="J2221" s="406">
        <v>15.92</v>
      </c>
      <c r="K2221"/>
      <c r="L2221" s="166"/>
    </row>
    <row r="2222" spans="1:12" ht="25.5" customHeight="1" thickBot="1" x14ac:dyDescent="0.35">
      <c r="A2222" s="405"/>
      <c r="B2222" s="405"/>
      <c r="C2222" s="405"/>
      <c r="D2222" s="405"/>
      <c r="E2222" s="405" t="s">
        <v>1049</v>
      </c>
      <c r="F2222" s="406">
        <v>0</v>
      </c>
      <c r="G2222" s="405"/>
      <c r="H2222" s="606"/>
      <c r="I2222" s="606" t="s">
        <v>1050</v>
      </c>
      <c r="J2222" s="406">
        <v>48.62</v>
      </c>
      <c r="K2222"/>
      <c r="L2222" s="166"/>
    </row>
    <row r="2223" spans="1:12" ht="25.5" customHeight="1" thickTop="1" x14ac:dyDescent="0.3">
      <c r="A2223" s="407"/>
      <c r="B2223" s="407"/>
      <c r="C2223" s="407"/>
      <c r="D2223" s="407"/>
      <c r="E2223" s="407"/>
      <c r="F2223" s="407"/>
      <c r="G2223" s="407"/>
      <c r="H2223" s="407"/>
      <c r="I2223" s="407"/>
      <c r="J2223" s="407"/>
      <c r="K2223" s="407"/>
      <c r="L2223" s="166"/>
    </row>
    <row r="2224" spans="1:12" ht="25.5" customHeight="1" x14ac:dyDescent="0.3">
      <c r="A2224" s="382" t="s">
        <v>1756</v>
      </c>
      <c r="B2224" s="312" t="s">
        <v>413</v>
      </c>
      <c r="C2224" s="382" t="s">
        <v>414</v>
      </c>
      <c r="D2224" s="382" t="s">
        <v>415</v>
      </c>
      <c r="E2224" s="586" t="s">
        <v>1029</v>
      </c>
      <c r="F2224" s="586"/>
      <c r="G2224" s="383" t="s">
        <v>416</v>
      </c>
      <c r="H2224" s="312" t="s">
        <v>1030</v>
      </c>
      <c r="I2224" s="312" t="s">
        <v>3016</v>
      </c>
      <c r="J2224" s="312" t="s">
        <v>1031</v>
      </c>
      <c r="K2224" s="312" t="s">
        <v>1032</v>
      </c>
      <c r="L2224" s="166"/>
    </row>
    <row r="2225" spans="1:12" ht="25.5" customHeight="1" x14ac:dyDescent="0.3">
      <c r="A2225" s="313" t="s">
        <v>1033</v>
      </c>
      <c r="B2225" s="315" t="s">
        <v>3838</v>
      </c>
      <c r="C2225" s="313" t="s">
        <v>395</v>
      </c>
      <c r="D2225" s="313" t="s">
        <v>5952</v>
      </c>
      <c r="E2225" s="603" t="s">
        <v>7870</v>
      </c>
      <c r="F2225" s="603"/>
      <c r="G2225" s="314" t="s">
        <v>4</v>
      </c>
      <c r="H2225" s="399">
        <v>1</v>
      </c>
      <c r="I2225" s="316"/>
      <c r="J2225" s="316">
        <v>62.5</v>
      </c>
      <c r="K2225" s="316">
        <v>62.5</v>
      </c>
      <c r="L2225" s="166"/>
    </row>
    <row r="2226" spans="1:12" ht="15" customHeight="1" x14ac:dyDescent="0.3">
      <c r="A2226" s="408" t="s">
        <v>1034</v>
      </c>
      <c r="B2226" s="409" t="s">
        <v>1113</v>
      </c>
      <c r="C2226" s="408" t="s">
        <v>395</v>
      </c>
      <c r="D2226" s="408" t="s">
        <v>129</v>
      </c>
      <c r="E2226" s="604" t="s">
        <v>7768</v>
      </c>
      <c r="F2226" s="604"/>
      <c r="G2226" s="410" t="s">
        <v>6</v>
      </c>
      <c r="H2226" s="412">
        <v>0.27735599999999999</v>
      </c>
      <c r="I2226" s="412">
        <v>0</v>
      </c>
      <c r="J2226" s="411">
        <v>33.450000000000003</v>
      </c>
      <c r="K2226" s="411">
        <v>9.2775581999999996</v>
      </c>
      <c r="L2226" s="168"/>
    </row>
    <row r="2227" spans="1:12" ht="26.4" x14ac:dyDescent="0.3">
      <c r="A2227" s="408" t="s">
        <v>1034</v>
      </c>
      <c r="B2227" s="409" t="s">
        <v>1112</v>
      </c>
      <c r="C2227" s="408" t="s">
        <v>395</v>
      </c>
      <c r="D2227" s="408" t="s">
        <v>137</v>
      </c>
      <c r="E2227" s="604" t="s">
        <v>7768</v>
      </c>
      <c r="F2227" s="604"/>
      <c r="G2227" s="410" t="s">
        <v>6</v>
      </c>
      <c r="H2227" s="412">
        <v>0.27735599999999999</v>
      </c>
      <c r="I2227" s="412">
        <v>0</v>
      </c>
      <c r="J2227" s="411">
        <v>40.299999999999997</v>
      </c>
      <c r="K2227" s="411">
        <v>11.1774468</v>
      </c>
      <c r="L2227" s="170"/>
    </row>
    <row r="2228" spans="1:12" ht="17.399999999999999" customHeight="1" x14ac:dyDescent="0.3">
      <c r="A2228" s="408" t="s">
        <v>1034</v>
      </c>
      <c r="B2228" s="409" t="s">
        <v>1554</v>
      </c>
      <c r="C2228" s="408" t="s">
        <v>395</v>
      </c>
      <c r="D2228" s="408" t="s">
        <v>148</v>
      </c>
      <c r="E2228" s="604" t="s">
        <v>7768</v>
      </c>
      <c r="F2228" s="604"/>
      <c r="G2228" s="410" t="s">
        <v>6</v>
      </c>
      <c r="H2228" s="412">
        <v>0.27735599999999999</v>
      </c>
      <c r="I2228" s="412">
        <v>0</v>
      </c>
      <c r="J2228" s="411">
        <v>50.53</v>
      </c>
      <c r="K2228" s="411">
        <v>14.0147987</v>
      </c>
      <c r="L2228" s="168"/>
    </row>
    <row r="2229" spans="1:12" ht="15" customHeight="1" x14ac:dyDescent="0.3">
      <c r="A2229" s="400" t="s">
        <v>1038</v>
      </c>
      <c r="B2229" s="401" t="s">
        <v>4791</v>
      </c>
      <c r="C2229" s="400" t="s">
        <v>395</v>
      </c>
      <c r="D2229" s="400" t="s">
        <v>4792</v>
      </c>
      <c r="E2229" s="605" t="s">
        <v>1039</v>
      </c>
      <c r="F2229" s="605"/>
      <c r="G2229" s="402" t="s">
        <v>3</v>
      </c>
      <c r="H2229" s="403">
        <v>1.2144E-2</v>
      </c>
      <c r="I2229" s="403">
        <v>0</v>
      </c>
      <c r="J2229" s="404">
        <v>39.380000000000003</v>
      </c>
      <c r="K2229" s="404">
        <v>0.47823070000000001</v>
      </c>
      <c r="L2229" s="168"/>
    </row>
    <row r="2230" spans="1:12" ht="25.5" customHeight="1" x14ac:dyDescent="0.3">
      <c r="A2230" s="400" t="s">
        <v>1038</v>
      </c>
      <c r="B2230" s="401" t="s">
        <v>4170</v>
      </c>
      <c r="C2230" s="400" t="s">
        <v>395</v>
      </c>
      <c r="D2230" s="400" t="s">
        <v>4171</v>
      </c>
      <c r="E2230" s="605" t="s">
        <v>1039</v>
      </c>
      <c r="F2230" s="605"/>
      <c r="G2230" s="402" t="s">
        <v>4</v>
      </c>
      <c r="H2230" s="403">
        <v>1</v>
      </c>
      <c r="I2230" s="403">
        <v>0</v>
      </c>
      <c r="J2230" s="404">
        <v>27.55</v>
      </c>
      <c r="K2230" s="404">
        <v>27.55</v>
      </c>
      <c r="L2230" s="168"/>
    </row>
    <row r="2231" spans="1:12" ht="45" customHeight="1" x14ac:dyDescent="0.3">
      <c r="A2231" s="405"/>
      <c r="B2231" s="405"/>
      <c r="C2231" s="405"/>
      <c r="D2231" s="405"/>
      <c r="E2231" s="405" t="s">
        <v>1046</v>
      </c>
      <c r="F2231" s="406">
        <v>25.81</v>
      </c>
      <c r="G2231" s="405" t="s">
        <v>1047</v>
      </c>
      <c r="H2231" s="406">
        <v>0</v>
      </c>
      <c r="I2231" s="405" t="s">
        <v>1048</v>
      </c>
      <c r="J2231" s="406">
        <v>25.81</v>
      </c>
      <c r="K2231"/>
      <c r="L2231" s="166"/>
    </row>
    <row r="2232" spans="1:12" ht="30" customHeight="1" thickBot="1" x14ac:dyDescent="0.35">
      <c r="A2232" s="405"/>
      <c r="B2232" s="405"/>
      <c r="C2232" s="405"/>
      <c r="D2232" s="405"/>
      <c r="E2232" s="405" t="s">
        <v>1049</v>
      </c>
      <c r="F2232" s="406">
        <v>0</v>
      </c>
      <c r="G2232" s="405"/>
      <c r="H2232" s="606"/>
      <c r="I2232" s="606" t="s">
        <v>1050</v>
      </c>
      <c r="J2232" s="406">
        <v>62.5</v>
      </c>
      <c r="K2232"/>
      <c r="L2232" s="166"/>
    </row>
    <row r="2233" spans="1:12" ht="25.5" customHeight="1" thickTop="1" x14ac:dyDescent="0.3">
      <c r="A2233" s="407"/>
      <c r="B2233" s="407"/>
      <c r="C2233" s="407"/>
      <c r="D2233" s="407"/>
      <c r="E2233" s="407"/>
      <c r="F2233" s="407"/>
      <c r="G2233" s="407"/>
      <c r="H2233" s="407"/>
      <c r="I2233" s="407"/>
      <c r="J2233" s="407"/>
      <c r="K2233" s="407"/>
      <c r="L2233" s="168"/>
    </row>
    <row r="2234" spans="1:12" ht="25.5" customHeight="1" x14ac:dyDescent="0.3">
      <c r="A2234" s="382" t="s">
        <v>1758</v>
      </c>
      <c r="B2234" s="312" t="s">
        <v>413</v>
      </c>
      <c r="C2234" s="382" t="s">
        <v>414</v>
      </c>
      <c r="D2234" s="382" t="s">
        <v>415</v>
      </c>
      <c r="E2234" s="586" t="s">
        <v>1029</v>
      </c>
      <c r="F2234" s="586"/>
      <c r="G2234" s="383" t="s">
        <v>416</v>
      </c>
      <c r="H2234" s="312" t="s">
        <v>1030</v>
      </c>
      <c r="I2234" s="312" t="s">
        <v>3016</v>
      </c>
      <c r="J2234" s="312" t="s">
        <v>1031</v>
      </c>
      <c r="K2234" s="312" t="s">
        <v>1032</v>
      </c>
      <c r="L2234" s="168"/>
    </row>
    <row r="2235" spans="1:12" ht="14.25" customHeight="1" x14ac:dyDescent="0.3">
      <c r="A2235" s="313" t="s">
        <v>1033</v>
      </c>
      <c r="B2235" s="315" t="s">
        <v>3839</v>
      </c>
      <c r="C2235" s="313" t="s">
        <v>395</v>
      </c>
      <c r="D2235" s="313" t="s">
        <v>5953</v>
      </c>
      <c r="E2235" s="603" t="s">
        <v>7870</v>
      </c>
      <c r="F2235" s="603"/>
      <c r="G2235" s="314" t="s">
        <v>4</v>
      </c>
      <c r="H2235" s="399">
        <v>1</v>
      </c>
      <c r="I2235" s="316"/>
      <c r="J2235" s="316">
        <v>106.85</v>
      </c>
      <c r="K2235" s="316">
        <v>106.85</v>
      </c>
      <c r="L2235" s="168"/>
    </row>
    <row r="2236" spans="1:12" ht="26.4" x14ac:dyDescent="0.3">
      <c r="A2236" s="408" t="s">
        <v>1034</v>
      </c>
      <c r="B2236" s="409" t="s">
        <v>1113</v>
      </c>
      <c r="C2236" s="408" t="s">
        <v>395</v>
      </c>
      <c r="D2236" s="408" t="s">
        <v>129</v>
      </c>
      <c r="E2236" s="604" t="s">
        <v>7768</v>
      </c>
      <c r="F2236" s="604"/>
      <c r="G2236" s="410" t="s">
        <v>6</v>
      </c>
      <c r="H2236" s="412">
        <v>0.53934199999999999</v>
      </c>
      <c r="I2236" s="412">
        <v>0</v>
      </c>
      <c r="J2236" s="411">
        <v>33.450000000000003</v>
      </c>
      <c r="K2236" s="411">
        <v>18.0409899</v>
      </c>
      <c r="L2236" s="168"/>
    </row>
    <row r="2237" spans="1:12" ht="17.399999999999999" customHeight="1" x14ac:dyDescent="0.3">
      <c r="A2237" s="408" t="s">
        <v>1034</v>
      </c>
      <c r="B2237" s="409" t="s">
        <v>1112</v>
      </c>
      <c r="C2237" s="408" t="s">
        <v>395</v>
      </c>
      <c r="D2237" s="408" t="s">
        <v>137</v>
      </c>
      <c r="E2237" s="604" t="s">
        <v>7768</v>
      </c>
      <c r="F2237" s="604"/>
      <c r="G2237" s="410" t="s">
        <v>6</v>
      </c>
      <c r="H2237" s="412">
        <v>0.53934199999999999</v>
      </c>
      <c r="I2237" s="412">
        <v>0</v>
      </c>
      <c r="J2237" s="411">
        <v>40.299999999999997</v>
      </c>
      <c r="K2237" s="411">
        <v>21.735482600000001</v>
      </c>
      <c r="L2237" s="166"/>
    </row>
    <row r="2238" spans="1:12" ht="26.4" x14ac:dyDescent="0.3">
      <c r="A2238" s="408" t="s">
        <v>1034</v>
      </c>
      <c r="B2238" s="409" t="s">
        <v>1554</v>
      </c>
      <c r="C2238" s="408" t="s">
        <v>395</v>
      </c>
      <c r="D2238" s="408" t="s">
        <v>148</v>
      </c>
      <c r="E2238" s="604" t="s">
        <v>7768</v>
      </c>
      <c r="F2238" s="604"/>
      <c r="G2238" s="410" t="s">
        <v>6</v>
      </c>
      <c r="H2238" s="412">
        <v>0.53934199999999999</v>
      </c>
      <c r="I2238" s="412">
        <v>0</v>
      </c>
      <c r="J2238" s="411">
        <v>50.53</v>
      </c>
      <c r="K2238" s="411">
        <v>27.252951299999999</v>
      </c>
      <c r="L2238" s="168"/>
    </row>
    <row r="2239" spans="1:12" ht="25.5" customHeight="1" x14ac:dyDescent="0.3">
      <c r="A2239" s="400" t="s">
        <v>1038</v>
      </c>
      <c r="B2239" s="401" t="s">
        <v>4791</v>
      </c>
      <c r="C2239" s="400" t="s">
        <v>395</v>
      </c>
      <c r="D2239" s="400" t="s">
        <v>4792</v>
      </c>
      <c r="E2239" s="605" t="s">
        <v>1039</v>
      </c>
      <c r="F2239" s="605"/>
      <c r="G2239" s="402" t="s">
        <v>3</v>
      </c>
      <c r="H2239" s="403">
        <v>1.8183999999999999E-2</v>
      </c>
      <c r="I2239" s="403">
        <v>0</v>
      </c>
      <c r="J2239" s="404">
        <v>39.380000000000003</v>
      </c>
      <c r="K2239" s="404">
        <v>0.71608590000000005</v>
      </c>
      <c r="L2239" s="168"/>
    </row>
    <row r="2240" spans="1:12" ht="15" customHeight="1" x14ac:dyDescent="0.3">
      <c r="A2240" s="400" t="s">
        <v>1038</v>
      </c>
      <c r="B2240" s="401" t="s">
        <v>4224</v>
      </c>
      <c r="C2240" s="400" t="s">
        <v>395</v>
      </c>
      <c r="D2240" s="400" t="s">
        <v>4225</v>
      </c>
      <c r="E2240" s="605" t="s">
        <v>1039</v>
      </c>
      <c r="F2240" s="605"/>
      <c r="G2240" s="402" t="s">
        <v>4</v>
      </c>
      <c r="H2240" s="403">
        <v>1</v>
      </c>
      <c r="I2240" s="403">
        <v>0</v>
      </c>
      <c r="J2240" s="404">
        <v>39.1</v>
      </c>
      <c r="K2240" s="404">
        <v>39.1</v>
      </c>
      <c r="L2240" s="168"/>
    </row>
    <row r="2241" spans="1:12" ht="15" customHeight="1" x14ac:dyDescent="0.3">
      <c r="A2241" s="405"/>
      <c r="B2241" s="405"/>
      <c r="C2241" s="405"/>
      <c r="D2241" s="405"/>
      <c r="E2241" s="405" t="s">
        <v>1046</v>
      </c>
      <c r="F2241" s="406">
        <v>50.19</v>
      </c>
      <c r="G2241" s="405" t="s">
        <v>1047</v>
      </c>
      <c r="H2241" s="406">
        <v>0</v>
      </c>
      <c r="I2241" s="405" t="s">
        <v>1048</v>
      </c>
      <c r="J2241" s="406">
        <v>50.19</v>
      </c>
      <c r="K2241"/>
      <c r="L2241" s="166"/>
    </row>
    <row r="2242" spans="1:12" ht="12.75" customHeight="1" thickBot="1" x14ac:dyDescent="0.35">
      <c r="A2242" s="405"/>
      <c r="B2242" s="405"/>
      <c r="C2242" s="405"/>
      <c r="D2242" s="405"/>
      <c r="E2242" s="405" t="s">
        <v>1049</v>
      </c>
      <c r="F2242" s="406">
        <v>0</v>
      </c>
      <c r="G2242" s="405"/>
      <c r="H2242" s="606"/>
      <c r="I2242" s="606" t="s">
        <v>1050</v>
      </c>
      <c r="J2242" s="406">
        <v>106.85</v>
      </c>
      <c r="K2242"/>
      <c r="L2242" s="166"/>
    </row>
    <row r="2243" spans="1:12" ht="15.6" thickTop="1" x14ac:dyDescent="0.3">
      <c r="A2243" s="407"/>
      <c r="B2243" s="407"/>
      <c r="C2243" s="407"/>
      <c r="D2243" s="407"/>
      <c r="E2243" s="407"/>
      <c r="F2243" s="407"/>
      <c r="G2243" s="407"/>
      <c r="H2243" s="407"/>
      <c r="I2243" s="407"/>
      <c r="J2243" s="407"/>
      <c r="K2243" s="407"/>
      <c r="L2243" s="168"/>
    </row>
    <row r="2244" spans="1:12" ht="25.5" customHeight="1" x14ac:dyDescent="0.3">
      <c r="A2244" s="382" t="s">
        <v>1759</v>
      </c>
      <c r="B2244" s="312" t="s">
        <v>413</v>
      </c>
      <c r="C2244" s="382" t="s">
        <v>414</v>
      </c>
      <c r="D2244" s="382" t="s">
        <v>415</v>
      </c>
      <c r="E2244" s="586" t="s">
        <v>1029</v>
      </c>
      <c r="F2244" s="586"/>
      <c r="G2244" s="383" t="s">
        <v>416</v>
      </c>
      <c r="H2244" s="312" t="s">
        <v>1030</v>
      </c>
      <c r="I2244" s="312" t="s">
        <v>3016</v>
      </c>
      <c r="J2244" s="312" t="s">
        <v>1031</v>
      </c>
      <c r="K2244" s="312" t="s">
        <v>1032</v>
      </c>
      <c r="L2244" s="168"/>
    </row>
    <row r="2245" spans="1:12" ht="25.5" customHeight="1" x14ac:dyDescent="0.3">
      <c r="A2245" s="313" t="s">
        <v>1033</v>
      </c>
      <c r="B2245" s="315" t="s">
        <v>3840</v>
      </c>
      <c r="C2245" s="313" t="s">
        <v>395</v>
      </c>
      <c r="D2245" s="313" t="s">
        <v>5954</v>
      </c>
      <c r="E2245" s="603" t="s">
        <v>7786</v>
      </c>
      <c r="F2245" s="603"/>
      <c r="G2245" s="314" t="s">
        <v>7</v>
      </c>
      <c r="H2245" s="399">
        <v>1</v>
      </c>
      <c r="I2245" s="316"/>
      <c r="J2245" s="316">
        <v>21.7</v>
      </c>
      <c r="K2245" s="316">
        <v>21.7</v>
      </c>
      <c r="L2245" s="168"/>
    </row>
    <row r="2246" spans="1:12" ht="25.5" customHeight="1" x14ac:dyDescent="0.3">
      <c r="A2246" s="408" t="s">
        <v>1034</v>
      </c>
      <c r="B2246" s="409" t="s">
        <v>1035</v>
      </c>
      <c r="C2246" s="408" t="s">
        <v>395</v>
      </c>
      <c r="D2246" s="408" t="s">
        <v>128</v>
      </c>
      <c r="E2246" s="604" t="s">
        <v>7768</v>
      </c>
      <c r="F2246" s="604"/>
      <c r="G2246" s="410" t="s">
        <v>6</v>
      </c>
      <c r="H2246" s="412">
        <v>5.01898E-2</v>
      </c>
      <c r="I2246" s="412">
        <v>0</v>
      </c>
      <c r="J2246" s="411">
        <v>34.5</v>
      </c>
      <c r="K2246" s="411">
        <v>1.7315480999999999</v>
      </c>
      <c r="L2246" s="166"/>
    </row>
    <row r="2247" spans="1:12" ht="15" customHeight="1" x14ac:dyDescent="0.3">
      <c r="A2247" s="408" t="s">
        <v>1034</v>
      </c>
      <c r="B2247" s="409" t="s">
        <v>1037</v>
      </c>
      <c r="C2247" s="408" t="s">
        <v>395</v>
      </c>
      <c r="D2247" s="408" t="s">
        <v>135</v>
      </c>
      <c r="E2247" s="604" t="s">
        <v>7768</v>
      </c>
      <c r="F2247" s="604"/>
      <c r="G2247" s="410" t="s">
        <v>6</v>
      </c>
      <c r="H2247" s="412">
        <v>0.1003797</v>
      </c>
      <c r="I2247" s="412">
        <v>0</v>
      </c>
      <c r="J2247" s="411">
        <v>41.81</v>
      </c>
      <c r="K2247" s="411">
        <v>4.1968753000000003</v>
      </c>
      <c r="L2247" s="166"/>
    </row>
    <row r="2248" spans="1:12" ht="52.8" x14ac:dyDescent="0.3">
      <c r="A2248" s="408" t="s">
        <v>1034</v>
      </c>
      <c r="B2248" s="409" t="s">
        <v>5160</v>
      </c>
      <c r="C2248" s="408" t="s">
        <v>395</v>
      </c>
      <c r="D2248" s="408" t="s">
        <v>7796</v>
      </c>
      <c r="E2248" s="604" t="s">
        <v>7797</v>
      </c>
      <c r="F2248" s="604"/>
      <c r="G2248" s="410" t="s">
        <v>7</v>
      </c>
      <c r="H2248" s="412">
        <v>1</v>
      </c>
      <c r="I2248" s="412">
        <v>0</v>
      </c>
      <c r="J2248" s="411">
        <v>12.98</v>
      </c>
      <c r="K2248" s="411">
        <v>12.98</v>
      </c>
      <c r="L2248" s="166"/>
    </row>
    <row r="2249" spans="1:12" ht="15" x14ac:dyDescent="0.3">
      <c r="A2249" s="400" t="s">
        <v>1038</v>
      </c>
      <c r="B2249" s="401" t="s">
        <v>4904</v>
      </c>
      <c r="C2249" s="400" t="s">
        <v>395</v>
      </c>
      <c r="D2249" s="400" t="s">
        <v>4905</v>
      </c>
      <c r="E2249" s="605" t="s">
        <v>1039</v>
      </c>
      <c r="F2249" s="605"/>
      <c r="G2249" s="402" t="s">
        <v>7</v>
      </c>
      <c r="H2249" s="403">
        <v>1.0556000000000001</v>
      </c>
      <c r="I2249" s="403">
        <v>0</v>
      </c>
      <c r="J2249" s="404">
        <v>2.64</v>
      </c>
      <c r="K2249" s="404">
        <v>2.7867839999999999</v>
      </c>
      <c r="L2249" s="166"/>
    </row>
    <row r="2250" spans="1:12" ht="15" x14ac:dyDescent="0.3">
      <c r="A2250" s="405"/>
      <c r="B2250" s="405"/>
      <c r="C2250" s="405"/>
      <c r="D2250" s="405"/>
      <c r="E2250" s="405" t="s">
        <v>1046</v>
      </c>
      <c r="F2250" s="406">
        <v>11.97</v>
      </c>
      <c r="G2250" s="405" t="s">
        <v>1047</v>
      </c>
      <c r="H2250" s="406">
        <v>0</v>
      </c>
      <c r="I2250" s="405" t="s">
        <v>1048</v>
      </c>
      <c r="J2250" s="406">
        <v>11.97</v>
      </c>
      <c r="K2250"/>
      <c r="L2250" s="166"/>
    </row>
    <row r="2251" spans="1:12" ht="15" customHeight="1" thickBot="1" x14ac:dyDescent="0.35">
      <c r="A2251" s="405"/>
      <c r="B2251" s="405"/>
      <c r="C2251" s="405"/>
      <c r="D2251" s="405"/>
      <c r="E2251" s="405" t="s">
        <v>1049</v>
      </c>
      <c r="F2251" s="406">
        <v>0</v>
      </c>
      <c r="G2251" s="405"/>
      <c r="H2251" s="606"/>
      <c r="I2251" s="606" t="s">
        <v>1050</v>
      </c>
      <c r="J2251" s="406">
        <v>21.7</v>
      </c>
      <c r="K2251"/>
      <c r="L2251" s="166"/>
    </row>
    <row r="2252" spans="1:12" ht="25.5" customHeight="1" thickTop="1" x14ac:dyDescent="0.3">
      <c r="A2252" s="407"/>
      <c r="B2252" s="407"/>
      <c r="C2252" s="407"/>
      <c r="D2252" s="407"/>
      <c r="E2252" s="407"/>
      <c r="F2252" s="407"/>
      <c r="G2252" s="407"/>
      <c r="H2252" s="407"/>
      <c r="I2252" s="407"/>
      <c r="J2252" s="407"/>
      <c r="K2252" s="407"/>
      <c r="L2252" s="166"/>
    </row>
    <row r="2253" spans="1:12" ht="25.5" customHeight="1" x14ac:dyDescent="0.3">
      <c r="A2253" s="382" t="s">
        <v>1762</v>
      </c>
      <c r="B2253" s="312" t="s">
        <v>413</v>
      </c>
      <c r="C2253" s="382" t="s">
        <v>414</v>
      </c>
      <c r="D2253" s="382" t="s">
        <v>415</v>
      </c>
      <c r="E2253" s="586" t="s">
        <v>1029</v>
      </c>
      <c r="F2253" s="586"/>
      <c r="G2253" s="383" t="s">
        <v>416</v>
      </c>
      <c r="H2253" s="312" t="s">
        <v>1030</v>
      </c>
      <c r="I2253" s="312" t="s">
        <v>3016</v>
      </c>
      <c r="J2253" s="312" t="s">
        <v>1031</v>
      </c>
      <c r="K2253" s="312" t="s">
        <v>1032</v>
      </c>
      <c r="L2253" s="168"/>
    </row>
    <row r="2254" spans="1:12" ht="17.399999999999999" customHeight="1" x14ac:dyDescent="0.3">
      <c r="A2254" s="313" t="s">
        <v>1033</v>
      </c>
      <c r="B2254" s="315" t="s">
        <v>3841</v>
      </c>
      <c r="C2254" s="313" t="s">
        <v>395</v>
      </c>
      <c r="D2254" s="313" t="s">
        <v>5955</v>
      </c>
      <c r="E2254" s="603" t="s">
        <v>7786</v>
      </c>
      <c r="F2254" s="603"/>
      <c r="G2254" s="314" t="s">
        <v>7</v>
      </c>
      <c r="H2254" s="399">
        <v>1</v>
      </c>
      <c r="I2254" s="316"/>
      <c r="J2254" s="316">
        <v>24.02</v>
      </c>
      <c r="K2254" s="316">
        <v>24.02</v>
      </c>
      <c r="L2254" s="170"/>
    </row>
    <row r="2255" spans="1:12" ht="26.4" x14ac:dyDescent="0.3">
      <c r="A2255" s="408" t="s">
        <v>1034</v>
      </c>
      <c r="B2255" s="409" t="s">
        <v>1035</v>
      </c>
      <c r="C2255" s="408" t="s">
        <v>395</v>
      </c>
      <c r="D2255" s="408" t="s">
        <v>128</v>
      </c>
      <c r="E2255" s="604" t="s">
        <v>7768</v>
      </c>
      <c r="F2255" s="604"/>
      <c r="G2255" s="410" t="s">
        <v>6</v>
      </c>
      <c r="H2255" s="412">
        <v>5.7079199999999997E-2</v>
      </c>
      <c r="I2255" s="412">
        <v>0</v>
      </c>
      <c r="J2255" s="411">
        <v>34.5</v>
      </c>
      <c r="K2255" s="411">
        <v>1.9692324000000001</v>
      </c>
      <c r="L2255" s="168"/>
    </row>
    <row r="2256" spans="1:12" ht="25.5" customHeight="1" x14ac:dyDescent="0.3">
      <c r="A2256" s="408" t="s">
        <v>1034</v>
      </c>
      <c r="B2256" s="409" t="s">
        <v>1037</v>
      </c>
      <c r="C2256" s="408" t="s">
        <v>395</v>
      </c>
      <c r="D2256" s="408" t="s">
        <v>135</v>
      </c>
      <c r="E2256" s="604" t="s">
        <v>7768</v>
      </c>
      <c r="F2256" s="604"/>
      <c r="G2256" s="410" t="s">
        <v>6</v>
      </c>
      <c r="H2256" s="412">
        <v>0.1141585</v>
      </c>
      <c r="I2256" s="412">
        <v>0</v>
      </c>
      <c r="J2256" s="411">
        <v>41.81</v>
      </c>
      <c r="K2256" s="411">
        <v>4.7729669000000001</v>
      </c>
      <c r="L2256" s="168"/>
    </row>
    <row r="2257" spans="1:12" ht="25.5" customHeight="1" x14ac:dyDescent="0.3">
      <c r="A2257" s="408" t="s">
        <v>1034</v>
      </c>
      <c r="B2257" s="409" t="s">
        <v>5160</v>
      </c>
      <c r="C2257" s="408" t="s">
        <v>395</v>
      </c>
      <c r="D2257" s="408" t="s">
        <v>7796</v>
      </c>
      <c r="E2257" s="604" t="s">
        <v>7797</v>
      </c>
      <c r="F2257" s="604"/>
      <c r="G2257" s="410" t="s">
        <v>7</v>
      </c>
      <c r="H2257" s="412">
        <v>1</v>
      </c>
      <c r="I2257" s="412">
        <v>0</v>
      </c>
      <c r="J2257" s="411">
        <v>12.98</v>
      </c>
      <c r="K2257" s="411">
        <v>12.98</v>
      </c>
      <c r="L2257" s="168"/>
    </row>
    <row r="2258" spans="1:12" ht="15" x14ac:dyDescent="0.3">
      <c r="A2258" s="400" t="s">
        <v>1038</v>
      </c>
      <c r="B2258" s="401" t="s">
        <v>4848</v>
      </c>
      <c r="C2258" s="400" t="s">
        <v>395</v>
      </c>
      <c r="D2258" s="400" t="s">
        <v>4849</v>
      </c>
      <c r="E2258" s="605" t="s">
        <v>1039</v>
      </c>
      <c r="F2258" s="605"/>
      <c r="G2258" s="402" t="s">
        <v>7</v>
      </c>
      <c r="H2258" s="403">
        <v>1.0556000000000001</v>
      </c>
      <c r="I2258" s="403">
        <v>0</v>
      </c>
      <c r="J2258" s="404">
        <v>4.07</v>
      </c>
      <c r="K2258" s="404">
        <v>4.2962920000000002</v>
      </c>
      <c r="L2258" s="166"/>
    </row>
    <row r="2259" spans="1:12" ht="14.25" customHeight="1" x14ac:dyDescent="0.3">
      <c r="A2259" s="405"/>
      <c r="B2259" s="405"/>
      <c r="C2259" s="405"/>
      <c r="D2259" s="405"/>
      <c r="E2259" s="405" t="s">
        <v>1046</v>
      </c>
      <c r="F2259" s="406">
        <v>12.57</v>
      </c>
      <c r="G2259" s="405" t="s">
        <v>1047</v>
      </c>
      <c r="H2259" s="406">
        <v>0</v>
      </c>
      <c r="I2259" s="405" t="s">
        <v>1048</v>
      </c>
      <c r="J2259" s="406">
        <v>12.57</v>
      </c>
      <c r="K2259"/>
      <c r="L2259" s="166"/>
    </row>
    <row r="2260" spans="1:12" ht="15" customHeight="1" thickBot="1" x14ac:dyDescent="0.35">
      <c r="A2260" s="405"/>
      <c r="B2260" s="405"/>
      <c r="C2260" s="405"/>
      <c r="D2260" s="405"/>
      <c r="E2260" s="405" t="s">
        <v>1049</v>
      </c>
      <c r="F2260" s="406">
        <v>0</v>
      </c>
      <c r="G2260" s="405"/>
      <c r="H2260" s="606"/>
      <c r="I2260" s="606" t="s">
        <v>1050</v>
      </c>
      <c r="J2260" s="406">
        <v>24.02</v>
      </c>
      <c r="K2260"/>
      <c r="L2260" s="168"/>
    </row>
    <row r="2261" spans="1:12" ht="15.6" thickTop="1" x14ac:dyDescent="0.3">
      <c r="A2261" s="407"/>
      <c r="B2261" s="407"/>
      <c r="C2261" s="407"/>
      <c r="D2261" s="407"/>
      <c r="E2261" s="407"/>
      <c r="F2261" s="407"/>
      <c r="G2261" s="407"/>
      <c r="H2261" s="407"/>
      <c r="I2261" s="407"/>
      <c r="J2261" s="407"/>
      <c r="K2261" s="407"/>
      <c r="L2261" s="168"/>
    </row>
    <row r="2262" spans="1:12" ht="15" x14ac:dyDescent="0.3">
      <c r="A2262" s="382" t="s">
        <v>1764</v>
      </c>
      <c r="B2262" s="312" t="s">
        <v>413</v>
      </c>
      <c r="C2262" s="382" t="s">
        <v>414</v>
      </c>
      <c r="D2262" s="382" t="s">
        <v>415</v>
      </c>
      <c r="E2262" s="586" t="s">
        <v>1029</v>
      </c>
      <c r="F2262" s="586"/>
      <c r="G2262" s="383" t="s">
        <v>416</v>
      </c>
      <c r="H2262" s="312" t="s">
        <v>1030</v>
      </c>
      <c r="I2262" s="312" t="s">
        <v>3016</v>
      </c>
      <c r="J2262" s="312" t="s">
        <v>1031</v>
      </c>
      <c r="K2262" s="312" t="s">
        <v>1032</v>
      </c>
      <c r="L2262" s="168"/>
    </row>
    <row r="2263" spans="1:12" ht="25.5" customHeight="1" x14ac:dyDescent="0.3">
      <c r="A2263" s="313" t="s">
        <v>1033</v>
      </c>
      <c r="B2263" s="315" t="s">
        <v>2228</v>
      </c>
      <c r="C2263" s="313" t="s">
        <v>575</v>
      </c>
      <c r="D2263" s="313" t="s">
        <v>2068</v>
      </c>
      <c r="E2263" s="603" t="s">
        <v>1340</v>
      </c>
      <c r="F2263" s="603"/>
      <c r="G2263" s="314" t="s">
        <v>4</v>
      </c>
      <c r="H2263" s="399">
        <v>1</v>
      </c>
      <c r="I2263" s="316"/>
      <c r="J2263" s="316">
        <v>518.66</v>
      </c>
      <c r="K2263" s="316">
        <v>518.66</v>
      </c>
      <c r="L2263" s="168"/>
    </row>
    <row r="2264" spans="1:12" ht="15" customHeight="1" x14ac:dyDescent="0.3">
      <c r="A2264" s="408" t="s">
        <v>1034</v>
      </c>
      <c r="B2264" s="409" t="s">
        <v>1037</v>
      </c>
      <c r="C2264" s="408" t="s">
        <v>395</v>
      </c>
      <c r="D2264" s="408" t="s">
        <v>135</v>
      </c>
      <c r="E2264" s="604" t="s">
        <v>7768</v>
      </c>
      <c r="F2264" s="604"/>
      <c r="G2264" s="410" t="s">
        <v>6</v>
      </c>
      <c r="H2264" s="412">
        <v>1.2370000000000001</v>
      </c>
      <c r="I2264" s="412">
        <v>0</v>
      </c>
      <c r="J2264" s="411">
        <v>41.81</v>
      </c>
      <c r="K2264" s="411">
        <v>51.718969999999999</v>
      </c>
      <c r="L2264" s="166"/>
    </row>
    <row r="2265" spans="1:12" ht="25.5" customHeight="1" x14ac:dyDescent="0.3">
      <c r="A2265" s="408" t="s">
        <v>1034</v>
      </c>
      <c r="B2265" s="409" t="s">
        <v>1035</v>
      </c>
      <c r="C2265" s="408" t="s">
        <v>395</v>
      </c>
      <c r="D2265" s="408" t="s">
        <v>128</v>
      </c>
      <c r="E2265" s="604" t="s">
        <v>7768</v>
      </c>
      <c r="F2265" s="604"/>
      <c r="G2265" s="410" t="s">
        <v>6</v>
      </c>
      <c r="H2265" s="412">
        <v>1.0309999999999999</v>
      </c>
      <c r="I2265" s="412">
        <v>0</v>
      </c>
      <c r="J2265" s="411">
        <v>34.5</v>
      </c>
      <c r="K2265" s="411">
        <v>35.569499999999998</v>
      </c>
      <c r="L2265" s="168"/>
    </row>
    <row r="2266" spans="1:12" ht="52.8" x14ac:dyDescent="0.3">
      <c r="A2266" s="400" t="s">
        <v>1038</v>
      </c>
      <c r="B2266" s="401" t="s">
        <v>2575</v>
      </c>
      <c r="C2266" s="400" t="s">
        <v>575</v>
      </c>
      <c r="D2266" s="400" t="s">
        <v>2068</v>
      </c>
      <c r="E2266" s="605" t="s">
        <v>1039</v>
      </c>
      <c r="F2266" s="605"/>
      <c r="G2266" s="402" t="s">
        <v>4</v>
      </c>
      <c r="H2266" s="403">
        <v>1</v>
      </c>
      <c r="I2266" s="403">
        <v>0</v>
      </c>
      <c r="J2266" s="404">
        <v>431.37</v>
      </c>
      <c r="K2266" s="404">
        <v>431.37</v>
      </c>
      <c r="L2266" s="168"/>
    </row>
    <row r="2267" spans="1:12" ht="15" customHeight="1" x14ac:dyDescent="0.3">
      <c r="A2267" s="405"/>
      <c r="B2267" s="405"/>
      <c r="C2267" s="405"/>
      <c r="D2267" s="405"/>
      <c r="E2267" s="405" t="s">
        <v>1046</v>
      </c>
      <c r="F2267" s="406">
        <v>63.88</v>
      </c>
      <c r="G2267" s="405" t="s">
        <v>1047</v>
      </c>
      <c r="H2267" s="406">
        <v>0</v>
      </c>
      <c r="I2267" s="405" t="s">
        <v>1048</v>
      </c>
      <c r="J2267" s="406">
        <v>63.88</v>
      </c>
      <c r="K2267"/>
      <c r="L2267" s="168"/>
    </row>
    <row r="2268" spans="1:12" ht="15.6" thickBot="1" x14ac:dyDescent="0.35">
      <c r="A2268" s="405"/>
      <c r="B2268" s="405"/>
      <c r="C2268" s="405"/>
      <c r="D2268" s="405"/>
      <c r="E2268" s="405" t="s">
        <v>1049</v>
      </c>
      <c r="F2268" s="406">
        <v>0</v>
      </c>
      <c r="G2268" s="405"/>
      <c r="H2268" s="606"/>
      <c r="I2268" s="606" t="s">
        <v>1050</v>
      </c>
      <c r="J2268" s="406">
        <v>518.66</v>
      </c>
      <c r="K2268"/>
      <c r="L2268" s="166"/>
    </row>
    <row r="2269" spans="1:12" ht="15" customHeight="1" thickTop="1" x14ac:dyDescent="0.3">
      <c r="A2269" s="407"/>
      <c r="B2269" s="407"/>
      <c r="C2269" s="407"/>
      <c r="D2269" s="407"/>
      <c r="E2269" s="407"/>
      <c r="F2269" s="407"/>
      <c r="G2269" s="407"/>
      <c r="H2269" s="407"/>
      <c r="I2269" s="407"/>
      <c r="J2269" s="407"/>
      <c r="K2269" s="407"/>
      <c r="L2269" s="166"/>
    </row>
    <row r="2270" spans="1:12" ht="25.5" customHeight="1" x14ac:dyDescent="0.3">
      <c r="A2270" s="382" t="s">
        <v>1767</v>
      </c>
      <c r="B2270" s="312" t="s">
        <v>413</v>
      </c>
      <c r="C2270" s="382" t="s">
        <v>414</v>
      </c>
      <c r="D2270" s="382" t="s">
        <v>415</v>
      </c>
      <c r="E2270" s="586" t="s">
        <v>1029</v>
      </c>
      <c r="F2270" s="586"/>
      <c r="G2270" s="383" t="s">
        <v>416</v>
      </c>
      <c r="H2270" s="312" t="s">
        <v>1030</v>
      </c>
      <c r="I2270" s="312" t="s">
        <v>3016</v>
      </c>
      <c r="J2270" s="312" t="s">
        <v>1031</v>
      </c>
      <c r="K2270" s="312" t="s">
        <v>1032</v>
      </c>
      <c r="L2270" s="168"/>
    </row>
    <row r="2271" spans="1:12" ht="14.25" customHeight="1" x14ac:dyDescent="0.3">
      <c r="A2271" s="313" t="s">
        <v>1033</v>
      </c>
      <c r="B2271" s="315" t="s">
        <v>2229</v>
      </c>
      <c r="C2271" s="313" t="s">
        <v>575</v>
      </c>
      <c r="D2271" s="313" t="s">
        <v>2070</v>
      </c>
      <c r="E2271" s="603" t="s">
        <v>1340</v>
      </c>
      <c r="F2271" s="603"/>
      <c r="G2271" s="314" t="s">
        <v>4</v>
      </c>
      <c r="H2271" s="399">
        <v>1</v>
      </c>
      <c r="I2271" s="316"/>
      <c r="J2271" s="316">
        <v>538.51</v>
      </c>
      <c r="K2271" s="316">
        <v>538.51</v>
      </c>
      <c r="L2271" s="168"/>
    </row>
    <row r="2272" spans="1:12" ht="26.4" x14ac:dyDescent="0.3">
      <c r="A2272" s="408" t="s">
        <v>1034</v>
      </c>
      <c r="B2272" s="409" t="s">
        <v>1037</v>
      </c>
      <c r="C2272" s="408" t="s">
        <v>395</v>
      </c>
      <c r="D2272" s="408" t="s">
        <v>135</v>
      </c>
      <c r="E2272" s="604" t="s">
        <v>7768</v>
      </c>
      <c r="F2272" s="604"/>
      <c r="G2272" s="410" t="s">
        <v>6</v>
      </c>
      <c r="H2272" s="412">
        <v>1.2370000000000001</v>
      </c>
      <c r="I2272" s="412">
        <v>0</v>
      </c>
      <c r="J2272" s="411">
        <v>41.81</v>
      </c>
      <c r="K2272" s="411">
        <v>51.718969999999999</v>
      </c>
      <c r="L2272" s="168"/>
    </row>
    <row r="2273" spans="1:12" ht="15" customHeight="1" x14ac:dyDescent="0.3">
      <c r="A2273" s="408" t="s">
        <v>1034</v>
      </c>
      <c r="B2273" s="409" t="s">
        <v>1035</v>
      </c>
      <c r="C2273" s="408" t="s">
        <v>395</v>
      </c>
      <c r="D2273" s="408" t="s">
        <v>128</v>
      </c>
      <c r="E2273" s="604" t="s">
        <v>7768</v>
      </c>
      <c r="F2273" s="604"/>
      <c r="G2273" s="410" t="s">
        <v>6</v>
      </c>
      <c r="H2273" s="412">
        <v>1.0309999999999999</v>
      </c>
      <c r="I2273" s="412">
        <v>0</v>
      </c>
      <c r="J2273" s="411">
        <v>34.5</v>
      </c>
      <c r="K2273" s="411">
        <v>35.569499999999998</v>
      </c>
      <c r="L2273" s="166"/>
    </row>
    <row r="2274" spans="1:12" ht="17.399999999999999" customHeight="1" x14ac:dyDescent="0.3">
      <c r="A2274" s="400" t="s">
        <v>1038</v>
      </c>
      <c r="B2274" s="401" t="s">
        <v>2576</v>
      </c>
      <c r="C2274" s="400" t="s">
        <v>575</v>
      </c>
      <c r="D2274" s="400" t="s">
        <v>2070</v>
      </c>
      <c r="E2274" s="605" t="s">
        <v>1039</v>
      </c>
      <c r="F2274" s="605"/>
      <c r="G2274" s="402" t="s">
        <v>4</v>
      </c>
      <c r="H2274" s="403">
        <v>1</v>
      </c>
      <c r="I2274" s="403">
        <v>0</v>
      </c>
      <c r="J2274" s="404">
        <v>451.22</v>
      </c>
      <c r="K2274" s="404">
        <v>451.22</v>
      </c>
      <c r="L2274" s="166"/>
    </row>
    <row r="2275" spans="1:12" ht="25.5" customHeight="1" x14ac:dyDescent="0.3">
      <c r="A2275" s="405"/>
      <c r="B2275" s="405"/>
      <c r="C2275" s="405"/>
      <c r="D2275" s="405"/>
      <c r="E2275" s="405" t="s">
        <v>1046</v>
      </c>
      <c r="F2275" s="406">
        <v>63.88</v>
      </c>
      <c r="G2275" s="405" t="s">
        <v>1047</v>
      </c>
      <c r="H2275" s="406">
        <v>0</v>
      </c>
      <c r="I2275" s="405" t="s">
        <v>1048</v>
      </c>
      <c r="J2275" s="406">
        <v>63.88</v>
      </c>
      <c r="K2275"/>
      <c r="L2275" s="166"/>
    </row>
    <row r="2276" spans="1:12" ht="25.5" customHeight="1" thickBot="1" x14ac:dyDescent="0.35">
      <c r="A2276" s="405"/>
      <c r="B2276" s="405"/>
      <c r="C2276" s="405"/>
      <c r="D2276" s="405"/>
      <c r="E2276" s="405" t="s">
        <v>1049</v>
      </c>
      <c r="F2276" s="406">
        <v>0</v>
      </c>
      <c r="G2276" s="405"/>
      <c r="H2276" s="606"/>
      <c r="I2276" s="606" t="s">
        <v>1050</v>
      </c>
      <c r="J2276" s="406">
        <v>538.51</v>
      </c>
      <c r="K2276"/>
      <c r="L2276" s="166"/>
    </row>
    <row r="2277" spans="1:12" ht="15" customHeight="1" thickTop="1" x14ac:dyDescent="0.3">
      <c r="A2277" s="407"/>
      <c r="B2277" s="407"/>
      <c r="C2277" s="407"/>
      <c r="D2277" s="407"/>
      <c r="E2277" s="407"/>
      <c r="F2277" s="407"/>
      <c r="G2277" s="407"/>
      <c r="H2277" s="407"/>
      <c r="I2277" s="407"/>
      <c r="J2277" s="407"/>
      <c r="K2277" s="407"/>
      <c r="L2277" s="166"/>
    </row>
    <row r="2278" spans="1:12" ht="30" customHeight="1" x14ac:dyDescent="0.3">
      <c r="A2278" s="382" t="s">
        <v>1772</v>
      </c>
      <c r="B2278" s="312" t="s">
        <v>413</v>
      </c>
      <c r="C2278" s="382" t="s">
        <v>414</v>
      </c>
      <c r="D2278" s="382" t="s">
        <v>415</v>
      </c>
      <c r="E2278" s="586" t="s">
        <v>1029</v>
      </c>
      <c r="F2278" s="586"/>
      <c r="G2278" s="383" t="s">
        <v>416</v>
      </c>
      <c r="H2278" s="312" t="s">
        <v>1030</v>
      </c>
      <c r="I2278" s="312" t="s">
        <v>3016</v>
      </c>
      <c r="J2278" s="312" t="s">
        <v>1031</v>
      </c>
      <c r="K2278" s="312" t="s">
        <v>1032</v>
      </c>
      <c r="L2278" s="166"/>
    </row>
    <row r="2279" spans="1:12" ht="30" customHeight="1" x14ac:dyDescent="0.3">
      <c r="A2279" s="313" t="s">
        <v>1033</v>
      </c>
      <c r="B2279" s="315" t="s">
        <v>882</v>
      </c>
      <c r="C2279" s="313" t="s">
        <v>5902</v>
      </c>
      <c r="D2279" s="313" t="s">
        <v>435</v>
      </c>
      <c r="E2279" s="603">
        <v>39.020000000000003</v>
      </c>
      <c r="F2279" s="603"/>
      <c r="G2279" s="314" t="s">
        <v>7</v>
      </c>
      <c r="H2279" s="399">
        <v>1</v>
      </c>
      <c r="I2279" s="316"/>
      <c r="J2279" s="316">
        <v>4.8600000000000003</v>
      </c>
      <c r="K2279" s="316">
        <v>4.8600000000000003</v>
      </c>
      <c r="L2279" s="166"/>
    </row>
    <row r="2280" spans="1:12" ht="15" customHeight="1" x14ac:dyDescent="0.3">
      <c r="A2280" s="400" t="s">
        <v>1038</v>
      </c>
      <c r="B2280" s="401" t="s">
        <v>1051</v>
      </c>
      <c r="C2280" s="400" t="s">
        <v>5902</v>
      </c>
      <c r="D2280" s="400" t="s">
        <v>1052</v>
      </c>
      <c r="E2280" s="605" t="s">
        <v>1053</v>
      </c>
      <c r="F2280" s="605"/>
      <c r="G2280" s="402" t="s">
        <v>6</v>
      </c>
      <c r="H2280" s="403">
        <v>0.04</v>
      </c>
      <c r="I2280" s="403">
        <v>0</v>
      </c>
      <c r="J2280" s="404">
        <v>33.119999999999997</v>
      </c>
      <c r="K2280" s="404">
        <v>1.3248</v>
      </c>
      <c r="L2280" s="166"/>
    </row>
    <row r="2281" spans="1:12" ht="26.4" x14ac:dyDescent="0.3">
      <c r="A2281" s="400" t="s">
        <v>1038</v>
      </c>
      <c r="B2281" s="401" t="s">
        <v>1054</v>
      </c>
      <c r="C2281" s="400" t="s">
        <v>5902</v>
      </c>
      <c r="D2281" s="400" t="s">
        <v>1055</v>
      </c>
      <c r="E2281" s="605" t="s">
        <v>1053</v>
      </c>
      <c r="F2281" s="605"/>
      <c r="G2281" s="402" t="s">
        <v>6</v>
      </c>
      <c r="H2281" s="403">
        <v>0.04</v>
      </c>
      <c r="I2281" s="403">
        <v>0</v>
      </c>
      <c r="J2281" s="404">
        <v>22.71</v>
      </c>
      <c r="K2281" s="404">
        <v>0.90839999999999999</v>
      </c>
      <c r="L2281" s="168"/>
    </row>
    <row r="2282" spans="1:12" ht="15" customHeight="1" x14ac:dyDescent="0.3">
      <c r="A2282" s="400" t="s">
        <v>1038</v>
      </c>
      <c r="B2282" s="401" t="s">
        <v>1103</v>
      </c>
      <c r="C2282" s="400" t="s">
        <v>5902</v>
      </c>
      <c r="D2282" s="400" t="s">
        <v>1104</v>
      </c>
      <c r="E2282" s="605" t="s">
        <v>1039</v>
      </c>
      <c r="F2282" s="605"/>
      <c r="G2282" s="402" t="s">
        <v>7</v>
      </c>
      <c r="H2282" s="403">
        <v>1.02</v>
      </c>
      <c r="I2282" s="403">
        <v>0</v>
      </c>
      <c r="J2282" s="404">
        <v>2.58</v>
      </c>
      <c r="K2282" s="404">
        <v>2.6316000000000002</v>
      </c>
      <c r="L2282" s="170"/>
    </row>
    <row r="2283" spans="1:12" ht="17.399999999999999" customHeight="1" x14ac:dyDescent="0.3">
      <c r="A2283" s="405"/>
      <c r="B2283" s="405"/>
      <c r="C2283" s="405"/>
      <c r="D2283" s="405"/>
      <c r="E2283" s="405" t="s">
        <v>1046</v>
      </c>
      <c r="F2283" s="406">
        <v>2.23</v>
      </c>
      <c r="G2283" s="405" t="s">
        <v>1047</v>
      </c>
      <c r="H2283" s="406">
        <v>0</v>
      </c>
      <c r="I2283" s="405" t="s">
        <v>1048</v>
      </c>
      <c r="J2283" s="406">
        <v>2.23</v>
      </c>
      <c r="K2283"/>
      <c r="L2283" s="168"/>
    </row>
    <row r="2284" spans="1:12" ht="15" customHeight="1" thickBot="1" x14ac:dyDescent="0.35">
      <c r="A2284" s="405"/>
      <c r="B2284" s="405"/>
      <c r="C2284" s="405"/>
      <c r="D2284" s="405"/>
      <c r="E2284" s="405" t="s">
        <v>1049</v>
      </c>
      <c r="F2284" s="406">
        <v>0</v>
      </c>
      <c r="G2284" s="405"/>
      <c r="H2284" s="606"/>
      <c r="I2284" s="606" t="s">
        <v>1050</v>
      </c>
      <c r="J2284" s="406">
        <v>4.8600000000000003</v>
      </c>
      <c r="K2284"/>
      <c r="L2284" s="168"/>
    </row>
    <row r="2285" spans="1:12" ht="15.6" thickTop="1" x14ac:dyDescent="0.3">
      <c r="A2285" s="407"/>
      <c r="B2285" s="407"/>
      <c r="C2285" s="407"/>
      <c r="D2285" s="407"/>
      <c r="E2285" s="407"/>
      <c r="F2285" s="407"/>
      <c r="G2285" s="407"/>
      <c r="H2285" s="407"/>
      <c r="I2285" s="407"/>
      <c r="J2285" s="407"/>
      <c r="K2285" s="407"/>
      <c r="L2285" s="168"/>
    </row>
    <row r="2286" spans="1:12" ht="30" customHeight="1" x14ac:dyDescent="0.3">
      <c r="A2286" s="382" t="s">
        <v>1773</v>
      </c>
      <c r="B2286" s="312" t="s">
        <v>413</v>
      </c>
      <c r="C2286" s="382" t="s">
        <v>414</v>
      </c>
      <c r="D2286" s="382" t="s">
        <v>415</v>
      </c>
      <c r="E2286" s="586" t="s">
        <v>1029</v>
      </c>
      <c r="F2286" s="586"/>
      <c r="G2286" s="383" t="s">
        <v>416</v>
      </c>
      <c r="H2286" s="312" t="s">
        <v>1030</v>
      </c>
      <c r="I2286" s="312" t="s">
        <v>3016</v>
      </c>
      <c r="J2286" s="312" t="s">
        <v>1031</v>
      </c>
      <c r="K2286" s="312" t="s">
        <v>1032</v>
      </c>
      <c r="L2286" s="166"/>
    </row>
    <row r="2287" spans="1:12" ht="26.4" x14ac:dyDescent="0.3">
      <c r="A2287" s="313" t="s">
        <v>1033</v>
      </c>
      <c r="B2287" s="315" t="s">
        <v>2142</v>
      </c>
      <c r="C2287" s="313" t="s">
        <v>5902</v>
      </c>
      <c r="D2287" s="313" t="s">
        <v>1818</v>
      </c>
      <c r="E2287" s="603">
        <v>39.020000000000003</v>
      </c>
      <c r="F2287" s="603"/>
      <c r="G2287" s="314" t="s">
        <v>7</v>
      </c>
      <c r="H2287" s="399">
        <v>1</v>
      </c>
      <c r="I2287" s="316"/>
      <c r="J2287" s="316">
        <v>10.23</v>
      </c>
      <c r="K2287" s="316">
        <v>10.23</v>
      </c>
      <c r="L2287" s="166"/>
    </row>
    <row r="2288" spans="1:12" ht="25.5" customHeight="1" x14ac:dyDescent="0.3">
      <c r="A2288" s="400" t="s">
        <v>1038</v>
      </c>
      <c r="B2288" s="401" t="s">
        <v>1051</v>
      </c>
      <c r="C2288" s="400" t="s">
        <v>5902</v>
      </c>
      <c r="D2288" s="400" t="s">
        <v>1052</v>
      </c>
      <c r="E2288" s="605" t="s">
        <v>1053</v>
      </c>
      <c r="F2288" s="605"/>
      <c r="G2288" s="402" t="s">
        <v>6</v>
      </c>
      <c r="H2288" s="403">
        <v>7.0000000000000007E-2</v>
      </c>
      <c r="I2288" s="403">
        <v>0</v>
      </c>
      <c r="J2288" s="404">
        <v>33.119999999999997</v>
      </c>
      <c r="K2288" s="404">
        <v>2.3184</v>
      </c>
      <c r="L2288" s="168"/>
    </row>
    <row r="2289" spans="1:12" ht="15" customHeight="1" x14ac:dyDescent="0.3">
      <c r="A2289" s="400" t="s">
        <v>1038</v>
      </c>
      <c r="B2289" s="401" t="s">
        <v>1054</v>
      </c>
      <c r="C2289" s="400" t="s">
        <v>5902</v>
      </c>
      <c r="D2289" s="400" t="s">
        <v>1055</v>
      </c>
      <c r="E2289" s="605" t="s">
        <v>1053</v>
      </c>
      <c r="F2289" s="605"/>
      <c r="G2289" s="402" t="s">
        <v>6</v>
      </c>
      <c r="H2289" s="403">
        <v>7.0000000000000007E-2</v>
      </c>
      <c r="I2289" s="403">
        <v>0</v>
      </c>
      <c r="J2289" s="404">
        <v>22.71</v>
      </c>
      <c r="K2289" s="404">
        <v>1.5896999999999999</v>
      </c>
      <c r="L2289" s="168"/>
    </row>
    <row r="2290" spans="1:12" ht="25.5" customHeight="1" x14ac:dyDescent="0.3">
      <c r="A2290" s="400" t="s">
        <v>1038</v>
      </c>
      <c r="B2290" s="401" t="s">
        <v>2408</v>
      </c>
      <c r="C2290" s="400" t="s">
        <v>5902</v>
      </c>
      <c r="D2290" s="400" t="s">
        <v>2409</v>
      </c>
      <c r="E2290" s="605" t="s">
        <v>1039</v>
      </c>
      <c r="F2290" s="605"/>
      <c r="G2290" s="402" t="s">
        <v>7</v>
      </c>
      <c r="H2290" s="403">
        <v>1.02</v>
      </c>
      <c r="I2290" s="403">
        <v>0</v>
      </c>
      <c r="J2290" s="404">
        <v>6.2</v>
      </c>
      <c r="K2290" s="404">
        <v>6.3239999999999998</v>
      </c>
      <c r="L2290" s="168"/>
    </row>
    <row r="2291" spans="1:12" ht="15" customHeight="1" x14ac:dyDescent="0.3">
      <c r="A2291" s="405"/>
      <c r="B2291" s="405"/>
      <c r="C2291" s="405"/>
      <c r="D2291" s="405"/>
      <c r="E2291" s="405" t="s">
        <v>1046</v>
      </c>
      <c r="F2291" s="406">
        <v>3.91</v>
      </c>
      <c r="G2291" s="405" t="s">
        <v>1047</v>
      </c>
      <c r="H2291" s="406">
        <v>0</v>
      </c>
      <c r="I2291" s="405" t="s">
        <v>1048</v>
      </c>
      <c r="J2291" s="406">
        <v>3.91</v>
      </c>
      <c r="K2291"/>
      <c r="L2291" s="168"/>
    </row>
    <row r="2292" spans="1:12" ht="15.6" thickBot="1" x14ac:dyDescent="0.35">
      <c r="A2292" s="405"/>
      <c r="B2292" s="405"/>
      <c r="C2292" s="405"/>
      <c r="D2292" s="405"/>
      <c r="E2292" s="405" t="s">
        <v>1049</v>
      </c>
      <c r="F2292" s="406">
        <v>0</v>
      </c>
      <c r="G2292" s="405"/>
      <c r="H2292" s="606"/>
      <c r="I2292" s="606" t="s">
        <v>1050</v>
      </c>
      <c r="J2292" s="406">
        <v>10.23</v>
      </c>
      <c r="K2292"/>
      <c r="L2292" s="168"/>
    </row>
    <row r="2293" spans="1:12" ht="17.399999999999999" customHeight="1" thickTop="1" x14ac:dyDescent="0.3">
      <c r="A2293" s="407"/>
      <c r="B2293" s="407"/>
      <c r="C2293" s="407"/>
      <c r="D2293" s="407"/>
      <c r="E2293" s="407"/>
      <c r="F2293" s="407"/>
      <c r="G2293" s="407"/>
      <c r="H2293" s="407"/>
      <c r="I2293" s="407"/>
      <c r="J2293" s="407"/>
      <c r="K2293" s="407"/>
      <c r="L2293" s="166"/>
    </row>
    <row r="2294" spans="1:12" ht="12.75" customHeight="1" x14ac:dyDescent="0.3">
      <c r="A2294" s="382" t="s">
        <v>1774</v>
      </c>
      <c r="B2294" s="312" t="s">
        <v>413</v>
      </c>
      <c r="C2294" s="382" t="s">
        <v>414</v>
      </c>
      <c r="D2294" s="382" t="s">
        <v>415</v>
      </c>
      <c r="E2294" s="586" t="s">
        <v>1029</v>
      </c>
      <c r="F2294" s="586"/>
      <c r="G2294" s="383" t="s">
        <v>416</v>
      </c>
      <c r="H2294" s="312" t="s">
        <v>1030</v>
      </c>
      <c r="I2294" s="312" t="s">
        <v>3016</v>
      </c>
      <c r="J2294" s="312" t="s">
        <v>1031</v>
      </c>
      <c r="K2294" s="312" t="s">
        <v>1032</v>
      </c>
      <c r="L2294" s="168"/>
    </row>
    <row r="2295" spans="1:12" ht="15" customHeight="1" x14ac:dyDescent="0.3">
      <c r="A2295" s="313" t="s">
        <v>1033</v>
      </c>
      <c r="B2295" s="315" t="s">
        <v>2222</v>
      </c>
      <c r="C2295" s="313" t="s">
        <v>575</v>
      </c>
      <c r="D2295" s="313" t="s">
        <v>1840</v>
      </c>
      <c r="E2295" s="603" t="s">
        <v>1340</v>
      </c>
      <c r="F2295" s="603"/>
      <c r="G2295" s="314" t="s">
        <v>4</v>
      </c>
      <c r="H2295" s="399">
        <v>1</v>
      </c>
      <c r="I2295" s="316"/>
      <c r="J2295" s="316">
        <v>9040.7000000000007</v>
      </c>
      <c r="K2295" s="316">
        <v>9040.7000000000007</v>
      </c>
      <c r="L2295" s="168"/>
    </row>
    <row r="2296" spans="1:12" ht="15" customHeight="1" x14ac:dyDescent="0.3">
      <c r="A2296" s="400" t="s">
        <v>1038</v>
      </c>
      <c r="B2296" s="401" t="s">
        <v>2567</v>
      </c>
      <c r="C2296" s="400" t="s">
        <v>575</v>
      </c>
      <c r="D2296" s="400" t="s">
        <v>1840</v>
      </c>
      <c r="E2296" s="605" t="s">
        <v>1039</v>
      </c>
      <c r="F2296" s="605"/>
      <c r="G2296" s="402" t="s">
        <v>4</v>
      </c>
      <c r="H2296" s="403">
        <v>1</v>
      </c>
      <c r="I2296" s="403">
        <v>0</v>
      </c>
      <c r="J2296" s="404">
        <v>9040.7000000000007</v>
      </c>
      <c r="K2296" s="404">
        <v>9040.7000000000007</v>
      </c>
      <c r="L2296" s="168"/>
    </row>
    <row r="2297" spans="1:12" ht="14.25" customHeight="1" x14ac:dyDescent="0.3">
      <c r="A2297" s="405"/>
      <c r="B2297" s="405"/>
      <c r="C2297" s="405"/>
      <c r="D2297" s="405"/>
      <c r="E2297" s="405" t="s">
        <v>1046</v>
      </c>
      <c r="F2297" s="406">
        <v>0</v>
      </c>
      <c r="G2297" s="405" t="s">
        <v>1047</v>
      </c>
      <c r="H2297" s="406">
        <v>0</v>
      </c>
      <c r="I2297" s="405" t="s">
        <v>1048</v>
      </c>
      <c r="J2297" s="406">
        <v>0</v>
      </c>
      <c r="K2297"/>
      <c r="L2297" s="166"/>
    </row>
    <row r="2298" spans="1:12" ht="15.6" thickBot="1" x14ac:dyDescent="0.35">
      <c r="A2298" s="405"/>
      <c r="B2298" s="405"/>
      <c r="C2298" s="405"/>
      <c r="D2298" s="405"/>
      <c r="E2298" s="405" t="s">
        <v>1049</v>
      </c>
      <c r="F2298" s="406">
        <v>0</v>
      </c>
      <c r="G2298" s="405"/>
      <c r="H2298" s="606"/>
      <c r="I2298" s="606" t="s">
        <v>1050</v>
      </c>
      <c r="J2298" s="406">
        <v>9040.7000000000007</v>
      </c>
      <c r="K2298"/>
      <c r="L2298" s="166"/>
    </row>
    <row r="2299" spans="1:12" ht="15.6" thickTop="1" x14ac:dyDescent="0.3">
      <c r="A2299" s="407"/>
      <c r="B2299" s="407"/>
      <c r="C2299" s="407"/>
      <c r="D2299" s="407"/>
      <c r="E2299" s="407"/>
      <c r="F2299" s="407"/>
      <c r="G2299" s="407"/>
      <c r="H2299" s="407"/>
      <c r="I2299" s="407"/>
      <c r="J2299" s="407"/>
      <c r="K2299" s="407"/>
      <c r="L2299" s="168"/>
    </row>
    <row r="2300" spans="1:12" ht="15" x14ac:dyDescent="0.3">
      <c r="A2300" s="382" t="s">
        <v>1775</v>
      </c>
      <c r="B2300" s="312" t="s">
        <v>413</v>
      </c>
      <c r="C2300" s="382" t="s">
        <v>414</v>
      </c>
      <c r="D2300" s="382" t="s">
        <v>415</v>
      </c>
      <c r="E2300" s="586" t="s">
        <v>1029</v>
      </c>
      <c r="F2300" s="586"/>
      <c r="G2300" s="383" t="s">
        <v>416</v>
      </c>
      <c r="H2300" s="312" t="s">
        <v>1030</v>
      </c>
      <c r="I2300" s="312" t="s">
        <v>3016</v>
      </c>
      <c r="J2300" s="312" t="s">
        <v>1031</v>
      </c>
      <c r="K2300" s="312" t="s">
        <v>1032</v>
      </c>
      <c r="L2300" s="168"/>
    </row>
    <row r="2301" spans="1:12" ht="25.5" customHeight="1" x14ac:dyDescent="0.3">
      <c r="A2301" s="313" t="s">
        <v>1033</v>
      </c>
      <c r="B2301" s="315" t="s">
        <v>936</v>
      </c>
      <c r="C2301" s="313" t="s">
        <v>5902</v>
      </c>
      <c r="D2301" s="313" t="s">
        <v>524</v>
      </c>
      <c r="E2301" s="603">
        <v>40.200000000000003</v>
      </c>
      <c r="F2301" s="603"/>
      <c r="G2301" s="314" t="s">
        <v>4</v>
      </c>
      <c r="H2301" s="399">
        <v>1</v>
      </c>
      <c r="I2301" s="316"/>
      <c r="J2301" s="316">
        <v>11.5</v>
      </c>
      <c r="K2301" s="316">
        <v>11.5</v>
      </c>
      <c r="L2301" s="168"/>
    </row>
    <row r="2302" spans="1:12" ht="25.5" customHeight="1" x14ac:dyDescent="0.3">
      <c r="A2302" s="400" t="s">
        <v>1038</v>
      </c>
      <c r="B2302" s="401" t="s">
        <v>1054</v>
      </c>
      <c r="C2302" s="400" t="s">
        <v>5902</v>
      </c>
      <c r="D2302" s="400" t="s">
        <v>1055</v>
      </c>
      <c r="E2302" s="605" t="s">
        <v>1053</v>
      </c>
      <c r="F2302" s="605"/>
      <c r="G2302" s="402" t="s">
        <v>6</v>
      </c>
      <c r="H2302" s="403">
        <v>0.08</v>
      </c>
      <c r="I2302" s="403">
        <v>0</v>
      </c>
      <c r="J2302" s="404">
        <v>22.71</v>
      </c>
      <c r="K2302" s="404">
        <v>1.8168</v>
      </c>
      <c r="L2302" s="166"/>
    </row>
    <row r="2303" spans="1:12" ht="25.5" customHeight="1" x14ac:dyDescent="0.3">
      <c r="A2303" s="400" t="s">
        <v>1038</v>
      </c>
      <c r="B2303" s="401" t="s">
        <v>1233</v>
      </c>
      <c r="C2303" s="400" t="s">
        <v>5902</v>
      </c>
      <c r="D2303" s="400" t="s">
        <v>1234</v>
      </c>
      <c r="E2303" s="605" t="s">
        <v>1039</v>
      </c>
      <c r="F2303" s="605"/>
      <c r="G2303" s="402" t="s">
        <v>4</v>
      </c>
      <c r="H2303" s="403">
        <v>1</v>
      </c>
      <c r="I2303" s="403">
        <v>0</v>
      </c>
      <c r="J2303" s="404">
        <v>9.68</v>
      </c>
      <c r="K2303" s="404">
        <v>9.68</v>
      </c>
      <c r="L2303" s="166"/>
    </row>
    <row r="2304" spans="1:12" ht="15" x14ac:dyDescent="0.3">
      <c r="A2304" s="405"/>
      <c r="B2304" s="405"/>
      <c r="C2304" s="405"/>
      <c r="D2304" s="405"/>
      <c r="E2304" s="405" t="s">
        <v>1046</v>
      </c>
      <c r="F2304" s="406">
        <v>1.82</v>
      </c>
      <c r="G2304" s="405" t="s">
        <v>1047</v>
      </c>
      <c r="H2304" s="406">
        <v>0</v>
      </c>
      <c r="I2304" s="405" t="s">
        <v>1048</v>
      </c>
      <c r="J2304" s="406">
        <v>1.82</v>
      </c>
      <c r="K2304"/>
      <c r="L2304" s="166"/>
    </row>
    <row r="2305" spans="1:12" ht="30" customHeight="1" thickBot="1" x14ac:dyDescent="0.35">
      <c r="A2305" s="405"/>
      <c r="B2305" s="405"/>
      <c r="C2305" s="405"/>
      <c r="D2305" s="405"/>
      <c r="E2305" s="405" t="s">
        <v>1049</v>
      </c>
      <c r="F2305" s="406">
        <v>0</v>
      </c>
      <c r="G2305" s="405"/>
      <c r="H2305" s="606"/>
      <c r="I2305" s="606" t="s">
        <v>1050</v>
      </c>
      <c r="J2305" s="406">
        <v>11.5</v>
      </c>
      <c r="K2305"/>
      <c r="L2305" s="166"/>
    </row>
    <row r="2306" spans="1:12" ht="15" customHeight="1" thickTop="1" x14ac:dyDescent="0.3">
      <c r="A2306" s="407"/>
      <c r="B2306" s="407"/>
      <c r="C2306" s="407"/>
      <c r="D2306" s="407"/>
      <c r="E2306" s="407"/>
      <c r="F2306" s="407"/>
      <c r="G2306" s="407"/>
      <c r="H2306" s="407"/>
      <c r="I2306" s="407"/>
      <c r="J2306" s="407"/>
      <c r="K2306" s="407"/>
      <c r="L2306" s="166"/>
    </row>
    <row r="2307" spans="1:12" ht="25.5" customHeight="1" x14ac:dyDescent="0.3">
      <c r="A2307" s="382" t="s">
        <v>1777</v>
      </c>
      <c r="B2307" s="312" t="s">
        <v>413</v>
      </c>
      <c r="C2307" s="382" t="s">
        <v>414</v>
      </c>
      <c r="D2307" s="382" t="s">
        <v>415</v>
      </c>
      <c r="E2307" s="586" t="s">
        <v>1029</v>
      </c>
      <c r="F2307" s="586"/>
      <c r="G2307" s="383" t="s">
        <v>416</v>
      </c>
      <c r="H2307" s="312" t="s">
        <v>1030</v>
      </c>
      <c r="I2307" s="312" t="s">
        <v>3016</v>
      </c>
      <c r="J2307" s="312" t="s">
        <v>1031</v>
      </c>
      <c r="K2307" s="312" t="s">
        <v>1032</v>
      </c>
      <c r="L2307" s="166"/>
    </row>
    <row r="2308" spans="1:12" ht="25.5" customHeight="1" x14ac:dyDescent="0.3">
      <c r="A2308" s="313" t="s">
        <v>1033</v>
      </c>
      <c r="B2308" s="315" t="s">
        <v>3842</v>
      </c>
      <c r="C2308" s="313" t="s">
        <v>395</v>
      </c>
      <c r="D2308" s="313" t="s">
        <v>5956</v>
      </c>
      <c r="E2308" s="603" t="s">
        <v>7783</v>
      </c>
      <c r="F2308" s="603"/>
      <c r="G2308" s="314" t="s">
        <v>7</v>
      </c>
      <c r="H2308" s="399">
        <v>1</v>
      </c>
      <c r="I2308" s="316"/>
      <c r="J2308" s="316">
        <v>28.66</v>
      </c>
      <c r="K2308" s="316">
        <v>28.66</v>
      </c>
      <c r="L2308" s="166"/>
    </row>
    <row r="2309" spans="1:12" ht="26.4" x14ac:dyDescent="0.3">
      <c r="A2309" s="408" t="s">
        <v>1034</v>
      </c>
      <c r="B2309" s="409" t="s">
        <v>1035</v>
      </c>
      <c r="C2309" s="408" t="s">
        <v>395</v>
      </c>
      <c r="D2309" s="408" t="s">
        <v>128</v>
      </c>
      <c r="E2309" s="604" t="s">
        <v>7768</v>
      </c>
      <c r="F2309" s="604"/>
      <c r="G2309" s="410" t="s">
        <v>6</v>
      </c>
      <c r="H2309" s="412">
        <v>0.105</v>
      </c>
      <c r="I2309" s="412">
        <v>0</v>
      </c>
      <c r="J2309" s="411">
        <v>34.5</v>
      </c>
      <c r="K2309" s="411">
        <v>3.6225000000000001</v>
      </c>
      <c r="L2309" s="168"/>
    </row>
    <row r="2310" spans="1:12" ht="14.25" customHeight="1" x14ac:dyDescent="0.3">
      <c r="A2310" s="408" t="s">
        <v>1034</v>
      </c>
      <c r="B2310" s="409" t="s">
        <v>1037</v>
      </c>
      <c r="C2310" s="408" t="s">
        <v>395</v>
      </c>
      <c r="D2310" s="408" t="s">
        <v>135</v>
      </c>
      <c r="E2310" s="604" t="s">
        <v>7768</v>
      </c>
      <c r="F2310" s="604"/>
      <c r="G2310" s="410" t="s">
        <v>6</v>
      </c>
      <c r="H2310" s="412">
        <v>0.105</v>
      </c>
      <c r="I2310" s="412">
        <v>0</v>
      </c>
      <c r="J2310" s="411">
        <v>41.81</v>
      </c>
      <c r="K2310" s="411">
        <v>4.3900499999999996</v>
      </c>
      <c r="L2310" s="170"/>
    </row>
    <row r="2311" spans="1:12" ht="15" customHeight="1" x14ac:dyDescent="0.3">
      <c r="A2311" s="408" t="s">
        <v>1034</v>
      </c>
      <c r="B2311" s="409" t="s">
        <v>5160</v>
      </c>
      <c r="C2311" s="408" t="s">
        <v>395</v>
      </c>
      <c r="D2311" s="408" t="s">
        <v>7796</v>
      </c>
      <c r="E2311" s="604" t="s">
        <v>7797</v>
      </c>
      <c r="F2311" s="604"/>
      <c r="G2311" s="410" t="s">
        <v>7</v>
      </c>
      <c r="H2311" s="412">
        <v>1</v>
      </c>
      <c r="I2311" s="412">
        <v>0</v>
      </c>
      <c r="J2311" s="411">
        <v>12.98</v>
      </c>
      <c r="K2311" s="411">
        <v>12.98</v>
      </c>
      <c r="L2311" s="168"/>
    </row>
    <row r="2312" spans="1:12" ht="15" customHeight="1" x14ac:dyDescent="0.3">
      <c r="A2312" s="400" t="s">
        <v>1038</v>
      </c>
      <c r="B2312" s="401" t="s">
        <v>4603</v>
      </c>
      <c r="C2312" s="400" t="s">
        <v>395</v>
      </c>
      <c r="D2312" s="400" t="s">
        <v>4604</v>
      </c>
      <c r="E2312" s="605" t="s">
        <v>1039</v>
      </c>
      <c r="F2312" s="605"/>
      <c r="G2312" s="402" t="s">
        <v>7</v>
      </c>
      <c r="H2312" s="403">
        <v>1.1000000000000001</v>
      </c>
      <c r="I2312" s="403">
        <v>0</v>
      </c>
      <c r="J2312" s="404">
        <v>6.97</v>
      </c>
      <c r="K2312" s="404">
        <v>7.6669999999999998</v>
      </c>
      <c r="L2312" s="168"/>
    </row>
    <row r="2313" spans="1:12" ht="15" x14ac:dyDescent="0.3">
      <c r="A2313" s="405"/>
      <c r="B2313" s="405"/>
      <c r="C2313" s="405"/>
      <c r="D2313" s="405"/>
      <c r="E2313" s="405" t="s">
        <v>1046</v>
      </c>
      <c r="F2313" s="406">
        <v>13.45</v>
      </c>
      <c r="G2313" s="405" t="s">
        <v>1047</v>
      </c>
      <c r="H2313" s="406">
        <v>0</v>
      </c>
      <c r="I2313" s="405" t="s">
        <v>1048</v>
      </c>
      <c r="J2313" s="406">
        <v>13.45</v>
      </c>
      <c r="K2313"/>
      <c r="L2313" s="168"/>
    </row>
    <row r="2314" spans="1:12" ht="25.5" customHeight="1" thickBot="1" x14ac:dyDescent="0.35">
      <c r="A2314" s="405"/>
      <c r="B2314" s="405"/>
      <c r="C2314" s="405"/>
      <c r="D2314" s="405"/>
      <c r="E2314" s="405" t="s">
        <v>1049</v>
      </c>
      <c r="F2314" s="406">
        <v>0</v>
      </c>
      <c r="G2314" s="405"/>
      <c r="H2314" s="606"/>
      <c r="I2314" s="606" t="s">
        <v>1050</v>
      </c>
      <c r="J2314" s="406">
        <v>28.66</v>
      </c>
      <c r="K2314"/>
      <c r="L2314" s="166"/>
    </row>
    <row r="2315" spans="1:12" ht="15" customHeight="1" thickTop="1" x14ac:dyDescent="0.3">
      <c r="A2315" s="407"/>
      <c r="B2315" s="407"/>
      <c r="C2315" s="407"/>
      <c r="D2315" s="407"/>
      <c r="E2315" s="407"/>
      <c r="F2315" s="407"/>
      <c r="G2315" s="407"/>
      <c r="H2315" s="407"/>
      <c r="I2315" s="407"/>
      <c r="J2315" s="407"/>
      <c r="K2315" s="407"/>
      <c r="L2315" s="166"/>
    </row>
    <row r="2316" spans="1:12" ht="25.5" customHeight="1" x14ac:dyDescent="0.3">
      <c r="A2316" s="382" t="s">
        <v>1778</v>
      </c>
      <c r="B2316" s="312" t="s">
        <v>413</v>
      </c>
      <c r="C2316" s="382" t="s">
        <v>414</v>
      </c>
      <c r="D2316" s="382" t="s">
        <v>415</v>
      </c>
      <c r="E2316" s="586" t="s">
        <v>1029</v>
      </c>
      <c r="F2316" s="586"/>
      <c r="G2316" s="383" t="s">
        <v>416</v>
      </c>
      <c r="H2316" s="312" t="s">
        <v>1030</v>
      </c>
      <c r="I2316" s="312" t="s">
        <v>3016</v>
      </c>
      <c r="J2316" s="312" t="s">
        <v>1031</v>
      </c>
      <c r="K2316" s="312" t="s">
        <v>1032</v>
      </c>
      <c r="L2316" s="168"/>
    </row>
    <row r="2317" spans="1:12" ht="25.5" customHeight="1" x14ac:dyDescent="0.3">
      <c r="A2317" s="313" t="s">
        <v>1033</v>
      </c>
      <c r="B2317" s="315" t="s">
        <v>3843</v>
      </c>
      <c r="C2317" s="313" t="s">
        <v>395</v>
      </c>
      <c r="D2317" s="313" t="s">
        <v>25</v>
      </c>
      <c r="E2317" s="603" t="s">
        <v>1227</v>
      </c>
      <c r="F2317" s="603"/>
      <c r="G2317" s="314" t="s">
        <v>4</v>
      </c>
      <c r="H2317" s="399">
        <v>1</v>
      </c>
      <c r="I2317" s="316"/>
      <c r="J2317" s="316">
        <v>17.47</v>
      </c>
      <c r="K2317" s="316">
        <v>17.47</v>
      </c>
      <c r="L2317" s="168"/>
    </row>
    <row r="2318" spans="1:12" ht="25.5" customHeight="1" x14ac:dyDescent="0.3">
      <c r="A2318" s="408" t="s">
        <v>1034</v>
      </c>
      <c r="B2318" s="409" t="s">
        <v>1037</v>
      </c>
      <c r="C2318" s="408" t="s">
        <v>395</v>
      </c>
      <c r="D2318" s="408" t="s">
        <v>135</v>
      </c>
      <c r="E2318" s="604" t="s">
        <v>7768</v>
      </c>
      <c r="F2318" s="604"/>
      <c r="G2318" s="410" t="s">
        <v>6</v>
      </c>
      <c r="H2318" s="412">
        <v>0.20330000000000001</v>
      </c>
      <c r="I2318" s="412">
        <v>0</v>
      </c>
      <c r="J2318" s="411">
        <v>41.81</v>
      </c>
      <c r="K2318" s="411">
        <v>8.4999730000000007</v>
      </c>
      <c r="L2318" s="168"/>
    </row>
    <row r="2319" spans="1:12" ht="26.4" x14ac:dyDescent="0.3">
      <c r="A2319" s="408" t="s">
        <v>1034</v>
      </c>
      <c r="B2319" s="409" t="s">
        <v>1035</v>
      </c>
      <c r="C2319" s="408" t="s">
        <v>395</v>
      </c>
      <c r="D2319" s="408" t="s">
        <v>128</v>
      </c>
      <c r="E2319" s="604" t="s">
        <v>7768</v>
      </c>
      <c r="F2319" s="604"/>
      <c r="G2319" s="410" t="s">
        <v>6</v>
      </c>
      <c r="H2319" s="412">
        <v>0.20330000000000001</v>
      </c>
      <c r="I2319" s="412">
        <v>0</v>
      </c>
      <c r="J2319" s="411">
        <v>34.5</v>
      </c>
      <c r="K2319" s="411">
        <v>7.0138499999999997</v>
      </c>
      <c r="L2319" s="168"/>
    </row>
    <row r="2320" spans="1:12" ht="15" customHeight="1" x14ac:dyDescent="0.3">
      <c r="A2320" s="400" t="s">
        <v>1038</v>
      </c>
      <c r="B2320" s="401" t="s">
        <v>4784</v>
      </c>
      <c r="C2320" s="400" t="s">
        <v>395</v>
      </c>
      <c r="D2320" s="400" t="s">
        <v>4785</v>
      </c>
      <c r="E2320" s="605" t="s">
        <v>1039</v>
      </c>
      <c r="F2320" s="605"/>
      <c r="G2320" s="402" t="s">
        <v>4</v>
      </c>
      <c r="H2320" s="403">
        <v>1</v>
      </c>
      <c r="I2320" s="403">
        <v>0</v>
      </c>
      <c r="J2320" s="404">
        <v>1.96</v>
      </c>
      <c r="K2320" s="404">
        <v>1.96</v>
      </c>
      <c r="L2320" s="168"/>
    </row>
    <row r="2321" spans="1:12" ht="15" x14ac:dyDescent="0.3">
      <c r="A2321" s="405"/>
      <c r="B2321" s="405"/>
      <c r="C2321" s="405"/>
      <c r="D2321" s="405"/>
      <c r="E2321" s="405" t="s">
        <v>1046</v>
      </c>
      <c r="F2321" s="406">
        <v>11.32</v>
      </c>
      <c r="G2321" s="405" t="s">
        <v>1047</v>
      </c>
      <c r="H2321" s="406">
        <v>0</v>
      </c>
      <c r="I2321" s="405" t="s">
        <v>1048</v>
      </c>
      <c r="J2321" s="406">
        <v>11.32</v>
      </c>
      <c r="K2321"/>
      <c r="L2321" s="168"/>
    </row>
    <row r="2322" spans="1:12" ht="15.6" thickBot="1" x14ac:dyDescent="0.35">
      <c r="A2322" s="405"/>
      <c r="B2322" s="405"/>
      <c r="C2322" s="405"/>
      <c r="D2322" s="405"/>
      <c r="E2322" s="405" t="s">
        <v>1049</v>
      </c>
      <c r="F2322" s="406">
        <v>0</v>
      </c>
      <c r="G2322" s="405"/>
      <c r="H2322" s="606"/>
      <c r="I2322" s="606" t="s">
        <v>1050</v>
      </c>
      <c r="J2322" s="406">
        <v>17.47</v>
      </c>
      <c r="K2322"/>
      <c r="L2322" s="168"/>
    </row>
    <row r="2323" spans="1:12" ht="14.25" customHeight="1" thickTop="1" x14ac:dyDescent="0.3">
      <c r="A2323" s="407"/>
      <c r="B2323" s="407"/>
      <c r="C2323" s="407"/>
      <c r="D2323" s="407"/>
      <c r="E2323" s="407"/>
      <c r="F2323" s="407"/>
      <c r="G2323" s="407"/>
      <c r="H2323" s="407"/>
      <c r="I2323" s="407"/>
      <c r="J2323" s="407"/>
      <c r="K2323" s="407"/>
      <c r="L2323" s="168"/>
    </row>
    <row r="2324" spans="1:12" ht="15" x14ac:dyDescent="0.3">
      <c r="A2324" s="382" t="s">
        <v>1781</v>
      </c>
      <c r="B2324" s="312" t="s">
        <v>413</v>
      </c>
      <c r="C2324" s="382" t="s">
        <v>414</v>
      </c>
      <c r="D2324" s="382" t="s">
        <v>415</v>
      </c>
      <c r="E2324" s="586" t="s">
        <v>1029</v>
      </c>
      <c r="F2324" s="586"/>
      <c r="G2324" s="383" t="s">
        <v>416</v>
      </c>
      <c r="H2324" s="312" t="s">
        <v>1030</v>
      </c>
      <c r="I2324" s="312" t="s">
        <v>3016</v>
      </c>
      <c r="J2324" s="312" t="s">
        <v>1031</v>
      </c>
      <c r="K2324" s="312" t="s">
        <v>1032</v>
      </c>
      <c r="L2324" s="166"/>
    </row>
    <row r="2325" spans="1:12" ht="26.4" x14ac:dyDescent="0.3">
      <c r="A2325" s="313" t="s">
        <v>1033</v>
      </c>
      <c r="B2325" s="315" t="s">
        <v>984</v>
      </c>
      <c r="C2325" s="313" t="s">
        <v>420</v>
      </c>
      <c r="D2325" s="313" t="s">
        <v>592</v>
      </c>
      <c r="E2325" s="603" t="s">
        <v>1120</v>
      </c>
      <c r="F2325" s="603"/>
      <c r="G2325" s="314" t="s">
        <v>422</v>
      </c>
      <c r="H2325" s="399">
        <v>1</v>
      </c>
      <c r="I2325" s="316"/>
      <c r="J2325" s="316">
        <v>7</v>
      </c>
      <c r="K2325" s="316">
        <v>7</v>
      </c>
      <c r="L2325" s="168"/>
    </row>
    <row r="2326" spans="1:12" ht="17.399999999999999" customHeight="1" x14ac:dyDescent="0.3">
      <c r="A2326" s="408" t="s">
        <v>1034</v>
      </c>
      <c r="B2326" s="409" t="s">
        <v>1067</v>
      </c>
      <c r="C2326" s="408" t="s">
        <v>420</v>
      </c>
      <c r="D2326" s="408" t="s">
        <v>1068</v>
      </c>
      <c r="E2326" s="604" t="s">
        <v>1069</v>
      </c>
      <c r="F2326" s="604"/>
      <c r="G2326" s="410" t="s">
        <v>1070</v>
      </c>
      <c r="H2326" s="412">
        <v>5.6000000000000001E-2</v>
      </c>
      <c r="I2326" s="412">
        <v>0</v>
      </c>
      <c r="J2326" s="411">
        <v>3.82</v>
      </c>
      <c r="K2326" s="411">
        <v>0.21392</v>
      </c>
      <c r="L2326" s="168"/>
    </row>
    <row r="2327" spans="1:12" ht="25.5" customHeight="1" x14ac:dyDescent="0.3">
      <c r="A2327" s="400" t="s">
        <v>1038</v>
      </c>
      <c r="B2327" s="401" t="s">
        <v>6199</v>
      </c>
      <c r="C2327" s="400" t="s">
        <v>420</v>
      </c>
      <c r="D2327" s="400" t="s">
        <v>6200</v>
      </c>
      <c r="E2327" s="605" t="s">
        <v>1053</v>
      </c>
      <c r="F2327" s="605"/>
      <c r="G2327" s="402" t="s">
        <v>1070</v>
      </c>
      <c r="H2327" s="403">
        <v>5.6000000000000001E-2</v>
      </c>
      <c r="I2327" s="403">
        <v>0</v>
      </c>
      <c r="J2327" s="404">
        <v>20.45</v>
      </c>
      <c r="K2327" s="404">
        <v>1.1452</v>
      </c>
      <c r="L2327" s="168"/>
    </row>
    <row r="2328" spans="1:12" ht="15" customHeight="1" x14ac:dyDescent="0.3">
      <c r="A2328" s="400" t="s">
        <v>1038</v>
      </c>
      <c r="B2328" s="401" t="s">
        <v>7261</v>
      </c>
      <c r="C2328" s="400" t="s">
        <v>420</v>
      </c>
      <c r="D2328" s="400" t="s">
        <v>7262</v>
      </c>
      <c r="E2328" s="605" t="s">
        <v>1039</v>
      </c>
      <c r="F2328" s="605"/>
      <c r="G2328" s="402" t="s">
        <v>422</v>
      </c>
      <c r="H2328" s="403">
        <v>1</v>
      </c>
      <c r="I2328" s="403">
        <v>0</v>
      </c>
      <c r="J2328" s="404">
        <v>5.64</v>
      </c>
      <c r="K2328" s="404">
        <v>5.64</v>
      </c>
      <c r="L2328" s="166"/>
    </row>
    <row r="2329" spans="1:12" ht="15" customHeight="1" x14ac:dyDescent="0.3">
      <c r="A2329" s="405"/>
      <c r="B2329" s="405"/>
      <c r="C2329" s="405"/>
      <c r="D2329" s="405"/>
      <c r="E2329" s="405" t="s">
        <v>1046</v>
      </c>
      <c r="F2329" s="406">
        <v>1.1499999999999999</v>
      </c>
      <c r="G2329" s="405" t="s">
        <v>1047</v>
      </c>
      <c r="H2329" s="406">
        <v>0</v>
      </c>
      <c r="I2329" s="405" t="s">
        <v>1048</v>
      </c>
      <c r="J2329" s="406">
        <v>1.1499999999999999</v>
      </c>
      <c r="K2329"/>
      <c r="L2329" s="166"/>
    </row>
    <row r="2330" spans="1:12" ht="15.6" thickBot="1" x14ac:dyDescent="0.35">
      <c r="A2330" s="405"/>
      <c r="B2330" s="405"/>
      <c r="C2330" s="405"/>
      <c r="D2330" s="405"/>
      <c r="E2330" s="405" t="s">
        <v>1049</v>
      </c>
      <c r="F2330" s="406">
        <v>0</v>
      </c>
      <c r="G2330" s="405"/>
      <c r="H2330" s="606"/>
      <c r="I2330" s="606" t="s">
        <v>1050</v>
      </c>
      <c r="J2330" s="406">
        <v>7</v>
      </c>
      <c r="K2330"/>
      <c r="L2330" s="168"/>
    </row>
    <row r="2331" spans="1:12" ht="15.6" thickTop="1" x14ac:dyDescent="0.3">
      <c r="A2331" s="407"/>
      <c r="B2331" s="407"/>
      <c r="C2331" s="407"/>
      <c r="D2331" s="407"/>
      <c r="E2331" s="407"/>
      <c r="F2331" s="407"/>
      <c r="G2331" s="407"/>
      <c r="H2331" s="407"/>
      <c r="I2331" s="407"/>
      <c r="J2331" s="407"/>
      <c r="K2331" s="407"/>
      <c r="L2331" s="168"/>
    </row>
    <row r="2332" spans="1:12" ht="15" x14ac:dyDescent="0.3">
      <c r="A2332" s="382" t="s">
        <v>1782</v>
      </c>
      <c r="B2332" s="312" t="s">
        <v>413</v>
      </c>
      <c r="C2332" s="382" t="s">
        <v>414</v>
      </c>
      <c r="D2332" s="382" t="s">
        <v>415</v>
      </c>
      <c r="E2332" s="586" t="s">
        <v>1029</v>
      </c>
      <c r="F2332" s="586"/>
      <c r="G2332" s="383" t="s">
        <v>416</v>
      </c>
      <c r="H2332" s="312" t="s">
        <v>1030</v>
      </c>
      <c r="I2332" s="312" t="s">
        <v>3016</v>
      </c>
      <c r="J2332" s="312" t="s">
        <v>1031</v>
      </c>
      <c r="K2332" s="312" t="s">
        <v>1032</v>
      </c>
      <c r="L2332" s="168"/>
    </row>
    <row r="2333" spans="1:12" ht="25.5" customHeight="1" x14ac:dyDescent="0.3">
      <c r="A2333" s="313" t="s">
        <v>1033</v>
      </c>
      <c r="B2333" s="315" t="s">
        <v>985</v>
      </c>
      <c r="C2333" s="313" t="s">
        <v>420</v>
      </c>
      <c r="D2333" s="313" t="s">
        <v>593</v>
      </c>
      <c r="E2333" s="603" t="s">
        <v>1224</v>
      </c>
      <c r="F2333" s="603"/>
      <c r="G2333" s="314" t="s">
        <v>422</v>
      </c>
      <c r="H2333" s="399">
        <v>1</v>
      </c>
      <c r="I2333" s="316"/>
      <c r="J2333" s="316">
        <v>6.86</v>
      </c>
      <c r="K2333" s="316">
        <v>6.86</v>
      </c>
      <c r="L2333" s="166"/>
    </row>
    <row r="2334" spans="1:12" ht="25.5" customHeight="1" x14ac:dyDescent="0.3">
      <c r="A2334" s="408" t="s">
        <v>1034</v>
      </c>
      <c r="B2334" s="409" t="s">
        <v>1071</v>
      </c>
      <c r="C2334" s="408" t="s">
        <v>420</v>
      </c>
      <c r="D2334" s="408" t="s">
        <v>1072</v>
      </c>
      <c r="E2334" s="604" t="s">
        <v>1069</v>
      </c>
      <c r="F2334" s="604"/>
      <c r="G2334" s="410" t="s">
        <v>1070</v>
      </c>
      <c r="H2334" s="412">
        <v>0.12</v>
      </c>
      <c r="I2334" s="412">
        <v>0</v>
      </c>
      <c r="J2334" s="411">
        <v>3.95</v>
      </c>
      <c r="K2334" s="411">
        <v>0.47399999999999998</v>
      </c>
      <c r="L2334" s="166"/>
    </row>
    <row r="2335" spans="1:12" ht="26.4" x14ac:dyDescent="0.3">
      <c r="A2335" s="408" t="s">
        <v>1034</v>
      </c>
      <c r="B2335" s="409" t="s">
        <v>1067</v>
      </c>
      <c r="C2335" s="408" t="s">
        <v>420</v>
      </c>
      <c r="D2335" s="408" t="s">
        <v>1068</v>
      </c>
      <c r="E2335" s="604" t="s">
        <v>1069</v>
      </c>
      <c r="F2335" s="604"/>
      <c r="G2335" s="410" t="s">
        <v>1070</v>
      </c>
      <c r="H2335" s="412">
        <v>0.12</v>
      </c>
      <c r="I2335" s="412">
        <v>0</v>
      </c>
      <c r="J2335" s="411">
        <v>3.82</v>
      </c>
      <c r="K2335" s="411">
        <v>0.45839999999999997</v>
      </c>
      <c r="L2335" s="166"/>
    </row>
    <row r="2336" spans="1:12" ht="14.25" customHeight="1" x14ac:dyDescent="0.3">
      <c r="A2336" s="400" t="s">
        <v>1038</v>
      </c>
      <c r="B2336" s="401" t="s">
        <v>1373</v>
      </c>
      <c r="C2336" s="400" t="s">
        <v>420</v>
      </c>
      <c r="D2336" s="400" t="s">
        <v>1374</v>
      </c>
      <c r="E2336" s="605" t="s">
        <v>1039</v>
      </c>
      <c r="F2336" s="605"/>
      <c r="G2336" s="402" t="s">
        <v>422</v>
      </c>
      <c r="H2336" s="403">
        <v>1</v>
      </c>
      <c r="I2336" s="403">
        <v>0</v>
      </c>
      <c r="J2336" s="404">
        <v>1.6</v>
      </c>
      <c r="K2336" s="404">
        <v>1.6</v>
      </c>
      <c r="L2336" s="166"/>
    </row>
    <row r="2337" spans="1:12" ht="15" customHeight="1" x14ac:dyDescent="0.3">
      <c r="A2337" s="400" t="s">
        <v>1038</v>
      </c>
      <c r="B2337" s="401" t="s">
        <v>6199</v>
      </c>
      <c r="C2337" s="400" t="s">
        <v>420</v>
      </c>
      <c r="D2337" s="400" t="s">
        <v>6200</v>
      </c>
      <c r="E2337" s="605" t="s">
        <v>1053</v>
      </c>
      <c r="F2337" s="605"/>
      <c r="G2337" s="402" t="s">
        <v>1070</v>
      </c>
      <c r="H2337" s="403">
        <v>0.12</v>
      </c>
      <c r="I2337" s="403">
        <v>0</v>
      </c>
      <c r="J2337" s="404">
        <v>20.45</v>
      </c>
      <c r="K2337" s="404">
        <v>2.4540000000000002</v>
      </c>
      <c r="L2337" s="166"/>
    </row>
    <row r="2338" spans="1:12" ht="15" x14ac:dyDescent="0.3">
      <c r="A2338" s="400" t="s">
        <v>1038</v>
      </c>
      <c r="B2338" s="401" t="s">
        <v>6251</v>
      </c>
      <c r="C2338" s="400" t="s">
        <v>420</v>
      </c>
      <c r="D2338" s="400" t="s">
        <v>6252</v>
      </c>
      <c r="E2338" s="605" t="s">
        <v>1053</v>
      </c>
      <c r="F2338" s="605"/>
      <c r="G2338" s="402" t="s">
        <v>1070</v>
      </c>
      <c r="H2338" s="403">
        <v>0.12</v>
      </c>
      <c r="I2338" s="403">
        <v>0</v>
      </c>
      <c r="J2338" s="404">
        <v>15.59</v>
      </c>
      <c r="K2338" s="404">
        <v>1.8708</v>
      </c>
      <c r="L2338" s="166"/>
    </row>
    <row r="2339" spans="1:12" ht="15" x14ac:dyDescent="0.3">
      <c r="A2339" s="405"/>
      <c r="B2339" s="405"/>
      <c r="C2339" s="405"/>
      <c r="D2339" s="405"/>
      <c r="E2339" s="405" t="s">
        <v>1046</v>
      </c>
      <c r="F2339" s="406">
        <v>4.32</v>
      </c>
      <c r="G2339" s="405" t="s">
        <v>1047</v>
      </c>
      <c r="H2339" s="406">
        <v>0</v>
      </c>
      <c r="I2339" s="405" t="s">
        <v>1048</v>
      </c>
      <c r="J2339" s="406">
        <v>4.32</v>
      </c>
      <c r="K2339"/>
      <c r="L2339" s="166"/>
    </row>
    <row r="2340" spans="1:12" ht="25.5" customHeight="1" thickBot="1" x14ac:dyDescent="0.35">
      <c r="A2340" s="405"/>
      <c r="B2340" s="405"/>
      <c r="C2340" s="405"/>
      <c r="D2340" s="405"/>
      <c r="E2340" s="405" t="s">
        <v>1049</v>
      </c>
      <c r="F2340" s="406">
        <v>0</v>
      </c>
      <c r="G2340" s="405"/>
      <c r="H2340" s="606"/>
      <c r="I2340" s="606" t="s">
        <v>1050</v>
      </c>
      <c r="J2340" s="406">
        <v>6.86</v>
      </c>
      <c r="K2340"/>
      <c r="L2340" s="168"/>
    </row>
    <row r="2341" spans="1:12" ht="25.5" customHeight="1" thickTop="1" x14ac:dyDescent="0.3">
      <c r="A2341" s="407"/>
      <c r="B2341" s="407"/>
      <c r="C2341" s="407"/>
      <c r="D2341" s="407"/>
      <c r="E2341" s="407"/>
      <c r="F2341" s="407"/>
      <c r="G2341" s="407"/>
      <c r="H2341" s="407"/>
      <c r="I2341" s="407"/>
      <c r="J2341" s="407"/>
      <c r="K2341" s="407"/>
      <c r="L2341" s="170"/>
    </row>
    <row r="2342" spans="1:12" ht="25.5" customHeight="1" x14ac:dyDescent="0.3">
      <c r="A2342" s="382" t="s">
        <v>1783</v>
      </c>
      <c r="B2342" s="312" t="s">
        <v>413</v>
      </c>
      <c r="C2342" s="382" t="s">
        <v>414</v>
      </c>
      <c r="D2342" s="382" t="s">
        <v>415</v>
      </c>
      <c r="E2342" s="586" t="s">
        <v>1029</v>
      </c>
      <c r="F2342" s="586"/>
      <c r="G2342" s="383" t="s">
        <v>416</v>
      </c>
      <c r="H2342" s="312" t="s">
        <v>1030</v>
      </c>
      <c r="I2342" s="312" t="s">
        <v>3016</v>
      </c>
      <c r="J2342" s="312" t="s">
        <v>1031</v>
      </c>
      <c r="K2342" s="312" t="s">
        <v>1032</v>
      </c>
      <c r="L2342" s="168"/>
    </row>
    <row r="2343" spans="1:12" ht="25.5" customHeight="1" x14ac:dyDescent="0.3">
      <c r="A2343" s="313" t="s">
        <v>1033</v>
      </c>
      <c r="B2343" s="315" t="s">
        <v>891</v>
      </c>
      <c r="C2343" s="313" t="s">
        <v>420</v>
      </c>
      <c r="D2343" s="313" t="s">
        <v>448</v>
      </c>
      <c r="E2343" s="603" t="s">
        <v>1130</v>
      </c>
      <c r="F2343" s="603"/>
      <c r="G2343" s="314" t="s">
        <v>422</v>
      </c>
      <c r="H2343" s="399">
        <v>1</v>
      </c>
      <c r="I2343" s="316"/>
      <c r="J2343" s="316">
        <v>4.59</v>
      </c>
      <c r="K2343" s="316">
        <v>4.59</v>
      </c>
      <c r="L2343" s="168"/>
    </row>
    <row r="2344" spans="1:12" ht="15" customHeight="1" x14ac:dyDescent="0.3">
      <c r="A2344" s="408" t="s">
        <v>1034</v>
      </c>
      <c r="B2344" s="409" t="s">
        <v>1071</v>
      </c>
      <c r="C2344" s="408" t="s">
        <v>420</v>
      </c>
      <c r="D2344" s="408" t="s">
        <v>1072</v>
      </c>
      <c r="E2344" s="604" t="s">
        <v>1069</v>
      </c>
      <c r="F2344" s="604"/>
      <c r="G2344" s="410" t="s">
        <v>1070</v>
      </c>
      <c r="H2344" s="412">
        <v>0.1</v>
      </c>
      <c r="I2344" s="412">
        <v>0</v>
      </c>
      <c r="J2344" s="411">
        <v>3.95</v>
      </c>
      <c r="K2344" s="411">
        <v>0.39500000000000002</v>
      </c>
      <c r="L2344" s="168"/>
    </row>
    <row r="2345" spans="1:12" ht="26.4" x14ac:dyDescent="0.3">
      <c r="A2345" s="408" t="s">
        <v>1034</v>
      </c>
      <c r="B2345" s="409" t="s">
        <v>1067</v>
      </c>
      <c r="C2345" s="408" t="s">
        <v>420</v>
      </c>
      <c r="D2345" s="408" t="s">
        <v>1068</v>
      </c>
      <c r="E2345" s="604" t="s">
        <v>1069</v>
      </c>
      <c r="F2345" s="604"/>
      <c r="G2345" s="410" t="s">
        <v>1070</v>
      </c>
      <c r="H2345" s="412">
        <v>0.1</v>
      </c>
      <c r="I2345" s="412">
        <v>0</v>
      </c>
      <c r="J2345" s="411">
        <v>3.82</v>
      </c>
      <c r="K2345" s="411">
        <v>0.38200000000000001</v>
      </c>
      <c r="L2345" s="166"/>
    </row>
    <row r="2346" spans="1:12" ht="12.75" customHeight="1" x14ac:dyDescent="0.3">
      <c r="A2346" s="400" t="s">
        <v>1038</v>
      </c>
      <c r="B2346" s="401" t="s">
        <v>1131</v>
      </c>
      <c r="C2346" s="400" t="s">
        <v>420</v>
      </c>
      <c r="D2346" s="400" t="s">
        <v>1132</v>
      </c>
      <c r="E2346" s="605" t="s">
        <v>1039</v>
      </c>
      <c r="F2346" s="605"/>
      <c r="G2346" s="402" t="s">
        <v>422</v>
      </c>
      <c r="H2346" s="403">
        <v>1</v>
      </c>
      <c r="I2346" s="403">
        <v>0</v>
      </c>
      <c r="J2346" s="404">
        <v>0.21</v>
      </c>
      <c r="K2346" s="404">
        <v>0.21</v>
      </c>
      <c r="L2346" s="166"/>
    </row>
    <row r="2347" spans="1:12" ht="15" x14ac:dyDescent="0.3">
      <c r="A2347" s="400" t="s">
        <v>1038</v>
      </c>
      <c r="B2347" s="401" t="s">
        <v>6199</v>
      </c>
      <c r="C2347" s="400" t="s">
        <v>420</v>
      </c>
      <c r="D2347" s="400" t="s">
        <v>6200</v>
      </c>
      <c r="E2347" s="605" t="s">
        <v>1053</v>
      </c>
      <c r="F2347" s="605"/>
      <c r="G2347" s="402" t="s">
        <v>1070</v>
      </c>
      <c r="H2347" s="403">
        <v>0.1</v>
      </c>
      <c r="I2347" s="403">
        <v>0</v>
      </c>
      <c r="J2347" s="404">
        <v>20.45</v>
      </c>
      <c r="K2347" s="404">
        <v>2.0449999999999999</v>
      </c>
      <c r="L2347" s="168"/>
    </row>
    <row r="2348" spans="1:12" ht="15" customHeight="1" x14ac:dyDescent="0.3">
      <c r="A2348" s="400" t="s">
        <v>1038</v>
      </c>
      <c r="B2348" s="401" t="s">
        <v>6251</v>
      </c>
      <c r="C2348" s="400" t="s">
        <v>420</v>
      </c>
      <c r="D2348" s="400" t="s">
        <v>6252</v>
      </c>
      <c r="E2348" s="605" t="s">
        <v>1053</v>
      </c>
      <c r="F2348" s="605"/>
      <c r="G2348" s="402" t="s">
        <v>1070</v>
      </c>
      <c r="H2348" s="403">
        <v>0.1</v>
      </c>
      <c r="I2348" s="403">
        <v>0</v>
      </c>
      <c r="J2348" s="404">
        <v>15.59</v>
      </c>
      <c r="K2348" s="404">
        <v>1.5589999999999999</v>
      </c>
      <c r="L2348" s="168"/>
    </row>
    <row r="2349" spans="1:12" ht="14.25" customHeight="1" x14ac:dyDescent="0.3">
      <c r="A2349" s="405"/>
      <c r="B2349" s="405"/>
      <c r="C2349" s="405"/>
      <c r="D2349" s="405"/>
      <c r="E2349" s="405" t="s">
        <v>1046</v>
      </c>
      <c r="F2349" s="406">
        <v>3.61</v>
      </c>
      <c r="G2349" s="405" t="s">
        <v>1047</v>
      </c>
      <c r="H2349" s="406">
        <v>0</v>
      </c>
      <c r="I2349" s="405" t="s">
        <v>1048</v>
      </c>
      <c r="J2349" s="406">
        <v>3.61</v>
      </c>
      <c r="K2349"/>
      <c r="L2349" s="168"/>
    </row>
    <row r="2350" spans="1:12" ht="15" customHeight="1" thickBot="1" x14ac:dyDescent="0.35">
      <c r="A2350" s="405"/>
      <c r="B2350" s="405"/>
      <c r="C2350" s="405"/>
      <c r="D2350" s="405"/>
      <c r="E2350" s="405" t="s">
        <v>1049</v>
      </c>
      <c r="F2350" s="406">
        <v>0</v>
      </c>
      <c r="G2350" s="405"/>
      <c r="H2350" s="606"/>
      <c r="I2350" s="606" t="s">
        <v>1050</v>
      </c>
      <c r="J2350" s="406">
        <v>4.59</v>
      </c>
      <c r="K2350"/>
      <c r="L2350" s="168"/>
    </row>
    <row r="2351" spans="1:12" ht="25.5" customHeight="1" thickTop="1" x14ac:dyDescent="0.3">
      <c r="A2351" s="407"/>
      <c r="B2351" s="407"/>
      <c r="C2351" s="407"/>
      <c r="D2351" s="407"/>
      <c r="E2351" s="407"/>
      <c r="F2351" s="407"/>
      <c r="G2351" s="407"/>
      <c r="H2351" s="407"/>
      <c r="I2351" s="407"/>
      <c r="J2351" s="407"/>
      <c r="K2351" s="407"/>
      <c r="L2351" s="168"/>
    </row>
    <row r="2352" spans="1:12" ht="25.5" customHeight="1" x14ac:dyDescent="0.3">
      <c r="A2352" s="382" t="s">
        <v>1784</v>
      </c>
      <c r="B2352" s="312" t="s">
        <v>413</v>
      </c>
      <c r="C2352" s="382" t="s">
        <v>414</v>
      </c>
      <c r="D2352" s="382" t="s">
        <v>415</v>
      </c>
      <c r="E2352" s="586" t="s">
        <v>1029</v>
      </c>
      <c r="F2352" s="586"/>
      <c r="G2352" s="383" t="s">
        <v>416</v>
      </c>
      <c r="H2352" s="312" t="s">
        <v>1030</v>
      </c>
      <c r="I2352" s="312" t="s">
        <v>3016</v>
      </c>
      <c r="J2352" s="312" t="s">
        <v>1031</v>
      </c>
      <c r="K2352" s="312" t="s">
        <v>1032</v>
      </c>
      <c r="L2352" s="166"/>
    </row>
    <row r="2353" spans="1:12" ht="25.5" customHeight="1" x14ac:dyDescent="0.3">
      <c r="A2353" s="313" t="s">
        <v>1033</v>
      </c>
      <c r="B2353" s="315" t="s">
        <v>892</v>
      </c>
      <c r="C2353" s="313" t="s">
        <v>420</v>
      </c>
      <c r="D2353" s="313" t="s">
        <v>449</v>
      </c>
      <c r="E2353" s="603" t="s">
        <v>1130</v>
      </c>
      <c r="F2353" s="603"/>
      <c r="G2353" s="314" t="s">
        <v>422</v>
      </c>
      <c r="H2353" s="399">
        <v>1</v>
      </c>
      <c r="I2353" s="316"/>
      <c r="J2353" s="316">
        <v>5.38</v>
      </c>
      <c r="K2353" s="316">
        <v>5.38</v>
      </c>
      <c r="L2353" s="168"/>
    </row>
    <row r="2354" spans="1:12" ht="25.5" customHeight="1" x14ac:dyDescent="0.3">
      <c r="A2354" s="408" t="s">
        <v>1034</v>
      </c>
      <c r="B2354" s="409" t="s">
        <v>1071</v>
      </c>
      <c r="C2354" s="408" t="s">
        <v>420</v>
      </c>
      <c r="D2354" s="408" t="s">
        <v>1072</v>
      </c>
      <c r="E2354" s="604" t="s">
        <v>1069</v>
      </c>
      <c r="F2354" s="604"/>
      <c r="G2354" s="410" t="s">
        <v>1070</v>
      </c>
      <c r="H2354" s="412">
        <v>0.1</v>
      </c>
      <c r="I2354" s="412">
        <v>0</v>
      </c>
      <c r="J2354" s="411">
        <v>3.95</v>
      </c>
      <c r="K2354" s="411">
        <v>0.39500000000000002</v>
      </c>
      <c r="L2354" s="168"/>
    </row>
    <row r="2355" spans="1:12" ht="26.4" x14ac:dyDescent="0.3">
      <c r="A2355" s="408" t="s">
        <v>1034</v>
      </c>
      <c r="B2355" s="409" t="s">
        <v>1067</v>
      </c>
      <c r="C2355" s="408" t="s">
        <v>420</v>
      </c>
      <c r="D2355" s="408" t="s">
        <v>1068</v>
      </c>
      <c r="E2355" s="604" t="s">
        <v>1069</v>
      </c>
      <c r="F2355" s="604"/>
      <c r="G2355" s="410" t="s">
        <v>1070</v>
      </c>
      <c r="H2355" s="412">
        <v>0.1</v>
      </c>
      <c r="I2355" s="412">
        <v>0</v>
      </c>
      <c r="J2355" s="411">
        <v>3.82</v>
      </c>
      <c r="K2355" s="411">
        <v>0.38200000000000001</v>
      </c>
      <c r="L2355" s="168"/>
    </row>
    <row r="2356" spans="1:12" ht="12.75" customHeight="1" x14ac:dyDescent="0.3">
      <c r="A2356" s="400" t="s">
        <v>1038</v>
      </c>
      <c r="B2356" s="401" t="s">
        <v>1133</v>
      </c>
      <c r="C2356" s="400" t="s">
        <v>420</v>
      </c>
      <c r="D2356" s="400" t="s">
        <v>449</v>
      </c>
      <c r="E2356" s="605" t="s">
        <v>1039</v>
      </c>
      <c r="F2356" s="605"/>
      <c r="G2356" s="402" t="s">
        <v>422</v>
      </c>
      <c r="H2356" s="403">
        <v>1</v>
      </c>
      <c r="I2356" s="403">
        <v>0</v>
      </c>
      <c r="J2356" s="404">
        <v>1</v>
      </c>
      <c r="K2356" s="404">
        <v>1</v>
      </c>
      <c r="L2356" s="166"/>
    </row>
    <row r="2357" spans="1:12" ht="15" x14ac:dyDescent="0.3">
      <c r="A2357" s="400" t="s">
        <v>1038</v>
      </c>
      <c r="B2357" s="401" t="s">
        <v>6199</v>
      </c>
      <c r="C2357" s="400" t="s">
        <v>420</v>
      </c>
      <c r="D2357" s="400" t="s">
        <v>6200</v>
      </c>
      <c r="E2357" s="605" t="s">
        <v>1053</v>
      </c>
      <c r="F2357" s="605"/>
      <c r="G2357" s="402" t="s">
        <v>1070</v>
      </c>
      <c r="H2357" s="403">
        <v>0.1</v>
      </c>
      <c r="I2357" s="403">
        <v>0</v>
      </c>
      <c r="J2357" s="404">
        <v>20.45</v>
      </c>
      <c r="K2357" s="404">
        <v>2.0449999999999999</v>
      </c>
      <c r="L2357" s="166"/>
    </row>
    <row r="2358" spans="1:12" ht="15" x14ac:dyDescent="0.3">
      <c r="A2358" s="400" t="s">
        <v>1038</v>
      </c>
      <c r="B2358" s="401" t="s">
        <v>6251</v>
      </c>
      <c r="C2358" s="400" t="s">
        <v>420</v>
      </c>
      <c r="D2358" s="400" t="s">
        <v>6252</v>
      </c>
      <c r="E2358" s="605" t="s">
        <v>1053</v>
      </c>
      <c r="F2358" s="605"/>
      <c r="G2358" s="402" t="s">
        <v>1070</v>
      </c>
      <c r="H2358" s="403">
        <v>0.1</v>
      </c>
      <c r="I2358" s="403">
        <v>0</v>
      </c>
      <c r="J2358" s="404">
        <v>15.59</v>
      </c>
      <c r="K2358" s="404">
        <v>1.5589999999999999</v>
      </c>
      <c r="L2358" s="168"/>
    </row>
    <row r="2359" spans="1:12" ht="15" customHeight="1" x14ac:dyDescent="0.3">
      <c r="A2359" s="405"/>
      <c r="B2359" s="405"/>
      <c r="C2359" s="405"/>
      <c r="D2359" s="405"/>
      <c r="E2359" s="405" t="s">
        <v>1046</v>
      </c>
      <c r="F2359" s="406">
        <v>3.61</v>
      </c>
      <c r="G2359" s="405" t="s">
        <v>1047</v>
      </c>
      <c r="H2359" s="406">
        <v>0</v>
      </c>
      <c r="I2359" s="405" t="s">
        <v>1048</v>
      </c>
      <c r="J2359" s="406">
        <v>3.61</v>
      </c>
      <c r="K2359"/>
      <c r="L2359" s="168"/>
    </row>
    <row r="2360" spans="1:12" ht="12.75" customHeight="1" thickBot="1" x14ac:dyDescent="0.35">
      <c r="A2360" s="405"/>
      <c r="B2360" s="405"/>
      <c r="C2360" s="405"/>
      <c r="D2360" s="405"/>
      <c r="E2360" s="405" t="s">
        <v>1049</v>
      </c>
      <c r="F2360" s="406">
        <v>0</v>
      </c>
      <c r="G2360" s="405"/>
      <c r="H2360" s="606"/>
      <c r="I2360" s="606" t="s">
        <v>1050</v>
      </c>
      <c r="J2360" s="406">
        <v>5.38</v>
      </c>
      <c r="K2360"/>
      <c r="L2360" s="168"/>
    </row>
    <row r="2361" spans="1:12" ht="25.5" customHeight="1" thickTop="1" x14ac:dyDescent="0.3">
      <c r="A2361" s="407"/>
      <c r="B2361" s="407"/>
      <c r="C2361" s="407"/>
      <c r="D2361" s="407"/>
      <c r="E2361" s="407"/>
      <c r="F2361" s="407"/>
      <c r="G2361" s="407"/>
      <c r="H2361" s="407"/>
      <c r="I2361" s="407"/>
      <c r="J2361" s="407"/>
      <c r="K2361" s="407"/>
      <c r="L2361" s="166"/>
    </row>
    <row r="2362" spans="1:12" ht="25.5" customHeight="1" x14ac:dyDescent="0.3">
      <c r="A2362" s="382" t="s">
        <v>1785</v>
      </c>
      <c r="B2362" s="312" t="s">
        <v>413</v>
      </c>
      <c r="C2362" s="382" t="s">
        <v>414</v>
      </c>
      <c r="D2362" s="382" t="s">
        <v>415</v>
      </c>
      <c r="E2362" s="586" t="s">
        <v>1029</v>
      </c>
      <c r="F2362" s="586"/>
      <c r="G2362" s="383" t="s">
        <v>416</v>
      </c>
      <c r="H2362" s="312" t="s">
        <v>1030</v>
      </c>
      <c r="I2362" s="312" t="s">
        <v>3016</v>
      </c>
      <c r="J2362" s="312" t="s">
        <v>1031</v>
      </c>
      <c r="K2362" s="312" t="s">
        <v>1032</v>
      </c>
      <c r="L2362" s="166"/>
    </row>
    <row r="2363" spans="1:12" ht="14.25" customHeight="1" x14ac:dyDescent="0.3">
      <c r="A2363" s="313" t="s">
        <v>1033</v>
      </c>
      <c r="B2363" s="315" t="s">
        <v>986</v>
      </c>
      <c r="C2363" s="313" t="s">
        <v>420</v>
      </c>
      <c r="D2363" s="313" t="s">
        <v>594</v>
      </c>
      <c r="E2363" s="603" t="s">
        <v>1120</v>
      </c>
      <c r="F2363" s="603"/>
      <c r="G2363" s="314" t="s">
        <v>422</v>
      </c>
      <c r="H2363" s="399">
        <v>1</v>
      </c>
      <c r="I2363" s="316"/>
      <c r="J2363" s="316">
        <v>0.49</v>
      </c>
      <c r="K2363" s="316">
        <v>0.49</v>
      </c>
      <c r="L2363" s="166"/>
    </row>
    <row r="2364" spans="1:12" ht="25.5" customHeight="1" x14ac:dyDescent="0.3">
      <c r="A2364" s="408" t="s">
        <v>1034</v>
      </c>
      <c r="B2364" s="409" t="s">
        <v>1071</v>
      </c>
      <c r="C2364" s="408" t="s">
        <v>420</v>
      </c>
      <c r="D2364" s="408" t="s">
        <v>1072</v>
      </c>
      <c r="E2364" s="604" t="s">
        <v>1069</v>
      </c>
      <c r="F2364" s="604"/>
      <c r="G2364" s="410" t="s">
        <v>1070</v>
      </c>
      <c r="H2364" s="412">
        <v>0.01</v>
      </c>
      <c r="I2364" s="412">
        <v>0</v>
      </c>
      <c r="J2364" s="411">
        <v>3.95</v>
      </c>
      <c r="K2364" s="411">
        <v>3.95E-2</v>
      </c>
      <c r="L2364" s="166"/>
    </row>
    <row r="2365" spans="1:12" ht="25.5" customHeight="1" x14ac:dyDescent="0.3">
      <c r="A2365" s="408" t="s">
        <v>1034</v>
      </c>
      <c r="B2365" s="409" t="s">
        <v>1067</v>
      </c>
      <c r="C2365" s="408" t="s">
        <v>420</v>
      </c>
      <c r="D2365" s="408" t="s">
        <v>1068</v>
      </c>
      <c r="E2365" s="604" t="s">
        <v>1069</v>
      </c>
      <c r="F2365" s="604"/>
      <c r="G2365" s="410" t="s">
        <v>1070</v>
      </c>
      <c r="H2365" s="412">
        <v>0.01</v>
      </c>
      <c r="I2365" s="412">
        <v>0</v>
      </c>
      <c r="J2365" s="411">
        <v>3.82</v>
      </c>
      <c r="K2365" s="411">
        <v>3.8199999999999998E-2</v>
      </c>
      <c r="L2365" s="166"/>
    </row>
    <row r="2366" spans="1:12" ht="15" x14ac:dyDescent="0.3">
      <c r="A2366" s="400" t="s">
        <v>1038</v>
      </c>
      <c r="B2366" s="401" t="s">
        <v>1375</v>
      </c>
      <c r="C2366" s="400" t="s">
        <v>420</v>
      </c>
      <c r="D2366" s="400" t="s">
        <v>594</v>
      </c>
      <c r="E2366" s="605" t="s">
        <v>1039</v>
      </c>
      <c r="F2366" s="605"/>
      <c r="G2366" s="402" t="s">
        <v>422</v>
      </c>
      <c r="H2366" s="403">
        <v>1</v>
      </c>
      <c r="I2366" s="403">
        <v>0</v>
      </c>
      <c r="J2366" s="404">
        <v>0.05</v>
      </c>
      <c r="K2366" s="404">
        <v>0.05</v>
      </c>
      <c r="L2366" s="166"/>
    </row>
    <row r="2367" spans="1:12" ht="15" customHeight="1" x14ac:dyDescent="0.3">
      <c r="A2367" s="400" t="s">
        <v>1038</v>
      </c>
      <c r="B2367" s="401" t="s">
        <v>6199</v>
      </c>
      <c r="C2367" s="400" t="s">
        <v>420</v>
      </c>
      <c r="D2367" s="400" t="s">
        <v>6200</v>
      </c>
      <c r="E2367" s="605" t="s">
        <v>1053</v>
      </c>
      <c r="F2367" s="605"/>
      <c r="G2367" s="402" t="s">
        <v>1070</v>
      </c>
      <c r="H2367" s="403">
        <v>0.01</v>
      </c>
      <c r="I2367" s="403">
        <v>0</v>
      </c>
      <c r="J2367" s="404">
        <v>20.45</v>
      </c>
      <c r="K2367" s="404">
        <v>0.20449999999999999</v>
      </c>
      <c r="L2367" s="166"/>
    </row>
    <row r="2368" spans="1:12" ht="15" x14ac:dyDescent="0.3">
      <c r="A2368" s="400" t="s">
        <v>1038</v>
      </c>
      <c r="B2368" s="401" t="s">
        <v>6251</v>
      </c>
      <c r="C2368" s="400" t="s">
        <v>420</v>
      </c>
      <c r="D2368" s="400" t="s">
        <v>6252</v>
      </c>
      <c r="E2368" s="605" t="s">
        <v>1053</v>
      </c>
      <c r="F2368" s="605"/>
      <c r="G2368" s="402" t="s">
        <v>1070</v>
      </c>
      <c r="H2368" s="403">
        <v>0.01</v>
      </c>
      <c r="I2368" s="403">
        <v>0</v>
      </c>
      <c r="J2368" s="404">
        <v>15.59</v>
      </c>
      <c r="K2368" s="404">
        <v>0.15590000000000001</v>
      </c>
      <c r="L2368" s="168"/>
    </row>
    <row r="2369" spans="1:12" ht="17.399999999999999" customHeight="1" x14ac:dyDescent="0.3">
      <c r="A2369" s="405"/>
      <c r="B2369" s="405"/>
      <c r="C2369" s="405"/>
      <c r="D2369" s="405"/>
      <c r="E2369" s="405" t="s">
        <v>1046</v>
      </c>
      <c r="F2369" s="406">
        <v>0.36</v>
      </c>
      <c r="G2369" s="405" t="s">
        <v>1047</v>
      </c>
      <c r="H2369" s="406">
        <v>0</v>
      </c>
      <c r="I2369" s="405" t="s">
        <v>1048</v>
      </c>
      <c r="J2369" s="406">
        <v>0.36</v>
      </c>
      <c r="K2369"/>
      <c r="L2369" s="170"/>
    </row>
    <row r="2370" spans="1:12" ht="15" customHeight="1" thickBot="1" x14ac:dyDescent="0.35">
      <c r="A2370" s="405"/>
      <c r="B2370" s="405"/>
      <c r="C2370" s="405"/>
      <c r="D2370" s="405"/>
      <c r="E2370" s="405" t="s">
        <v>1049</v>
      </c>
      <c r="F2370" s="406">
        <v>0</v>
      </c>
      <c r="G2370" s="405"/>
      <c r="H2370" s="606"/>
      <c r="I2370" s="606" t="s">
        <v>1050</v>
      </c>
      <c r="J2370" s="406">
        <v>0.49</v>
      </c>
      <c r="K2370"/>
      <c r="L2370" s="168"/>
    </row>
    <row r="2371" spans="1:12" ht="15.6" thickTop="1" x14ac:dyDescent="0.3">
      <c r="A2371" s="407"/>
      <c r="B2371" s="407"/>
      <c r="C2371" s="407"/>
      <c r="D2371" s="407"/>
      <c r="E2371" s="407"/>
      <c r="F2371" s="407"/>
      <c r="G2371" s="407"/>
      <c r="H2371" s="407"/>
      <c r="I2371" s="407"/>
      <c r="J2371" s="407"/>
      <c r="K2371" s="407"/>
      <c r="L2371" s="168"/>
    </row>
    <row r="2372" spans="1:12" ht="15" x14ac:dyDescent="0.3">
      <c r="A2372" s="382" t="s">
        <v>1790</v>
      </c>
      <c r="B2372" s="312" t="s">
        <v>413</v>
      </c>
      <c r="C2372" s="382" t="s">
        <v>414</v>
      </c>
      <c r="D2372" s="382" t="s">
        <v>415</v>
      </c>
      <c r="E2372" s="586" t="s">
        <v>1029</v>
      </c>
      <c r="F2372" s="586"/>
      <c r="G2372" s="383" t="s">
        <v>416</v>
      </c>
      <c r="H2372" s="312" t="s">
        <v>1030</v>
      </c>
      <c r="I2372" s="312" t="s">
        <v>3016</v>
      </c>
      <c r="J2372" s="312" t="s">
        <v>1031</v>
      </c>
      <c r="K2372" s="312" t="s">
        <v>1032</v>
      </c>
      <c r="L2372" s="168"/>
    </row>
    <row r="2373" spans="1:12" ht="12.75" customHeight="1" x14ac:dyDescent="0.3">
      <c r="A2373" s="313" t="s">
        <v>1033</v>
      </c>
      <c r="B2373" s="315" t="s">
        <v>3844</v>
      </c>
      <c r="C2373" s="313" t="s">
        <v>395</v>
      </c>
      <c r="D2373" s="313" t="s">
        <v>24</v>
      </c>
      <c r="E2373" s="603" t="s">
        <v>1227</v>
      </c>
      <c r="F2373" s="603"/>
      <c r="G2373" s="314" t="s">
        <v>7</v>
      </c>
      <c r="H2373" s="399">
        <v>1</v>
      </c>
      <c r="I2373" s="316"/>
      <c r="J2373" s="316">
        <v>55.6</v>
      </c>
      <c r="K2373" s="316">
        <v>55.6</v>
      </c>
      <c r="L2373" s="166"/>
    </row>
    <row r="2374" spans="1:12" ht="39.6" x14ac:dyDescent="0.3">
      <c r="A2374" s="408" t="s">
        <v>1034</v>
      </c>
      <c r="B2374" s="409" t="s">
        <v>3843</v>
      </c>
      <c r="C2374" s="408" t="s">
        <v>395</v>
      </c>
      <c r="D2374" s="408" t="s">
        <v>25</v>
      </c>
      <c r="E2374" s="604" t="s">
        <v>1227</v>
      </c>
      <c r="F2374" s="604"/>
      <c r="G2374" s="410" t="s">
        <v>4</v>
      </c>
      <c r="H2374" s="412">
        <v>0.33329999999999999</v>
      </c>
      <c r="I2374" s="412">
        <v>0</v>
      </c>
      <c r="J2374" s="411">
        <v>17.47</v>
      </c>
      <c r="K2374" s="411">
        <v>5.8227510000000002</v>
      </c>
      <c r="L2374" s="166"/>
    </row>
    <row r="2375" spans="1:12" ht="25.5" customHeight="1" x14ac:dyDescent="0.3">
      <c r="A2375" s="408" t="s">
        <v>1034</v>
      </c>
      <c r="B2375" s="409" t="s">
        <v>5164</v>
      </c>
      <c r="C2375" s="408" t="s">
        <v>395</v>
      </c>
      <c r="D2375" s="408" t="s">
        <v>7804</v>
      </c>
      <c r="E2375" s="604" t="s">
        <v>7797</v>
      </c>
      <c r="F2375" s="604"/>
      <c r="G2375" s="410" t="s">
        <v>7</v>
      </c>
      <c r="H2375" s="412">
        <v>2</v>
      </c>
      <c r="I2375" s="412">
        <v>0</v>
      </c>
      <c r="J2375" s="411">
        <v>4.8499999999999996</v>
      </c>
      <c r="K2375" s="411">
        <v>9.6999999999999993</v>
      </c>
      <c r="L2375" s="168"/>
    </row>
    <row r="2376" spans="1:12" ht="25.5" customHeight="1" x14ac:dyDescent="0.3">
      <c r="A2376" s="408" t="s">
        <v>1034</v>
      </c>
      <c r="B2376" s="409" t="s">
        <v>1037</v>
      </c>
      <c r="C2376" s="408" t="s">
        <v>395</v>
      </c>
      <c r="D2376" s="408" t="s">
        <v>135</v>
      </c>
      <c r="E2376" s="604" t="s">
        <v>7768</v>
      </c>
      <c r="F2376" s="604"/>
      <c r="G2376" s="410" t="s">
        <v>6</v>
      </c>
      <c r="H2376" s="412">
        <v>0.21629999999999999</v>
      </c>
      <c r="I2376" s="412">
        <v>0</v>
      </c>
      <c r="J2376" s="411">
        <v>41.81</v>
      </c>
      <c r="K2376" s="411">
        <v>9.0435029999999994</v>
      </c>
      <c r="L2376" s="168"/>
    </row>
    <row r="2377" spans="1:12" ht="14.25" customHeight="1" x14ac:dyDescent="0.3">
      <c r="A2377" s="408" t="s">
        <v>1034</v>
      </c>
      <c r="B2377" s="409" t="s">
        <v>1035</v>
      </c>
      <c r="C2377" s="408" t="s">
        <v>395</v>
      </c>
      <c r="D2377" s="408" t="s">
        <v>128</v>
      </c>
      <c r="E2377" s="604" t="s">
        <v>7768</v>
      </c>
      <c r="F2377" s="604"/>
      <c r="G2377" s="410" t="s">
        <v>6</v>
      </c>
      <c r="H2377" s="412">
        <v>0.21629999999999999</v>
      </c>
      <c r="I2377" s="412">
        <v>0</v>
      </c>
      <c r="J2377" s="411">
        <v>34.5</v>
      </c>
      <c r="K2377" s="411">
        <v>7.4623499999999998</v>
      </c>
      <c r="L2377" s="168"/>
    </row>
    <row r="2378" spans="1:12" ht="25.5" customHeight="1" x14ac:dyDescent="0.3">
      <c r="A2378" s="400" t="s">
        <v>1038</v>
      </c>
      <c r="B2378" s="401" t="s">
        <v>4291</v>
      </c>
      <c r="C2378" s="400" t="s">
        <v>395</v>
      </c>
      <c r="D2378" s="400" t="s">
        <v>4292</v>
      </c>
      <c r="E2378" s="605" t="s">
        <v>1039</v>
      </c>
      <c r="F2378" s="605"/>
      <c r="G2378" s="402" t="s">
        <v>7</v>
      </c>
      <c r="H2378" s="403">
        <v>1.05</v>
      </c>
      <c r="I2378" s="403">
        <v>0</v>
      </c>
      <c r="J2378" s="404">
        <v>22.45</v>
      </c>
      <c r="K2378" s="404">
        <v>23.572500000000002</v>
      </c>
      <c r="L2378" s="168"/>
    </row>
    <row r="2379" spans="1:12" ht="25.5" customHeight="1" x14ac:dyDescent="0.3">
      <c r="A2379" s="405"/>
      <c r="B2379" s="405"/>
      <c r="C2379" s="405"/>
      <c r="D2379" s="405"/>
      <c r="E2379" s="405" t="s">
        <v>1046</v>
      </c>
      <c r="F2379" s="406">
        <v>21.47</v>
      </c>
      <c r="G2379" s="405" t="s">
        <v>1047</v>
      </c>
      <c r="H2379" s="406">
        <v>0</v>
      </c>
      <c r="I2379" s="405" t="s">
        <v>1048</v>
      </c>
      <c r="J2379" s="406">
        <v>21.47</v>
      </c>
      <c r="K2379"/>
      <c r="L2379" s="166"/>
    </row>
    <row r="2380" spans="1:12" ht="15" customHeight="1" thickBot="1" x14ac:dyDescent="0.35">
      <c r="A2380" s="405"/>
      <c r="B2380" s="405"/>
      <c r="C2380" s="405"/>
      <c r="D2380" s="405"/>
      <c r="E2380" s="405" t="s">
        <v>1049</v>
      </c>
      <c r="F2380" s="406">
        <v>0</v>
      </c>
      <c r="G2380" s="405"/>
      <c r="H2380" s="606"/>
      <c r="I2380" s="606" t="s">
        <v>1050</v>
      </c>
      <c r="J2380" s="406">
        <v>55.6</v>
      </c>
      <c r="K2380"/>
      <c r="L2380" s="168"/>
    </row>
    <row r="2381" spans="1:12" ht="15" customHeight="1" thickTop="1" x14ac:dyDescent="0.3">
      <c r="A2381" s="407"/>
      <c r="B2381" s="407"/>
      <c r="C2381" s="407"/>
      <c r="D2381" s="407"/>
      <c r="E2381" s="407"/>
      <c r="F2381" s="407"/>
      <c r="G2381" s="407"/>
      <c r="H2381" s="407"/>
      <c r="I2381" s="407"/>
      <c r="J2381" s="407"/>
      <c r="K2381" s="407"/>
      <c r="L2381" s="168"/>
    </row>
    <row r="2382" spans="1:12" ht="15" x14ac:dyDescent="0.3">
      <c r="A2382" s="382" t="s">
        <v>1808</v>
      </c>
      <c r="B2382" s="312" t="s">
        <v>413</v>
      </c>
      <c r="C2382" s="382" t="s">
        <v>414</v>
      </c>
      <c r="D2382" s="382" t="s">
        <v>415</v>
      </c>
      <c r="E2382" s="586" t="s">
        <v>1029</v>
      </c>
      <c r="F2382" s="586"/>
      <c r="G2382" s="383" t="s">
        <v>416</v>
      </c>
      <c r="H2382" s="312" t="s">
        <v>1030</v>
      </c>
      <c r="I2382" s="312" t="s">
        <v>3016</v>
      </c>
      <c r="J2382" s="312" t="s">
        <v>1031</v>
      </c>
      <c r="K2382" s="312" t="s">
        <v>1032</v>
      </c>
      <c r="L2382" s="168"/>
    </row>
    <row r="2383" spans="1:12" ht="12.75" customHeight="1" x14ac:dyDescent="0.3">
      <c r="A2383" s="313" t="s">
        <v>1033</v>
      </c>
      <c r="B2383" s="315" t="s">
        <v>989</v>
      </c>
      <c r="C2383" s="313" t="s">
        <v>575</v>
      </c>
      <c r="D2383" s="313" t="s">
        <v>597</v>
      </c>
      <c r="E2383" s="603">
        <v>97</v>
      </c>
      <c r="F2383" s="603"/>
      <c r="G2383" s="314" t="s">
        <v>422</v>
      </c>
      <c r="H2383" s="399">
        <v>1</v>
      </c>
      <c r="I2383" s="316"/>
      <c r="J2383" s="316">
        <v>5215.5</v>
      </c>
      <c r="K2383" s="316">
        <v>5215.5</v>
      </c>
      <c r="L2383" s="166"/>
    </row>
    <row r="2384" spans="1:12" ht="26.4" x14ac:dyDescent="0.3">
      <c r="A2384" s="408" t="s">
        <v>1034</v>
      </c>
      <c r="B2384" s="409" t="s">
        <v>1071</v>
      </c>
      <c r="C2384" s="408" t="s">
        <v>420</v>
      </c>
      <c r="D2384" s="408" t="s">
        <v>1072</v>
      </c>
      <c r="E2384" s="604" t="s">
        <v>1069</v>
      </c>
      <c r="F2384" s="604"/>
      <c r="G2384" s="410" t="s">
        <v>1070</v>
      </c>
      <c r="H2384" s="412">
        <v>20</v>
      </c>
      <c r="I2384" s="412">
        <v>0</v>
      </c>
      <c r="J2384" s="411">
        <v>3.95</v>
      </c>
      <c r="K2384" s="411">
        <v>79</v>
      </c>
      <c r="L2384" s="166"/>
    </row>
    <row r="2385" spans="1:12" ht="15" customHeight="1" x14ac:dyDescent="0.3">
      <c r="A2385" s="408" t="s">
        <v>1034</v>
      </c>
      <c r="B2385" s="409" t="s">
        <v>1387</v>
      </c>
      <c r="C2385" s="408" t="s">
        <v>420</v>
      </c>
      <c r="D2385" s="408" t="s">
        <v>1388</v>
      </c>
      <c r="E2385" s="604" t="s">
        <v>1069</v>
      </c>
      <c r="F2385" s="604"/>
      <c r="G2385" s="410" t="s">
        <v>1070</v>
      </c>
      <c r="H2385" s="412">
        <v>20</v>
      </c>
      <c r="I2385" s="412">
        <v>0</v>
      </c>
      <c r="J2385" s="411">
        <v>3.82</v>
      </c>
      <c r="K2385" s="411">
        <v>76.400000000000006</v>
      </c>
      <c r="L2385" s="168"/>
    </row>
    <row r="2386" spans="1:12" ht="25.5" customHeight="1" x14ac:dyDescent="0.3">
      <c r="A2386" s="400" t="s">
        <v>1038</v>
      </c>
      <c r="B2386" s="401" t="s">
        <v>651</v>
      </c>
      <c r="C2386" s="400" t="s">
        <v>420</v>
      </c>
      <c r="D2386" s="400" t="s">
        <v>1389</v>
      </c>
      <c r="E2386" s="605" t="s">
        <v>1053</v>
      </c>
      <c r="F2386" s="605"/>
      <c r="G2386" s="402" t="s">
        <v>1070</v>
      </c>
      <c r="H2386" s="403">
        <v>20</v>
      </c>
      <c r="I2386" s="403">
        <v>0</v>
      </c>
      <c r="J2386" s="404">
        <v>20.45</v>
      </c>
      <c r="K2386" s="404">
        <v>409</v>
      </c>
      <c r="L2386" s="168"/>
    </row>
    <row r="2387" spans="1:12" ht="25.5" customHeight="1" x14ac:dyDescent="0.3">
      <c r="A2387" s="400" t="s">
        <v>1038</v>
      </c>
      <c r="B2387" s="401" t="s">
        <v>676</v>
      </c>
      <c r="C2387" s="400" t="s">
        <v>420</v>
      </c>
      <c r="D2387" s="400" t="s">
        <v>1390</v>
      </c>
      <c r="E2387" s="605" t="s">
        <v>1039</v>
      </c>
      <c r="F2387" s="605"/>
      <c r="G2387" s="402" t="s">
        <v>422</v>
      </c>
      <c r="H2387" s="403">
        <v>500</v>
      </c>
      <c r="I2387" s="403">
        <v>0</v>
      </c>
      <c r="J2387" s="404">
        <v>0.12</v>
      </c>
      <c r="K2387" s="404">
        <v>60</v>
      </c>
      <c r="L2387" s="168"/>
    </row>
    <row r="2388" spans="1:12" ht="25.5" customHeight="1" x14ac:dyDescent="0.3">
      <c r="A2388" s="400" t="s">
        <v>1038</v>
      </c>
      <c r="B2388" s="401" t="s">
        <v>678</v>
      </c>
      <c r="C2388" s="400" t="s">
        <v>420</v>
      </c>
      <c r="D2388" s="400" t="s">
        <v>1391</v>
      </c>
      <c r="E2388" s="605" t="s">
        <v>1039</v>
      </c>
      <c r="F2388" s="605"/>
      <c r="G2388" s="402" t="s">
        <v>422</v>
      </c>
      <c r="H2388" s="403">
        <v>100</v>
      </c>
      <c r="I2388" s="403">
        <v>0</v>
      </c>
      <c r="J2388" s="404">
        <v>0.3</v>
      </c>
      <c r="K2388" s="404">
        <v>30</v>
      </c>
      <c r="L2388" s="166"/>
    </row>
    <row r="2389" spans="1:12" ht="25.5" customHeight="1" x14ac:dyDescent="0.3">
      <c r="A2389" s="400" t="s">
        <v>1038</v>
      </c>
      <c r="B2389" s="401" t="s">
        <v>1392</v>
      </c>
      <c r="C2389" s="400" t="s">
        <v>420</v>
      </c>
      <c r="D2389" s="400" t="s">
        <v>1393</v>
      </c>
      <c r="E2389" s="605" t="s">
        <v>1039</v>
      </c>
      <c r="F2389" s="605"/>
      <c r="G2389" s="402" t="s">
        <v>422</v>
      </c>
      <c r="H2389" s="403">
        <v>5</v>
      </c>
      <c r="I2389" s="403">
        <v>0</v>
      </c>
      <c r="J2389" s="404">
        <v>18.600000000000001</v>
      </c>
      <c r="K2389" s="404">
        <v>93</v>
      </c>
      <c r="L2389" s="166"/>
    </row>
    <row r="2390" spans="1:12" ht="25.5" customHeight="1" x14ac:dyDescent="0.3">
      <c r="A2390" s="400" t="s">
        <v>1038</v>
      </c>
      <c r="B2390" s="401" t="s">
        <v>1394</v>
      </c>
      <c r="C2390" s="400" t="s">
        <v>420</v>
      </c>
      <c r="D2390" s="400" t="s">
        <v>1395</v>
      </c>
      <c r="E2390" s="605" t="s">
        <v>1039</v>
      </c>
      <c r="F2390" s="605"/>
      <c r="G2390" s="402" t="s">
        <v>422</v>
      </c>
      <c r="H2390" s="403">
        <v>5</v>
      </c>
      <c r="I2390" s="403">
        <v>0</v>
      </c>
      <c r="J2390" s="404">
        <v>17.11</v>
      </c>
      <c r="K2390" s="404">
        <v>85.55</v>
      </c>
      <c r="L2390" s="166"/>
    </row>
    <row r="2391" spans="1:12" ht="15" x14ac:dyDescent="0.3">
      <c r="A2391" s="400" t="s">
        <v>1038</v>
      </c>
      <c r="B2391" s="401" t="s">
        <v>1396</v>
      </c>
      <c r="C2391" s="400" t="s">
        <v>420</v>
      </c>
      <c r="D2391" s="400" t="s">
        <v>1397</v>
      </c>
      <c r="E2391" s="605" t="s">
        <v>1039</v>
      </c>
      <c r="F2391" s="605"/>
      <c r="G2391" s="402" t="s">
        <v>422</v>
      </c>
      <c r="H2391" s="403">
        <v>150</v>
      </c>
      <c r="I2391" s="403">
        <v>0</v>
      </c>
      <c r="J2391" s="404">
        <v>0.79</v>
      </c>
      <c r="K2391" s="404">
        <v>118.5</v>
      </c>
      <c r="L2391" s="166"/>
    </row>
    <row r="2392" spans="1:12" ht="15" customHeight="1" x14ac:dyDescent="0.3">
      <c r="A2392" s="400" t="s">
        <v>1038</v>
      </c>
      <c r="B2392" s="401" t="s">
        <v>1398</v>
      </c>
      <c r="C2392" s="400" t="s">
        <v>420</v>
      </c>
      <c r="D2392" s="400" t="s">
        <v>1399</v>
      </c>
      <c r="E2392" s="605" t="s">
        <v>1039</v>
      </c>
      <c r="F2392" s="605"/>
      <c r="G2392" s="402" t="s">
        <v>422</v>
      </c>
      <c r="H2392" s="403">
        <v>5</v>
      </c>
      <c r="I2392" s="403">
        <v>0</v>
      </c>
      <c r="J2392" s="404">
        <v>763.25</v>
      </c>
      <c r="K2392" s="404">
        <v>3816.25</v>
      </c>
      <c r="L2392" s="166"/>
    </row>
    <row r="2393" spans="1:12" ht="12.75" customHeight="1" x14ac:dyDescent="0.3">
      <c r="A2393" s="400" t="s">
        <v>1038</v>
      </c>
      <c r="B2393" s="401" t="s">
        <v>1400</v>
      </c>
      <c r="C2393" s="400" t="s">
        <v>395</v>
      </c>
      <c r="D2393" s="400" t="s">
        <v>230</v>
      </c>
      <c r="E2393" s="605" t="s">
        <v>1039</v>
      </c>
      <c r="F2393" s="605"/>
      <c r="G2393" s="402" t="s">
        <v>4</v>
      </c>
      <c r="H2393" s="403">
        <v>100</v>
      </c>
      <c r="I2393" s="403">
        <v>0</v>
      </c>
      <c r="J2393" s="404">
        <v>0.05</v>
      </c>
      <c r="K2393" s="404">
        <v>5</v>
      </c>
      <c r="L2393" s="166"/>
    </row>
    <row r="2394" spans="1:12" ht="15" x14ac:dyDescent="0.3">
      <c r="A2394" s="400" t="s">
        <v>1038</v>
      </c>
      <c r="B2394" s="401" t="s">
        <v>1075</v>
      </c>
      <c r="C2394" s="400" t="s">
        <v>395</v>
      </c>
      <c r="D2394" s="400" t="s">
        <v>8694</v>
      </c>
      <c r="E2394" s="605" t="s">
        <v>1053</v>
      </c>
      <c r="F2394" s="605"/>
      <c r="G2394" s="402" t="s">
        <v>6</v>
      </c>
      <c r="H2394" s="403">
        <v>20</v>
      </c>
      <c r="I2394" s="403">
        <v>0</v>
      </c>
      <c r="J2394" s="404">
        <v>22.14</v>
      </c>
      <c r="K2394" s="404">
        <v>442.8</v>
      </c>
      <c r="L2394" s="166"/>
    </row>
    <row r="2395" spans="1:12" ht="15" x14ac:dyDescent="0.3">
      <c r="A2395" s="405"/>
      <c r="B2395" s="405"/>
      <c r="C2395" s="405"/>
      <c r="D2395" s="405"/>
      <c r="E2395" s="405" t="s">
        <v>1046</v>
      </c>
      <c r="F2395" s="406">
        <v>851.8</v>
      </c>
      <c r="G2395" s="405" t="s">
        <v>1047</v>
      </c>
      <c r="H2395" s="406">
        <v>0</v>
      </c>
      <c r="I2395" s="405" t="s">
        <v>1048</v>
      </c>
      <c r="J2395" s="406">
        <v>851.8</v>
      </c>
      <c r="K2395"/>
      <c r="L2395" s="168"/>
    </row>
    <row r="2396" spans="1:12" ht="15" customHeight="1" thickBot="1" x14ac:dyDescent="0.35">
      <c r="A2396" s="405"/>
      <c r="B2396" s="405"/>
      <c r="C2396" s="405"/>
      <c r="D2396" s="405"/>
      <c r="E2396" s="405" t="s">
        <v>1049</v>
      </c>
      <c r="F2396" s="406">
        <v>0</v>
      </c>
      <c r="G2396" s="405"/>
      <c r="H2396" s="606"/>
      <c r="I2396" s="606" t="s">
        <v>1050</v>
      </c>
      <c r="J2396" s="406">
        <v>5215.5</v>
      </c>
      <c r="K2396"/>
      <c r="L2396" s="170"/>
    </row>
    <row r="2397" spans="1:12" ht="25.5" customHeight="1" thickTop="1" x14ac:dyDescent="0.3">
      <c r="A2397" s="407"/>
      <c r="B2397" s="407"/>
      <c r="C2397" s="407"/>
      <c r="D2397" s="407"/>
      <c r="E2397" s="407"/>
      <c r="F2397" s="407"/>
      <c r="G2397" s="407"/>
      <c r="H2397" s="407"/>
      <c r="I2397" s="407"/>
      <c r="J2397" s="407"/>
      <c r="K2397" s="407"/>
      <c r="L2397" s="168"/>
    </row>
    <row r="2398" spans="1:12" ht="25.5" customHeight="1" x14ac:dyDescent="0.3">
      <c r="A2398" s="382" t="s">
        <v>1812</v>
      </c>
      <c r="B2398" s="312" t="s">
        <v>413</v>
      </c>
      <c r="C2398" s="382" t="s">
        <v>414</v>
      </c>
      <c r="D2398" s="382" t="s">
        <v>415</v>
      </c>
      <c r="E2398" s="586" t="s">
        <v>1029</v>
      </c>
      <c r="F2398" s="586"/>
      <c r="G2398" s="383" t="s">
        <v>416</v>
      </c>
      <c r="H2398" s="312" t="s">
        <v>1030</v>
      </c>
      <c r="I2398" s="312" t="s">
        <v>3016</v>
      </c>
      <c r="J2398" s="312" t="s">
        <v>1031</v>
      </c>
      <c r="K2398" s="312" t="s">
        <v>1032</v>
      </c>
      <c r="L2398" s="168"/>
    </row>
    <row r="2399" spans="1:12" ht="15" customHeight="1" x14ac:dyDescent="0.3">
      <c r="A2399" s="313" t="s">
        <v>1033</v>
      </c>
      <c r="B2399" s="315" t="s">
        <v>988</v>
      </c>
      <c r="C2399" s="313" t="s">
        <v>439</v>
      </c>
      <c r="D2399" s="313" t="s">
        <v>596</v>
      </c>
      <c r="E2399" s="603" t="s">
        <v>781</v>
      </c>
      <c r="F2399" s="603"/>
      <c r="G2399" s="314" t="s">
        <v>437</v>
      </c>
      <c r="H2399" s="399">
        <v>1</v>
      </c>
      <c r="I2399" s="316"/>
      <c r="J2399" s="316">
        <v>65.86</v>
      </c>
      <c r="K2399" s="316">
        <v>65.86</v>
      </c>
      <c r="L2399" s="168"/>
    </row>
    <row r="2400" spans="1:12" ht="26.4" x14ac:dyDescent="0.3">
      <c r="A2400" s="408" t="s">
        <v>1034</v>
      </c>
      <c r="B2400" s="409" t="s">
        <v>1108</v>
      </c>
      <c r="C2400" s="408" t="s">
        <v>439</v>
      </c>
      <c r="D2400" s="408" t="s">
        <v>296</v>
      </c>
      <c r="E2400" s="604" t="s">
        <v>781</v>
      </c>
      <c r="F2400" s="604"/>
      <c r="G2400" s="410" t="s">
        <v>1109</v>
      </c>
      <c r="H2400" s="412">
        <v>0.43392500000000001</v>
      </c>
      <c r="I2400" s="412">
        <v>0</v>
      </c>
      <c r="J2400" s="411">
        <v>27.9</v>
      </c>
      <c r="K2400" s="411">
        <v>12.106507499999999</v>
      </c>
      <c r="L2400" s="166"/>
    </row>
    <row r="2401" spans="1:12" ht="15" customHeight="1" x14ac:dyDescent="0.3">
      <c r="A2401" s="408" t="s">
        <v>1034</v>
      </c>
      <c r="B2401" s="409" t="s">
        <v>1110</v>
      </c>
      <c r="C2401" s="408" t="s">
        <v>439</v>
      </c>
      <c r="D2401" s="408" t="s">
        <v>135</v>
      </c>
      <c r="E2401" s="604" t="s">
        <v>781</v>
      </c>
      <c r="F2401" s="604"/>
      <c r="G2401" s="410" t="s">
        <v>1109</v>
      </c>
      <c r="H2401" s="412">
        <v>0.43392500000000001</v>
      </c>
      <c r="I2401" s="412">
        <v>0</v>
      </c>
      <c r="J2401" s="411">
        <v>33.950000000000003</v>
      </c>
      <c r="K2401" s="411">
        <v>14.7317538</v>
      </c>
      <c r="L2401" s="166"/>
    </row>
    <row r="2402" spans="1:12" ht="26.4" x14ac:dyDescent="0.3">
      <c r="A2402" s="408" t="s">
        <v>1034</v>
      </c>
      <c r="B2402" s="409" t="s">
        <v>1378</v>
      </c>
      <c r="C2402" s="408" t="s">
        <v>439</v>
      </c>
      <c r="D2402" s="408" t="s">
        <v>1379</v>
      </c>
      <c r="E2402" s="604" t="s">
        <v>781</v>
      </c>
      <c r="F2402" s="604"/>
      <c r="G2402" s="410" t="s">
        <v>437</v>
      </c>
      <c r="H2402" s="412">
        <v>1</v>
      </c>
      <c r="I2402" s="412">
        <v>0</v>
      </c>
      <c r="J2402" s="411">
        <v>10.17</v>
      </c>
      <c r="K2402" s="411">
        <v>10.17</v>
      </c>
      <c r="L2402" s="168"/>
    </row>
    <row r="2403" spans="1:12" ht="15" customHeight="1" x14ac:dyDescent="0.3">
      <c r="A2403" s="400" t="s">
        <v>1038</v>
      </c>
      <c r="B2403" s="401" t="s">
        <v>7695</v>
      </c>
      <c r="C2403" s="400" t="s">
        <v>439</v>
      </c>
      <c r="D2403" s="400" t="s">
        <v>1380</v>
      </c>
      <c r="E2403" s="605" t="s">
        <v>1039</v>
      </c>
      <c r="F2403" s="605"/>
      <c r="G2403" s="402" t="s">
        <v>422</v>
      </c>
      <c r="H2403" s="403">
        <v>1.3333333000000001</v>
      </c>
      <c r="I2403" s="403">
        <v>0</v>
      </c>
      <c r="J2403" s="404">
        <v>0.18</v>
      </c>
      <c r="K2403" s="404">
        <v>0.24</v>
      </c>
      <c r="L2403" s="168"/>
    </row>
    <row r="2404" spans="1:12" ht="25.5" customHeight="1" x14ac:dyDescent="0.3">
      <c r="A2404" s="400" t="s">
        <v>1038</v>
      </c>
      <c r="B2404" s="401" t="s">
        <v>7665</v>
      </c>
      <c r="C2404" s="400" t="s">
        <v>439</v>
      </c>
      <c r="D2404" s="400" t="s">
        <v>1381</v>
      </c>
      <c r="E2404" s="605" t="s">
        <v>1039</v>
      </c>
      <c r="F2404" s="605"/>
      <c r="G2404" s="402" t="s">
        <v>422</v>
      </c>
      <c r="H2404" s="403">
        <v>1.3333333000000001</v>
      </c>
      <c r="I2404" s="403">
        <v>0</v>
      </c>
      <c r="J2404" s="404">
        <v>0.3</v>
      </c>
      <c r="K2404" s="404">
        <v>0.4</v>
      </c>
      <c r="L2404" s="168"/>
    </row>
    <row r="2405" spans="1:12" ht="25.5" customHeight="1" x14ac:dyDescent="0.3">
      <c r="A2405" s="400" t="s">
        <v>1038</v>
      </c>
      <c r="B2405" s="401" t="s">
        <v>7098</v>
      </c>
      <c r="C2405" s="400" t="s">
        <v>439</v>
      </c>
      <c r="D2405" s="400" t="s">
        <v>1382</v>
      </c>
      <c r="E2405" s="605" t="s">
        <v>1039</v>
      </c>
      <c r="F2405" s="605"/>
      <c r="G2405" s="402" t="s">
        <v>437</v>
      </c>
      <c r="H2405" s="403">
        <v>1.2</v>
      </c>
      <c r="I2405" s="403">
        <v>0</v>
      </c>
      <c r="J2405" s="404">
        <v>17.73</v>
      </c>
      <c r="K2405" s="404">
        <v>21.276</v>
      </c>
      <c r="L2405" s="168"/>
    </row>
    <row r="2406" spans="1:12" ht="25.5" customHeight="1" x14ac:dyDescent="0.3">
      <c r="A2406" s="400" t="s">
        <v>1038</v>
      </c>
      <c r="B2406" s="401" t="s">
        <v>7662</v>
      </c>
      <c r="C2406" s="400" t="s">
        <v>439</v>
      </c>
      <c r="D2406" s="400" t="s">
        <v>1383</v>
      </c>
      <c r="E2406" s="605" t="s">
        <v>1039</v>
      </c>
      <c r="F2406" s="605"/>
      <c r="G2406" s="402" t="s">
        <v>422</v>
      </c>
      <c r="H2406" s="403">
        <v>1.3333333000000001</v>
      </c>
      <c r="I2406" s="403">
        <v>0</v>
      </c>
      <c r="J2406" s="404">
        <v>0.14000000000000001</v>
      </c>
      <c r="K2406" s="404">
        <v>0.18666669999999999</v>
      </c>
      <c r="L2406" s="166"/>
    </row>
    <row r="2407" spans="1:12" ht="14.25" customHeight="1" x14ac:dyDescent="0.3">
      <c r="A2407" s="400" t="s">
        <v>1038</v>
      </c>
      <c r="B2407" s="401" t="s">
        <v>7645</v>
      </c>
      <c r="C2407" s="400" t="s">
        <v>439</v>
      </c>
      <c r="D2407" s="400" t="s">
        <v>1384</v>
      </c>
      <c r="E2407" s="605" t="s">
        <v>1039</v>
      </c>
      <c r="F2407" s="605"/>
      <c r="G2407" s="402" t="s">
        <v>422</v>
      </c>
      <c r="H2407" s="403">
        <v>0.3333333</v>
      </c>
      <c r="I2407" s="403">
        <v>0</v>
      </c>
      <c r="J2407" s="404">
        <v>2.2400000000000002</v>
      </c>
      <c r="K2407" s="404">
        <v>0.74666659999999996</v>
      </c>
      <c r="L2407" s="168"/>
    </row>
    <row r="2408" spans="1:12" ht="25.5" customHeight="1" x14ac:dyDescent="0.3">
      <c r="A2408" s="400" t="s">
        <v>1038</v>
      </c>
      <c r="B2408" s="401" t="s">
        <v>7409</v>
      </c>
      <c r="C2408" s="400" t="s">
        <v>439</v>
      </c>
      <c r="D2408" s="400" t="s">
        <v>1385</v>
      </c>
      <c r="E2408" s="605" t="s">
        <v>1039</v>
      </c>
      <c r="F2408" s="605"/>
      <c r="G2408" s="402" t="s">
        <v>437</v>
      </c>
      <c r="H2408" s="403">
        <v>1.2</v>
      </c>
      <c r="I2408" s="403">
        <v>0</v>
      </c>
      <c r="J2408" s="404">
        <v>5</v>
      </c>
      <c r="K2408" s="404">
        <v>6</v>
      </c>
      <c r="L2408" s="168"/>
    </row>
    <row r="2409" spans="1:12" ht="25.5" customHeight="1" x14ac:dyDescent="0.3">
      <c r="A2409" s="405"/>
      <c r="B2409" s="405"/>
      <c r="C2409" s="405"/>
      <c r="D2409" s="405"/>
      <c r="E2409" s="405" t="s">
        <v>1046</v>
      </c>
      <c r="F2409" s="406">
        <v>23.6</v>
      </c>
      <c r="G2409" s="405" t="s">
        <v>1047</v>
      </c>
      <c r="H2409" s="406">
        <v>0</v>
      </c>
      <c r="I2409" s="405" t="s">
        <v>1048</v>
      </c>
      <c r="J2409" s="406">
        <v>23.6</v>
      </c>
      <c r="K2409"/>
      <c r="L2409" s="168"/>
    </row>
    <row r="2410" spans="1:12" ht="15" customHeight="1" thickBot="1" x14ac:dyDescent="0.35">
      <c r="A2410" s="405"/>
      <c r="B2410" s="405"/>
      <c r="C2410" s="405"/>
      <c r="D2410" s="405"/>
      <c r="E2410" s="405" t="s">
        <v>1049</v>
      </c>
      <c r="F2410" s="406">
        <v>0</v>
      </c>
      <c r="G2410" s="405"/>
      <c r="H2410" s="606"/>
      <c r="I2410" s="606" t="s">
        <v>1050</v>
      </c>
      <c r="J2410" s="406">
        <v>65.86</v>
      </c>
      <c r="K2410"/>
      <c r="L2410" s="166"/>
    </row>
    <row r="2411" spans="1:12" ht="12.75" customHeight="1" thickTop="1" x14ac:dyDescent="0.3">
      <c r="A2411" s="407"/>
      <c r="B2411" s="407"/>
      <c r="C2411" s="407"/>
      <c r="D2411" s="407"/>
      <c r="E2411" s="407"/>
      <c r="F2411" s="407"/>
      <c r="G2411" s="407"/>
      <c r="H2411" s="407"/>
      <c r="I2411" s="407"/>
      <c r="J2411" s="407"/>
      <c r="K2411" s="407"/>
      <c r="L2411" s="166"/>
    </row>
    <row r="2412" spans="1:12" ht="25.5" customHeight="1" x14ac:dyDescent="0.3">
      <c r="A2412" s="382" t="s">
        <v>959</v>
      </c>
      <c r="B2412" s="312" t="s">
        <v>413</v>
      </c>
      <c r="C2412" s="382" t="s">
        <v>414</v>
      </c>
      <c r="D2412" s="382" t="s">
        <v>415</v>
      </c>
      <c r="E2412" s="586" t="s">
        <v>1029</v>
      </c>
      <c r="F2412" s="586"/>
      <c r="G2412" s="383" t="s">
        <v>416</v>
      </c>
      <c r="H2412" s="312" t="s">
        <v>1030</v>
      </c>
      <c r="I2412" s="312" t="s">
        <v>3016</v>
      </c>
      <c r="J2412" s="312" t="s">
        <v>1031</v>
      </c>
      <c r="K2412" s="312" t="s">
        <v>1032</v>
      </c>
      <c r="L2412" s="168"/>
    </row>
    <row r="2413" spans="1:12" ht="25.5" customHeight="1" x14ac:dyDescent="0.3">
      <c r="A2413" s="313" t="s">
        <v>1033</v>
      </c>
      <c r="B2413" s="315" t="s">
        <v>2143</v>
      </c>
      <c r="C2413" s="313" t="s">
        <v>5902</v>
      </c>
      <c r="D2413" s="313" t="s">
        <v>1820</v>
      </c>
      <c r="E2413" s="603">
        <v>38.04</v>
      </c>
      <c r="F2413" s="603"/>
      <c r="G2413" s="314" t="s">
        <v>7</v>
      </c>
      <c r="H2413" s="399">
        <v>1</v>
      </c>
      <c r="I2413" s="316"/>
      <c r="J2413" s="316">
        <v>99.48</v>
      </c>
      <c r="K2413" s="316">
        <v>99.48</v>
      </c>
      <c r="L2413" s="168"/>
    </row>
    <row r="2414" spans="1:12" ht="26.4" x14ac:dyDescent="0.3">
      <c r="A2414" s="400" t="s">
        <v>1038</v>
      </c>
      <c r="B2414" s="401" t="s">
        <v>1051</v>
      </c>
      <c r="C2414" s="400" t="s">
        <v>5902</v>
      </c>
      <c r="D2414" s="400" t="s">
        <v>1052</v>
      </c>
      <c r="E2414" s="605" t="s">
        <v>1053</v>
      </c>
      <c r="F2414" s="605"/>
      <c r="G2414" s="402" t="s">
        <v>6</v>
      </c>
      <c r="H2414" s="403">
        <v>1</v>
      </c>
      <c r="I2414" s="403">
        <v>0</v>
      </c>
      <c r="J2414" s="404">
        <v>33.119999999999997</v>
      </c>
      <c r="K2414" s="404">
        <v>33.119999999999997</v>
      </c>
      <c r="L2414" s="168"/>
    </row>
    <row r="2415" spans="1:12" ht="25.5" customHeight="1" x14ac:dyDescent="0.3">
      <c r="A2415" s="400" t="s">
        <v>1038</v>
      </c>
      <c r="B2415" s="401" t="s">
        <v>1054</v>
      </c>
      <c r="C2415" s="400" t="s">
        <v>5902</v>
      </c>
      <c r="D2415" s="400" t="s">
        <v>1055</v>
      </c>
      <c r="E2415" s="605" t="s">
        <v>1053</v>
      </c>
      <c r="F2415" s="605"/>
      <c r="G2415" s="402" t="s">
        <v>6</v>
      </c>
      <c r="H2415" s="403">
        <v>1</v>
      </c>
      <c r="I2415" s="403">
        <v>0</v>
      </c>
      <c r="J2415" s="404">
        <v>22.71</v>
      </c>
      <c r="K2415" s="404">
        <v>22.71</v>
      </c>
      <c r="L2415" s="166"/>
    </row>
    <row r="2416" spans="1:12" ht="26.4" x14ac:dyDescent="0.3">
      <c r="A2416" s="400" t="s">
        <v>1038</v>
      </c>
      <c r="B2416" s="401" t="s">
        <v>2410</v>
      </c>
      <c r="C2416" s="400" t="s">
        <v>5902</v>
      </c>
      <c r="D2416" s="400" t="s">
        <v>2411</v>
      </c>
      <c r="E2416" s="605" t="s">
        <v>1039</v>
      </c>
      <c r="F2416" s="605"/>
      <c r="G2416" s="402" t="s">
        <v>7</v>
      </c>
      <c r="H2416" s="403">
        <v>1.05</v>
      </c>
      <c r="I2416" s="403">
        <v>0</v>
      </c>
      <c r="J2416" s="404">
        <v>41.57</v>
      </c>
      <c r="K2416" s="404">
        <v>43.648499999999999</v>
      </c>
      <c r="L2416" s="166"/>
    </row>
    <row r="2417" spans="1:12" ht="38.25" customHeight="1" x14ac:dyDescent="0.3">
      <c r="A2417" s="405"/>
      <c r="B2417" s="405"/>
      <c r="C2417" s="405"/>
      <c r="D2417" s="405"/>
      <c r="E2417" s="405" t="s">
        <v>1046</v>
      </c>
      <c r="F2417" s="406">
        <v>55.83</v>
      </c>
      <c r="G2417" s="405" t="s">
        <v>1047</v>
      </c>
      <c r="H2417" s="406">
        <v>0</v>
      </c>
      <c r="I2417" s="405" t="s">
        <v>1048</v>
      </c>
      <c r="J2417" s="406">
        <v>55.83</v>
      </c>
      <c r="K2417"/>
      <c r="L2417" s="166"/>
    </row>
    <row r="2418" spans="1:12" ht="25.5" customHeight="1" thickBot="1" x14ac:dyDescent="0.35">
      <c r="A2418" s="405"/>
      <c r="B2418" s="405"/>
      <c r="C2418" s="405"/>
      <c r="D2418" s="405"/>
      <c r="E2418" s="405" t="s">
        <v>1049</v>
      </c>
      <c r="F2418" s="406">
        <v>0</v>
      </c>
      <c r="G2418" s="405"/>
      <c r="H2418" s="606"/>
      <c r="I2418" s="606" t="s">
        <v>1050</v>
      </c>
      <c r="J2418" s="406">
        <v>99.48</v>
      </c>
      <c r="K2418"/>
      <c r="L2418" s="166"/>
    </row>
    <row r="2419" spans="1:12" ht="15" customHeight="1" thickTop="1" x14ac:dyDescent="0.3">
      <c r="A2419" s="407"/>
      <c r="B2419" s="407"/>
      <c r="C2419" s="407"/>
      <c r="D2419" s="407"/>
      <c r="E2419" s="407"/>
      <c r="F2419" s="407"/>
      <c r="G2419" s="407"/>
      <c r="H2419" s="407"/>
      <c r="I2419" s="407"/>
      <c r="J2419" s="407"/>
      <c r="K2419" s="407"/>
      <c r="L2419" s="166"/>
    </row>
    <row r="2420" spans="1:12" ht="25.5" customHeight="1" x14ac:dyDescent="0.3">
      <c r="A2420" s="382" t="s">
        <v>960</v>
      </c>
      <c r="B2420" s="312" t="s">
        <v>413</v>
      </c>
      <c r="C2420" s="382" t="s">
        <v>414</v>
      </c>
      <c r="D2420" s="382" t="s">
        <v>415</v>
      </c>
      <c r="E2420" s="586" t="s">
        <v>1029</v>
      </c>
      <c r="F2420" s="586"/>
      <c r="G2420" s="383" t="s">
        <v>416</v>
      </c>
      <c r="H2420" s="312" t="s">
        <v>1030</v>
      </c>
      <c r="I2420" s="312" t="s">
        <v>3016</v>
      </c>
      <c r="J2420" s="312" t="s">
        <v>1031</v>
      </c>
      <c r="K2420" s="312" t="s">
        <v>1032</v>
      </c>
      <c r="L2420" s="166"/>
    </row>
    <row r="2421" spans="1:12" ht="25.5" customHeight="1" x14ac:dyDescent="0.3">
      <c r="A2421" s="313" t="s">
        <v>1033</v>
      </c>
      <c r="B2421" s="315" t="s">
        <v>2144</v>
      </c>
      <c r="C2421" s="313" t="s">
        <v>5902</v>
      </c>
      <c r="D2421" s="313" t="s">
        <v>1821</v>
      </c>
      <c r="E2421" s="603">
        <v>38.04</v>
      </c>
      <c r="F2421" s="603"/>
      <c r="G2421" s="314" t="s">
        <v>7</v>
      </c>
      <c r="H2421" s="399">
        <v>1</v>
      </c>
      <c r="I2421" s="316"/>
      <c r="J2421" s="316">
        <v>187.51</v>
      </c>
      <c r="K2421" s="316">
        <v>187.51</v>
      </c>
      <c r="L2421" s="166"/>
    </row>
    <row r="2422" spans="1:12" ht="25.5" customHeight="1" x14ac:dyDescent="0.3">
      <c r="A2422" s="400" t="s">
        <v>1038</v>
      </c>
      <c r="B2422" s="401" t="s">
        <v>1051</v>
      </c>
      <c r="C2422" s="400" t="s">
        <v>5902</v>
      </c>
      <c r="D2422" s="400" t="s">
        <v>1052</v>
      </c>
      <c r="E2422" s="605" t="s">
        <v>1053</v>
      </c>
      <c r="F2422" s="605"/>
      <c r="G2422" s="402" t="s">
        <v>6</v>
      </c>
      <c r="H2422" s="403">
        <v>1.8</v>
      </c>
      <c r="I2422" s="403">
        <v>0</v>
      </c>
      <c r="J2422" s="404">
        <v>33.119999999999997</v>
      </c>
      <c r="K2422" s="404">
        <v>59.616</v>
      </c>
      <c r="L2422" s="168"/>
    </row>
    <row r="2423" spans="1:12" ht="12.75" customHeight="1" x14ac:dyDescent="0.3">
      <c r="A2423" s="400" t="s">
        <v>1038</v>
      </c>
      <c r="B2423" s="401" t="s">
        <v>1054</v>
      </c>
      <c r="C2423" s="400" t="s">
        <v>5902</v>
      </c>
      <c r="D2423" s="400" t="s">
        <v>1055</v>
      </c>
      <c r="E2423" s="605" t="s">
        <v>1053</v>
      </c>
      <c r="F2423" s="605"/>
      <c r="G2423" s="402" t="s">
        <v>6</v>
      </c>
      <c r="H2423" s="403">
        <v>1.8</v>
      </c>
      <c r="I2423" s="403">
        <v>0</v>
      </c>
      <c r="J2423" s="404">
        <v>22.71</v>
      </c>
      <c r="K2423" s="404">
        <v>40.878</v>
      </c>
      <c r="L2423" s="170"/>
    </row>
    <row r="2424" spans="1:12" ht="25.5" customHeight="1" x14ac:dyDescent="0.3">
      <c r="A2424" s="400" t="s">
        <v>1038</v>
      </c>
      <c r="B2424" s="401" t="s">
        <v>2412</v>
      </c>
      <c r="C2424" s="400" t="s">
        <v>5902</v>
      </c>
      <c r="D2424" s="400" t="s">
        <v>2413</v>
      </c>
      <c r="E2424" s="605" t="s">
        <v>1039</v>
      </c>
      <c r="F2424" s="605"/>
      <c r="G2424" s="402" t="s">
        <v>7</v>
      </c>
      <c r="H2424" s="403">
        <v>1.05</v>
      </c>
      <c r="I2424" s="403">
        <v>0</v>
      </c>
      <c r="J2424" s="404">
        <v>82.87</v>
      </c>
      <c r="K2424" s="404">
        <v>87.013499999999993</v>
      </c>
      <c r="L2424" s="168"/>
    </row>
    <row r="2425" spans="1:12" ht="25.5" customHeight="1" x14ac:dyDescent="0.3">
      <c r="A2425" s="405"/>
      <c r="B2425" s="405"/>
      <c r="C2425" s="405"/>
      <c r="D2425" s="405"/>
      <c r="E2425" s="405" t="s">
        <v>1046</v>
      </c>
      <c r="F2425" s="406">
        <v>100.5</v>
      </c>
      <c r="G2425" s="405" t="s">
        <v>1047</v>
      </c>
      <c r="H2425" s="406">
        <v>0</v>
      </c>
      <c r="I2425" s="405" t="s">
        <v>1048</v>
      </c>
      <c r="J2425" s="406">
        <v>100.5</v>
      </c>
      <c r="K2425"/>
      <c r="L2425" s="168"/>
    </row>
    <row r="2426" spans="1:12" ht="17.399999999999999" customHeight="1" thickBot="1" x14ac:dyDescent="0.35">
      <c r="A2426" s="405"/>
      <c r="B2426" s="405"/>
      <c r="C2426" s="405"/>
      <c r="D2426" s="405"/>
      <c r="E2426" s="405" t="s">
        <v>1049</v>
      </c>
      <c r="F2426" s="406">
        <v>0</v>
      </c>
      <c r="G2426" s="405"/>
      <c r="H2426" s="606"/>
      <c r="I2426" s="606" t="s">
        <v>1050</v>
      </c>
      <c r="J2426" s="406">
        <v>187.51</v>
      </c>
      <c r="K2426"/>
      <c r="L2426" s="168"/>
    </row>
    <row r="2427" spans="1:12" ht="38.25" customHeight="1" thickTop="1" x14ac:dyDescent="0.3">
      <c r="A2427" s="407"/>
      <c r="B2427" s="407"/>
      <c r="C2427" s="407"/>
      <c r="D2427" s="407"/>
      <c r="E2427" s="407"/>
      <c r="F2427" s="407"/>
      <c r="G2427" s="407"/>
      <c r="H2427" s="407"/>
      <c r="I2427" s="407"/>
      <c r="J2427" s="407"/>
      <c r="K2427" s="407"/>
      <c r="L2427" s="166"/>
    </row>
    <row r="2428" spans="1:12" ht="15" customHeight="1" x14ac:dyDescent="0.3">
      <c r="A2428" s="382" t="s">
        <v>963</v>
      </c>
      <c r="B2428" s="312" t="s">
        <v>413</v>
      </c>
      <c r="C2428" s="382" t="s">
        <v>414</v>
      </c>
      <c r="D2428" s="382" t="s">
        <v>415</v>
      </c>
      <c r="E2428" s="586" t="s">
        <v>1029</v>
      </c>
      <c r="F2428" s="586"/>
      <c r="G2428" s="383" t="s">
        <v>416</v>
      </c>
      <c r="H2428" s="312" t="s">
        <v>1030</v>
      </c>
      <c r="I2428" s="312" t="s">
        <v>3016</v>
      </c>
      <c r="J2428" s="312" t="s">
        <v>1031</v>
      </c>
      <c r="K2428" s="312" t="s">
        <v>1032</v>
      </c>
      <c r="L2428" s="166"/>
    </row>
    <row r="2429" spans="1:12" ht="25.5" customHeight="1" x14ac:dyDescent="0.3">
      <c r="A2429" s="313" t="s">
        <v>1033</v>
      </c>
      <c r="B2429" s="315" t="s">
        <v>2151</v>
      </c>
      <c r="C2429" s="313" t="s">
        <v>439</v>
      </c>
      <c r="D2429" s="313" t="s">
        <v>1822</v>
      </c>
      <c r="E2429" s="603" t="s">
        <v>781</v>
      </c>
      <c r="F2429" s="603"/>
      <c r="G2429" s="314" t="s">
        <v>422</v>
      </c>
      <c r="H2429" s="399">
        <v>1</v>
      </c>
      <c r="I2429" s="316"/>
      <c r="J2429" s="316">
        <v>154.38999999999999</v>
      </c>
      <c r="K2429" s="316">
        <v>154.38999999999999</v>
      </c>
      <c r="L2429" s="168"/>
    </row>
    <row r="2430" spans="1:12" ht="25.5" customHeight="1" x14ac:dyDescent="0.3">
      <c r="A2430" s="408" t="s">
        <v>1034</v>
      </c>
      <c r="B2430" s="409" t="s">
        <v>1108</v>
      </c>
      <c r="C2430" s="408" t="s">
        <v>439</v>
      </c>
      <c r="D2430" s="408" t="s">
        <v>296</v>
      </c>
      <c r="E2430" s="604" t="s">
        <v>781</v>
      </c>
      <c r="F2430" s="604"/>
      <c r="G2430" s="410" t="s">
        <v>1109</v>
      </c>
      <c r="H2430" s="412">
        <v>1.3</v>
      </c>
      <c r="I2430" s="412">
        <v>0</v>
      </c>
      <c r="J2430" s="411">
        <v>27.9</v>
      </c>
      <c r="K2430" s="411">
        <v>36.270000000000003</v>
      </c>
      <c r="L2430" s="168"/>
    </row>
    <row r="2431" spans="1:12" ht="15" customHeight="1" x14ac:dyDescent="0.3">
      <c r="A2431" s="408" t="s">
        <v>1034</v>
      </c>
      <c r="B2431" s="409" t="s">
        <v>2432</v>
      </c>
      <c r="C2431" s="408" t="s">
        <v>439</v>
      </c>
      <c r="D2431" s="408" t="s">
        <v>2433</v>
      </c>
      <c r="E2431" s="604" t="s">
        <v>781</v>
      </c>
      <c r="F2431" s="604"/>
      <c r="G2431" s="410" t="s">
        <v>713</v>
      </c>
      <c r="H2431" s="412">
        <v>5.4999999999999997E-3</v>
      </c>
      <c r="I2431" s="412">
        <v>0</v>
      </c>
      <c r="J2431" s="411">
        <v>641.48</v>
      </c>
      <c r="K2431" s="411">
        <v>3.5281400000000001</v>
      </c>
      <c r="L2431" s="168"/>
    </row>
    <row r="2432" spans="1:12" ht="25.5" customHeight="1" x14ac:dyDescent="0.3">
      <c r="A2432" s="408" t="s">
        <v>1034</v>
      </c>
      <c r="B2432" s="409" t="s">
        <v>1110</v>
      </c>
      <c r="C2432" s="408" t="s">
        <v>439</v>
      </c>
      <c r="D2432" s="408" t="s">
        <v>135</v>
      </c>
      <c r="E2432" s="604" t="s">
        <v>781</v>
      </c>
      <c r="F2432" s="604"/>
      <c r="G2432" s="410" t="s">
        <v>1109</v>
      </c>
      <c r="H2432" s="412">
        <v>1.3</v>
      </c>
      <c r="I2432" s="412">
        <v>0</v>
      </c>
      <c r="J2432" s="411">
        <v>33.950000000000003</v>
      </c>
      <c r="K2432" s="411">
        <v>44.134999999999998</v>
      </c>
      <c r="L2432" s="168"/>
    </row>
    <row r="2433" spans="1:12" ht="25.5" customHeight="1" x14ac:dyDescent="0.3">
      <c r="A2433" s="400" t="s">
        <v>1038</v>
      </c>
      <c r="B2433" s="401" t="s">
        <v>2434</v>
      </c>
      <c r="C2433" s="400" t="s">
        <v>439</v>
      </c>
      <c r="D2433" s="400" t="s">
        <v>2435</v>
      </c>
      <c r="E2433" s="605" t="s">
        <v>1039</v>
      </c>
      <c r="F2433" s="605"/>
      <c r="G2433" s="402" t="s">
        <v>422</v>
      </c>
      <c r="H2433" s="403">
        <v>1</v>
      </c>
      <c r="I2433" s="403">
        <v>0</v>
      </c>
      <c r="J2433" s="404">
        <v>70.459999999999994</v>
      </c>
      <c r="K2433" s="404">
        <v>70.459999999999994</v>
      </c>
      <c r="L2433" s="166"/>
    </row>
    <row r="2434" spans="1:12" ht="25.5" customHeight="1" x14ac:dyDescent="0.3">
      <c r="A2434" s="405"/>
      <c r="B2434" s="405"/>
      <c r="C2434" s="405"/>
      <c r="D2434" s="405"/>
      <c r="E2434" s="405" t="s">
        <v>1046</v>
      </c>
      <c r="F2434" s="406">
        <v>60.3</v>
      </c>
      <c r="G2434" s="405" t="s">
        <v>1047</v>
      </c>
      <c r="H2434" s="406">
        <v>0</v>
      </c>
      <c r="I2434" s="405" t="s">
        <v>1048</v>
      </c>
      <c r="J2434" s="406">
        <v>60.3</v>
      </c>
      <c r="K2434"/>
      <c r="L2434" s="168"/>
    </row>
    <row r="2435" spans="1:12" ht="15" customHeight="1" thickBot="1" x14ac:dyDescent="0.35">
      <c r="A2435" s="405"/>
      <c r="B2435" s="405"/>
      <c r="C2435" s="405"/>
      <c r="D2435" s="405"/>
      <c r="E2435" s="405" t="s">
        <v>1049</v>
      </c>
      <c r="F2435" s="406">
        <v>0</v>
      </c>
      <c r="G2435" s="405"/>
      <c r="H2435" s="606"/>
      <c r="I2435" s="606" t="s">
        <v>1050</v>
      </c>
      <c r="J2435" s="406">
        <v>154.38999999999999</v>
      </c>
      <c r="K2435"/>
      <c r="L2435" s="168"/>
    </row>
    <row r="2436" spans="1:12" ht="25.5" customHeight="1" thickTop="1" x14ac:dyDescent="0.3">
      <c r="A2436" s="407"/>
      <c r="B2436" s="407"/>
      <c r="C2436" s="407"/>
      <c r="D2436" s="407"/>
      <c r="E2436" s="407"/>
      <c r="F2436" s="407"/>
      <c r="G2436" s="407"/>
      <c r="H2436" s="407"/>
      <c r="I2436" s="407"/>
      <c r="J2436" s="407"/>
      <c r="K2436" s="407"/>
      <c r="L2436" s="168"/>
    </row>
    <row r="2437" spans="1:12" ht="15" customHeight="1" x14ac:dyDescent="0.3">
      <c r="A2437" s="382" t="s">
        <v>964</v>
      </c>
      <c r="B2437" s="312" t="s">
        <v>413</v>
      </c>
      <c r="C2437" s="382" t="s">
        <v>414</v>
      </c>
      <c r="D2437" s="382" t="s">
        <v>415</v>
      </c>
      <c r="E2437" s="586" t="s">
        <v>1029</v>
      </c>
      <c r="F2437" s="586"/>
      <c r="G2437" s="383" t="s">
        <v>416</v>
      </c>
      <c r="H2437" s="312" t="s">
        <v>1030</v>
      </c>
      <c r="I2437" s="312" t="s">
        <v>3016</v>
      </c>
      <c r="J2437" s="312" t="s">
        <v>1031</v>
      </c>
      <c r="K2437" s="312" t="s">
        <v>1032</v>
      </c>
      <c r="L2437" s="166"/>
    </row>
    <row r="2438" spans="1:12" ht="25.5" customHeight="1" x14ac:dyDescent="0.3">
      <c r="A2438" s="313" t="s">
        <v>1033</v>
      </c>
      <c r="B2438" s="315" t="s">
        <v>2152</v>
      </c>
      <c r="C2438" s="313" t="s">
        <v>439</v>
      </c>
      <c r="D2438" s="313" t="s">
        <v>1823</v>
      </c>
      <c r="E2438" s="603" t="s">
        <v>781</v>
      </c>
      <c r="F2438" s="603"/>
      <c r="G2438" s="314" t="s">
        <v>422</v>
      </c>
      <c r="H2438" s="399">
        <v>1</v>
      </c>
      <c r="I2438" s="316"/>
      <c r="J2438" s="316">
        <v>236.9</v>
      </c>
      <c r="K2438" s="316">
        <v>236.9</v>
      </c>
      <c r="L2438" s="166"/>
    </row>
    <row r="2439" spans="1:12" ht="15" customHeight="1" x14ac:dyDescent="0.3">
      <c r="A2439" s="408" t="s">
        <v>1034</v>
      </c>
      <c r="B2439" s="409" t="s">
        <v>1108</v>
      </c>
      <c r="C2439" s="408" t="s">
        <v>439</v>
      </c>
      <c r="D2439" s="408" t="s">
        <v>296</v>
      </c>
      <c r="E2439" s="604" t="s">
        <v>781</v>
      </c>
      <c r="F2439" s="604"/>
      <c r="G2439" s="410" t="s">
        <v>1109</v>
      </c>
      <c r="H2439" s="412">
        <v>1.7</v>
      </c>
      <c r="I2439" s="412">
        <v>0</v>
      </c>
      <c r="J2439" s="411">
        <v>27.9</v>
      </c>
      <c r="K2439" s="411">
        <v>47.43</v>
      </c>
      <c r="L2439" s="168"/>
    </row>
    <row r="2440" spans="1:12" ht="26.4" x14ac:dyDescent="0.3">
      <c r="A2440" s="408" t="s">
        <v>1034</v>
      </c>
      <c r="B2440" s="409" t="s">
        <v>2432</v>
      </c>
      <c r="C2440" s="408" t="s">
        <v>439</v>
      </c>
      <c r="D2440" s="408" t="s">
        <v>2433</v>
      </c>
      <c r="E2440" s="604" t="s">
        <v>781</v>
      </c>
      <c r="F2440" s="604"/>
      <c r="G2440" s="410" t="s">
        <v>713</v>
      </c>
      <c r="H2440" s="412">
        <v>5.4999999999999997E-3</v>
      </c>
      <c r="I2440" s="412">
        <v>0</v>
      </c>
      <c r="J2440" s="411">
        <v>641.48</v>
      </c>
      <c r="K2440" s="411">
        <v>3.5281400000000001</v>
      </c>
      <c r="L2440" s="168"/>
    </row>
    <row r="2441" spans="1:12" ht="26.4" x14ac:dyDescent="0.3">
      <c r="A2441" s="408" t="s">
        <v>1034</v>
      </c>
      <c r="B2441" s="409" t="s">
        <v>1110</v>
      </c>
      <c r="C2441" s="408" t="s">
        <v>439</v>
      </c>
      <c r="D2441" s="408" t="s">
        <v>135</v>
      </c>
      <c r="E2441" s="604" t="s">
        <v>781</v>
      </c>
      <c r="F2441" s="604"/>
      <c r="G2441" s="410" t="s">
        <v>1109</v>
      </c>
      <c r="H2441" s="412">
        <v>1.7</v>
      </c>
      <c r="I2441" s="412">
        <v>0</v>
      </c>
      <c r="J2441" s="411">
        <v>33.950000000000003</v>
      </c>
      <c r="K2441" s="411">
        <v>57.715000000000003</v>
      </c>
      <c r="L2441" s="168"/>
    </row>
    <row r="2442" spans="1:12" ht="25.5" customHeight="1" x14ac:dyDescent="0.3">
      <c r="A2442" s="400" t="s">
        <v>1038</v>
      </c>
      <c r="B2442" s="401" t="s">
        <v>2436</v>
      </c>
      <c r="C2442" s="400" t="s">
        <v>439</v>
      </c>
      <c r="D2442" s="400" t="s">
        <v>2437</v>
      </c>
      <c r="E2442" s="605" t="s">
        <v>1039</v>
      </c>
      <c r="F2442" s="605"/>
      <c r="G2442" s="402" t="s">
        <v>422</v>
      </c>
      <c r="H2442" s="403">
        <v>1</v>
      </c>
      <c r="I2442" s="403">
        <v>0</v>
      </c>
      <c r="J2442" s="404">
        <v>128.22999999999999</v>
      </c>
      <c r="K2442" s="404">
        <v>128.22999999999999</v>
      </c>
      <c r="L2442" s="166"/>
    </row>
    <row r="2443" spans="1:12" ht="25.5" customHeight="1" x14ac:dyDescent="0.3">
      <c r="A2443" s="405"/>
      <c r="B2443" s="405"/>
      <c r="C2443" s="405"/>
      <c r="D2443" s="405"/>
      <c r="E2443" s="405" t="s">
        <v>1046</v>
      </c>
      <c r="F2443" s="406">
        <v>78.64</v>
      </c>
      <c r="G2443" s="405" t="s">
        <v>1047</v>
      </c>
      <c r="H2443" s="406">
        <v>0</v>
      </c>
      <c r="I2443" s="405" t="s">
        <v>1048</v>
      </c>
      <c r="J2443" s="406">
        <v>78.64</v>
      </c>
      <c r="K2443"/>
      <c r="L2443" s="166"/>
    </row>
    <row r="2444" spans="1:12" ht="25.5" customHeight="1" thickBot="1" x14ac:dyDescent="0.35">
      <c r="A2444" s="405"/>
      <c r="B2444" s="405"/>
      <c r="C2444" s="405"/>
      <c r="D2444" s="405"/>
      <c r="E2444" s="405" t="s">
        <v>1049</v>
      </c>
      <c r="F2444" s="406">
        <v>0</v>
      </c>
      <c r="G2444" s="405"/>
      <c r="H2444" s="606"/>
      <c r="I2444" s="606" t="s">
        <v>1050</v>
      </c>
      <c r="J2444" s="406">
        <v>236.9</v>
      </c>
      <c r="K2444"/>
      <c r="L2444" s="166"/>
    </row>
    <row r="2445" spans="1:12" ht="25.5" customHeight="1" thickTop="1" x14ac:dyDescent="0.3">
      <c r="A2445" s="407"/>
      <c r="B2445" s="407"/>
      <c r="C2445" s="407"/>
      <c r="D2445" s="407"/>
      <c r="E2445" s="407"/>
      <c r="F2445" s="407"/>
      <c r="G2445" s="407"/>
      <c r="H2445" s="407"/>
      <c r="I2445" s="407"/>
      <c r="J2445" s="407"/>
      <c r="K2445" s="407"/>
      <c r="L2445" s="166"/>
    </row>
    <row r="2446" spans="1:12" ht="15" x14ac:dyDescent="0.3">
      <c r="A2446" s="382" t="s">
        <v>965</v>
      </c>
      <c r="B2446" s="312" t="s">
        <v>413</v>
      </c>
      <c r="C2446" s="382" t="s">
        <v>414</v>
      </c>
      <c r="D2446" s="382" t="s">
        <v>415</v>
      </c>
      <c r="E2446" s="586" t="s">
        <v>1029</v>
      </c>
      <c r="F2446" s="586"/>
      <c r="G2446" s="383" t="s">
        <v>416</v>
      </c>
      <c r="H2446" s="312" t="s">
        <v>1030</v>
      </c>
      <c r="I2446" s="312" t="s">
        <v>3016</v>
      </c>
      <c r="J2446" s="312" t="s">
        <v>1031</v>
      </c>
      <c r="K2446" s="312" t="s">
        <v>1032</v>
      </c>
      <c r="L2446" s="166"/>
    </row>
    <row r="2447" spans="1:12" ht="15" x14ac:dyDescent="0.3">
      <c r="A2447" s="313" t="s">
        <v>1033</v>
      </c>
      <c r="B2447" s="315" t="s">
        <v>2153</v>
      </c>
      <c r="C2447" s="313" t="s">
        <v>420</v>
      </c>
      <c r="D2447" s="313" t="s">
        <v>1824</v>
      </c>
      <c r="E2447" s="603" t="s">
        <v>1224</v>
      </c>
      <c r="F2447" s="603"/>
      <c r="G2447" s="314" t="s">
        <v>422</v>
      </c>
      <c r="H2447" s="399">
        <v>1</v>
      </c>
      <c r="I2447" s="316"/>
      <c r="J2447" s="316">
        <v>128.91999999999999</v>
      </c>
      <c r="K2447" s="316">
        <v>128.91999999999999</v>
      </c>
      <c r="L2447" s="166"/>
    </row>
    <row r="2448" spans="1:12" ht="38.25" customHeight="1" x14ac:dyDescent="0.3">
      <c r="A2448" s="408" t="s">
        <v>1034</v>
      </c>
      <c r="B2448" s="409" t="s">
        <v>1071</v>
      </c>
      <c r="C2448" s="408" t="s">
        <v>420</v>
      </c>
      <c r="D2448" s="408" t="s">
        <v>1072</v>
      </c>
      <c r="E2448" s="604" t="s">
        <v>1069</v>
      </c>
      <c r="F2448" s="604"/>
      <c r="G2448" s="410" t="s">
        <v>1070</v>
      </c>
      <c r="H2448" s="412">
        <v>1.2</v>
      </c>
      <c r="I2448" s="412">
        <v>0</v>
      </c>
      <c r="J2448" s="411">
        <v>3.95</v>
      </c>
      <c r="K2448" s="411">
        <v>4.74</v>
      </c>
      <c r="L2448" s="166"/>
    </row>
    <row r="2449" spans="1:12" ht="25.5" customHeight="1" x14ac:dyDescent="0.3">
      <c r="A2449" s="408" t="s">
        <v>1034</v>
      </c>
      <c r="B2449" s="409" t="s">
        <v>1067</v>
      </c>
      <c r="C2449" s="408" t="s">
        <v>420</v>
      </c>
      <c r="D2449" s="408" t="s">
        <v>1068</v>
      </c>
      <c r="E2449" s="604" t="s">
        <v>1069</v>
      </c>
      <c r="F2449" s="604"/>
      <c r="G2449" s="410" t="s">
        <v>1070</v>
      </c>
      <c r="H2449" s="412">
        <v>1.2</v>
      </c>
      <c r="I2449" s="412">
        <v>0</v>
      </c>
      <c r="J2449" s="411">
        <v>3.82</v>
      </c>
      <c r="K2449" s="411">
        <v>4.5839999999999996</v>
      </c>
      <c r="L2449" s="168"/>
    </row>
    <row r="2450" spans="1:12" ht="15" customHeight="1" x14ac:dyDescent="0.3">
      <c r="A2450" s="400" t="s">
        <v>1038</v>
      </c>
      <c r="B2450" s="401" t="s">
        <v>2438</v>
      </c>
      <c r="C2450" s="400" t="s">
        <v>420</v>
      </c>
      <c r="D2450" s="400" t="s">
        <v>2439</v>
      </c>
      <c r="E2450" s="605" t="s">
        <v>1039</v>
      </c>
      <c r="F2450" s="605"/>
      <c r="G2450" s="402" t="s">
        <v>422</v>
      </c>
      <c r="H2450" s="403">
        <v>1</v>
      </c>
      <c r="I2450" s="403">
        <v>0</v>
      </c>
      <c r="J2450" s="404">
        <v>76.349999999999994</v>
      </c>
      <c r="K2450" s="404">
        <v>76.349999999999994</v>
      </c>
      <c r="L2450" s="170"/>
    </row>
    <row r="2451" spans="1:12" ht="15" x14ac:dyDescent="0.3">
      <c r="A2451" s="400" t="s">
        <v>1038</v>
      </c>
      <c r="B2451" s="401" t="s">
        <v>6199</v>
      </c>
      <c r="C2451" s="400" t="s">
        <v>420</v>
      </c>
      <c r="D2451" s="400" t="s">
        <v>6200</v>
      </c>
      <c r="E2451" s="605" t="s">
        <v>1053</v>
      </c>
      <c r="F2451" s="605"/>
      <c r="G2451" s="402" t="s">
        <v>1070</v>
      </c>
      <c r="H2451" s="403">
        <v>1.2</v>
      </c>
      <c r="I2451" s="403">
        <v>0</v>
      </c>
      <c r="J2451" s="404">
        <v>20.45</v>
      </c>
      <c r="K2451" s="404">
        <v>24.54</v>
      </c>
      <c r="L2451" s="168"/>
    </row>
    <row r="2452" spans="1:12" ht="12.75" customHeight="1" x14ac:dyDescent="0.3">
      <c r="A2452" s="400" t="s">
        <v>1038</v>
      </c>
      <c r="B2452" s="401" t="s">
        <v>6251</v>
      </c>
      <c r="C2452" s="400" t="s">
        <v>420</v>
      </c>
      <c r="D2452" s="400" t="s">
        <v>6252</v>
      </c>
      <c r="E2452" s="605" t="s">
        <v>1053</v>
      </c>
      <c r="F2452" s="605"/>
      <c r="G2452" s="402" t="s">
        <v>1070</v>
      </c>
      <c r="H2452" s="403">
        <v>1.2</v>
      </c>
      <c r="I2452" s="403">
        <v>0</v>
      </c>
      <c r="J2452" s="404">
        <v>15.59</v>
      </c>
      <c r="K2452" s="404">
        <v>18.707999999999998</v>
      </c>
      <c r="L2452" s="168"/>
    </row>
    <row r="2453" spans="1:12" ht="15" x14ac:dyDescent="0.3">
      <c r="A2453" s="405"/>
      <c r="B2453" s="405"/>
      <c r="C2453" s="405"/>
      <c r="D2453" s="405"/>
      <c r="E2453" s="405" t="s">
        <v>1046</v>
      </c>
      <c r="F2453" s="406">
        <v>43.25</v>
      </c>
      <c r="G2453" s="405" t="s">
        <v>1047</v>
      </c>
      <c r="H2453" s="406">
        <v>0</v>
      </c>
      <c r="I2453" s="405" t="s">
        <v>1048</v>
      </c>
      <c r="J2453" s="406">
        <v>43.25</v>
      </c>
      <c r="K2453"/>
      <c r="L2453" s="168"/>
    </row>
    <row r="2454" spans="1:12" ht="15" customHeight="1" thickBot="1" x14ac:dyDescent="0.35">
      <c r="A2454" s="405"/>
      <c r="B2454" s="405"/>
      <c r="C2454" s="405"/>
      <c r="D2454" s="405"/>
      <c r="E2454" s="405" t="s">
        <v>1049</v>
      </c>
      <c r="F2454" s="406">
        <v>0</v>
      </c>
      <c r="G2454" s="405"/>
      <c r="H2454" s="606"/>
      <c r="I2454" s="606" t="s">
        <v>1050</v>
      </c>
      <c r="J2454" s="406">
        <v>128.91999999999999</v>
      </c>
      <c r="K2454"/>
      <c r="L2454" s="166"/>
    </row>
    <row r="2455" spans="1:12" ht="25.5" customHeight="1" thickTop="1" x14ac:dyDescent="0.3">
      <c r="A2455" s="407"/>
      <c r="B2455" s="407"/>
      <c r="C2455" s="407"/>
      <c r="D2455" s="407"/>
      <c r="E2455" s="407"/>
      <c r="F2455" s="407"/>
      <c r="G2455" s="407"/>
      <c r="H2455" s="407"/>
      <c r="I2455" s="407"/>
      <c r="J2455" s="407"/>
      <c r="K2455" s="407"/>
      <c r="L2455" s="166"/>
    </row>
    <row r="2456" spans="1:12" ht="25.5" customHeight="1" x14ac:dyDescent="0.3">
      <c r="A2456" s="382" t="s">
        <v>966</v>
      </c>
      <c r="B2456" s="312" t="s">
        <v>413</v>
      </c>
      <c r="C2456" s="382" t="s">
        <v>414</v>
      </c>
      <c r="D2456" s="382" t="s">
        <v>415</v>
      </c>
      <c r="E2456" s="586" t="s">
        <v>1029</v>
      </c>
      <c r="F2456" s="586"/>
      <c r="G2456" s="383" t="s">
        <v>416</v>
      </c>
      <c r="H2456" s="312" t="s">
        <v>1030</v>
      </c>
      <c r="I2456" s="312" t="s">
        <v>3016</v>
      </c>
      <c r="J2456" s="312" t="s">
        <v>1031</v>
      </c>
      <c r="K2456" s="312" t="s">
        <v>1032</v>
      </c>
      <c r="L2456" s="168"/>
    </row>
    <row r="2457" spans="1:12" ht="15" customHeight="1" x14ac:dyDescent="0.3">
      <c r="A2457" s="313" t="s">
        <v>1033</v>
      </c>
      <c r="B2457" s="315" t="s">
        <v>914</v>
      </c>
      <c r="C2457" s="313" t="s">
        <v>420</v>
      </c>
      <c r="D2457" s="313" t="s">
        <v>483</v>
      </c>
      <c r="E2457" s="603" t="s">
        <v>1179</v>
      </c>
      <c r="F2457" s="603"/>
      <c r="G2457" s="314" t="s">
        <v>437</v>
      </c>
      <c r="H2457" s="399">
        <v>1</v>
      </c>
      <c r="I2457" s="316"/>
      <c r="J2457" s="316">
        <v>34.74</v>
      </c>
      <c r="K2457" s="316">
        <v>34.74</v>
      </c>
      <c r="L2457" s="168"/>
    </row>
    <row r="2458" spans="1:12" ht="38.25" customHeight="1" x14ac:dyDescent="0.3">
      <c r="A2458" s="408" t="s">
        <v>1034</v>
      </c>
      <c r="B2458" s="409" t="s">
        <v>1071</v>
      </c>
      <c r="C2458" s="408" t="s">
        <v>420</v>
      </c>
      <c r="D2458" s="408" t="s">
        <v>1072</v>
      </c>
      <c r="E2458" s="604" t="s">
        <v>1069</v>
      </c>
      <c r="F2458" s="604"/>
      <c r="G2458" s="410" t="s">
        <v>1070</v>
      </c>
      <c r="H2458" s="412">
        <v>0.55000000000000004</v>
      </c>
      <c r="I2458" s="412">
        <v>0</v>
      </c>
      <c r="J2458" s="411">
        <v>3.95</v>
      </c>
      <c r="K2458" s="411">
        <v>2.1724999999999999</v>
      </c>
      <c r="L2458" s="168"/>
    </row>
    <row r="2459" spans="1:12" ht="25.5" customHeight="1" x14ac:dyDescent="0.3">
      <c r="A2459" s="408" t="s">
        <v>1034</v>
      </c>
      <c r="B2459" s="409" t="s">
        <v>1180</v>
      </c>
      <c r="C2459" s="408" t="s">
        <v>420</v>
      </c>
      <c r="D2459" s="408" t="s">
        <v>1181</v>
      </c>
      <c r="E2459" s="604" t="s">
        <v>1069</v>
      </c>
      <c r="F2459" s="604"/>
      <c r="G2459" s="410" t="s">
        <v>1070</v>
      </c>
      <c r="H2459" s="412">
        <v>0.51</v>
      </c>
      <c r="I2459" s="412">
        <v>0</v>
      </c>
      <c r="J2459" s="411">
        <v>3.91</v>
      </c>
      <c r="K2459" s="411">
        <v>1.9941</v>
      </c>
      <c r="L2459" s="168"/>
    </row>
    <row r="2460" spans="1:12" ht="25.5" customHeight="1" x14ac:dyDescent="0.3">
      <c r="A2460" s="400" t="s">
        <v>1038</v>
      </c>
      <c r="B2460" s="401" t="s">
        <v>1182</v>
      </c>
      <c r="C2460" s="400" t="s">
        <v>420</v>
      </c>
      <c r="D2460" s="400" t="s">
        <v>1183</v>
      </c>
      <c r="E2460" s="605" t="s">
        <v>1039</v>
      </c>
      <c r="F2460" s="605"/>
      <c r="G2460" s="402" t="s">
        <v>437</v>
      </c>
      <c r="H2460" s="403">
        <v>1</v>
      </c>
      <c r="I2460" s="403">
        <v>0</v>
      </c>
      <c r="J2460" s="404">
        <v>11.57</v>
      </c>
      <c r="K2460" s="404">
        <v>11.57</v>
      </c>
      <c r="L2460" s="166"/>
    </row>
    <row r="2461" spans="1:12" ht="15" customHeight="1" x14ac:dyDescent="0.3">
      <c r="A2461" s="400" t="s">
        <v>1038</v>
      </c>
      <c r="B2461" s="401" t="s">
        <v>6480</v>
      </c>
      <c r="C2461" s="400" t="s">
        <v>420</v>
      </c>
      <c r="D2461" s="400" t="s">
        <v>6481</v>
      </c>
      <c r="E2461" s="605" t="s">
        <v>1053</v>
      </c>
      <c r="F2461" s="605"/>
      <c r="G2461" s="402" t="s">
        <v>1070</v>
      </c>
      <c r="H2461" s="403">
        <v>0.51</v>
      </c>
      <c r="I2461" s="403">
        <v>0</v>
      </c>
      <c r="J2461" s="404">
        <v>20.45</v>
      </c>
      <c r="K2461" s="404">
        <v>10.429500000000001</v>
      </c>
      <c r="L2461" s="168"/>
    </row>
    <row r="2462" spans="1:12" ht="25.5" customHeight="1" x14ac:dyDescent="0.3">
      <c r="A2462" s="400" t="s">
        <v>1038</v>
      </c>
      <c r="B2462" s="401" t="s">
        <v>6251</v>
      </c>
      <c r="C2462" s="400" t="s">
        <v>420</v>
      </c>
      <c r="D2462" s="400" t="s">
        <v>6252</v>
      </c>
      <c r="E2462" s="605" t="s">
        <v>1053</v>
      </c>
      <c r="F2462" s="605"/>
      <c r="G2462" s="402" t="s">
        <v>1070</v>
      </c>
      <c r="H2462" s="403">
        <v>0.55000000000000004</v>
      </c>
      <c r="I2462" s="403">
        <v>0</v>
      </c>
      <c r="J2462" s="404">
        <v>15.59</v>
      </c>
      <c r="K2462" s="404">
        <v>8.5745000000000005</v>
      </c>
      <c r="L2462" s="168"/>
    </row>
    <row r="2463" spans="1:12" ht="25.5" customHeight="1" x14ac:dyDescent="0.3">
      <c r="A2463" s="405"/>
      <c r="B2463" s="405"/>
      <c r="C2463" s="405"/>
      <c r="D2463" s="405"/>
      <c r="E2463" s="405" t="s">
        <v>1046</v>
      </c>
      <c r="F2463" s="406">
        <v>19</v>
      </c>
      <c r="G2463" s="405" t="s">
        <v>1047</v>
      </c>
      <c r="H2463" s="406">
        <v>0</v>
      </c>
      <c r="I2463" s="405" t="s">
        <v>1048</v>
      </c>
      <c r="J2463" s="406">
        <v>19</v>
      </c>
      <c r="K2463"/>
      <c r="L2463" s="168"/>
    </row>
    <row r="2464" spans="1:12" ht="14.25" customHeight="1" thickBot="1" x14ac:dyDescent="0.35">
      <c r="A2464" s="405"/>
      <c r="B2464" s="405"/>
      <c r="C2464" s="405"/>
      <c r="D2464" s="405"/>
      <c r="E2464" s="405" t="s">
        <v>1049</v>
      </c>
      <c r="F2464" s="406">
        <v>0</v>
      </c>
      <c r="G2464" s="405"/>
      <c r="H2464" s="606"/>
      <c r="I2464" s="606" t="s">
        <v>1050</v>
      </c>
      <c r="J2464" s="406">
        <v>34.74</v>
      </c>
      <c r="K2464"/>
      <c r="L2464" s="166"/>
    </row>
    <row r="2465" spans="1:12" ht="25.5" customHeight="1" thickTop="1" x14ac:dyDescent="0.3">
      <c r="A2465" s="407"/>
      <c r="B2465" s="407"/>
      <c r="C2465" s="407"/>
      <c r="D2465" s="407"/>
      <c r="E2465" s="407"/>
      <c r="F2465" s="407"/>
      <c r="G2465" s="407"/>
      <c r="H2465" s="407"/>
      <c r="I2465" s="407"/>
      <c r="J2465" s="407"/>
      <c r="K2465" s="407"/>
      <c r="L2465" s="166"/>
    </row>
    <row r="2466" spans="1:12" ht="25.5" customHeight="1" x14ac:dyDescent="0.3">
      <c r="A2466" s="382" t="s">
        <v>1813</v>
      </c>
      <c r="B2466" s="312" t="s">
        <v>413</v>
      </c>
      <c r="C2466" s="382" t="s">
        <v>414</v>
      </c>
      <c r="D2466" s="382" t="s">
        <v>415</v>
      </c>
      <c r="E2466" s="586" t="s">
        <v>1029</v>
      </c>
      <c r="F2466" s="586"/>
      <c r="G2466" s="383" t="s">
        <v>416</v>
      </c>
      <c r="H2466" s="312" t="s">
        <v>1030</v>
      </c>
      <c r="I2466" s="312" t="s">
        <v>3016</v>
      </c>
      <c r="J2466" s="312" t="s">
        <v>1031</v>
      </c>
      <c r="K2466" s="312" t="s">
        <v>1032</v>
      </c>
      <c r="L2466" s="168"/>
    </row>
    <row r="2467" spans="1:12" ht="25.5" customHeight="1" x14ac:dyDescent="0.3">
      <c r="A2467" s="313" t="s">
        <v>1033</v>
      </c>
      <c r="B2467" s="315" t="s">
        <v>943</v>
      </c>
      <c r="C2467" s="313" t="s">
        <v>420</v>
      </c>
      <c r="D2467" s="313" t="s">
        <v>533</v>
      </c>
      <c r="E2467" s="603" t="s">
        <v>1244</v>
      </c>
      <c r="F2467" s="603"/>
      <c r="G2467" s="314" t="s">
        <v>422</v>
      </c>
      <c r="H2467" s="399">
        <v>1</v>
      </c>
      <c r="I2467" s="316"/>
      <c r="J2467" s="316">
        <v>19.05</v>
      </c>
      <c r="K2467" s="316">
        <v>19.05</v>
      </c>
      <c r="L2467" s="168"/>
    </row>
    <row r="2468" spans="1:12" ht="38.25" customHeight="1" x14ac:dyDescent="0.3">
      <c r="A2468" s="408" t="s">
        <v>1034</v>
      </c>
      <c r="B2468" s="409" t="s">
        <v>1071</v>
      </c>
      <c r="C2468" s="408" t="s">
        <v>420</v>
      </c>
      <c r="D2468" s="408" t="s">
        <v>1072</v>
      </c>
      <c r="E2468" s="604" t="s">
        <v>1069</v>
      </c>
      <c r="F2468" s="604"/>
      <c r="G2468" s="410" t="s">
        <v>1070</v>
      </c>
      <c r="H2468" s="412">
        <v>0.12</v>
      </c>
      <c r="I2468" s="412">
        <v>0</v>
      </c>
      <c r="J2468" s="411">
        <v>3.95</v>
      </c>
      <c r="K2468" s="411">
        <v>0.47399999999999998</v>
      </c>
      <c r="L2468" s="168"/>
    </row>
    <row r="2469" spans="1:12" ht="25.5" customHeight="1" x14ac:dyDescent="0.3">
      <c r="A2469" s="408" t="s">
        <v>1034</v>
      </c>
      <c r="B2469" s="409" t="s">
        <v>1180</v>
      </c>
      <c r="C2469" s="408" t="s">
        <v>420</v>
      </c>
      <c r="D2469" s="408" t="s">
        <v>1181</v>
      </c>
      <c r="E2469" s="604" t="s">
        <v>1069</v>
      </c>
      <c r="F2469" s="604"/>
      <c r="G2469" s="410" t="s">
        <v>1070</v>
      </c>
      <c r="H2469" s="412">
        <v>0.12</v>
      </c>
      <c r="I2469" s="412">
        <v>0</v>
      </c>
      <c r="J2469" s="411">
        <v>3.91</v>
      </c>
      <c r="K2469" s="411">
        <v>0.46920000000000001</v>
      </c>
      <c r="L2469" s="166"/>
    </row>
    <row r="2470" spans="1:12" ht="25.5" customHeight="1" x14ac:dyDescent="0.3">
      <c r="A2470" s="400" t="s">
        <v>1038</v>
      </c>
      <c r="B2470" s="401" t="s">
        <v>768</v>
      </c>
      <c r="C2470" s="400" t="s">
        <v>420</v>
      </c>
      <c r="D2470" s="400" t="s">
        <v>1245</v>
      </c>
      <c r="E2470" s="605" t="s">
        <v>1039</v>
      </c>
      <c r="F2470" s="605"/>
      <c r="G2470" s="402" t="s">
        <v>1246</v>
      </c>
      <c r="H2470" s="403">
        <v>2.5000000000000001E-2</v>
      </c>
      <c r="I2470" s="403">
        <v>0</v>
      </c>
      <c r="J2470" s="404">
        <v>72.41</v>
      </c>
      <c r="K2470" s="404">
        <v>1.8102499999999999</v>
      </c>
      <c r="L2470" s="166"/>
    </row>
    <row r="2471" spans="1:12" ht="15" x14ac:dyDescent="0.3">
      <c r="A2471" s="400" t="s">
        <v>1038</v>
      </c>
      <c r="B2471" s="401" t="s">
        <v>1247</v>
      </c>
      <c r="C2471" s="400" t="s">
        <v>420</v>
      </c>
      <c r="D2471" s="400" t="s">
        <v>1248</v>
      </c>
      <c r="E2471" s="605" t="s">
        <v>1039</v>
      </c>
      <c r="F2471" s="605"/>
      <c r="G2471" s="402" t="s">
        <v>1249</v>
      </c>
      <c r="H2471" s="403">
        <v>0.04</v>
      </c>
      <c r="I2471" s="403">
        <v>0</v>
      </c>
      <c r="J2471" s="404">
        <v>69.739999999999995</v>
      </c>
      <c r="K2471" s="404">
        <v>2.7896000000000001</v>
      </c>
      <c r="L2471" s="166"/>
    </row>
    <row r="2472" spans="1:12" ht="15" customHeight="1" x14ac:dyDescent="0.3">
      <c r="A2472" s="400" t="s">
        <v>1038</v>
      </c>
      <c r="B2472" s="401" t="s">
        <v>7046</v>
      </c>
      <c r="C2472" s="400" t="s">
        <v>420</v>
      </c>
      <c r="D2472" s="400" t="s">
        <v>7047</v>
      </c>
      <c r="E2472" s="605" t="s">
        <v>1039</v>
      </c>
      <c r="F2472" s="605"/>
      <c r="G2472" s="402" t="s">
        <v>422</v>
      </c>
      <c r="H2472" s="403">
        <v>1</v>
      </c>
      <c r="I2472" s="403">
        <v>0</v>
      </c>
      <c r="J2472" s="404">
        <v>9.18</v>
      </c>
      <c r="K2472" s="404">
        <v>9.18</v>
      </c>
      <c r="L2472" s="166"/>
    </row>
    <row r="2473" spans="1:12" ht="15" x14ac:dyDescent="0.3">
      <c r="A2473" s="400" t="s">
        <v>1038</v>
      </c>
      <c r="B2473" s="401" t="s">
        <v>6480</v>
      </c>
      <c r="C2473" s="400" t="s">
        <v>420</v>
      </c>
      <c r="D2473" s="400" t="s">
        <v>6481</v>
      </c>
      <c r="E2473" s="605" t="s">
        <v>1053</v>
      </c>
      <c r="F2473" s="605"/>
      <c r="G2473" s="402" t="s">
        <v>1070</v>
      </c>
      <c r="H2473" s="403">
        <v>0.12</v>
      </c>
      <c r="I2473" s="403">
        <v>0</v>
      </c>
      <c r="J2473" s="404">
        <v>20.45</v>
      </c>
      <c r="K2473" s="404">
        <v>2.4540000000000002</v>
      </c>
      <c r="L2473" s="166"/>
    </row>
    <row r="2474" spans="1:12" ht="14.25" customHeight="1" x14ac:dyDescent="0.3">
      <c r="A2474" s="400" t="s">
        <v>1038</v>
      </c>
      <c r="B2474" s="401" t="s">
        <v>6251</v>
      </c>
      <c r="C2474" s="400" t="s">
        <v>420</v>
      </c>
      <c r="D2474" s="400" t="s">
        <v>6252</v>
      </c>
      <c r="E2474" s="605" t="s">
        <v>1053</v>
      </c>
      <c r="F2474" s="605"/>
      <c r="G2474" s="402" t="s">
        <v>1070</v>
      </c>
      <c r="H2474" s="403">
        <v>0.12</v>
      </c>
      <c r="I2474" s="403">
        <v>0</v>
      </c>
      <c r="J2474" s="404">
        <v>15.59</v>
      </c>
      <c r="K2474" s="404">
        <v>1.8708</v>
      </c>
      <c r="L2474" s="166"/>
    </row>
    <row r="2475" spans="1:12" ht="25.5" customHeight="1" x14ac:dyDescent="0.3">
      <c r="A2475" s="405"/>
      <c r="B2475" s="405"/>
      <c r="C2475" s="405"/>
      <c r="D2475" s="405"/>
      <c r="E2475" s="405" t="s">
        <v>1046</v>
      </c>
      <c r="F2475" s="406">
        <v>4.32</v>
      </c>
      <c r="G2475" s="405" t="s">
        <v>1047</v>
      </c>
      <c r="H2475" s="406">
        <v>0</v>
      </c>
      <c r="I2475" s="405" t="s">
        <v>1048</v>
      </c>
      <c r="J2475" s="406">
        <v>4.32</v>
      </c>
      <c r="K2475"/>
      <c r="L2475" s="166"/>
    </row>
    <row r="2476" spans="1:12" ht="15" customHeight="1" thickBot="1" x14ac:dyDescent="0.35">
      <c r="A2476" s="405"/>
      <c r="B2476" s="405"/>
      <c r="C2476" s="405"/>
      <c r="D2476" s="405"/>
      <c r="E2476" s="405" t="s">
        <v>1049</v>
      </c>
      <c r="F2476" s="406">
        <v>0</v>
      </c>
      <c r="G2476" s="405"/>
      <c r="H2476" s="606"/>
      <c r="I2476" s="606" t="s">
        <v>1050</v>
      </c>
      <c r="J2476" s="406">
        <v>19.05</v>
      </c>
      <c r="K2476"/>
      <c r="L2476" s="168"/>
    </row>
    <row r="2477" spans="1:12" ht="25.5" customHeight="1" thickTop="1" x14ac:dyDescent="0.3">
      <c r="A2477" s="407"/>
      <c r="B2477" s="407"/>
      <c r="C2477" s="407"/>
      <c r="D2477" s="407"/>
      <c r="E2477" s="407"/>
      <c r="F2477" s="407"/>
      <c r="G2477" s="407"/>
      <c r="H2477" s="407"/>
      <c r="I2477" s="407"/>
      <c r="J2477" s="407"/>
      <c r="K2477" s="407"/>
      <c r="L2477" s="170"/>
    </row>
    <row r="2478" spans="1:12" ht="25.5" customHeight="1" x14ac:dyDescent="0.3">
      <c r="A2478" s="382" t="s">
        <v>1814</v>
      </c>
      <c r="B2478" s="312" t="s">
        <v>413</v>
      </c>
      <c r="C2478" s="382" t="s">
        <v>414</v>
      </c>
      <c r="D2478" s="382" t="s">
        <v>415</v>
      </c>
      <c r="E2478" s="586" t="s">
        <v>1029</v>
      </c>
      <c r="F2478" s="586"/>
      <c r="G2478" s="383" t="s">
        <v>416</v>
      </c>
      <c r="H2478" s="312" t="s">
        <v>1030</v>
      </c>
      <c r="I2478" s="312" t="s">
        <v>3016</v>
      </c>
      <c r="J2478" s="312" t="s">
        <v>1031</v>
      </c>
      <c r="K2478" s="312" t="s">
        <v>1032</v>
      </c>
      <c r="L2478" s="168"/>
    </row>
    <row r="2479" spans="1:12" ht="25.5" customHeight="1" x14ac:dyDescent="0.3">
      <c r="A2479" s="313" t="s">
        <v>1033</v>
      </c>
      <c r="B2479" s="315" t="s">
        <v>883</v>
      </c>
      <c r="C2479" s="313" t="s">
        <v>439</v>
      </c>
      <c r="D2479" s="313" t="s">
        <v>440</v>
      </c>
      <c r="E2479" s="603" t="s">
        <v>781</v>
      </c>
      <c r="F2479" s="603"/>
      <c r="G2479" s="314" t="s">
        <v>437</v>
      </c>
      <c r="H2479" s="399">
        <v>1</v>
      </c>
      <c r="I2479" s="316"/>
      <c r="J2479" s="316">
        <v>124.22</v>
      </c>
      <c r="K2479" s="316">
        <v>124.22</v>
      </c>
      <c r="L2479" s="168"/>
    </row>
    <row r="2480" spans="1:12" ht="25.5" customHeight="1" x14ac:dyDescent="0.3">
      <c r="A2480" s="408" t="s">
        <v>1034</v>
      </c>
      <c r="B2480" s="409" t="s">
        <v>1108</v>
      </c>
      <c r="C2480" s="408" t="s">
        <v>439</v>
      </c>
      <c r="D2480" s="408" t="s">
        <v>296</v>
      </c>
      <c r="E2480" s="604" t="s">
        <v>781</v>
      </c>
      <c r="F2480" s="604"/>
      <c r="G2480" s="410" t="s">
        <v>1109</v>
      </c>
      <c r="H2480" s="412">
        <v>1</v>
      </c>
      <c r="I2480" s="412">
        <v>0</v>
      </c>
      <c r="J2480" s="411">
        <v>27.9</v>
      </c>
      <c r="K2480" s="411">
        <v>27.9</v>
      </c>
      <c r="L2480" s="168"/>
    </row>
    <row r="2481" spans="1:12" ht="25.5" customHeight="1" x14ac:dyDescent="0.3">
      <c r="A2481" s="408" t="s">
        <v>1034</v>
      </c>
      <c r="B2481" s="409" t="s">
        <v>1110</v>
      </c>
      <c r="C2481" s="408" t="s">
        <v>439</v>
      </c>
      <c r="D2481" s="408" t="s">
        <v>135</v>
      </c>
      <c r="E2481" s="604" t="s">
        <v>781</v>
      </c>
      <c r="F2481" s="604"/>
      <c r="G2481" s="410" t="s">
        <v>1109</v>
      </c>
      <c r="H2481" s="412">
        <v>1</v>
      </c>
      <c r="I2481" s="412">
        <v>0</v>
      </c>
      <c r="J2481" s="411">
        <v>33.950000000000003</v>
      </c>
      <c r="K2481" s="411">
        <v>33.950000000000003</v>
      </c>
      <c r="L2481" s="166"/>
    </row>
    <row r="2482" spans="1:12" ht="25.5" customHeight="1" x14ac:dyDescent="0.3">
      <c r="A2482" s="400" t="s">
        <v>1038</v>
      </c>
      <c r="B2482" s="401" t="s">
        <v>6833</v>
      </c>
      <c r="C2482" s="400" t="s">
        <v>439</v>
      </c>
      <c r="D2482" s="400" t="s">
        <v>1111</v>
      </c>
      <c r="E2482" s="605" t="s">
        <v>1039</v>
      </c>
      <c r="F2482" s="605"/>
      <c r="G2482" s="402" t="s">
        <v>437</v>
      </c>
      <c r="H2482" s="403">
        <v>1.1000000000000001</v>
      </c>
      <c r="I2482" s="403">
        <v>0</v>
      </c>
      <c r="J2482" s="404">
        <v>56.7</v>
      </c>
      <c r="K2482" s="404">
        <v>62.37</v>
      </c>
      <c r="L2482" s="166"/>
    </row>
    <row r="2483" spans="1:12" ht="15" customHeight="1" x14ac:dyDescent="0.3">
      <c r="A2483" s="405"/>
      <c r="B2483" s="405"/>
      <c r="C2483" s="405"/>
      <c r="D2483" s="405"/>
      <c r="E2483" s="405" t="s">
        <v>1046</v>
      </c>
      <c r="F2483" s="406">
        <v>45.86</v>
      </c>
      <c r="G2483" s="405" t="s">
        <v>1047</v>
      </c>
      <c r="H2483" s="406">
        <v>0</v>
      </c>
      <c r="I2483" s="405" t="s">
        <v>1048</v>
      </c>
      <c r="J2483" s="406">
        <v>45.86</v>
      </c>
      <c r="K2483"/>
      <c r="L2483" s="168"/>
    </row>
    <row r="2484" spans="1:12" ht="14.25" customHeight="1" thickBot="1" x14ac:dyDescent="0.35">
      <c r="A2484" s="405"/>
      <c r="B2484" s="405"/>
      <c r="C2484" s="405"/>
      <c r="D2484" s="405"/>
      <c r="E2484" s="405" t="s">
        <v>1049</v>
      </c>
      <c r="F2484" s="406">
        <v>0</v>
      </c>
      <c r="G2484" s="405"/>
      <c r="H2484" s="606"/>
      <c r="I2484" s="606" t="s">
        <v>1050</v>
      </c>
      <c r="J2484" s="406">
        <v>124.22</v>
      </c>
      <c r="K2484"/>
      <c r="L2484" s="168"/>
    </row>
    <row r="2485" spans="1:12" ht="15" customHeight="1" thickTop="1" x14ac:dyDescent="0.3">
      <c r="A2485" s="407"/>
      <c r="B2485" s="407"/>
      <c r="C2485" s="407"/>
      <c r="D2485" s="407"/>
      <c r="E2485" s="407"/>
      <c r="F2485" s="407"/>
      <c r="G2485" s="407"/>
      <c r="H2485" s="407"/>
      <c r="I2485" s="407"/>
      <c r="J2485" s="407"/>
      <c r="K2485" s="407"/>
      <c r="L2485" s="168"/>
    </row>
    <row r="2486" spans="1:12" ht="15" x14ac:dyDescent="0.3">
      <c r="A2486" s="382" t="s">
        <v>970</v>
      </c>
      <c r="B2486" s="312" t="s">
        <v>413</v>
      </c>
      <c r="C2486" s="382" t="s">
        <v>414</v>
      </c>
      <c r="D2486" s="382" t="s">
        <v>415</v>
      </c>
      <c r="E2486" s="586" t="s">
        <v>1029</v>
      </c>
      <c r="F2486" s="586"/>
      <c r="G2486" s="383" t="s">
        <v>416</v>
      </c>
      <c r="H2486" s="312" t="s">
        <v>1030</v>
      </c>
      <c r="I2486" s="312" t="s">
        <v>3016</v>
      </c>
      <c r="J2486" s="312" t="s">
        <v>1031</v>
      </c>
      <c r="K2486" s="312" t="s">
        <v>1032</v>
      </c>
      <c r="L2486" s="168"/>
    </row>
    <row r="2487" spans="1:12" ht="39.6" x14ac:dyDescent="0.3">
      <c r="A2487" s="313" t="s">
        <v>1033</v>
      </c>
      <c r="B2487" s="315" t="s">
        <v>3845</v>
      </c>
      <c r="C2487" s="313" t="s">
        <v>395</v>
      </c>
      <c r="D2487" s="313" t="s">
        <v>23</v>
      </c>
      <c r="E2487" s="603" t="s">
        <v>1227</v>
      </c>
      <c r="F2487" s="603"/>
      <c r="G2487" s="314" t="s">
        <v>7</v>
      </c>
      <c r="H2487" s="399">
        <v>1</v>
      </c>
      <c r="I2487" s="316"/>
      <c r="J2487" s="316">
        <v>39.36</v>
      </c>
      <c r="K2487" s="316">
        <v>39.36</v>
      </c>
      <c r="L2487" s="166"/>
    </row>
    <row r="2488" spans="1:12" ht="25.5" customHeight="1" x14ac:dyDescent="0.3">
      <c r="A2488" s="408" t="s">
        <v>1034</v>
      </c>
      <c r="B2488" s="409" t="s">
        <v>5252</v>
      </c>
      <c r="C2488" s="408" t="s">
        <v>395</v>
      </c>
      <c r="D2488" s="408" t="s">
        <v>5253</v>
      </c>
      <c r="E2488" s="604" t="s">
        <v>1227</v>
      </c>
      <c r="F2488" s="604"/>
      <c r="G2488" s="410" t="s">
        <v>4</v>
      </c>
      <c r="H2488" s="412">
        <v>0.33329999999999999</v>
      </c>
      <c r="I2488" s="412">
        <v>0</v>
      </c>
      <c r="J2488" s="411">
        <v>15.62</v>
      </c>
      <c r="K2488" s="411">
        <v>5.2061460000000004</v>
      </c>
      <c r="L2488" s="168"/>
    </row>
    <row r="2489" spans="1:12" ht="25.5" customHeight="1" x14ac:dyDescent="0.3">
      <c r="A2489" s="408" t="s">
        <v>1034</v>
      </c>
      <c r="B2489" s="409" t="s">
        <v>5164</v>
      </c>
      <c r="C2489" s="408" t="s">
        <v>395</v>
      </c>
      <c r="D2489" s="408" t="s">
        <v>7804</v>
      </c>
      <c r="E2489" s="604" t="s">
        <v>7797</v>
      </c>
      <c r="F2489" s="604"/>
      <c r="G2489" s="410" t="s">
        <v>7</v>
      </c>
      <c r="H2489" s="412">
        <v>2</v>
      </c>
      <c r="I2489" s="412">
        <v>0</v>
      </c>
      <c r="J2489" s="411">
        <v>4.8499999999999996</v>
      </c>
      <c r="K2489" s="411">
        <v>9.6999999999999993</v>
      </c>
      <c r="L2489" s="168"/>
    </row>
    <row r="2490" spans="1:12" ht="17.399999999999999" customHeight="1" x14ac:dyDescent="0.3">
      <c r="A2490" s="408" t="s">
        <v>1034</v>
      </c>
      <c r="B2490" s="409" t="s">
        <v>1037</v>
      </c>
      <c r="C2490" s="408" t="s">
        <v>395</v>
      </c>
      <c r="D2490" s="408" t="s">
        <v>135</v>
      </c>
      <c r="E2490" s="604" t="s">
        <v>7768</v>
      </c>
      <c r="F2490" s="604"/>
      <c r="G2490" s="410" t="s">
        <v>6</v>
      </c>
      <c r="H2490" s="412">
        <v>0.19439999999999999</v>
      </c>
      <c r="I2490" s="412">
        <v>0</v>
      </c>
      <c r="J2490" s="411">
        <v>41.81</v>
      </c>
      <c r="K2490" s="411">
        <v>8.1278640000000006</v>
      </c>
      <c r="L2490" s="168"/>
    </row>
    <row r="2491" spans="1:12" ht="26.4" x14ac:dyDescent="0.3">
      <c r="A2491" s="408" t="s">
        <v>1034</v>
      </c>
      <c r="B2491" s="409" t="s">
        <v>1035</v>
      </c>
      <c r="C2491" s="408" t="s">
        <v>395</v>
      </c>
      <c r="D2491" s="408" t="s">
        <v>128</v>
      </c>
      <c r="E2491" s="604" t="s">
        <v>7768</v>
      </c>
      <c r="F2491" s="604"/>
      <c r="G2491" s="410" t="s">
        <v>6</v>
      </c>
      <c r="H2491" s="412">
        <v>0.19439999999999999</v>
      </c>
      <c r="I2491" s="412">
        <v>0</v>
      </c>
      <c r="J2491" s="411">
        <v>34.5</v>
      </c>
      <c r="K2491" s="411">
        <v>6.7068000000000003</v>
      </c>
      <c r="L2491" s="166"/>
    </row>
    <row r="2492" spans="1:12" ht="26.4" x14ac:dyDescent="0.3">
      <c r="A2492" s="400" t="s">
        <v>1038</v>
      </c>
      <c r="B2492" s="401" t="s">
        <v>4240</v>
      </c>
      <c r="C2492" s="400" t="s">
        <v>395</v>
      </c>
      <c r="D2492" s="400" t="s">
        <v>4241</v>
      </c>
      <c r="E2492" s="605" t="s">
        <v>1039</v>
      </c>
      <c r="F2492" s="605"/>
      <c r="G2492" s="402" t="s">
        <v>7</v>
      </c>
      <c r="H2492" s="403">
        <v>1.05</v>
      </c>
      <c r="I2492" s="403">
        <v>0</v>
      </c>
      <c r="J2492" s="404">
        <v>9.16</v>
      </c>
      <c r="K2492" s="404">
        <v>9.6180000000000003</v>
      </c>
      <c r="L2492" s="166"/>
    </row>
    <row r="2493" spans="1:12" ht="15" customHeight="1" x14ac:dyDescent="0.3">
      <c r="A2493" s="405"/>
      <c r="B2493" s="405"/>
      <c r="C2493" s="405"/>
      <c r="D2493" s="405"/>
      <c r="E2493" s="405" t="s">
        <v>1046</v>
      </c>
      <c r="F2493" s="406">
        <v>19.87</v>
      </c>
      <c r="G2493" s="405" t="s">
        <v>1047</v>
      </c>
      <c r="H2493" s="406">
        <v>0</v>
      </c>
      <c r="I2493" s="405" t="s">
        <v>1048</v>
      </c>
      <c r="J2493" s="406">
        <v>19.87</v>
      </c>
      <c r="K2493"/>
      <c r="L2493" s="168"/>
    </row>
    <row r="2494" spans="1:12" ht="15" customHeight="1" thickBot="1" x14ac:dyDescent="0.35">
      <c r="A2494" s="405"/>
      <c r="B2494" s="405"/>
      <c r="C2494" s="405"/>
      <c r="D2494" s="405"/>
      <c r="E2494" s="405" t="s">
        <v>1049</v>
      </c>
      <c r="F2494" s="406">
        <v>0</v>
      </c>
      <c r="G2494" s="405"/>
      <c r="H2494" s="606"/>
      <c r="I2494" s="606" t="s">
        <v>1050</v>
      </c>
      <c r="J2494" s="406">
        <v>39.36</v>
      </c>
      <c r="K2494"/>
      <c r="L2494" s="168"/>
    </row>
    <row r="2495" spans="1:12" ht="30" customHeight="1" thickTop="1" x14ac:dyDescent="0.3">
      <c r="A2495" s="407"/>
      <c r="B2495" s="407"/>
      <c r="C2495" s="407"/>
      <c r="D2495" s="407"/>
      <c r="E2495" s="407"/>
      <c r="F2495" s="407"/>
      <c r="G2495" s="407"/>
      <c r="H2495" s="407"/>
      <c r="I2495" s="407"/>
      <c r="J2495" s="407"/>
      <c r="K2495" s="407"/>
      <c r="L2495" s="168"/>
    </row>
    <row r="2496" spans="1:12" ht="15" x14ac:dyDescent="0.3">
      <c r="A2496" s="382" t="s">
        <v>969</v>
      </c>
      <c r="B2496" s="312" t="s">
        <v>413</v>
      </c>
      <c r="C2496" s="382" t="s">
        <v>414</v>
      </c>
      <c r="D2496" s="382" t="s">
        <v>415</v>
      </c>
      <c r="E2496" s="586" t="s">
        <v>1029</v>
      </c>
      <c r="F2496" s="586"/>
      <c r="G2496" s="383" t="s">
        <v>416</v>
      </c>
      <c r="H2496" s="312" t="s">
        <v>1030</v>
      </c>
      <c r="I2496" s="312" t="s">
        <v>3016</v>
      </c>
      <c r="J2496" s="312" t="s">
        <v>1031</v>
      </c>
      <c r="K2496" s="312" t="s">
        <v>1032</v>
      </c>
      <c r="L2496" s="166"/>
    </row>
    <row r="2497" spans="1:12" ht="39.6" x14ac:dyDescent="0.3">
      <c r="A2497" s="313" t="s">
        <v>1033</v>
      </c>
      <c r="B2497" s="315" t="s">
        <v>3846</v>
      </c>
      <c r="C2497" s="313" t="s">
        <v>395</v>
      </c>
      <c r="D2497" s="313" t="s">
        <v>5958</v>
      </c>
      <c r="E2497" s="603" t="s">
        <v>7783</v>
      </c>
      <c r="F2497" s="603"/>
      <c r="G2497" s="314" t="s">
        <v>7</v>
      </c>
      <c r="H2497" s="399">
        <v>1</v>
      </c>
      <c r="I2497" s="316"/>
      <c r="J2497" s="316">
        <v>23.91</v>
      </c>
      <c r="K2497" s="316">
        <v>23.91</v>
      </c>
      <c r="L2497" s="166"/>
    </row>
    <row r="2498" spans="1:12" ht="25.5" customHeight="1" x14ac:dyDescent="0.3">
      <c r="A2498" s="408" t="s">
        <v>1034</v>
      </c>
      <c r="B2498" s="409" t="s">
        <v>1035</v>
      </c>
      <c r="C2498" s="408" t="s">
        <v>395</v>
      </c>
      <c r="D2498" s="408" t="s">
        <v>128</v>
      </c>
      <c r="E2498" s="604" t="s">
        <v>7768</v>
      </c>
      <c r="F2498" s="604"/>
      <c r="G2498" s="410" t="s">
        <v>6</v>
      </c>
      <c r="H2498" s="412">
        <v>9.0999999999999998E-2</v>
      </c>
      <c r="I2498" s="412">
        <v>0</v>
      </c>
      <c r="J2498" s="411">
        <v>34.5</v>
      </c>
      <c r="K2498" s="411">
        <v>3.1395</v>
      </c>
      <c r="L2498" s="166"/>
    </row>
    <row r="2499" spans="1:12" ht="25.5" customHeight="1" x14ac:dyDescent="0.3">
      <c r="A2499" s="408" t="s">
        <v>1034</v>
      </c>
      <c r="B2499" s="409" t="s">
        <v>1037</v>
      </c>
      <c r="C2499" s="408" t="s">
        <v>395</v>
      </c>
      <c r="D2499" s="408" t="s">
        <v>135</v>
      </c>
      <c r="E2499" s="604" t="s">
        <v>7768</v>
      </c>
      <c r="F2499" s="604"/>
      <c r="G2499" s="410" t="s">
        <v>6</v>
      </c>
      <c r="H2499" s="412">
        <v>9.0999999999999998E-2</v>
      </c>
      <c r="I2499" s="412">
        <v>0</v>
      </c>
      <c r="J2499" s="411">
        <v>41.81</v>
      </c>
      <c r="K2499" s="411">
        <v>3.80471</v>
      </c>
      <c r="L2499" s="166"/>
    </row>
    <row r="2500" spans="1:12" ht="25.5" customHeight="1" x14ac:dyDescent="0.3">
      <c r="A2500" s="408" t="s">
        <v>1034</v>
      </c>
      <c r="B2500" s="409" t="s">
        <v>5160</v>
      </c>
      <c r="C2500" s="408" t="s">
        <v>395</v>
      </c>
      <c r="D2500" s="408" t="s">
        <v>7796</v>
      </c>
      <c r="E2500" s="604" t="s">
        <v>7797</v>
      </c>
      <c r="F2500" s="604"/>
      <c r="G2500" s="410" t="s">
        <v>7</v>
      </c>
      <c r="H2500" s="412">
        <v>1</v>
      </c>
      <c r="I2500" s="412">
        <v>0</v>
      </c>
      <c r="J2500" s="411">
        <v>12.98</v>
      </c>
      <c r="K2500" s="411">
        <v>12.98</v>
      </c>
      <c r="L2500" s="166"/>
    </row>
    <row r="2501" spans="1:12" ht="26.4" x14ac:dyDescent="0.3">
      <c r="A2501" s="400" t="s">
        <v>1038</v>
      </c>
      <c r="B2501" s="401" t="s">
        <v>4720</v>
      </c>
      <c r="C2501" s="400" t="s">
        <v>395</v>
      </c>
      <c r="D2501" s="400" t="s">
        <v>4721</v>
      </c>
      <c r="E2501" s="605" t="s">
        <v>1039</v>
      </c>
      <c r="F2501" s="605"/>
      <c r="G2501" s="402" t="s">
        <v>7</v>
      </c>
      <c r="H2501" s="403">
        <v>1.1000000000000001</v>
      </c>
      <c r="I2501" s="403">
        <v>0</v>
      </c>
      <c r="J2501" s="404">
        <v>3.62</v>
      </c>
      <c r="K2501" s="404">
        <v>3.9820000000000002</v>
      </c>
      <c r="L2501" s="166"/>
    </row>
    <row r="2502" spans="1:12" ht="14.25" customHeight="1" x14ac:dyDescent="0.3">
      <c r="A2502" s="405"/>
      <c r="B2502" s="405"/>
      <c r="C2502" s="405"/>
      <c r="D2502" s="405"/>
      <c r="E2502" s="405" t="s">
        <v>1046</v>
      </c>
      <c r="F2502" s="406">
        <v>12.67</v>
      </c>
      <c r="G2502" s="405" t="s">
        <v>1047</v>
      </c>
      <c r="H2502" s="406">
        <v>0</v>
      </c>
      <c r="I2502" s="405" t="s">
        <v>1048</v>
      </c>
      <c r="J2502" s="406">
        <v>12.67</v>
      </c>
      <c r="K2502"/>
      <c r="L2502" s="166"/>
    </row>
    <row r="2503" spans="1:12" ht="15" customHeight="1" thickBot="1" x14ac:dyDescent="0.35">
      <c r="A2503" s="405"/>
      <c r="B2503" s="405"/>
      <c r="C2503" s="405"/>
      <c r="D2503" s="405"/>
      <c r="E2503" s="405" t="s">
        <v>1049</v>
      </c>
      <c r="F2503" s="406">
        <v>0</v>
      </c>
      <c r="G2503" s="405"/>
      <c r="H2503" s="606"/>
      <c r="I2503" s="606" t="s">
        <v>1050</v>
      </c>
      <c r="J2503" s="406">
        <v>23.91</v>
      </c>
      <c r="K2503"/>
      <c r="L2503" s="168"/>
    </row>
    <row r="2504" spans="1:12" ht="15.6" thickTop="1" x14ac:dyDescent="0.3">
      <c r="A2504" s="407"/>
      <c r="B2504" s="407"/>
      <c r="C2504" s="407"/>
      <c r="D2504" s="407"/>
      <c r="E2504" s="407"/>
      <c r="F2504" s="407"/>
      <c r="G2504" s="407"/>
      <c r="H2504" s="407"/>
      <c r="I2504" s="407"/>
      <c r="J2504" s="407"/>
      <c r="K2504" s="407"/>
      <c r="L2504" s="170"/>
    </row>
    <row r="2505" spans="1:12" ht="15" x14ac:dyDescent="0.3">
      <c r="A2505" s="382" t="s">
        <v>975</v>
      </c>
      <c r="B2505" s="312" t="s">
        <v>413</v>
      </c>
      <c r="C2505" s="382" t="s">
        <v>414</v>
      </c>
      <c r="D2505" s="382" t="s">
        <v>415</v>
      </c>
      <c r="E2505" s="586" t="s">
        <v>1029</v>
      </c>
      <c r="F2505" s="586"/>
      <c r="G2505" s="383" t="s">
        <v>416</v>
      </c>
      <c r="H2505" s="312" t="s">
        <v>1030</v>
      </c>
      <c r="I2505" s="312" t="s">
        <v>3016</v>
      </c>
      <c r="J2505" s="312" t="s">
        <v>1031</v>
      </c>
      <c r="K2505" s="312" t="s">
        <v>1032</v>
      </c>
      <c r="L2505" s="168"/>
    </row>
    <row r="2506" spans="1:12" ht="25.5" customHeight="1" x14ac:dyDescent="0.3">
      <c r="A2506" s="313" t="s">
        <v>1033</v>
      </c>
      <c r="B2506" s="315" t="s">
        <v>935</v>
      </c>
      <c r="C2506" s="313" t="s">
        <v>5902</v>
      </c>
      <c r="D2506" s="313" t="s">
        <v>522</v>
      </c>
      <c r="E2506" s="603">
        <v>40.200000000000003</v>
      </c>
      <c r="F2506" s="603"/>
      <c r="G2506" s="314" t="s">
        <v>4</v>
      </c>
      <c r="H2506" s="399">
        <v>1</v>
      </c>
      <c r="I2506" s="316"/>
      <c r="J2506" s="316">
        <v>6</v>
      </c>
      <c r="K2506" s="316">
        <v>6</v>
      </c>
      <c r="L2506" s="168"/>
    </row>
    <row r="2507" spans="1:12" ht="25.5" customHeight="1" x14ac:dyDescent="0.3">
      <c r="A2507" s="400" t="s">
        <v>1038</v>
      </c>
      <c r="B2507" s="401" t="s">
        <v>1054</v>
      </c>
      <c r="C2507" s="400" t="s">
        <v>5902</v>
      </c>
      <c r="D2507" s="400" t="s">
        <v>1055</v>
      </c>
      <c r="E2507" s="605" t="s">
        <v>1053</v>
      </c>
      <c r="F2507" s="605"/>
      <c r="G2507" s="402" t="s">
        <v>6</v>
      </c>
      <c r="H2507" s="403">
        <v>0.08</v>
      </c>
      <c r="I2507" s="403">
        <v>0</v>
      </c>
      <c r="J2507" s="404">
        <v>22.71</v>
      </c>
      <c r="K2507" s="404">
        <v>1.8168</v>
      </c>
      <c r="L2507" s="168"/>
    </row>
    <row r="2508" spans="1:12" ht="25.5" customHeight="1" x14ac:dyDescent="0.3">
      <c r="A2508" s="400" t="s">
        <v>1038</v>
      </c>
      <c r="B2508" s="401" t="s">
        <v>1231</v>
      </c>
      <c r="C2508" s="400" t="s">
        <v>5902</v>
      </c>
      <c r="D2508" s="400" t="s">
        <v>1232</v>
      </c>
      <c r="E2508" s="605" t="s">
        <v>1039</v>
      </c>
      <c r="F2508" s="605"/>
      <c r="G2508" s="402" t="s">
        <v>4</v>
      </c>
      <c r="H2508" s="403">
        <v>1</v>
      </c>
      <c r="I2508" s="403">
        <v>0</v>
      </c>
      <c r="J2508" s="404">
        <v>4.18</v>
      </c>
      <c r="K2508" s="404">
        <v>4.18</v>
      </c>
      <c r="L2508" s="166"/>
    </row>
    <row r="2509" spans="1:12" ht="15" customHeight="1" x14ac:dyDescent="0.3">
      <c r="A2509" s="405"/>
      <c r="B2509" s="405"/>
      <c r="C2509" s="405"/>
      <c r="D2509" s="405"/>
      <c r="E2509" s="405" t="s">
        <v>1046</v>
      </c>
      <c r="F2509" s="406">
        <v>1.82</v>
      </c>
      <c r="G2509" s="405" t="s">
        <v>1047</v>
      </c>
      <c r="H2509" s="406">
        <v>0</v>
      </c>
      <c r="I2509" s="405" t="s">
        <v>1048</v>
      </c>
      <c r="J2509" s="406">
        <v>1.82</v>
      </c>
      <c r="K2509"/>
      <c r="L2509" s="166"/>
    </row>
    <row r="2510" spans="1:12" ht="15.6" thickBot="1" x14ac:dyDescent="0.35">
      <c r="A2510" s="405"/>
      <c r="B2510" s="405"/>
      <c r="C2510" s="405"/>
      <c r="D2510" s="405"/>
      <c r="E2510" s="405" t="s">
        <v>1049</v>
      </c>
      <c r="F2510" s="406">
        <v>0</v>
      </c>
      <c r="G2510" s="405"/>
      <c r="H2510" s="606"/>
      <c r="I2510" s="606" t="s">
        <v>1050</v>
      </c>
      <c r="J2510" s="406">
        <v>6</v>
      </c>
      <c r="K2510"/>
      <c r="L2510" s="168"/>
    </row>
    <row r="2511" spans="1:12" ht="14.25" customHeight="1" thickTop="1" x14ac:dyDescent="0.3">
      <c r="A2511" s="407"/>
      <c r="B2511" s="407"/>
      <c r="C2511" s="407"/>
      <c r="D2511" s="407"/>
      <c r="E2511" s="407"/>
      <c r="F2511" s="407"/>
      <c r="G2511" s="407"/>
      <c r="H2511" s="407"/>
      <c r="I2511" s="407"/>
      <c r="J2511" s="407"/>
      <c r="K2511" s="407"/>
      <c r="L2511" s="168"/>
    </row>
    <row r="2512" spans="1:12" ht="15" customHeight="1" x14ac:dyDescent="0.3">
      <c r="A2512" s="382" t="s">
        <v>973</v>
      </c>
      <c r="B2512" s="312" t="s">
        <v>413</v>
      </c>
      <c r="C2512" s="382" t="s">
        <v>414</v>
      </c>
      <c r="D2512" s="382" t="s">
        <v>415</v>
      </c>
      <c r="E2512" s="586" t="s">
        <v>1029</v>
      </c>
      <c r="F2512" s="586"/>
      <c r="G2512" s="383" t="s">
        <v>416</v>
      </c>
      <c r="H2512" s="312" t="s">
        <v>1030</v>
      </c>
      <c r="I2512" s="312" t="s">
        <v>3016</v>
      </c>
      <c r="J2512" s="312" t="s">
        <v>1031</v>
      </c>
      <c r="K2512" s="312" t="s">
        <v>1032</v>
      </c>
      <c r="L2512" s="168"/>
    </row>
    <row r="2513" spans="1:12" ht="15" customHeight="1" x14ac:dyDescent="0.3">
      <c r="A2513" s="313" t="s">
        <v>1033</v>
      </c>
      <c r="B2513" s="315" t="s">
        <v>2164</v>
      </c>
      <c r="C2513" s="313" t="s">
        <v>5902</v>
      </c>
      <c r="D2513" s="313" t="s">
        <v>5959</v>
      </c>
      <c r="E2513" s="603">
        <v>38.04</v>
      </c>
      <c r="F2513" s="603"/>
      <c r="G2513" s="314" t="s">
        <v>7</v>
      </c>
      <c r="H2513" s="399">
        <v>1</v>
      </c>
      <c r="I2513" s="316"/>
      <c r="J2513" s="316">
        <v>57.34</v>
      </c>
      <c r="K2513" s="316">
        <v>57.34</v>
      </c>
      <c r="L2513" s="168"/>
    </row>
    <row r="2514" spans="1:12" ht="17.399999999999999" customHeight="1" x14ac:dyDescent="0.3">
      <c r="A2514" s="400" t="s">
        <v>1038</v>
      </c>
      <c r="B2514" s="401" t="s">
        <v>1051</v>
      </c>
      <c r="C2514" s="400" t="s">
        <v>5902</v>
      </c>
      <c r="D2514" s="400" t="s">
        <v>1052</v>
      </c>
      <c r="E2514" s="605" t="s">
        <v>1053</v>
      </c>
      <c r="F2514" s="605"/>
      <c r="G2514" s="402" t="s">
        <v>6</v>
      </c>
      <c r="H2514" s="403">
        <v>0.7</v>
      </c>
      <c r="I2514" s="403">
        <v>0</v>
      </c>
      <c r="J2514" s="404">
        <v>33.119999999999997</v>
      </c>
      <c r="K2514" s="404">
        <v>23.184000000000001</v>
      </c>
      <c r="L2514" s="166"/>
    </row>
    <row r="2515" spans="1:12" ht="25.5" customHeight="1" x14ac:dyDescent="0.3">
      <c r="A2515" s="400" t="s">
        <v>1038</v>
      </c>
      <c r="B2515" s="401" t="s">
        <v>1054</v>
      </c>
      <c r="C2515" s="400" t="s">
        <v>5902</v>
      </c>
      <c r="D2515" s="400" t="s">
        <v>1055</v>
      </c>
      <c r="E2515" s="605" t="s">
        <v>1053</v>
      </c>
      <c r="F2515" s="605"/>
      <c r="G2515" s="402" t="s">
        <v>6</v>
      </c>
      <c r="H2515" s="403">
        <v>0.7</v>
      </c>
      <c r="I2515" s="403">
        <v>0</v>
      </c>
      <c r="J2515" s="404">
        <v>22.71</v>
      </c>
      <c r="K2515" s="404">
        <v>15.897</v>
      </c>
      <c r="L2515" s="168"/>
    </row>
    <row r="2516" spans="1:12" ht="25.5" customHeight="1" x14ac:dyDescent="0.3">
      <c r="A2516" s="400" t="s">
        <v>1038</v>
      </c>
      <c r="B2516" s="401" t="s">
        <v>2457</v>
      </c>
      <c r="C2516" s="400" t="s">
        <v>5902</v>
      </c>
      <c r="D2516" s="400" t="s">
        <v>2458</v>
      </c>
      <c r="E2516" s="605" t="s">
        <v>1039</v>
      </c>
      <c r="F2516" s="605"/>
      <c r="G2516" s="402" t="s">
        <v>7</v>
      </c>
      <c r="H2516" s="403">
        <v>1.05</v>
      </c>
      <c r="I2516" s="403">
        <v>0</v>
      </c>
      <c r="J2516" s="404">
        <v>17.39</v>
      </c>
      <c r="K2516" s="404">
        <v>18.259499999999999</v>
      </c>
      <c r="L2516" s="168"/>
    </row>
    <row r="2517" spans="1:12" ht="25.5" customHeight="1" x14ac:dyDescent="0.3">
      <c r="A2517" s="405"/>
      <c r="B2517" s="405"/>
      <c r="C2517" s="405"/>
      <c r="D2517" s="405"/>
      <c r="E2517" s="405" t="s">
        <v>1046</v>
      </c>
      <c r="F2517" s="406">
        <v>39.08</v>
      </c>
      <c r="G2517" s="405" t="s">
        <v>1047</v>
      </c>
      <c r="H2517" s="406">
        <v>0</v>
      </c>
      <c r="I2517" s="405" t="s">
        <v>1048</v>
      </c>
      <c r="J2517" s="406">
        <v>39.08</v>
      </c>
      <c r="K2517"/>
      <c r="L2517" s="168"/>
    </row>
    <row r="2518" spans="1:12" ht="25.5" customHeight="1" thickBot="1" x14ac:dyDescent="0.35">
      <c r="A2518" s="405"/>
      <c r="B2518" s="405"/>
      <c r="C2518" s="405"/>
      <c r="D2518" s="405"/>
      <c r="E2518" s="405" t="s">
        <v>1049</v>
      </c>
      <c r="F2518" s="406">
        <v>0</v>
      </c>
      <c r="G2518" s="405"/>
      <c r="H2518" s="606"/>
      <c r="I2518" s="606" t="s">
        <v>1050</v>
      </c>
      <c r="J2518" s="406">
        <v>57.34</v>
      </c>
      <c r="K2518"/>
      <c r="L2518" s="166"/>
    </row>
    <row r="2519" spans="1:12" ht="25.5" customHeight="1" thickTop="1" x14ac:dyDescent="0.3">
      <c r="A2519" s="407"/>
      <c r="B2519" s="407"/>
      <c r="C2519" s="407"/>
      <c r="D2519" s="407"/>
      <c r="E2519" s="407"/>
      <c r="F2519" s="407"/>
      <c r="G2519" s="407"/>
      <c r="H2519" s="407"/>
      <c r="I2519" s="407"/>
      <c r="J2519" s="407"/>
      <c r="K2519" s="407"/>
      <c r="L2519" s="166"/>
    </row>
    <row r="2520" spans="1:12" ht="14.25" customHeight="1" x14ac:dyDescent="0.3">
      <c r="A2520" s="382" t="s">
        <v>1846</v>
      </c>
      <c r="B2520" s="312" t="s">
        <v>413</v>
      </c>
      <c r="C2520" s="382" t="s">
        <v>414</v>
      </c>
      <c r="D2520" s="382" t="s">
        <v>415</v>
      </c>
      <c r="E2520" s="586" t="s">
        <v>1029</v>
      </c>
      <c r="F2520" s="586"/>
      <c r="G2520" s="383" t="s">
        <v>416</v>
      </c>
      <c r="H2520" s="312" t="s">
        <v>1030</v>
      </c>
      <c r="I2520" s="312" t="s">
        <v>3016</v>
      </c>
      <c r="J2520" s="312" t="s">
        <v>1031</v>
      </c>
      <c r="K2520" s="312" t="s">
        <v>1032</v>
      </c>
      <c r="L2520" s="168"/>
    </row>
    <row r="2521" spans="1:12" ht="15" customHeight="1" x14ac:dyDescent="0.3">
      <c r="A2521" s="313" t="s">
        <v>1033</v>
      </c>
      <c r="B2521" s="315" t="s">
        <v>3847</v>
      </c>
      <c r="C2521" s="313" t="s">
        <v>395</v>
      </c>
      <c r="D2521" s="313" t="s">
        <v>5960</v>
      </c>
      <c r="E2521" s="603" t="s">
        <v>7786</v>
      </c>
      <c r="F2521" s="603"/>
      <c r="G2521" s="314" t="s">
        <v>4</v>
      </c>
      <c r="H2521" s="399">
        <v>1</v>
      </c>
      <c r="I2521" s="316"/>
      <c r="J2521" s="316">
        <v>38.31</v>
      </c>
      <c r="K2521" s="316">
        <v>38.31</v>
      </c>
      <c r="L2521" s="168"/>
    </row>
    <row r="2522" spans="1:12" ht="25.5" customHeight="1" x14ac:dyDescent="0.3">
      <c r="A2522" s="408" t="s">
        <v>1034</v>
      </c>
      <c r="B2522" s="409" t="s">
        <v>1035</v>
      </c>
      <c r="C2522" s="408" t="s">
        <v>395</v>
      </c>
      <c r="D2522" s="408" t="s">
        <v>128</v>
      </c>
      <c r="E2522" s="604" t="s">
        <v>7768</v>
      </c>
      <c r="F2522" s="604"/>
      <c r="G2522" s="410" t="s">
        <v>6</v>
      </c>
      <c r="H2522" s="412">
        <v>0.16997780000000001</v>
      </c>
      <c r="I2522" s="412">
        <v>0</v>
      </c>
      <c r="J2522" s="411">
        <v>34.5</v>
      </c>
      <c r="K2522" s="411">
        <v>5.8642341</v>
      </c>
      <c r="L2522" s="168"/>
    </row>
    <row r="2523" spans="1:12" ht="26.4" x14ac:dyDescent="0.3">
      <c r="A2523" s="408" t="s">
        <v>1034</v>
      </c>
      <c r="B2523" s="409" t="s">
        <v>1037</v>
      </c>
      <c r="C2523" s="408" t="s">
        <v>395</v>
      </c>
      <c r="D2523" s="408" t="s">
        <v>135</v>
      </c>
      <c r="E2523" s="604" t="s">
        <v>7768</v>
      </c>
      <c r="F2523" s="604"/>
      <c r="G2523" s="410" t="s">
        <v>6</v>
      </c>
      <c r="H2523" s="412">
        <v>0.33995550000000002</v>
      </c>
      <c r="I2523" s="412">
        <v>0</v>
      </c>
      <c r="J2523" s="411">
        <v>41.81</v>
      </c>
      <c r="K2523" s="411">
        <v>14.2135395</v>
      </c>
      <c r="L2523" s="166"/>
    </row>
    <row r="2524" spans="1:12" ht="17.399999999999999" customHeight="1" x14ac:dyDescent="0.3">
      <c r="A2524" s="400" t="s">
        <v>1038</v>
      </c>
      <c r="B2524" s="401" t="s">
        <v>4525</v>
      </c>
      <c r="C2524" s="400" t="s">
        <v>395</v>
      </c>
      <c r="D2524" s="400" t="s">
        <v>4526</v>
      </c>
      <c r="E2524" s="605" t="s">
        <v>1039</v>
      </c>
      <c r="F2524" s="605"/>
      <c r="G2524" s="402" t="s">
        <v>4</v>
      </c>
      <c r="H2524" s="403">
        <v>1</v>
      </c>
      <c r="I2524" s="403">
        <v>0</v>
      </c>
      <c r="J2524" s="404">
        <v>17.829999999999998</v>
      </c>
      <c r="K2524" s="404">
        <v>17.829999999999998</v>
      </c>
      <c r="L2524" s="166"/>
    </row>
    <row r="2525" spans="1:12" ht="26.4" x14ac:dyDescent="0.3">
      <c r="A2525" s="400" t="s">
        <v>1038</v>
      </c>
      <c r="B2525" s="401" t="s">
        <v>2289</v>
      </c>
      <c r="C2525" s="400" t="s">
        <v>395</v>
      </c>
      <c r="D2525" s="400" t="s">
        <v>242</v>
      </c>
      <c r="E2525" s="605" t="s">
        <v>1039</v>
      </c>
      <c r="F2525" s="605"/>
      <c r="G2525" s="402" t="s">
        <v>4</v>
      </c>
      <c r="H2525" s="403">
        <v>2</v>
      </c>
      <c r="I2525" s="403">
        <v>0</v>
      </c>
      <c r="J2525" s="404">
        <v>0.2</v>
      </c>
      <c r="K2525" s="404">
        <v>0.4</v>
      </c>
      <c r="L2525" s="166"/>
    </row>
    <row r="2526" spans="1:12" ht="25.5" customHeight="1" x14ac:dyDescent="0.3">
      <c r="A2526" s="405"/>
      <c r="B2526" s="405"/>
      <c r="C2526" s="405"/>
      <c r="D2526" s="405"/>
      <c r="E2526" s="405" t="s">
        <v>1046</v>
      </c>
      <c r="F2526" s="406">
        <v>14.82</v>
      </c>
      <c r="G2526" s="405" t="s">
        <v>1047</v>
      </c>
      <c r="H2526" s="406">
        <v>0</v>
      </c>
      <c r="I2526" s="405" t="s">
        <v>1048</v>
      </c>
      <c r="J2526" s="406">
        <v>14.82</v>
      </c>
      <c r="K2526"/>
      <c r="L2526" s="166"/>
    </row>
    <row r="2527" spans="1:12" ht="25.5" customHeight="1" thickBot="1" x14ac:dyDescent="0.35">
      <c r="A2527" s="405"/>
      <c r="B2527" s="405"/>
      <c r="C2527" s="405"/>
      <c r="D2527" s="405"/>
      <c r="E2527" s="405" t="s">
        <v>1049</v>
      </c>
      <c r="F2527" s="406">
        <v>0</v>
      </c>
      <c r="G2527" s="405"/>
      <c r="H2527" s="606"/>
      <c r="I2527" s="606" t="s">
        <v>1050</v>
      </c>
      <c r="J2527" s="406">
        <v>38.31</v>
      </c>
      <c r="K2527"/>
      <c r="L2527" s="166"/>
    </row>
    <row r="2528" spans="1:12" ht="15.6" thickTop="1" x14ac:dyDescent="0.3">
      <c r="A2528" s="407"/>
      <c r="B2528" s="407"/>
      <c r="C2528" s="407"/>
      <c r="D2528" s="407"/>
      <c r="E2528" s="407"/>
      <c r="F2528" s="407"/>
      <c r="G2528" s="407"/>
      <c r="H2528" s="407"/>
      <c r="I2528" s="407"/>
      <c r="J2528" s="407"/>
      <c r="K2528" s="407"/>
      <c r="L2528" s="166"/>
    </row>
    <row r="2529" spans="1:12" ht="14.25" customHeight="1" x14ac:dyDescent="0.3">
      <c r="A2529" s="382" t="s">
        <v>990</v>
      </c>
      <c r="B2529" s="312" t="s">
        <v>413</v>
      </c>
      <c r="C2529" s="382" t="s">
        <v>414</v>
      </c>
      <c r="D2529" s="382" t="s">
        <v>415</v>
      </c>
      <c r="E2529" s="586" t="s">
        <v>1029</v>
      </c>
      <c r="F2529" s="586"/>
      <c r="G2529" s="383" t="s">
        <v>416</v>
      </c>
      <c r="H2529" s="312" t="s">
        <v>1030</v>
      </c>
      <c r="I2529" s="312" t="s">
        <v>3016</v>
      </c>
      <c r="J2529" s="312" t="s">
        <v>1031</v>
      </c>
      <c r="K2529" s="312" t="s">
        <v>1032</v>
      </c>
      <c r="L2529" s="166"/>
    </row>
    <row r="2530" spans="1:12" ht="15" customHeight="1" x14ac:dyDescent="0.3">
      <c r="A2530" s="313" t="s">
        <v>1033</v>
      </c>
      <c r="B2530" s="315" t="s">
        <v>2140</v>
      </c>
      <c r="C2530" s="313" t="s">
        <v>575</v>
      </c>
      <c r="D2530" s="313" t="s">
        <v>1825</v>
      </c>
      <c r="E2530" s="603" t="s">
        <v>1227</v>
      </c>
      <c r="F2530" s="603"/>
      <c r="G2530" s="314" t="s">
        <v>4</v>
      </c>
      <c r="H2530" s="399">
        <v>1</v>
      </c>
      <c r="I2530" s="316"/>
      <c r="J2530" s="316">
        <v>110.31</v>
      </c>
      <c r="K2530" s="316">
        <v>110.31</v>
      </c>
      <c r="L2530" s="168"/>
    </row>
    <row r="2531" spans="1:12" ht="26.4" x14ac:dyDescent="0.3">
      <c r="A2531" s="408" t="s">
        <v>1034</v>
      </c>
      <c r="B2531" s="409" t="s">
        <v>1037</v>
      </c>
      <c r="C2531" s="408" t="s">
        <v>395</v>
      </c>
      <c r="D2531" s="408" t="s">
        <v>135</v>
      </c>
      <c r="E2531" s="604" t="s">
        <v>7768</v>
      </c>
      <c r="F2531" s="604"/>
      <c r="G2531" s="410" t="s">
        <v>6</v>
      </c>
      <c r="H2531" s="412">
        <v>0.49299999999999999</v>
      </c>
      <c r="I2531" s="412">
        <v>0</v>
      </c>
      <c r="J2531" s="411">
        <v>41.81</v>
      </c>
      <c r="K2531" s="411">
        <v>20.61233</v>
      </c>
      <c r="L2531" s="170"/>
    </row>
    <row r="2532" spans="1:12" ht="15" customHeight="1" x14ac:dyDescent="0.3">
      <c r="A2532" s="400" t="s">
        <v>1038</v>
      </c>
      <c r="B2532" s="401" t="s">
        <v>2404</v>
      </c>
      <c r="C2532" s="400" t="s">
        <v>575</v>
      </c>
      <c r="D2532" s="400" t="s">
        <v>2405</v>
      </c>
      <c r="E2532" s="605" t="s">
        <v>1039</v>
      </c>
      <c r="F2532" s="605"/>
      <c r="G2532" s="402" t="s">
        <v>7</v>
      </c>
      <c r="H2532" s="403">
        <v>1</v>
      </c>
      <c r="I2532" s="403">
        <v>0</v>
      </c>
      <c r="J2532" s="404">
        <v>89.7</v>
      </c>
      <c r="K2532" s="404">
        <v>89.7</v>
      </c>
      <c r="L2532" s="168"/>
    </row>
    <row r="2533" spans="1:12" ht="15" customHeight="1" x14ac:dyDescent="0.3">
      <c r="A2533" s="405"/>
      <c r="B2533" s="405"/>
      <c r="C2533" s="405"/>
      <c r="D2533" s="405"/>
      <c r="E2533" s="405" t="s">
        <v>1046</v>
      </c>
      <c r="F2533" s="406">
        <v>15.52</v>
      </c>
      <c r="G2533" s="405" t="s">
        <v>1047</v>
      </c>
      <c r="H2533" s="406">
        <v>0</v>
      </c>
      <c r="I2533" s="405" t="s">
        <v>1048</v>
      </c>
      <c r="J2533" s="406">
        <v>15.52</v>
      </c>
      <c r="K2533"/>
      <c r="L2533" s="168"/>
    </row>
    <row r="2534" spans="1:12" ht="15.6" thickBot="1" x14ac:dyDescent="0.35">
      <c r="A2534" s="405"/>
      <c r="B2534" s="405"/>
      <c r="C2534" s="405"/>
      <c r="D2534" s="405"/>
      <c r="E2534" s="405" t="s">
        <v>1049</v>
      </c>
      <c r="F2534" s="406">
        <v>0</v>
      </c>
      <c r="G2534" s="405"/>
      <c r="H2534" s="606"/>
      <c r="I2534" s="606" t="s">
        <v>1050</v>
      </c>
      <c r="J2534" s="406">
        <v>110.31</v>
      </c>
      <c r="K2534"/>
      <c r="L2534" s="168"/>
    </row>
    <row r="2535" spans="1:12" ht="25.5" customHeight="1" thickTop="1" x14ac:dyDescent="0.3">
      <c r="A2535" s="407"/>
      <c r="B2535" s="407"/>
      <c r="C2535" s="407"/>
      <c r="D2535" s="407"/>
      <c r="E2535" s="407"/>
      <c r="F2535" s="407"/>
      <c r="G2535" s="407"/>
      <c r="H2535" s="407"/>
      <c r="I2535" s="407"/>
      <c r="J2535" s="407"/>
      <c r="K2535" s="407"/>
      <c r="L2535" s="166"/>
    </row>
    <row r="2536" spans="1:12" ht="25.5" customHeight="1" x14ac:dyDescent="0.3">
      <c r="A2536" s="382" t="s">
        <v>1847</v>
      </c>
      <c r="B2536" s="312" t="s">
        <v>413</v>
      </c>
      <c r="C2536" s="382" t="s">
        <v>414</v>
      </c>
      <c r="D2536" s="382" t="s">
        <v>415</v>
      </c>
      <c r="E2536" s="586" t="s">
        <v>1029</v>
      </c>
      <c r="F2536" s="586"/>
      <c r="G2536" s="383" t="s">
        <v>416</v>
      </c>
      <c r="H2536" s="312" t="s">
        <v>1030</v>
      </c>
      <c r="I2536" s="312" t="s">
        <v>3016</v>
      </c>
      <c r="J2536" s="312" t="s">
        <v>1031</v>
      </c>
      <c r="K2536" s="312" t="s">
        <v>1032</v>
      </c>
      <c r="L2536" s="166"/>
    </row>
    <row r="2537" spans="1:12" ht="30" customHeight="1" x14ac:dyDescent="0.3">
      <c r="A2537" s="313" t="s">
        <v>1033</v>
      </c>
      <c r="B2537" s="315" t="s">
        <v>886</v>
      </c>
      <c r="C2537" s="313" t="s">
        <v>420</v>
      </c>
      <c r="D2537" s="313" t="s">
        <v>443</v>
      </c>
      <c r="E2537" s="603" t="s">
        <v>1107</v>
      </c>
      <c r="F2537" s="603"/>
      <c r="G2537" s="314" t="s">
        <v>422</v>
      </c>
      <c r="H2537" s="399">
        <v>1</v>
      </c>
      <c r="I2537" s="316"/>
      <c r="J2537" s="316">
        <v>71.209999999999994</v>
      </c>
      <c r="K2537" s="316">
        <v>71.209999999999994</v>
      </c>
      <c r="L2537" s="168"/>
    </row>
    <row r="2538" spans="1:12" ht="26.4" x14ac:dyDescent="0.3">
      <c r="A2538" s="408" t="s">
        <v>1034</v>
      </c>
      <c r="B2538" s="409" t="s">
        <v>1071</v>
      </c>
      <c r="C2538" s="408" t="s">
        <v>420</v>
      </c>
      <c r="D2538" s="408" t="s">
        <v>1072</v>
      </c>
      <c r="E2538" s="604" t="s">
        <v>1069</v>
      </c>
      <c r="F2538" s="604"/>
      <c r="G2538" s="410" t="s">
        <v>1070</v>
      </c>
      <c r="H2538" s="412">
        <v>0.37</v>
      </c>
      <c r="I2538" s="412">
        <v>0</v>
      </c>
      <c r="J2538" s="411">
        <v>3.95</v>
      </c>
      <c r="K2538" s="411">
        <v>1.4615</v>
      </c>
      <c r="L2538" s="168"/>
    </row>
    <row r="2539" spans="1:12" ht="15" customHeight="1" x14ac:dyDescent="0.3">
      <c r="A2539" s="408" t="s">
        <v>1034</v>
      </c>
      <c r="B2539" s="409" t="s">
        <v>1067</v>
      </c>
      <c r="C2539" s="408" t="s">
        <v>420</v>
      </c>
      <c r="D2539" s="408" t="s">
        <v>1068</v>
      </c>
      <c r="E2539" s="604" t="s">
        <v>1069</v>
      </c>
      <c r="F2539" s="604"/>
      <c r="G2539" s="410" t="s">
        <v>1070</v>
      </c>
      <c r="H2539" s="412">
        <v>0.37</v>
      </c>
      <c r="I2539" s="412">
        <v>0</v>
      </c>
      <c r="J2539" s="411">
        <v>3.82</v>
      </c>
      <c r="K2539" s="411">
        <v>1.4134</v>
      </c>
      <c r="L2539" s="168"/>
    </row>
    <row r="2540" spans="1:12" ht="26.4" x14ac:dyDescent="0.3">
      <c r="A2540" s="400" t="s">
        <v>1038</v>
      </c>
      <c r="B2540" s="401" t="s">
        <v>1118</v>
      </c>
      <c r="C2540" s="400" t="s">
        <v>420</v>
      </c>
      <c r="D2540" s="400" t="s">
        <v>1119</v>
      </c>
      <c r="E2540" s="605" t="s">
        <v>1039</v>
      </c>
      <c r="F2540" s="605"/>
      <c r="G2540" s="402" t="s">
        <v>422</v>
      </c>
      <c r="H2540" s="403">
        <v>1</v>
      </c>
      <c r="I2540" s="403">
        <v>0</v>
      </c>
      <c r="J2540" s="404">
        <v>55</v>
      </c>
      <c r="K2540" s="404">
        <v>55</v>
      </c>
      <c r="L2540" s="168"/>
    </row>
    <row r="2541" spans="1:12" ht="14.25" customHeight="1" x14ac:dyDescent="0.3">
      <c r="A2541" s="400" t="s">
        <v>1038</v>
      </c>
      <c r="B2541" s="401" t="s">
        <v>6199</v>
      </c>
      <c r="C2541" s="400" t="s">
        <v>420</v>
      </c>
      <c r="D2541" s="400" t="s">
        <v>6200</v>
      </c>
      <c r="E2541" s="605" t="s">
        <v>1053</v>
      </c>
      <c r="F2541" s="605"/>
      <c r="G2541" s="402" t="s">
        <v>1070</v>
      </c>
      <c r="H2541" s="403">
        <v>0.37</v>
      </c>
      <c r="I2541" s="403">
        <v>0</v>
      </c>
      <c r="J2541" s="404">
        <v>20.45</v>
      </c>
      <c r="K2541" s="404">
        <v>7.5664999999999996</v>
      </c>
      <c r="L2541" s="166"/>
    </row>
    <row r="2542" spans="1:12" ht="15" x14ac:dyDescent="0.3">
      <c r="A2542" s="400" t="s">
        <v>1038</v>
      </c>
      <c r="B2542" s="401" t="s">
        <v>6251</v>
      </c>
      <c r="C2542" s="400" t="s">
        <v>420</v>
      </c>
      <c r="D2542" s="400" t="s">
        <v>6252</v>
      </c>
      <c r="E2542" s="605" t="s">
        <v>1053</v>
      </c>
      <c r="F2542" s="605"/>
      <c r="G2542" s="402" t="s">
        <v>1070</v>
      </c>
      <c r="H2542" s="403">
        <v>0.37</v>
      </c>
      <c r="I2542" s="403">
        <v>0</v>
      </c>
      <c r="J2542" s="404">
        <v>15.59</v>
      </c>
      <c r="K2542" s="404">
        <v>5.7683</v>
      </c>
      <c r="L2542" s="168"/>
    </row>
    <row r="2543" spans="1:12" ht="15" customHeight="1" x14ac:dyDescent="0.3">
      <c r="A2543" s="405"/>
      <c r="B2543" s="405"/>
      <c r="C2543" s="405"/>
      <c r="D2543" s="405"/>
      <c r="E2543" s="405" t="s">
        <v>1046</v>
      </c>
      <c r="F2543" s="406">
        <v>13.34</v>
      </c>
      <c r="G2543" s="405" t="s">
        <v>1047</v>
      </c>
      <c r="H2543" s="406">
        <v>0</v>
      </c>
      <c r="I2543" s="405" t="s">
        <v>1048</v>
      </c>
      <c r="J2543" s="406">
        <v>13.34</v>
      </c>
      <c r="K2543"/>
      <c r="L2543" s="168"/>
    </row>
    <row r="2544" spans="1:12" ht="25.5" customHeight="1" thickBot="1" x14ac:dyDescent="0.35">
      <c r="A2544" s="405"/>
      <c r="B2544" s="405"/>
      <c r="C2544" s="405"/>
      <c r="D2544" s="405"/>
      <c r="E2544" s="405" t="s">
        <v>1049</v>
      </c>
      <c r="F2544" s="406">
        <v>0</v>
      </c>
      <c r="G2544" s="405"/>
      <c r="H2544" s="606"/>
      <c r="I2544" s="606" t="s">
        <v>1050</v>
      </c>
      <c r="J2544" s="406">
        <v>71.209999999999994</v>
      </c>
      <c r="K2544"/>
      <c r="L2544" s="168"/>
    </row>
    <row r="2545" spans="1:12" ht="25.5" customHeight="1" thickTop="1" x14ac:dyDescent="0.3">
      <c r="A2545" s="407"/>
      <c r="B2545" s="407"/>
      <c r="C2545" s="407"/>
      <c r="D2545" s="407"/>
      <c r="E2545" s="407"/>
      <c r="F2545" s="407"/>
      <c r="G2545" s="407"/>
      <c r="H2545" s="407"/>
      <c r="I2545" s="407"/>
      <c r="J2545" s="407"/>
      <c r="K2545" s="407"/>
      <c r="L2545" s="166"/>
    </row>
    <row r="2546" spans="1:12" ht="38.25" customHeight="1" x14ac:dyDescent="0.3">
      <c r="A2546" s="382" t="s">
        <v>1848</v>
      </c>
      <c r="B2546" s="312" t="s">
        <v>413</v>
      </c>
      <c r="C2546" s="382" t="s">
        <v>414</v>
      </c>
      <c r="D2546" s="382" t="s">
        <v>415</v>
      </c>
      <c r="E2546" s="586" t="s">
        <v>1029</v>
      </c>
      <c r="F2546" s="586"/>
      <c r="G2546" s="383" t="s">
        <v>416</v>
      </c>
      <c r="H2546" s="312" t="s">
        <v>1030</v>
      </c>
      <c r="I2546" s="312" t="s">
        <v>3016</v>
      </c>
      <c r="J2546" s="312" t="s">
        <v>1031</v>
      </c>
      <c r="K2546" s="312" t="s">
        <v>1032</v>
      </c>
      <c r="L2546" s="166"/>
    </row>
    <row r="2547" spans="1:12" ht="15" x14ac:dyDescent="0.3">
      <c r="A2547" s="313" t="s">
        <v>1033</v>
      </c>
      <c r="B2547" s="315" t="s">
        <v>887</v>
      </c>
      <c r="C2547" s="313" t="s">
        <v>420</v>
      </c>
      <c r="D2547" s="313" t="s">
        <v>444</v>
      </c>
      <c r="E2547" s="603" t="s">
        <v>1120</v>
      </c>
      <c r="F2547" s="603"/>
      <c r="G2547" s="314" t="s">
        <v>422</v>
      </c>
      <c r="H2547" s="399">
        <v>1</v>
      </c>
      <c r="I2547" s="316"/>
      <c r="J2547" s="316">
        <v>47.74</v>
      </c>
      <c r="K2547" s="316">
        <v>47.74</v>
      </c>
      <c r="L2547" s="168"/>
    </row>
    <row r="2548" spans="1:12" ht="14.25" customHeight="1" x14ac:dyDescent="0.3">
      <c r="A2548" s="408" t="s">
        <v>1034</v>
      </c>
      <c r="B2548" s="409" t="s">
        <v>1071</v>
      </c>
      <c r="C2548" s="408" t="s">
        <v>420</v>
      </c>
      <c r="D2548" s="408" t="s">
        <v>1072</v>
      </c>
      <c r="E2548" s="604" t="s">
        <v>1069</v>
      </c>
      <c r="F2548" s="604"/>
      <c r="G2548" s="410" t="s">
        <v>1070</v>
      </c>
      <c r="H2548" s="412">
        <v>0.4</v>
      </c>
      <c r="I2548" s="412">
        <v>0</v>
      </c>
      <c r="J2548" s="411">
        <v>3.95</v>
      </c>
      <c r="K2548" s="411">
        <v>1.58</v>
      </c>
      <c r="L2548" s="168"/>
    </row>
    <row r="2549" spans="1:12" ht="25.5" customHeight="1" x14ac:dyDescent="0.3">
      <c r="A2549" s="408" t="s">
        <v>1034</v>
      </c>
      <c r="B2549" s="409" t="s">
        <v>1067</v>
      </c>
      <c r="C2549" s="408" t="s">
        <v>420</v>
      </c>
      <c r="D2549" s="408" t="s">
        <v>1068</v>
      </c>
      <c r="E2549" s="604" t="s">
        <v>1069</v>
      </c>
      <c r="F2549" s="604"/>
      <c r="G2549" s="410" t="s">
        <v>1070</v>
      </c>
      <c r="H2549" s="412">
        <v>0.4</v>
      </c>
      <c r="I2549" s="412">
        <v>0</v>
      </c>
      <c r="J2549" s="411">
        <v>3.82</v>
      </c>
      <c r="K2549" s="411">
        <v>1.528</v>
      </c>
      <c r="L2549" s="168"/>
    </row>
    <row r="2550" spans="1:12" ht="17.399999999999999" customHeight="1" x14ac:dyDescent="0.3">
      <c r="A2550" s="400" t="s">
        <v>1038</v>
      </c>
      <c r="B2550" s="401" t="s">
        <v>1121</v>
      </c>
      <c r="C2550" s="400" t="s">
        <v>420</v>
      </c>
      <c r="D2550" s="400" t="s">
        <v>444</v>
      </c>
      <c r="E2550" s="605" t="s">
        <v>1039</v>
      </c>
      <c r="F2550" s="605"/>
      <c r="G2550" s="402" t="s">
        <v>422</v>
      </c>
      <c r="H2550" s="403">
        <v>1</v>
      </c>
      <c r="I2550" s="403">
        <v>0</v>
      </c>
      <c r="J2550" s="404">
        <v>30.22</v>
      </c>
      <c r="K2550" s="404">
        <v>30.22</v>
      </c>
      <c r="L2550" s="166"/>
    </row>
    <row r="2551" spans="1:12" ht="15" x14ac:dyDescent="0.3">
      <c r="A2551" s="400" t="s">
        <v>1038</v>
      </c>
      <c r="B2551" s="401" t="s">
        <v>6199</v>
      </c>
      <c r="C2551" s="400" t="s">
        <v>420</v>
      </c>
      <c r="D2551" s="400" t="s">
        <v>6200</v>
      </c>
      <c r="E2551" s="605" t="s">
        <v>1053</v>
      </c>
      <c r="F2551" s="605"/>
      <c r="G2551" s="402" t="s">
        <v>1070</v>
      </c>
      <c r="H2551" s="403">
        <v>0.4</v>
      </c>
      <c r="I2551" s="403">
        <v>0</v>
      </c>
      <c r="J2551" s="404">
        <v>20.45</v>
      </c>
      <c r="K2551" s="404">
        <v>8.18</v>
      </c>
      <c r="L2551" s="166"/>
    </row>
    <row r="2552" spans="1:12" ht="25.5" customHeight="1" x14ac:dyDescent="0.3">
      <c r="A2552" s="400" t="s">
        <v>1038</v>
      </c>
      <c r="B2552" s="401" t="s">
        <v>6251</v>
      </c>
      <c r="C2552" s="400" t="s">
        <v>420</v>
      </c>
      <c r="D2552" s="400" t="s">
        <v>6252</v>
      </c>
      <c r="E2552" s="605" t="s">
        <v>1053</v>
      </c>
      <c r="F2552" s="605"/>
      <c r="G2552" s="402" t="s">
        <v>1070</v>
      </c>
      <c r="H2552" s="403">
        <v>0.4</v>
      </c>
      <c r="I2552" s="403">
        <v>0</v>
      </c>
      <c r="J2552" s="404">
        <v>15.59</v>
      </c>
      <c r="K2552" s="404">
        <v>6.2359999999999998</v>
      </c>
      <c r="L2552" s="166"/>
    </row>
    <row r="2553" spans="1:12" ht="30" customHeight="1" x14ac:dyDescent="0.3">
      <c r="A2553" s="405"/>
      <c r="B2553" s="405"/>
      <c r="C2553" s="405"/>
      <c r="D2553" s="405"/>
      <c r="E2553" s="405" t="s">
        <v>1046</v>
      </c>
      <c r="F2553" s="406">
        <v>14.42</v>
      </c>
      <c r="G2553" s="405" t="s">
        <v>1047</v>
      </c>
      <c r="H2553" s="406">
        <v>0</v>
      </c>
      <c r="I2553" s="405" t="s">
        <v>1048</v>
      </c>
      <c r="J2553" s="406">
        <v>14.42</v>
      </c>
      <c r="K2553"/>
      <c r="L2553" s="166"/>
    </row>
    <row r="2554" spans="1:12" ht="30" customHeight="1" thickBot="1" x14ac:dyDescent="0.35">
      <c r="A2554" s="405"/>
      <c r="B2554" s="405"/>
      <c r="C2554" s="405"/>
      <c r="D2554" s="405"/>
      <c r="E2554" s="405" t="s">
        <v>1049</v>
      </c>
      <c r="F2554" s="406">
        <v>0</v>
      </c>
      <c r="G2554" s="405"/>
      <c r="H2554" s="606"/>
      <c r="I2554" s="606" t="s">
        <v>1050</v>
      </c>
      <c r="J2554" s="406">
        <v>47.74</v>
      </c>
      <c r="K2554"/>
      <c r="L2554" s="166"/>
    </row>
    <row r="2555" spans="1:12" ht="30" customHeight="1" thickTop="1" x14ac:dyDescent="0.3">
      <c r="A2555" s="407"/>
      <c r="B2555" s="407"/>
      <c r="C2555" s="407"/>
      <c r="D2555" s="407"/>
      <c r="E2555" s="407"/>
      <c r="F2555" s="407"/>
      <c r="G2555" s="407"/>
      <c r="H2555" s="407"/>
      <c r="I2555" s="407"/>
      <c r="J2555" s="407"/>
      <c r="K2555" s="407"/>
      <c r="L2555" s="166"/>
    </row>
    <row r="2556" spans="1:12" ht="15" customHeight="1" x14ac:dyDescent="0.3">
      <c r="A2556" s="382" t="s">
        <v>1849</v>
      </c>
      <c r="B2556" s="312" t="s">
        <v>413</v>
      </c>
      <c r="C2556" s="382" t="s">
        <v>414</v>
      </c>
      <c r="D2556" s="382" t="s">
        <v>415</v>
      </c>
      <c r="E2556" s="586" t="s">
        <v>1029</v>
      </c>
      <c r="F2556" s="586"/>
      <c r="G2556" s="383" t="s">
        <v>416</v>
      </c>
      <c r="H2556" s="312" t="s">
        <v>1030</v>
      </c>
      <c r="I2556" s="312" t="s">
        <v>3016</v>
      </c>
      <c r="J2556" s="312" t="s">
        <v>1031</v>
      </c>
      <c r="K2556" s="312" t="s">
        <v>1032</v>
      </c>
      <c r="L2556" s="166"/>
    </row>
    <row r="2557" spans="1:12" ht="38.25" customHeight="1" x14ac:dyDescent="0.3">
      <c r="A2557" s="313" t="s">
        <v>1033</v>
      </c>
      <c r="B2557" s="315" t="s">
        <v>2165</v>
      </c>
      <c r="C2557" s="313" t="s">
        <v>420</v>
      </c>
      <c r="D2557" s="313" t="s">
        <v>1856</v>
      </c>
      <c r="E2557" s="603" t="s">
        <v>1107</v>
      </c>
      <c r="F2557" s="603"/>
      <c r="G2557" s="314" t="s">
        <v>422</v>
      </c>
      <c r="H2557" s="399">
        <v>1</v>
      </c>
      <c r="I2557" s="316"/>
      <c r="J2557" s="316">
        <v>45.7</v>
      </c>
      <c r="K2557" s="316">
        <v>45.7</v>
      </c>
      <c r="L2557" s="168"/>
    </row>
    <row r="2558" spans="1:12" ht="26.4" x14ac:dyDescent="0.3">
      <c r="A2558" s="408" t="s">
        <v>1034</v>
      </c>
      <c r="B2558" s="409" t="s">
        <v>1071</v>
      </c>
      <c r="C2558" s="408" t="s">
        <v>420</v>
      </c>
      <c r="D2558" s="408" t="s">
        <v>1072</v>
      </c>
      <c r="E2558" s="604" t="s">
        <v>1069</v>
      </c>
      <c r="F2558" s="604"/>
      <c r="G2558" s="410" t="s">
        <v>1070</v>
      </c>
      <c r="H2558" s="412">
        <v>0.45</v>
      </c>
      <c r="I2558" s="412">
        <v>0</v>
      </c>
      <c r="J2558" s="411">
        <v>3.95</v>
      </c>
      <c r="K2558" s="411">
        <v>1.7775000000000001</v>
      </c>
      <c r="L2558" s="170"/>
    </row>
    <row r="2559" spans="1:12" ht="15" customHeight="1" x14ac:dyDescent="0.3">
      <c r="A2559" s="408" t="s">
        <v>1034</v>
      </c>
      <c r="B2559" s="409" t="s">
        <v>1067</v>
      </c>
      <c r="C2559" s="408" t="s">
        <v>420</v>
      </c>
      <c r="D2559" s="408" t="s">
        <v>1068</v>
      </c>
      <c r="E2559" s="604" t="s">
        <v>1069</v>
      </c>
      <c r="F2559" s="604"/>
      <c r="G2559" s="410" t="s">
        <v>1070</v>
      </c>
      <c r="H2559" s="412">
        <v>0.45</v>
      </c>
      <c r="I2559" s="412">
        <v>0</v>
      </c>
      <c r="J2559" s="411">
        <v>3.82</v>
      </c>
      <c r="K2559" s="411">
        <v>1.7190000000000001</v>
      </c>
      <c r="L2559" s="168"/>
    </row>
    <row r="2560" spans="1:12" ht="25.5" customHeight="1" x14ac:dyDescent="0.3">
      <c r="A2560" s="400" t="s">
        <v>1038</v>
      </c>
      <c r="B2560" s="401" t="s">
        <v>2459</v>
      </c>
      <c r="C2560" s="400" t="s">
        <v>420</v>
      </c>
      <c r="D2560" s="400" t="s">
        <v>2460</v>
      </c>
      <c r="E2560" s="605" t="s">
        <v>1039</v>
      </c>
      <c r="F2560" s="605"/>
      <c r="G2560" s="402" t="s">
        <v>422</v>
      </c>
      <c r="H2560" s="403">
        <v>1</v>
      </c>
      <c r="I2560" s="403">
        <v>0</v>
      </c>
      <c r="J2560" s="404">
        <v>25.99</v>
      </c>
      <c r="K2560" s="404">
        <v>25.99</v>
      </c>
      <c r="L2560" s="168"/>
    </row>
    <row r="2561" spans="1:12" ht="25.5" customHeight="1" x14ac:dyDescent="0.3">
      <c r="A2561" s="400" t="s">
        <v>1038</v>
      </c>
      <c r="B2561" s="401" t="s">
        <v>6199</v>
      </c>
      <c r="C2561" s="400" t="s">
        <v>420</v>
      </c>
      <c r="D2561" s="400" t="s">
        <v>6200</v>
      </c>
      <c r="E2561" s="605" t="s">
        <v>1053</v>
      </c>
      <c r="F2561" s="605"/>
      <c r="G2561" s="402" t="s">
        <v>1070</v>
      </c>
      <c r="H2561" s="403">
        <v>0.45</v>
      </c>
      <c r="I2561" s="403">
        <v>0</v>
      </c>
      <c r="J2561" s="404">
        <v>20.45</v>
      </c>
      <c r="K2561" s="404">
        <v>9.2025000000000006</v>
      </c>
      <c r="L2561" s="168"/>
    </row>
    <row r="2562" spans="1:12" ht="25.5" customHeight="1" x14ac:dyDescent="0.3">
      <c r="A2562" s="400" t="s">
        <v>1038</v>
      </c>
      <c r="B2562" s="401" t="s">
        <v>6251</v>
      </c>
      <c r="C2562" s="400" t="s">
        <v>420</v>
      </c>
      <c r="D2562" s="400" t="s">
        <v>6252</v>
      </c>
      <c r="E2562" s="605" t="s">
        <v>1053</v>
      </c>
      <c r="F2562" s="605"/>
      <c r="G2562" s="402" t="s">
        <v>1070</v>
      </c>
      <c r="H2562" s="403">
        <v>0.45</v>
      </c>
      <c r="I2562" s="403">
        <v>0</v>
      </c>
      <c r="J2562" s="404">
        <v>15.59</v>
      </c>
      <c r="K2562" s="404">
        <v>7.0155000000000003</v>
      </c>
      <c r="L2562" s="166"/>
    </row>
    <row r="2563" spans="1:12" ht="25.5" customHeight="1" x14ac:dyDescent="0.3">
      <c r="A2563" s="405"/>
      <c r="B2563" s="405"/>
      <c r="C2563" s="405"/>
      <c r="D2563" s="405"/>
      <c r="E2563" s="405" t="s">
        <v>1046</v>
      </c>
      <c r="F2563" s="406">
        <v>16.22</v>
      </c>
      <c r="G2563" s="405" t="s">
        <v>1047</v>
      </c>
      <c r="H2563" s="406">
        <v>0</v>
      </c>
      <c r="I2563" s="405" t="s">
        <v>1048</v>
      </c>
      <c r="J2563" s="406">
        <v>16.22</v>
      </c>
      <c r="K2563"/>
      <c r="L2563" s="166"/>
    </row>
    <row r="2564" spans="1:12" ht="25.5" customHeight="1" thickBot="1" x14ac:dyDescent="0.35">
      <c r="A2564" s="405"/>
      <c r="B2564" s="405"/>
      <c r="C2564" s="405"/>
      <c r="D2564" s="405"/>
      <c r="E2564" s="405" t="s">
        <v>1049</v>
      </c>
      <c r="F2564" s="406">
        <v>0</v>
      </c>
      <c r="G2564" s="405"/>
      <c r="H2564" s="606"/>
      <c r="I2564" s="606" t="s">
        <v>1050</v>
      </c>
      <c r="J2564" s="406">
        <v>45.7</v>
      </c>
      <c r="K2564"/>
      <c r="L2564" s="168"/>
    </row>
    <row r="2565" spans="1:12" ht="25.5" customHeight="1" thickTop="1" x14ac:dyDescent="0.3">
      <c r="A2565" s="407"/>
      <c r="B2565" s="407"/>
      <c r="C2565" s="407"/>
      <c r="D2565" s="407"/>
      <c r="E2565" s="407"/>
      <c r="F2565" s="407"/>
      <c r="G2565" s="407"/>
      <c r="H2565" s="407"/>
      <c r="I2565" s="407"/>
      <c r="J2565" s="407"/>
      <c r="K2565" s="407"/>
      <c r="L2565" s="168"/>
    </row>
    <row r="2566" spans="1:12" ht="15" x14ac:dyDescent="0.3">
      <c r="A2566" s="382" t="s">
        <v>1853</v>
      </c>
      <c r="B2566" s="312" t="s">
        <v>413</v>
      </c>
      <c r="C2566" s="382" t="s">
        <v>414</v>
      </c>
      <c r="D2566" s="382" t="s">
        <v>415</v>
      </c>
      <c r="E2566" s="586" t="s">
        <v>1029</v>
      </c>
      <c r="F2566" s="586"/>
      <c r="G2566" s="383" t="s">
        <v>416</v>
      </c>
      <c r="H2566" s="312" t="s">
        <v>1030</v>
      </c>
      <c r="I2566" s="312" t="s">
        <v>3016</v>
      </c>
      <c r="J2566" s="312" t="s">
        <v>1031</v>
      </c>
      <c r="K2566" s="312" t="s">
        <v>1032</v>
      </c>
      <c r="L2566" s="168"/>
    </row>
    <row r="2567" spans="1:12" ht="38.25" customHeight="1" x14ac:dyDescent="0.3">
      <c r="A2567" s="313" t="s">
        <v>1033</v>
      </c>
      <c r="B2567" s="315" t="s">
        <v>3848</v>
      </c>
      <c r="C2567" s="313" t="s">
        <v>395</v>
      </c>
      <c r="D2567" s="313" t="s">
        <v>5961</v>
      </c>
      <c r="E2567" s="603" t="s">
        <v>7806</v>
      </c>
      <c r="F2567" s="603"/>
      <c r="G2567" s="314" t="s">
        <v>4</v>
      </c>
      <c r="H2567" s="399">
        <v>1</v>
      </c>
      <c r="I2567" s="316"/>
      <c r="J2567" s="316">
        <v>25.13</v>
      </c>
      <c r="K2567" s="316">
        <v>25.13</v>
      </c>
      <c r="L2567" s="168"/>
    </row>
    <row r="2568" spans="1:12" ht="25.5" customHeight="1" x14ac:dyDescent="0.3">
      <c r="A2568" s="408" t="s">
        <v>1034</v>
      </c>
      <c r="B2568" s="409" t="s">
        <v>1113</v>
      </c>
      <c r="C2568" s="408" t="s">
        <v>395</v>
      </c>
      <c r="D2568" s="408" t="s">
        <v>129</v>
      </c>
      <c r="E2568" s="604" t="s">
        <v>7768</v>
      </c>
      <c r="F2568" s="604"/>
      <c r="G2568" s="410" t="s">
        <v>6</v>
      </c>
      <c r="H2568" s="412">
        <v>6.4600000000000005E-2</v>
      </c>
      <c r="I2568" s="412">
        <v>0</v>
      </c>
      <c r="J2568" s="411">
        <v>33.450000000000003</v>
      </c>
      <c r="K2568" s="411">
        <v>2.1608700000000001</v>
      </c>
      <c r="L2568" s="166"/>
    </row>
    <row r="2569" spans="1:12" ht="25.5" customHeight="1" x14ac:dyDescent="0.3">
      <c r="A2569" s="408" t="s">
        <v>1034</v>
      </c>
      <c r="B2569" s="409" t="s">
        <v>1112</v>
      </c>
      <c r="C2569" s="408" t="s">
        <v>395</v>
      </c>
      <c r="D2569" s="408" t="s">
        <v>137</v>
      </c>
      <c r="E2569" s="604" t="s">
        <v>7768</v>
      </c>
      <c r="F2569" s="604"/>
      <c r="G2569" s="410" t="s">
        <v>6</v>
      </c>
      <c r="H2569" s="412">
        <v>6.4600000000000005E-2</v>
      </c>
      <c r="I2569" s="412">
        <v>0</v>
      </c>
      <c r="J2569" s="411">
        <v>40.299999999999997</v>
      </c>
      <c r="K2569" s="411">
        <v>2.60338</v>
      </c>
      <c r="L2569" s="168"/>
    </row>
    <row r="2570" spans="1:12" ht="14.25" customHeight="1" x14ac:dyDescent="0.3">
      <c r="A2570" s="400" t="s">
        <v>1038</v>
      </c>
      <c r="B2570" s="401" t="s">
        <v>7482</v>
      </c>
      <c r="C2570" s="400" t="s">
        <v>395</v>
      </c>
      <c r="D2570" s="400" t="s">
        <v>7483</v>
      </c>
      <c r="E2570" s="605" t="s">
        <v>1039</v>
      </c>
      <c r="F2570" s="605"/>
      <c r="G2570" s="402" t="s">
        <v>4</v>
      </c>
      <c r="H2570" s="403">
        <v>0.1067</v>
      </c>
      <c r="I2570" s="403">
        <v>0</v>
      </c>
      <c r="J2570" s="404">
        <v>40.6</v>
      </c>
      <c r="K2570" s="404">
        <v>4.33202</v>
      </c>
      <c r="L2570" s="168"/>
    </row>
    <row r="2571" spans="1:12" ht="15" x14ac:dyDescent="0.3">
      <c r="A2571" s="400" t="s">
        <v>1038</v>
      </c>
      <c r="B2571" s="401" t="s">
        <v>4653</v>
      </c>
      <c r="C2571" s="400" t="s">
        <v>395</v>
      </c>
      <c r="D2571" s="400" t="s">
        <v>4654</v>
      </c>
      <c r="E2571" s="605" t="s">
        <v>1039</v>
      </c>
      <c r="F2571" s="605"/>
      <c r="G2571" s="402" t="s">
        <v>4</v>
      </c>
      <c r="H2571" s="403">
        <v>1</v>
      </c>
      <c r="I2571" s="403">
        <v>0</v>
      </c>
      <c r="J2571" s="404">
        <v>16.03</v>
      </c>
      <c r="K2571" s="404">
        <v>16.03</v>
      </c>
      <c r="L2571" s="168"/>
    </row>
    <row r="2572" spans="1:12" ht="15" x14ac:dyDescent="0.3">
      <c r="A2572" s="405"/>
      <c r="B2572" s="405"/>
      <c r="C2572" s="405"/>
      <c r="D2572" s="405"/>
      <c r="E2572" s="405" t="s">
        <v>1046</v>
      </c>
      <c r="F2572" s="406">
        <v>3.51</v>
      </c>
      <c r="G2572" s="405" t="s">
        <v>1047</v>
      </c>
      <c r="H2572" s="406">
        <v>0</v>
      </c>
      <c r="I2572" s="405" t="s">
        <v>1048</v>
      </c>
      <c r="J2572" s="406">
        <v>3.51</v>
      </c>
      <c r="K2572"/>
      <c r="L2572" s="166"/>
    </row>
    <row r="2573" spans="1:12" ht="15.6" thickBot="1" x14ac:dyDescent="0.35">
      <c r="A2573" s="405"/>
      <c r="B2573" s="405"/>
      <c r="C2573" s="405"/>
      <c r="D2573" s="405"/>
      <c r="E2573" s="405" t="s">
        <v>1049</v>
      </c>
      <c r="F2573" s="406">
        <v>0</v>
      </c>
      <c r="G2573" s="405"/>
      <c r="H2573" s="606"/>
      <c r="I2573" s="606" t="s">
        <v>1050</v>
      </c>
      <c r="J2573" s="406">
        <v>25.13</v>
      </c>
      <c r="K2573"/>
      <c r="L2573" s="166"/>
    </row>
    <row r="2574" spans="1:12" ht="12.75" customHeight="1" thickTop="1" x14ac:dyDescent="0.3">
      <c r="A2574" s="407"/>
      <c r="B2574" s="407"/>
      <c r="C2574" s="407"/>
      <c r="D2574" s="407"/>
      <c r="E2574" s="407"/>
      <c r="F2574" s="407"/>
      <c r="G2574" s="407"/>
      <c r="H2574" s="407"/>
      <c r="I2574" s="407"/>
      <c r="J2574" s="407"/>
      <c r="K2574" s="407"/>
      <c r="L2574" s="168"/>
    </row>
    <row r="2575" spans="1:12" ht="17.399999999999999" customHeight="1" x14ac:dyDescent="0.3">
      <c r="A2575" s="382" t="s">
        <v>1859</v>
      </c>
      <c r="B2575" s="312" t="s">
        <v>413</v>
      </c>
      <c r="C2575" s="382" t="s">
        <v>414</v>
      </c>
      <c r="D2575" s="382" t="s">
        <v>415</v>
      </c>
      <c r="E2575" s="586" t="s">
        <v>1029</v>
      </c>
      <c r="F2575" s="586"/>
      <c r="G2575" s="383" t="s">
        <v>416</v>
      </c>
      <c r="H2575" s="312" t="s">
        <v>1030</v>
      </c>
      <c r="I2575" s="312" t="s">
        <v>3016</v>
      </c>
      <c r="J2575" s="312" t="s">
        <v>1031</v>
      </c>
      <c r="K2575" s="312" t="s">
        <v>1032</v>
      </c>
      <c r="L2575" s="168"/>
    </row>
    <row r="2576" spans="1:12" ht="26.4" x14ac:dyDescent="0.3">
      <c r="A2576" s="313" t="s">
        <v>1033</v>
      </c>
      <c r="B2576" s="315" t="s">
        <v>2154</v>
      </c>
      <c r="C2576" s="313" t="s">
        <v>420</v>
      </c>
      <c r="D2576" s="313" t="s">
        <v>1826</v>
      </c>
      <c r="E2576" s="603" t="s">
        <v>1240</v>
      </c>
      <c r="F2576" s="603"/>
      <c r="G2576" s="314" t="s">
        <v>422</v>
      </c>
      <c r="H2576" s="399">
        <v>1</v>
      </c>
      <c r="I2576" s="316"/>
      <c r="J2576" s="316">
        <v>25.64</v>
      </c>
      <c r="K2576" s="316">
        <v>25.64</v>
      </c>
      <c r="L2576" s="168"/>
    </row>
    <row r="2577" spans="1:12" ht="15" customHeight="1" x14ac:dyDescent="0.3">
      <c r="A2577" s="408" t="s">
        <v>1034</v>
      </c>
      <c r="B2577" s="409" t="s">
        <v>1071</v>
      </c>
      <c r="C2577" s="408" t="s">
        <v>420</v>
      </c>
      <c r="D2577" s="408" t="s">
        <v>1072</v>
      </c>
      <c r="E2577" s="604" t="s">
        <v>1069</v>
      </c>
      <c r="F2577" s="604"/>
      <c r="G2577" s="410" t="s">
        <v>1070</v>
      </c>
      <c r="H2577" s="412">
        <v>0.3</v>
      </c>
      <c r="I2577" s="412">
        <v>0</v>
      </c>
      <c r="J2577" s="411">
        <v>3.95</v>
      </c>
      <c r="K2577" s="411">
        <v>1.1850000000000001</v>
      </c>
      <c r="L2577" s="166"/>
    </row>
    <row r="2578" spans="1:12" ht="15" customHeight="1" x14ac:dyDescent="0.3">
      <c r="A2578" s="408" t="s">
        <v>1034</v>
      </c>
      <c r="B2578" s="409" t="s">
        <v>1067</v>
      </c>
      <c r="C2578" s="408" t="s">
        <v>420</v>
      </c>
      <c r="D2578" s="408" t="s">
        <v>1068</v>
      </c>
      <c r="E2578" s="604" t="s">
        <v>1069</v>
      </c>
      <c r="F2578" s="604"/>
      <c r="G2578" s="410" t="s">
        <v>1070</v>
      </c>
      <c r="H2578" s="412">
        <v>0.3</v>
      </c>
      <c r="I2578" s="412">
        <v>0</v>
      </c>
      <c r="J2578" s="411">
        <v>3.82</v>
      </c>
      <c r="K2578" s="411">
        <v>1.1459999999999999</v>
      </c>
      <c r="L2578" s="166"/>
    </row>
    <row r="2579" spans="1:12" ht="25.5" customHeight="1" x14ac:dyDescent="0.3">
      <c r="A2579" s="400" t="s">
        <v>1038</v>
      </c>
      <c r="B2579" s="401" t="s">
        <v>6251</v>
      </c>
      <c r="C2579" s="400" t="s">
        <v>420</v>
      </c>
      <c r="D2579" s="400" t="s">
        <v>6252</v>
      </c>
      <c r="E2579" s="605" t="s">
        <v>1053</v>
      </c>
      <c r="F2579" s="605"/>
      <c r="G2579" s="402" t="s">
        <v>1070</v>
      </c>
      <c r="H2579" s="403">
        <v>0.3</v>
      </c>
      <c r="I2579" s="403">
        <v>0</v>
      </c>
      <c r="J2579" s="404">
        <v>15.59</v>
      </c>
      <c r="K2579" s="404">
        <v>4.6769999999999996</v>
      </c>
      <c r="L2579" s="166"/>
    </row>
    <row r="2580" spans="1:12" ht="25.5" customHeight="1" x14ac:dyDescent="0.3">
      <c r="A2580" s="400" t="s">
        <v>1038</v>
      </c>
      <c r="B2580" s="401" t="s">
        <v>2440</v>
      </c>
      <c r="C2580" s="400" t="s">
        <v>420</v>
      </c>
      <c r="D2580" s="400" t="s">
        <v>2441</v>
      </c>
      <c r="E2580" s="605" t="s">
        <v>1039</v>
      </c>
      <c r="F2580" s="605"/>
      <c r="G2580" s="402" t="s">
        <v>422</v>
      </c>
      <c r="H2580" s="403">
        <v>1</v>
      </c>
      <c r="I2580" s="403">
        <v>0</v>
      </c>
      <c r="J2580" s="404">
        <v>12.5</v>
      </c>
      <c r="K2580" s="404">
        <v>12.5</v>
      </c>
      <c r="L2580" s="166"/>
    </row>
    <row r="2581" spans="1:12" ht="25.5" customHeight="1" x14ac:dyDescent="0.3">
      <c r="A2581" s="400" t="s">
        <v>1038</v>
      </c>
      <c r="B2581" s="401" t="s">
        <v>6199</v>
      </c>
      <c r="C2581" s="400" t="s">
        <v>420</v>
      </c>
      <c r="D2581" s="400" t="s">
        <v>6200</v>
      </c>
      <c r="E2581" s="605" t="s">
        <v>1053</v>
      </c>
      <c r="F2581" s="605"/>
      <c r="G2581" s="402" t="s">
        <v>1070</v>
      </c>
      <c r="H2581" s="403">
        <v>0.3</v>
      </c>
      <c r="I2581" s="403">
        <v>0</v>
      </c>
      <c r="J2581" s="404">
        <v>20.45</v>
      </c>
      <c r="K2581" s="404">
        <v>6.1349999999999998</v>
      </c>
      <c r="L2581" s="166"/>
    </row>
    <row r="2582" spans="1:12" ht="25.5" customHeight="1" x14ac:dyDescent="0.3">
      <c r="A2582" s="405"/>
      <c r="B2582" s="405"/>
      <c r="C2582" s="405"/>
      <c r="D2582" s="405"/>
      <c r="E2582" s="405" t="s">
        <v>1046</v>
      </c>
      <c r="F2582" s="406">
        <v>10.82</v>
      </c>
      <c r="G2582" s="405" t="s">
        <v>1047</v>
      </c>
      <c r="H2582" s="406">
        <v>0</v>
      </c>
      <c r="I2582" s="405" t="s">
        <v>1048</v>
      </c>
      <c r="J2582" s="406">
        <v>10.82</v>
      </c>
      <c r="K2582"/>
      <c r="L2582" s="166"/>
    </row>
    <row r="2583" spans="1:12" ht="25.5" customHeight="1" thickBot="1" x14ac:dyDescent="0.35">
      <c r="A2583" s="405"/>
      <c r="B2583" s="405"/>
      <c r="C2583" s="405"/>
      <c r="D2583" s="405"/>
      <c r="E2583" s="405" t="s">
        <v>1049</v>
      </c>
      <c r="F2583" s="406">
        <v>0</v>
      </c>
      <c r="G2583" s="405"/>
      <c r="H2583" s="606"/>
      <c r="I2583" s="606" t="s">
        <v>1050</v>
      </c>
      <c r="J2583" s="406">
        <v>25.64</v>
      </c>
      <c r="K2583"/>
      <c r="L2583" s="166"/>
    </row>
    <row r="2584" spans="1:12" ht="25.5" customHeight="1" thickTop="1" x14ac:dyDescent="0.3">
      <c r="A2584" s="407"/>
      <c r="B2584" s="407"/>
      <c r="C2584" s="407"/>
      <c r="D2584" s="407"/>
      <c r="E2584" s="407"/>
      <c r="F2584" s="407"/>
      <c r="G2584" s="407"/>
      <c r="H2584" s="407"/>
      <c r="I2584" s="407"/>
      <c r="J2584" s="407"/>
      <c r="K2584" s="407"/>
      <c r="L2584" s="168"/>
    </row>
    <row r="2585" spans="1:12" ht="15" customHeight="1" x14ac:dyDescent="0.3">
      <c r="A2585" s="382" t="s">
        <v>1866</v>
      </c>
      <c r="B2585" s="312" t="s">
        <v>413</v>
      </c>
      <c r="C2585" s="382" t="s">
        <v>414</v>
      </c>
      <c r="D2585" s="382" t="s">
        <v>415</v>
      </c>
      <c r="E2585" s="586" t="s">
        <v>1029</v>
      </c>
      <c r="F2585" s="586"/>
      <c r="G2585" s="383" t="s">
        <v>416</v>
      </c>
      <c r="H2585" s="312" t="s">
        <v>1030</v>
      </c>
      <c r="I2585" s="312" t="s">
        <v>3016</v>
      </c>
      <c r="J2585" s="312" t="s">
        <v>1031</v>
      </c>
      <c r="K2585" s="312" t="s">
        <v>1032</v>
      </c>
      <c r="L2585" s="170"/>
    </row>
    <row r="2586" spans="1:12" ht="38.25" customHeight="1" x14ac:dyDescent="0.3">
      <c r="A2586" s="313" t="s">
        <v>1033</v>
      </c>
      <c r="B2586" s="315" t="s">
        <v>2221</v>
      </c>
      <c r="C2586" s="313" t="s">
        <v>575</v>
      </c>
      <c r="D2586" s="313" t="s">
        <v>2023</v>
      </c>
      <c r="E2586" s="603" t="s">
        <v>1227</v>
      </c>
      <c r="F2586" s="603"/>
      <c r="G2586" s="314" t="s">
        <v>4</v>
      </c>
      <c r="H2586" s="399">
        <v>1</v>
      </c>
      <c r="I2586" s="316"/>
      <c r="J2586" s="316">
        <v>35.56</v>
      </c>
      <c r="K2586" s="316">
        <v>35.56</v>
      </c>
      <c r="L2586" s="168"/>
    </row>
    <row r="2587" spans="1:12" ht="38.25" customHeight="1" x14ac:dyDescent="0.3">
      <c r="A2587" s="400" t="s">
        <v>1038</v>
      </c>
      <c r="B2587" s="401" t="s">
        <v>1360</v>
      </c>
      <c r="C2587" s="400" t="s">
        <v>5902</v>
      </c>
      <c r="D2587" s="400" t="s">
        <v>1361</v>
      </c>
      <c r="E2587" s="605" t="s">
        <v>1053</v>
      </c>
      <c r="F2587" s="605"/>
      <c r="G2587" s="402" t="s">
        <v>6</v>
      </c>
      <c r="H2587" s="403">
        <v>0.3</v>
      </c>
      <c r="I2587" s="403">
        <v>0</v>
      </c>
      <c r="J2587" s="404">
        <v>33.119999999999997</v>
      </c>
      <c r="K2587" s="404">
        <v>9.9359999999999999</v>
      </c>
      <c r="L2587" s="168"/>
    </row>
    <row r="2588" spans="1:12" ht="15" customHeight="1" x14ac:dyDescent="0.3">
      <c r="A2588" s="400" t="s">
        <v>1038</v>
      </c>
      <c r="B2588" s="401" t="s">
        <v>1358</v>
      </c>
      <c r="C2588" s="400" t="s">
        <v>5902</v>
      </c>
      <c r="D2588" s="400" t="s">
        <v>1359</v>
      </c>
      <c r="E2588" s="605" t="s">
        <v>1053</v>
      </c>
      <c r="F2588" s="605"/>
      <c r="G2588" s="402" t="s">
        <v>6</v>
      </c>
      <c r="H2588" s="403">
        <v>0.3</v>
      </c>
      <c r="I2588" s="403">
        <v>0</v>
      </c>
      <c r="J2588" s="404">
        <v>22.71</v>
      </c>
      <c r="K2588" s="404">
        <v>6.8129999999999997</v>
      </c>
      <c r="L2588" s="168"/>
    </row>
    <row r="2589" spans="1:12" ht="25.5" customHeight="1" x14ac:dyDescent="0.3">
      <c r="A2589" s="400" t="s">
        <v>1038</v>
      </c>
      <c r="B2589" s="401" t="s">
        <v>2488</v>
      </c>
      <c r="C2589" s="400" t="s">
        <v>5902</v>
      </c>
      <c r="D2589" s="400" t="s">
        <v>2489</v>
      </c>
      <c r="E2589" s="605" t="s">
        <v>1039</v>
      </c>
      <c r="F2589" s="605"/>
      <c r="G2589" s="402" t="s">
        <v>3</v>
      </c>
      <c r="H2589" s="403">
        <v>0.02</v>
      </c>
      <c r="I2589" s="403">
        <v>0</v>
      </c>
      <c r="J2589" s="404">
        <v>18.04</v>
      </c>
      <c r="K2589" s="404">
        <v>0.36080000000000001</v>
      </c>
      <c r="L2589" s="166"/>
    </row>
    <row r="2590" spans="1:12" ht="25.5" customHeight="1" x14ac:dyDescent="0.3">
      <c r="A2590" s="400" t="s">
        <v>1038</v>
      </c>
      <c r="B2590" s="401" t="s">
        <v>2566</v>
      </c>
      <c r="C2590" s="400" t="s">
        <v>575</v>
      </c>
      <c r="D2590" s="400" t="s">
        <v>2023</v>
      </c>
      <c r="E2590" s="605" t="s">
        <v>1039</v>
      </c>
      <c r="F2590" s="605"/>
      <c r="G2590" s="402" t="s">
        <v>4</v>
      </c>
      <c r="H2590" s="403">
        <v>1</v>
      </c>
      <c r="I2590" s="403">
        <v>0</v>
      </c>
      <c r="J2590" s="404">
        <v>18.45</v>
      </c>
      <c r="K2590" s="404">
        <v>18.45</v>
      </c>
      <c r="L2590" s="166"/>
    </row>
    <row r="2591" spans="1:12" ht="25.5" customHeight="1" x14ac:dyDescent="0.3">
      <c r="A2591" s="405"/>
      <c r="B2591" s="405"/>
      <c r="C2591" s="405"/>
      <c r="D2591" s="405"/>
      <c r="E2591" s="405" t="s">
        <v>1046</v>
      </c>
      <c r="F2591" s="406">
        <v>16.75</v>
      </c>
      <c r="G2591" s="405" t="s">
        <v>1047</v>
      </c>
      <c r="H2591" s="406">
        <v>0</v>
      </c>
      <c r="I2591" s="405" t="s">
        <v>1048</v>
      </c>
      <c r="J2591" s="406">
        <v>16.75</v>
      </c>
      <c r="K2591"/>
      <c r="L2591" s="168"/>
    </row>
    <row r="2592" spans="1:12" ht="25.5" customHeight="1" thickBot="1" x14ac:dyDescent="0.35">
      <c r="A2592" s="405"/>
      <c r="B2592" s="405"/>
      <c r="C2592" s="405"/>
      <c r="D2592" s="405"/>
      <c r="E2592" s="405" t="s">
        <v>1049</v>
      </c>
      <c r="F2592" s="406">
        <v>0</v>
      </c>
      <c r="G2592" s="405"/>
      <c r="H2592" s="606"/>
      <c r="I2592" s="606" t="s">
        <v>1050</v>
      </c>
      <c r="J2592" s="406">
        <v>35.56</v>
      </c>
      <c r="K2592"/>
      <c r="L2592" s="168"/>
    </row>
    <row r="2593" spans="1:12" ht="14.25" customHeight="1" thickTop="1" x14ac:dyDescent="0.3">
      <c r="A2593" s="407"/>
      <c r="B2593" s="407"/>
      <c r="C2593" s="407"/>
      <c r="D2593" s="407"/>
      <c r="E2593" s="407"/>
      <c r="F2593" s="407"/>
      <c r="G2593" s="407"/>
      <c r="H2593" s="407"/>
      <c r="I2593" s="407"/>
      <c r="J2593" s="407"/>
      <c r="K2593" s="407"/>
      <c r="L2593" s="168"/>
    </row>
    <row r="2594" spans="1:12" ht="15" x14ac:dyDescent="0.3">
      <c r="A2594" s="382" t="s">
        <v>1870</v>
      </c>
      <c r="B2594" s="312" t="s">
        <v>413</v>
      </c>
      <c r="C2594" s="382" t="s">
        <v>414</v>
      </c>
      <c r="D2594" s="382" t="s">
        <v>415</v>
      </c>
      <c r="E2594" s="586" t="s">
        <v>1029</v>
      </c>
      <c r="F2594" s="586"/>
      <c r="G2594" s="383" t="s">
        <v>416</v>
      </c>
      <c r="H2594" s="312" t="s">
        <v>1030</v>
      </c>
      <c r="I2594" s="312" t="s">
        <v>3016</v>
      </c>
      <c r="J2594" s="312" t="s">
        <v>1031</v>
      </c>
      <c r="K2594" s="312" t="s">
        <v>1032</v>
      </c>
      <c r="L2594" s="168"/>
    </row>
    <row r="2595" spans="1:12" ht="15" customHeight="1" x14ac:dyDescent="0.3">
      <c r="A2595" s="313" t="s">
        <v>1033</v>
      </c>
      <c r="B2595" s="315" t="s">
        <v>940</v>
      </c>
      <c r="C2595" s="313" t="s">
        <v>420</v>
      </c>
      <c r="D2595" s="313" t="s">
        <v>532</v>
      </c>
      <c r="E2595" s="603" t="s">
        <v>1120</v>
      </c>
      <c r="F2595" s="603"/>
      <c r="G2595" s="314" t="s">
        <v>422</v>
      </c>
      <c r="H2595" s="399">
        <v>1</v>
      </c>
      <c r="I2595" s="316"/>
      <c r="J2595" s="316">
        <v>4.53</v>
      </c>
      <c r="K2595" s="316">
        <v>4.53</v>
      </c>
      <c r="L2595" s="166"/>
    </row>
    <row r="2596" spans="1:12" ht="26.4" x14ac:dyDescent="0.3">
      <c r="A2596" s="408" t="s">
        <v>1034</v>
      </c>
      <c r="B2596" s="409" t="s">
        <v>1067</v>
      </c>
      <c r="C2596" s="408" t="s">
        <v>420</v>
      </c>
      <c r="D2596" s="408" t="s">
        <v>1068</v>
      </c>
      <c r="E2596" s="604" t="s">
        <v>1069</v>
      </c>
      <c r="F2596" s="604"/>
      <c r="G2596" s="410" t="s">
        <v>1070</v>
      </c>
      <c r="H2596" s="412">
        <v>5.6000000000000001E-2</v>
      </c>
      <c r="I2596" s="412">
        <v>0</v>
      </c>
      <c r="J2596" s="411">
        <v>3.82</v>
      </c>
      <c r="K2596" s="411">
        <v>0.21392</v>
      </c>
      <c r="L2596" s="168"/>
    </row>
    <row r="2597" spans="1:12" ht="38.25" customHeight="1" x14ac:dyDescent="0.3">
      <c r="A2597" s="400" t="s">
        <v>1038</v>
      </c>
      <c r="B2597" s="401" t="s">
        <v>6199</v>
      </c>
      <c r="C2597" s="400" t="s">
        <v>420</v>
      </c>
      <c r="D2597" s="400" t="s">
        <v>6200</v>
      </c>
      <c r="E2597" s="605" t="s">
        <v>1053</v>
      </c>
      <c r="F2597" s="605"/>
      <c r="G2597" s="402" t="s">
        <v>1070</v>
      </c>
      <c r="H2597" s="403">
        <v>5.6000000000000001E-2</v>
      </c>
      <c r="I2597" s="403">
        <v>0</v>
      </c>
      <c r="J2597" s="404">
        <v>20.45</v>
      </c>
      <c r="K2597" s="404">
        <v>1.1452</v>
      </c>
      <c r="L2597" s="168"/>
    </row>
    <row r="2598" spans="1:12" ht="38.25" customHeight="1" x14ac:dyDescent="0.3">
      <c r="A2598" s="400" t="s">
        <v>1038</v>
      </c>
      <c r="B2598" s="401" t="s">
        <v>7388</v>
      </c>
      <c r="C2598" s="400" t="s">
        <v>420</v>
      </c>
      <c r="D2598" s="400" t="s">
        <v>7389</v>
      </c>
      <c r="E2598" s="605" t="s">
        <v>1039</v>
      </c>
      <c r="F2598" s="605"/>
      <c r="G2598" s="402" t="s">
        <v>422</v>
      </c>
      <c r="H2598" s="403">
        <v>1</v>
      </c>
      <c r="I2598" s="403">
        <v>0</v>
      </c>
      <c r="J2598" s="404">
        <v>3.17</v>
      </c>
      <c r="K2598" s="404">
        <v>3.17</v>
      </c>
      <c r="L2598" s="168"/>
    </row>
    <row r="2599" spans="1:12" ht="15" customHeight="1" x14ac:dyDescent="0.3">
      <c r="A2599" s="405"/>
      <c r="B2599" s="405"/>
      <c r="C2599" s="405"/>
      <c r="D2599" s="405"/>
      <c r="E2599" s="405" t="s">
        <v>1046</v>
      </c>
      <c r="F2599" s="406">
        <v>1.1499999999999999</v>
      </c>
      <c r="G2599" s="405" t="s">
        <v>1047</v>
      </c>
      <c r="H2599" s="406">
        <v>0</v>
      </c>
      <c r="I2599" s="405" t="s">
        <v>1048</v>
      </c>
      <c r="J2599" s="406">
        <v>1.1499999999999999</v>
      </c>
      <c r="K2599"/>
      <c r="L2599" s="166"/>
    </row>
    <row r="2600" spans="1:12" ht="25.5" customHeight="1" thickBot="1" x14ac:dyDescent="0.35">
      <c r="A2600" s="405"/>
      <c r="B2600" s="405"/>
      <c r="C2600" s="405"/>
      <c r="D2600" s="405"/>
      <c r="E2600" s="405" t="s">
        <v>1049</v>
      </c>
      <c r="F2600" s="406">
        <v>0</v>
      </c>
      <c r="G2600" s="405"/>
      <c r="H2600" s="606"/>
      <c r="I2600" s="606" t="s">
        <v>1050</v>
      </c>
      <c r="J2600" s="406">
        <v>4.53</v>
      </c>
      <c r="K2600"/>
      <c r="L2600" s="166"/>
    </row>
    <row r="2601" spans="1:12" ht="25.5" customHeight="1" thickTop="1" x14ac:dyDescent="0.3">
      <c r="A2601" s="407"/>
      <c r="B2601" s="407"/>
      <c r="C2601" s="407"/>
      <c r="D2601" s="407"/>
      <c r="E2601" s="407"/>
      <c r="F2601" s="407"/>
      <c r="G2601" s="407"/>
      <c r="H2601" s="407"/>
      <c r="I2601" s="407"/>
      <c r="J2601" s="407"/>
      <c r="K2601" s="407"/>
      <c r="L2601" s="168"/>
    </row>
    <row r="2602" spans="1:12" ht="25.5" customHeight="1" x14ac:dyDescent="0.3">
      <c r="A2602" s="382" t="s">
        <v>1023</v>
      </c>
      <c r="B2602" s="312" t="s">
        <v>413</v>
      </c>
      <c r="C2602" s="382" t="s">
        <v>414</v>
      </c>
      <c r="D2602" s="382" t="s">
        <v>415</v>
      </c>
      <c r="E2602" s="586" t="s">
        <v>1029</v>
      </c>
      <c r="F2602" s="586"/>
      <c r="G2602" s="383" t="s">
        <v>416</v>
      </c>
      <c r="H2602" s="312" t="s">
        <v>1030</v>
      </c>
      <c r="I2602" s="312" t="s">
        <v>3016</v>
      </c>
      <c r="J2602" s="312" t="s">
        <v>1031</v>
      </c>
      <c r="K2602" s="312" t="s">
        <v>1032</v>
      </c>
      <c r="L2602" s="168"/>
    </row>
    <row r="2603" spans="1:12" ht="17.399999999999999" customHeight="1" x14ac:dyDescent="0.3">
      <c r="A2603" s="313" t="s">
        <v>1033</v>
      </c>
      <c r="B2603" s="315" t="s">
        <v>3849</v>
      </c>
      <c r="C2603" s="313" t="s">
        <v>395</v>
      </c>
      <c r="D2603" s="313" t="s">
        <v>397</v>
      </c>
      <c r="E2603" s="603" t="s">
        <v>7871</v>
      </c>
      <c r="F2603" s="603"/>
      <c r="G2603" s="314" t="s">
        <v>7</v>
      </c>
      <c r="H2603" s="399">
        <v>1</v>
      </c>
      <c r="I2603" s="316"/>
      <c r="J2603" s="316">
        <v>10.220000000000001</v>
      </c>
      <c r="K2603" s="316">
        <v>10.220000000000001</v>
      </c>
      <c r="L2603" s="168"/>
    </row>
    <row r="2604" spans="1:12" ht="14.25" customHeight="1" x14ac:dyDescent="0.3">
      <c r="A2604" s="408" t="s">
        <v>1034</v>
      </c>
      <c r="B2604" s="409" t="s">
        <v>1035</v>
      </c>
      <c r="C2604" s="408" t="s">
        <v>395</v>
      </c>
      <c r="D2604" s="408" t="s">
        <v>128</v>
      </c>
      <c r="E2604" s="604" t="s">
        <v>7768</v>
      </c>
      <c r="F2604" s="604"/>
      <c r="G2604" s="410" t="s">
        <v>6</v>
      </c>
      <c r="H2604" s="412">
        <v>6.7199999999999996E-2</v>
      </c>
      <c r="I2604" s="412">
        <v>0</v>
      </c>
      <c r="J2604" s="411">
        <v>34.5</v>
      </c>
      <c r="K2604" s="411">
        <v>2.3184</v>
      </c>
      <c r="L2604" s="166"/>
    </row>
    <row r="2605" spans="1:12" ht="14.25" customHeight="1" x14ac:dyDescent="0.3">
      <c r="A2605" s="408" t="s">
        <v>1034</v>
      </c>
      <c r="B2605" s="409" t="s">
        <v>1037</v>
      </c>
      <c r="C2605" s="408" t="s">
        <v>395</v>
      </c>
      <c r="D2605" s="408" t="s">
        <v>135</v>
      </c>
      <c r="E2605" s="604" t="s">
        <v>7768</v>
      </c>
      <c r="F2605" s="604"/>
      <c r="G2605" s="410" t="s">
        <v>6</v>
      </c>
      <c r="H2605" s="412">
        <v>6.7199999999999996E-2</v>
      </c>
      <c r="I2605" s="412">
        <v>0</v>
      </c>
      <c r="J2605" s="411">
        <v>41.81</v>
      </c>
      <c r="K2605" s="411">
        <v>2.8096320000000001</v>
      </c>
      <c r="L2605" s="166"/>
    </row>
    <row r="2606" spans="1:12" ht="30" customHeight="1" x14ac:dyDescent="0.3">
      <c r="A2606" s="400" t="s">
        <v>1038</v>
      </c>
      <c r="B2606" s="401" t="s">
        <v>4770</v>
      </c>
      <c r="C2606" s="400" t="s">
        <v>395</v>
      </c>
      <c r="D2606" s="400" t="s">
        <v>4771</v>
      </c>
      <c r="E2606" s="605" t="s">
        <v>1039</v>
      </c>
      <c r="F2606" s="605"/>
      <c r="G2606" s="402" t="s">
        <v>7</v>
      </c>
      <c r="H2606" s="403">
        <v>1.1000000000000001</v>
      </c>
      <c r="I2606" s="403">
        <v>0</v>
      </c>
      <c r="J2606" s="404">
        <v>4.63</v>
      </c>
      <c r="K2606" s="404">
        <v>5.093</v>
      </c>
      <c r="L2606" s="166"/>
    </row>
    <row r="2607" spans="1:12" ht="30" customHeight="1" x14ac:dyDescent="0.3">
      <c r="A2607" s="405"/>
      <c r="B2607" s="405"/>
      <c r="C2607" s="405"/>
      <c r="D2607" s="405"/>
      <c r="E2607" s="405" t="s">
        <v>1046</v>
      </c>
      <c r="F2607" s="406">
        <v>3.74</v>
      </c>
      <c r="G2607" s="405" t="s">
        <v>1047</v>
      </c>
      <c r="H2607" s="406">
        <v>0</v>
      </c>
      <c r="I2607" s="405" t="s">
        <v>1048</v>
      </c>
      <c r="J2607" s="406">
        <v>3.74</v>
      </c>
      <c r="K2607"/>
      <c r="L2607" s="166"/>
    </row>
    <row r="2608" spans="1:12" ht="38.25" customHeight="1" thickBot="1" x14ac:dyDescent="0.35">
      <c r="A2608" s="405"/>
      <c r="B2608" s="405"/>
      <c r="C2608" s="405"/>
      <c r="D2608" s="405"/>
      <c r="E2608" s="405" t="s">
        <v>1049</v>
      </c>
      <c r="F2608" s="406">
        <v>0</v>
      </c>
      <c r="G2608" s="405"/>
      <c r="H2608" s="606"/>
      <c r="I2608" s="606" t="s">
        <v>1050</v>
      </c>
      <c r="J2608" s="406">
        <v>10.220000000000001</v>
      </c>
      <c r="K2608"/>
      <c r="L2608" s="166"/>
    </row>
    <row r="2609" spans="1:12" ht="25.5" customHeight="1" thickTop="1" x14ac:dyDescent="0.3">
      <c r="A2609" s="407"/>
      <c r="B2609" s="407"/>
      <c r="C2609" s="407"/>
      <c r="D2609" s="407"/>
      <c r="E2609" s="407"/>
      <c r="F2609" s="407"/>
      <c r="G2609" s="407"/>
      <c r="H2609" s="407"/>
      <c r="I2609" s="407"/>
      <c r="J2609" s="407"/>
      <c r="K2609" s="407"/>
      <c r="L2609" s="166"/>
    </row>
    <row r="2610" spans="1:12" ht="15" customHeight="1" x14ac:dyDescent="0.3">
      <c r="A2610" s="382" t="s">
        <v>1875</v>
      </c>
      <c r="B2610" s="312" t="s">
        <v>413</v>
      </c>
      <c r="C2610" s="382" t="s">
        <v>414</v>
      </c>
      <c r="D2610" s="382" t="s">
        <v>415</v>
      </c>
      <c r="E2610" s="586" t="s">
        <v>1029</v>
      </c>
      <c r="F2610" s="586"/>
      <c r="G2610" s="383" t="s">
        <v>416</v>
      </c>
      <c r="H2610" s="312" t="s">
        <v>1030</v>
      </c>
      <c r="I2610" s="312" t="s">
        <v>3016</v>
      </c>
      <c r="J2610" s="312" t="s">
        <v>1031</v>
      </c>
      <c r="K2610" s="312" t="s">
        <v>1032</v>
      </c>
      <c r="L2610" s="166"/>
    </row>
    <row r="2611" spans="1:12" ht="25.5" customHeight="1" x14ac:dyDescent="0.3">
      <c r="A2611" s="313" t="s">
        <v>1033</v>
      </c>
      <c r="B2611" s="315" t="s">
        <v>893</v>
      </c>
      <c r="C2611" s="313" t="s">
        <v>5902</v>
      </c>
      <c r="D2611" s="313" t="s">
        <v>451</v>
      </c>
      <c r="E2611" s="603">
        <v>69.2</v>
      </c>
      <c r="F2611" s="603"/>
      <c r="G2611" s="314" t="s">
        <v>4</v>
      </c>
      <c r="H2611" s="399">
        <v>1</v>
      </c>
      <c r="I2611" s="316"/>
      <c r="J2611" s="316">
        <v>19.350000000000001</v>
      </c>
      <c r="K2611" s="316">
        <v>19.350000000000001</v>
      </c>
      <c r="L2611" s="168"/>
    </row>
    <row r="2612" spans="1:12" ht="25.5" customHeight="1" x14ac:dyDescent="0.3">
      <c r="A2612" s="400" t="s">
        <v>1038</v>
      </c>
      <c r="B2612" s="401" t="s">
        <v>1051</v>
      </c>
      <c r="C2612" s="400" t="s">
        <v>5902</v>
      </c>
      <c r="D2612" s="400" t="s">
        <v>1052</v>
      </c>
      <c r="E2612" s="605" t="s">
        <v>1053</v>
      </c>
      <c r="F2612" s="605"/>
      <c r="G2612" s="402" t="s">
        <v>6</v>
      </c>
      <c r="H2612" s="403">
        <v>0.2</v>
      </c>
      <c r="I2612" s="403">
        <v>0</v>
      </c>
      <c r="J2612" s="404">
        <v>33.119999999999997</v>
      </c>
      <c r="K2612" s="404">
        <v>6.6239999999999997</v>
      </c>
      <c r="L2612" s="170"/>
    </row>
    <row r="2613" spans="1:12" ht="26.4" x14ac:dyDescent="0.3">
      <c r="A2613" s="400" t="s">
        <v>1038</v>
      </c>
      <c r="B2613" s="401" t="s">
        <v>1054</v>
      </c>
      <c r="C2613" s="400" t="s">
        <v>5902</v>
      </c>
      <c r="D2613" s="400" t="s">
        <v>1055</v>
      </c>
      <c r="E2613" s="605" t="s">
        <v>1053</v>
      </c>
      <c r="F2613" s="605"/>
      <c r="G2613" s="402" t="s">
        <v>6</v>
      </c>
      <c r="H2613" s="403">
        <v>0.2</v>
      </c>
      <c r="I2613" s="403">
        <v>0</v>
      </c>
      <c r="J2613" s="404">
        <v>22.71</v>
      </c>
      <c r="K2613" s="404">
        <v>4.5419999999999998</v>
      </c>
      <c r="L2613" s="168"/>
    </row>
    <row r="2614" spans="1:12" ht="26.4" x14ac:dyDescent="0.3">
      <c r="A2614" s="400" t="s">
        <v>1038</v>
      </c>
      <c r="B2614" s="401" t="s">
        <v>1134</v>
      </c>
      <c r="C2614" s="400" t="s">
        <v>5902</v>
      </c>
      <c r="D2614" s="400" t="s">
        <v>1135</v>
      </c>
      <c r="E2614" s="605" t="s">
        <v>1039</v>
      </c>
      <c r="F2614" s="605"/>
      <c r="G2614" s="402" t="s">
        <v>4</v>
      </c>
      <c r="H2614" s="403">
        <v>1</v>
      </c>
      <c r="I2614" s="403">
        <v>0</v>
      </c>
      <c r="J2614" s="404">
        <v>8.18</v>
      </c>
      <c r="K2614" s="404">
        <v>8.18</v>
      </c>
      <c r="L2614" s="168"/>
    </row>
    <row r="2615" spans="1:12" ht="15" customHeight="1" x14ac:dyDescent="0.3">
      <c r="A2615" s="405"/>
      <c r="B2615" s="405"/>
      <c r="C2615" s="405"/>
      <c r="D2615" s="405"/>
      <c r="E2615" s="405" t="s">
        <v>1046</v>
      </c>
      <c r="F2615" s="406">
        <v>11.16</v>
      </c>
      <c r="G2615" s="405" t="s">
        <v>1047</v>
      </c>
      <c r="H2615" s="406">
        <v>0</v>
      </c>
      <c r="I2615" s="405" t="s">
        <v>1048</v>
      </c>
      <c r="J2615" s="406">
        <v>11.16</v>
      </c>
      <c r="K2615"/>
      <c r="L2615" s="168"/>
    </row>
    <row r="2616" spans="1:12" ht="30" customHeight="1" thickBot="1" x14ac:dyDescent="0.35">
      <c r="A2616" s="405"/>
      <c r="B2616" s="405"/>
      <c r="C2616" s="405"/>
      <c r="D2616" s="405"/>
      <c r="E2616" s="405" t="s">
        <v>1049</v>
      </c>
      <c r="F2616" s="406">
        <v>0</v>
      </c>
      <c r="G2616" s="405"/>
      <c r="H2616" s="606"/>
      <c r="I2616" s="606" t="s">
        <v>1050</v>
      </c>
      <c r="J2616" s="406">
        <v>19.350000000000001</v>
      </c>
      <c r="K2616"/>
      <c r="L2616" s="166"/>
    </row>
    <row r="2617" spans="1:12" ht="15" customHeight="1" thickTop="1" x14ac:dyDescent="0.3">
      <c r="A2617" s="407"/>
      <c r="B2617" s="407"/>
      <c r="C2617" s="407"/>
      <c r="D2617" s="407"/>
      <c r="E2617" s="407"/>
      <c r="F2617" s="407"/>
      <c r="G2617" s="407"/>
      <c r="H2617" s="407"/>
      <c r="I2617" s="407"/>
      <c r="J2617" s="407"/>
      <c r="K2617" s="407"/>
      <c r="L2617" s="166"/>
    </row>
    <row r="2618" spans="1:12" ht="15" x14ac:dyDescent="0.3">
      <c r="A2618" s="382" t="s">
        <v>1877</v>
      </c>
      <c r="B2618" s="312" t="s">
        <v>413</v>
      </c>
      <c r="C2618" s="382" t="s">
        <v>414</v>
      </c>
      <c r="D2618" s="382" t="s">
        <v>415</v>
      </c>
      <c r="E2618" s="586" t="s">
        <v>1029</v>
      </c>
      <c r="F2618" s="586"/>
      <c r="G2618" s="383" t="s">
        <v>416</v>
      </c>
      <c r="H2618" s="312" t="s">
        <v>1030</v>
      </c>
      <c r="I2618" s="312" t="s">
        <v>3016</v>
      </c>
      <c r="J2618" s="312" t="s">
        <v>1031</v>
      </c>
      <c r="K2618" s="312" t="s">
        <v>1032</v>
      </c>
      <c r="L2618" s="168"/>
    </row>
    <row r="2619" spans="1:12" ht="15" customHeight="1" x14ac:dyDescent="0.3">
      <c r="A2619" s="313" t="s">
        <v>1033</v>
      </c>
      <c r="B2619" s="315" t="s">
        <v>894</v>
      </c>
      <c r="C2619" s="313" t="s">
        <v>5902</v>
      </c>
      <c r="D2619" s="313" t="s">
        <v>453</v>
      </c>
      <c r="E2619" s="603">
        <v>50.05</v>
      </c>
      <c r="F2619" s="603"/>
      <c r="G2619" s="314" t="s">
        <v>4</v>
      </c>
      <c r="H2619" s="399">
        <v>1</v>
      </c>
      <c r="I2619" s="316"/>
      <c r="J2619" s="316">
        <v>244.09</v>
      </c>
      <c r="K2619" s="316">
        <v>244.09</v>
      </c>
      <c r="L2619" s="168"/>
    </row>
    <row r="2620" spans="1:12" ht="25.5" customHeight="1" x14ac:dyDescent="0.3">
      <c r="A2620" s="400" t="s">
        <v>1038</v>
      </c>
      <c r="B2620" s="401" t="s">
        <v>1051</v>
      </c>
      <c r="C2620" s="400" t="s">
        <v>5902</v>
      </c>
      <c r="D2620" s="400" t="s">
        <v>1052</v>
      </c>
      <c r="E2620" s="605" t="s">
        <v>1053</v>
      </c>
      <c r="F2620" s="605"/>
      <c r="G2620" s="402" t="s">
        <v>6</v>
      </c>
      <c r="H2620" s="403">
        <v>1</v>
      </c>
      <c r="I2620" s="403">
        <v>0</v>
      </c>
      <c r="J2620" s="404">
        <v>33.119999999999997</v>
      </c>
      <c r="K2620" s="404">
        <v>33.119999999999997</v>
      </c>
      <c r="L2620" s="168"/>
    </row>
    <row r="2621" spans="1:12" ht="25.5" customHeight="1" x14ac:dyDescent="0.3">
      <c r="A2621" s="400" t="s">
        <v>1038</v>
      </c>
      <c r="B2621" s="401" t="s">
        <v>1054</v>
      </c>
      <c r="C2621" s="400" t="s">
        <v>5902</v>
      </c>
      <c r="D2621" s="400" t="s">
        <v>1055</v>
      </c>
      <c r="E2621" s="605" t="s">
        <v>1053</v>
      </c>
      <c r="F2621" s="605"/>
      <c r="G2621" s="402" t="s">
        <v>6</v>
      </c>
      <c r="H2621" s="403">
        <v>1</v>
      </c>
      <c r="I2621" s="403">
        <v>0</v>
      </c>
      <c r="J2621" s="404">
        <v>22.71</v>
      </c>
      <c r="K2621" s="404">
        <v>22.71</v>
      </c>
      <c r="L2621" s="168"/>
    </row>
    <row r="2622" spans="1:12" ht="25.5" customHeight="1" x14ac:dyDescent="0.3">
      <c r="A2622" s="400" t="s">
        <v>1038</v>
      </c>
      <c r="B2622" s="401" t="s">
        <v>1136</v>
      </c>
      <c r="C2622" s="400" t="s">
        <v>5902</v>
      </c>
      <c r="D2622" s="400" t="s">
        <v>1137</v>
      </c>
      <c r="E2622" s="605" t="s">
        <v>1039</v>
      </c>
      <c r="F2622" s="605"/>
      <c r="G2622" s="402" t="s">
        <v>4</v>
      </c>
      <c r="H2622" s="403">
        <v>1</v>
      </c>
      <c r="I2622" s="403">
        <v>0</v>
      </c>
      <c r="J2622" s="404">
        <v>188.26</v>
      </c>
      <c r="K2622" s="404">
        <v>188.26</v>
      </c>
      <c r="L2622" s="166"/>
    </row>
    <row r="2623" spans="1:12" ht="15" x14ac:dyDescent="0.3">
      <c r="A2623" s="405"/>
      <c r="B2623" s="405"/>
      <c r="C2623" s="405"/>
      <c r="D2623" s="405"/>
      <c r="E2623" s="405" t="s">
        <v>1046</v>
      </c>
      <c r="F2623" s="406">
        <v>55.83</v>
      </c>
      <c r="G2623" s="405" t="s">
        <v>1047</v>
      </c>
      <c r="H2623" s="406">
        <v>0</v>
      </c>
      <c r="I2623" s="405" t="s">
        <v>1048</v>
      </c>
      <c r="J2623" s="406">
        <v>55.83</v>
      </c>
      <c r="K2623"/>
      <c r="L2623" s="168"/>
    </row>
    <row r="2624" spans="1:12" ht="30" customHeight="1" thickBot="1" x14ac:dyDescent="0.35">
      <c r="A2624" s="405"/>
      <c r="B2624" s="405"/>
      <c r="C2624" s="405"/>
      <c r="D2624" s="405"/>
      <c r="E2624" s="405" t="s">
        <v>1049</v>
      </c>
      <c r="F2624" s="406">
        <v>0</v>
      </c>
      <c r="G2624" s="405"/>
      <c r="H2624" s="606"/>
      <c r="I2624" s="606" t="s">
        <v>1050</v>
      </c>
      <c r="J2624" s="406">
        <v>244.09</v>
      </c>
      <c r="K2624"/>
      <c r="L2624" s="168"/>
    </row>
    <row r="2625" spans="1:12" ht="30" customHeight="1" thickTop="1" x14ac:dyDescent="0.3">
      <c r="A2625" s="407"/>
      <c r="B2625" s="407"/>
      <c r="C2625" s="407"/>
      <c r="D2625" s="407"/>
      <c r="E2625" s="407"/>
      <c r="F2625" s="407"/>
      <c r="G2625" s="407"/>
      <c r="H2625" s="407"/>
      <c r="I2625" s="407"/>
      <c r="J2625" s="407"/>
      <c r="K2625" s="407"/>
      <c r="L2625" s="168"/>
    </row>
    <row r="2626" spans="1:12" ht="14.25" customHeight="1" x14ac:dyDescent="0.3">
      <c r="A2626" s="382" t="s">
        <v>1879</v>
      </c>
      <c r="B2626" s="312" t="s">
        <v>413</v>
      </c>
      <c r="C2626" s="382" t="s">
        <v>414</v>
      </c>
      <c r="D2626" s="382" t="s">
        <v>415</v>
      </c>
      <c r="E2626" s="586" t="s">
        <v>1029</v>
      </c>
      <c r="F2626" s="586"/>
      <c r="G2626" s="383" t="s">
        <v>416</v>
      </c>
      <c r="H2626" s="312" t="s">
        <v>1030</v>
      </c>
      <c r="I2626" s="312" t="s">
        <v>3016</v>
      </c>
      <c r="J2626" s="312" t="s">
        <v>1031</v>
      </c>
      <c r="K2626" s="312" t="s">
        <v>1032</v>
      </c>
      <c r="L2626" s="166"/>
    </row>
    <row r="2627" spans="1:12" ht="26.4" x14ac:dyDescent="0.3">
      <c r="A2627" s="313" t="s">
        <v>1033</v>
      </c>
      <c r="B2627" s="315" t="s">
        <v>941</v>
      </c>
      <c r="C2627" s="313" t="s">
        <v>420</v>
      </c>
      <c r="D2627" s="313" t="s">
        <v>531</v>
      </c>
      <c r="E2627" s="603" t="s">
        <v>1240</v>
      </c>
      <c r="F2627" s="603"/>
      <c r="G2627" s="314" t="s">
        <v>422</v>
      </c>
      <c r="H2627" s="399">
        <v>1</v>
      </c>
      <c r="I2627" s="316"/>
      <c r="J2627" s="316">
        <v>240.59</v>
      </c>
      <c r="K2627" s="316">
        <v>240.59</v>
      </c>
      <c r="L2627" s="166"/>
    </row>
    <row r="2628" spans="1:12" ht="15" customHeight="1" x14ac:dyDescent="0.3">
      <c r="A2628" s="408" t="s">
        <v>1034</v>
      </c>
      <c r="B2628" s="409" t="s">
        <v>1071</v>
      </c>
      <c r="C2628" s="408" t="s">
        <v>420</v>
      </c>
      <c r="D2628" s="408" t="s">
        <v>1072</v>
      </c>
      <c r="E2628" s="604" t="s">
        <v>1069</v>
      </c>
      <c r="F2628" s="604"/>
      <c r="G2628" s="410" t="s">
        <v>1070</v>
      </c>
      <c r="H2628" s="412">
        <v>0.3</v>
      </c>
      <c r="I2628" s="412">
        <v>0</v>
      </c>
      <c r="J2628" s="411">
        <v>3.95</v>
      </c>
      <c r="K2628" s="411">
        <v>1.1850000000000001</v>
      </c>
      <c r="L2628" s="168"/>
    </row>
    <row r="2629" spans="1:12" ht="26.4" x14ac:dyDescent="0.3">
      <c r="A2629" s="408" t="s">
        <v>1034</v>
      </c>
      <c r="B2629" s="409" t="s">
        <v>1067</v>
      </c>
      <c r="C2629" s="408" t="s">
        <v>420</v>
      </c>
      <c r="D2629" s="408" t="s">
        <v>1068</v>
      </c>
      <c r="E2629" s="604" t="s">
        <v>1069</v>
      </c>
      <c r="F2629" s="604"/>
      <c r="G2629" s="410" t="s">
        <v>1070</v>
      </c>
      <c r="H2629" s="412">
        <v>0.3</v>
      </c>
      <c r="I2629" s="412">
        <v>0</v>
      </c>
      <c r="J2629" s="411">
        <v>3.82</v>
      </c>
      <c r="K2629" s="411">
        <v>1.1459999999999999</v>
      </c>
      <c r="L2629" s="168"/>
    </row>
    <row r="2630" spans="1:12" ht="25.5" customHeight="1" x14ac:dyDescent="0.3">
      <c r="A2630" s="400" t="s">
        <v>1038</v>
      </c>
      <c r="B2630" s="401" t="s">
        <v>6199</v>
      </c>
      <c r="C2630" s="400" t="s">
        <v>420</v>
      </c>
      <c r="D2630" s="400" t="s">
        <v>6200</v>
      </c>
      <c r="E2630" s="605" t="s">
        <v>1053</v>
      </c>
      <c r="F2630" s="605"/>
      <c r="G2630" s="402" t="s">
        <v>1070</v>
      </c>
      <c r="H2630" s="403">
        <v>0.3</v>
      </c>
      <c r="I2630" s="403">
        <v>0</v>
      </c>
      <c r="J2630" s="404">
        <v>20.45</v>
      </c>
      <c r="K2630" s="404">
        <v>6.1349999999999998</v>
      </c>
      <c r="L2630" s="168"/>
    </row>
    <row r="2631" spans="1:12" ht="15" x14ac:dyDescent="0.3">
      <c r="A2631" s="400" t="s">
        <v>1038</v>
      </c>
      <c r="B2631" s="401" t="s">
        <v>6251</v>
      </c>
      <c r="C2631" s="400" t="s">
        <v>420</v>
      </c>
      <c r="D2631" s="400" t="s">
        <v>6252</v>
      </c>
      <c r="E2631" s="605" t="s">
        <v>1053</v>
      </c>
      <c r="F2631" s="605"/>
      <c r="G2631" s="402" t="s">
        <v>1070</v>
      </c>
      <c r="H2631" s="403">
        <v>0.3</v>
      </c>
      <c r="I2631" s="403">
        <v>0</v>
      </c>
      <c r="J2631" s="404">
        <v>15.59</v>
      </c>
      <c r="K2631" s="404">
        <v>4.6769999999999996</v>
      </c>
      <c r="L2631" s="166"/>
    </row>
    <row r="2632" spans="1:12" ht="25.5" customHeight="1" x14ac:dyDescent="0.3">
      <c r="A2632" s="400" t="s">
        <v>1038</v>
      </c>
      <c r="B2632" s="401" t="s">
        <v>1241</v>
      </c>
      <c r="C2632" s="400" t="s">
        <v>420</v>
      </c>
      <c r="D2632" s="400" t="s">
        <v>531</v>
      </c>
      <c r="E2632" s="605" t="s">
        <v>1039</v>
      </c>
      <c r="F2632" s="605"/>
      <c r="G2632" s="402" t="s">
        <v>422</v>
      </c>
      <c r="H2632" s="403">
        <v>1</v>
      </c>
      <c r="I2632" s="403">
        <v>0</v>
      </c>
      <c r="J2632" s="404">
        <v>227.45</v>
      </c>
      <c r="K2632" s="404">
        <v>227.45</v>
      </c>
      <c r="L2632" s="166"/>
    </row>
    <row r="2633" spans="1:12" ht="25.5" customHeight="1" x14ac:dyDescent="0.3">
      <c r="A2633" s="405"/>
      <c r="B2633" s="405"/>
      <c r="C2633" s="405"/>
      <c r="D2633" s="405"/>
      <c r="E2633" s="405" t="s">
        <v>1046</v>
      </c>
      <c r="F2633" s="406">
        <v>10.82</v>
      </c>
      <c r="G2633" s="405" t="s">
        <v>1047</v>
      </c>
      <c r="H2633" s="406">
        <v>0</v>
      </c>
      <c r="I2633" s="405" t="s">
        <v>1048</v>
      </c>
      <c r="J2633" s="406">
        <v>10.82</v>
      </c>
      <c r="K2633"/>
      <c r="L2633" s="166"/>
    </row>
    <row r="2634" spans="1:12" ht="15" customHeight="1" thickBot="1" x14ac:dyDescent="0.35">
      <c r="A2634" s="405"/>
      <c r="B2634" s="405"/>
      <c r="C2634" s="405"/>
      <c r="D2634" s="405"/>
      <c r="E2634" s="405" t="s">
        <v>1049</v>
      </c>
      <c r="F2634" s="406">
        <v>0</v>
      </c>
      <c r="G2634" s="405"/>
      <c r="H2634" s="606"/>
      <c r="I2634" s="606" t="s">
        <v>1050</v>
      </c>
      <c r="J2634" s="406">
        <v>240.59</v>
      </c>
      <c r="K2634"/>
      <c r="L2634" s="166"/>
    </row>
    <row r="2635" spans="1:12" ht="30" customHeight="1" thickTop="1" x14ac:dyDescent="0.3">
      <c r="A2635" s="407"/>
      <c r="B2635" s="407"/>
      <c r="C2635" s="407"/>
      <c r="D2635" s="407"/>
      <c r="E2635" s="407"/>
      <c r="F2635" s="407"/>
      <c r="G2635" s="407"/>
      <c r="H2635" s="407"/>
      <c r="I2635" s="407"/>
      <c r="J2635" s="407"/>
      <c r="K2635" s="407"/>
      <c r="L2635" s="166"/>
    </row>
    <row r="2636" spans="1:12" ht="14.25" customHeight="1" x14ac:dyDescent="0.3">
      <c r="A2636" s="382" t="s">
        <v>1886</v>
      </c>
      <c r="B2636" s="312" t="s">
        <v>413</v>
      </c>
      <c r="C2636" s="382" t="s">
        <v>414</v>
      </c>
      <c r="D2636" s="382" t="s">
        <v>415</v>
      </c>
      <c r="E2636" s="586" t="s">
        <v>1029</v>
      </c>
      <c r="F2636" s="586"/>
      <c r="G2636" s="383" t="s">
        <v>416</v>
      </c>
      <c r="H2636" s="312" t="s">
        <v>1030</v>
      </c>
      <c r="I2636" s="312" t="s">
        <v>3016</v>
      </c>
      <c r="J2636" s="312" t="s">
        <v>1031</v>
      </c>
      <c r="K2636" s="312" t="s">
        <v>1032</v>
      </c>
      <c r="L2636" s="166"/>
    </row>
    <row r="2637" spans="1:12" ht="14.25" customHeight="1" x14ac:dyDescent="0.3">
      <c r="A2637" s="313" t="s">
        <v>1033</v>
      </c>
      <c r="B2637" s="315" t="s">
        <v>895</v>
      </c>
      <c r="C2637" s="313" t="s">
        <v>455</v>
      </c>
      <c r="D2637" s="313" t="s">
        <v>456</v>
      </c>
      <c r="E2637" s="603">
        <v>6002</v>
      </c>
      <c r="F2637" s="603"/>
      <c r="G2637" s="314" t="s">
        <v>4</v>
      </c>
      <c r="H2637" s="399">
        <v>1</v>
      </c>
      <c r="I2637" s="316"/>
      <c r="J2637" s="316">
        <v>1.46</v>
      </c>
      <c r="K2637" s="316">
        <v>1.46</v>
      </c>
      <c r="L2637" s="166"/>
    </row>
    <row r="2638" spans="1:12" ht="15" x14ac:dyDescent="0.3">
      <c r="A2638" s="400" t="s">
        <v>1038</v>
      </c>
      <c r="B2638" s="401" t="s">
        <v>1138</v>
      </c>
      <c r="C2638" s="400" t="s">
        <v>455</v>
      </c>
      <c r="D2638" s="400" t="s">
        <v>1139</v>
      </c>
      <c r="E2638" s="605" t="s">
        <v>1053</v>
      </c>
      <c r="F2638" s="605"/>
      <c r="G2638" s="402" t="s">
        <v>6</v>
      </c>
      <c r="H2638" s="403">
        <v>0.03</v>
      </c>
      <c r="I2638" s="403">
        <v>0</v>
      </c>
      <c r="J2638" s="404">
        <v>20.117699999999999</v>
      </c>
      <c r="K2638" s="404">
        <v>0.60353100000000004</v>
      </c>
      <c r="L2638" s="168"/>
    </row>
    <row r="2639" spans="1:12" ht="17.399999999999999" customHeight="1" x14ac:dyDescent="0.3">
      <c r="A2639" s="400" t="s">
        <v>1038</v>
      </c>
      <c r="B2639" s="401" t="s">
        <v>1140</v>
      </c>
      <c r="C2639" s="400" t="s">
        <v>455</v>
      </c>
      <c r="D2639" s="400" t="s">
        <v>1093</v>
      </c>
      <c r="E2639" s="605" t="s">
        <v>1053</v>
      </c>
      <c r="F2639" s="605"/>
      <c r="G2639" s="402" t="s">
        <v>6</v>
      </c>
      <c r="H2639" s="403">
        <v>0.03</v>
      </c>
      <c r="I2639" s="403">
        <v>0</v>
      </c>
      <c r="J2639" s="404">
        <v>28.438500000000001</v>
      </c>
      <c r="K2639" s="404">
        <v>0.853155</v>
      </c>
      <c r="L2639" s="170"/>
    </row>
    <row r="2640" spans="1:12" ht="25.5" customHeight="1" x14ac:dyDescent="0.3">
      <c r="A2640" s="405"/>
      <c r="B2640" s="405"/>
      <c r="C2640" s="405"/>
      <c r="D2640" s="405"/>
      <c r="E2640" s="405" t="s">
        <v>1046</v>
      </c>
      <c r="F2640" s="406">
        <v>1.45</v>
      </c>
      <c r="G2640" s="405" t="s">
        <v>1047</v>
      </c>
      <c r="H2640" s="406">
        <v>0</v>
      </c>
      <c r="I2640" s="405" t="s">
        <v>1048</v>
      </c>
      <c r="J2640" s="406">
        <v>1.45</v>
      </c>
      <c r="K2640"/>
      <c r="L2640" s="168"/>
    </row>
    <row r="2641" spans="1:12" ht="15" customHeight="1" thickBot="1" x14ac:dyDescent="0.35">
      <c r="A2641" s="405"/>
      <c r="B2641" s="405"/>
      <c r="C2641" s="405"/>
      <c r="D2641" s="405"/>
      <c r="E2641" s="405" t="s">
        <v>1049</v>
      </c>
      <c r="F2641" s="406">
        <v>0</v>
      </c>
      <c r="G2641" s="405"/>
      <c r="H2641" s="606"/>
      <c r="I2641" s="606" t="s">
        <v>1050</v>
      </c>
      <c r="J2641" s="406">
        <v>1.46</v>
      </c>
      <c r="K2641"/>
      <c r="L2641" s="168"/>
    </row>
    <row r="2642" spans="1:12" ht="15" customHeight="1" thickTop="1" x14ac:dyDescent="0.3">
      <c r="A2642" s="407"/>
      <c r="B2642" s="407"/>
      <c r="C2642" s="407"/>
      <c r="D2642" s="407"/>
      <c r="E2642" s="407"/>
      <c r="F2642" s="407"/>
      <c r="G2642" s="407"/>
      <c r="H2642" s="407"/>
      <c r="I2642" s="407"/>
      <c r="J2642" s="407"/>
      <c r="K2642" s="407"/>
      <c r="L2642" s="168"/>
    </row>
    <row r="2643" spans="1:12" ht="25.5" customHeight="1" x14ac:dyDescent="0.3">
      <c r="A2643" s="382" t="s">
        <v>1887</v>
      </c>
      <c r="B2643" s="312" t="s">
        <v>413</v>
      </c>
      <c r="C2643" s="382" t="s">
        <v>414</v>
      </c>
      <c r="D2643" s="382" t="s">
        <v>415</v>
      </c>
      <c r="E2643" s="586" t="s">
        <v>1029</v>
      </c>
      <c r="F2643" s="586"/>
      <c r="G2643" s="383" t="s">
        <v>416</v>
      </c>
      <c r="H2643" s="312" t="s">
        <v>1030</v>
      </c>
      <c r="I2643" s="312" t="s">
        <v>3016</v>
      </c>
      <c r="J2643" s="312" t="s">
        <v>1031</v>
      </c>
      <c r="K2643" s="312" t="s">
        <v>1032</v>
      </c>
      <c r="L2643" s="166"/>
    </row>
    <row r="2644" spans="1:12" ht="12.75" customHeight="1" x14ac:dyDescent="0.3">
      <c r="A2644" s="313" t="s">
        <v>1033</v>
      </c>
      <c r="B2644" s="315" t="s">
        <v>896</v>
      </c>
      <c r="C2644" s="313" t="s">
        <v>420</v>
      </c>
      <c r="D2644" s="313" t="s">
        <v>457</v>
      </c>
      <c r="E2644" s="603" t="s">
        <v>1107</v>
      </c>
      <c r="F2644" s="603"/>
      <c r="G2644" s="314" t="s">
        <v>437</v>
      </c>
      <c r="H2644" s="399">
        <v>1</v>
      </c>
      <c r="I2644" s="316"/>
      <c r="J2644" s="316">
        <v>11.09</v>
      </c>
      <c r="K2644" s="316">
        <v>11.09</v>
      </c>
      <c r="L2644" s="166"/>
    </row>
    <row r="2645" spans="1:12" ht="15" customHeight="1" x14ac:dyDescent="0.3">
      <c r="A2645" s="408" t="s">
        <v>1034</v>
      </c>
      <c r="B2645" s="409" t="s">
        <v>1071</v>
      </c>
      <c r="C2645" s="408" t="s">
        <v>420</v>
      </c>
      <c r="D2645" s="408" t="s">
        <v>1072</v>
      </c>
      <c r="E2645" s="604" t="s">
        <v>1069</v>
      </c>
      <c r="F2645" s="604"/>
      <c r="G2645" s="410" t="s">
        <v>1070</v>
      </c>
      <c r="H2645" s="412">
        <v>0.1</v>
      </c>
      <c r="I2645" s="412">
        <v>0</v>
      </c>
      <c r="J2645" s="411">
        <v>3.95</v>
      </c>
      <c r="K2645" s="411">
        <v>0.39500000000000002</v>
      </c>
      <c r="L2645" s="168"/>
    </row>
    <row r="2646" spans="1:12" ht="25.5" customHeight="1" x14ac:dyDescent="0.3">
      <c r="A2646" s="408" t="s">
        <v>1034</v>
      </c>
      <c r="B2646" s="409" t="s">
        <v>1067</v>
      </c>
      <c r="C2646" s="408" t="s">
        <v>420</v>
      </c>
      <c r="D2646" s="408" t="s">
        <v>1068</v>
      </c>
      <c r="E2646" s="604" t="s">
        <v>1069</v>
      </c>
      <c r="F2646" s="604"/>
      <c r="G2646" s="410" t="s">
        <v>1070</v>
      </c>
      <c r="H2646" s="412">
        <v>0.1</v>
      </c>
      <c r="I2646" s="412">
        <v>0</v>
      </c>
      <c r="J2646" s="411">
        <v>3.82</v>
      </c>
      <c r="K2646" s="411">
        <v>0.38200000000000001</v>
      </c>
      <c r="L2646" s="168"/>
    </row>
    <row r="2647" spans="1:12" ht="25.5" customHeight="1" x14ac:dyDescent="0.3">
      <c r="A2647" s="400" t="s">
        <v>1038</v>
      </c>
      <c r="B2647" s="401" t="s">
        <v>6199</v>
      </c>
      <c r="C2647" s="400" t="s">
        <v>420</v>
      </c>
      <c r="D2647" s="400" t="s">
        <v>6200</v>
      </c>
      <c r="E2647" s="605" t="s">
        <v>1053</v>
      </c>
      <c r="F2647" s="605"/>
      <c r="G2647" s="402" t="s">
        <v>1070</v>
      </c>
      <c r="H2647" s="403">
        <v>0.1</v>
      </c>
      <c r="I2647" s="403">
        <v>0</v>
      </c>
      <c r="J2647" s="404">
        <v>20.45</v>
      </c>
      <c r="K2647" s="404">
        <v>2.0449999999999999</v>
      </c>
      <c r="L2647" s="168"/>
    </row>
    <row r="2648" spans="1:12" ht="26.4" x14ac:dyDescent="0.3">
      <c r="A2648" s="400" t="s">
        <v>1038</v>
      </c>
      <c r="B2648" s="401" t="s">
        <v>7378</v>
      </c>
      <c r="C2648" s="400" t="s">
        <v>420</v>
      </c>
      <c r="D2648" s="400" t="s">
        <v>7379</v>
      </c>
      <c r="E2648" s="605" t="s">
        <v>1039</v>
      </c>
      <c r="F2648" s="605"/>
      <c r="G2648" s="402" t="s">
        <v>437</v>
      </c>
      <c r="H2648" s="403">
        <v>1.05</v>
      </c>
      <c r="I2648" s="403">
        <v>0</v>
      </c>
      <c r="J2648" s="404">
        <v>6.39</v>
      </c>
      <c r="K2648" s="404">
        <v>6.7095000000000002</v>
      </c>
      <c r="L2648" s="168"/>
    </row>
    <row r="2649" spans="1:12" ht="25.5" customHeight="1" x14ac:dyDescent="0.3">
      <c r="A2649" s="400" t="s">
        <v>1038</v>
      </c>
      <c r="B2649" s="401" t="s">
        <v>6251</v>
      </c>
      <c r="C2649" s="400" t="s">
        <v>420</v>
      </c>
      <c r="D2649" s="400" t="s">
        <v>6252</v>
      </c>
      <c r="E2649" s="605" t="s">
        <v>1053</v>
      </c>
      <c r="F2649" s="605"/>
      <c r="G2649" s="402" t="s">
        <v>1070</v>
      </c>
      <c r="H2649" s="403">
        <v>0.1</v>
      </c>
      <c r="I2649" s="403">
        <v>0</v>
      </c>
      <c r="J2649" s="404">
        <v>15.59</v>
      </c>
      <c r="K2649" s="404">
        <v>1.5589999999999999</v>
      </c>
      <c r="L2649" s="166"/>
    </row>
    <row r="2650" spans="1:12" ht="25.5" customHeight="1" x14ac:dyDescent="0.3">
      <c r="A2650" s="405"/>
      <c r="B2650" s="405"/>
      <c r="C2650" s="405"/>
      <c r="D2650" s="405"/>
      <c r="E2650" s="405" t="s">
        <v>1046</v>
      </c>
      <c r="F2650" s="406">
        <v>3.61</v>
      </c>
      <c r="G2650" s="405" t="s">
        <v>1047</v>
      </c>
      <c r="H2650" s="406">
        <v>0</v>
      </c>
      <c r="I2650" s="405" t="s">
        <v>1048</v>
      </c>
      <c r="J2650" s="406">
        <v>3.61</v>
      </c>
      <c r="K2650"/>
      <c r="L2650" s="168"/>
    </row>
    <row r="2651" spans="1:12" ht="25.5" customHeight="1" thickBot="1" x14ac:dyDescent="0.35">
      <c r="A2651" s="405"/>
      <c r="B2651" s="405"/>
      <c r="C2651" s="405"/>
      <c r="D2651" s="405"/>
      <c r="E2651" s="405" t="s">
        <v>1049</v>
      </c>
      <c r="F2651" s="406">
        <v>0</v>
      </c>
      <c r="G2651" s="405"/>
      <c r="H2651" s="606"/>
      <c r="I2651" s="606" t="s">
        <v>1050</v>
      </c>
      <c r="J2651" s="406">
        <v>11.09</v>
      </c>
      <c r="K2651"/>
      <c r="L2651" s="168"/>
    </row>
    <row r="2652" spans="1:12" ht="25.5" customHeight="1" thickTop="1" x14ac:dyDescent="0.3">
      <c r="A2652" s="407"/>
      <c r="B2652" s="407"/>
      <c r="C2652" s="407"/>
      <c r="D2652" s="407"/>
      <c r="E2652" s="407"/>
      <c r="F2652" s="407"/>
      <c r="G2652" s="407"/>
      <c r="H2652" s="407"/>
      <c r="I2652" s="407"/>
      <c r="J2652" s="407"/>
      <c r="K2652" s="407"/>
      <c r="L2652" s="168"/>
    </row>
    <row r="2653" spans="1:12" ht="12.75" customHeight="1" x14ac:dyDescent="0.3">
      <c r="A2653" s="382" t="s">
        <v>1896</v>
      </c>
      <c r="B2653" s="312" t="s">
        <v>413</v>
      </c>
      <c r="C2653" s="382" t="s">
        <v>414</v>
      </c>
      <c r="D2653" s="382" t="s">
        <v>415</v>
      </c>
      <c r="E2653" s="586" t="s">
        <v>1029</v>
      </c>
      <c r="F2653" s="586"/>
      <c r="G2653" s="383" t="s">
        <v>416</v>
      </c>
      <c r="H2653" s="312" t="s">
        <v>1030</v>
      </c>
      <c r="I2653" s="312" t="s">
        <v>3016</v>
      </c>
      <c r="J2653" s="312" t="s">
        <v>1031</v>
      </c>
      <c r="K2653" s="312" t="s">
        <v>1032</v>
      </c>
      <c r="L2653" s="166"/>
    </row>
    <row r="2654" spans="1:12" ht="39.6" x14ac:dyDescent="0.3">
      <c r="A2654" s="313" t="s">
        <v>1033</v>
      </c>
      <c r="B2654" s="315" t="s">
        <v>899</v>
      </c>
      <c r="C2654" s="313" t="s">
        <v>439</v>
      </c>
      <c r="D2654" s="313" t="s">
        <v>461</v>
      </c>
      <c r="E2654" s="603" t="s">
        <v>781</v>
      </c>
      <c r="F2654" s="603"/>
      <c r="G2654" s="314" t="s">
        <v>422</v>
      </c>
      <c r="H2654" s="399">
        <v>1</v>
      </c>
      <c r="I2654" s="316"/>
      <c r="J2654" s="316">
        <v>17.649999999999999</v>
      </c>
      <c r="K2654" s="316">
        <v>17.649999999999999</v>
      </c>
      <c r="L2654" s="166"/>
    </row>
    <row r="2655" spans="1:12" ht="14.25" customHeight="1" x14ac:dyDescent="0.3">
      <c r="A2655" s="408" t="s">
        <v>1034</v>
      </c>
      <c r="B2655" s="409" t="s">
        <v>1145</v>
      </c>
      <c r="C2655" s="408" t="s">
        <v>439</v>
      </c>
      <c r="D2655" s="408" t="s">
        <v>144</v>
      </c>
      <c r="E2655" s="604" t="s">
        <v>781</v>
      </c>
      <c r="F2655" s="604"/>
      <c r="G2655" s="410" t="s">
        <v>1109</v>
      </c>
      <c r="H2655" s="412">
        <v>0.26190469999999999</v>
      </c>
      <c r="I2655" s="412">
        <v>0</v>
      </c>
      <c r="J2655" s="411">
        <v>33.619999999999997</v>
      </c>
      <c r="K2655" s="411">
        <v>8.8052360000000007</v>
      </c>
      <c r="L2655" s="168"/>
    </row>
    <row r="2656" spans="1:12" ht="15" customHeight="1" x14ac:dyDescent="0.3">
      <c r="A2656" s="408" t="s">
        <v>1034</v>
      </c>
      <c r="B2656" s="409" t="s">
        <v>1146</v>
      </c>
      <c r="C2656" s="408" t="s">
        <v>439</v>
      </c>
      <c r="D2656" s="408" t="s">
        <v>147</v>
      </c>
      <c r="E2656" s="604" t="s">
        <v>781</v>
      </c>
      <c r="F2656" s="604"/>
      <c r="G2656" s="410" t="s">
        <v>1109</v>
      </c>
      <c r="H2656" s="412">
        <v>0.13095229999999999</v>
      </c>
      <c r="I2656" s="412">
        <v>0</v>
      </c>
      <c r="J2656" s="411">
        <v>24.8</v>
      </c>
      <c r="K2656" s="411">
        <v>3.247617</v>
      </c>
      <c r="L2656" s="168"/>
    </row>
    <row r="2657" spans="1:12" ht="52.8" x14ac:dyDescent="0.3">
      <c r="A2657" s="400" t="s">
        <v>1038</v>
      </c>
      <c r="B2657" s="401" t="s">
        <v>7265</v>
      </c>
      <c r="C2657" s="400" t="s">
        <v>439</v>
      </c>
      <c r="D2657" s="400" t="s">
        <v>1147</v>
      </c>
      <c r="E2657" s="605" t="s">
        <v>1039</v>
      </c>
      <c r="F2657" s="605"/>
      <c r="G2657" s="402" t="s">
        <v>422</v>
      </c>
      <c r="H2657" s="403">
        <v>1</v>
      </c>
      <c r="I2657" s="403">
        <v>0</v>
      </c>
      <c r="J2657" s="404">
        <v>5.6</v>
      </c>
      <c r="K2657" s="404">
        <v>5.6</v>
      </c>
      <c r="L2657" s="168"/>
    </row>
    <row r="2658" spans="1:12" ht="15" customHeight="1" x14ac:dyDescent="0.3">
      <c r="A2658" s="405"/>
      <c r="B2658" s="405"/>
      <c r="C2658" s="405"/>
      <c r="D2658" s="405"/>
      <c r="E2658" s="405" t="s">
        <v>1046</v>
      </c>
      <c r="F2658" s="406">
        <v>9.0399999999999991</v>
      </c>
      <c r="G2658" s="405" t="s">
        <v>1047</v>
      </c>
      <c r="H2658" s="406">
        <v>0</v>
      </c>
      <c r="I2658" s="405" t="s">
        <v>1048</v>
      </c>
      <c r="J2658" s="406">
        <v>9.0399999999999991</v>
      </c>
      <c r="K2658"/>
      <c r="L2658" s="166"/>
    </row>
    <row r="2659" spans="1:12" ht="25.5" customHeight="1" thickBot="1" x14ac:dyDescent="0.35">
      <c r="A2659" s="405"/>
      <c r="B2659" s="405"/>
      <c r="C2659" s="405"/>
      <c r="D2659" s="405"/>
      <c r="E2659" s="405" t="s">
        <v>1049</v>
      </c>
      <c r="F2659" s="406">
        <v>0</v>
      </c>
      <c r="G2659" s="405"/>
      <c r="H2659" s="606"/>
      <c r="I2659" s="606" t="s">
        <v>1050</v>
      </c>
      <c r="J2659" s="406">
        <v>17.649999999999999</v>
      </c>
      <c r="K2659"/>
      <c r="L2659" s="166"/>
    </row>
    <row r="2660" spans="1:12" ht="25.5" customHeight="1" thickTop="1" x14ac:dyDescent="0.3">
      <c r="A2660" s="407"/>
      <c r="B2660" s="407"/>
      <c r="C2660" s="407"/>
      <c r="D2660" s="407"/>
      <c r="E2660" s="407"/>
      <c r="F2660" s="407"/>
      <c r="G2660" s="407"/>
      <c r="H2660" s="407"/>
      <c r="I2660" s="407"/>
      <c r="J2660" s="407"/>
      <c r="K2660" s="407"/>
      <c r="L2660" s="166"/>
    </row>
    <row r="2661" spans="1:12" ht="25.5" customHeight="1" x14ac:dyDescent="0.3">
      <c r="A2661" s="382" t="s">
        <v>1902</v>
      </c>
      <c r="B2661" s="312" t="s">
        <v>413</v>
      </c>
      <c r="C2661" s="382" t="s">
        <v>414</v>
      </c>
      <c r="D2661" s="382" t="s">
        <v>415</v>
      </c>
      <c r="E2661" s="586" t="s">
        <v>1029</v>
      </c>
      <c r="F2661" s="586"/>
      <c r="G2661" s="383" t="s">
        <v>416</v>
      </c>
      <c r="H2661" s="312" t="s">
        <v>1030</v>
      </c>
      <c r="I2661" s="312" t="s">
        <v>3016</v>
      </c>
      <c r="J2661" s="312" t="s">
        <v>1031</v>
      </c>
      <c r="K2661" s="312" t="s">
        <v>1032</v>
      </c>
      <c r="L2661" s="166"/>
    </row>
    <row r="2662" spans="1:12" ht="25.5" customHeight="1" x14ac:dyDescent="0.3">
      <c r="A2662" s="313" t="s">
        <v>1033</v>
      </c>
      <c r="B2662" s="315" t="s">
        <v>2166</v>
      </c>
      <c r="C2662" s="313" t="s">
        <v>5902</v>
      </c>
      <c r="D2662" s="313" t="s">
        <v>1858</v>
      </c>
      <c r="E2662" s="603">
        <v>40.200000000000003</v>
      </c>
      <c r="F2662" s="603"/>
      <c r="G2662" s="314" t="s">
        <v>4</v>
      </c>
      <c r="H2662" s="399">
        <v>1</v>
      </c>
      <c r="I2662" s="316"/>
      <c r="J2662" s="316">
        <v>474.03</v>
      </c>
      <c r="K2662" s="316">
        <v>474.03</v>
      </c>
      <c r="L2662" s="166"/>
    </row>
    <row r="2663" spans="1:12" ht="25.5" customHeight="1" x14ac:dyDescent="0.3">
      <c r="A2663" s="400" t="s">
        <v>1038</v>
      </c>
      <c r="B2663" s="401" t="s">
        <v>1051</v>
      </c>
      <c r="C2663" s="400" t="s">
        <v>5902</v>
      </c>
      <c r="D2663" s="400" t="s">
        <v>1052</v>
      </c>
      <c r="E2663" s="605" t="s">
        <v>1053</v>
      </c>
      <c r="F2663" s="605"/>
      <c r="G2663" s="402" t="s">
        <v>6</v>
      </c>
      <c r="H2663" s="403">
        <v>0.3</v>
      </c>
      <c r="I2663" s="403">
        <v>0</v>
      </c>
      <c r="J2663" s="404">
        <v>33.119999999999997</v>
      </c>
      <c r="K2663" s="404">
        <v>9.9359999999999999</v>
      </c>
      <c r="L2663" s="166"/>
    </row>
    <row r="2664" spans="1:12" ht="25.5" customHeight="1" x14ac:dyDescent="0.3">
      <c r="A2664" s="400" t="s">
        <v>1038</v>
      </c>
      <c r="B2664" s="401" t="s">
        <v>1054</v>
      </c>
      <c r="C2664" s="400" t="s">
        <v>5902</v>
      </c>
      <c r="D2664" s="400" t="s">
        <v>1055</v>
      </c>
      <c r="E2664" s="605" t="s">
        <v>1053</v>
      </c>
      <c r="F2664" s="605"/>
      <c r="G2664" s="402" t="s">
        <v>6</v>
      </c>
      <c r="H2664" s="403">
        <v>0.3</v>
      </c>
      <c r="I2664" s="403">
        <v>0</v>
      </c>
      <c r="J2664" s="404">
        <v>22.71</v>
      </c>
      <c r="K2664" s="404">
        <v>6.8129999999999997</v>
      </c>
      <c r="L2664" s="166"/>
    </row>
    <row r="2665" spans="1:12" ht="25.5" customHeight="1" x14ac:dyDescent="0.3">
      <c r="A2665" s="400" t="s">
        <v>1038</v>
      </c>
      <c r="B2665" s="401" t="s">
        <v>2461</v>
      </c>
      <c r="C2665" s="400" t="s">
        <v>5902</v>
      </c>
      <c r="D2665" s="400" t="s">
        <v>2462</v>
      </c>
      <c r="E2665" s="605" t="s">
        <v>1039</v>
      </c>
      <c r="F2665" s="605"/>
      <c r="G2665" s="402" t="s">
        <v>4</v>
      </c>
      <c r="H2665" s="403">
        <v>1</v>
      </c>
      <c r="I2665" s="403">
        <v>0</v>
      </c>
      <c r="J2665" s="404">
        <v>457.28</v>
      </c>
      <c r="K2665" s="404">
        <v>457.28</v>
      </c>
      <c r="L2665" s="168"/>
    </row>
    <row r="2666" spans="1:12" ht="25.5" customHeight="1" x14ac:dyDescent="0.3">
      <c r="A2666" s="405"/>
      <c r="B2666" s="405"/>
      <c r="C2666" s="405"/>
      <c r="D2666" s="405"/>
      <c r="E2666" s="405" t="s">
        <v>1046</v>
      </c>
      <c r="F2666" s="406">
        <v>16.75</v>
      </c>
      <c r="G2666" s="405" t="s">
        <v>1047</v>
      </c>
      <c r="H2666" s="406">
        <v>0</v>
      </c>
      <c r="I2666" s="405" t="s">
        <v>1048</v>
      </c>
      <c r="J2666" s="406">
        <v>16.75</v>
      </c>
      <c r="K2666"/>
      <c r="L2666" s="170"/>
    </row>
    <row r="2667" spans="1:12" ht="15.6" thickBot="1" x14ac:dyDescent="0.35">
      <c r="A2667" s="405"/>
      <c r="B2667" s="405"/>
      <c r="C2667" s="405"/>
      <c r="D2667" s="405"/>
      <c r="E2667" s="405" t="s">
        <v>1049</v>
      </c>
      <c r="F2667" s="406">
        <v>0</v>
      </c>
      <c r="G2667" s="405"/>
      <c r="H2667" s="606"/>
      <c r="I2667" s="606" t="s">
        <v>1050</v>
      </c>
      <c r="J2667" s="406">
        <v>474.03</v>
      </c>
      <c r="K2667"/>
      <c r="L2667" s="168"/>
    </row>
    <row r="2668" spans="1:12" ht="15" customHeight="1" thickTop="1" x14ac:dyDescent="0.3">
      <c r="A2668" s="407"/>
      <c r="B2668" s="407"/>
      <c r="C2668" s="407"/>
      <c r="D2668" s="407"/>
      <c r="E2668" s="407"/>
      <c r="F2668" s="407"/>
      <c r="G2668" s="407"/>
      <c r="H2668" s="407"/>
      <c r="I2668" s="407"/>
      <c r="J2668" s="407"/>
      <c r="K2668" s="407"/>
      <c r="L2668" s="168"/>
    </row>
    <row r="2669" spans="1:12" ht="17.399999999999999" customHeight="1" x14ac:dyDescent="0.3">
      <c r="A2669" s="382" t="s">
        <v>1909</v>
      </c>
      <c r="B2669" s="312" t="s">
        <v>413</v>
      </c>
      <c r="C2669" s="382" t="s">
        <v>414</v>
      </c>
      <c r="D2669" s="382" t="s">
        <v>415</v>
      </c>
      <c r="E2669" s="586" t="s">
        <v>1029</v>
      </c>
      <c r="F2669" s="586"/>
      <c r="G2669" s="383" t="s">
        <v>416</v>
      </c>
      <c r="H2669" s="312" t="s">
        <v>1030</v>
      </c>
      <c r="I2669" s="312" t="s">
        <v>3016</v>
      </c>
      <c r="J2669" s="312" t="s">
        <v>1031</v>
      </c>
      <c r="K2669" s="312" t="s">
        <v>1032</v>
      </c>
      <c r="L2669" s="168"/>
    </row>
    <row r="2670" spans="1:12" ht="15" x14ac:dyDescent="0.3">
      <c r="A2670" s="313" t="s">
        <v>1033</v>
      </c>
      <c r="B2670" s="315" t="s">
        <v>3000</v>
      </c>
      <c r="C2670" s="313" t="s">
        <v>575</v>
      </c>
      <c r="D2670" s="313" t="s">
        <v>2908</v>
      </c>
      <c r="E2670" s="603" t="s">
        <v>1227</v>
      </c>
      <c r="F2670" s="603"/>
      <c r="G2670" s="314" t="s">
        <v>4</v>
      </c>
      <c r="H2670" s="399">
        <v>1</v>
      </c>
      <c r="I2670" s="316"/>
      <c r="J2670" s="316">
        <v>479.53</v>
      </c>
      <c r="K2670" s="316">
        <v>479.53</v>
      </c>
      <c r="L2670" s="166"/>
    </row>
    <row r="2671" spans="1:12" ht="12.75" customHeight="1" x14ac:dyDescent="0.3">
      <c r="A2671" s="400" t="s">
        <v>1038</v>
      </c>
      <c r="B2671" s="401" t="s">
        <v>3256</v>
      </c>
      <c r="C2671" s="400" t="s">
        <v>5902</v>
      </c>
      <c r="D2671" s="400" t="s">
        <v>3257</v>
      </c>
      <c r="E2671" s="605" t="s">
        <v>1053</v>
      </c>
      <c r="F2671" s="605"/>
      <c r="G2671" s="402" t="s">
        <v>6</v>
      </c>
      <c r="H2671" s="403">
        <v>1</v>
      </c>
      <c r="I2671" s="403">
        <v>0</v>
      </c>
      <c r="J2671" s="404">
        <v>223.96</v>
      </c>
      <c r="K2671" s="404">
        <v>223.96</v>
      </c>
      <c r="L2671" s="166"/>
    </row>
    <row r="2672" spans="1:12" ht="30" customHeight="1" x14ac:dyDescent="0.3">
      <c r="A2672" s="400" t="s">
        <v>1038</v>
      </c>
      <c r="B2672" s="401" t="s">
        <v>1051</v>
      </c>
      <c r="C2672" s="400" t="s">
        <v>5902</v>
      </c>
      <c r="D2672" s="400" t="s">
        <v>1052</v>
      </c>
      <c r="E2672" s="605" t="s">
        <v>1053</v>
      </c>
      <c r="F2672" s="605"/>
      <c r="G2672" s="402" t="s">
        <v>6</v>
      </c>
      <c r="H2672" s="403">
        <v>1</v>
      </c>
      <c r="I2672" s="403">
        <v>0</v>
      </c>
      <c r="J2672" s="404">
        <v>33.119999999999997</v>
      </c>
      <c r="K2672" s="404">
        <v>33.119999999999997</v>
      </c>
      <c r="L2672" s="168"/>
    </row>
    <row r="2673" spans="1:12" ht="14.25" customHeight="1" x14ac:dyDescent="0.3">
      <c r="A2673" s="400" t="s">
        <v>1038</v>
      </c>
      <c r="B2673" s="401" t="s">
        <v>3258</v>
      </c>
      <c r="C2673" s="400" t="s">
        <v>575</v>
      </c>
      <c r="D2673" s="400" t="s">
        <v>2908</v>
      </c>
      <c r="E2673" s="605" t="s">
        <v>1323</v>
      </c>
      <c r="F2673" s="605"/>
      <c r="G2673" s="402" t="s">
        <v>4</v>
      </c>
      <c r="H2673" s="403">
        <v>1</v>
      </c>
      <c r="I2673" s="403">
        <v>0</v>
      </c>
      <c r="J2673" s="404">
        <v>222.45</v>
      </c>
      <c r="K2673" s="404">
        <v>222.45</v>
      </c>
      <c r="L2673" s="168"/>
    </row>
    <row r="2674" spans="1:12" ht="30" customHeight="1" x14ac:dyDescent="0.3">
      <c r="A2674" s="405"/>
      <c r="B2674" s="405"/>
      <c r="C2674" s="405"/>
      <c r="D2674" s="405"/>
      <c r="E2674" s="405" t="s">
        <v>1046</v>
      </c>
      <c r="F2674" s="406">
        <v>257.08</v>
      </c>
      <c r="G2674" s="405" t="s">
        <v>1047</v>
      </c>
      <c r="H2674" s="406">
        <v>0</v>
      </c>
      <c r="I2674" s="405" t="s">
        <v>1048</v>
      </c>
      <c r="J2674" s="406">
        <v>257.08</v>
      </c>
      <c r="K2674"/>
      <c r="L2674" s="168"/>
    </row>
    <row r="2675" spans="1:12" ht="15.6" thickBot="1" x14ac:dyDescent="0.35">
      <c r="A2675" s="405"/>
      <c r="B2675" s="405"/>
      <c r="C2675" s="405"/>
      <c r="D2675" s="405"/>
      <c r="E2675" s="405" t="s">
        <v>1049</v>
      </c>
      <c r="F2675" s="406">
        <v>0</v>
      </c>
      <c r="G2675" s="405"/>
      <c r="H2675" s="606"/>
      <c r="I2675" s="606" t="s">
        <v>1050</v>
      </c>
      <c r="J2675" s="406">
        <v>479.53</v>
      </c>
      <c r="K2675"/>
      <c r="L2675" s="168"/>
    </row>
    <row r="2676" spans="1:12" ht="15.6" thickTop="1" x14ac:dyDescent="0.3">
      <c r="A2676" s="407"/>
      <c r="B2676" s="407"/>
      <c r="C2676" s="407"/>
      <c r="D2676" s="407"/>
      <c r="E2676" s="407"/>
      <c r="F2676" s="407"/>
      <c r="G2676" s="407"/>
      <c r="H2676" s="407"/>
      <c r="I2676" s="407"/>
      <c r="J2676" s="407"/>
      <c r="K2676" s="407"/>
      <c r="L2676" s="166"/>
    </row>
    <row r="2677" spans="1:12" ht="15" x14ac:dyDescent="0.3">
      <c r="A2677" s="382" t="s">
        <v>1910</v>
      </c>
      <c r="B2677" s="312" t="s">
        <v>413</v>
      </c>
      <c r="C2677" s="382" t="s">
        <v>414</v>
      </c>
      <c r="D2677" s="382" t="s">
        <v>415</v>
      </c>
      <c r="E2677" s="586" t="s">
        <v>1029</v>
      </c>
      <c r="F2677" s="586"/>
      <c r="G2677" s="383" t="s">
        <v>416</v>
      </c>
      <c r="H2677" s="312" t="s">
        <v>1030</v>
      </c>
      <c r="I2677" s="312" t="s">
        <v>3016</v>
      </c>
      <c r="J2677" s="312" t="s">
        <v>1031</v>
      </c>
      <c r="K2677" s="312" t="s">
        <v>1032</v>
      </c>
      <c r="L2677" s="168"/>
    </row>
    <row r="2678" spans="1:12" ht="17.399999999999999" customHeight="1" x14ac:dyDescent="0.3">
      <c r="A2678" s="313" t="s">
        <v>1033</v>
      </c>
      <c r="B2678" s="315" t="s">
        <v>2145</v>
      </c>
      <c r="C2678" s="313" t="s">
        <v>5902</v>
      </c>
      <c r="D2678" s="313" t="s">
        <v>1827</v>
      </c>
      <c r="E2678" s="603">
        <v>40.020000000000003</v>
      </c>
      <c r="F2678" s="603"/>
      <c r="G2678" s="314" t="s">
        <v>4</v>
      </c>
      <c r="H2678" s="399">
        <v>1</v>
      </c>
      <c r="I2678" s="316"/>
      <c r="J2678" s="316">
        <v>97.65</v>
      </c>
      <c r="K2678" s="316">
        <v>97.65</v>
      </c>
      <c r="L2678" s="168"/>
    </row>
    <row r="2679" spans="1:12" ht="15" customHeight="1" x14ac:dyDescent="0.3">
      <c r="A2679" s="400" t="s">
        <v>1038</v>
      </c>
      <c r="B2679" s="401" t="s">
        <v>1051</v>
      </c>
      <c r="C2679" s="400" t="s">
        <v>5902</v>
      </c>
      <c r="D2679" s="400" t="s">
        <v>1052</v>
      </c>
      <c r="E2679" s="605" t="s">
        <v>1053</v>
      </c>
      <c r="F2679" s="605"/>
      <c r="G2679" s="402" t="s">
        <v>6</v>
      </c>
      <c r="H2679" s="403">
        <v>0.3</v>
      </c>
      <c r="I2679" s="403">
        <v>0</v>
      </c>
      <c r="J2679" s="404">
        <v>33.119999999999997</v>
      </c>
      <c r="K2679" s="404">
        <v>9.9359999999999999</v>
      </c>
      <c r="L2679" s="168"/>
    </row>
    <row r="2680" spans="1:12" ht="12.75" customHeight="1" x14ac:dyDescent="0.3">
      <c r="A2680" s="400" t="s">
        <v>1038</v>
      </c>
      <c r="B2680" s="401" t="s">
        <v>1054</v>
      </c>
      <c r="C2680" s="400" t="s">
        <v>5902</v>
      </c>
      <c r="D2680" s="400" t="s">
        <v>1055</v>
      </c>
      <c r="E2680" s="605" t="s">
        <v>1053</v>
      </c>
      <c r="F2680" s="605"/>
      <c r="G2680" s="402" t="s">
        <v>6</v>
      </c>
      <c r="H2680" s="403">
        <v>0.3</v>
      </c>
      <c r="I2680" s="403">
        <v>0</v>
      </c>
      <c r="J2680" s="404">
        <v>22.71</v>
      </c>
      <c r="K2680" s="404">
        <v>6.8129999999999997</v>
      </c>
      <c r="L2680" s="166"/>
    </row>
    <row r="2681" spans="1:12" ht="30" customHeight="1" x14ac:dyDescent="0.3">
      <c r="A2681" s="400" t="s">
        <v>1038</v>
      </c>
      <c r="B2681" s="401" t="s">
        <v>2414</v>
      </c>
      <c r="C2681" s="400" t="s">
        <v>5902</v>
      </c>
      <c r="D2681" s="400" t="s">
        <v>2415</v>
      </c>
      <c r="E2681" s="605" t="s">
        <v>1039</v>
      </c>
      <c r="F2681" s="605"/>
      <c r="G2681" s="402" t="s">
        <v>4</v>
      </c>
      <c r="H2681" s="403">
        <v>1</v>
      </c>
      <c r="I2681" s="403">
        <v>0</v>
      </c>
      <c r="J2681" s="404">
        <v>80.900000000000006</v>
      </c>
      <c r="K2681" s="404">
        <v>80.900000000000006</v>
      </c>
      <c r="L2681" s="166"/>
    </row>
    <row r="2682" spans="1:12" ht="14.25" customHeight="1" x14ac:dyDescent="0.3">
      <c r="A2682" s="405"/>
      <c r="B2682" s="405"/>
      <c r="C2682" s="405"/>
      <c r="D2682" s="405"/>
      <c r="E2682" s="405" t="s">
        <v>1046</v>
      </c>
      <c r="F2682" s="406">
        <v>16.75</v>
      </c>
      <c r="G2682" s="405" t="s">
        <v>1047</v>
      </c>
      <c r="H2682" s="406">
        <v>0</v>
      </c>
      <c r="I2682" s="405" t="s">
        <v>1048</v>
      </c>
      <c r="J2682" s="406">
        <v>16.75</v>
      </c>
      <c r="K2682"/>
      <c r="L2682" s="168"/>
    </row>
    <row r="2683" spans="1:12" ht="15" customHeight="1" thickBot="1" x14ac:dyDescent="0.35">
      <c r="A2683" s="405"/>
      <c r="B2683" s="405"/>
      <c r="C2683" s="405"/>
      <c r="D2683" s="405"/>
      <c r="E2683" s="405" t="s">
        <v>1049</v>
      </c>
      <c r="F2683" s="406">
        <v>0</v>
      </c>
      <c r="G2683" s="405"/>
      <c r="H2683" s="606"/>
      <c r="I2683" s="606" t="s">
        <v>1050</v>
      </c>
      <c r="J2683" s="406">
        <v>97.65</v>
      </c>
      <c r="K2683"/>
      <c r="L2683" s="168"/>
    </row>
    <row r="2684" spans="1:12" ht="25.5" customHeight="1" thickTop="1" x14ac:dyDescent="0.3">
      <c r="A2684" s="407"/>
      <c r="B2684" s="407"/>
      <c r="C2684" s="407"/>
      <c r="D2684" s="407"/>
      <c r="E2684" s="407"/>
      <c r="F2684" s="407"/>
      <c r="G2684" s="407"/>
      <c r="H2684" s="407"/>
      <c r="I2684" s="407"/>
      <c r="J2684" s="407"/>
      <c r="K2684" s="407"/>
      <c r="L2684" s="168"/>
    </row>
    <row r="2685" spans="1:12" ht="25.5" customHeight="1" x14ac:dyDescent="0.3">
      <c r="A2685" s="382" t="s">
        <v>1916</v>
      </c>
      <c r="B2685" s="312" t="s">
        <v>413</v>
      </c>
      <c r="C2685" s="382" t="s">
        <v>414</v>
      </c>
      <c r="D2685" s="382" t="s">
        <v>415</v>
      </c>
      <c r="E2685" s="586" t="s">
        <v>1029</v>
      </c>
      <c r="F2685" s="586"/>
      <c r="G2685" s="383" t="s">
        <v>416</v>
      </c>
      <c r="H2685" s="312" t="s">
        <v>1030</v>
      </c>
      <c r="I2685" s="312" t="s">
        <v>3016</v>
      </c>
      <c r="J2685" s="312" t="s">
        <v>1031</v>
      </c>
      <c r="K2685" s="312" t="s">
        <v>1032</v>
      </c>
      <c r="L2685" s="166"/>
    </row>
    <row r="2686" spans="1:12" ht="15" customHeight="1" x14ac:dyDescent="0.3">
      <c r="A2686" s="313" t="s">
        <v>1033</v>
      </c>
      <c r="B2686" s="315" t="s">
        <v>2155</v>
      </c>
      <c r="C2686" s="313" t="s">
        <v>420</v>
      </c>
      <c r="D2686" s="313" t="s">
        <v>1828</v>
      </c>
      <c r="E2686" s="603" t="s">
        <v>1120</v>
      </c>
      <c r="F2686" s="603"/>
      <c r="G2686" s="314" t="s">
        <v>437</v>
      </c>
      <c r="H2686" s="399">
        <v>1</v>
      </c>
      <c r="I2686" s="316"/>
      <c r="J2686" s="316">
        <v>9.5399999999999991</v>
      </c>
      <c r="K2686" s="316">
        <v>9.5399999999999991</v>
      </c>
      <c r="L2686" s="166"/>
    </row>
    <row r="2687" spans="1:12" ht="17.399999999999999" customHeight="1" x14ac:dyDescent="0.3">
      <c r="A2687" s="408" t="s">
        <v>1034</v>
      </c>
      <c r="B2687" s="409" t="s">
        <v>1071</v>
      </c>
      <c r="C2687" s="408" t="s">
        <v>420</v>
      </c>
      <c r="D2687" s="408" t="s">
        <v>1072</v>
      </c>
      <c r="E2687" s="604" t="s">
        <v>1069</v>
      </c>
      <c r="F2687" s="604"/>
      <c r="G2687" s="410" t="s">
        <v>1070</v>
      </c>
      <c r="H2687" s="412">
        <v>0.12</v>
      </c>
      <c r="I2687" s="412">
        <v>0</v>
      </c>
      <c r="J2687" s="411">
        <v>3.95</v>
      </c>
      <c r="K2687" s="411">
        <v>0.47399999999999998</v>
      </c>
      <c r="L2687" s="166"/>
    </row>
    <row r="2688" spans="1:12" ht="26.4" x14ac:dyDescent="0.3">
      <c r="A2688" s="408" t="s">
        <v>1034</v>
      </c>
      <c r="B2688" s="409" t="s">
        <v>1067</v>
      </c>
      <c r="C2688" s="408" t="s">
        <v>420</v>
      </c>
      <c r="D2688" s="408" t="s">
        <v>1068</v>
      </c>
      <c r="E2688" s="604" t="s">
        <v>1069</v>
      </c>
      <c r="F2688" s="604"/>
      <c r="G2688" s="410" t="s">
        <v>1070</v>
      </c>
      <c r="H2688" s="412">
        <v>0.12</v>
      </c>
      <c r="I2688" s="412">
        <v>0</v>
      </c>
      <c r="J2688" s="411">
        <v>3.82</v>
      </c>
      <c r="K2688" s="411">
        <v>0.45839999999999997</v>
      </c>
      <c r="L2688" s="166"/>
    </row>
    <row r="2689" spans="1:12" ht="14.25" customHeight="1" x14ac:dyDescent="0.3">
      <c r="A2689" s="400" t="s">
        <v>1038</v>
      </c>
      <c r="B2689" s="401" t="s">
        <v>2442</v>
      </c>
      <c r="C2689" s="400" t="s">
        <v>420</v>
      </c>
      <c r="D2689" s="400" t="s">
        <v>1828</v>
      </c>
      <c r="E2689" s="605" t="s">
        <v>1039</v>
      </c>
      <c r="F2689" s="605"/>
      <c r="G2689" s="402" t="s">
        <v>437</v>
      </c>
      <c r="H2689" s="403">
        <v>1.02</v>
      </c>
      <c r="I2689" s="403">
        <v>0</v>
      </c>
      <c r="J2689" s="404">
        <v>4.2</v>
      </c>
      <c r="K2689" s="404">
        <v>4.2839999999999998</v>
      </c>
      <c r="L2689" s="166"/>
    </row>
    <row r="2690" spans="1:12" ht="15" customHeight="1" x14ac:dyDescent="0.3">
      <c r="A2690" s="400" t="s">
        <v>1038</v>
      </c>
      <c r="B2690" s="401" t="s">
        <v>6199</v>
      </c>
      <c r="C2690" s="400" t="s">
        <v>420</v>
      </c>
      <c r="D2690" s="400" t="s">
        <v>6200</v>
      </c>
      <c r="E2690" s="605" t="s">
        <v>1053</v>
      </c>
      <c r="F2690" s="605"/>
      <c r="G2690" s="402" t="s">
        <v>1070</v>
      </c>
      <c r="H2690" s="403">
        <v>0.12</v>
      </c>
      <c r="I2690" s="403">
        <v>0</v>
      </c>
      <c r="J2690" s="404">
        <v>20.45</v>
      </c>
      <c r="K2690" s="404">
        <v>2.4540000000000002</v>
      </c>
      <c r="L2690" s="166"/>
    </row>
    <row r="2691" spans="1:12" ht="15" x14ac:dyDescent="0.3">
      <c r="A2691" s="400" t="s">
        <v>1038</v>
      </c>
      <c r="B2691" s="401" t="s">
        <v>6251</v>
      </c>
      <c r="C2691" s="400" t="s">
        <v>420</v>
      </c>
      <c r="D2691" s="400" t="s">
        <v>6252</v>
      </c>
      <c r="E2691" s="605" t="s">
        <v>1053</v>
      </c>
      <c r="F2691" s="605"/>
      <c r="G2691" s="402" t="s">
        <v>1070</v>
      </c>
      <c r="H2691" s="403">
        <v>0.12</v>
      </c>
      <c r="I2691" s="403">
        <v>0</v>
      </c>
      <c r="J2691" s="404">
        <v>15.59</v>
      </c>
      <c r="K2691" s="404">
        <v>1.8708</v>
      </c>
      <c r="L2691" s="166"/>
    </row>
    <row r="2692" spans="1:12" ht="15" x14ac:dyDescent="0.3">
      <c r="A2692" s="405"/>
      <c r="B2692" s="405"/>
      <c r="C2692" s="405"/>
      <c r="D2692" s="405"/>
      <c r="E2692" s="405" t="s">
        <v>1046</v>
      </c>
      <c r="F2692" s="406">
        <v>4.32</v>
      </c>
      <c r="G2692" s="405" t="s">
        <v>1047</v>
      </c>
      <c r="H2692" s="406">
        <v>0</v>
      </c>
      <c r="I2692" s="405" t="s">
        <v>1048</v>
      </c>
      <c r="J2692" s="406">
        <v>4.32</v>
      </c>
      <c r="K2692"/>
      <c r="L2692" s="168"/>
    </row>
    <row r="2693" spans="1:12" ht="15" customHeight="1" thickBot="1" x14ac:dyDescent="0.35">
      <c r="A2693" s="405"/>
      <c r="B2693" s="405"/>
      <c r="C2693" s="405"/>
      <c r="D2693" s="405"/>
      <c r="E2693" s="405" t="s">
        <v>1049</v>
      </c>
      <c r="F2693" s="406">
        <v>0</v>
      </c>
      <c r="G2693" s="405"/>
      <c r="H2693" s="606"/>
      <c r="I2693" s="606" t="s">
        <v>1050</v>
      </c>
      <c r="J2693" s="406">
        <v>9.5399999999999991</v>
      </c>
      <c r="K2693"/>
      <c r="L2693" s="170"/>
    </row>
    <row r="2694" spans="1:12" ht="15.6" thickTop="1" x14ac:dyDescent="0.3">
      <c r="A2694" s="407"/>
      <c r="B2694" s="407"/>
      <c r="C2694" s="407"/>
      <c r="D2694" s="407"/>
      <c r="E2694" s="407"/>
      <c r="F2694" s="407"/>
      <c r="G2694" s="407"/>
      <c r="H2694" s="407"/>
      <c r="I2694" s="407"/>
      <c r="J2694" s="407"/>
      <c r="K2694" s="407"/>
      <c r="L2694" s="168"/>
    </row>
    <row r="2695" spans="1:12" ht="15" x14ac:dyDescent="0.3">
      <c r="A2695" s="382" t="s">
        <v>1917</v>
      </c>
      <c r="B2695" s="312" t="s">
        <v>413</v>
      </c>
      <c r="C2695" s="382" t="s">
        <v>414</v>
      </c>
      <c r="D2695" s="382" t="s">
        <v>415</v>
      </c>
      <c r="E2695" s="586" t="s">
        <v>1029</v>
      </c>
      <c r="F2695" s="586"/>
      <c r="G2695" s="383" t="s">
        <v>416</v>
      </c>
      <c r="H2695" s="312" t="s">
        <v>1030</v>
      </c>
      <c r="I2695" s="312" t="s">
        <v>3016</v>
      </c>
      <c r="J2695" s="312" t="s">
        <v>1031</v>
      </c>
      <c r="K2695" s="312" t="s">
        <v>1032</v>
      </c>
      <c r="L2695" s="168"/>
    </row>
    <row r="2696" spans="1:12" ht="15" x14ac:dyDescent="0.3">
      <c r="A2696" s="313" t="s">
        <v>1033</v>
      </c>
      <c r="B2696" s="315" t="s">
        <v>2156</v>
      </c>
      <c r="C2696" s="313" t="s">
        <v>420</v>
      </c>
      <c r="D2696" s="313" t="s">
        <v>1829</v>
      </c>
      <c r="E2696" s="603" t="s">
        <v>2443</v>
      </c>
      <c r="F2696" s="603"/>
      <c r="G2696" s="314" t="s">
        <v>422</v>
      </c>
      <c r="H2696" s="399">
        <v>1</v>
      </c>
      <c r="I2696" s="316"/>
      <c r="J2696" s="316">
        <v>2.4</v>
      </c>
      <c r="K2696" s="316">
        <v>2.4</v>
      </c>
      <c r="L2696" s="168"/>
    </row>
    <row r="2697" spans="1:12" ht="14.25" customHeight="1" x14ac:dyDescent="0.3">
      <c r="A2697" s="400" t="s">
        <v>1038</v>
      </c>
      <c r="B2697" s="401" t="s">
        <v>2444</v>
      </c>
      <c r="C2697" s="400" t="s">
        <v>420</v>
      </c>
      <c r="D2697" s="400" t="s">
        <v>2445</v>
      </c>
      <c r="E2697" s="605" t="s">
        <v>1039</v>
      </c>
      <c r="F2697" s="605"/>
      <c r="G2697" s="402" t="s">
        <v>422</v>
      </c>
      <c r="H2697" s="403">
        <v>1</v>
      </c>
      <c r="I2697" s="403">
        <v>0</v>
      </c>
      <c r="J2697" s="404">
        <v>2.4</v>
      </c>
      <c r="K2697" s="404">
        <v>2.4</v>
      </c>
      <c r="L2697" s="166"/>
    </row>
    <row r="2698" spans="1:12" ht="14.25" customHeight="1" x14ac:dyDescent="0.3">
      <c r="A2698" s="405"/>
      <c r="B2698" s="405"/>
      <c r="C2698" s="405"/>
      <c r="D2698" s="405"/>
      <c r="E2698" s="405" t="s">
        <v>1046</v>
      </c>
      <c r="F2698" s="406">
        <v>0</v>
      </c>
      <c r="G2698" s="405" t="s">
        <v>1047</v>
      </c>
      <c r="H2698" s="406">
        <v>0</v>
      </c>
      <c r="I2698" s="405" t="s">
        <v>1048</v>
      </c>
      <c r="J2698" s="406">
        <v>0</v>
      </c>
      <c r="K2698"/>
      <c r="L2698" s="166"/>
    </row>
    <row r="2699" spans="1:12" ht="15.6" thickBot="1" x14ac:dyDescent="0.35">
      <c r="A2699" s="405"/>
      <c r="B2699" s="405"/>
      <c r="C2699" s="405"/>
      <c r="D2699" s="405"/>
      <c r="E2699" s="405" t="s">
        <v>1049</v>
      </c>
      <c r="F2699" s="406">
        <v>0</v>
      </c>
      <c r="G2699" s="405"/>
      <c r="H2699" s="606"/>
      <c r="I2699" s="606" t="s">
        <v>1050</v>
      </c>
      <c r="J2699" s="406">
        <v>2.4</v>
      </c>
      <c r="K2699"/>
      <c r="L2699" s="168"/>
    </row>
    <row r="2700" spans="1:12" ht="15" customHeight="1" thickTop="1" x14ac:dyDescent="0.3">
      <c r="A2700" s="407"/>
      <c r="B2700" s="407"/>
      <c r="C2700" s="407"/>
      <c r="D2700" s="407"/>
      <c r="E2700" s="407"/>
      <c r="F2700" s="407"/>
      <c r="G2700" s="407"/>
      <c r="H2700" s="407"/>
      <c r="I2700" s="407"/>
      <c r="J2700" s="407"/>
      <c r="K2700" s="407"/>
      <c r="L2700" s="168"/>
    </row>
    <row r="2701" spans="1:12" ht="15" customHeight="1" x14ac:dyDescent="0.3">
      <c r="A2701" s="382" t="s">
        <v>1927</v>
      </c>
      <c r="B2701" s="312" t="s">
        <v>413</v>
      </c>
      <c r="C2701" s="382" t="s">
        <v>414</v>
      </c>
      <c r="D2701" s="382" t="s">
        <v>415</v>
      </c>
      <c r="E2701" s="586" t="s">
        <v>1029</v>
      </c>
      <c r="F2701" s="586"/>
      <c r="G2701" s="383" t="s">
        <v>416</v>
      </c>
      <c r="H2701" s="312" t="s">
        <v>1030</v>
      </c>
      <c r="I2701" s="312" t="s">
        <v>3016</v>
      </c>
      <c r="J2701" s="312" t="s">
        <v>1031</v>
      </c>
      <c r="K2701" s="312" t="s">
        <v>1032</v>
      </c>
      <c r="L2701" s="168"/>
    </row>
    <row r="2702" spans="1:12" ht="25.5" customHeight="1" x14ac:dyDescent="0.3">
      <c r="A2702" s="313" t="s">
        <v>1033</v>
      </c>
      <c r="B2702" s="315" t="s">
        <v>2997</v>
      </c>
      <c r="C2702" s="313" t="s">
        <v>420</v>
      </c>
      <c r="D2702" s="313" t="s">
        <v>2893</v>
      </c>
      <c r="E2702" s="603" t="s">
        <v>1224</v>
      </c>
      <c r="F2702" s="603"/>
      <c r="G2702" s="314" t="s">
        <v>422</v>
      </c>
      <c r="H2702" s="399">
        <v>1</v>
      </c>
      <c r="I2702" s="316"/>
      <c r="J2702" s="316">
        <v>80.989999999999995</v>
      </c>
      <c r="K2702" s="316">
        <v>80.989999999999995</v>
      </c>
      <c r="L2702" s="168"/>
    </row>
    <row r="2703" spans="1:12" ht="25.5" customHeight="1" x14ac:dyDescent="0.3">
      <c r="A2703" s="408" t="s">
        <v>1034</v>
      </c>
      <c r="B2703" s="409" t="s">
        <v>1387</v>
      </c>
      <c r="C2703" s="408" t="s">
        <v>420</v>
      </c>
      <c r="D2703" s="408" t="s">
        <v>1388</v>
      </c>
      <c r="E2703" s="604" t="s">
        <v>1069</v>
      </c>
      <c r="F2703" s="604"/>
      <c r="G2703" s="410" t="s">
        <v>1070</v>
      </c>
      <c r="H2703" s="412">
        <v>1</v>
      </c>
      <c r="I2703" s="412">
        <v>0</v>
      </c>
      <c r="J2703" s="411">
        <v>3.82</v>
      </c>
      <c r="K2703" s="411">
        <v>3.82</v>
      </c>
      <c r="L2703" s="166"/>
    </row>
    <row r="2704" spans="1:12" ht="25.5" customHeight="1" x14ac:dyDescent="0.3">
      <c r="A2704" s="400" t="s">
        <v>1038</v>
      </c>
      <c r="B2704" s="401" t="s">
        <v>651</v>
      </c>
      <c r="C2704" s="400" t="s">
        <v>420</v>
      </c>
      <c r="D2704" s="400" t="s">
        <v>1389</v>
      </c>
      <c r="E2704" s="605" t="s">
        <v>1053</v>
      </c>
      <c r="F2704" s="605"/>
      <c r="G2704" s="402" t="s">
        <v>1070</v>
      </c>
      <c r="H2704" s="403">
        <v>1</v>
      </c>
      <c r="I2704" s="403">
        <v>0</v>
      </c>
      <c r="J2704" s="404">
        <v>20.45</v>
      </c>
      <c r="K2704" s="404">
        <v>20.45</v>
      </c>
      <c r="L2704" s="168"/>
    </row>
    <row r="2705" spans="1:12" ht="12.75" customHeight="1" x14ac:dyDescent="0.3">
      <c r="A2705" s="400" t="s">
        <v>1038</v>
      </c>
      <c r="B2705" s="401" t="s">
        <v>3240</v>
      </c>
      <c r="C2705" s="400" t="s">
        <v>420</v>
      </c>
      <c r="D2705" s="400" t="s">
        <v>3241</v>
      </c>
      <c r="E2705" s="605" t="s">
        <v>1039</v>
      </c>
      <c r="F2705" s="605"/>
      <c r="G2705" s="402" t="s">
        <v>422</v>
      </c>
      <c r="H2705" s="403">
        <v>1</v>
      </c>
      <c r="I2705" s="403">
        <v>0</v>
      </c>
      <c r="J2705" s="404">
        <v>56.72</v>
      </c>
      <c r="K2705" s="404">
        <v>56.72</v>
      </c>
      <c r="L2705" s="168"/>
    </row>
    <row r="2706" spans="1:12" ht="15" x14ac:dyDescent="0.3">
      <c r="A2706" s="405"/>
      <c r="B2706" s="405"/>
      <c r="C2706" s="405"/>
      <c r="D2706" s="405"/>
      <c r="E2706" s="405" t="s">
        <v>1046</v>
      </c>
      <c r="F2706" s="406">
        <v>20.45</v>
      </c>
      <c r="G2706" s="405" t="s">
        <v>1047</v>
      </c>
      <c r="H2706" s="406">
        <v>0</v>
      </c>
      <c r="I2706" s="405" t="s">
        <v>1048</v>
      </c>
      <c r="J2706" s="406">
        <v>20.45</v>
      </c>
      <c r="K2706"/>
      <c r="L2706" s="168"/>
    </row>
    <row r="2707" spans="1:12" ht="15" customHeight="1" thickBot="1" x14ac:dyDescent="0.35">
      <c r="A2707" s="405"/>
      <c r="B2707" s="405"/>
      <c r="C2707" s="405"/>
      <c r="D2707" s="405"/>
      <c r="E2707" s="405" t="s">
        <v>1049</v>
      </c>
      <c r="F2707" s="406">
        <v>0</v>
      </c>
      <c r="G2707" s="405"/>
      <c r="H2707" s="606"/>
      <c r="I2707" s="606" t="s">
        <v>1050</v>
      </c>
      <c r="J2707" s="406">
        <v>80.989999999999995</v>
      </c>
      <c r="K2707"/>
      <c r="L2707" s="166"/>
    </row>
    <row r="2708" spans="1:12" ht="30" customHeight="1" thickTop="1" x14ac:dyDescent="0.3">
      <c r="A2708" s="407"/>
      <c r="B2708" s="407"/>
      <c r="C2708" s="407"/>
      <c r="D2708" s="407"/>
      <c r="E2708" s="407"/>
      <c r="F2708" s="407"/>
      <c r="G2708" s="407"/>
      <c r="H2708" s="407"/>
      <c r="I2708" s="407"/>
      <c r="J2708" s="407"/>
      <c r="K2708" s="407"/>
      <c r="L2708" s="166"/>
    </row>
    <row r="2709" spans="1:12" ht="30" customHeight="1" x14ac:dyDescent="0.3">
      <c r="A2709" s="382" t="s">
        <v>1928</v>
      </c>
      <c r="B2709" s="312" t="s">
        <v>413</v>
      </c>
      <c r="C2709" s="382" t="s">
        <v>414</v>
      </c>
      <c r="D2709" s="382" t="s">
        <v>415</v>
      </c>
      <c r="E2709" s="586" t="s">
        <v>1029</v>
      </c>
      <c r="F2709" s="586"/>
      <c r="G2709" s="383" t="s">
        <v>416</v>
      </c>
      <c r="H2709" s="312" t="s">
        <v>1030</v>
      </c>
      <c r="I2709" s="312" t="s">
        <v>3016</v>
      </c>
      <c r="J2709" s="312" t="s">
        <v>1031</v>
      </c>
      <c r="K2709" s="312" t="s">
        <v>1032</v>
      </c>
      <c r="L2709" s="168"/>
    </row>
    <row r="2710" spans="1:12" ht="30" customHeight="1" x14ac:dyDescent="0.3">
      <c r="A2710" s="313" t="s">
        <v>1033</v>
      </c>
      <c r="B2710" s="315" t="s">
        <v>3850</v>
      </c>
      <c r="C2710" s="313" t="s">
        <v>395</v>
      </c>
      <c r="D2710" s="313" t="s">
        <v>5962</v>
      </c>
      <c r="E2710" s="603" t="s">
        <v>7783</v>
      </c>
      <c r="F2710" s="603"/>
      <c r="G2710" s="314" t="s">
        <v>7</v>
      </c>
      <c r="H2710" s="399">
        <v>1</v>
      </c>
      <c r="I2710" s="316"/>
      <c r="J2710" s="316">
        <v>6</v>
      </c>
      <c r="K2710" s="316">
        <v>6</v>
      </c>
      <c r="L2710" s="168"/>
    </row>
    <row r="2711" spans="1:12" ht="25.5" customHeight="1" x14ac:dyDescent="0.3">
      <c r="A2711" s="408" t="s">
        <v>1034</v>
      </c>
      <c r="B2711" s="409" t="s">
        <v>1035</v>
      </c>
      <c r="C2711" s="408" t="s">
        <v>395</v>
      </c>
      <c r="D2711" s="408" t="s">
        <v>128</v>
      </c>
      <c r="E2711" s="604" t="s">
        <v>7768</v>
      </c>
      <c r="F2711" s="604"/>
      <c r="G2711" s="410" t="s">
        <v>6</v>
      </c>
      <c r="H2711" s="412">
        <v>2.9000000000000001E-2</v>
      </c>
      <c r="I2711" s="412">
        <v>0</v>
      </c>
      <c r="J2711" s="411">
        <v>34.5</v>
      </c>
      <c r="K2711" s="411">
        <v>1.0004999999999999</v>
      </c>
      <c r="L2711" s="168"/>
    </row>
    <row r="2712" spans="1:12" ht="15" customHeight="1" x14ac:dyDescent="0.3">
      <c r="A2712" s="408" t="s">
        <v>1034</v>
      </c>
      <c r="B2712" s="409" t="s">
        <v>1037</v>
      </c>
      <c r="C2712" s="408" t="s">
        <v>395</v>
      </c>
      <c r="D2712" s="408" t="s">
        <v>135</v>
      </c>
      <c r="E2712" s="604" t="s">
        <v>7768</v>
      </c>
      <c r="F2712" s="604"/>
      <c r="G2712" s="410" t="s">
        <v>6</v>
      </c>
      <c r="H2712" s="412">
        <v>2.9000000000000001E-2</v>
      </c>
      <c r="I2712" s="412">
        <v>0</v>
      </c>
      <c r="J2712" s="411">
        <v>41.81</v>
      </c>
      <c r="K2712" s="411">
        <v>1.2124900000000001</v>
      </c>
      <c r="L2712" s="166"/>
    </row>
    <row r="2713" spans="1:12" ht="25.5" customHeight="1" x14ac:dyDescent="0.3">
      <c r="A2713" s="400" t="s">
        <v>1038</v>
      </c>
      <c r="B2713" s="401" t="s">
        <v>4858</v>
      </c>
      <c r="C2713" s="400" t="s">
        <v>395</v>
      </c>
      <c r="D2713" s="400" t="s">
        <v>4859</v>
      </c>
      <c r="E2713" s="605" t="s">
        <v>1039</v>
      </c>
      <c r="F2713" s="605"/>
      <c r="G2713" s="402" t="s">
        <v>7</v>
      </c>
      <c r="H2713" s="403">
        <v>1.2434000000000001</v>
      </c>
      <c r="I2713" s="403">
        <v>0</v>
      </c>
      <c r="J2713" s="404">
        <v>3</v>
      </c>
      <c r="K2713" s="404">
        <v>3.7302</v>
      </c>
      <c r="L2713" s="166"/>
    </row>
    <row r="2714" spans="1:12" ht="25.5" customHeight="1" x14ac:dyDescent="0.3">
      <c r="A2714" s="400" t="s">
        <v>1038</v>
      </c>
      <c r="B2714" s="401" t="s">
        <v>4986</v>
      </c>
      <c r="C2714" s="400" t="s">
        <v>395</v>
      </c>
      <c r="D2714" s="400" t="s">
        <v>4987</v>
      </c>
      <c r="E2714" s="605" t="s">
        <v>1039</v>
      </c>
      <c r="F2714" s="605"/>
      <c r="G2714" s="402" t="s">
        <v>4</v>
      </c>
      <c r="H2714" s="403">
        <v>9.4000000000000004E-3</v>
      </c>
      <c r="I2714" s="403">
        <v>0</v>
      </c>
      <c r="J2714" s="404">
        <v>6.56</v>
      </c>
      <c r="K2714" s="404">
        <v>6.1663999999999997E-2</v>
      </c>
      <c r="L2714" s="166"/>
    </row>
    <row r="2715" spans="1:12" ht="25.5" customHeight="1" x14ac:dyDescent="0.3">
      <c r="A2715" s="405"/>
      <c r="B2715" s="405"/>
      <c r="C2715" s="405"/>
      <c r="D2715" s="405"/>
      <c r="E2715" s="405" t="s">
        <v>1046</v>
      </c>
      <c r="F2715" s="406">
        <v>1.61</v>
      </c>
      <c r="G2715" s="405" t="s">
        <v>1047</v>
      </c>
      <c r="H2715" s="406">
        <v>0</v>
      </c>
      <c r="I2715" s="405" t="s">
        <v>1048</v>
      </c>
      <c r="J2715" s="406">
        <v>1.61</v>
      </c>
      <c r="K2715"/>
      <c r="L2715" s="166"/>
    </row>
    <row r="2716" spans="1:12" ht="15.6" thickBot="1" x14ac:dyDescent="0.35">
      <c r="A2716" s="405"/>
      <c r="B2716" s="405"/>
      <c r="C2716" s="405"/>
      <c r="D2716" s="405"/>
      <c r="E2716" s="405" t="s">
        <v>1049</v>
      </c>
      <c r="F2716" s="406">
        <v>0</v>
      </c>
      <c r="G2716" s="405"/>
      <c r="H2716" s="606"/>
      <c r="I2716" s="606" t="s">
        <v>1050</v>
      </c>
      <c r="J2716" s="406">
        <v>6</v>
      </c>
      <c r="K2716"/>
      <c r="L2716" s="166"/>
    </row>
    <row r="2717" spans="1:12" ht="14.25" customHeight="1" thickTop="1" x14ac:dyDescent="0.3">
      <c r="A2717" s="407"/>
      <c r="B2717" s="407"/>
      <c r="C2717" s="407"/>
      <c r="D2717" s="407"/>
      <c r="E2717" s="407"/>
      <c r="F2717" s="407"/>
      <c r="G2717" s="407"/>
      <c r="H2717" s="407"/>
      <c r="I2717" s="407"/>
      <c r="J2717" s="407"/>
      <c r="K2717" s="407"/>
      <c r="L2717" s="166"/>
    </row>
    <row r="2718" spans="1:12" ht="15" customHeight="1" x14ac:dyDescent="0.3">
      <c r="A2718" s="382" t="s">
        <v>1931</v>
      </c>
      <c r="B2718" s="312" t="s">
        <v>413</v>
      </c>
      <c r="C2718" s="382" t="s">
        <v>414</v>
      </c>
      <c r="D2718" s="382" t="s">
        <v>415</v>
      </c>
      <c r="E2718" s="586" t="s">
        <v>1029</v>
      </c>
      <c r="F2718" s="586"/>
      <c r="G2718" s="383" t="s">
        <v>416</v>
      </c>
      <c r="H2718" s="312" t="s">
        <v>1030</v>
      </c>
      <c r="I2718" s="312" t="s">
        <v>3016</v>
      </c>
      <c r="J2718" s="312" t="s">
        <v>1031</v>
      </c>
      <c r="K2718" s="312" t="s">
        <v>1032</v>
      </c>
      <c r="L2718" s="166"/>
    </row>
    <row r="2719" spans="1:12" ht="15" customHeight="1" x14ac:dyDescent="0.3">
      <c r="A2719" s="313" t="s">
        <v>1033</v>
      </c>
      <c r="B2719" s="315" t="s">
        <v>3851</v>
      </c>
      <c r="C2719" s="313" t="s">
        <v>395</v>
      </c>
      <c r="D2719" s="313" t="s">
        <v>5963</v>
      </c>
      <c r="E2719" s="603" t="s">
        <v>7795</v>
      </c>
      <c r="F2719" s="603"/>
      <c r="G2719" s="314" t="s">
        <v>4</v>
      </c>
      <c r="H2719" s="399">
        <v>1</v>
      </c>
      <c r="I2719" s="316"/>
      <c r="J2719" s="316">
        <v>132.77000000000001</v>
      </c>
      <c r="K2719" s="316">
        <v>132.77000000000001</v>
      </c>
      <c r="L2719" s="168"/>
    </row>
    <row r="2720" spans="1:12" ht="25.5" customHeight="1" x14ac:dyDescent="0.3">
      <c r="A2720" s="408" t="s">
        <v>1034</v>
      </c>
      <c r="B2720" s="409" t="s">
        <v>1035</v>
      </c>
      <c r="C2720" s="408" t="s">
        <v>395</v>
      </c>
      <c r="D2720" s="408" t="s">
        <v>128</v>
      </c>
      <c r="E2720" s="604" t="s">
        <v>7768</v>
      </c>
      <c r="F2720" s="604"/>
      <c r="G2720" s="410" t="s">
        <v>6</v>
      </c>
      <c r="H2720" s="412">
        <v>0.1346</v>
      </c>
      <c r="I2720" s="412">
        <v>0</v>
      </c>
      <c r="J2720" s="411">
        <v>34.5</v>
      </c>
      <c r="K2720" s="411">
        <v>4.6436999999999999</v>
      </c>
      <c r="L2720" s="170"/>
    </row>
    <row r="2721" spans="1:12" ht="38.25" customHeight="1" x14ac:dyDescent="0.3">
      <c r="A2721" s="408" t="s">
        <v>1034</v>
      </c>
      <c r="B2721" s="409" t="s">
        <v>1037</v>
      </c>
      <c r="C2721" s="408" t="s">
        <v>395</v>
      </c>
      <c r="D2721" s="408" t="s">
        <v>135</v>
      </c>
      <c r="E2721" s="604" t="s">
        <v>7768</v>
      </c>
      <c r="F2721" s="604"/>
      <c r="G2721" s="410" t="s">
        <v>6</v>
      </c>
      <c r="H2721" s="412">
        <v>0.1346</v>
      </c>
      <c r="I2721" s="412">
        <v>0</v>
      </c>
      <c r="J2721" s="411">
        <v>41.81</v>
      </c>
      <c r="K2721" s="411">
        <v>5.6276260000000002</v>
      </c>
      <c r="L2721" s="168"/>
    </row>
    <row r="2722" spans="1:12" ht="25.5" customHeight="1" x14ac:dyDescent="0.3">
      <c r="A2722" s="400" t="s">
        <v>1038</v>
      </c>
      <c r="B2722" s="401" t="s">
        <v>4206</v>
      </c>
      <c r="C2722" s="400" t="s">
        <v>395</v>
      </c>
      <c r="D2722" s="400" t="s">
        <v>4207</v>
      </c>
      <c r="E2722" s="605" t="s">
        <v>1039</v>
      </c>
      <c r="F2722" s="605"/>
      <c r="G2722" s="402" t="s">
        <v>4</v>
      </c>
      <c r="H2722" s="403">
        <v>1</v>
      </c>
      <c r="I2722" s="403">
        <v>0</v>
      </c>
      <c r="J2722" s="404">
        <v>122.5</v>
      </c>
      <c r="K2722" s="404">
        <v>122.5</v>
      </c>
      <c r="L2722" s="168"/>
    </row>
    <row r="2723" spans="1:12" ht="25.5" customHeight="1" x14ac:dyDescent="0.3">
      <c r="A2723" s="405"/>
      <c r="B2723" s="405"/>
      <c r="C2723" s="405"/>
      <c r="D2723" s="405"/>
      <c r="E2723" s="405" t="s">
        <v>1046</v>
      </c>
      <c r="F2723" s="406">
        <v>7.49</v>
      </c>
      <c r="G2723" s="405" t="s">
        <v>1047</v>
      </c>
      <c r="H2723" s="406">
        <v>0</v>
      </c>
      <c r="I2723" s="405" t="s">
        <v>1048</v>
      </c>
      <c r="J2723" s="406">
        <v>7.49</v>
      </c>
      <c r="K2723"/>
      <c r="L2723" s="168"/>
    </row>
    <row r="2724" spans="1:12" ht="15.6" thickBot="1" x14ac:dyDescent="0.35">
      <c r="A2724" s="405"/>
      <c r="B2724" s="405"/>
      <c r="C2724" s="405"/>
      <c r="D2724" s="405"/>
      <c r="E2724" s="405" t="s">
        <v>1049</v>
      </c>
      <c r="F2724" s="406">
        <v>0</v>
      </c>
      <c r="G2724" s="405"/>
      <c r="H2724" s="606"/>
      <c r="I2724" s="606" t="s">
        <v>1050</v>
      </c>
      <c r="J2724" s="406">
        <v>132.77000000000001</v>
      </c>
      <c r="K2724"/>
      <c r="L2724" s="166"/>
    </row>
    <row r="2725" spans="1:12" ht="15.6" thickTop="1" x14ac:dyDescent="0.3">
      <c r="A2725" s="407"/>
      <c r="B2725" s="407"/>
      <c r="C2725" s="407"/>
      <c r="D2725" s="407"/>
      <c r="E2725" s="407"/>
      <c r="F2725" s="407"/>
      <c r="G2725" s="407"/>
      <c r="H2725" s="407"/>
      <c r="I2725" s="407"/>
      <c r="J2725" s="407"/>
      <c r="K2725" s="407"/>
      <c r="L2725" s="166"/>
    </row>
    <row r="2726" spans="1:12" ht="15" customHeight="1" x14ac:dyDescent="0.3">
      <c r="A2726" s="382" t="s">
        <v>1932</v>
      </c>
      <c r="B2726" s="312" t="s">
        <v>413</v>
      </c>
      <c r="C2726" s="382" t="s">
        <v>414</v>
      </c>
      <c r="D2726" s="382" t="s">
        <v>415</v>
      </c>
      <c r="E2726" s="586" t="s">
        <v>1029</v>
      </c>
      <c r="F2726" s="586"/>
      <c r="G2726" s="383" t="s">
        <v>416</v>
      </c>
      <c r="H2726" s="312" t="s">
        <v>1030</v>
      </c>
      <c r="I2726" s="312" t="s">
        <v>3016</v>
      </c>
      <c r="J2726" s="312" t="s">
        <v>1031</v>
      </c>
      <c r="K2726" s="312" t="s">
        <v>1032</v>
      </c>
      <c r="L2726" s="168"/>
    </row>
    <row r="2727" spans="1:12" ht="38.25" customHeight="1" x14ac:dyDescent="0.3">
      <c r="A2727" s="313" t="s">
        <v>1033</v>
      </c>
      <c r="B2727" s="315" t="s">
        <v>905</v>
      </c>
      <c r="C2727" s="313" t="s">
        <v>5902</v>
      </c>
      <c r="D2727" s="313" t="s">
        <v>466</v>
      </c>
      <c r="E2727" s="603">
        <v>42.04</v>
      </c>
      <c r="F2727" s="603"/>
      <c r="G2727" s="314" t="s">
        <v>4</v>
      </c>
      <c r="H2727" s="399">
        <v>1</v>
      </c>
      <c r="I2727" s="316"/>
      <c r="J2727" s="316">
        <v>67.52</v>
      </c>
      <c r="K2727" s="316">
        <v>67.52</v>
      </c>
      <c r="L2727" s="168"/>
    </row>
    <row r="2728" spans="1:12" ht="30" customHeight="1" x14ac:dyDescent="0.3">
      <c r="A2728" s="400" t="s">
        <v>1038</v>
      </c>
      <c r="B2728" s="401" t="s">
        <v>1051</v>
      </c>
      <c r="C2728" s="400" t="s">
        <v>5902</v>
      </c>
      <c r="D2728" s="400" t="s">
        <v>1052</v>
      </c>
      <c r="E2728" s="605" t="s">
        <v>1053</v>
      </c>
      <c r="F2728" s="605"/>
      <c r="G2728" s="402" t="s">
        <v>6</v>
      </c>
      <c r="H2728" s="403">
        <v>0.25</v>
      </c>
      <c r="I2728" s="403">
        <v>0</v>
      </c>
      <c r="J2728" s="404">
        <v>33.119999999999997</v>
      </c>
      <c r="K2728" s="404">
        <v>8.2799999999999994</v>
      </c>
      <c r="L2728" s="168"/>
    </row>
    <row r="2729" spans="1:12" ht="25.5" customHeight="1" x14ac:dyDescent="0.3">
      <c r="A2729" s="400" t="s">
        <v>1038</v>
      </c>
      <c r="B2729" s="401" t="s">
        <v>1054</v>
      </c>
      <c r="C2729" s="400" t="s">
        <v>5902</v>
      </c>
      <c r="D2729" s="400" t="s">
        <v>1055</v>
      </c>
      <c r="E2729" s="605" t="s">
        <v>1053</v>
      </c>
      <c r="F2729" s="605"/>
      <c r="G2729" s="402" t="s">
        <v>6</v>
      </c>
      <c r="H2729" s="403">
        <v>0.25</v>
      </c>
      <c r="I2729" s="403">
        <v>0</v>
      </c>
      <c r="J2729" s="404">
        <v>22.71</v>
      </c>
      <c r="K2729" s="404">
        <v>5.6775000000000002</v>
      </c>
      <c r="L2729" s="168"/>
    </row>
    <row r="2730" spans="1:12" ht="15" customHeight="1" x14ac:dyDescent="0.3">
      <c r="A2730" s="400" t="s">
        <v>1038</v>
      </c>
      <c r="B2730" s="401" t="s">
        <v>1160</v>
      </c>
      <c r="C2730" s="400" t="s">
        <v>5902</v>
      </c>
      <c r="D2730" s="400" t="s">
        <v>1161</v>
      </c>
      <c r="E2730" s="605" t="s">
        <v>1039</v>
      </c>
      <c r="F2730" s="605"/>
      <c r="G2730" s="402" t="s">
        <v>4</v>
      </c>
      <c r="H2730" s="403">
        <v>1</v>
      </c>
      <c r="I2730" s="403">
        <v>0</v>
      </c>
      <c r="J2730" s="404">
        <v>53.56</v>
      </c>
      <c r="K2730" s="404">
        <v>53.56</v>
      </c>
      <c r="L2730" s="166"/>
    </row>
    <row r="2731" spans="1:12" ht="25.5" customHeight="1" x14ac:dyDescent="0.3">
      <c r="A2731" s="405"/>
      <c r="B2731" s="405"/>
      <c r="C2731" s="405"/>
      <c r="D2731" s="405"/>
      <c r="E2731" s="405" t="s">
        <v>1046</v>
      </c>
      <c r="F2731" s="406">
        <v>13.96</v>
      </c>
      <c r="G2731" s="405" t="s">
        <v>1047</v>
      </c>
      <c r="H2731" s="406">
        <v>0</v>
      </c>
      <c r="I2731" s="405" t="s">
        <v>1048</v>
      </c>
      <c r="J2731" s="406">
        <v>13.96</v>
      </c>
      <c r="K2731"/>
      <c r="L2731" s="168"/>
    </row>
    <row r="2732" spans="1:12" ht="25.5" customHeight="1" thickBot="1" x14ac:dyDescent="0.35">
      <c r="A2732" s="405"/>
      <c r="B2732" s="405"/>
      <c r="C2732" s="405"/>
      <c r="D2732" s="405"/>
      <c r="E2732" s="405" t="s">
        <v>1049</v>
      </c>
      <c r="F2732" s="406">
        <v>0</v>
      </c>
      <c r="G2732" s="405"/>
      <c r="H2732" s="606"/>
      <c r="I2732" s="606" t="s">
        <v>1050</v>
      </c>
      <c r="J2732" s="406">
        <v>67.52</v>
      </c>
      <c r="K2732"/>
      <c r="L2732" s="168"/>
    </row>
    <row r="2733" spans="1:12" ht="25.5" customHeight="1" thickTop="1" x14ac:dyDescent="0.3">
      <c r="A2733" s="407"/>
      <c r="B2733" s="407"/>
      <c r="C2733" s="407"/>
      <c r="D2733" s="407"/>
      <c r="E2733" s="407"/>
      <c r="F2733" s="407"/>
      <c r="G2733" s="407"/>
      <c r="H2733" s="407"/>
      <c r="I2733" s="407"/>
      <c r="J2733" s="407"/>
      <c r="K2733" s="407"/>
      <c r="L2733" s="168"/>
    </row>
    <row r="2734" spans="1:12" ht="15" customHeight="1" x14ac:dyDescent="0.3">
      <c r="A2734" s="382" t="s">
        <v>1933</v>
      </c>
      <c r="B2734" s="312" t="s">
        <v>413</v>
      </c>
      <c r="C2734" s="382" t="s">
        <v>414</v>
      </c>
      <c r="D2734" s="382" t="s">
        <v>415</v>
      </c>
      <c r="E2734" s="586" t="s">
        <v>1029</v>
      </c>
      <c r="F2734" s="586"/>
      <c r="G2734" s="383" t="s">
        <v>416</v>
      </c>
      <c r="H2734" s="312" t="s">
        <v>1030</v>
      </c>
      <c r="I2734" s="312" t="s">
        <v>3016</v>
      </c>
      <c r="J2734" s="312" t="s">
        <v>1031</v>
      </c>
      <c r="K2734" s="312" t="s">
        <v>1032</v>
      </c>
      <c r="L2734" s="166"/>
    </row>
    <row r="2735" spans="1:12" ht="26.4" x14ac:dyDescent="0.3">
      <c r="A2735" s="313" t="s">
        <v>1033</v>
      </c>
      <c r="B2735" s="315" t="s">
        <v>906</v>
      </c>
      <c r="C2735" s="313" t="s">
        <v>5902</v>
      </c>
      <c r="D2735" s="313" t="s">
        <v>468</v>
      </c>
      <c r="E2735" s="603">
        <v>42.04</v>
      </c>
      <c r="F2735" s="603"/>
      <c r="G2735" s="314" t="s">
        <v>4</v>
      </c>
      <c r="H2735" s="399">
        <v>1</v>
      </c>
      <c r="I2735" s="316"/>
      <c r="J2735" s="316">
        <v>162.56</v>
      </c>
      <c r="K2735" s="316">
        <v>162.56</v>
      </c>
      <c r="L2735" s="166"/>
    </row>
    <row r="2736" spans="1:12" ht="26.4" x14ac:dyDescent="0.3">
      <c r="A2736" s="400" t="s">
        <v>1038</v>
      </c>
      <c r="B2736" s="401" t="s">
        <v>1051</v>
      </c>
      <c r="C2736" s="400" t="s">
        <v>5902</v>
      </c>
      <c r="D2736" s="400" t="s">
        <v>1052</v>
      </c>
      <c r="E2736" s="605" t="s">
        <v>1053</v>
      </c>
      <c r="F2736" s="605"/>
      <c r="G2736" s="402" t="s">
        <v>6</v>
      </c>
      <c r="H2736" s="403">
        <v>0.3</v>
      </c>
      <c r="I2736" s="403">
        <v>0</v>
      </c>
      <c r="J2736" s="404">
        <v>33.119999999999997</v>
      </c>
      <c r="K2736" s="404">
        <v>9.9359999999999999</v>
      </c>
      <c r="L2736" s="168"/>
    </row>
    <row r="2737" spans="1:12" ht="14.25" customHeight="1" x14ac:dyDescent="0.3">
      <c r="A2737" s="400" t="s">
        <v>1038</v>
      </c>
      <c r="B2737" s="401" t="s">
        <v>1054</v>
      </c>
      <c r="C2737" s="400" t="s">
        <v>5902</v>
      </c>
      <c r="D2737" s="400" t="s">
        <v>1055</v>
      </c>
      <c r="E2737" s="605" t="s">
        <v>1053</v>
      </c>
      <c r="F2737" s="605"/>
      <c r="G2737" s="402" t="s">
        <v>6</v>
      </c>
      <c r="H2737" s="403">
        <v>0.3</v>
      </c>
      <c r="I2737" s="403">
        <v>0</v>
      </c>
      <c r="J2737" s="404">
        <v>22.71</v>
      </c>
      <c r="K2737" s="404">
        <v>6.8129999999999997</v>
      </c>
      <c r="L2737" s="168"/>
    </row>
    <row r="2738" spans="1:12" ht="25.5" customHeight="1" x14ac:dyDescent="0.3">
      <c r="A2738" s="400" t="s">
        <v>1038</v>
      </c>
      <c r="B2738" s="401" t="s">
        <v>1162</v>
      </c>
      <c r="C2738" s="400" t="s">
        <v>5902</v>
      </c>
      <c r="D2738" s="400" t="s">
        <v>1163</v>
      </c>
      <c r="E2738" s="605" t="s">
        <v>1039</v>
      </c>
      <c r="F2738" s="605"/>
      <c r="G2738" s="402" t="s">
        <v>4</v>
      </c>
      <c r="H2738" s="403">
        <v>1</v>
      </c>
      <c r="I2738" s="403">
        <v>0</v>
      </c>
      <c r="J2738" s="404">
        <v>145.81</v>
      </c>
      <c r="K2738" s="404">
        <v>145.81</v>
      </c>
      <c r="L2738" s="168"/>
    </row>
    <row r="2739" spans="1:12" ht="25.5" customHeight="1" x14ac:dyDescent="0.3">
      <c r="A2739" s="405"/>
      <c r="B2739" s="405"/>
      <c r="C2739" s="405"/>
      <c r="D2739" s="405"/>
      <c r="E2739" s="405" t="s">
        <v>1046</v>
      </c>
      <c r="F2739" s="406">
        <v>16.75</v>
      </c>
      <c r="G2739" s="405" t="s">
        <v>1047</v>
      </c>
      <c r="H2739" s="406">
        <v>0</v>
      </c>
      <c r="I2739" s="405" t="s">
        <v>1048</v>
      </c>
      <c r="J2739" s="406">
        <v>16.75</v>
      </c>
      <c r="K2739"/>
      <c r="L2739" s="166"/>
    </row>
    <row r="2740" spans="1:12" ht="17.399999999999999" customHeight="1" thickBot="1" x14ac:dyDescent="0.35">
      <c r="A2740" s="405"/>
      <c r="B2740" s="405"/>
      <c r="C2740" s="405"/>
      <c r="D2740" s="405"/>
      <c r="E2740" s="405" t="s">
        <v>1049</v>
      </c>
      <c r="F2740" s="406">
        <v>0</v>
      </c>
      <c r="G2740" s="405"/>
      <c r="H2740" s="606"/>
      <c r="I2740" s="606" t="s">
        <v>1050</v>
      </c>
      <c r="J2740" s="406">
        <v>162.56</v>
      </c>
      <c r="K2740"/>
      <c r="L2740" s="166"/>
    </row>
    <row r="2741" spans="1:12" ht="38.25" customHeight="1" thickTop="1" x14ac:dyDescent="0.3">
      <c r="A2741" s="407"/>
      <c r="B2741" s="407"/>
      <c r="C2741" s="407"/>
      <c r="D2741" s="407"/>
      <c r="E2741" s="407"/>
      <c r="F2741" s="407"/>
      <c r="G2741" s="407"/>
      <c r="H2741" s="407"/>
      <c r="I2741" s="407"/>
      <c r="J2741" s="407"/>
      <c r="K2741" s="407"/>
      <c r="L2741" s="166"/>
    </row>
    <row r="2742" spans="1:12" ht="38.25" customHeight="1" x14ac:dyDescent="0.3">
      <c r="A2742" s="382" t="s">
        <v>1934</v>
      </c>
      <c r="B2742" s="312" t="s">
        <v>413</v>
      </c>
      <c r="C2742" s="382" t="s">
        <v>414</v>
      </c>
      <c r="D2742" s="382" t="s">
        <v>415</v>
      </c>
      <c r="E2742" s="586" t="s">
        <v>1029</v>
      </c>
      <c r="F2742" s="586"/>
      <c r="G2742" s="383" t="s">
        <v>416</v>
      </c>
      <c r="H2742" s="312" t="s">
        <v>1030</v>
      </c>
      <c r="I2742" s="312" t="s">
        <v>3016</v>
      </c>
      <c r="J2742" s="312" t="s">
        <v>1031</v>
      </c>
      <c r="K2742" s="312" t="s">
        <v>1032</v>
      </c>
      <c r="L2742" s="166"/>
    </row>
    <row r="2743" spans="1:12" ht="26.4" x14ac:dyDescent="0.3">
      <c r="A2743" s="313" t="s">
        <v>1033</v>
      </c>
      <c r="B2743" s="315" t="s">
        <v>907</v>
      </c>
      <c r="C2743" s="313" t="s">
        <v>5902</v>
      </c>
      <c r="D2743" s="313" t="s">
        <v>470</v>
      </c>
      <c r="E2743" s="603">
        <v>42.03</v>
      </c>
      <c r="F2743" s="603"/>
      <c r="G2743" s="314" t="s">
        <v>4</v>
      </c>
      <c r="H2743" s="399">
        <v>1</v>
      </c>
      <c r="I2743" s="316"/>
      <c r="J2743" s="316">
        <v>33.520000000000003</v>
      </c>
      <c r="K2743" s="316">
        <v>33.520000000000003</v>
      </c>
      <c r="L2743" s="166"/>
    </row>
    <row r="2744" spans="1:12" ht="15" customHeight="1" x14ac:dyDescent="0.3">
      <c r="A2744" s="400" t="s">
        <v>1038</v>
      </c>
      <c r="B2744" s="401" t="s">
        <v>1051</v>
      </c>
      <c r="C2744" s="400" t="s">
        <v>5902</v>
      </c>
      <c r="D2744" s="400" t="s">
        <v>1052</v>
      </c>
      <c r="E2744" s="605" t="s">
        <v>1053</v>
      </c>
      <c r="F2744" s="605"/>
      <c r="G2744" s="402" t="s">
        <v>6</v>
      </c>
      <c r="H2744" s="403">
        <v>0.25</v>
      </c>
      <c r="I2744" s="403">
        <v>0</v>
      </c>
      <c r="J2744" s="404">
        <v>33.119999999999997</v>
      </c>
      <c r="K2744" s="404">
        <v>8.2799999999999994</v>
      </c>
      <c r="L2744" s="166"/>
    </row>
    <row r="2745" spans="1:12" ht="25.5" customHeight="1" x14ac:dyDescent="0.3">
      <c r="A2745" s="400" t="s">
        <v>1038</v>
      </c>
      <c r="B2745" s="401" t="s">
        <v>1054</v>
      </c>
      <c r="C2745" s="400" t="s">
        <v>5902</v>
      </c>
      <c r="D2745" s="400" t="s">
        <v>1055</v>
      </c>
      <c r="E2745" s="605" t="s">
        <v>1053</v>
      </c>
      <c r="F2745" s="605"/>
      <c r="G2745" s="402" t="s">
        <v>6</v>
      </c>
      <c r="H2745" s="403">
        <v>0.25</v>
      </c>
      <c r="I2745" s="403">
        <v>0</v>
      </c>
      <c r="J2745" s="404">
        <v>22.71</v>
      </c>
      <c r="K2745" s="404">
        <v>5.6775000000000002</v>
      </c>
      <c r="L2745" s="166"/>
    </row>
    <row r="2746" spans="1:12" ht="38.25" customHeight="1" x14ac:dyDescent="0.3">
      <c r="A2746" s="400" t="s">
        <v>1038</v>
      </c>
      <c r="B2746" s="401" t="s">
        <v>1164</v>
      </c>
      <c r="C2746" s="400" t="s">
        <v>5902</v>
      </c>
      <c r="D2746" s="400" t="s">
        <v>1165</v>
      </c>
      <c r="E2746" s="605" t="s">
        <v>1039</v>
      </c>
      <c r="F2746" s="605"/>
      <c r="G2746" s="402" t="s">
        <v>4</v>
      </c>
      <c r="H2746" s="403">
        <v>1</v>
      </c>
      <c r="I2746" s="403">
        <v>0</v>
      </c>
      <c r="J2746" s="404">
        <v>19.559999999999999</v>
      </c>
      <c r="K2746" s="404">
        <v>19.559999999999999</v>
      </c>
      <c r="L2746" s="168"/>
    </row>
    <row r="2747" spans="1:12" ht="25.5" customHeight="1" x14ac:dyDescent="0.3">
      <c r="A2747" s="405"/>
      <c r="B2747" s="405"/>
      <c r="C2747" s="405"/>
      <c r="D2747" s="405"/>
      <c r="E2747" s="405" t="s">
        <v>1046</v>
      </c>
      <c r="F2747" s="406">
        <v>13.96</v>
      </c>
      <c r="G2747" s="405" t="s">
        <v>1047</v>
      </c>
      <c r="H2747" s="406">
        <v>0</v>
      </c>
      <c r="I2747" s="405" t="s">
        <v>1048</v>
      </c>
      <c r="J2747" s="406">
        <v>13.96</v>
      </c>
      <c r="K2747"/>
      <c r="L2747" s="170"/>
    </row>
    <row r="2748" spans="1:12" ht="14.25" customHeight="1" thickBot="1" x14ac:dyDescent="0.35">
      <c r="A2748" s="405"/>
      <c r="B2748" s="405"/>
      <c r="C2748" s="405"/>
      <c r="D2748" s="405"/>
      <c r="E2748" s="405" t="s">
        <v>1049</v>
      </c>
      <c r="F2748" s="406">
        <v>0</v>
      </c>
      <c r="G2748" s="405"/>
      <c r="H2748" s="606"/>
      <c r="I2748" s="606" t="s">
        <v>1050</v>
      </c>
      <c r="J2748" s="406">
        <v>33.520000000000003</v>
      </c>
      <c r="K2748"/>
      <c r="L2748" s="168"/>
    </row>
    <row r="2749" spans="1:12" ht="25.5" customHeight="1" thickTop="1" x14ac:dyDescent="0.3">
      <c r="A2749" s="407"/>
      <c r="B2749" s="407"/>
      <c r="C2749" s="407"/>
      <c r="D2749" s="407"/>
      <c r="E2749" s="407"/>
      <c r="F2749" s="407"/>
      <c r="G2749" s="407"/>
      <c r="H2749" s="407"/>
      <c r="I2749" s="407"/>
      <c r="J2749" s="407"/>
      <c r="K2749" s="407"/>
      <c r="L2749" s="168"/>
    </row>
    <row r="2750" spans="1:12" ht="15" x14ac:dyDescent="0.3">
      <c r="A2750" s="382" t="s">
        <v>1936</v>
      </c>
      <c r="B2750" s="312" t="s">
        <v>413</v>
      </c>
      <c r="C2750" s="382" t="s">
        <v>414</v>
      </c>
      <c r="D2750" s="382" t="s">
        <v>415</v>
      </c>
      <c r="E2750" s="586" t="s">
        <v>1029</v>
      </c>
      <c r="F2750" s="586"/>
      <c r="G2750" s="383" t="s">
        <v>416</v>
      </c>
      <c r="H2750" s="312" t="s">
        <v>1030</v>
      </c>
      <c r="I2750" s="312" t="s">
        <v>3016</v>
      </c>
      <c r="J2750" s="312" t="s">
        <v>1031</v>
      </c>
      <c r="K2750" s="312" t="s">
        <v>1032</v>
      </c>
      <c r="L2750" s="168"/>
    </row>
    <row r="2751" spans="1:12" ht="26.4" x14ac:dyDescent="0.3">
      <c r="A2751" s="313" t="s">
        <v>1033</v>
      </c>
      <c r="B2751" s="315" t="s">
        <v>908</v>
      </c>
      <c r="C2751" s="313" t="s">
        <v>5902</v>
      </c>
      <c r="D2751" s="313" t="s">
        <v>472</v>
      </c>
      <c r="E2751" s="603">
        <v>42.05</v>
      </c>
      <c r="F2751" s="603"/>
      <c r="G2751" s="314" t="s">
        <v>7</v>
      </c>
      <c r="H2751" s="399">
        <v>1</v>
      </c>
      <c r="I2751" s="316"/>
      <c r="J2751" s="316">
        <v>37.270000000000003</v>
      </c>
      <c r="K2751" s="316">
        <v>37.270000000000003</v>
      </c>
      <c r="L2751" s="166"/>
    </row>
    <row r="2752" spans="1:12" ht="25.5" customHeight="1" x14ac:dyDescent="0.3">
      <c r="A2752" s="400" t="s">
        <v>1038</v>
      </c>
      <c r="B2752" s="401" t="s">
        <v>1051</v>
      </c>
      <c r="C2752" s="400" t="s">
        <v>5902</v>
      </c>
      <c r="D2752" s="400" t="s">
        <v>1052</v>
      </c>
      <c r="E2752" s="605" t="s">
        <v>1053</v>
      </c>
      <c r="F2752" s="605"/>
      <c r="G2752" s="402" t="s">
        <v>6</v>
      </c>
      <c r="H2752" s="403">
        <v>0.5</v>
      </c>
      <c r="I2752" s="403">
        <v>0</v>
      </c>
      <c r="J2752" s="404">
        <v>33.119999999999997</v>
      </c>
      <c r="K2752" s="404">
        <v>16.559999999999999</v>
      </c>
      <c r="L2752" s="166"/>
    </row>
    <row r="2753" spans="1:12" ht="12.75" customHeight="1" x14ac:dyDescent="0.3">
      <c r="A2753" s="400" t="s">
        <v>1038</v>
      </c>
      <c r="B2753" s="401" t="s">
        <v>1054</v>
      </c>
      <c r="C2753" s="400" t="s">
        <v>5902</v>
      </c>
      <c r="D2753" s="400" t="s">
        <v>1055</v>
      </c>
      <c r="E2753" s="605" t="s">
        <v>1053</v>
      </c>
      <c r="F2753" s="605"/>
      <c r="G2753" s="402" t="s">
        <v>6</v>
      </c>
      <c r="H2753" s="403">
        <v>0.5</v>
      </c>
      <c r="I2753" s="403">
        <v>0</v>
      </c>
      <c r="J2753" s="404">
        <v>22.71</v>
      </c>
      <c r="K2753" s="404">
        <v>11.355</v>
      </c>
      <c r="L2753" s="168"/>
    </row>
    <row r="2754" spans="1:12" ht="15" customHeight="1" x14ac:dyDescent="0.3">
      <c r="A2754" s="400" t="s">
        <v>1038</v>
      </c>
      <c r="B2754" s="401" t="s">
        <v>1166</v>
      </c>
      <c r="C2754" s="400" t="s">
        <v>5902</v>
      </c>
      <c r="D2754" s="400" t="s">
        <v>1167</v>
      </c>
      <c r="E2754" s="605" t="s">
        <v>1039</v>
      </c>
      <c r="F2754" s="605"/>
      <c r="G2754" s="402" t="s">
        <v>7</v>
      </c>
      <c r="H2754" s="403">
        <v>1.0375000000000001</v>
      </c>
      <c r="I2754" s="403">
        <v>0</v>
      </c>
      <c r="J2754" s="404">
        <v>9.02</v>
      </c>
      <c r="K2754" s="404">
        <v>9.35825</v>
      </c>
      <c r="L2754" s="168"/>
    </row>
    <row r="2755" spans="1:12" ht="15" x14ac:dyDescent="0.3">
      <c r="A2755" s="405"/>
      <c r="B2755" s="405"/>
      <c r="C2755" s="405"/>
      <c r="D2755" s="405"/>
      <c r="E2755" s="405" t="s">
        <v>1046</v>
      </c>
      <c r="F2755" s="406">
        <v>27.92</v>
      </c>
      <c r="G2755" s="405" t="s">
        <v>1047</v>
      </c>
      <c r="H2755" s="406">
        <v>0</v>
      </c>
      <c r="I2755" s="405" t="s">
        <v>1048</v>
      </c>
      <c r="J2755" s="406">
        <v>27.92</v>
      </c>
      <c r="K2755"/>
      <c r="L2755" s="168"/>
    </row>
    <row r="2756" spans="1:12" ht="30" customHeight="1" thickBot="1" x14ac:dyDescent="0.35">
      <c r="A2756" s="405"/>
      <c r="B2756" s="405"/>
      <c r="C2756" s="405"/>
      <c r="D2756" s="405"/>
      <c r="E2756" s="405" t="s">
        <v>1049</v>
      </c>
      <c r="F2756" s="406">
        <v>0</v>
      </c>
      <c r="G2756" s="405"/>
      <c r="H2756" s="606"/>
      <c r="I2756" s="606" t="s">
        <v>1050</v>
      </c>
      <c r="J2756" s="406">
        <v>37.270000000000003</v>
      </c>
      <c r="K2756"/>
      <c r="L2756" s="168"/>
    </row>
    <row r="2757" spans="1:12" ht="14.25" customHeight="1" thickTop="1" x14ac:dyDescent="0.3">
      <c r="A2757" s="407"/>
      <c r="B2757" s="407"/>
      <c r="C2757" s="407"/>
      <c r="D2757" s="407"/>
      <c r="E2757" s="407"/>
      <c r="F2757" s="407"/>
      <c r="G2757" s="407"/>
      <c r="H2757" s="407"/>
      <c r="I2757" s="407"/>
      <c r="J2757" s="407"/>
      <c r="K2757" s="407"/>
      <c r="L2757" s="166"/>
    </row>
    <row r="2758" spans="1:12" ht="15" customHeight="1" x14ac:dyDescent="0.3">
      <c r="A2758" s="382" t="s">
        <v>1938</v>
      </c>
      <c r="B2758" s="312" t="s">
        <v>413</v>
      </c>
      <c r="C2758" s="382" t="s">
        <v>414</v>
      </c>
      <c r="D2758" s="382" t="s">
        <v>415</v>
      </c>
      <c r="E2758" s="586" t="s">
        <v>1029</v>
      </c>
      <c r="F2758" s="586"/>
      <c r="G2758" s="383" t="s">
        <v>416</v>
      </c>
      <c r="H2758" s="312" t="s">
        <v>1030</v>
      </c>
      <c r="I2758" s="312" t="s">
        <v>3016</v>
      </c>
      <c r="J2758" s="312" t="s">
        <v>1031</v>
      </c>
      <c r="K2758" s="312" t="s">
        <v>1032</v>
      </c>
      <c r="L2758" s="168"/>
    </row>
    <row r="2759" spans="1:12" ht="26.4" x14ac:dyDescent="0.3">
      <c r="A2759" s="313" t="s">
        <v>1033</v>
      </c>
      <c r="B2759" s="315" t="s">
        <v>909</v>
      </c>
      <c r="C2759" s="313" t="s">
        <v>5902</v>
      </c>
      <c r="D2759" s="313" t="s">
        <v>474</v>
      </c>
      <c r="E2759" s="603">
        <v>39.090000000000003</v>
      </c>
      <c r="F2759" s="603"/>
      <c r="G2759" s="314" t="s">
        <v>4</v>
      </c>
      <c r="H2759" s="399">
        <v>1</v>
      </c>
      <c r="I2759" s="316"/>
      <c r="J2759" s="316">
        <v>21.3</v>
      </c>
      <c r="K2759" s="316">
        <v>21.3</v>
      </c>
      <c r="L2759" s="168"/>
    </row>
    <row r="2760" spans="1:12" ht="15" customHeight="1" x14ac:dyDescent="0.3">
      <c r="A2760" s="400" t="s">
        <v>1038</v>
      </c>
      <c r="B2760" s="401" t="s">
        <v>1051</v>
      </c>
      <c r="C2760" s="400" t="s">
        <v>5902</v>
      </c>
      <c r="D2760" s="400" t="s">
        <v>1052</v>
      </c>
      <c r="E2760" s="605" t="s">
        <v>1053</v>
      </c>
      <c r="F2760" s="605"/>
      <c r="G2760" s="402" t="s">
        <v>6</v>
      </c>
      <c r="H2760" s="403">
        <v>0.1</v>
      </c>
      <c r="I2760" s="403">
        <v>0</v>
      </c>
      <c r="J2760" s="404">
        <v>33.119999999999997</v>
      </c>
      <c r="K2760" s="404">
        <v>3.3119999999999998</v>
      </c>
      <c r="L2760" s="168"/>
    </row>
    <row r="2761" spans="1:12" ht="25.5" customHeight="1" x14ac:dyDescent="0.3">
      <c r="A2761" s="400" t="s">
        <v>1038</v>
      </c>
      <c r="B2761" s="401" t="s">
        <v>1054</v>
      </c>
      <c r="C2761" s="400" t="s">
        <v>5902</v>
      </c>
      <c r="D2761" s="400" t="s">
        <v>1055</v>
      </c>
      <c r="E2761" s="605" t="s">
        <v>1053</v>
      </c>
      <c r="F2761" s="605"/>
      <c r="G2761" s="402" t="s">
        <v>6</v>
      </c>
      <c r="H2761" s="403">
        <v>0.1</v>
      </c>
      <c r="I2761" s="403">
        <v>0</v>
      </c>
      <c r="J2761" s="404">
        <v>22.71</v>
      </c>
      <c r="K2761" s="404">
        <v>2.2709999999999999</v>
      </c>
      <c r="L2761" s="166"/>
    </row>
    <row r="2762" spans="1:12" ht="26.4" x14ac:dyDescent="0.3">
      <c r="A2762" s="400" t="s">
        <v>1038</v>
      </c>
      <c r="B2762" s="401" t="s">
        <v>1168</v>
      </c>
      <c r="C2762" s="400" t="s">
        <v>5902</v>
      </c>
      <c r="D2762" s="400" t="s">
        <v>1169</v>
      </c>
      <c r="E2762" s="605" t="s">
        <v>1039</v>
      </c>
      <c r="F2762" s="605"/>
      <c r="G2762" s="402" t="s">
        <v>4</v>
      </c>
      <c r="H2762" s="403">
        <v>1</v>
      </c>
      <c r="I2762" s="403">
        <v>0</v>
      </c>
      <c r="J2762" s="404">
        <v>15.72</v>
      </c>
      <c r="K2762" s="404">
        <v>15.72</v>
      </c>
      <c r="L2762" s="166"/>
    </row>
    <row r="2763" spans="1:12" ht="25.5" customHeight="1" x14ac:dyDescent="0.3">
      <c r="A2763" s="405"/>
      <c r="B2763" s="405"/>
      <c r="C2763" s="405"/>
      <c r="D2763" s="405"/>
      <c r="E2763" s="405" t="s">
        <v>1046</v>
      </c>
      <c r="F2763" s="406">
        <v>5.58</v>
      </c>
      <c r="G2763" s="405" t="s">
        <v>1047</v>
      </c>
      <c r="H2763" s="406">
        <v>0</v>
      </c>
      <c r="I2763" s="405" t="s">
        <v>1048</v>
      </c>
      <c r="J2763" s="406">
        <v>5.58</v>
      </c>
      <c r="K2763"/>
      <c r="L2763" s="168"/>
    </row>
    <row r="2764" spans="1:12" ht="25.5" customHeight="1" thickBot="1" x14ac:dyDescent="0.35">
      <c r="A2764" s="405"/>
      <c r="B2764" s="405"/>
      <c r="C2764" s="405"/>
      <c r="D2764" s="405"/>
      <c r="E2764" s="405" t="s">
        <v>1049</v>
      </c>
      <c r="F2764" s="406">
        <v>0</v>
      </c>
      <c r="G2764" s="405"/>
      <c r="H2764" s="606"/>
      <c r="I2764" s="606" t="s">
        <v>1050</v>
      </c>
      <c r="J2764" s="406">
        <v>21.3</v>
      </c>
      <c r="K2764"/>
      <c r="L2764" s="168"/>
    </row>
    <row r="2765" spans="1:12" ht="15.6" thickTop="1" x14ac:dyDescent="0.3">
      <c r="A2765" s="407"/>
      <c r="B2765" s="407"/>
      <c r="C2765" s="407"/>
      <c r="D2765" s="407"/>
      <c r="E2765" s="407"/>
      <c r="F2765" s="407"/>
      <c r="G2765" s="407"/>
      <c r="H2765" s="407"/>
      <c r="I2765" s="407"/>
      <c r="J2765" s="407"/>
      <c r="K2765" s="407"/>
      <c r="L2765" s="168"/>
    </row>
    <row r="2766" spans="1:12" ht="30" customHeight="1" x14ac:dyDescent="0.3">
      <c r="A2766" s="382" t="s">
        <v>1939</v>
      </c>
      <c r="B2766" s="312" t="s">
        <v>413</v>
      </c>
      <c r="C2766" s="382" t="s">
        <v>414</v>
      </c>
      <c r="D2766" s="382" t="s">
        <v>415</v>
      </c>
      <c r="E2766" s="586" t="s">
        <v>1029</v>
      </c>
      <c r="F2766" s="586"/>
      <c r="G2766" s="383" t="s">
        <v>416</v>
      </c>
      <c r="H2766" s="312" t="s">
        <v>1030</v>
      </c>
      <c r="I2766" s="312" t="s">
        <v>3016</v>
      </c>
      <c r="J2766" s="312" t="s">
        <v>1031</v>
      </c>
      <c r="K2766" s="312" t="s">
        <v>1032</v>
      </c>
      <c r="L2766" s="166"/>
    </row>
    <row r="2767" spans="1:12" ht="30" customHeight="1" x14ac:dyDescent="0.3">
      <c r="A2767" s="313" t="s">
        <v>1033</v>
      </c>
      <c r="B2767" s="315" t="s">
        <v>910</v>
      </c>
      <c r="C2767" s="313" t="s">
        <v>5902</v>
      </c>
      <c r="D2767" s="313" t="s">
        <v>476</v>
      </c>
      <c r="E2767" s="603">
        <v>39.1</v>
      </c>
      <c r="F2767" s="603"/>
      <c r="G2767" s="314" t="s">
        <v>4</v>
      </c>
      <c r="H2767" s="399">
        <v>1</v>
      </c>
      <c r="I2767" s="316"/>
      <c r="J2767" s="316">
        <v>17.95</v>
      </c>
      <c r="K2767" s="316">
        <v>17.95</v>
      </c>
      <c r="L2767" s="166"/>
    </row>
    <row r="2768" spans="1:12" ht="14.25" customHeight="1" x14ac:dyDescent="0.3">
      <c r="A2768" s="400" t="s">
        <v>1038</v>
      </c>
      <c r="B2768" s="401" t="s">
        <v>1051</v>
      </c>
      <c r="C2768" s="400" t="s">
        <v>5902</v>
      </c>
      <c r="D2768" s="400" t="s">
        <v>1052</v>
      </c>
      <c r="E2768" s="605" t="s">
        <v>1053</v>
      </c>
      <c r="F2768" s="605"/>
      <c r="G2768" s="402" t="s">
        <v>6</v>
      </c>
      <c r="H2768" s="403">
        <v>0.15</v>
      </c>
      <c r="I2768" s="403">
        <v>0</v>
      </c>
      <c r="J2768" s="404">
        <v>33.119999999999997</v>
      </c>
      <c r="K2768" s="404">
        <v>4.968</v>
      </c>
      <c r="L2768" s="166"/>
    </row>
    <row r="2769" spans="1:12" ht="26.4" x14ac:dyDescent="0.3">
      <c r="A2769" s="400" t="s">
        <v>1038</v>
      </c>
      <c r="B2769" s="401" t="s">
        <v>1054</v>
      </c>
      <c r="C2769" s="400" t="s">
        <v>5902</v>
      </c>
      <c r="D2769" s="400" t="s">
        <v>1055</v>
      </c>
      <c r="E2769" s="605" t="s">
        <v>1053</v>
      </c>
      <c r="F2769" s="605"/>
      <c r="G2769" s="402" t="s">
        <v>6</v>
      </c>
      <c r="H2769" s="403">
        <v>0.15</v>
      </c>
      <c r="I2769" s="403">
        <v>0</v>
      </c>
      <c r="J2769" s="404">
        <v>22.71</v>
      </c>
      <c r="K2769" s="404">
        <v>3.4064999999999999</v>
      </c>
      <c r="L2769" s="166"/>
    </row>
    <row r="2770" spans="1:12" ht="15" customHeight="1" x14ac:dyDescent="0.3">
      <c r="A2770" s="400" t="s">
        <v>1038</v>
      </c>
      <c r="B2770" s="401" t="s">
        <v>1170</v>
      </c>
      <c r="C2770" s="400" t="s">
        <v>5902</v>
      </c>
      <c r="D2770" s="400" t="s">
        <v>1171</v>
      </c>
      <c r="E2770" s="605" t="s">
        <v>1039</v>
      </c>
      <c r="F2770" s="605"/>
      <c r="G2770" s="402" t="s">
        <v>4</v>
      </c>
      <c r="H2770" s="403">
        <v>1</v>
      </c>
      <c r="I2770" s="403">
        <v>0</v>
      </c>
      <c r="J2770" s="404">
        <v>9.58</v>
      </c>
      <c r="K2770" s="404">
        <v>9.58</v>
      </c>
      <c r="L2770" s="166"/>
    </row>
    <row r="2771" spans="1:12" ht="15" x14ac:dyDescent="0.3">
      <c r="A2771" s="405"/>
      <c r="B2771" s="405"/>
      <c r="C2771" s="405"/>
      <c r="D2771" s="405"/>
      <c r="E2771" s="405" t="s">
        <v>1046</v>
      </c>
      <c r="F2771" s="406">
        <v>8.3800000000000008</v>
      </c>
      <c r="G2771" s="405" t="s">
        <v>1047</v>
      </c>
      <c r="H2771" s="406">
        <v>0</v>
      </c>
      <c r="I2771" s="405" t="s">
        <v>1048</v>
      </c>
      <c r="J2771" s="406">
        <v>8.3800000000000008</v>
      </c>
      <c r="K2771"/>
      <c r="L2771" s="166"/>
    </row>
    <row r="2772" spans="1:12" ht="25.5" customHeight="1" thickBot="1" x14ac:dyDescent="0.35">
      <c r="A2772" s="405"/>
      <c r="B2772" s="405"/>
      <c r="C2772" s="405"/>
      <c r="D2772" s="405"/>
      <c r="E2772" s="405" t="s">
        <v>1049</v>
      </c>
      <c r="F2772" s="406">
        <v>0</v>
      </c>
      <c r="G2772" s="405"/>
      <c r="H2772" s="606"/>
      <c r="I2772" s="606" t="s">
        <v>1050</v>
      </c>
      <c r="J2772" s="406">
        <v>17.95</v>
      </c>
      <c r="K2772"/>
      <c r="L2772" s="166"/>
    </row>
    <row r="2773" spans="1:12" ht="12.75" customHeight="1" thickTop="1" x14ac:dyDescent="0.3">
      <c r="A2773" s="407"/>
      <c r="B2773" s="407"/>
      <c r="C2773" s="407"/>
      <c r="D2773" s="407"/>
      <c r="E2773" s="407"/>
      <c r="F2773" s="407"/>
      <c r="G2773" s="407"/>
      <c r="H2773" s="407"/>
      <c r="I2773" s="407"/>
      <c r="J2773" s="407"/>
      <c r="K2773" s="407"/>
      <c r="L2773" s="168"/>
    </row>
    <row r="2774" spans="1:12" ht="15" customHeight="1" x14ac:dyDescent="0.3">
      <c r="A2774" s="382" t="s">
        <v>1941</v>
      </c>
      <c r="B2774" s="312" t="s">
        <v>413</v>
      </c>
      <c r="C2774" s="382" t="s">
        <v>414</v>
      </c>
      <c r="D2774" s="382" t="s">
        <v>415</v>
      </c>
      <c r="E2774" s="586" t="s">
        <v>1029</v>
      </c>
      <c r="F2774" s="586"/>
      <c r="G2774" s="383" t="s">
        <v>416</v>
      </c>
      <c r="H2774" s="312" t="s">
        <v>1030</v>
      </c>
      <c r="I2774" s="312" t="s">
        <v>3016</v>
      </c>
      <c r="J2774" s="312" t="s">
        <v>1031</v>
      </c>
      <c r="K2774" s="312" t="s">
        <v>1032</v>
      </c>
      <c r="L2774" s="170"/>
    </row>
    <row r="2775" spans="1:12" ht="15" customHeight="1" x14ac:dyDescent="0.3">
      <c r="A2775" s="313" t="s">
        <v>1033</v>
      </c>
      <c r="B2775" s="315" t="s">
        <v>2141</v>
      </c>
      <c r="C2775" s="313" t="s">
        <v>575</v>
      </c>
      <c r="D2775" s="313" t="s">
        <v>1830</v>
      </c>
      <c r="E2775" s="603" t="s">
        <v>1340</v>
      </c>
      <c r="F2775" s="603"/>
      <c r="G2775" s="314" t="s">
        <v>7</v>
      </c>
      <c r="H2775" s="399">
        <v>1</v>
      </c>
      <c r="I2775" s="316"/>
      <c r="J2775" s="316">
        <v>31.52</v>
      </c>
      <c r="K2775" s="316">
        <v>31.52</v>
      </c>
      <c r="L2775" s="168"/>
    </row>
    <row r="2776" spans="1:12" ht="15" x14ac:dyDescent="0.3">
      <c r="A2776" s="400" t="s">
        <v>1038</v>
      </c>
      <c r="B2776" s="401" t="s">
        <v>1090</v>
      </c>
      <c r="C2776" s="400" t="s">
        <v>431</v>
      </c>
      <c r="D2776" s="400" t="s">
        <v>1091</v>
      </c>
      <c r="E2776" s="605" t="s">
        <v>1053</v>
      </c>
      <c r="F2776" s="605"/>
      <c r="G2776" s="402" t="s">
        <v>6</v>
      </c>
      <c r="H2776" s="403">
        <v>0.1</v>
      </c>
      <c r="I2776" s="403">
        <v>0</v>
      </c>
      <c r="J2776" s="404">
        <v>20.32</v>
      </c>
      <c r="K2776" s="404">
        <v>2.032</v>
      </c>
      <c r="L2776" s="168"/>
    </row>
    <row r="2777" spans="1:12" ht="25.5" customHeight="1" x14ac:dyDescent="0.3">
      <c r="A2777" s="400" t="s">
        <v>1038</v>
      </c>
      <c r="B2777" s="401" t="s">
        <v>1092</v>
      </c>
      <c r="C2777" s="400" t="s">
        <v>431</v>
      </c>
      <c r="D2777" s="400" t="s">
        <v>1093</v>
      </c>
      <c r="E2777" s="605" t="s">
        <v>1053</v>
      </c>
      <c r="F2777" s="605"/>
      <c r="G2777" s="402" t="s">
        <v>6</v>
      </c>
      <c r="H2777" s="403">
        <v>0.1</v>
      </c>
      <c r="I2777" s="403">
        <v>0</v>
      </c>
      <c r="J2777" s="404">
        <v>29.41</v>
      </c>
      <c r="K2777" s="404">
        <v>2.9409999999999998</v>
      </c>
      <c r="L2777" s="168"/>
    </row>
    <row r="2778" spans="1:12" ht="15" x14ac:dyDescent="0.3">
      <c r="A2778" s="400" t="s">
        <v>1038</v>
      </c>
      <c r="B2778" s="401" t="s">
        <v>2406</v>
      </c>
      <c r="C2778" s="400" t="s">
        <v>575</v>
      </c>
      <c r="D2778" s="400" t="s">
        <v>2407</v>
      </c>
      <c r="E2778" s="605" t="s">
        <v>1039</v>
      </c>
      <c r="F2778" s="605"/>
      <c r="G2778" s="402" t="s">
        <v>7</v>
      </c>
      <c r="H2778" s="403">
        <v>1.1000000000000001</v>
      </c>
      <c r="I2778" s="403">
        <v>0</v>
      </c>
      <c r="J2778" s="404">
        <v>24.13</v>
      </c>
      <c r="K2778" s="404">
        <v>26.542999999999999</v>
      </c>
      <c r="L2778" s="166"/>
    </row>
    <row r="2779" spans="1:12" ht="15" customHeight="1" x14ac:dyDescent="0.3">
      <c r="A2779" s="405"/>
      <c r="B2779" s="405"/>
      <c r="C2779" s="405"/>
      <c r="D2779" s="405"/>
      <c r="E2779" s="405" t="s">
        <v>1046</v>
      </c>
      <c r="F2779" s="406">
        <v>4.97</v>
      </c>
      <c r="G2779" s="405" t="s">
        <v>1047</v>
      </c>
      <c r="H2779" s="406">
        <v>0</v>
      </c>
      <c r="I2779" s="405" t="s">
        <v>1048</v>
      </c>
      <c r="J2779" s="406">
        <v>4.97</v>
      </c>
      <c r="K2779"/>
      <c r="L2779" s="166"/>
    </row>
    <row r="2780" spans="1:12" ht="15.6" thickBot="1" x14ac:dyDescent="0.35">
      <c r="A2780" s="405"/>
      <c r="B2780" s="405"/>
      <c r="C2780" s="405"/>
      <c r="D2780" s="405"/>
      <c r="E2780" s="405" t="s">
        <v>1049</v>
      </c>
      <c r="F2780" s="406">
        <v>0</v>
      </c>
      <c r="G2780" s="405"/>
      <c r="H2780" s="606"/>
      <c r="I2780" s="606" t="s">
        <v>1050</v>
      </c>
      <c r="J2780" s="406">
        <v>31.52</v>
      </c>
      <c r="K2780"/>
      <c r="L2780" s="168"/>
    </row>
    <row r="2781" spans="1:12" ht="15" customHeight="1" thickTop="1" x14ac:dyDescent="0.3">
      <c r="A2781" s="407"/>
      <c r="B2781" s="407"/>
      <c r="C2781" s="407"/>
      <c r="D2781" s="407"/>
      <c r="E2781" s="407"/>
      <c r="F2781" s="407"/>
      <c r="G2781" s="407"/>
      <c r="H2781" s="407"/>
      <c r="I2781" s="407"/>
      <c r="J2781" s="407"/>
      <c r="K2781" s="407"/>
      <c r="L2781" s="168"/>
    </row>
    <row r="2782" spans="1:12" ht="15" x14ac:dyDescent="0.3">
      <c r="A2782" s="382" t="s">
        <v>1943</v>
      </c>
      <c r="B2782" s="312" t="s">
        <v>413</v>
      </c>
      <c r="C2782" s="382" t="s">
        <v>414</v>
      </c>
      <c r="D2782" s="382" t="s">
        <v>415</v>
      </c>
      <c r="E2782" s="586" t="s">
        <v>1029</v>
      </c>
      <c r="F2782" s="586"/>
      <c r="G2782" s="383" t="s">
        <v>416</v>
      </c>
      <c r="H2782" s="312" t="s">
        <v>1030</v>
      </c>
      <c r="I2782" s="312" t="s">
        <v>3016</v>
      </c>
      <c r="J2782" s="312" t="s">
        <v>1031</v>
      </c>
      <c r="K2782" s="312" t="s">
        <v>1032</v>
      </c>
      <c r="L2782" s="168"/>
    </row>
    <row r="2783" spans="1:12" ht="15" customHeight="1" x14ac:dyDescent="0.3">
      <c r="A2783" s="313" t="s">
        <v>1033</v>
      </c>
      <c r="B2783" s="315" t="s">
        <v>3852</v>
      </c>
      <c r="C2783" s="313" t="s">
        <v>395</v>
      </c>
      <c r="D2783" s="313" t="s">
        <v>5964</v>
      </c>
      <c r="E2783" s="603" t="s">
        <v>7795</v>
      </c>
      <c r="F2783" s="603"/>
      <c r="G2783" s="314" t="s">
        <v>4</v>
      </c>
      <c r="H2783" s="399">
        <v>1</v>
      </c>
      <c r="I2783" s="316"/>
      <c r="J2783" s="316">
        <v>78</v>
      </c>
      <c r="K2783" s="316">
        <v>78</v>
      </c>
      <c r="L2783" s="168"/>
    </row>
    <row r="2784" spans="1:12" ht="12.75" customHeight="1" x14ac:dyDescent="0.3">
      <c r="A2784" s="408" t="s">
        <v>1034</v>
      </c>
      <c r="B2784" s="409" t="s">
        <v>1035</v>
      </c>
      <c r="C2784" s="408" t="s">
        <v>395</v>
      </c>
      <c r="D2784" s="408" t="s">
        <v>128</v>
      </c>
      <c r="E2784" s="604" t="s">
        <v>7768</v>
      </c>
      <c r="F2784" s="604"/>
      <c r="G2784" s="410" t="s">
        <v>6</v>
      </c>
      <c r="H2784" s="412">
        <v>0.24840000000000001</v>
      </c>
      <c r="I2784" s="412">
        <v>0</v>
      </c>
      <c r="J2784" s="411">
        <v>34.5</v>
      </c>
      <c r="K2784" s="411">
        <v>8.5698000000000008</v>
      </c>
      <c r="L2784" s="166"/>
    </row>
    <row r="2785" spans="1:12" ht="17.399999999999999" customHeight="1" x14ac:dyDescent="0.3">
      <c r="A2785" s="408" t="s">
        <v>1034</v>
      </c>
      <c r="B2785" s="409" t="s">
        <v>1037</v>
      </c>
      <c r="C2785" s="408" t="s">
        <v>395</v>
      </c>
      <c r="D2785" s="408" t="s">
        <v>135</v>
      </c>
      <c r="E2785" s="604" t="s">
        <v>7768</v>
      </c>
      <c r="F2785" s="604"/>
      <c r="G2785" s="410" t="s">
        <v>6</v>
      </c>
      <c r="H2785" s="412">
        <v>0.24840000000000001</v>
      </c>
      <c r="I2785" s="412">
        <v>0</v>
      </c>
      <c r="J2785" s="411">
        <v>41.81</v>
      </c>
      <c r="K2785" s="411">
        <v>10.385604000000001</v>
      </c>
      <c r="L2785" s="168"/>
    </row>
    <row r="2786" spans="1:12" ht="39.6" x14ac:dyDescent="0.3">
      <c r="A2786" s="400" t="s">
        <v>1038</v>
      </c>
      <c r="B2786" s="401" t="s">
        <v>4301</v>
      </c>
      <c r="C2786" s="400" t="s">
        <v>395</v>
      </c>
      <c r="D2786" s="400" t="s">
        <v>4302</v>
      </c>
      <c r="E2786" s="605" t="s">
        <v>1039</v>
      </c>
      <c r="F2786" s="605"/>
      <c r="G2786" s="402" t="s">
        <v>4</v>
      </c>
      <c r="H2786" s="403">
        <v>1</v>
      </c>
      <c r="I2786" s="403">
        <v>0</v>
      </c>
      <c r="J2786" s="404">
        <v>59.04</v>
      </c>
      <c r="K2786" s="404">
        <v>59.04</v>
      </c>
      <c r="L2786" s="168"/>
    </row>
    <row r="2787" spans="1:12" ht="15" x14ac:dyDescent="0.3">
      <c r="A2787" s="405"/>
      <c r="B2787" s="405"/>
      <c r="C2787" s="405"/>
      <c r="D2787" s="405"/>
      <c r="E2787" s="405" t="s">
        <v>1046</v>
      </c>
      <c r="F2787" s="406">
        <v>13.83</v>
      </c>
      <c r="G2787" s="405" t="s">
        <v>1047</v>
      </c>
      <c r="H2787" s="406">
        <v>0</v>
      </c>
      <c r="I2787" s="405" t="s">
        <v>1048</v>
      </c>
      <c r="J2787" s="406">
        <v>13.83</v>
      </c>
      <c r="K2787"/>
      <c r="L2787" s="168"/>
    </row>
    <row r="2788" spans="1:12" ht="15" customHeight="1" thickBot="1" x14ac:dyDescent="0.35">
      <c r="A2788" s="405"/>
      <c r="B2788" s="405"/>
      <c r="C2788" s="405"/>
      <c r="D2788" s="405"/>
      <c r="E2788" s="405" t="s">
        <v>1049</v>
      </c>
      <c r="F2788" s="406">
        <v>0</v>
      </c>
      <c r="G2788" s="405"/>
      <c r="H2788" s="606"/>
      <c r="I2788" s="606" t="s">
        <v>1050</v>
      </c>
      <c r="J2788" s="406">
        <v>78</v>
      </c>
      <c r="K2788"/>
      <c r="L2788" s="166"/>
    </row>
    <row r="2789" spans="1:12" ht="15" customHeight="1" thickTop="1" x14ac:dyDescent="0.3">
      <c r="A2789" s="407"/>
      <c r="B2789" s="407"/>
      <c r="C2789" s="407"/>
      <c r="D2789" s="407"/>
      <c r="E2789" s="407"/>
      <c r="F2789" s="407"/>
      <c r="G2789" s="407"/>
      <c r="H2789" s="407"/>
      <c r="I2789" s="407"/>
      <c r="J2789" s="407"/>
      <c r="K2789" s="407"/>
      <c r="L2789" s="166"/>
    </row>
    <row r="2790" spans="1:12" ht="14.25" customHeight="1" x14ac:dyDescent="0.3">
      <c r="A2790" s="382" t="s">
        <v>1946</v>
      </c>
      <c r="B2790" s="312" t="s">
        <v>413</v>
      </c>
      <c r="C2790" s="382" t="s">
        <v>414</v>
      </c>
      <c r="D2790" s="382" t="s">
        <v>415</v>
      </c>
      <c r="E2790" s="586" t="s">
        <v>1029</v>
      </c>
      <c r="F2790" s="586"/>
      <c r="G2790" s="383" t="s">
        <v>416</v>
      </c>
      <c r="H2790" s="312" t="s">
        <v>1030</v>
      </c>
      <c r="I2790" s="312" t="s">
        <v>3016</v>
      </c>
      <c r="J2790" s="312" t="s">
        <v>1031</v>
      </c>
      <c r="K2790" s="312" t="s">
        <v>1032</v>
      </c>
      <c r="L2790" s="168"/>
    </row>
    <row r="2791" spans="1:12" ht="30" customHeight="1" x14ac:dyDescent="0.3">
      <c r="A2791" s="313" t="s">
        <v>1033</v>
      </c>
      <c r="B2791" s="315" t="s">
        <v>911</v>
      </c>
      <c r="C2791" s="313" t="s">
        <v>5902</v>
      </c>
      <c r="D2791" s="313" t="s">
        <v>478</v>
      </c>
      <c r="E2791" s="603">
        <v>42.05</v>
      </c>
      <c r="F2791" s="603"/>
      <c r="G2791" s="314" t="s">
        <v>4</v>
      </c>
      <c r="H2791" s="399">
        <v>1</v>
      </c>
      <c r="I2791" s="316"/>
      <c r="J2791" s="316">
        <v>9.41</v>
      </c>
      <c r="K2791" s="316">
        <v>9.41</v>
      </c>
      <c r="L2791" s="168"/>
    </row>
    <row r="2792" spans="1:12" ht="26.4" x14ac:dyDescent="0.3">
      <c r="A2792" s="400" t="s">
        <v>1038</v>
      </c>
      <c r="B2792" s="401" t="s">
        <v>1051</v>
      </c>
      <c r="C2792" s="400" t="s">
        <v>5902</v>
      </c>
      <c r="D2792" s="400" t="s">
        <v>1052</v>
      </c>
      <c r="E2792" s="605" t="s">
        <v>1053</v>
      </c>
      <c r="F2792" s="605"/>
      <c r="G2792" s="402" t="s">
        <v>6</v>
      </c>
      <c r="H2792" s="403">
        <v>0.1</v>
      </c>
      <c r="I2792" s="403">
        <v>0</v>
      </c>
      <c r="J2792" s="404">
        <v>33.119999999999997</v>
      </c>
      <c r="K2792" s="404">
        <v>3.3119999999999998</v>
      </c>
      <c r="L2792" s="168"/>
    </row>
    <row r="2793" spans="1:12" ht="26.4" x14ac:dyDescent="0.3">
      <c r="A2793" s="400" t="s">
        <v>1038</v>
      </c>
      <c r="B2793" s="401" t="s">
        <v>1054</v>
      </c>
      <c r="C2793" s="400" t="s">
        <v>5902</v>
      </c>
      <c r="D2793" s="400" t="s">
        <v>1055</v>
      </c>
      <c r="E2793" s="605" t="s">
        <v>1053</v>
      </c>
      <c r="F2793" s="605"/>
      <c r="G2793" s="402" t="s">
        <v>6</v>
      </c>
      <c r="H2793" s="403">
        <v>0.1</v>
      </c>
      <c r="I2793" s="403">
        <v>0</v>
      </c>
      <c r="J2793" s="404">
        <v>22.71</v>
      </c>
      <c r="K2793" s="404">
        <v>2.2709999999999999</v>
      </c>
      <c r="L2793" s="166"/>
    </row>
    <row r="2794" spans="1:12" ht="25.5" customHeight="1" x14ac:dyDescent="0.3">
      <c r="A2794" s="400" t="s">
        <v>1038</v>
      </c>
      <c r="B2794" s="401" t="s">
        <v>1172</v>
      </c>
      <c r="C2794" s="400" t="s">
        <v>5902</v>
      </c>
      <c r="D2794" s="400" t="s">
        <v>1173</v>
      </c>
      <c r="E2794" s="605" t="s">
        <v>1039</v>
      </c>
      <c r="F2794" s="605"/>
      <c r="G2794" s="402" t="s">
        <v>4</v>
      </c>
      <c r="H2794" s="403">
        <v>0.78</v>
      </c>
      <c r="I2794" s="403">
        <v>0</v>
      </c>
      <c r="J2794" s="404">
        <v>4.9000000000000004</v>
      </c>
      <c r="K2794" s="404">
        <v>3.8220000000000001</v>
      </c>
      <c r="L2794" s="166"/>
    </row>
    <row r="2795" spans="1:12" ht="25.5" customHeight="1" x14ac:dyDescent="0.3">
      <c r="A2795" s="405"/>
      <c r="B2795" s="405"/>
      <c r="C2795" s="405"/>
      <c r="D2795" s="405"/>
      <c r="E2795" s="405" t="s">
        <v>1046</v>
      </c>
      <c r="F2795" s="406">
        <v>5.58</v>
      </c>
      <c r="G2795" s="405" t="s">
        <v>1047</v>
      </c>
      <c r="H2795" s="406">
        <v>0</v>
      </c>
      <c r="I2795" s="405" t="s">
        <v>1048</v>
      </c>
      <c r="J2795" s="406">
        <v>5.58</v>
      </c>
      <c r="K2795"/>
      <c r="L2795" s="166"/>
    </row>
    <row r="2796" spans="1:12" ht="15.6" thickBot="1" x14ac:dyDescent="0.35">
      <c r="A2796" s="405"/>
      <c r="B2796" s="405"/>
      <c r="C2796" s="405"/>
      <c r="D2796" s="405"/>
      <c r="E2796" s="405" t="s">
        <v>1049</v>
      </c>
      <c r="F2796" s="406">
        <v>0</v>
      </c>
      <c r="G2796" s="405"/>
      <c r="H2796" s="606"/>
      <c r="I2796" s="606" t="s">
        <v>1050</v>
      </c>
      <c r="J2796" s="406">
        <v>9.41</v>
      </c>
      <c r="K2796"/>
      <c r="L2796" s="166"/>
    </row>
    <row r="2797" spans="1:12" ht="30" customHeight="1" thickTop="1" x14ac:dyDescent="0.3">
      <c r="A2797" s="407"/>
      <c r="B2797" s="407"/>
      <c r="C2797" s="407"/>
      <c r="D2797" s="407"/>
      <c r="E2797" s="407"/>
      <c r="F2797" s="407"/>
      <c r="G2797" s="407"/>
      <c r="H2797" s="407"/>
      <c r="I2797" s="407"/>
      <c r="J2797" s="407"/>
      <c r="K2797" s="407"/>
      <c r="L2797" s="166"/>
    </row>
    <row r="2798" spans="1:12" ht="30" customHeight="1" x14ac:dyDescent="0.3">
      <c r="A2798" s="382" t="s">
        <v>1947</v>
      </c>
      <c r="B2798" s="312" t="s">
        <v>413</v>
      </c>
      <c r="C2798" s="382" t="s">
        <v>414</v>
      </c>
      <c r="D2798" s="382" t="s">
        <v>415</v>
      </c>
      <c r="E2798" s="586" t="s">
        <v>1029</v>
      </c>
      <c r="F2798" s="586"/>
      <c r="G2798" s="383" t="s">
        <v>416</v>
      </c>
      <c r="H2798" s="312" t="s">
        <v>1030</v>
      </c>
      <c r="I2798" s="312" t="s">
        <v>3016</v>
      </c>
      <c r="J2798" s="312" t="s">
        <v>1031</v>
      </c>
      <c r="K2798" s="312" t="s">
        <v>1032</v>
      </c>
      <c r="L2798" s="166"/>
    </row>
    <row r="2799" spans="1:12" ht="15" customHeight="1" x14ac:dyDescent="0.3">
      <c r="A2799" s="313" t="s">
        <v>1033</v>
      </c>
      <c r="B2799" s="315" t="s">
        <v>913</v>
      </c>
      <c r="C2799" s="313" t="s">
        <v>431</v>
      </c>
      <c r="D2799" s="313" t="s">
        <v>482</v>
      </c>
      <c r="E2799" s="603" t="s">
        <v>1176</v>
      </c>
      <c r="F2799" s="603"/>
      <c r="G2799" s="314" t="s">
        <v>7</v>
      </c>
      <c r="H2799" s="399">
        <v>1</v>
      </c>
      <c r="I2799" s="316"/>
      <c r="J2799" s="316">
        <v>60.15</v>
      </c>
      <c r="K2799" s="316">
        <v>60.15</v>
      </c>
      <c r="L2799" s="166"/>
    </row>
    <row r="2800" spans="1:12" ht="15" x14ac:dyDescent="0.3">
      <c r="A2800" s="400" t="s">
        <v>1038</v>
      </c>
      <c r="B2800" s="401" t="s">
        <v>1090</v>
      </c>
      <c r="C2800" s="400" t="s">
        <v>431</v>
      </c>
      <c r="D2800" s="400" t="s">
        <v>1091</v>
      </c>
      <c r="E2800" s="605" t="s">
        <v>1053</v>
      </c>
      <c r="F2800" s="605"/>
      <c r="G2800" s="402" t="s">
        <v>6</v>
      </c>
      <c r="H2800" s="403">
        <v>0.25</v>
      </c>
      <c r="I2800" s="403">
        <v>0</v>
      </c>
      <c r="J2800" s="404">
        <v>20.32</v>
      </c>
      <c r="K2800" s="404">
        <v>5.08</v>
      </c>
      <c r="L2800" s="168"/>
    </row>
    <row r="2801" spans="1:12" ht="14.25" customHeight="1" x14ac:dyDescent="0.3">
      <c r="A2801" s="400" t="s">
        <v>1038</v>
      </c>
      <c r="B2801" s="401" t="s">
        <v>1092</v>
      </c>
      <c r="C2801" s="400" t="s">
        <v>431</v>
      </c>
      <c r="D2801" s="400" t="s">
        <v>1093</v>
      </c>
      <c r="E2801" s="605" t="s">
        <v>1053</v>
      </c>
      <c r="F2801" s="605"/>
      <c r="G2801" s="402" t="s">
        <v>6</v>
      </c>
      <c r="H2801" s="403">
        <v>0.25</v>
      </c>
      <c r="I2801" s="403">
        <v>0</v>
      </c>
      <c r="J2801" s="404">
        <v>29.41</v>
      </c>
      <c r="K2801" s="404">
        <v>7.3525</v>
      </c>
      <c r="L2801" s="170"/>
    </row>
    <row r="2802" spans="1:12" ht="15" customHeight="1" x14ac:dyDescent="0.3">
      <c r="A2802" s="400" t="s">
        <v>1038</v>
      </c>
      <c r="B2802" s="401" t="s">
        <v>1177</v>
      </c>
      <c r="C2802" s="400" t="s">
        <v>431</v>
      </c>
      <c r="D2802" s="400" t="s">
        <v>1178</v>
      </c>
      <c r="E2802" s="605" t="s">
        <v>1039</v>
      </c>
      <c r="F2802" s="605"/>
      <c r="G2802" s="402" t="s">
        <v>7</v>
      </c>
      <c r="H2802" s="403">
        <v>1</v>
      </c>
      <c r="I2802" s="403">
        <v>0</v>
      </c>
      <c r="J2802" s="404">
        <v>47.72</v>
      </c>
      <c r="K2802" s="404">
        <v>47.72</v>
      </c>
      <c r="L2802" s="168"/>
    </row>
    <row r="2803" spans="1:12" ht="17.399999999999999" customHeight="1" x14ac:dyDescent="0.3">
      <c r="A2803" s="405"/>
      <c r="B2803" s="405"/>
      <c r="C2803" s="405"/>
      <c r="D2803" s="405"/>
      <c r="E2803" s="405" t="s">
        <v>1046</v>
      </c>
      <c r="F2803" s="406">
        <v>12.43</v>
      </c>
      <c r="G2803" s="405" t="s">
        <v>1047</v>
      </c>
      <c r="H2803" s="406">
        <v>0</v>
      </c>
      <c r="I2803" s="405" t="s">
        <v>1048</v>
      </c>
      <c r="J2803" s="406">
        <v>12.43</v>
      </c>
      <c r="K2803"/>
      <c r="L2803" s="168"/>
    </row>
    <row r="2804" spans="1:12" ht="25.5" customHeight="1" thickBot="1" x14ac:dyDescent="0.35">
      <c r="A2804" s="405"/>
      <c r="B2804" s="405"/>
      <c r="C2804" s="405"/>
      <c r="D2804" s="405"/>
      <c r="E2804" s="405" t="s">
        <v>1049</v>
      </c>
      <c r="F2804" s="406">
        <v>0</v>
      </c>
      <c r="G2804" s="405"/>
      <c r="H2804" s="606"/>
      <c r="I2804" s="606" t="s">
        <v>1050</v>
      </c>
      <c r="J2804" s="406">
        <v>60.15</v>
      </c>
      <c r="K2804"/>
      <c r="L2804" s="168"/>
    </row>
    <row r="2805" spans="1:12" ht="25.5" customHeight="1" thickTop="1" x14ac:dyDescent="0.3">
      <c r="A2805" s="407"/>
      <c r="B2805" s="407"/>
      <c r="C2805" s="407"/>
      <c r="D2805" s="407"/>
      <c r="E2805" s="407"/>
      <c r="F2805" s="407"/>
      <c r="G2805" s="407"/>
      <c r="H2805" s="407"/>
      <c r="I2805" s="407"/>
      <c r="J2805" s="407"/>
      <c r="K2805" s="407"/>
      <c r="L2805" s="166"/>
    </row>
    <row r="2806" spans="1:12" ht="12.75" customHeight="1" x14ac:dyDescent="0.3">
      <c r="A2806" s="382" t="s">
        <v>1949</v>
      </c>
      <c r="B2806" s="312" t="s">
        <v>413</v>
      </c>
      <c r="C2806" s="382" t="s">
        <v>414</v>
      </c>
      <c r="D2806" s="382" t="s">
        <v>415</v>
      </c>
      <c r="E2806" s="586" t="s">
        <v>1029</v>
      </c>
      <c r="F2806" s="586"/>
      <c r="G2806" s="383" t="s">
        <v>416</v>
      </c>
      <c r="H2806" s="312" t="s">
        <v>1030</v>
      </c>
      <c r="I2806" s="312" t="s">
        <v>3016</v>
      </c>
      <c r="J2806" s="312" t="s">
        <v>1031</v>
      </c>
      <c r="K2806" s="312" t="s">
        <v>1032</v>
      </c>
      <c r="L2806" s="166"/>
    </row>
    <row r="2807" spans="1:12" ht="30" customHeight="1" x14ac:dyDescent="0.3">
      <c r="A2807" s="313" t="s">
        <v>1033</v>
      </c>
      <c r="B2807" s="315" t="s">
        <v>933</v>
      </c>
      <c r="C2807" s="313" t="s">
        <v>420</v>
      </c>
      <c r="D2807" s="313" t="s">
        <v>520</v>
      </c>
      <c r="E2807" s="603" t="s">
        <v>1224</v>
      </c>
      <c r="F2807" s="603"/>
      <c r="G2807" s="314" t="s">
        <v>422</v>
      </c>
      <c r="H2807" s="399">
        <v>1</v>
      </c>
      <c r="I2807" s="316"/>
      <c r="J2807" s="316">
        <v>226.29</v>
      </c>
      <c r="K2807" s="316">
        <v>226.29</v>
      </c>
      <c r="L2807" s="168"/>
    </row>
    <row r="2808" spans="1:12" ht="30" customHeight="1" x14ac:dyDescent="0.3">
      <c r="A2808" s="408" t="s">
        <v>1034</v>
      </c>
      <c r="B2808" s="409" t="s">
        <v>1071</v>
      </c>
      <c r="C2808" s="408" t="s">
        <v>420</v>
      </c>
      <c r="D2808" s="408" t="s">
        <v>1072</v>
      </c>
      <c r="E2808" s="604" t="s">
        <v>1069</v>
      </c>
      <c r="F2808" s="604"/>
      <c r="G2808" s="410" t="s">
        <v>1070</v>
      </c>
      <c r="H2808" s="412">
        <v>0.6</v>
      </c>
      <c r="I2808" s="412">
        <v>0</v>
      </c>
      <c r="J2808" s="411">
        <v>3.95</v>
      </c>
      <c r="K2808" s="411">
        <v>2.37</v>
      </c>
      <c r="L2808" s="168"/>
    </row>
    <row r="2809" spans="1:12" ht="15" customHeight="1" x14ac:dyDescent="0.3">
      <c r="A2809" s="408" t="s">
        <v>1034</v>
      </c>
      <c r="B2809" s="409" t="s">
        <v>1067</v>
      </c>
      <c r="C2809" s="408" t="s">
        <v>420</v>
      </c>
      <c r="D2809" s="408" t="s">
        <v>1068</v>
      </c>
      <c r="E2809" s="604" t="s">
        <v>1069</v>
      </c>
      <c r="F2809" s="604"/>
      <c r="G2809" s="410" t="s">
        <v>1070</v>
      </c>
      <c r="H2809" s="412">
        <v>0.6</v>
      </c>
      <c r="I2809" s="412">
        <v>0</v>
      </c>
      <c r="J2809" s="411">
        <v>3.82</v>
      </c>
      <c r="K2809" s="411">
        <v>2.2919999999999998</v>
      </c>
      <c r="L2809" s="168"/>
    </row>
    <row r="2810" spans="1:12" ht="15" customHeight="1" x14ac:dyDescent="0.3">
      <c r="A2810" s="400" t="s">
        <v>1038</v>
      </c>
      <c r="B2810" s="401" t="s">
        <v>1225</v>
      </c>
      <c r="C2810" s="400" t="s">
        <v>420</v>
      </c>
      <c r="D2810" s="400" t="s">
        <v>1226</v>
      </c>
      <c r="E2810" s="605" t="s">
        <v>1039</v>
      </c>
      <c r="F2810" s="605"/>
      <c r="G2810" s="402" t="s">
        <v>422</v>
      </c>
      <c r="H2810" s="403">
        <v>1</v>
      </c>
      <c r="I2810" s="403">
        <v>0</v>
      </c>
      <c r="J2810" s="404">
        <v>200</v>
      </c>
      <c r="K2810" s="404">
        <v>200</v>
      </c>
      <c r="L2810" s="168"/>
    </row>
    <row r="2811" spans="1:12" ht="15" x14ac:dyDescent="0.3">
      <c r="A2811" s="400" t="s">
        <v>1038</v>
      </c>
      <c r="B2811" s="401" t="s">
        <v>6199</v>
      </c>
      <c r="C2811" s="400" t="s">
        <v>420</v>
      </c>
      <c r="D2811" s="400" t="s">
        <v>6200</v>
      </c>
      <c r="E2811" s="605" t="s">
        <v>1053</v>
      </c>
      <c r="F2811" s="605"/>
      <c r="G2811" s="402" t="s">
        <v>1070</v>
      </c>
      <c r="H2811" s="403">
        <v>0.6</v>
      </c>
      <c r="I2811" s="403">
        <v>0</v>
      </c>
      <c r="J2811" s="404">
        <v>20.45</v>
      </c>
      <c r="K2811" s="404">
        <v>12.27</v>
      </c>
      <c r="L2811" s="166"/>
    </row>
    <row r="2812" spans="1:12" ht="17.399999999999999" customHeight="1" x14ac:dyDescent="0.3">
      <c r="A2812" s="400" t="s">
        <v>1038</v>
      </c>
      <c r="B2812" s="401" t="s">
        <v>6251</v>
      </c>
      <c r="C2812" s="400" t="s">
        <v>420</v>
      </c>
      <c r="D2812" s="400" t="s">
        <v>6252</v>
      </c>
      <c r="E2812" s="605" t="s">
        <v>1053</v>
      </c>
      <c r="F2812" s="605"/>
      <c r="G2812" s="402" t="s">
        <v>1070</v>
      </c>
      <c r="H2812" s="403">
        <v>0.6</v>
      </c>
      <c r="I2812" s="403">
        <v>0</v>
      </c>
      <c r="J2812" s="404">
        <v>15.59</v>
      </c>
      <c r="K2812" s="404">
        <v>9.3539999999999992</v>
      </c>
      <c r="L2812" s="168"/>
    </row>
    <row r="2813" spans="1:12" ht="25.5" customHeight="1" x14ac:dyDescent="0.3">
      <c r="A2813" s="405"/>
      <c r="B2813" s="405"/>
      <c r="C2813" s="405"/>
      <c r="D2813" s="405"/>
      <c r="E2813" s="405" t="s">
        <v>1046</v>
      </c>
      <c r="F2813" s="406">
        <v>21.62</v>
      </c>
      <c r="G2813" s="405" t="s">
        <v>1047</v>
      </c>
      <c r="H2813" s="406">
        <v>0</v>
      </c>
      <c r="I2813" s="405" t="s">
        <v>1048</v>
      </c>
      <c r="J2813" s="406">
        <v>21.62</v>
      </c>
      <c r="K2813"/>
      <c r="L2813" s="168"/>
    </row>
    <row r="2814" spans="1:12" ht="25.5" customHeight="1" thickBot="1" x14ac:dyDescent="0.35">
      <c r="A2814" s="405"/>
      <c r="B2814" s="405"/>
      <c r="C2814" s="405"/>
      <c r="D2814" s="405"/>
      <c r="E2814" s="405" t="s">
        <v>1049</v>
      </c>
      <c r="F2814" s="406">
        <v>0</v>
      </c>
      <c r="G2814" s="405"/>
      <c r="H2814" s="606"/>
      <c r="I2814" s="606" t="s">
        <v>1050</v>
      </c>
      <c r="J2814" s="406">
        <v>226.29</v>
      </c>
      <c r="K2814"/>
      <c r="L2814" s="168"/>
    </row>
    <row r="2815" spans="1:12" ht="25.5" customHeight="1" thickTop="1" x14ac:dyDescent="0.3">
      <c r="A2815" s="407"/>
      <c r="B2815" s="407"/>
      <c r="C2815" s="407"/>
      <c r="D2815" s="407"/>
      <c r="E2815" s="407"/>
      <c r="F2815" s="407"/>
      <c r="G2815" s="407"/>
      <c r="H2815" s="407"/>
      <c r="I2815" s="407"/>
      <c r="J2815" s="407"/>
      <c r="K2815" s="407"/>
      <c r="L2815" s="166"/>
    </row>
    <row r="2816" spans="1:12" ht="25.5" customHeight="1" x14ac:dyDescent="0.3">
      <c r="A2816" s="382" t="s">
        <v>1951</v>
      </c>
      <c r="B2816" s="312" t="s">
        <v>413</v>
      </c>
      <c r="C2816" s="382" t="s">
        <v>414</v>
      </c>
      <c r="D2816" s="382" t="s">
        <v>415</v>
      </c>
      <c r="E2816" s="586" t="s">
        <v>1029</v>
      </c>
      <c r="F2816" s="586"/>
      <c r="G2816" s="383" t="s">
        <v>416</v>
      </c>
      <c r="H2816" s="312" t="s">
        <v>1030</v>
      </c>
      <c r="I2816" s="312" t="s">
        <v>3016</v>
      </c>
      <c r="J2816" s="312" t="s">
        <v>1031</v>
      </c>
      <c r="K2816" s="312" t="s">
        <v>1032</v>
      </c>
      <c r="L2816" s="166"/>
    </row>
    <row r="2817" spans="1:12" ht="25.5" customHeight="1" x14ac:dyDescent="0.3">
      <c r="A2817" s="313" t="s">
        <v>1033</v>
      </c>
      <c r="B2817" s="315" t="s">
        <v>912</v>
      </c>
      <c r="C2817" s="313" t="s">
        <v>5902</v>
      </c>
      <c r="D2817" s="313" t="s">
        <v>480</v>
      </c>
      <c r="E2817" s="603">
        <v>39.090000000000003</v>
      </c>
      <c r="F2817" s="603"/>
      <c r="G2817" s="314" t="s">
        <v>4</v>
      </c>
      <c r="H2817" s="399">
        <v>1</v>
      </c>
      <c r="I2817" s="316"/>
      <c r="J2817" s="316">
        <v>18.739999999999998</v>
      </c>
      <c r="K2817" s="316">
        <v>18.739999999999998</v>
      </c>
      <c r="L2817" s="168"/>
    </row>
    <row r="2818" spans="1:12" ht="30" customHeight="1" x14ac:dyDescent="0.3">
      <c r="A2818" s="400" t="s">
        <v>1038</v>
      </c>
      <c r="B2818" s="401" t="s">
        <v>1051</v>
      </c>
      <c r="C2818" s="400" t="s">
        <v>5902</v>
      </c>
      <c r="D2818" s="400" t="s">
        <v>1052</v>
      </c>
      <c r="E2818" s="605" t="s">
        <v>1053</v>
      </c>
      <c r="F2818" s="605"/>
      <c r="G2818" s="402" t="s">
        <v>6</v>
      </c>
      <c r="H2818" s="403">
        <v>0.1</v>
      </c>
      <c r="I2818" s="403">
        <v>0</v>
      </c>
      <c r="J2818" s="404">
        <v>33.119999999999997</v>
      </c>
      <c r="K2818" s="404">
        <v>3.3119999999999998</v>
      </c>
      <c r="L2818" s="168"/>
    </row>
    <row r="2819" spans="1:12" ht="14.25" customHeight="1" x14ac:dyDescent="0.3">
      <c r="A2819" s="400" t="s">
        <v>1038</v>
      </c>
      <c r="B2819" s="401" t="s">
        <v>1054</v>
      </c>
      <c r="C2819" s="400" t="s">
        <v>5902</v>
      </c>
      <c r="D2819" s="400" t="s">
        <v>1055</v>
      </c>
      <c r="E2819" s="605" t="s">
        <v>1053</v>
      </c>
      <c r="F2819" s="605"/>
      <c r="G2819" s="402" t="s">
        <v>6</v>
      </c>
      <c r="H2819" s="403">
        <v>0.1</v>
      </c>
      <c r="I2819" s="403">
        <v>0</v>
      </c>
      <c r="J2819" s="404">
        <v>22.71</v>
      </c>
      <c r="K2819" s="404">
        <v>2.2709999999999999</v>
      </c>
      <c r="L2819" s="168"/>
    </row>
    <row r="2820" spans="1:12" ht="15" customHeight="1" x14ac:dyDescent="0.3">
      <c r="A2820" s="400" t="s">
        <v>1038</v>
      </c>
      <c r="B2820" s="401" t="s">
        <v>1174</v>
      </c>
      <c r="C2820" s="400" t="s">
        <v>5902</v>
      </c>
      <c r="D2820" s="400" t="s">
        <v>1175</v>
      </c>
      <c r="E2820" s="605" t="s">
        <v>1039</v>
      </c>
      <c r="F2820" s="605"/>
      <c r="G2820" s="402" t="s">
        <v>4</v>
      </c>
      <c r="H2820" s="403">
        <v>1</v>
      </c>
      <c r="I2820" s="403">
        <v>0</v>
      </c>
      <c r="J2820" s="404">
        <v>13.16</v>
      </c>
      <c r="K2820" s="404">
        <v>13.16</v>
      </c>
      <c r="L2820" s="166"/>
    </row>
    <row r="2821" spans="1:12" ht="17.399999999999999" customHeight="1" x14ac:dyDescent="0.3">
      <c r="A2821" s="405"/>
      <c r="B2821" s="405"/>
      <c r="C2821" s="405"/>
      <c r="D2821" s="405"/>
      <c r="E2821" s="405" t="s">
        <v>1046</v>
      </c>
      <c r="F2821" s="406">
        <v>5.58</v>
      </c>
      <c r="G2821" s="405" t="s">
        <v>1047</v>
      </c>
      <c r="H2821" s="406">
        <v>0</v>
      </c>
      <c r="I2821" s="405" t="s">
        <v>1048</v>
      </c>
      <c r="J2821" s="406">
        <v>5.58</v>
      </c>
      <c r="K2821"/>
      <c r="L2821" s="166"/>
    </row>
    <row r="2822" spans="1:12" ht="15.6" thickBot="1" x14ac:dyDescent="0.35">
      <c r="A2822" s="405"/>
      <c r="B2822" s="405"/>
      <c r="C2822" s="405"/>
      <c r="D2822" s="405"/>
      <c r="E2822" s="405" t="s">
        <v>1049</v>
      </c>
      <c r="F2822" s="406">
        <v>0</v>
      </c>
      <c r="G2822" s="405"/>
      <c r="H2822" s="606"/>
      <c r="I2822" s="606" t="s">
        <v>1050</v>
      </c>
      <c r="J2822" s="406">
        <v>18.739999999999998</v>
      </c>
      <c r="K2822"/>
      <c r="L2822" s="166"/>
    </row>
    <row r="2823" spans="1:12" ht="38.25" customHeight="1" thickTop="1" x14ac:dyDescent="0.3">
      <c r="A2823" s="407"/>
      <c r="B2823" s="407"/>
      <c r="C2823" s="407"/>
      <c r="D2823" s="407"/>
      <c r="E2823" s="407"/>
      <c r="F2823" s="407"/>
      <c r="G2823" s="407"/>
      <c r="H2823" s="407"/>
      <c r="I2823" s="407"/>
      <c r="J2823" s="407"/>
      <c r="K2823" s="407"/>
      <c r="L2823" s="166"/>
    </row>
    <row r="2824" spans="1:12" ht="25.5" customHeight="1" x14ac:dyDescent="0.3">
      <c r="A2824" s="382" t="s">
        <v>1956</v>
      </c>
      <c r="B2824" s="312" t="s">
        <v>413</v>
      </c>
      <c r="C2824" s="382" t="s">
        <v>414</v>
      </c>
      <c r="D2824" s="382" t="s">
        <v>415</v>
      </c>
      <c r="E2824" s="586" t="s">
        <v>1029</v>
      </c>
      <c r="F2824" s="586"/>
      <c r="G2824" s="383" t="s">
        <v>416</v>
      </c>
      <c r="H2824" s="312" t="s">
        <v>1030</v>
      </c>
      <c r="I2824" s="312" t="s">
        <v>3016</v>
      </c>
      <c r="J2824" s="312" t="s">
        <v>1031</v>
      </c>
      <c r="K2824" s="312" t="s">
        <v>1032</v>
      </c>
      <c r="L2824" s="166"/>
    </row>
    <row r="2825" spans="1:12" ht="15" customHeight="1" x14ac:dyDescent="0.3">
      <c r="A2825" s="313" t="s">
        <v>1033</v>
      </c>
      <c r="B2825" s="315" t="s">
        <v>2935</v>
      </c>
      <c r="C2825" s="313" t="s">
        <v>395</v>
      </c>
      <c r="D2825" s="313" t="s">
        <v>5965</v>
      </c>
      <c r="E2825" s="603" t="s">
        <v>7791</v>
      </c>
      <c r="F2825" s="603"/>
      <c r="G2825" s="314" t="s">
        <v>4</v>
      </c>
      <c r="H2825" s="399">
        <v>1</v>
      </c>
      <c r="I2825" s="316"/>
      <c r="J2825" s="316">
        <v>917.82</v>
      </c>
      <c r="K2825" s="316">
        <v>917.82</v>
      </c>
      <c r="L2825" s="166"/>
    </row>
    <row r="2826" spans="1:12" ht="25.5" customHeight="1" x14ac:dyDescent="0.3">
      <c r="A2826" s="408" t="s">
        <v>1034</v>
      </c>
      <c r="B2826" s="409" t="s">
        <v>1035</v>
      </c>
      <c r="C2826" s="408" t="s">
        <v>395</v>
      </c>
      <c r="D2826" s="408" t="s">
        <v>128</v>
      </c>
      <c r="E2826" s="604" t="s">
        <v>7768</v>
      </c>
      <c r="F2826" s="604"/>
      <c r="G2826" s="410" t="s">
        <v>6</v>
      </c>
      <c r="H2826" s="412">
        <v>1.222415</v>
      </c>
      <c r="I2826" s="412">
        <v>0</v>
      </c>
      <c r="J2826" s="411">
        <v>34.5</v>
      </c>
      <c r="K2826" s="411">
        <v>42.173317500000003</v>
      </c>
      <c r="L2826" s="166"/>
    </row>
    <row r="2827" spans="1:12" ht="26.4" x14ac:dyDescent="0.3">
      <c r="A2827" s="408" t="s">
        <v>1034</v>
      </c>
      <c r="B2827" s="409" t="s">
        <v>1037</v>
      </c>
      <c r="C2827" s="408" t="s">
        <v>395</v>
      </c>
      <c r="D2827" s="408" t="s">
        <v>135</v>
      </c>
      <c r="E2827" s="604" t="s">
        <v>7768</v>
      </c>
      <c r="F2827" s="604"/>
      <c r="G2827" s="410" t="s">
        <v>6</v>
      </c>
      <c r="H2827" s="412">
        <v>1.222415</v>
      </c>
      <c r="I2827" s="412">
        <v>0</v>
      </c>
      <c r="J2827" s="411">
        <v>41.81</v>
      </c>
      <c r="K2827" s="411">
        <v>51.109171199999999</v>
      </c>
      <c r="L2827" s="168"/>
    </row>
    <row r="2828" spans="1:12" ht="15" customHeight="1" x14ac:dyDescent="0.3">
      <c r="A2828" s="400" t="s">
        <v>1038</v>
      </c>
      <c r="B2828" s="401" t="s">
        <v>3115</v>
      </c>
      <c r="C2828" s="400" t="s">
        <v>395</v>
      </c>
      <c r="D2828" s="400" t="s">
        <v>3116</v>
      </c>
      <c r="E2828" s="605" t="s">
        <v>1039</v>
      </c>
      <c r="F2828" s="605"/>
      <c r="G2828" s="402" t="s">
        <v>4</v>
      </c>
      <c r="H2828" s="403">
        <v>3</v>
      </c>
      <c r="I2828" s="403">
        <v>0</v>
      </c>
      <c r="J2828" s="404">
        <v>11.98</v>
      </c>
      <c r="K2828" s="404">
        <v>35.94</v>
      </c>
      <c r="L2828" s="170"/>
    </row>
    <row r="2829" spans="1:12" ht="25.5" customHeight="1" x14ac:dyDescent="0.3">
      <c r="A2829" s="400" t="s">
        <v>1038</v>
      </c>
      <c r="B2829" s="401" t="s">
        <v>3113</v>
      </c>
      <c r="C2829" s="400" t="s">
        <v>395</v>
      </c>
      <c r="D2829" s="400" t="s">
        <v>3114</v>
      </c>
      <c r="E2829" s="605" t="s">
        <v>1039</v>
      </c>
      <c r="F2829" s="605"/>
      <c r="G2829" s="402" t="s">
        <v>4</v>
      </c>
      <c r="H2829" s="403">
        <v>1</v>
      </c>
      <c r="I2829" s="403">
        <v>0</v>
      </c>
      <c r="J2829" s="404">
        <v>788.6</v>
      </c>
      <c r="K2829" s="404">
        <v>788.6</v>
      </c>
      <c r="L2829" s="168"/>
    </row>
    <row r="2830" spans="1:12" ht="14.25" customHeight="1" x14ac:dyDescent="0.3">
      <c r="A2830" s="405"/>
      <c r="B2830" s="405"/>
      <c r="C2830" s="405"/>
      <c r="D2830" s="405"/>
      <c r="E2830" s="405" t="s">
        <v>1046</v>
      </c>
      <c r="F2830" s="406">
        <v>68.05</v>
      </c>
      <c r="G2830" s="405" t="s">
        <v>1047</v>
      </c>
      <c r="H2830" s="406">
        <v>0</v>
      </c>
      <c r="I2830" s="405" t="s">
        <v>1048</v>
      </c>
      <c r="J2830" s="406">
        <v>68.05</v>
      </c>
      <c r="K2830"/>
      <c r="L2830" s="168"/>
    </row>
    <row r="2831" spans="1:12" ht="25.5" customHeight="1" thickBot="1" x14ac:dyDescent="0.35">
      <c r="A2831" s="405"/>
      <c r="B2831" s="405"/>
      <c r="C2831" s="405"/>
      <c r="D2831" s="405"/>
      <c r="E2831" s="405" t="s">
        <v>1049</v>
      </c>
      <c r="F2831" s="406">
        <v>0</v>
      </c>
      <c r="G2831" s="405"/>
      <c r="H2831" s="606"/>
      <c r="I2831" s="606" t="s">
        <v>1050</v>
      </c>
      <c r="J2831" s="406">
        <v>917.82</v>
      </c>
      <c r="K2831"/>
      <c r="L2831" s="168"/>
    </row>
    <row r="2832" spans="1:12" ht="25.5" customHeight="1" thickTop="1" x14ac:dyDescent="0.3">
      <c r="A2832" s="407"/>
      <c r="B2832" s="407"/>
      <c r="C2832" s="407"/>
      <c r="D2832" s="407"/>
      <c r="E2832" s="407"/>
      <c r="F2832" s="407"/>
      <c r="G2832" s="407"/>
      <c r="H2832" s="407"/>
      <c r="I2832" s="407"/>
      <c r="J2832" s="407"/>
      <c r="K2832" s="407"/>
      <c r="L2832" s="166"/>
    </row>
    <row r="2833" spans="1:12" ht="30" customHeight="1" x14ac:dyDescent="0.3">
      <c r="A2833" s="382" t="s">
        <v>1958</v>
      </c>
      <c r="B2833" s="312" t="s">
        <v>413</v>
      </c>
      <c r="C2833" s="382" t="s">
        <v>414</v>
      </c>
      <c r="D2833" s="382" t="s">
        <v>415</v>
      </c>
      <c r="E2833" s="586" t="s">
        <v>1029</v>
      </c>
      <c r="F2833" s="586"/>
      <c r="G2833" s="383" t="s">
        <v>416</v>
      </c>
      <c r="H2833" s="312" t="s">
        <v>1030</v>
      </c>
      <c r="I2833" s="312" t="s">
        <v>3016</v>
      </c>
      <c r="J2833" s="312" t="s">
        <v>1031</v>
      </c>
      <c r="K2833" s="312" t="s">
        <v>1032</v>
      </c>
      <c r="L2833" s="166"/>
    </row>
    <row r="2834" spans="1:12" ht="38.25" customHeight="1" x14ac:dyDescent="0.3">
      <c r="A2834" s="313" t="s">
        <v>1033</v>
      </c>
      <c r="B2834" s="315" t="s">
        <v>2972</v>
      </c>
      <c r="C2834" s="313" t="s">
        <v>575</v>
      </c>
      <c r="D2834" s="313" t="s">
        <v>2636</v>
      </c>
      <c r="E2834" s="603" t="s">
        <v>1227</v>
      </c>
      <c r="F2834" s="603"/>
      <c r="G2834" s="314" t="s">
        <v>4</v>
      </c>
      <c r="H2834" s="399">
        <v>1</v>
      </c>
      <c r="I2834" s="316"/>
      <c r="J2834" s="316">
        <v>331.99</v>
      </c>
      <c r="K2834" s="316">
        <v>331.99</v>
      </c>
      <c r="L2834" s="168"/>
    </row>
    <row r="2835" spans="1:12" ht="15" customHeight="1" x14ac:dyDescent="0.3">
      <c r="A2835" s="408" t="s">
        <v>1034</v>
      </c>
      <c r="B2835" s="409" t="s">
        <v>1037</v>
      </c>
      <c r="C2835" s="408" t="s">
        <v>395</v>
      </c>
      <c r="D2835" s="408" t="s">
        <v>135</v>
      </c>
      <c r="E2835" s="604" t="s">
        <v>7768</v>
      </c>
      <c r="F2835" s="604"/>
      <c r="G2835" s="410" t="s">
        <v>6</v>
      </c>
      <c r="H2835" s="412">
        <v>0.62</v>
      </c>
      <c r="I2835" s="412">
        <v>0</v>
      </c>
      <c r="J2835" s="411">
        <v>41.81</v>
      </c>
      <c r="K2835" s="411">
        <v>25.9222</v>
      </c>
      <c r="L2835" s="168"/>
    </row>
    <row r="2836" spans="1:12" ht="15" customHeight="1" x14ac:dyDescent="0.3">
      <c r="A2836" s="408" t="s">
        <v>1034</v>
      </c>
      <c r="B2836" s="409" t="s">
        <v>1035</v>
      </c>
      <c r="C2836" s="408" t="s">
        <v>395</v>
      </c>
      <c r="D2836" s="408" t="s">
        <v>128</v>
      </c>
      <c r="E2836" s="604" t="s">
        <v>7768</v>
      </c>
      <c r="F2836" s="604"/>
      <c r="G2836" s="410" t="s">
        <v>6</v>
      </c>
      <c r="H2836" s="412">
        <v>0.62</v>
      </c>
      <c r="I2836" s="412">
        <v>0</v>
      </c>
      <c r="J2836" s="411">
        <v>34.5</v>
      </c>
      <c r="K2836" s="411">
        <v>21.39</v>
      </c>
      <c r="L2836" s="168"/>
    </row>
    <row r="2837" spans="1:12" ht="25.5" customHeight="1" x14ac:dyDescent="0.3">
      <c r="A2837" s="400" t="s">
        <v>1038</v>
      </c>
      <c r="B2837" s="401" t="s">
        <v>3040</v>
      </c>
      <c r="C2837" s="400" t="s">
        <v>408</v>
      </c>
      <c r="D2837" s="400" t="s">
        <v>3041</v>
      </c>
      <c r="E2837" s="605" t="s">
        <v>1039</v>
      </c>
      <c r="F2837" s="605"/>
      <c r="G2837" s="402" t="s">
        <v>380</v>
      </c>
      <c r="H2837" s="403">
        <v>2</v>
      </c>
      <c r="I2837" s="403">
        <v>0</v>
      </c>
      <c r="J2837" s="404">
        <v>2.34</v>
      </c>
      <c r="K2837" s="404">
        <v>4.68</v>
      </c>
      <c r="L2837" s="168"/>
    </row>
    <row r="2838" spans="1:12" ht="25.5" customHeight="1" x14ac:dyDescent="0.3">
      <c r="A2838" s="400" t="s">
        <v>1038</v>
      </c>
      <c r="B2838" s="401" t="s">
        <v>3193</v>
      </c>
      <c r="C2838" s="400" t="s">
        <v>575</v>
      </c>
      <c r="D2838" s="400" t="s">
        <v>2636</v>
      </c>
      <c r="E2838" s="605" t="s">
        <v>1039</v>
      </c>
      <c r="F2838" s="605"/>
      <c r="G2838" s="402" t="s">
        <v>4</v>
      </c>
      <c r="H2838" s="403">
        <v>1</v>
      </c>
      <c r="I2838" s="403">
        <v>0</v>
      </c>
      <c r="J2838" s="404">
        <v>280</v>
      </c>
      <c r="K2838" s="404">
        <v>280</v>
      </c>
      <c r="L2838" s="166"/>
    </row>
    <row r="2839" spans="1:12" ht="38.25" customHeight="1" x14ac:dyDescent="0.3">
      <c r="A2839" s="405"/>
      <c r="B2839" s="405"/>
      <c r="C2839" s="405"/>
      <c r="D2839" s="405"/>
      <c r="E2839" s="405" t="s">
        <v>1046</v>
      </c>
      <c r="F2839" s="406">
        <v>34.51</v>
      </c>
      <c r="G2839" s="405" t="s">
        <v>1047</v>
      </c>
      <c r="H2839" s="406">
        <v>0</v>
      </c>
      <c r="I2839" s="405" t="s">
        <v>1048</v>
      </c>
      <c r="J2839" s="406">
        <v>34.51</v>
      </c>
      <c r="K2839"/>
      <c r="L2839" s="168"/>
    </row>
    <row r="2840" spans="1:12" ht="25.5" customHeight="1" thickBot="1" x14ac:dyDescent="0.35">
      <c r="A2840" s="405"/>
      <c r="B2840" s="405"/>
      <c r="C2840" s="405"/>
      <c r="D2840" s="405"/>
      <c r="E2840" s="405" t="s">
        <v>1049</v>
      </c>
      <c r="F2840" s="406">
        <v>0</v>
      </c>
      <c r="G2840" s="405"/>
      <c r="H2840" s="606"/>
      <c r="I2840" s="606" t="s">
        <v>1050</v>
      </c>
      <c r="J2840" s="406">
        <v>331.99</v>
      </c>
      <c r="K2840"/>
      <c r="L2840" s="168"/>
    </row>
    <row r="2841" spans="1:12" ht="25.5" customHeight="1" thickTop="1" x14ac:dyDescent="0.3">
      <c r="A2841" s="407"/>
      <c r="B2841" s="407"/>
      <c r="C2841" s="407"/>
      <c r="D2841" s="407"/>
      <c r="E2841" s="407"/>
      <c r="F2841" s="407"/>
      <c r="G2841" s="407"/>
      <c r="H2841" s="407"/>
      <c r="I2841" s="407"/>
      <c r="J2841" s="407"/>
      <c r="K2841" s="407"/>
      <c r="L2841" s="168"/>
    </row>
    <row r="2842" spans="1:12" ht="25.5" customHeight="1" x14ac:dyDescent="0.3">
      <c r="A2842" s="382" t="s">
        <v>1960</v>
      </c>
      <c r="B2842" s="312" t="s">
        <v>413</v>
      </c>
      <c r="C2842" s="382" t="s">
        <v>414</v>
      </c>
      <c r="D2842" s="382" t="s">
        <v>415</v>
      </c>
      <c r="E2842" s="586" t="s">
        <v>1029</v>
      </c>
      <c r="F2842" s="586"/>
      <c r="G2842" s="383" t="s">
        <v>416</v>
      </c>
      <c r="H2842" s="312" t="s">
        <v>1030</v>
      </c>
      <c r="I2842" s="312" t="s">
        <v>3016</v>
      </c>
      <c r="J2842" s="312" t="s">
        <v>1031</v>
      </c>
      <c r="K2842" s="312" t="s">
        <v>1032</v>
      </c>
      <c r="L2842" s="166"/>
    </row>
    <row r="2843" spans="1:12" ht="30" customHeight="1" x14ac:dyDescent="0.3">
      <c r="A2843" s="313" t="s">
        <v>1033</v>
      </c>
      <c r="B2843" s="315" t="s">
        <v>3853</v>
      </c>
      <c r="C2843" s="313" t="s">
        <v>395</v>
      </c>
      <c r="D2843" s="313" t="s">
        <v>5966</v>
      </c>
      <c r="E2843" s="603" t="s">
        <v>7791</v>
      </c>
      <c r="F2843" s="603"/>
      <c r="G2843" s="314" t="s">
        <v>4</v>
      </c>
      <c r="H2843" s="399">
        <v>1</v>
      </c>
      <c r="I2843" s="316"/>
      <c r="J2843" s="316">
        <v>88.52</v>
      </c>
      <c r="K2843" s="316">
        <v>88.52</v>
      </c>
      <c r="L2843" s="166"/>
    </row>
    <row r="2844" spans="1:12" ht="26.4" x14ac:dyDescent="0.3">
      <c r="A2844" s="408" t="s">
        <v>1034</v>
      </c>
      <c r="B2844" s="409" t="s">
        <v>1035</v>
      </c>
      <c r="C2844" s="408" t="s">
        <v>395</v>
      </c>
      <c r="D2844" s="408" t="s">
        <v>128</v>
      </c>
      <c r="E2844" s="604" t="s">
        <v>7768</v>
      </c>
      <c r="F2844" s="604"/>
      <c r="G2844" s="410" t="s">
        <v>6</v>
      </c>
      <c r="H2844" s="412">
        <v>0.38141900000000001</v>
      </c>
      <c r="I2844" s="412">
        <v>0</v>
      </c>
      <c r="J2844" s="411">
        <v>34.5</v>
      </c>
      <c r="K2844" s="411">
        <v>13.158955499999999</v>
      </c>
      <c r="L2844" s="168"/>
    </row>
    <row r="2845" spans="1:12" ht="15" customHeight="1" x14ac:dyDescent="0.3">
      <c r="A2845" s="408" t="s">
        <v>1034</v>
      </c>
      <c r="B2845" s="409" t="s">
        <v>1037</v>
      </c>
      <c r="C2845" s="408" t="s">
        <v>395</v>
      </c>
      <c r="D2845" s="408" t="s">
        <v>135</v>
      </c>
      <c r="E2845" s="604" t="s">
        <v>7768</v>
      </c>
      <c r="F2845" s="604"/>
      <c r="G2845" s="410" t="s">
        <v>6</v>
      </c>
      <c r="H2845" s="412">
        <v>0.38141900000000001</v>
      </c>
      <c r="I2845" s="412">
        <v>0</v>
      </c>
      <c r="J2845" s="411">
        <v>41.81</v>
      </c>
      <c r="K2845" s="411">
        <v>15.9471284</v>
      </c>
      <c r="L2845" s="168"/>
    </row>
    <row r="2846" spans="1:12" ht="15" customHeight="1" x14ac:dyDescent="0.3">
      <c r="A2846" s="400" t="s">
        <v>1038</v>
      </c>
      <c r="B2846" s="401" t="s">
        <v>4326</v>
      </c>
      <c r="C2846" s="400" t="s">
        <v>395</v>
      </c>
      <c r="D2846" s="400" t="s">
        <v>4327</v>
      </c>
      <c r="E2846" s="605" t="s">
        <v>1039</v>
      </c>
      <c r="F2846" s="605"/>
      <c r="G2846" s="402" t="s">
        <v>4</v>
      </c>
      <c r="H2846" s="403">
        <v>3</v>
      </c>
      <c r="I2846" s="403">
        <v>0</v>
      </c>
      <c r="J2846" s="404">
        <v>1.73</v>
      </c>
      <c r="K2846" s="404">
        <v>5.19</v>
      </c>
      <c r="L2846" s="168"/>
    </row>
    <row r="2847" spans="1:12" ht="15" x14ac:dyDescent="0.3">
      <c r="A2847" s="400" t="s">
        <v>1038</v>
      </c>
      <c r="B2847" s="401" t="s">
        <v>4069</v>
      </c>
      <c r="C2847" s="400" t="s">
        <v>395</v>
      </c>
      <c r="D2847" s="400" t="s">
        <v>4070</v>
      </c>
      <c r="E2847" s="605" t="s">
        <v>1039</v>
      </c>
      <c r="F2847" s="605"/>
      <c r="G2847" s="402" t="s">
        <v>4</v>
      </c>
      <c r="H2847" s="403">
        <v>1</v>
      </c>
      <c r="I2847" s="403">
        <v>0</v>
      </c>
      <c r="J2847" s="404">
        <v>54.22</v>
      </c>
      <c r="K2847" s="404">
        <v>54.22</v>
      </c>
      <c r="L2847" s="166"/>
    </row>
    <row r="2848" spans="1:12" ht="15" x14ac:dyDescent="0.3">
      <c r="A2848" s="405"/>
      <c r="B2848" s="405"/>
      <c r="C2848" s="405"/>
      <c r="D2848" s="405"/>
      <c r="E2848" s="405" t="s">
        <v>1046</v>
      </c>
      <c r="F2848" s="406">
        <v>21.23</v>
      </c>
      <c r="G2848" s="405" t="s">
        <v>1047</v>
      </c>
      <c r="H2848" s="406">
        <v>0</v>
      </c>
      <c r="I2848" s="405" t="s">
        <v>1048</v>
      </c>
      <c r="J2848" s="406">
        <v>21.23</v>
      </c>
      <c r="K2848"/>
      <c r="L2848" s="166"/>
    </row>
    <row r="2849" spans="1:12" ht="15" customHeight="1" thickBot="1" x14ac:dyDescent="0.35">
      <c r="A2849" s="405"/>
      <c r="B2849" s="405"/>
      <c r="C2849" s="405"/>
      <c r="D2849" s="405"/>
      <c r="E2849" s="405" t="s">
        <v>1049</v>
      </c>
      <c r="F2849" s="406">
        <v>0</v>
      </c>
      <c r="G2849" s="405"/>
      <c r="H2849" s="606"/>
      <c r="I2849" s="606" t="s">
        <v>1050</v>
      </c>
      <c r="J2849" s="406">
        <v>88.52</v>
      </c>
      <c r="K2849"/>
      <c r="L2849" s="166"/>
    </row>
    <row r="2850" spans="1:12" ht="25.5" customHeight="1" thickTop="1" x14ac:dyDescent="0.3">
      <c r="A2850" s="407"/>
      <c r="B2850" s="407"/>
      <c r="C2850" s="407"/>
      <c r="D2850" s="407"/>
      <c r="E2850" s="407"/>
      <c r="F2850" s="407"/>
      <c r="G2850" s="407"/>
      <c r="H2850" s="407"/>
      <c r="I2850" s="407"/>
      <c r="J2850" s="407"/>
      <c r="K2850" s="407"/>
      <c r="L2850" s="166"/>
    </row>
    <row r="2851" spans="1:12" ht="25.5" customHeight="1" x14ac:dyDescent="0.3">
      <c r="A2851" s="382" t="s">
        <v>1961</v>
      </c>
      <c r="B2851" s="312" t="s">
        <v>413</v>
      </c>
      <c r="C2851" s="382" t="s">
        <v>414</v>
      </c>
      <c r="D2851" s="382" t="s">
        <v>415</v>
      </c>
      <c r="E2851" s="586" t="s">
        <v>1029</v>
      </c>
      <c r="F2851" s="586"/>
      <c r="G2851" s="383" t="s">
        <v>416</v>
      </c>
      <c r="H2851" s="312" t="s">
        <v>1030</v>
      </c>
      <c r="I2851" s="312" t="s">
        <v>3016</v>
      </c>
      <c r="J2851" s="312" t="s">
        <v>1031</v>
      </c>
      <c r="K2851" s="312" t="s">
        <v>1032</v>
      </c>
      <c r="L2851" s="166"/>
    </row>
    <row r="2852" spans="1:12" ht="38.25" customHeight="1" x14ac:dyDescent="0.3">
      <c r="A2852" s="313" t="s">
        <v>1033</v>
      </c>
      <c r="B2852" s="315" t="s">
        <v>2961</v>
      </c>
      <c r="C2852" s="313" t="s">
        <v>575</v>
      </c>
      <c r="D2852" s="313" t="s">
        <v>2638</v>
      </c>
      <c r="E2852" s="603" t="s">
        <v>1227</v>
      </c>
      <c r="F2852" s="603"/>
      <c r="G2852" s="314" t="s">
        <v>4</v>
      </c>
      <c r="H2852" s="399">
        <v>1</v>
      </c>
      <c r="I2852" s="316"/>
      <c r="J2852" s="316">
        <v>6578.11</v>
      </c>
      <c r="K2852" s="316">
        <v>6578.11</v>
      </c>
      <c r="L2852" s="166"/>
    </row>
    <row r="2853" spans="1:12" ht="25.5" customHeight="1" x14ac:dyDescent="0.3">
      <c r="A2853" s="400" t="s">
        <v>1038</v>
      </c>
      <c r="B2853" s="401" t="s">
        <v>1051</v>
      </c>
      <c r="C2853" s="400" t="s">
        <v>5902</v>
      </c>
      <c r="D2853" s="400" t="s">
        <v>1052</v>
      </c>
      <c r="E2853" s="605" t="s">
        <v>1053</v>
      </c>
      <c r="F2853" s="605"/>
      <c r="G2853" s="402" t="s">
        <v>6</v>
      </c>
      <c r="H2853" s="403">
        <v>0.33329999999999999</v>
      </c>
      <c r="I2853" s="403">
        <v>0</v>
      </c>
      <c r="J2853" s="404">
        <v>33.119999999999997</v>
      </c>
      <c r="K2853" s="404">
        <v>11.038895999999999</v>
      </c>
      <c r="L2853" s="166"/>
    </row>
    <row r="2854" spans="1:12" ht="25.5" customHeight="1" x14ac:dyDescent="0.3">
      <c r="A2854" s="400" t="s">
        <v>1038</v>
      </c>
      <c r="B2854" s="401" t="s">
        <v>3173</v>
      </c>
      <c r="C2854" s="400" t="s">
        <v>5902</v>
      </c>
      <c r="D2854" s="400" t="s">
        <v>3174</v>
      </c>
      <c r="E2854" s="605" t="s">
        <v>1053</v>
      </c>
      <c r="F2854" s="605"/>
      <c r="G2854" s="402" t="s">
        <v>6</v>
      </c>
      <c r="H2854" s="403">
        <v>0.33329999999999999</v>
      </c>
      <c r="I2854" s="403">
        <v>0</v>
      </c>
      <c r="J2854" s="404">
        <v>72.260000000000005</v>
      </c>
      <c r="K2854" s="404">
        <v>24.084257999999998</v>
      </c>
      <c r="L2854" s="168"/>
    </row>
    <row r="2855" spans="1:12" ht="15" x14ac:dyDescent="0.3">
      <c r="A2855" s="400" t="s">
        <v>1038</v>
      </c>
      <c r="B2855" s="401" t="s">
        <v>3175</v>
      </c>
      <c r="C2855" s="400" t="s">
        <v>575</v>
      </c>
      <c r="D2855" s="400" t="s">
        <v>3176</v>
      </c>
      <c r="E2855" s="605" t="s">
        <v>1039</v>
      </c>
      <c r="F2855" s="605"/>
      <c r="G2855" s="402" t="s">
        <v>4</v>
      </c>
      <c r="H2855" s="403">
        <v>1</v>
      </c>
      <c r="I2855" s="403">
        <v>0</v>
      </c>
      <c r="J2855" s="404">
        <v>6542.99</v>
      </c>
      <c r="K2855" s="404">
        <v>6542.99</v>
      </c>
      <c r="L2855" s="170"/>
    </row>
    <row r="2856" spans="1:12" ht="15" customHeight="1" x14ac:dyDescent="0.3">
      <c r="A2856" s="405"/>
      <c r="B2856" s="405"/>
      <c r="C2856" s="405"/>
      <c r="D2856" s="405"/>
      <c r="E2856" s="405" t="s">
        <v>1046</v>
      </c>
      <c r="F2856" s="406">
        <v>35.119999999999997</v>
      </c>
      <c r="G2856" s="405" t="s">
        <v>1047</v>
      </c>
      <c r="H2856" s="406">
        <v>0</v>
      </c>
      <c r="I2856" s="405" t="s">
        <v>1048</v>
      </c>
      <c r="J2856" s="406">
        <v>35.119999999999997</v>
      </c>
      <c r="K2856"/>
      <c r="L2856" s="168"/>
    </row>
    <row r="2857" spans="1:12" ht="12.75" customHeight="1" thickBot="1" x14ac:dyDescent="0.35">
      <c r="A2857" s="405"/>
      <c r="B2857" s="405"/>
      <c r="C2857" s="405"/>
      <c r="D2857" s="405"/>
      <c r="E2857" s="405" t="s">
        <v>1049</v>
      </c>
      <c r="F2857" s="406">
        <v>0</v>
      </c>
      <c r="G2857" s="405"/>
      <c r="H2857" s="606"/>
      <c r="I2857" s="606" t="s">
        <v>1050</v>
      </c>
      <c r="J2857" s="406">
        <v>6578.11</v>
      </c>
      <c r="K2857"/>
      <c r="L2857" s="168"/>
    </row>
    <row r="2858" spans="1:12" ht="15.6" thickTop="1" x14ac:dyDescent="0.3">
      <c r="A2858" s="407"/>
      <c r="B2858" s="407"/>
      <c r="C2858" s="407"/>
      <c r="D2858" s="407"/>
      <c r="E2858" s="407"/>
      <c r="F2858" s="407"/>
      <c r="G2858" s="407"/>
      <c r="H2858" s="407"/>
      <c r="I2858" s="407"/>
      <c r="J2858" s="407"/>
      <c r="K2858" s="407"/>
      <c r="L2858" s="168"/>
    </row>
    <row r="2859" spans="1:12" ht="15" x14ac:dyDescent="0.3">
      <c r="A2859" s="382" t="s">
        <v>1962</v>
      </c>
      <c r="B2859" s="312" t="s">
        <v>413</v>
      </c>
      <c r="C2859" s="382" t="s">
        <v>414</v>
      </c>
      <c r="D2859" s="382" t="s">
        <v>415</v>
      </c>
      <c r="E2859" s="586" t="s">
        <v>1029</v>
      </c>
      <c r="F2859" s="586"/>
      <c r="G2859" s="383" t="s">
        <v>416</v>
      </c>
      <c r="H2859" s="312" t="s">
        <v>1030</v>
      </c>
      <c r="I2859" s="312" t="s">
        <v>3016</v>
      </c>
      <c r="J2859" s="312" t="s">
        <v>1031</v>
      </c>
      <c r="K2859" s="312" t="s">
        <v>1032</v>
      </c>
      <c r="L2859" s="166"/>
    </row>
    <row r="2860" spans="1:12" ht="26.4" x14ac:dyDescent="0.3">
      <c r="A2860" s="313" t="s">
        <v>1033</v>
      </c>
      <c r="B2860" s="315" t="s">
        <v>2944</v>
      </c>
      <c r="C2860" s="313" t="s">
        <v>5902</v>
      </c>
      <c r="D2860" s="313" t="s">
        <v>2693</v>
      </c>
      <c r="E2860" s="603">
        <v>37.119999999999997</v>
      </c>
      <c r="F2860" s="603"/>
      <c r="G2860" s="314" t="s">
        <v>4</v>
      </c>
      <c r="H2860" s="399">
        <v>1</v>
      </c>
      <c r="I2860" s="316"/>
      <c r="J2860" s="316">
        <v>15.61</v>
      </c>
      <c r="K2860" s="316">
        <v>15.61</v>
      </c>
      <c r="L2860" s="166"/>
    </row>
    <row r="2861" spans="1:12" ht="14.25" customHeight="1" x14ac:dyDescent="0.3">
      <c r="A2861" s="400" t="s">
        <v>1038</v>
      </c>
      <c r="B2861" s="401" t="s">
        <v>1051</v>
      </c>
      <c r="C2861" s="400" t="s">
        <v>5902</v>
      </c>
      <c r="D2861" s="400" t="s">
        <v>1052</v>
      </c>
      <c r="E2861" s="605" t="s">
        <v>1053</v>
      </c>
      <c r="F2861" s="605"/>
      <c r="G2861" s="402" t="s">
        <v>6</v>
      </c>
      <c r="H2861" s="403">
        <v>0.2</v>
      </c>
      <c r="I2861" s="403">
        <v>0</v>
      </c>
      <c r="J2861" s="404">
        <v>33.119999999999997</v>
      </c>
      <c r="K2861" s="404">
        <v>6.6239999999999997</v>
      </c>
      <c r="L2861" s="168"/>
    </row>
    <row r="2862" spans="1:12" ht="15" customHeight="1" x14ac:dyDescent="0.3">
      <c r="A2862" s="400" t="s">
        <v>1038</v>
      </c>
      <c r="B2862" s="401" t="s">
        <v>1054</v>
      </c>
      <c r="C2862" s="400" t="s">
        <v>5902</v>
      </c>
      <c r="D2862" s="400" t="s">
        <v>1055</v>
      </c>
      <c r="E2862" s="605" t="s">
        <v>1053</v>
      </c>
      <c r="F2862" s="605"/>
      <c r="G2862" s="402" t="s">
        <v>6</v>
      </c>
      <c r="H2862" s="403">
        <v>0.2</v>
      </c>
      <c r="I2862" s="403">
        <v>0</v>
      </c>
      <c r="J2862" s="404">
        <v>22.71</v>
      </c>
      <c r="K2862" s="404">
        <v>4.5419999999999998</v>
      </c>
      <c r="L2862" s="168"/>
    </row>
    <row r="2863" spans="1:12" ht="26.4" x14ac:dyDescent="0.3">
      <c r="A2863" s="400" t="s">
        <v>1038</v>
      </c>
      <c r="B2863" s="401" t="s">
        <v>3147</v>
      </c>
      <c r="C2863" s="400" t="s">
        <v>5902</v>
      </c>
      <c r="D2863" s="400" t="s">
        <v>3148</v>
      </c>
      <c r="E2863" s="605" t="s">
        <v>1039</v>
      </c>
      <c r="F2863" s="605"/>
      <c r="G2863" s="402" t="s">
        <v>4</v>
      </c>
      <c r="H2863" s="403">
        <v>1</v>
      </c>
      <c r="I2863" s="403">
        <v>0</v>
      </c>
      <c r="J2863" s="404">
        <v>4.4400000000000004</v>
      </c>
      <c r="K2863" s="404">
        <v>4.4400000000000004</v>
      </c>
      <c r="L2863" s="168"/>
    </row>
    <row r="2864" spans="1:12" ht="15" x14ac:dyDescent="0.3">
      <c r="A2864" s="405"/>
      <c r="B2864" s="405"/>
      <c r="C2864" s="405"/>
      <c r="D2864" s="405"/>
      <c r="E2864" s="405" t="s">
        <v>1046</v>
      </c>
      <c r="F2864" s="406">
        <v>11.16</v>
      </c>
      <c r="G2864" s="405" t="s">
        <v>1047</v>
      </c>
      <c r="H2864" s="406">
        <v>0</v>
      </c>
      <c r="I2864" s="405" t="s">
        <v>1048</v>
      </c>
      <c r="J2864" s="406">
        <v>11.16</v>
      </c>
      <c r="K2864"/>
      <c r="L2864" s="168"/>
    </row>
    <row r="2865" spans="1:12" ht="15" customHeight="1" thickBot="1" x14ac:dyDescent="0.35">
      <c r="A2865" s="405"/>
      <c r="B2865" s="405"/>
      <c r="C2865" s="405"/>
      <c r="D2865" s="405"/>
      <c r="E2865" s="405" t="s">
        <v>1049</v>
      </c>
      <c r="F2865" s="406">
        <v>0</v>
      </c>
      <c r="G2865" s="405"/>
      <c r="H2865" s="606"/>
      <c r="I2865" s="606" t="s">
        <v>1050</v>
      </c>
      <c r="J2865" s="406">
        <v>15.61</v>
      </c>
      <c r="K2865"/>
      <c r="L2865" s="166"/>
    </row>
    <row r="2866" spans="1:12" ht="12.75" customHeight="1" thickTop="1" x14ac:dyDescent="0.3">
      <c r="A2866" s="407"/>
      <c r="B2866" s="407"/>
      <c r="C2866" s="407"/>
      <c r="D2866" s="407"/>
      <c r="E2866" s="407"/>
      <c r="F2866" s="407"/>
      <c r="G2866" s="407"/>
      <c r="H2866" s="407"/>
      <c r="I2866" s="407"/>
      <c r="J2866" s="407"/>
      <c r="K2866" s="407"/>
      <c r="L2866" s="168"/>
    </row>
    <row r="2867" spans="1:12" ht="15" x14ac:dyDescent="0.3">
      <c r="A2867" s="382" t="s">
        <v>1963</v>
      </c>
      <c r="B2867" s="312" t="s">
        <v>413</v>
      </c>
      <c r="C2867" s="382" t="s">
        <v>414</v>
      </c>
      <c r="D2867" s="382" t="s">
        <v>415</v>
      </c>
      <c r="E2867" s="586" t="s">
        <v>1029</v>
      </c>
      <c r="F2867" s="586"/>
      <c r="G2867" s="383" t="s">
        <v>416</v>
      </c>
      <c r="H2867" s="312" t="s">
        <v>1030</v>
      </c>
      <c r="I2867" s="312" t="s">
        <v>3016</v>
      </c>
      <c r="J2867" s="312" t="s">
        <v>1031</v>
      </c>
      <c r="K2867" s="312" t="s">
        <v>1032</v>
      </c>
      <c r="L2867" s="168"/>
    </row>
    <row r="2868" spans="1:12" ht="17.399999999999999" customHeight="1" x14ac:dyDescent="0.3">
      <c r="A2868" s="313" t="s">
        <v>1033</v>
      </c>
      <c r="B2868" s="315" t="s">
        <v>2966</v>
      </c>
      <c r="C2868" s="313" t="s">
        <v>575</v>
      </c>
      <c r="D2868" s="313" t="s">
        <v>2639</v>
      </c>
      <c r="E2868" s="603" t="s">
        <v>1227</v>
      </c>
      <c r="F2868" s="603"/>
      <c r="G2868" s="314" t="s">
        <v>4</v>
      </c>
      <c r="H2868" s="399">
        <v>1</v>
      </c>
      <c r="I2868" s="316"/>
      <c r="J2868" s="316">
        <v>6695.51</v>
      </c>
      <c r="K2868" s="316">
        <v>6695.51</v>
      </c>
      <c r="L2868" s="168"/>
    </row>
    <row r="2869" spans="1:12" ht="26.4" x14ac:dyDescent="0.3">
      <c r="A2869" s="408" t="s">
        <v>1034</v>
      </c>
      <c r="B2869" s="409" t="s">
        <v>1302</v>
      </c>
      <c r="C2869" s="408" t="s">
        <v>395</v>
      </c>
      <c r="D2869" s="408" t="s">
        <v>144</v>
      </c>
      <c r="E2869" s="604" t="s">
        <v>7768</v>
      </c>
      <c r="F2869" s="604"/>
      <c r="G2869" s="410" t="s">
        <v>6</v>
      </c>
      <c r="H2869" s="412">
        <v>5.0419999999999998</v>
      </c>
      <c r="I2869" s="412">
        <v>0</v>
      </c>
      <c r="J2869" s="411">
        <v>42.06</v>
      </c>
      <c r="K2869" s="411">
        <v>212.06652</v>
      </c>
      <c r="L2869" s="166"/>
    </row>
    <row r="2870" spans="1:12" ht="25.5" customHeight="1" x14ac:dyDescent="0.3">
      <c r="A2870" s="408" t="s">
        <v>1034</v>
      </c>
      <c r="B2870" s="409" t="s">
        <v>1037</v>
      </c>
      <c r="C2870" s="408" t="s">
        <v>395</v>
      </c>
      <c r="D2870" s="408" t="s">
        <v>135</v>
      </c>
      <c r="E2870" s="604" t="s">
        <v>7768</v>
      </c>
      <c r="F2870" s="604"/>
      <c r="G2870" s="410" t="s">
        <v>6</v>
      </c>
      <c r="H2870" s="412">
        <v>16.437999999999999</v>
      </c>
      <c r="I2870" s="412">
        <v>0</v>
      </c>
      <c r="J2870" s="411">
        <v>41.81</v>
      </c>
      <c r="K2870" s="411">
        <v>687.27278000000001</v>
      </c>
      <c r="L2870" s="166"/>
    </row>
    <row r="2871" spans="1:12" ht="26.4" x14ac:dyDescent="0.3">
      <c r="A2871" s="408" t="s">
        <v>1034</v>
      </c>
      <c r="B2871" s="409" t="s">
        <v>1035</v>
      </c>
      <c r="C2871" s="408" t="s">
        <v>395</v>
      </c>
      <c r="D2871" s="408" t="s">
        <v>128</v>
      </c>
      <c r="E2871" s="604" t="s">
        <v>7768</v>
      </c>
      <c r="F2871" s="604"/>
      <c r="G2871" s="410" t="s">
        <v>6</v>
      </c>
      <c r="H2871" s="412">
        <v>16.437999999999999</v>
      </c>
      <c r="I2871" s="412">
        <v>0</v>
      </c>
      <c r="J2871" s="411">
        <v>34.5</v>
      </c>
      <c r="K2871" s="411">
        <v>567.11099999999999</v>
      </c>
      <c r="L2871" s="168"/>
    </row>
    <row r="2872" spans="1:12" ht="15" customHeight="1" x14ac:dyDescent="0.3">
      <c r="A2872" s="408" t="s">
        <v>1034</v>
      </c>
      <c r="B2872" s="409" t="s">
        <v>1290</v>
      </c>
      <c r="C2872" s="408" t="s">
        <v>395</v>
      </c>
      <c r="D2872" s="408" t="s">
        <v>147</v>
      </c>
      <c r="E2872" s="604" t="s">
        <v>7768</v>
      </c>
      <c r="F2872" s="604"/>
      <c r="G2872" s="410" t="s">
        <v>6</v>
      </c>
      <c r="H2872" s="412">
        <v>35.508000000000003</v>
      </c>
      <c r="I2872" s="412">
        <v>0</v>
      </c>
      <c r="J2872" s="411">
        <v>32.82</v>
      </c>
      <c r="K2872" s="411">
        <v>1165.37256</v>
      </c>
      <c r="L2872" s="168"/>
    </row>
    <row r="2873" spans="1:12" ht="30" customHeight="1" x14ac:dyDescent="0.3">
      <c r="A2873" s="400" t="s">
        <v>1038</v>
      </c>
      <c r="B2873" s="401" t="s">
        <v>1369</v>
      </c>
      <c r="C2873" s="400" t="s">
        <v>408</v>
      </c>
      <c r="D2873" s="400" t="s">
        <v>1370</v>
      </c>
      <c r="E2873" s="605" t="s">
        <v>1039</v>
      </c>
      <c r="F2873" s="605"/>
      <c r="G2873" s="402" t="s">
        <v>3</v>
      </c>
      <c r="H2873" s="403">
        <v>26</v>
      </c>
      <c r="I2873" s="403">
        <v>0</v>
      </c>
      <c r="J2873" s="404">
        <v>0.71</v>
      </c>
      <c r="K2873" s="404">
        <v>18.46</v>
      </c>
      <c r="L2873" s="168"/>
    </row>
    <row r="2874" spans="1:12" ht="15" customHeight="1" x14ac:dyDescent="0.3">
      <c r="A2874" s="400" t="s">
        <v>1038</v>
      </c>
      <c r="B2874" s="401" t="s">
        <v>1367</v>
      </c>
      <c r="C2874" s="400" t="s">
        <v>408</v>
      </c>
      <c r="D2874" s="400" t="s">
        <v>1368</v>
      </c>
      <c r="E2874" s="605" t="s">
        <v>1039</v>
      </c>
      <c r="F2874" s="605"/>
      <c r="G2874" s="402" t="s">
        <v>713</v>
      </c>
      <c r="H2874" s="403">
        <v>6.0000000000000001E-3</v>
      </c>
      <c r="I2874" s="403">
        <v>0</v>
      </c>
      <c r="J2874" s="404">
        <v>106.37</v>
      </c>
      <c r="K2874" s="404">
        <v>0.63822000000000001</v>
      </c>
      <c r="L2874" s="166"/>
    </row>
    <row r="2875" spans="1:12" ht="15" x14ac:dyDescent="0.3">
      <c r="A2875" s="400" t="s">
        <v>1038</v>
      </c>
      <c r="B2875" s="401" t="s">
        <v>3179</v>
      </c>
      <c r="C2875" s="400" t="s">
        <v>408</v>
      </c>
      <c r="D2875" s="400" t="s">
        <v>3180</v>
      </c>
      <c r="E2875" s="605" t="s">
        <v>1039</v>
      </c>
      <c r="F2875" s="605"/>
      <c r="G2875" s="402" t="s">
        <v>713</v>
      </c>
      <c r="H2875" s="403">
        <v>7.0000000000000001E-3</v>
      </c>
      <c r="I2875" s="403">
        <v>0</v>
      </c>
      <c r="J2875" s="404">
        <v>127.33</v>
      </c>
      <c r="K2875" s="404">
        <v>0.89131000000000005</v>
      </c>
      <c r="L2875" s="166"/>
    </row>
    <row r="2876" spans="1:12" ht="15" customHeight="1" x14ac:dyDescent="0.3">
      <c r="A2876" s="400" t="s">
        <v>1038</v>
      </c>
      <c r="B2876" s="401" t="s">
        <v>2422</v>
      </c>
      <c r="C2876" s="400" t="s">
        <v>408</v>
      </c>
      <c r="D2876" s="400" t="s">
        <v>2423</v>
      </c>
      <c r="E2876" s="605" t="s">
        <v>1039</v>
      </c>
      <c r="F2876" s="605"/>
      <c r="G2876" s="402" t="s">
        <v>7</v>
      </c>
      <c r="H2876" s="403">
        <v>3</v>
      </c>
      <c r="I2876" s="403">
        <v>0</v>
      </c>
      <c r="J2876" s="404">
        <v>29.36</v>
      </c>
      <c r="K2876" s="404">
        <v>88.08</v>
      </c>
      <c r="L2876" s="166"/>
    </row>
    <row r="2877" spans="1:12" ht="12.75" customHeight="1" x14ac:dyDescent="0.3">
      <c r="A2877" s="400" t="s">
        <v>1038</v>
      </c>
      <c r="B2877" s="401" t="s">
        <v>1042</v>
      </c>
      <c r="C2877" s="400" t="s">
        <v>408</v>
      </c>
      <c r="D2877" s="400" t="s">
        <v>1043</v>
      </c>
      <c r="E2877" s="605" t="s">
        <v>1039</v>
      </c>
      <c r="F2877" s="605"/>
      <c r="G2877" s="402" t="s">
        <v>7</v>
      </c>
      <c r="H2877" s="403">
        <v>0.8</v>
      </c>
      <c r="I2877" s="403">
        <v>0</v>
      </c>
      <c r="J2877" s="404">
        <v>1.31</v>
      </c>
      <c r="K2877" s="404">
        <v>1.048</v>
      </c>
      <c r="L2877" s="166"/>
    </row>
    <row r="2878" spans="1:12" ht="15" x14ac:dyDescent="0.3">
      <c r="A2878" s="400" t="s">
        <v>1038</v>
      </c>
      <c r="B2878" s="401" t="s">
        <v>3058</v>
      </c>
      <c r="C2878" s="400" t="s">
        <v>408</v>
      </c>
      <c r="D2878" s="400" t="s">
        <v>3059</v>
      </c>
      <c r="E2878" s="605" t="s">
        <v>1039</v>
      </c>
      <c r="F2878" s="605"/>
      <c r="G2878" s="402" t="s">
        <v>7</v>
      </c>
      <c r="H2878" s="403">
        <v>9</v>
      </c>
      <c r="I2878" s="403">
        <v>0</v>
      </c>
      <c r="J2878" s="404">
        <v>5.38</v>
      </c>
      <c r="K2878" s="404">
        <v>48.42</v>
      </c>
      <c r="L2878" s="166"/>
    </row>
    <row r="2879" spans="1:12" ht="25.5" customHeight="1" x14ac:dyDescent="0.3">
      <c r="A2879" s="400" t="s">
        <v>1038</v>
      </c>
      <c r="B2879" s="401" t="s">
        <v>1124</v>
      </c>
      <c r="C2879" s="400" t="s">
        <v>408</v>
      </c>
      <c r="D2879" s="400" t="s">
        <v>1125</v>
      </c>
      <c r="E2879" s="605" t="s">
        <v>1039</v>
      </c>
      <c r="F2879" s="605"/>
      <c r="G2879" s="402" t="s">
        <v>4</v>
      </c>
      <c r="H2879" s="403">
        <v>1</v>
      </c>
      <c r="I2879" s="403">
        <v>0</v>
      </c>
      <c r="J2879" s="404">
        <v>2.16</v>
      </c>
      <c r="K2879" s="404">
        <v>2.16</v>
      </c>
      <c r="L2879" s="166"/>
    </row>
    <row r="2880" spans="1:12" ht="25.5" customHeight="1" x14ac:dyDescent="0.3">
      <c r="A2880" s="400" t="s">
        <v>1038</v>
      </c>
      <c r="B2880" s="401" t="s">
        <v>3181</v>
      </c>
      <c r="C2880" s="400" t="s">
        <v>408</v>
      </c>
      <c r="D2880" s="400" t="s">
        <v>3182</v>
      </c>
      <c r="E2880" s="605" t="s">
        <v>1039</v>
      </c>
      <c r="F2880" s="605"/>
      <c r="G2880" s="402" t="s">
        <v>4</v>
      </c>
      <c r="H2880" s="403">
        <v>1</v>
      </c>
      <c r="I2880" s="403">
        <v>0</v>
      </c>
      <c r="J2880" s="404">
        <v>74.89</v>
      </c>
      <c r="K2880" s="404">
        <v>74.89</v>
      </c>
      <c r="L2880" s="166"/>
    </row>
    <row r="2881" spans="1:12" ht="15" customHeight="1" x14ac:dyDescent="0.3">
      <c r="A2881" s="400" t="s">
        <v>1038</v>
      </c>
      <c r="B2881" s="401" t="s">
        <v>3183</v>
      </c>
      <c r="C2881" s="400" t="s">
        <v>408</v>
      </c>
      <c r="D2881" s="400" t="s">
        <v>3184</v>
      </c>
      <c r="E2881" s="605" t="s">
        <v>1039</v>
      </c>
      <c r="F2881" s="605"/>
      <c r="G2881" s="402" t="s">
        <v>4</v>
      </c>
      <c r="H2881" s="403">
        <v>2</v>
      </c>
      <c r="I2881" s="403">
        <v>0</v>
      </c>
      <c r="J2881" s="404">
        <v>79.930000000000007</v>
      </c>
      <c r="K2881" s="404">
        <v>159.86000000000001</v>
      </c>
      <c r="L2881" s="168"/>
    </row>
    <row r="2882" spans="1:12" ht="15" x14ac:dyDescent="0.3">
      <c r="A2882" s="400" t="s">
        <v>1038</v>
      </c>
      <c r="B2882" s="401" t="s">
        <v>2426</v>
      </c>
      <c r="C2882" s="400" t="s">
        <v>408</v>
      </c>
      <c r="D2882" s="400" t="s">
        <v>2427</v>
      </c>
      <c r="E2882" s="605" t="s">
        <v>1039</v>
      </c>
      <c r="F2882" s="605"/>
      <c r="G2882" s="402" t="s">
        <v>4</v>
      </c>
      <c r="H2882" s="403">
        <v>1</v>
      </c>
      <c r="I2882" s="403">
        <v>0</v>
      </c>
      <c r="J2882" s="404">
        <v>5.75</v>
      </c>
      <c r="K2882" s="404">
        <v>5.75</v>
      </c>
      <c r="L2882" s="170"/>
    </row>
    <row r="2883" spans="1:12" ht="14.25" customHeight="1" x14ac:dyDescent="0.3">
      <c r="A2883" s="400" t="s">
        <v>1038</v>
      </c>
      <c r="B2883" s="401" t="s">
        <v>3185</v>
      </c>
      <c r="C2883" s="400" t="s">
        <v>575</v>
      </c>
      <c r="D2883" s="400" t="s">
        <v>2639</v>
      </c>
      <c r="E2883" s="605" t="s">
        <v>1039</v>
      </c>
      <c r="F2883" s="605"/>
      <c r="G2883" s="402" t="s">
        <v>4</v>
      </c>
      <c r="H2883" s="403">
        <v>1</v>
      </c>
      <c r="I2883" s="403">
        <v>0</v>
      </c>
      <c r="J2883" s="404">
        <v>3663.49</v>
      </c>
      <c r="K2883" s="404">
        <v>3663.49</v>
      </c>
      <c r="L2883" s="168"/>
    </row>
    <row r="2884" spans="1:12" ht="15" customHeight="1" x14ac:dyDescent="0.3">
      <c r="A2884" s="405"/>
      <c r="B2884" s="405"/>
      <c r="C2884" s="405"/>
      <c r="D2884" s="405"/>
      <c r="E2884" s="405" t="s">
        <v>1046</v>
      </c>
      <c r="F2884" s="406">
        <v>1878.53</v>
      </c>
      <c r="G2884" s="405" t="s">
        <v>1047</v>
      </c>
      <c r="H2884" s="406">
        <v>0</v>
      </c>
      <c r="I2884" s="405" t="s">
        <v>1048</v>
      </c>
      <c r="J2884" s="406">
        <v>1878.53</v>
      </c>
      <c r="K2884"/>
      <c r="L2884" s="168"/>
    </row>
    <row r="2885" spans="1:12" ht="15" customHeight="1" thickBot="1" x14ac:dyDescent="0.35">
      <c r="A2885" s="405"/>
      <c r="B2885" s="405"/>
      <c r="C2885" s="405"/>
      <c r="D2885" s="405"/>
      <c r="E2885" s="405" t="s">
        <v>1049</v>
      </c>
      <c r="F2885" s="406">
        <v>0</v>
      </c>
      <c r="G2885" s="405"/>
      <c r="H2885" s="606"/>
      <c r="I2885" s="606" t="s">
        <v>1050</v>
      </c>
      <c r="J2885" s="406">
        <v>6695.51</v>
      </c>
      <c r="K2885"/>
      <c r="L2885" s="168"/>
    </row>
    <row r="2886" spans="1:12" ht="45" customHeight="1" thickTop="1" x14ac:dyDescent="0.3">
      <c r="A2886" s="407"/>
      <c r="B2886" s="407"/>
      <c r="C2886" s="407"/>
      <c r="D2886" s="407"/>
      <c r="E2886" s="407"/>
      <c r="F2886" s="407"/>
      <c r="G2886" s="407"/>
      <c r="H2886" s="407"/>
      <c r="I2886" s="407"/>
      <c r="J2886" s="407"/>
      <c r="K2886" s="407"/>
      <c r="L2886" s="166"/>
    </row>
    <row r="2887" spans="1:12" ht="12.75" customHeight="1" x14ac:dyDescent="0.3">
      <c r="A2887" s="382" t="s">
        <v>1965</v>
      </c>
      <c r="B2887" s="312" t="s">
        <v>413</v>
      </c>
      <c r="C2887" s="382" t="s">
        <v>414</v>
      </c>
      <c r="D2887" s="382" t="s">
        <v>415</v>
      </c>
      <c r="E2887" s="586" t="s">
        <v>1029</v>
      </c>
      <c r="F2887" s="586"/>
      <c r="G2887" s="383" t="s">
        <v>416</v>
      </c>
      <c r="H2887" s="312" t="s">
        <v>1030</v>
      </c>
      <c r="I2887" s="312" t="s">
        <v>3016</v>
      </c>
      <c r="J2887" s="312" t="s">
        <v>1031</v>
      </c>
      <c r="K2887" s="312" t="s">
        <v>1032</v>
      </c>
      <c r="L2887" s="166"/>
    </row>
    <row r="2888" spans="1:12" ht="12.75" customHeight="1" x14ac:dyDescent="0.3">
      <c r="A2888" s="313" t="s">
        <v>1033</v>
      </c>
      <c r="B2888" s="315" t="s">
        <v>2946</v>
      </c>
      <c r="C2888" s="313" t="s">
        <v>484</v>
      </c>
      <c r="D2888" s="313" t="s">
        <v>5967</v>
      </c>
      <c r="E2888" s="603">
        <v>7</v>
      </c>
      <c r="F2888" s="603"/>
      <c r="G2888" s="314" t="s">
        <v>486</v>
      </c>
      <c r="H2888" s="399">
        <v>1</v>
      </c>
      <c r="I2888" s="316"/>
      <c r="J2888" s="316">
        <v>138.21</v>
      </c>
      <c r="K2888" s="316">
        <v>138.21</v>
      </c>
      <c r="L2888" s="168"/>
    </row>
    <row r="2889" spans="1:12" ht="30" customHeight="1" x14ac:dyDescent="0.3">
      <c r="A2889" s="400" t="s">
        <v>1038</v>
      </c>
      <c r="B2889" s="401" t="s">
        <v>3151</v>
      </c>
      <c r="C2889" s="400" t="s">
        <v>484</v>
      </c>
      <c r="D2889" s="400" t="s">
        <v>3152</v>
      </c>
      <c r="E2889" s="605" t="s">
        <v>1039</v>
      </c>
      <c r="F2889" s="605"/>
      <c r="G2889" s="402" t="s">
        <v>422</v>
      </c>
      <c r="H2889" s="403">
        <v>1</v>
      </c>
      <c r="I2889" s="403">
        <v>0</v>
      </c>
      <c r="J2889" s="404">
        <v>120.92</v>
      </c>
      <c r="K2889" s="404">
        <v>120.92</v>
      </c>
      <c r="L2889" s="168"/>
    </row>
    <row r="2890" spans="1:12" ht="26.4" x14ac:dyDescent="0.3">
      <c r="A2890" s="400" t="s">
        <v>1038</v>
      </c>
      <c r="B2890" s="401" t="s">
        <v>1188</v>
      </c>
      <c r="C2890" s="400" t="s">
        <v>484</v>
      </c>
      <c r="D2890" s="400" t="s">
        <v>1093</v>
      </c>
      <c r="E2890" s="605" t="s">
        <v>1053</v>
      </c>
      <c r="F2890" s="605"/>
      <c r="G2890" s="402" t="s">
        <v>1070</v>
      </c>
      <c r="H2890" s="403">
        <v>0.33329999999999999</v>
      </c>
      <c r="I2890" s="403">
        <v>0</v>
      </c>
      <c r="J2890" s="404">
        <v>29.48</v>
      </c>
      <c r="K2890" s="404">
        <v>9.8256840000000008</v>
      </c>
      <c r="L2890" s="168"/>
    </row>
    <row r="2891" spans="1:12" ht="15" customHeight="1" x14ac:dyDescent="0.3">
      <c r="A2891" s="400" t="s">
        <v>1038</v>
      </c>
      <c r="B2891" s="401" t="s">
        <v>1186</v>
      </c>
      <c r="C2891" s="400" t="s">
        <v>484</v>
      </c>
      <c r="D2891" s="400" t="s">
        <v>1187</v>
      </c>
      <c r="E2891" s="605" t="s">
        <v>1053</v>
      </c>
      <c r="F2891" s="605"/>
      <c r="G2891" s="402" t="s">
        <v>1070</v>
      </c>
      <c r="H2891" s="403">
        <v>0.33329999999999999</v>
      </c>
      <c r="I2891" s="403">
        <v>0</v>
      </c>
      <c r="J2891" s="404">
        <v>22.4</v>
      </c>
      <c r="K2891" s="404">
        <v>7.4659199999999997</v>
      </c>
      <c r="L2891" s="168"/>
    </row>
    <row r="2892" spans="1:12" ht="12.75" customHeight="1" x14ac:dyDescent="0.3">
      <c r="A2892" s="405"/>
      <c r="B2892" s="405"/>
      <c r="C2892" s="405"/>
      <c r="D2892" s="405"/>
      <c r="E2892" s="405" t="s">
        <v>1046</v>
      </c>
      <c r="F2892" s="406">
        <v>17.3</v>
      </c>
      <c r="G2892" s="405" t="s">
        <v>1047</v>
      </c>
      <c r="H2892" s="406">
        <v>0</v>
      </c>
      <c r="I2892" s="405" t="s">
        <v>1048</v>
      </c>
      <c r="J2892" s="406">
        <v>17.3</v>
      </c>
      <c r="K2892"/>
      <c r="L2892" s="166"/>
    </row>
    <row r="2893" spans="1:12" ht="15.6" thickBot="1" x14ac:dyDescent="0.35">
      <c r="A2893" s="405"/>
      <c r="B2893" s="405"/>
      <c r="C2893" s="405"/>
      <c r="D2893" s="405"/>
      <c r="E2893" s="405" t="s">
        <v>1049</v>
      </c>
      <c r="F2893" s="406">
        <v>0</v>
      </c>
      <c r="G2893" s="405"/>
      <c r="H2893" s="606"/>
      <c r="I2893" s="606" t="s">
        <v>1050</v>
      </c>
      <c r="J2893" s="406">
        <v>138.21</v>
      </c>
      <c r="K2893"/>
      <c r="L2893" s="168"/>
    </row>
    <row r="2894" spans="1:12" ht="14.25" customHeight="1" thickTop="1" x14ac:dyDescent="0.3">
      <c r="A2894" s="407"/>
      <c r="B2894" s="407"/>
      <c r="C2894" s="407"/>
      <c r="D2894" s="407"/>
      <c r="E2894" s="407"/>
      <c r="F2894" s="407"/>
      <c r="G2894" s="407"/>
      <c r="H2894" s="407"/>
      <c r="I2894" s="407"/>
      <c r="J2894" s="407"/>
      <c r="K2894" s="407"/>
      <c r="L2894" s="168"/>
    </row>
    <row r="2895" spans="1:12" ht="15" customHeight="1" x14ac:dyDescent="0.3">
      <c r="A2895" s="382" t="s">
        <v>1968</v>
      </c>
      <c r="B2895" s="312" t="s">
        <v>413</v>
      </c>
      <c r="C2895" s="382" t="s">
        <v>414</v>
      </c>
      <c r="D2895" s="382" t="s">
        <v>415</v>
      </c>
      <c r="E2895" s="586" t="s">
        <v>1029</v>
      </c>
      <c r="F2895" s="586"/>
      <c r="G2895" s="383" t="s">
        <v>416</v>
      </c>
      <c r="H2895" s="312" t="s">
        <v>1030</v>
      </c>
      <c r="I2895" s="312" t="s">
        <v>3016</v>
      </c>
      <c r="J2895" s="312" t="s">
        <v>1031</v>
      </c>
      <c r="K2895" s="312" t="s">
        <v>1032</v>
      </c>
      <c r="L2895" s="168"/>
    </row>
    <row r="2896" spans="1:12" ht="25.5" customHeight="1" x14ac:dyDescent="0.3">
      <c r="A2896" s="313" t="s">
        <v>1033</v>
      </c>
      <c r="B2896" s="315" t="s">
        <v>3854</v>
      </c>
      <c r="C2896" s="313" t="s">
        <v>395</v>
      </c>
      <c r="D2896" s="313" t="s">
        <v>5968</v>
      </c>
      <c r="E2896" s="603" t="s">
        <v>7791</v>
      </c>
      <c r="F2896" s="603"/>
      <c r="G2896" s="314" t="s">
        <v>4</v>
      </c>
      <c r="H2896" s="399">
        <v>1</v>
      </c>
      <c r="I2896" s="316"/>
      <c r="J2896" s="316">
        <v>158.59</v>
      </c>
      <c r="K2896" s="316">
        <v>158.59</v>
      </c>
      <c r="L2896" s="166"/>
    </row>
    <row r="2897" spans="1:12" ht="25.5" customHeight="1" x14ac:dyDescent="0.3">
      <c r="A2897" s="408" t="s">
        <v>1034</v>
      </c>
      <c r="B2897" s="409" t="s">
        <v>1035</v>
      </c>
      <c r="C2897" s="408" t="s">
        <v>395</v>
      </c>
      <c r="D2897" s="408" t="s">
        <v>128</v>
      </c>
      <c r="E2897" s="604" t="s">
        <v>7768</v>
      </c>
      <c r="F2897" s="604"/>
      <c r="G2897" s="410" t="s">
        <v>6</v>
      </c>
      <c r="H2897" s="412">
        <v>0.72713499999999998</v>
      </c>
      <c r="I2897" s="412">
        <v>0</v>
      </c>
      <c r="J2897" s="411">
        <v>34.5</v>
      </c>
      <c r="K2897" s="411">
        <v>25.086157499999999</v>
      </c>
      <c r="L2897" s="166"/>
    </row>
    <row r="2898" spans="1:12" ht="15" customHeight="1" x14ac:dyDescent="0.3">
      <c r="A2898" s="408" t="s">
        <v>1034</v>
      </c>
      <c r="B2898" s="409" t="s">
        <v>1037</v>
      </c>
      <c r="C2898" s="408" t="s">
        <v>395</v>
      </c>
      <c r="D2898" s="408" t="s">
        <v>135</v>
      </c>
      <c r="E2898" s="604" t="s">
        <v>7768</v>
      </c>
      <c r="F2898" s="604"/>
      <c r="G2898" s="410" t="s">
        <v>6</v>
      </c>
      <c r="H2898" s="412">
        <v>0.72713499999999998</v>
      </c>
      <c r="I2898" s="412">
        <v>0</v>
      </c>
      <c r="J2898" s="411">
        <v>41.81</v>
      </c>
      <c r="K2898" s="411">
        <v>30.4015144</v>
      </c>
      <c r="L2898" s="168"/>
    </row>
    <row r="2899" spans="1:12" ht="12.75" customHeight="1" x14ac:dyDescent="0.3">
      <c r="A2899" s="400" t="s">
        <v>1038</v>
      </c>
      <c r="B2899" s="401" t="s">
        <v>4492</v>
      </c>
      <c r="C2899" s="400" t="s">
        <v>395</v>
      </c>
      <c r="D2899" s="400" t="s">
        <v>4493</v>
      </c>
      <c r="E2899" s="605" t="s">
        <v>1039</v>
      </c>
      <c r="F2899" s="605"/>
      <c r="G2899" s="402" t="s">
        <v>4</v>
      </c>
      <c r="H2899" s="403">
        <v>3</v>
      </c>
      <c r="I2899" s="403">
        <v>0</v>
      </c>
      <c r="J2899" s="404">
        <v>2.84</v>
      </c>
      <c r="K2899" s="404">
        <v>8.52</v>
      </c>
      <c r="L2899" s="168"/>
    </row>
    <row r="2900" spans="1:12" ht="26.4" x14ac:dyDescent="0.3">
      <c r="A2900" s="400" t="s">
        <v>1038</v>
      </c>
      <c r="B2900" s="401" t="s">
        <v>4127</v>
      </c>
      <c r="C2900" s="400" t="s">
        <v>395</v>
      </c>
      <c r="D2900" s="400" t="s">
        <v>4128</v>
      </c>
      <c r="E2900" s="605" t="s">
        <v>1039</v>
      </c>
      <c r="F2900" s="605"/>
      <c r="G2900" s="402" t="s">
        <v>4</v>
      </c>
      <c r="H2900" s="403">
        <v>1</v>
      </c>
      <c r="I2900" s="403">
        <v>0</v>
      </c>
      <c r="J2900" s="404">
        <v>94.58</v>
      </c>
      <c r="K2900" s="404">
        <v>94.58</v>
      </c>
      <c r="L2900" s="168"/>
    </row>
    <row r="2901" spans="1:12" ht="15" customHeight="1" x14ac:dyDescent="0.3">
      <c r="A2901" s="405"/>
      <c r="B2901" s="405"/>
      <c r="C2901" s="405"/>
      <c r="D2901" s="405"/>
      <c r="E2901" s="405" t="s">
        <v>1046</v>
      </c>
      <c r="F2901" s="406">
        <v>40.479999999999997</v>
      </c>
      <c r="G2901" s="405" t="s">
        <v>1047</v>
      </c>
      <c r="H2901" s="406">
        <v>0</v>
      </c>
      <c r="I2901" s="405" t="s">
        <v>1048</v>
      </c>
      <c r="J2901" s="406">
        <v>40.479999999999997</v>
      </c>
      <c r="K2901"/>
      <c r="L2901" s="166"/>
    </row>
    <row r="2902" spans="1:12" ht="17.399999999999999" customHeight="1" thickBot="1" x14ac:dyDescent="0.35">
      <c r="A2902" s="405"/>
      <c r="B2902" s="405"/>
      <c r="C2902" s="405"/>
      <c r="D2902" s="405"/>
      <c r="E2902" s="405" t="s">
        <v>1049</v>
      </c>
      <c r="F2902" s="406">
        <v>0</v>
      </c>
      <c r="G2902" s="405"/>
      <c r="H2902" s="606"/>
      <c r="I2902" s="606" t="s">
        <v>1050</v>
      </c>
      <c r="J2902" s="406">
        <v>158.59</v>
      </c>
      <c r="K2902"/>
      <c r="L2902" s="166"/>
    </row>
    <row r="2903" spans="1:12" ht="12.75" customHeight="1" thickTop="1" x14ac:dyDescent="0.3">
      <c r="A2903" s="407"/>
      <c r="B2903" s="407"/>
      <c r="C2903" s="407"/>
      <c r="D2903" s="407"/>
      <c r="E2903" s="407"/>
      <c r="F2903" s="407"/>
      <c r="G2903" s="407"/>
      <c r="H2903" s="407"/>
      <c r="I2903" s="407"/>
      <c r="J2903" s="407"/>
      <c r="K2903" s="407"/>
      <c r="L2903" s="166"/>
    </row>
    <row r="2904" spans="1:12" ht="15" x14ac:dyDescent="0.3">
      <c r="A2904" s="382" t="s">
        <v>1970</v>
      </c>
      <c r="B2904" s="312" t="s">
        <v>413</v>
      </c>
      <c r="C2904" s="382" t="s">
        <v>414</v>
      </c>
      <c r="D2904" s="382" t="s">
        <v>415</v>
      </c>
      <c r="E2904" s="586" t="s">
        <v>1029</v>
      </c>
      <c r="F2904" s="586"/>
      <c r="G2904" s="383" t="s">
        <v>416</v>
      </c>
      <c r="H2904" s="312" t="s">
        <v>1030</v>
      </c>
      <c r="I2904" s="312" t="s">
        <v>3016</v>
      </c>
      <c r="J2904" s="312" t="s">
        <v>1031</v>
      </c>
      <c r="K2904" s="312" t="s">
        <v>1032</v>
      </c>
      <c r="L2904" s="166"/>
    </row>
    <row r="2905" spans="1:12" ht="15" customHeight="1" x14ac:dyDescent="0.3">
      <c r="A2905" s="313" t="s">
        <v>1033</v>
      </c>
      <c r="B2905" s="315" t="s">
        <v>3855</v>
      </c>
      <c r="C2905" s="313" t="s">
        <v>395</v>
      </c>
      <c r="D2905" s="313" t="s">
        <v>5969</v>
      </c>
      <c r="E2905" s="603" t="s">
        <v>7791</v>
      </c>
      <c r="F2905" s="603"/>
      <c r="G2905" s="314" t="s">
        <v>4</v>
      </c>
      <c r="H2905" s="399">
        <v>1</v>
      </c>
      <c r="I2905" s="316"/>
      <c r="J2905" s="316">
        <v>405.7</v>
      </c>
      <c r="K2905" s="316">
        <v>405.7</v>
      </c>
      <c r="L2905" s="166"/>
    </row>
    <row r="2906" spans="1:12" ht="25.5" customHeight="1" x14ac:dyDescent="0.3">
      <c r="A2906" s="408" t="s">
        <v>1034</v>
      </c>
      <c r="B2906" s="409" t="s">
        <v>1035</v>
      </c>
      <c r="C2906" s="408" t="s">
        <v>395</v>
      </c>
      <c r="D2906" s="408" t="s">
        <v>128</v>
      </c>
      <c r="E2906" s="604" t="s">
        <v>7768</v>
      </c>
      <c r="F2906" s="604"/>
      <c r="G2906" s="410" t="s">
        <v>6</v>
      </c>
      <c r="H2906" s="412">
        <v>1.222415</v>
      </c>
      <c r="I2906" s="412">
        <v>0</v>
      </c>
      <c r="J2906" s="411">
        <v>34.5</v>
      </c>
      <c r="K2906" s="411">
        <v>42.173317500000003</v>
      </c>
      <c r="L2906" s="166"/>
    </row>
    <row r="2907" spans="1:12" ht="25.5" customHeight="1" x14ac:dyDescent="0.3">
      <c r="A2907" s="408" t="s">
        <v>1034</v>
      </c>
      <c r="B2907" s="409" t="s">
        <v>1037</v>
      </c>
      <c r="C2907" s="408" t="s">
        <v>395</v>
      </c>
      <c r="D2907" s="408" t="s">
        <v>135</v>
      </c>
      <c r="E2907" s="604" t="s">
        <v>7768</v>
      </c>
      <c r="F2907" s="604"/>
      <c r="G2907" s="410" t="s">
        <v>6</v>
      </c>
      <c r="H2907" s="412">
        <v>1.222415</v>
      </c>
      <c r="I2907" s="412">
        <v>0</v>
      </c>
      <c r="J2907" s="411">
        <v>41.81</v>
      </c>
      <c r="K2907" s="411">
        <v>51.109171199999999</v>
      </c>
      <c r="L2907" s="166"/>
    </row>
    <row r="2908" spans="1:12" ht="26.4" x14ac:dyDescent="0.3">
      <c r="A2908" s="400" t="s">
        <v>1038</v>
      </c>
      <c r="B2908" s="401" t="s">
        <v>4657</v>
      </c>
      <c r="C2908" s="400" t="s">
        <v>395</v>
      </c>
      <c r="D2908" s="400" t="s">
        <v>4658</v>
      </c>
      <c r="E2908" s="605" t="s">
        <v>1039</v>
      </c>
      <c r="F2908" s="605"/>
      <c r="G2908" s="402" t="s">
        <v>4</v>
      </c>
      <c r="H2908" s="403">
        <v>3</v>
      </c>
      <c r="I2908" s="403">
        <v>0</v>
      </c>
      <c r="J2908" s="404">
        <v>5.55</v>
      </c>
      <c r="K2908" s="404">
        <v>16.649999999999999</v>
      </c>
      <c r="L2908" s="168"/>
    </row>
    <row r="2909" spans="1:12" ht="15" x14ac:dyDescent="0.3">
      <c r="A2909" s="400" t="s">
        <v>1038</v>
      </c>
      <c r="B2909" s="401" t="s">
        <v>4150</v>
      </c>
      <c r="C2909" s="400" t="s">
        <v>395</v>
      </c>
      <c r="D2909" s="400" t="s">
        <v>4151</v>
      </c>
      <c r="E2909" s="605" t="s">
        <v>1039</v>
      </c>
      <c r="F2909" s="605"/>
      <c r="G2909" s="402" t="s">
        <v>4</v>
      </c>
      <c r="H2909" s="403">
        <v>1</v>
      </c>
      <c r="I2909" s="403">
        <v>0</v>
      </c>
      <c r="J2909" s="404">
        <v>295.77</v>
      </c>
      <c r="K2909" s="404">
        <v>295.77</v>
      </c>
      <c r="L2909" s="170"/>
    </row>
    <row r="2910" spans="1:12" ht="14.25" customHeight="1" x14ac:dyDescent="0.3">
      <c r="A2910" s="405"/>
      <c r="B2910" s="405"/>
      <c r="C2910" s="405"/>
      <c r="D2910" s="405"/>
      <c r="E2910" s="405" t="s">
        <v>1046</v>
      </c>
      <c r="F2910" s="406">
        <v>68.05</v>
      </c>
      <c r="G2910" s="405" t="s">
        <v>1047</v>
      </c>
      <c r="H2910" s="406">
        <v>0</v>
      </c>
      <c r="I2910" s="405" t="s">
        <v>1048</v>
      </c>
      <c r="J2910" s="406">
        <v>68.05</v>
      </c>
      <c r="K2910"/>
      <c r="L2910" s="168"/>
    </row>
    <row r="2911" spans="1:12" ht="14.25" customHeight="1" thickBot="1" x14ac:dyDescent="0.35">
      <c r="A2911" s="405"/>
      <c r="B2911" s="405"/>
      <c r="C2911" s="405"/>
      <c r="D2911" s="405"/>
      <c r="E2911" s="405" t="s">
        <v>1049</v>
      </c>
      <c r="F2911" s="406">
        <v>0</v>
      </c>
      <c r="G2911" s="405"/>
      <c r="H2911" s="606"/>
      <c r="I2911" s="606" t="s">
        <v>1050</v>
      </c>
      <c r="J2911" s="406">
        <v>405.7</v>
      </c>
      <c r="K2911"/>
      <c r="L2911" s="168"/>
    </row>
    <row r="2912" spans="1:12" ht="15" customHeight="1" thickTop="1" x14ac:dyDescent="0.3">
      <c r="A2912" s="407"/>
      <c r="B2912" s="407"/>
      <c r="C2912" s="407"/>
      <c r="D2912" s="407"/>
      <c r="E2912" s="407"/>
      <c r="F2912" s="407"/>
      <c r="G2912" s="407"/>
      <c r="H2912" s="407"/>
      <c r="I2912" s="407"/>
      <c r="J2912" s="407"/>
      <c r="K2912" s="407"/>
      <c r="L2912" s="168"/>
    </row>
    <row r="2913" spans="1:12" ht="15" customHeight="1" x14ac:dyDescent="0.3">
      <c r="A2913" s="382" t="s">
        <v>1976</v>
      </c>
      <c r="B2913" s="312" t="s">
        <v>413</v>
      </c>
      <c r="C2913" s="382" t="s">
        <v>414</v>
      </c>
      <c r="D2913" s="382" t="s">
        <v>415</v>
      </c>
      <c r="E2913" s="586" t="s">
        <v>1029</v>
      </c>
      <c r="F2913" s="586"/>
      <c r="G2913" s="383" t="s">
        <v>416</v>
      </c>
      <c r="H2913" s="312" t="s">
        <v>1030</v>
      </c>
      <c r="I2913" s="312" t="s">
        <v>3016</v>
      </c>
      <c r="J2913" s="312" t="s">
        <v>1031</v>
      </c>
      <c r="K2913" s="312" t="s">
        <v>1032</v>
      </c>
      <c r="L2913" s="166"/>
    </row>
    <row r="2914" spans="1:12" ht="26.4" x14ac:dyDescent="0.3">
      <c r="A2914" s="313" t="s">
        <v>1033</v>
      </c>
      <c r="B2914" s="315" t="s">
        <v>3856</v>
      </c>
      <c r="C2914" s="313" t="s">
        <v>395</v>
      </c>
      <c r="D2914" s="313" t="s">
        <v>5970</v>
      </c>
      <c r="E2914" s="603" t="s">
        <v>7791</v>
      </c>
      <c r="F2914" s="603"/>
      <c r="G2914" s="314" t="s">
        <v>4</v>
      </c>
      <c r="H2914" s="399">
        <v>1</v>
      </c>
      <c r="I2914" s="316"/>
      <c r="J2914" s="316">
        <v>78.89</v>
      </c>
      <c r="K2914" s="316">
        <v>78.89</v>
      </c>
      <c r="L2914" s="166"/>
    </row>
    <row r="2915" spans="1:12" ht="26.4" x14ac:dyDescent="0.3">
      <c r="A2915" s="408" t="s">
        <v>1034</v>
      </c>
      <c r="B2915" s="409" t="s">
        <v>1035</v>
      </c>
      <c r="C2915" s="408" t="s">
        <v>395</v>
      </c>
      <c r="D2915" s="408" t="s">
        <v>128</v>
      </c>
      <c r="E2915" s="604" t="s">
        <v>7768</v>
      </c>
      <c r="F2915" s="604"/>
      <c r="G2915" s="410" t="s">
        <v>6</v>
      </c>
      <c r="H2915" s="412">
        <v>0.26037700000000003</v>
      </c>
      <c r="I2915" s="412">
        <v>0</v>
      </c>
      <c r="J2915" s="411">
        <v>34.5</v>
      </c>
      <c r="K2915" s="411">
        <v>8.9830065000000001</v>
      </c>
      <c r="L2915" s="168"/>
    </row>
    <row r="2916" spans="1:12" ht="15" customHeight="1" x14ac:dyDescent="0.3">
      <c r="A2916" s="408" t="s">
        <v>1034</v>
      </c>
      <c r="B2916" s="409" t="s">
        <v>1037</v>
      </c>
      <c r="C2916" s="408" t="s">
        <v>395</v>
      </c>
      <c r="D2916" s="408" t="s">
        <v>135</v>
      </c>
      <c r="E2916" s="604" t="s">
        <v>7768</v>
      </c>
      <c r="F2916" s="604"/>
      <c r="G2916" s="410" t="s">
        <v>6</v>
      </c>
      <c r="H2916" s="412">
        <v>0.26037700000000003</v>
      </c>
      <c r="I2916" s="412">
        <v>0</v>
      </c>
      <c r="J2916" s="411">
        <v>41.81</v>
      </c>
      <c r="K2916" s="411">
        <v>10.886362399999999</v>
      </c>
      <c r="L2916" s="168"/>
    </row>
    <row r="2917" spans="1:12" ht="25.5" customHeight="1" x14ac:dyDescent="0.3">
      <c r="A2917" s="400" t="s">
        <v>1038</v>
      </c>
      <c r="B2917" s="401" t="s">
        <v>4612</v>
      </c>
      <c r="C2917" s="400" t="s">
        <v>395</v>
      </c>
      <c r="D2917" s="400" t="s">
        <v>4613</v>
      </c>
      <c r="E2917" s="605" t="s">
        <v>1039</v>
      </c>
      <c r="F2917" s="605"/>
      <c r="G2917" s="402" t="s">
        <v>4</v>
      </c>
      <c r="H2917" s="403">
        <v>3</v>
      </c>
      <c r="I2917" s="403">
        <v>0</v>
      </c>
      <c r="J2917" s="404">
        <v>1.6</v>
      </c>
      <c r="K2917" s="404">
        <v>4.8</v>
      </c>
      <c r="L2917" s="168"/>
    </row>
    <row r="2918" spans="1:12" ht="25.5" customHeight="1" x14ac:dyDescent="0.3">
      <c r="A2918" s="400" t="s">
        <v>1038</v>
      </c>
      <c r="B2918" s="401" t="s">
        <v>4069</v>
      </c>
      <c r="C2918" s="400" t="s">
        <v>395</v>
      </c>
      <c r="D2918" s="400" t="s">
        <v>4070</v>
      </c>
      <c r="E2918" s="605" t="s">
        <v>1039</v>
      </c>
      <c r="F2918" s="605"/>
      <c r="G2918" s="402" t="s">
        <v>4</v>
      </c>
      <c r="H2918" s="403">
        <v>1</v>
      </c>
      <c r="I2918" s="403">
        <v>0</v>
      </c>
      <c r="J2918" s="404">
        <v>54.22</v>
      </c>
      <c r="K2918" s="404">
        <v>54.22</v>
      </c>
      <c r="L2918" s="168"/>
    </row>
    <row r="2919" spans="1:12" ht="15" x14ac:dyDescent="0.3">
      <c r="A2919" s="405"/>
      <c r="B2919" s="405"/>
      <c r="C2919" s="405"/>
      <c r="D2919" s="405"/>
      <c r="E2919" s="405" t="s">
        <v>1046</v>
      </c>
      <c r="F2919" s="406">
        <v>14.5</v>
      </c>
      <c r="G2919" s="405" t="s">
        <v>1047</v>
      </c>
      <c r="H2919" s="406">
        <v>0</v>
      </c>
      <c r="I2919" s="405" t="s">
        <v>1048</v>
      </c>
      <c r="J2919" s="406">
        <v>14.5</v>
      </c>
      <c r="K2919"/>
      <c r="L2919" s="166"/>
    </row>
    <row r="2920" spans="1:12" ht="14.25" customHeight="1" thickBot="1" x14ac:dyDescent="0.35">
      <c r="A2920" s="405"/>
      <c r="B2920" s="405"/>
      <c r="C2920" s="405"/>
      <c r="D2920" s="405"/>
      <c r="E2920" s="405" t="s">
        <v>1049</v>
      </c>
      <c r="F2920" s="406">
        <v>0</v>
      </c>
      <c r="G2920" s="405"/>
      <c r="H2920" s="606"/>
      <c r="I2920" s="606" t="s">
        <v>1050</v>
      </c>
      <c r="J2920" s="406">
        <v>78.89</v>
      </c>
      <c r="K2920"/>
      <c r="L2920" s="168"/>
    </row>
    <row r="2921" spans="1:12" ht="15" customHeight="1" thickTop="1" x14ac:dyDescent="0.3">
      <c r="A2921" s="407"/>
      <c r="B2921" s="407"/>
      <c r="C2921" s="407"/>
      <c r="D2921" s="407"/>
      <c r="E2921" s="407"/>
      <c r="F2921" s="407"/>
      <c r="G2921" s="407"/>
      <c r="H2921" s="407"/>
      <c r="I2921" s="407"/>
      <c r="J2921" s="407"/>
      <c r="K2921" s="407"/>
      <c r="L2921" s="168"/>
    </row>
    <row r="2922" spans="1:12" ht="30" customHeight="1" x14ac:dyDescent="0.3">
      <c r="A2922" s="382" t="s">
        <v>1979</v>
      </c>
      <c r="B2922" s="312" t="s">
        <v>413</v>
      </c>
      <c r="C2922" s="382" t="s">
        <v>414</v>
      </c>
      <c r="D2922" s="382" t="s">
        <v>415</v>
      </c>
      <c r="E2922" s="586" t="s">
        <v>1029</v>
      </c>
      <c r="F2922" s="586"/>
      <c r="G2922" s="383" t="s">
        <v>416</v>
      </c>
      <c r="H2922" s="312" t="s">
        <v>1030</v>
      </c>
      <c r="I2922" s="312" t="s">
        <v>3016</v>
      </c>
      <c r="J2922" s="312" t="s">
        <v>1031</v>
      </c>
      <c r="K2922" s="312" t="s">
        <v>1032</v>
      </c>
      <c r="L2922" s="168"/>
    </row>
    <row r="2923" spans="1:12" ht="30" customHeight="1" x14ac:dyDescent="0.3">
      <c r="A2923" s="313" t="s">
        <v>1033</v>
      </c>
      <c r="B2923" s="315" t="s">
        <v>3857</v>
      </c>
      <c r="C2923" s="313" t="s">
        <v>395</v>
      </c>
      <c r="D2923" s="313" t="s">
        <v>5971</v>
      </c>
      <c r="E2923" s="603" t="s">
        <v>7791</v>
      </c>
      <c r="F2923" s="603"/>
      <c r="G2923" s="314" t="s">
        <v>4</v>
      </c>
      <c r="H2923" s="399">
        <v>1</v>
      </c>
      <c r="I2923" s="316"/>
      <c r="J2923" s="316">
        <v>100.79</v>
      </c>
      <c r="K2923" s="316">
        <v>100.79</v>
      </c>
      <c r="L2923" s="166"/>
    </row>
    <row r="2924" spans="1:12" ht="26.4" x14ac:dyDescent="0.3">
      <c r="A2924" s="408" t="s">
        <v>1034</v>
      </c>
      <c r="B2924" s="409" t="s">
        <v>1035</v>
      </c>
      <c r="C2924" s="408" t="s">
        <v>395</v>
      </c>
      <c r="D2924" s="408" t="s">
        <v>128</v>
      </c>
      <c r="E2924" s="604" t="s">
        <v>7768</v>
      </c>
      <c r="F2924" s="604"/>
      <c r="G2924" s="410" t="s">
        <v>6</v>
      </c>
      <c r="H2924" s="412">
        <v>0.52974500000000002</v>
      </c>
      <c r="I2924" s="412">
        <v>0</v>
      </c>
      <c r="J2924" s="411">
        <v>34.5</v>
      </c>
      <c r="K2924" s="411">
        <v>18.2762025</v>
      </c>
      <c r="L2924" s="166"/>
    </row>
    <row r="2925" spans="1:12" ht="15" customHeight="1" x14ac:dyDescent="0.3">
      <c r="A2925" s="408" t="s">
        <v>1034</v>
      </c>
      <c r="B2925" s="409" t="s">
        <v>1037</v>
      </c>
      <c r="C2925" s="408" t="s">
        <v>395</v>
      </c>
      <c r="D2925" s="408" t="s">
        <v>135</v>
      </c>
      <c r="E2925" s="604" t="s">
        <v>7768</v>
      </c>
      <c r="F2925" s="604"/>
      <c r="G2925" s="410" t="s">
        <v>6</v>
      </c>
      <c r="H2925" s="412">
        <v>0.52974500000000002</v>
      </c>
      <c r="I2925" s="412">
        <v>0</v>
      </c>
      <c r="J2925" s="411">
        <v>41.81</v>
      </c>
      <c r="K2925" s="411">
        <v>22.148638500000001</v>
      </c>
      <c r="L2925" s="168"/>
    </row>
    <row r="2926" spans="1:12" ht="17.399999999999999" customHeight="1" x14ac:dyDescent="0.3">
      <c r="A2926" s="400" t="s">
        <v>1038</v>
      </c>
      <c r="B2926" s="401" t="s">
        <v>4809</v>
      </c>
      <c r="C2926" s="400" t="s">
        <v>395</v>
      </c>
      <c r="D2926" s="400" t="s">
        <v>4810</v>
      </c>
      <c r="E2926" s="605" t="s">
        <v>1039</v>
      </c>
      <c r="F2926" s="605"/>
      <c r="G2926" s="402" t="s">
        <v>4</v>
      </c>
      <c r="H2926" s="403">
        <v>3</v>
      </c>
      <c r="I2926" s="403">
        <v>0</v>
      </c>
      <c r="J2926" s="404">
        <v>2.0499999999999998</v>
      </c>
      <c r="K2926" s="404">
        <v>6.15</v>
      </c>
      <c r="L2926" s="168"/>
    </row>
    <row r="2927" spans="1:12" ht="15" customHeight="1" x14ac:dyDescent="0.3">
      <c r="A2927" s="400" t="s">
        <v>1038</v>
      </c>
      <c r="B2927" s="401" t="s">
        <v>4069</v>
      </c>
      <c r="C2927" s="400" t="s">
        <v>395</v>
      </c>
      <c r="D2927" s="400" t="s">
        <v>4070</v>
      </c>
      <c r="E2927" s="605" t="s">
        <v>1039</v>
      </c>
      <c r="F2927" s="605"/>
      <c r="G2927" s="402" t="s">
        <v>4</v>
      </c>
      <c r="H2927" s="403">
        <v>1</v>
      </c>
      <c r="I2927" s="403">
        <v>0</v>
      </c>
      <c r="J2927" s="404">
        <v>54.22</v>
      </c>
      <c r="K2927" s="404">
        <v>54.22</v>
      </c>
      <c r="L2927" s="168"/>
    </row>
    <row r="2928" spans="1:12" ht="15" x14ac:dyDescent="0.3">
      <c r="A2928" s="405"/>
      <c r="B2928" s="405"/>
      <c r="C2928" s="405"/>
      <c r="D2928" s="405"/>
      <c r="E2928" s="405" t="s">
        <v>1046</v>
      </c>
      <c r="F2928" s="406">
        <v>29.49</v>
      </c>
      <c r="G2928" s="405" t="s">
        <v>1047</v>
      </c>
      <c r="H2928" s="406">
        <v>0</v>
      </c>
      <c r="I2928" s="405" t="s">
        <v>1048</v>
      </c>
      <c r="J2928" s="406">
        <v>29.49</v>
      </c>
      <c r="K2928"/>
      <c r="L2928" s="166"/>
    </row>
    <row r="2929" spans="1:12" ht="14.25" customHeight="1" thickBot="1" x14ac:dyDescent="0.35">
      <c r="A2929" s="405"/>
      <c r="B2929" s="405"/>
      <c r="C2929" s="405"/>
      <c r="D2929" s="405"/>
      <c r="E2929" s="405" t="s">
        <v>1049</v>
      </c>
      <c r="F2929" s="406">
        <v>0</v>
      </c>
      <c r="G2929" s="405"/>
      <c r="H2929" s="606"/>
      <c r="I2929" s="606" t="s">
        <v>1050</v>
      </c>
      <c r="J2929" s="406">
        <v>100.79</v>
      </c>
      <c r="K2929"/>
      <c r="L2929" s="166"/>
    </row>
    <row r="2930" spans="1:12" ht="15.6" thickTop="1" x14ac:dyDescent="0.3">
      <c r="A2930" s="407"/>
      <c r="B2930" s="407"/>
      <c r="C2930" s="407"/>
      <c r="D2930" s="407"/>
      <c r="E2930" s="407"/>
      <c r="F2930" s="407"/>
      <c r="G2930" s="407"/>
      <c r="H2930" s="407"/>
      <c r="I2930" s="407"/>
      <c r="J2930" s="407"/>
      <c r="K2930" s="407"/>
      <c r="L2930" s="166"/>
    </row>
    <row r="2931" spans="1:12" ht="15" customHeight="1" x14ac:dyDescent="0.3">
      <c r="A2931" s="382" t="s">
        <v>1981</v>
      </c>
      <c r="B2931" s="312" t="s">
        <v>413</v>
      </c>
      <c r="C2931" s="382" t="s">
        <v>414</v>
      </c>
      <c r="D2931" s="382" t="s">
        <v>415</v>
      </c>
      <c r="E2931" s="586" t="s">
        <v>1029</v>
      </c>
      <c r="F2931" s="586"/>
      <c r="G2931" s="383" t="s">
        <v>416</v>
      </c>
      <c r="H2931" s="312" t="s">
        <v>1030</v>
      </c>
      <c r="I2931" s="312" t="s">
        <v>3016</v>
      </c>
      <c r="J2931" s="312" t="s">
        <v>1031</v>
      </c>
      <c r="K2931" s="312" t="s">
        <v>1032</v>
      </c>
      <c r="L2931" s="166"/>
    </row>
    <row r="2932" spans="1:12" ht="26.4" x14ac:dyDescent="0.3">
      <c r="A2932" s="313" t="s">
        <v>1033</v>
      </c>
      <c r="B2932" s="315" t="s">
        <v>2940</v>
      </c>
      <c r="C2932" s="313" t="s">
        <v>420</v>
      </c>
      <c r="D2932" s="313" t="s">
        <v>2681</v>
      </c>
      <c r="E2932" s="603" t="s">
        <v>1521</v>
      </c>
      <c r="F2932" s="603"/>
      <c r="G2932" s="314" t="s">
        <v>422</v>
      </c>
      <c r="H2932" s="399">
        <v>1</v>
      </c>
      <c r="I2932" s="316"/>
      <c r="J2932" s="316">
        <v>2391.21</v>
      </c>
      <c r="K2932" s="316">
        <v>2391.21</v>
      </c>
      <c r="L2932" s="166"/>
    </row>
    <row r="2933" spans="1:12" ht="25.5" customHeight="1" x14ac:dyDescent="0.3">
      <c r="A2933" s="408" t="s">
        <v>1034</v>
      </c>
      <c r="B2933" s="409" t="s">
        <v>1071</v>
      </c>
      <c r="C2933" s="408" t="s">
        <v>420</v>
      </c>
      <c r="D2933" s="408" t="s">
        <v>1072</v>
      </c>
      <c r="E2933" s="604" t="s">
        <v>1069</v>
      </c>
      <c r="F2933" s="604"/>
      <c r="G2933" s="410" t="s">
        <v>1070</v>
      </c>
      <c r="H2933" s="412">
        <v>5.2</v>
      </c>
      <c r="I2933" s="412">
        <v>0</v>
      </c>
      <c r="J2933" s="411">
        <v>3.95</v>
      </c>
      <c r="K2933" s="411">
        <v>20.54</v>
      </c>
      <c r="L2933" s="166"/>
    </row>
    <row r="2934" spans="1:12" ht="26.4" x14ac:dyDescent="0.3">
      <c r="A2934" s="408" t="s">
        <v>1034</v>
      </c>
      <c r="B2934" s="409" t="s">
        <v>1478</v>
      </c>
      <c r="C2934" s="408" t="s">
        <v>420</v>
      </c>
      <c r="D2934" s="408" t="s">
        <v>1479</v>
      </c>
      <c r="E2934" s="604" t="s">
        <v>1069</v>
      </c>
      <c r="F2934" s="604"/>
      <c r="G2934" s="410" t="s">
        <v>1070</v>
      </c>
      <c r="H2934" s="412">
        <v>3.5</v>
      </c>
      <c r="I2934" s="412">
        <v>0</v>
      </c>
      <c r="J2934" s="411">
        <v>3.86</v>
      </c>
      <c r="K2934" s="411">
        <v>13.51</v>
      </c>
      <c r="L2934" s="166"/>
    </row>
    <row r="2935" spans="1:12" ht="26.4" x14ac:dyDescent="0.3">
      <c r="A2935" s="408" t="s">
        <v>1034</v>
      </c>
      <c r="B2935" s="409" t="s">
        <v>1067</v>
      </c>
      <c r="C2935" s="408" t="s">
        <v>420</v>
      </c>
      <c r="D2935" s="408" t="s">
        <v>1068</v>
      </c>
      <c r="E2935" s="604" t="s">
        <v>1069</v>
      </c>
      <c r="F2935" s="604"/>
      <c r="G2935" s="410" t="s">
        <v>1070</v>
      </c>
      <c r="H2935" s="412">
        <v>14</v>
      </c>
      <c r="I2935" s="412">
        <v>0</v>
      </c>
      <c r="J2935" s="411">
        <v>3.82</v>
      </c>
      <c r="K2935" s="411">
        <v>53.48</v>
      </c>
      <c r="L2935" s="168"/>
    </row>
    <row r="2936" spans="1:12" ht="12.75" customHeight="1" x14ac:dyDescent="0.3">
      <c r="A2936" s="408" t="s">
        <v>1034</v>
      </c>
      <c r="B2936" s="409" t="s">
        <v>3125</v>
      </c>
      <c r="C2936" s="408" t="s">
        <v>395</v>
      </c>
      <c r="D2936" s="408" t="s">
        <v>219</v>
      </c>
      <c r="E2936" s="604" t="s">
        <v>7840</v>
      </c>
      <c r="F2936" s="604"/>
      <c r="G2936" s="410" t="s">
        <v>713</v>
      </c>
      <c r="H2936" s="412">
        <v>2.4E-2</v>
      </c>
      <c r="I2936" s="412">
        <v>0</v>
      </c>
      <c r="J2936" s="411">
        <v>613.9</v>
      </c>
      <c r="K2936" s="411">
        <v>14.733599999999999</v>
      </c>
      <c r="L2936" s="170"/>
    </row>
    <row r="2937" spans="1:12" ht="15" customHeight="1" x14ac:dyDescent="0.3">
      <c r="A2937" s="400" t="s">
        <v>1038</v>
      </c>
      <c r="B2937" s="401" t="s">
        <v>3128</v>
      </c>
      <c r="C2937" s="400" t="s">
        <v>420</v>
      </c>
      <c r="D2937" s="400" t="s">
        <v>3129</v>
      </c>
      <c r="E2937" s="605" t="s">
        <v>1039</v>
      </c>
      <c r="F2937" s="605"/>
      <c r="G2937" s="402" t="s">
        <v>422</v>
      </c>
      <c r="H2937" s="403">
        <v>1</v>
      </c>
      <c r="I2937" s="403">
        <v>0</v>
      </c>
      <c r="J2937" s="404">
        <v>1850</v>
      </c>
      <c r="K2937" s="404">
        <v>1850</v>
      </c>
      <c r="L2937" s="168"/>
    </row>
    <row r="2938" spans="1:12" ht="15" x14ac:dyDescent="0.3">
      <c r="A2938" s="400" t="s">
        <v>1038</v>
      </c>
      <c r="B2938" s="401" t="s">
        <v>6199</v>
      </c>
      <c r="C2938" s="400" t="s">
        <v>420</v>
      </c>
      <c r="D2938" s="400" t="s">
        <v>6200</v>
      </c>
      <c r="E2938" s="605" t="s">
        <v>1053</v>
      </c>
      <c r="F2938" s="605"/>
      <c r="G2938" s="402" t="s">
        <v>1070</v>
      </c>
      <c r="H2938" s="403">
        <v>14</v>
      </c>
      <c r="I2938" s="403">
        <v>0</v>
      </c>
      <c r="J2938" s="404">
        <v>20.45</v>
      </c>
      <c r="K2938" s="404">
        <v>286.3</v>
      </c>
      <c r="L2938" s="168"/>
    </row>
    <row r="2939" spans="1:12" ht="15" x14ac:dyDescent="0.3">
      <c r="A2939" s="400" t="s">
        <v>1038</v>
      </c>
      <c r="B2939" s="401" t="s">
        <v>6295</v>
      </c>
      <c r="C2939" s="400" t="s">
        <v>420</v>
      </c>
      <c r="D2939" s="400" t="s">
        <v>6296</v>
      </c>
      <c r="E2939" s="605" t="s">
        <v>1053</v>
      </c>
      <c r="F2939" s="605"/>
      <c r="G2939" s="402" t="s">
        <v>1070</v>
      </c>
      <c r="H2939" s="403">
        <v>3.5</v>
      </c>
      <c r="I2939" s="403">
        <v>0</v>
      </c>
      <c r="J2939" s="404">
        <v>20.45</v>
      </c>
      <c r="K2939" s="404">
        <v>71.575000000000003</v>
      </c>
      <c r="L2939" s="168"/>
    </row>
    <row r="2940" spans="1:12" ht="14.25" customHeight="1" x14ac:dyDescent="0.3">
      <c r="A2940" s="400" t="s">
        <v>1038</v>
      </c>
      <c r="B2940" s="401" t="s">
        <v>6251</v>
      </c>
      <c r="C2940" s="400" t="s">
        <v>420</v>
      </c>
      <c r="D2940" s="400" t="s">
        <v>6252</v>
      </c>
      <c r="E2940" s="605" t="s">
        <v>1053</v>
      </c>
      <c r="F2940" s="605"/>
      <c r="G2940" s="402" t="s">
        <v>1070</v>
      </c>
      <c r="H2940" s="403">
        <v>5.2</v>
      </c>
      <c r="I2940" s="403">
        <v>0</v>
      </c>
      <c r="J2940" s="404">
        <v>15.59</v>
      </c>
      <c r="K2940" s="404">
        <v>81.067999999999998</v>
      </c>
      <c r="L2940" s="166"/>
    </row>
    <row r="2941" spans="1:12" ht="15" x14ac:dyDescent="0.3">
      <c r="A2941" s="405"/>
      <c r="B2941" s="405"/>
      <c r="C2941" s="405"/>
      <c r="D2941" s="405"/>
      <c r="E2941" s="405" t="s">
        <v>1046</v>
      </c>
      <c r="F2941" s="406">
        <v>441.28</v>
      </c>
      <c r="G2941" s="405" t="s">
        <v>1047</v>
      </c>
      <c r="H2941" s="406">
        <v>0</v>
      </c>
      <c r="I2941" s="405" t="s">
        <v>1048</v>
      </c>
      <c r="J2941" s="406">
        <v>441.28</v>
      </c>
      <c r="K2941"/>
      <c r="L2941" s="166"/>
    </row>
    <row r="2942" spans="1:12" ht="25.5" customHeight="1" thickBot="1" x14ac:dyDescent="0.35">
      <c r="A2942" s="405"/>
      <c r="B2942" s="405"/>
      <c r="C2942" s="405"/>
      <c r="D2942" s="405"/>
      <c r="E2942" s="405" t="s">
        <v>1049</v>
      </c>
      <c r="F2942" s="406">
        <v>0</v>
      </c>
      <c r="G2942" s="405"/>
      <c r="H2942" s="606"/>
      <c r="I2942" s="606" t="s">
        <v>1050</v>
      </c>
      <c r="J2942" s="406">
        <v>2391.21</v>
      </c>
      <c r="K2942"/>
      <c r="L2942" s="168"/>
    </row>
    <row r="2943" spans="1:12" ht="25.5" customHeight="1" thickTop="1" x14ac:dyDescent="0.3">
      <c r="A2943" s="407"/>
      <c r="B2943" s="407"/>
      <c r="C2943" s="407"/>
      <c r="D2943" s="407"/>
      <c r="E2943" s="407"/>
      <c r="F2943" s="407"/>
      <c r="G2943" s="407"/>
      <c r="H2943" s="407"/>
      <c r="I2943" s="407"/>
      <c r="J2943" s="407"/>
      <c r="K2943" s="407"/>
      <c r="L2943" s="168"/>
    </row>
    <row r="2944" spans="1:12" ht="25.5" customHeight="1" x14ac:dyDescent="0.3">
      <c r="A2944" s="382" t="s">
        <v>1985</v>
      </c>
      <c r="B2944" s="312" t="s">
        <v>413</v>
      </c>
      <c r="C2944" s="382" t="s">
        <v>414</v>
      </c>
      <c r="D2944" s="382" t="s">
        <v>415</v>
      </c>
      <c r="E2944" s="586" t="s">
        <v>1029</v>
      </c>
      <c r="F2944" s="586"/>
      <c r="G2944" s="383" t="s">
        <v>416</v>
      </c>
      <c r="H2944" s="312" t="s">
        <v>1030</v>
      </c>
      <c r="I2944" s="312" t="s">
        <v>3016</v>
      </c>
      <c r="J2944" s="312" t="s">
        <v>1031</v>
      </c>
      <c r="K2944" s="312" t="s">
        <v>1032</v>
      </c>
      <c r="L2944" s="168"/>
    </row>
    <row r="2945" spans="1:12" ht="15" customHeight="1" x14ac:dyDescent="0.3">
      <c r="A2945" s="313" t="s">
        <v>1033</v>
      </c>
      <c r="B2945" s="315" t="s">
        <v>2962</v>
      </c>
      <c r="C2945" s="313" t="s">
        <v>575</v>
      </c>
      <c r="D2945" s="313" t="s">
        <v>2640</v>
      </c>
      <c r="E2945" s="603" t="s">
        <v>1227</v>
      </c>
      <c r="F2945" s="603"/>
      <c r="G2945" s="314" t="s">
        <v>4</v>
      </c>
      <c r="H2945" s="399">
        <v>1</v>
      </c>
      <c r="I2945" s="316"/>
      <c r="J2945" s="316">
        <v>1439.11</v>
      </c>
      <c r="K2945" s="316">
        <v>1439.11</v>
      </c>
      <c r="L2945" s="168"/>
    </row>
    <row r="2946" spans="1:12" ht="26.4" x14ac:dyDescent="0.3">
      <c r="A2946" s="400" t="s">
        <v>1038</v>
      </c>
      <c r="B2946" s="401" t="s">
        <v>1051</v>
      </c>
      <c r="C2946" s="400" t="s">
        <v>5902</v>
      </c>
      <c r="D2946" s="400" t="s">
        <v>1052</v>
      </c>
      <c r="E2946" s="605" t="s">
        <v>1053</v>
      </c>
      <c r="F2946" s="605"/>
      <c r="G2946" s="402" t="s">
        <v>6</v>
      </c>
      <c r="H2946" s="403">
        <v>0.33329999999999999</v>
      </c>
      <c r="I2946" s="403">
        <v>0</v>
      </c>
      <c r="J2946" s="404">
        <v>33.119999999999997</v>
      </c>
      <c r="K2946" s="404">
        <v>11.038895999999999</v>
      </c>
      <c r="L2946" s="166"/>
    </row>
    <row r="2947" spans="1:12" ht="15" customHeight="1" x14ac:dyDescent="0.3">
      <c r="A2947" s="400" t="s">
        <v>1038</v>
      </c>
      <c r="B2947" s="401" t="s">
        <v>3173</v>
      </c>
      <c r="C2947" s="400" t="s">
        <v>5902</v>
      </c>
      <c r="D2947" s="400" t="s">
        <v>3174</v>
      </c>
      <c r="E2947" s="605" t="s">
        <v>1053</v>
      </c>
      <c r="F2947" s="605"/>
      <c r="G2947" s="402" t="s">
        <v>6</v>
      </c>
      <c r="H2947" s="403">
        <v>0.33329999999999999</v>
      </c>
      <c r="I2947" s="403">
        <v>0</v>
      </c>
      <c r="J2947" s="404">
        <v>72.260000000000005</v>
      </c>
      <c r="K2947" s="404">
        <v>24.084257999999998</v>
      </c>
      <c r="L2947" s="168"/>
    </row>
    <row r="2948" spans="1:12" ht="15" x14ac:dyDescent="0.3">
      <c r="A2948" s="400" t="s">
        <v>1038</v>
      </c>
      <c r="B2948" s="401" t="s">
        <v>3177</v>
      </c>
      <c r="C2948" s="400" t="s">
        <v>575</v>
      </c>
      <c r="D2948" s="400" t="s">
        <v>2640</v>
      </c>
      <c r="E2948" s="605" t="s">
        <v>1039</v>
      </c>
      <c r="F2948" s="605"/>
      <c r="G2948" s="402" t="s">
        <v>4</v>
      </c>
      <c r="H2948" s="403">
        <v>1</v>
      </c>
      <c r="I2948" s="403">
        <v>0</v>
      </c>
      <c r="J2948" s="404">
        <v>1403.99</v>
      </c>
      <c r="K2948" s="404">
        <v>1403.99</v>
      </c>
      <c r="L2948" s="168"/>
    </row>
    <row r="2949" spans="1:12" ht="25.5" customHeight="1" x14ac:dyDescent="0.3">
      <c r="A2949" s="405"/>
      <c r="B2949" s="405"/>
      <c r="C2949" s="405"/>
      <c r="D2949" s="405"/>
      <c r="E2949" s="405" t="s">
        <v>1046</v>
      </c>
      <c r="F2949" s="406">
        <v>35.119999999999997</v>
      </c>
      <c r="G2949" s="405" t="s">
        <v>1047</v>
      </c>
      <c r="H2949" s="406">
        <v>0</v>
      </c>
      <c r="I2949" s="405" t="s">
        <v>1048</v>
      </c>
      <c r="J2949" s="406">
        <v>35.119999999999997</v>
      </c>
      <c r="K2949"/>
      <c r="L2949" s="168"/>
    </row>
    <row r="2950" spans="1:12" ht="15.6" thickBot="1" x14ac:dyDescent="0.35">
      <c r="A2950" s="405"/>
      <c r="B2950" s="405"/>
      <c r="C2950" s="405"/>
      <c r="D2950" s="405"/>
      <c r="E2950" s="405" t="s">
        <v>1049</v>
      </c>
      <c r="F2950" s="406">
        <v>0</v>
      </c>
      <c r="G2950" s="405"/>
      <c r="H2950" s="606"/>
      <c r="I2950" s="606" t="s">
        <v>1050</v>
      </c>
      <c r="J2950" s="406">
        <v>1439.11</v>
      </c>
      <c r="K2950"/>
      <c r="L2950" s="166"/>
    </row>
    <row r="2951" spans="1:12" ht="14.25" customHeight="1" thickTop="1" x14ac:dyDescent="0.3">
      <c r="A2951" s="407"/>
      <c r="B2951" s="407"/>
      <c r="C2951" s="407"/>
      <c r="D2951" s="407"/>
      <c r="E2951" s="407"/>
      <c r="F2951" s="407"/>
      <c r="G2951" s="407"/>
      <c r="H2951" s="407"/>
      <c r="I2951" s="407"/>
      <c r="J2951" s="407"/>
      <c r="K2951" s="407"/>
      <c r="L2951" s="166"/>
    </row>
    <row r="2952" spans="1:12" ht="25.5" customHeight="1" x14ac:dyDescent="0.3">
      <c r="A2952" s="382" t="s">
        <v>1987</v>
      </c>
      <c r="B2952" s="312" t="s">
        <v>413</v>
      </c>
      <c r="C2952" s="382" t="s">
        <v>414</v>
      </c>
      <c r="D2952" s="382" t="s">
        <v>415</v>
      </c>
      <c r="E2952" s="586" t="s">
        <v>1029</v>
      </c>
      <c r="F2952" s="586"/>
      <c r="G2952" s="383" t="s">
        <v>416</v>
      </c>
      <c r="H2952" s="312" t="s">
        <v>1030</v>
      </c>
      <c r="I2952" s="312" t="s">
        <v>3016</v>
      </c>
      <c r="J2952" s="312" t="s">
        <v>1031</v>
      </c>
      <c r="K2952" s="312" t="s">
        <v>1032</v>
      </c>
      <c r="L2952" s="168"/>
    </row>
    <row r="2953" spans="1:12" ht="15" customHeight="1" x14ac:dyDescent="0.3">
      <c r="A2953" s="313" t="s">
        <v>1033</v>
      </c>
      <c r="B2953" s="315" t="s">
        <v>3858</v>
      </c>
      <c r="C2953" s="313" t="s">
        <v>395</v>
      </c>
      <c r="D2953" s="313" t="s">
        <v>5972</v>
      </c>
      <c r="E2953" s="603" t="s">
        <v>7791</v>
      </c>
      <c r="F2953" s="603"/>
      <c r="G2953" s="314" t="s">
        <v>4</v>
      </c>
      <c r="H2953" s="399">
        <v>1</v>
      </c>
      <c r="I2953" s="316"/>
      <c r="J2953" s="316">
        <v>11.45</v>
      </c>
      <c r="K2953" s="316">
        <v>11.45</v>
      </c>
      <c r="L2953" s="168"/>
    </row>
    <row r="2954" spans="1:12" ht="17.399999999999999" customHeight="1" x14ac:dyDescent="0.3">
      <c r="A2954" s="408" t="s">
        <v>1034</v>
      </c>
      <c r="B2954" s="409" t="s">
        <v>1035</v>
      </c>
      <c r="C2954" s="408" t="s">
        <v>395</v>
      </c>
      <c r="D2954" s="408" t="s">
        <v>128</v>
      </c>
      <c r="E2954" s="604" t="s">
        <v>7768</v>
      </c>
      <c r="F2954" s="604"/>
      <c r="G2954" s="410" t="s">
        <v>6</v>
      </c>
      <c r="H2954" s="412">
        <v>3.5428000000000001E-2</v>
      </c>
      <c r="I2954" s="412">
        <v>0</v>
      </c>
      <c r="J2954" s="411">
        <v>34.5</v>
      </c>
      <c r="K2954" s="411">
        <v>1.2222660000000001</v>
      </c>
      <c r="L2954" s="168"/>
    </row>
    <row r="2955" spans="1:12" ht="25.5" customHeight="1" x14ac:dyDescent="0.3">
      <c r="A2955" s="408" t="s">
        <v>1034</v>
      </c>
      <c r="B2955" s="409" t="s">
        <v>1037</v>
      </c>
      <c r="C2955" s="408" t="s">
        <v>395</v>
      </c>
      <c r="D2955" s="408" t="s">
        <v>135</v>
      </c>
      <c r="E2955" s="604" t="s">
        <v>7768</v>
      </c>
      <c r="F2955" s="604"/>
      <c r="G2955" s="410" t="s">
        <v>6</v>
      </c>
      <c r="H2955" s="412">
        <v>3.5428000000000001E-2</v>
      </c>
      <c r="I2955" s="412">
        <v>0</v>
      </c>
      <c r="J2955" s="411">
        <v>41.81</v>
      </c>
      <c r="K2955" s="411">
        <v>1.4812447</v>
      </c>
      <c r="L2955" s="166"/>
    </row>
    <row r="2956" spans="1:12" ht="12.75" customHeight="1" x14ac:dyDescent="0.3">
      <c r="A2956" s="400" t="s">
        <v>1038</v>
      </c>
      <c r="B2956" s="401" t="s">
        <v>4505</v>
      </c>
      <c r="C2956" s="400" t="s">
        <v>395</v>
      </c>
      <c r="D2956" s="400" t="s">
        <v>4506</v>
      </c>
      <c r="E2956" s="605" t="s">
        <v>1039</v>
      </c>
      <c r="F2956" s="605"/>
      <c r="G2956" s="402" t="s">
        <v>4</v>
      </c>
      <c r="H2956" s="403">
        <v>1</v>
      </c>
      <c r="I2956" s="403">
        <v>0</v>
      </c>
      <c r="J2956" s="404">
        <v>1.03</v>
      </c>
      <c r="K2956" s="404">
        <v>1.03</v>
      </c>
      <c r="L2956" s="166"/>
    </row>
    <row r="2957" spans="1:12" ht="15" customHeight="1" x14ac:dyDescent="0.3">
      <c r="A2957" s="400" t="s">
        <v>1038</v>
      </c>
      <c r="B2957" s="401" t="s">
        <v>4266</v>
      </c>
      <c r="C2957" s="400" t="s">
        <v>395</v>
      </c>
      <c r="D2957" s="400" t="s">
        <v>4267</v>
      </c>
      <c r="E2957" s="605" t="s">
        <v>1039</v>
      </c>
      <c r="F2957" s="605"/>
      <c r="G2957" s="402" t="s">
        <v>4</v>
      </c>
      <c r="H2957" s="403">
        <v>1</v>
      </c>
      <c r="I2957" s="403">
        <v>0</v>
      </c>
      <c r="J2957" s="404">
        <v>7.72</v>
      </c>
      <c r="K2957" s="404">
        <v>7.72</v>
      </c>
      <c r="L2957" s="166"/>
    </row>
    <row r="2958" spans="1:12" ht="15" customHeight="1" x14ac:dyDescent="0.3">
      <c r="A2958" s="405"/>
      <c r="B2958" s="405"/>
      <c r="C2958" s="405"/>
      <c r="D2958" s="405"/>
      <c r="E2958" s="405" t="s">
        <v>1046</v>
      </c>
      <c r="F2958" s="406">
        <v>1.97</v>
      </c>
      <c r="G2958" s="405" t="s">
        <v>1047</v>
      </c>
      <c r="H2958" s="406">
        <v>0.01</v>
      </c>
      <c r="I2958" s="405" t="s">
        <v>1048</v>
      </c>
      <c r="J2958" s="406">
        <v>1.98</v>
      </c>
      <c r="K2958"/>
      <c r="L2958" s="166"/>
    </row>
    <row r="2959" spans="1:12" ht="30" customHeight="1" thickBot="1" x14ac:dyDescent="0.35">
      <c r="A2959" s="405"/>
      <c r="B2959" s="405"/>
      <c r="C2959" s="405"/>
      <c r="D2959" s="405"/>
      <c r="E2959" s="405" t="s">
        <v>1049</v>
      </c>
      <c r="F2959" s="406">
        <v>0</v>
      </c>
      <c r="G2959" s="405"/>
      <c r="H2959" s="606"/>
      <c r="I2959" s="606" t="s">
        <v>1050</v>
      </c>
      <c r="J2959" s="406">
        <v>11.45</v>
      </c>
      <c r="K2959"/>
      <c r="L2959" s="166"/>
    </row>
    <row r="2960" spans="1:12" ht="25.5" customHeight="1" thickTop="1" x14ac:dyDescent="0.3">
      <c r="A2960" s="407"/>
      <c r="B2960" s="407"/>
      <c r="C2960" s="407"/>
      <c r="D2960" s="407"/>
      <c r="E2960" s="407"/>
      <c r="F2960" s="407"/>
      <c r="G2960" s="407"/>
      <c r="H2960" s="407"/>
      <c r="I2960" s="407"/>
      <c r="J2960" s="407"/>
      <c r="K2960" s="407"/>
      <c r="L2960" s="166"/>
    </row>
    <row r="2961" spans="1:12" ht="15" x14ac:dyDescent="0.3">
      <c r="A2961" s="382" t="s">
        <v>1988</v>
      </c>
      <c r="B2961" s="312" t="s">
        <v>413</v>
      </c>
      <c r="C2961" s="382" t="s">
        <v>414</v>
      </c>
      <c r="D2961" s="382" t="s">
        <v>415</v>
      </c>
      <c r="E2961" s="586" t="s">
        <v>1029</v>
      </c>
      <c r="F2961" s="586"/>
      <c r="G2961" s="383" t="s">
        <v>416</v>
      </c>
      <c r="H2961" s="312" t="s">
        <v>1030</v>
      </c>
      <c r="I2961" s="312" t="s">
        <v>3016</v>
      </c>
      <c r="J2961" s="312" t="s">
        <v>1031</v>
      </c>
      <c r="K2961" s="312" t="s">
        <v>1032</v>
      </c>
      <c r="L2961" s="166"/>
    </row>
    <row r="2962" spans="1:12" ht="15" customHeight="1" x14ac:dyDescent="0.3">
      <c r="A2962" s="313" t="s">
        <v>1033</v>
      </c>
      <c r="B2962" s="315" t="s">
        <v>3859</v>
      </c>
      <c r="C2962" s="313" t="s">
        <v>395</v>
      </c>
      <c r="D2962" s="313" t="s">
        <v>5973</v>
      </c>
      <c r="E2962" s="603" t="s">
        <v>7791</v>
      </c>
      <c r="F2962" s="603"/>
      <c r="G2962" s="314" t="s">
        <v>4</v>
      </c>
      <c r="H2962" s="399">
        <v>1</v>
      </c>
      <c r="I2962" s="316"/>
      <c r="J2962" s="316">
        <v>51.73</v>
      </c>
      <c r="K2962" s="316">
        <v>51.73</v>
      </c>
      <c r="L2962" s="168"/>
    </row>
    <row r="2963" spans="1:12" ht="26.4" x14ac:dyDescent="0.3">
      <c r="A2963" s="408" t="s">
        <v>1034</v>
      </c>
      <c r="B2963" s="409" t="s">
        <v>1035</v>
      </c>
      <c r="C2963" s="408" t="s">
        <v>395</v>
      </c>
      <c r="D2963" s="408" t="s">
        <v>128</v>
      </c>
      <c r="E2963" s="604" t="s">
        <v>7768</v>
      </c>
      <c r="F2963" s="604"/>
      <c r="G2963" s="410" t="s">
        <v>6</v>
      </c>
      <c r="H2963" s="412">
        <v>7.0857000000000003E-2</v>
      </c>
      <c r="I2963" s="412">
        <v>0</v>
      </c>
      <c r="J2963" s="411">
        <v>34.5</v>
      </c>
      <c r="K2963" s="411">
        <v>2.4445665000000001</v>
      </c>
      <c r="L2963" s="170"/>
    </row>
    <row r="2964" spans="1:12" ht="15" customHeight="1" x14ac:dyDescent="0.3">
      <c r="A2964" s="408" t="s">
        <v>1034</v>
      </c>
      <c r="B2964" s="409" t="s">
        <v>1037</v>
      </c>
      <c r="C2964" s="408" t="s">
        <v>395</v>
      </c>
      <c r="D2964" s="408" t="s">
        <v>135</v>
      </c>
      <c r="E2964" s="604" t="s">
        <v>7768</v>
      </c>
      <c r="F2964" s="604"/>
      <c r="G2964" s="410" t="s">
        <v>6</v>
      </c>
      <c r="H2964" s="412">
        <v>7.0857000000000003E-2</v>
      </c>
      <c r="I2964" s="412">
        <v>0</v>
      </c>
      <c r="J2964" s="411">
        <v>41.81</v>
      </c>
      <c r="K2964" s="411">
        <v>2.9625311999999999</v>
      </c>
      <c r="L2964" s="168"/>
    </row>
    <row r="2965" spans="1:12" ht="15" customHeight="1" x14ac:dyDescent="0.3">
      <c r="A2965" s="400" t="s">
        <v>1038</v>
      </c>
      <c r="B2965" s="401" t="s">
        <v>4505</v>
      </c>
      <c r="C2965" s="400" t="s">
        <v>395</v>
      </c>
      <c r="D2965" s="400" t="s">
        <v>4506</v>
      </c>
      <c r="E2965" s="605" t="s">
        <v>1039</v>
      </c>
      <c r="F2965" s="605"/>
      <c r="G2965" s="402" t="s">
        <v>4</v>
      </c>
      <c r="H2965" s="403">
        <v>2</v>
      </c>
      <c r="I2965" s="403">
        <v>0</v>
      </c>
      <c r="J2965" s="404">
        <v>1.03</v>
      </c>
      <c r="K2965" s="404">
        <v>2.06</v>
      </c>
      <c r="L2965" s="168"/>
    </row>
    <row r="2966" spans="1:12" ht="30" customHeight="1" x14ac:dyDescent="0.3">
      <c r="A2966" s="400" t="s">
        <v>1038</v>
      </c>
      <c r="B2966" s="401" t="s">
        <v>4099</v>
      </c>
      <c r="C2966" s="400" t="s">
        <v>395</v>
      </c>
      <c r="D2966" s="400" t="s">
        <v>4100</v>
      </c>
      <c r="E2966" s="605" t="s">
        <v>1039</v>
      </c>
      <c r="F2966" s="605"/>
      <c r="G2966" s="402" t="s">
        <v>4</v>
      </c>
      <c r="H2966" s="403">
        <v>1</v>
      </c>
      <c r="I2966" s="403">
        <v>0</v>
      </c>
      <c r="J2966" s="404">
        <v>44.26</v>
      </c>
      <c r="K2966" s="404">
        <v>44.26</v>
      </c>
      <c r="L2966" s="168"/>
    </row>
    <row r="2967" spans="1:12" ht="12.75" customHeight="1" x14ac:dyDescent="0.3">
      <c r="A2967" s="405"/>
      <c r="B2967" s="405"/>
      <c r="C2967" s="405"/>
      <c r="D2967" s="405"/>
      <c r="E2967" s="405" t="s">
        <v>1046</v>
      </c>
      <c r="F2967" s="406">
        <v>3.94</v>
      </c>
      <c r="G2967" s="405" t="s">
        <v>1047</v>
      </c>
      <c r="H2967" s="406">
        <v>0</v>
      </c>
      <c r="I2967" s="405" t="s">
        <v>1048</v>
      </c>
      <c r="J2967" s="406">
        <v>3.94</v>
      </c>
      <c r="K2967"/>
      <c r="L2967" s="166"/>
    </row>
    <row r="2968" spans="1:12" ht="15.6" thickBot="1" x14ac:dyDescent="0.35">
      <c r="A2968" s="405"/>
      <c r="B2968" s="405"/>
      <c r="C2968" s="405"/>
      <c r="D2968" s="405"/>
      <c r="E2968" s="405" t="s">
        <v>1049</v>
      </c>
      <c r="F2968" s="406">
        <v>0</v>
      </c>
      <c r="G2968" s="405"/>
      <c r="H2968" s="606"/>
      <c r="I2968" s="606" t="s">
        <v>1050</v>
      </c>
      <c r="J2968" s="406">
        <v>51.73</v>
      </c>
      <c r="K2968"/>
      <c r="L2968" s="166"/>
    </row>
    <row r="2969" spans="1:12" ht="15" customHeight="1" thickTop="1" x14ac:dyDescent="0.3">
      <c r="A2969" s="407"/>
      <c r="B2969" s="407"/>
      <c r="C2969" s="407"/>
      <c r="D2969" s="407"/>
      <c r="E2969" s="407"/>
      <c r="F2969" s="407"/>
      <c r="G2969" s="407"/>
      <c r="H2969" s="407"/>
      <c r="I2969" s="407"/>
      <c r="J2969" s="407"/>
      <c r="K2969" s="407"/>
      <c r="L2969" s="168"/>
    </row>
    <row r="2970" spans="1:12" ht="17.399999999999999" customHeight="1" x14ac:dyDescent="0.3">
      <c r="A2970" s="382" t="s">
        <v>1989</v>
      </c>
      <c r="B2970" s="312" t="s">
        <v>413</v>
      </c>
      <c r="C2970" s="382" t="s">
        <v>414</v>
      </c>
      <c r="D2970" s="382" t="s">
        <v>415</v>
      </c>
      <c r="E2970" s="586" t="s">
        <v>1029</v>
      </c>
      <c r="F2970" s="586"/>
      <c r="G2970" s="383" t="s">
        <v>416</v>
      </c>
      <c r="H2970" s="312" t="s">
        <v>1030</v>
      </c>
      <c r="I2970" s="312" t="s">
        <v>3016</v>
      </c>
      <c r="J2970" s="312" t="s">
        <v>1031</v>
      </c>
      <c r="K2970" s="312" t="s">
        <v>1032</v>
      </c>
      <c r="L2970" s="168"/>
    </row>
    <row r="2971" spans="1:12" ht="25.5" customHeight="1" x14ac:dyDescent="0.3">
      <c r="A2971" s="313" t="s">
        <v>1033</v>
      </c>
      <c r="B2971" s="315" t="s">
        <v>3860</v>
      </c>
      <c r="C2971" s="313" t="s">
        <v>395</v>
      </c>
      <c r="D2971" s="313" t="s">
        <v>5974</v>
      </c>
      <c r="E2971" s="603" t="s">
        <v>7791</v>
      </c>
      <c r="F2971" s="603"/>
      <c r="G2971" s="314" t="s">
        <v>4</v>
      </c>
      <c r="H2971" s="399">
        <v>1</v>
      </c>
      <c r="I2971" s="316"/>
      <c r="J2971" s="316">
        <v>54.09</v>
      </c>
      <c r="K2971" s="316">
        <v>54.09</v>
      </c>
      <c r="L2971" s="168"/>
    </row>
    <row r="2972" spans="1:12" ht="26.4" x14ac:dyDescent="0.3">
      <c r="A2972" s="408" t="s">
        <v>1034</v>
      </c>
      <c r="B2972" s="409" t="s">
        <v>1035</v>
      </c>
      <c r="C2972" s="408" t="s">
        <v>395</v>
      </c>
      <c r="D2972" s="408" t="s">
        <v>128</v>
      </c>
      <c r="E2972" s="604" t="s">
        <v>7768</v>
      </c>
      <c r="F2972" s="604"/>
      <c r="G2972" s="410" t="s">
        <v>6</v>
      </c>
      <c r="H2972" s="412">
        <v>9.3685000000000004E-2</v>
      </c>
      <c r="I2972" s="412">
        <v>0</v>
      </c>
      <c r="J2972" s="411">
        <v>34.5</v>
      </c>
      <c r="K2972" s="411">
        <v>3.2321325000000001</v>
      </c>
      <c r="L2972" s="168"/>
    </row>
    <row r="2973" spans="1:12" ht="15" customHeight="1" x14ac:dyDescent="0.3">
      <c r="A2973" s="408" t="s">
        <v>1034</v>
      </c>
      <c r="B2973" s="409" t="s">
        <v>1037</v>
      </c>
      <c r="C2973" s="408" t="s">
        <v>395</v>
      </c>
      <c r="D2973" s="408" t="s">
        <v>135</v>
      </c>
      <c r="E2973" s="604" t="s">
        <v>7768</v>
      </c>
      <c r="F2973" s="604"/>
      <c r="G2973" s="410" t="s">
        <v>6</v>
      </c>
      <c r="H2973" s="412">
        <v>9.3685000000000004E-2</v>
      </c>
      <c r="I2973" s="412">
        <v>0</v>
      </c>
      <c r="J2973" s="411">
        <v>41.81</v>
      </c>
      <c r="K2973" s="411">
        <v>3.9169698999999998</v>
      </c>
      <c r="L2973" s="166"/>
    </row>
    <row r="2974" spans="1:12" ht="26.4" x14ac:dyDescent="0.3">
      <c r="A2974" s="400" t="s">
        <v>1038</v>
      </c>
      <c r="B2974" s="401" t="s">
        <v>4429</v>
      </c>
      <c r="C2974" s="400" t="s">
        <v>395</v>
      </c>
      <c r="D2974" s="400" t="s">
        <v>4430</v>
      </c>
      <c r="E2974" s="605" t="s">
        <v>1039</v>
      </c>
      <c r="F2974" s="605"/>
      <c r="G2974" s="402" t="s">
        <v>4</v>
      </c>
      <c r="H2974" s="403">
        <v>2</v>
      </c>
      <c r="I2974" s="403">
        <v>0</v>
      </c>
      <c r="J2974" s="404">
        <v>1.34</v>
      </c>
      <c r="K2974" s="404">
        <v>2.68</v>
      </c>
      <c r="L2974" s="168"/>
    </row>
    <row r="2975" spans="1:12" ht="15" x14ac:dyDescent="0.3">
      <c r="A2975" s="400" t="s">
        <v>1038</v>
      </c>
      <c r="B2975" s="401" t="s">
        <v>4099</v>
      </c>
      <c r="C2975" s="400" t="s">
        <v>395</v>
      </c>
      <c r="D2975" s="400" t="s">
        <v>4100</v>
      </c>
      <c r="E2975" s="605" t="s">
        <v>1039</v>
      </c>
      <c r="F2975" s="605"/>
      <c r="G2975" s="402" t="s">
        <v>4</v>
      </c>
      <c r="H2975" s="403">
        <v>1</v>
      </c>
      <c r="I2975" s="403">
        <v>0</v>
      </c>
      <c r="J2975" s="404">
        <v>44.26</v>
      </c>
      <c r="K2975" s="404">
        <v>44.26</v>
      </c>
      <c r="L2975" s="168"/>
    </row>
    <row r="2976" spans="1:12" ht="15" customHeight="1" x14ac:dyDescent="0.3">
      <c r="A2976" s="405"/>
      <c r="B2976" s="405"/>
      <c r="C2976" s="405"/>
      <c r="D2976" s="405"/>
      <c r="E2976" s="405" t="s">
        <v>1046</v>
      </c>
      <c r="F2976" s="406">
        <v>5.22</v>
      </c>
      <c r="G2976" s="405" t="s">
        <v>1047</v>
      </c>
      <c r="H2976" s="406">
        <v>0</v>
      </c>
      <c r="I2976" s="405" t="s">
        <v>1048</v>
      </c>
      <c r="J2976" s="406">
        <v>5.22</v>
      </c>
      <c r="K2976"/>
      <c r="L2976" s="168"/>
    </row>
    <row r="2977" spans="1:12" ht="14.25" customHeight="1" thickBot="1" x14ac:dyDescent="0.35">
      <c r="A2977" s="405"/>
      <c r="B2977" s="405"/>
      <c r="C2977" s="405"/>
      <c r="D2977" s="405"/>
      <c r="E2977" s="405" t="s">
        <v>1049</v>
      </c>
      <c r="F2977" s="406">
        <v>0</v>
      </c>
      <c r="G2977" s="405"/>
      <c r="H2977" s="606"/>
      <c r="I2977" s="606" t="s">
        <v>1050</v>
      </c>
      <c r="J2977" s="406">
        <v>54.09</v>
      </c>
      <c r="K2977"/>
      <c r="L2977" s="166"/>
    </row>
    <row r="2978" spans="1:12" ht="25.5" customHeight="1" thickTop="1" x14ac:dyDescent="0.3">
      <c r="A2978" s="407"/>
      <c r="B2978" s="407"/>
      <c r="C2978" s="407"/>
      <c r="D2978" s="407"/>
      <c r="E2978" s="407"/>
      <c r="F2978" s="407"/>
      <c r="G2978" s="407"/>
      <c r="H2978" s="407"/>
      <c r="I2978" s="407"/>
      <c r="J2978" s="407"/>
      <c r="K2978" s="407"/>
      <c r="L2978" s="166"/>
    </row>
    <row r="2979" spans="1:12" ht="25.5" customHeight="1" x14ac:dyDescent="0.3">
      <c r="A2979" s="382" t="s">
        <v>1990</v>
      </c>
      <c r="B2979" s="312" t="s">
        <v>413</v>
      </c>
      <c r="C2979" s="382" t="s">
        <v>414</v>
      </c>
      <c r="D2979" s="382" t="s">
        <v>415</v>
      </c>
      <c r="E2979" s="586" t="s">
        <v>1029</v>
      </c>
      <c r="F2979" s="586"/>
      <c r="G2979" s="383" t="s">
        <v>416</v>
      </c>
      <c r="H2979" s="312" t="s">
        <v>1030</v>
      </c>
      <c r="I2979" s="312" t="s">
        <v>3016</v>
      </c>
      <c r="J2979" s="312" t="s">
        <v>1031</v>
      </c>
      <c r="K2979" s="312" t="s">
        <v>1032</v>
      </c>
      <c r="L2979" s="168"/>
    </row>
    <row r="2980" spans="1:12" ht="26.4" x14ac:dyDescent="0.3">
      <c r="A2980" s="313" t="s">
        <v>1033</v>
      </c>
      <c r="B2980" s="315" t="s">
        <v>2943</v>
      </c>
      <c r="C2980" s="313" t="s">
        <v>420</v>
      </c>
      <c r="D2980" s="313" t="s">
        <v>2691</v>
      </c>
      <c r="E2980" s="603" t="s">
        <v>3119</v>
      </c>
      <c r="F2980" s="603"/>
      <c r="G2980" s="314" t="s">
        <v>422</v>
      </c>
      <c r="H2980" s="399">
        <v>1</v>
      </c>
      <c r="I2980" s="316"/>
      <c r="J2980" s="316">
        <v>231.6</v>
      </c>
      <c r="K2980" s="316">
        <v>231.6</v>
      </c>
      <c r="L2980" s="168"/>
    </row>
    <row r="2981" spans="1:12" ht="25.5" customHeight="1" x14ac:dyDescent="0.3">
      <c r="A2981" s="408" t="s">
        <v>1034</v>
      </c>
      <c r="B2981" s="409" t="s">
        <v>1067</v>
      </c>
      <c r="C2981" s="408" t="s">
        <v>420</v>
      </c>
      <c r="D2981" s="408" t="s">
        <v>1068</v>
      </c>
      <c r="E2981" s="604" t="s">
        <v>1069</v>
      </c>
      <c r="F2981" s="604"/>
      <c r="G2981" s="410" t="s">
        <v>1070</v>
      </c>
      <c r="H2981" s="412">
        <v>0.6</v>
      </c>
      <c r="I2981" s="412">
        <v>0</v>
      </c>
      <c r="J2981" s="411">
        <v>3.82</v>
      </c>
      <c r="K2981" s="411">
        <v>2.2919999999999998</v>
      </c>
      <c r="L2981" s="168"/>
    </row>
    <row r="2982" spans="1:12" ht="25.5" customHeight="1" x14ac:dyDescent="0.3">
      <c r="A2982" s="408" t="s">
        <v>1034</v>
      </c>
      <c r="B2982" s="409" t="s">
        <v>1071</v>
      </c>
      <c r="C2982" s="408" t="s">
        <v>420</v>
      </c>
      <c r="D2982" s="408" t="s">
        <v>1072</v>
      </c>
      <c r="E2982" s="604" t="s">
        <v>1069</v>
      </c>
      <c r="F2982" s="604"/>
      <c r="G2982" s="410" t="s">
        <v>1070</v>
      </c>
      <c r="H2982" s="412">
        <v>0.6</v>
      </c>
      <c r="I2982" s="412">
        <v>0</v>
      </c>
      <c r="J2982" s="411">
        <v>3.95</v>
      </c>
      <c r="K2982" s="411">
        <v>2.37</v>
      </c>
      <c r="L2982" s="166"/>
    </row>
    <row r="2983" spans="1:12" ht="25.5" customHeight="1" x14ac:dyDescent="0.3">
      <c r="A2983" s="400" t="s">
        <v>1038</v>
      </c>
      <c r="B2983" s="401" t="s">
        <v>3145</v>
      </c>
      <c r="C2983" s="400" t="s">
        <v>420</v>
      </c>
      <c r="D2983" s="400" t="s">
        <v>3146</v>
      </c>
      <c r="E2983" s="605" t="s">
        <v>1039</v>
      </c>
      <c r="F2983" s="605"/>
      <c r="G2983" s="402" t="s">
        <v>422</v>
      </c>
      <c r="H2983" s="403">
        <v>1</v>
      </c>
      <c r="I2983" s="403">
        <v>0</v>
      </c>
      <c r="J2983" s="404">
        <v>195.44</v>
      </c>
      <c r="K2983" s="404">
        <v>195.44</v>
      </c>
      <c r="L2983" s="166"/>
    </row>
    <row r="2984" spans="1:12" ht="15" x14ac:dyDescent="0.3">
      <c r="A2984" s="400" t="s">
        <v>1038</v>
      </c>
      <c r="B2984" s="401" t="s">
        <v>1074</v>
      </c>
      <c r="C2984" s="400" t="s">
        <v>395</v>
      </c>
      <c r="D2984" s="400" t="s">
        <v>404</v>
      </c>
      <c r="E2984" s="605" t="s">
        <v>1053</v>
      </c>
      <c r="F2984" s="605"/>
      <c r="G2984" s="402" t="s">
        <v>6</v>
      </c>
      <c r="H2984" s="403">
        <v>0.6</v>
      </c>
      <c r="I2984" s="403">
        <v>0</v>
      </c>
      <c r="J2984" s="404">
        <v>30.36</v>
      </c>
      <c r="K2984" s="404">
        <v>18.216000000000001</v>
      </c>
      <c r="L2984" s="166"/>
    </row>
    <row r="2985" spans="1:12" ht="15" x14ac:dyDescent="0.3">
      <c r="A2985" s="400" t="s">
        <v>1038</v>
      </c>
      <c r="B2985" s="401" t="s">
        <v>1075</v>
      </c>
      <c r="C2985" s="400" t="s">
        <v>395</v>
      </c>
      <c r="D2985" s="400" t="s">
        <v>8694</v>
      </c>
      <c r="E2985" s="605" t="s">
        <v>1053</v>
      </c>
      <c r="F2985" s="605"/>
      <c r="G2985" s="402" t="s">
        <v>6</v>
      </c>
      <c r="H2985" s="403">
        <v>0.6</v>
      </c>
      <c r="I2985" s="403">
        <v>0</v>
      </c>
      <c r="J2985" s="404">
        <v>22.14</v>
      </c>
      <c r="K2985" s="404">
        <v>13.284000000000001</v>
      </c>
      <c r="L2985" s="166"/>
    </row>
    <row r="2986" spans="1:12" ht="15" customHeight="1" x14ac:dyDescent="0.3">
      <c r="A2986" s="405"/>
      <c r="B2986" s="405"/>
      <c r="C2986" s="405"/>
      <c r="D2986" s="405"/>
      <c r="E2986" s="405" t="s">
        <v>1046</v>
      </c>
      <c r="F2986" s="406">
        <v>31.5</v>
      </c>
      <c r="G2986" s="405" t="s">
        <v>1047</v>
      </c>
      <c r="H2986" s="406">
        <v>0</v>
      </c>
      <c r="I2986" s="405" t="s">
        <v>1048</v>
      </c>
      <c r="J2986" s="406">
        <v>31.5</v>
      </c>
      <c r="K2986"/>
      <c r="L2986" s="166"/>
    </row>
    <row r="2987" spans="1:12" ht="14.25" customHeight="1" thickBot="1" x14ac:dyDescent="0.35">
      <c r="A2987" s="405"/>
      <c r="B2987" s="405"/>
      <c r="C2987" s="405"/>
      <c r="D2987" s="405"/>
      <c r="E2987" s="405" t="s">
        <v>1049</v>
      </c>
      <c r="F2987" s="406">
        <v>0</v>
      </c>
      <c r="G2987" s="405"/>
      <c r="H2987" s="606"/>
      <c r="I2987" s="606" t="s">
        <v>1050</v>
      </c>
      <c r="J2987" s="406">
        <v>231.6</v>
      </c>
      <c r="K2987"/>
      <c r="L2987" s="166"/>
    </row>
    <row r="2988" spans="1:12" ht="15.6" thickTop="1" x14ac:dyDescent="0.3">
      <c r="A2988" s="407"/>
      <c r="B2988" s="407"/>
      <c r="C2988" s="407"/>
      <c r="D2988" s="407"/>
      <c r="E2988" s="407"/>
      <c r="F2988" s="407"/>
      <c r="G2988" s="407"/>
      <c r="H2988" s="407"/>
      <c r="I2988" s="407"/>
      <c r="J2988" s="407"/>
      <c r="K2988" s="407"/>
      <c r="L2988" s="166"/>
    </row>
    <row r="2989" spans="1:12" ht="30" customHeight="1" x14ac:dyDescent="0.3">
      <c r="A2989" s="382" t="s">
        <v>1991</v>
      </c>
      <c r="B2989" s="312" t="s">
        <v>413</v>
      </c>
      <c r="C2989" s="382" t="s">
        <v>414</v>
      </c>
      <c r="D2989" s="382" t="s">
        <v>415</v>
      </c>
      <c r="E2989" s="586" t="s">
        <v>1029</v>
      </c>
      <c r="F2989" s="586"/>
      <c r="G2989" s="383" t="s">
        <v>416</v>
      </c>
      <c r="H2989" s="312" t="s">
        <v>1030</v>
      </c>
      <c r="I2989" s="312" t="s">
        <v>3016</v>
      </c>
      <c r="J2989" s="312" t="s">
        <v>1031</v>
      </c>
      <c r="K2989" s="312" t="s">
        <v>1032</v>
      </c>
      <c r="L2989" s="168"/>
    </row>
    <row r="2990" spans="1:12" ht="26.4" x14ac:dyDescent="0.3">
      <c r="A2990" s="313" t="s">
        <v>1033</v>
      </c>
      <c r="B2990" s="315" t="s">
        <v>2947</v>
      </c>
      <c r="C2990" s="313" t="s">
        <v>5902</v>
      </c>
      <c r="D2990" s="313" t="s">
        <v>2703</v>
      </c>
      <c r="E2990" s="603">
        <v>37.17</v>
      </c>
      <c r="F2990" s="603"/>
      <c r="G2990" s="314" t="s">
        <v>4</v>
      </c>
      <c r="H2990" s="399">
        <v>1</v>
      </c>
      <c r="I2990" s="316"/>
      <c r="J2990" s="316">
        <v>293.45999999999998</v>
      </c>
      <c r="K2990" s="316">
        <v>293.45999999999998</v>
      </c>
      <c r="L2990" s="170"/>
    </row>
    <row r="2991" spans="1:12" ht="26.4" x14ac:dyDescent="0.3">
      <c r="A2991" s="400" t="s">
        <v>1038</v>
      </c>
      <c r="B2991" s="401" t="s">
        <v>1051</v>
      </c>
      <c r="C2991" s="400" t="s">
        <v>5902</v>
      </c>
      <c r="D2991" s="400" t="s">
        <v>1052</v>
      </c>
      <c r="E2991" s="605" t="s">
        <v>1053</v>
      </c>
      <c r="F2991" s="605"/>
      <c r="G2991" s="402" t="s">
        <v>6</v>
      </c>
      <c r="H2991" s="403">
        <v>0.25</v>
      </c>
      <c r="I2991" s="403">
        <v>0</v>
      </c>
      <c r="J2991" s="404">
        <v>33.119999999999997</v>
      </c>
      <c r="K2991" s="404">
        <v>8.2799999999999994</v>
      </c>
      <c r="L2991" s="168"/>
    </row>
    <row r="2992" spans="1:12" ht="26.4" x14ac:dyDescent="0.3">
      <c r="A2992" s="400" t="s">
        <v>1038</v>
      </c>
      <c r="B2992" s="401" t="s">
        <v>1054</v>
      </c>
      <c r="C2992" s="400" t="s">
        <v>5902</v>
      </c>
      <c r="D2992" s="400" t="s">
        <v>1055</v>
      </c>
      <c r="E2992" s="605" t="s">
        <v>1053</v>
      </c>
      <c r="F2992" s="605"/>
      <c r="G2992" s="402" t="s">
        <v>6</v>
      </c>
      <c r="H2992" s="403">
        <v>0.25</v>
      </c>
      <c r="I2992" s="403">
        <v>0</v>
      </c>
      <c r="J2992" s="404">
        <v>22.71</v>
      </c>
      <c r="K2992" s="404">
        <v>5.6775000000000002</v>
      </c>
      <c r="L2992" s="168"/>
    </row>
    <row r="2993" spans="1:12" ht="26.4" x14ac:dyDescent="0.3">
      <c r="A2993" s="400" t="s">
        <v>1038</v>
      </c>
      <c r="B2993" s="401" t="s">
        <v>3153</v>
      </c>
      <c r="C2993" s="400" t="s">
        <v>5902</v>
      </c>
      <c r="D2993" s="400" t="s">
        <v>3154</v>
      </c>
      <c r="E2993" s="605" t="s">
        <v>1039</v>
      </c>
      <c r="F2993" s="605"/>
      <c r="G2993" s="402" t="s">
        <v>4</v>
      </c>
      <c r="H2993" s="403">
        <v>1</v>
      </c>
      <c r="I2993" s="403">
        <v>0</v>
      </c>
      <c r="J2993" s="404">
        <v>279.5</v>
      </c>
      <c r="K2993" s="404">
        <v>279.5</v>
      </c>
      <c r="L2993" s="168"/>
    </row>
    <row r="2994" spans="1:12" ht="15" x14ac:dyDescent="0.3">
      <c r="A2994" s="405"/>
      <c r="B2994" s="405"/>
      <c r="C2994" s="405"/>
      <c r="D2994" s="405"/>
      <c r="E2994" s="405" t="s">
        <v>1046</v>
      </c>
      <c r="F2994" s="406">
        <v>13.96</v>
      </c>
      <c r="G2994" s="405" t="s">
        <v>1047</v>
      </c>
      <c r="H2994" s="406">
        <v>0</v>
      </c>
      <c r="I2994" s="405" t="s">
        <v>1048</v>
      </c>
      <c r="J2994" s="406">
        <v>13.96</v>
      </c>
      <c r="K2994"/>
      <c r="L2994" s="166"/>
    </row>
    <row r="2995" spans="1:12" ht="14.25" customHeight="1" thickBot="1" x14ac:dyDescent="0.35">
      <c r="A2995" s="405"/>
      <c r="B2995" s="405"/>
      <c r="C2995" s="405"/>
      <c r="D2995" s="405"/>
      <c r="E2995" s="405" t="s">
        <v>1049</v>
      </c>
      <c r="F2995" s="406">
        <v>0</v>
      </c>
      <c r="G2995" s="405"/>
      <c r="H2995" s="606"/>
      <c r="I2995" s="606" t="s">
        <v>1050</v>
      </c>
      <c r="J2995" s="406">
        <v>293.45999999999998</v>
      </c>
      <c r="K2995"/>
      <c r="L2995" s="166"/>
    </row>
    <row r="2996" spans="1:12" ht="17.399999999999999" customHeight="1" thickTop="1" x14ac:dyDescent="0.3">
      <c r="A2996" s="407"/>
      <c r="B2996" s="407"/>
      <c r="C2996" s="407"/>
      <c r="D2996" s="407"/>
      <c r="E2996" s="407"/>
      <c r="F2996" s="407"/>
      <c r="G2996" s="407"/>
      <c r="H2996" s="407"/>
      <c r="I2996" s="407"/>
      <c r="J2996" s="407"/>
      <c r="K2996" s="407"/>
      <c r="L2996" s="168"/>
    </row>
    <row r="2997" spans="1:12" ht="15" customHeight="1" x14ac:dyDescent="0.3">
      <c r="A2997" s="382" t="s">
        <v>2005</v>
      </c>
      <c r="B2997" s="312" t="s">
        <v>413</v>
      </c>
      <c r="C2997" s="382" t="s">
        <v>414</v>
      </c>
      <c r="D2997" s="382" t="s">
        <v>415</v>
      </c>
      <c r="E2997" s="586" t="s">
        <v>1029</v>
      </c>
      <c r="F2997" s="586"/>
      <c r="G2997" s="383" t="s">
        <v>416</v>
      </c>
      <c r="H2997" s="312" t="s">
        <v>1030</v>
      </c>
      <c r="I2997" s="312" t="s">
        <v>3016</v>
      </c>
      <c r="J2997" s="312" t="s">
        <v>1031</v>
      </c>
      <c r="K2997" s="312" t="s">
        <v>1032</v>
      </c>
      <c r="L2997" s="168"/>
    </row>
    <row r="2998" spans="1:12" ht="26.4" x14ac:dyDescent="0.3">
      <c r="A2998" s="313" t="s">
        <v>1033</v>
      </c>
      <c r="B2998" s="315" t="s">
        <v>3861</v>
      </c>
      <c r="C2998" s="313" t="s">
        <v>395</v>
      </c>
      <c r="D2998" s="313" t="s">
        <v>5975</v>
      </c>
      <c r="E2998" s="603" t="s">
        <v>7791</v>
      </c>
      <c r="F2998" s="603"/>
      <c r="G2998" s="314" t="s">
        <v>4</v>
      </c>
      <c r="H2998" s="399">
        <v>1</v>
      </c>
      <c r="I2998" s="316"/>
      <c r="J2998" s="316">
        <v>65.42</v>
      </c>
      <c r="K2998" s="316">
        <v>65.42</v>
      </c>
      <c r="L2998" s="168"/>
    </row>
    <row r="2999" spans="1:12" ht="38.25" customHeight="1" x14ac:dyDescent="0.3">
      <c r="A2999" s="408" t="s">
        <v>1034</v>
      </c>
      <c r="B2999" s="409" t="s">
        <v>1035</v>
      </c>
      <c r="C2999" s="408" t="s">
        <v>395</v>
      </c>
      <c r="D2999" s="408" t="s">
        <v>128</v>
      </c>
      <c r="E2999" s="604" t="s">
        <v>7768</v>
      </c>
      <c r="F2999" s="604"/>
      <c r="G2999" s="410" t="s">
        <v>6</v>
      </c>
      <c r="H2999" s="412">
        <v>0.106285</v>
      </c>
      <c r="I2999" s="412">
        <v>0</v>
      </c>
      <c r="J2999" s="411">
        <v>34.5</v>
      </c>
      <c r="K2999" s="411">
        <v>3.6668324999999999</v>
      </c>
      <c r="L2999" s="168"/>
    </row>
    <row r="3000" spans="1:12" ht="26.4" x14ac:dyDescent="0.3">
      <c r="A3000" s="408" t="s">
        <v>1034</v>
      </c>
      <c r="B3000" s="409" t="s">
        <v>1037</v>
      </c>
      <c r="C3000" s="408" t="s">
        <v>395</v>
      </c>
      <c r="D3000" s="408" t="s">
        <v>135</v>
      </c>
      <c r="E3000" s="604" t="s">
        <v>7768</v>
      </c>
      <c r="F3000" s="604"/>
      <c r="G3000" s="410" t="s">
        <v>6</v>
      </c>
      <c r="H3000" s="412">
        <v>0.106285</v>
      </c>
      <c r="I3000" s="412">
        <v>0</v>
      </c>
      <c r="J3000" s="411">
        <v>41.81</v>
      </c>
      <c r="K3000" s="411">
        <v>4.4437759000000003</v>
      </c>
      <c r="L3000" s="166"/>
    </row>
    <row r="3001" spans="1:12" ht="25.5" customHeight="1" x14ac:dyDescent="0.3">
      <c r="A3001" s="400" t="s">
        <v>1038</v>
      </c>
      <c r="B3001" s="401" t="s">
        <v>4505</v>
      </c>
      <c r="C3001" s="400" t="s">
        <v>395</v>
      </c>
      <c r="D3001" s="400" t="s">
        <v>4506</v>
      </c>
      <c r="E3001" s="605" t="s">
        <v>1039</v>
      </c>
      <c r="F3001" s="605"/>
      <c r="G3001" s="402" t="s">
        <v>4</v>
      </c>
      <c r="H3001" s="403">
        <v>3</v>
      </c>
      <c r="I3001" s="403">
        <v>0</v>
      </c>
      <c r="J3001" s="404">
        <v>1.03</v>
      </c>
      <c r="K3001" s="404">
        <v>3.09</v>
      </c>
      <c r="L3001" s="168"/>
    </row>
    <row r="3002" spans="1:12" ht="15" customHeight="1" x14ac:dyDescent="0.3">
      <c r="A3002" s="400" t="s">
        <v>1038</v>
      </c>
      <c r="B3002" s="401" t="s">
        <v>4069</v>
      </c>
      <c r="C3002" s="400" t="s">
        <v>395</v>
      </c>
      <c r="D3002" s="400" t="s">
        <v>4070</v>
      </c>
      <c r="E3002" s="605" t="s">
        <v>1039</v>
      </c>
      <c r="F3002" s="605"/>
      <c r="G3002" s="402" t="s">
        <v>4</v>
      </c>
      <c r="H3002" s="403">
        <v>1</v>
      </c>
      <c r="I3002" s="403">
        <v>0</v>
      </c>
      <c r="J3002" s="404">
        <v>54.22</v>
      </c>
      <c r="K3002" s="404">
        <v>54.22</v>
      </c>
      <c r="L3002" s="168"/>
    </row>
    <row r="3003" spans="1:12" ht="15" x14ac:dyDescent="0.3">
      <c r="A3003" s="405"/>
      <c r="B3003" s="405"/>
      <c r="C3003" s="405"/>
      <c r="D3003" s="405"/>
      <c r="E3003" s="405" t="s">
        <v>1046</v>
      </c>
      <c r="F3003" s="406">
        <v>5.92</v>
      </c>
      <c r="G3003" s="405" t="s">
        <v>1047</v>
      </c>
      <c r="H3003" s="406">
        <v>0</v>
      </c>
      <c r="I3003" s="405" t="s">
        <v>1048</v>
      </c>
      <c r="J3003" s="406">
        <v>5.92</v>
      </c>
      <c r="K3003"/>
      <c r="L3003" s="168"/>
    </row>
    <row r="3004" spans="1:12" ht="17.399999999999999" customHeight="1" thickBot="1" x14ac:dyDescent="0.35">
      <c r="A3004" s="405"/>
      <c r="B3004" s="405"/>
      <c r="C3004" s="405"/>
      <c r="D3004" s="405"/>
      <c r="E3004" s="405" t="s">
        <v>1049</v>
      </c>
      <c r="F3004" s="406">
        <v>0</v>
      </c>
      <c r="G3004" s="405"/>
      <c r="H3004" s="606"/>
      <c r="I3004" s="606" t="s">
        <v>1050</v>
      </c>
      <c r="J3004" s="406">
        <v>65.42</v>
      </c>
      <c r="K3004"/>
      <c r="L3004" s="166"/>
    </row>
    <row r="3005" spans="1:12" ht="14.25" customHeight="1" thickTop="1" x14ac:dyDescent="0.3">
      <c r="A3005" s="407"/>
      <c r="B3005" s="407"/>
      <c r="C3005" s="407"/>
      <c r="D3005" s="407"/>
      <c r="E3005" s="407"/>
      <c r="F3005" s="407"/>
      <c r="G3005" s="407"/>
      <c r="H3005" s="407"/>
      <c r="I3005" s="407"/>
      <c r="J3005" s="407"/>
      <c r="K3005" s="407"/>
      <c r="L3005" s="166"/>
    </row>
    <row r="3006" spans="1:12" ht="15" x14ac:dyDescent="0.3">
      <c r="A3006" s="382" t="s">
        <v>2007</v>
      </c>
      <c r="B3006" s="312" t="s">
        <v>413</v>
      </c>
      <c r="C3006" s="382" t="s">
        <v>414</v>
      </c>
      <c r="D3006" s="382" t="s">
        <v>415</v>
      </c>
      <c r="E3006" s="586" t="s">
        <v>1029</v>
      </c>
      <c r="F3006" s="586"/>
      <c r="G3006" s="383" t="s">
        <v>416</v>
      </c>
      <c r="H3006" s="312" t="s">
        <v>1030</v>
      </c>
      <c r="I3006" s="312" t="s">
        <v>3016</v>
      </c>
      <c r="J3006" s="312" t="s">
        <v>1031</v>
      </c>
      <c r="K3006" s="312" t="s">
        <v>1032</v>
      </c>
      <c r="L3006" s="168"/>
    </row>
    <row r="3007" spans="1:12" ht="14.25" customHeight="1" x14ac:dyDescent="0.3">
      <c r="A3007" s="313" t="s">
        <v>1033</v>
      </c>
      <c r="B3007" s="315" t="s">
        <v>3862</v>
      </c>
      <c r="C3007" s="313" t="s">
        <v>395</v>
      </c>
      <c r="D3007" s="313" t="s">
        <v>5976</v>
      </c>
      <c r="E3007" s="603" t="s">
        <v>7791</v>
      </c>
      <c r="F3007" s="603"/>
      <c r="G3007" s="314" t="s">
        <v>4</v>
      </c>
      <c r="H3007" s="399">
        <v>1</v>
      </c>
      <c r="I3007" s="316"/>
      <c r="J3007" s="316">
        <v>68.959999999999994</v>
      </c>
      <c r="K3007" s="316">
        <v>68.959999999999994</v>
      </c>
      <c r="L3007" s="168"/>
    </row>
    <row r="3008" spans="1:12" ht="30" customHeight="1" x14ac:dyDescent="0.3">
      <c r="A3008" s="408" t="s">
        <v>1034</v>
      </c>
      <c r="B3008" s="409" t="s">
        <v>1035</v>
      </c>
      <c r="C3008" s="408" t="s">
        <v>395</v>
      </c>
      <c r="D3008" s="408" t="s">
        <v>128</v>
      </c>
      <c r="E3008" s="604" t="s">
        <v>7768</v>
      </c>
      <c r="F3008" s="604"/>
      <c r="G3008" s="410" t="s">
        <v>6</v>
      </c>
      <c r="H3008" s="412">
        <v>0.14052799999999999</v>
      </c>
      <c r="I3008" s="412">
        <v>0</v>
      </c>
      <c r="J3008" s="411">
        <v>34.5</v>
      </c>
      <c r="K3008" s="411">
        <v>4.8482159999999999</v>
      </c>
      <c r="L3008" s="168"/>
    </row>
    <row r="3009" spans="1:12" ht="30" customHeight="1" x14ac:dyDescent="0.3">
      <c r="A3009" s="408" t="s">
        <v>1034</v>
      </c>
      <c r="B3009" s="409" t="s">
        <v>1037</v>
      </c>
      <c r="C3009" s="408" t="s">
        <v>395</v>
      </c>
      <c r="D3009" s="408" t="s">
        <v>135</v>
      </c>
      <c r="E3009" s="604" t="s">
        <v>7768</v>
      </c>
      <c r="F3009" s="604"/>
      <c r="G3009" s="410" t="s">
        <v>6</v>
      </c>
      <c r="H3009" s="412">
        <v>0.14052799999999999</v>
      </c>
      <c r="I3009" s="412">
        <v>0</v>
      </c>
      <c r="J3009" s="411">
        <v>41.81</v>
      </c>
      <c r="K3009" s="411">
        <v>5.8754757</v>
      </c>
      <c r="L3009" s="166"/>
    </row>
    <row r="3010" spans="1:12" ht="15" customHeight="1" x14ac:dyDescent="0.3">
      <c r="A3010" s="400" t="s">
        <v>1038</v>
      </c>
      <c r="B3010" s="401" t="s">
        <v>4429</v>
      </c>
      <c r="C3010" s="400" t="s">
        <v>395</v>
      </c>
      <c r="D3010" s="400" t="s">
        <v>4430</v>
      </c>
      <c r="E3010" s="605" t="s">
        <v>1039</v>
      </c>
      <c r="F3010" s="605"/>
      <c r="G3010" s="402" t="s">
        <v>4</v>
      </c>
      <c r="H3010" s="403">
        <v>3</v>
      </c>
      <c r="I3010" s="403">
        <v>0</v>
      </c>
      <c r="J3010" s="404">
        <v>1.34</v>
      </c>
      <c r="K3010" s="404">
        <v>4.0199999999999996</v>
      </c>
      <c r="L3010" s="166"/>
    </row>
    <row r="3011" spans="1:12" ht="15" customHeight="1" x14ac:dyDescent="0.3">
      <c r="A3011" s="400" t="s">
        <v>1038</v>
      </c>
      <c r="B3011" s="401" t="s">
        <v>4069</v>
      </c>
      <c r="C3011" s="400" t="s">
        <v>395</v>
      </c>
      <c r="D3011" s="400" t="s">
        <v>4070</v>
      </c>
      <c r="E3011" s="605" t="s">
        <v>1039</v>
      </c>
      <c r="F3011" s="605"/>
      <c r="G3011" s="402" t="s">
        <v>4</v>
      </c>
      <c r="H3011" s="403">
        <v>1</v>
      </c>
      <c r="I3011" s="403">
        <v>0</v>
      </c>
      <c r="J3011" s="404">
        <v>54.22</v>
      </c>
      <c r="K3011" s="404">
        <v>54.22</v>
      </c>
      <c r="L3011" s="166"/>
    </row>
    <row r="3012" spans="1:12" ht="15" customHeight="1" x14ac:dyDescent="0.3">
      <c r="A3012" s="405"/>
      <c r="B3012" s="405"/>
      <c r="C3012" s="405"/>
      <c r="D3012" s="405"/>
      <c r="E3012" s="405" t="s">
        <v>1046</v>
      </c>
      <c r="F3012" s="406">
        <v>7.82</v>
      </c>
      <c r="G3012" s="405" t="s">
        <v>1047</v>
      </c>
      <c r="H3012" s="406">
        <v>0.01</v>
      </c>
      <c r="I3012" s="405" t="s">
        <v>1048</v>
      </c>
      <c r="J3012" s="406">
        <v>7.83</v>
      </c>
      <c r="K3012"/>
      <c r="L3012" s="166"/>
    </row>
    <row r="3013" spans="1:12" ht="15" customHeight="1" thickBot="1" x14ac:dyDescent="0.35">
      <c r="A3013" s="405"/>
      <c r="B3013" s="405"/>
      <c r="C3013" s="405"/>
      <c r="D3013" s="405"/>
      <c r="E3013" s="405" t="s">
        <v>1049</v>
      </c>
      <c r="F3013" s="406">
        <v>0</v>
      </c>
      <c r="G3013" s="405"/>
      <c r="H3013" s="606"/>
      <c r="I3013" s="606" t="s">
        <v>1050</v>
      </c>
      <c r="J3013" s="406">
        <v>68.959999999999994</v>
      </c>
      <c r="K3013"/>
      <c r="L3013" s="166"/>
    </row>
    <row r="3014" spans="1:12" ht="15" customHeight="1" thickTop="1" x14ac:dyDescent="0.3">
      <c r="A3014" s="407"/>
      <c r="B3014" s="407"/>
      <c r="C3014" s="407"/>
      <c r="D3014" s="407"/>
      <c r="E3014" s="407"/>
      <c r="F3014" s="407"/>
      <c r="G3014" s="407"/>
      <c r="H3014" s="407"/>
      <c r="I3014" s="407"/>
      <c r="J3014" s="407"/>
      <c r="K3014" s="407"/>
      <c r="L3014" s="166"/>
    </row>
    <row r="3015" spans="1:12" ht="15" customHeight="1" x14ac:dyDescent="0.3">
      <c r="A3015" s="382" t="s">
        <v>2009</v>
      </c>
      <c r="B3015" s="312" t="s">
        <v>413</v>
      </c>
      <c r="C3015" s="382" t="s">
        <v>414</v>
      </c>
      <c r="D3015" s="382" t="s">
        <v>415</v>
      </c>
      <c r="E3015" s="586" t="s">
        <v>1029</v>
      </c>
      <c r="F3015" s="586"/>
      <c r="G3015" s="383" t="s">
        <v>416</v>
      </c>
      <c r="H3015" s="312" t="s">
        <v>1030</v>
      </c>
      <c r="I3015" s="312" t="s">
        <v>3016</v>
      </c>
      <c r="J3015" s="312" t="s">
        <v>1031</v>
      </c>
      <c r="K3015" s="312" t="s">
        <v>1032</v>
      </c>
      <c r="L3015" s="166"/>
    </row>
    <row r="3016" spans="1:12" ht="15" customHeight="1" x14ac:dyDescent="0.3">
      <c r="A3016" s="313" t="s">
        <v>1033</v>
      </c>
      <c r="B3016" s="315" t="s">
        <v>3863</v>
      </c>
      <c r="C3016" s="313" t="s">
        <v>395</v>
      </c>
      <c r="D3016" s="313" t="s">
        <v>5977</v>
      </c>
      <c r="E3016" s="603" t="s">
        <v>7791</v>
      </c>
      <c r="F3016" s="603"/>
      <c r="G3016" s="314" t="s">
        <v>4</v>
      </c>
      <c r="H3016" s="399">
        <v>1</v>
      </c>
      <c r="I3016" s="316"/>
      <c r="J3016" s="316">
        <v>72.88</v>
      </c>
      <c r="K3016" s="316">
        <v>72.88</v>
      </c>
      <c r="L3016" s="168"/>
    </row>
    <row r="3017" spans="1:12" ht="15" customHeight="1" x14ac:dyDescent="0.3">
      <c r="A3017" s="408" t="s">
        <v>1034</v>
      </c>
      <c r="B3017" s="409" t="s">
        <v>1035</v>
      </c>
      <c r="C3017" s="408" t="s">
        <v>395</v>
      </c>
      <c r="D3017" s="408" t="s">
        <v>128</v>
      </c>
      <c r="E3017" s="604" t="s">
        <v>7768</v>
      </c>
      <c r="F3017" s="604"/>
      <c r="G3017" s="410" t="s">
        <v>6</v>
      </c>
      <c r="H3017" s="412">
        <v>0.19189200000000001</v>
      </c>
      <c r="I3017" s="412">
        <v>0</v>
      </c>
      <c r="J3017" s="411">
        <v>34.5</v>
      </c>
      <c r="K3017" s="411">
        <v>6.6202740000000002</v>
      </c>
      <c r="L3017" s="170"/>
    </row>
    <row r="3018" spans="1:12" ht="26.4" x14ac:dyDescent="0.3">
      <c r="A3018" s="408" t="s">
        <v>1034</v>
      </c>
      <c r="B3018" s="409" t="s">
        <v>1037</v>
      </c>
      <c r="C3018" s="408" t="s">
        <v>395</v>
      </c>
      <c r="D3018" s="408" t="s">
        <v>135</v>
      </c>
      <c r="E3018" s="604" t="s">
        <v>7768</v>
      </c>
      <c r="F3018" s="604"/>
      <c r="G3018" s="410" t="s">
        <v>6</v>
      </c>
      <c r="H3018" s="412">
        <v>0.19189200000000001</v>
      </c>
      <c r="I3018" s="412">
        <v>0</v>
      </c>
      <c r="J3018" s="411">
        <v>41.81</v>
      </c>
      <c r="K3018" s="411">
        <v>8.0230045000000008</v>
      </c>
      <c r="L3018" s="168"/>
    </row>
    <row r="3019" spans="1:12" ht="26.4" x14ac:dyDescent="0.3">
      <c r="A3019" s="400" t="s">
        <v>1038</v>
      </c>
      <c r="B3019" s="401" t="s">
        <v>4429</v>
      </c>
      <c r="C3019" s="400" t="s">
        <v>395</v>
      </c>
      <c r="D3019" s="400" t="s">
        <v>4430</v>
      </c>
      <c r="E3019" s="605" t="s">
        <v>1039</v>
      </c>
      <c r="F3019" s="605"/>
      <c r="G3019" s="402" t="s">
        <v>4</v>
      </c>
      <c r="H3019" s="403">
        <v>3</v>
      </c>
      <c r="I3019" s="403">
        <v>0</v>
      </c>
      <c r="J3019" s="404">
        <v>1.34</v>
      </c>
      <c r="K3019" s="404">
        <v>4.0199999999999996</v>
      </c>
      <c r="L3019" s="168"/>
    </row>
    <row r="3020" spans="1:12" ht="15" customHeight="1" x14ac:dyDescent="0.3">
      <c r="A3020" s="400" t="s">
        <v>1038</v>
      </c>
      <c r="B3020" s="401" t="s">
        <v>4069</v>
      </c>
      <c r="C3020" s="400" t="s">
        <v>395</v>
      </c>
      <c r="D3020" s="400" t="s">
        <v>4070</v>
      </c>
      <c r="E3020" s="605" t="s">
        <v>1039</v>
      </c>
      <c r="F3020" s="605"/>
      <c r="G3020" s="402" t="s">
        <v>4</v>
      </c>
      <c r="H3020" s="403">
        <v>1</v>
      </c>
      <c r="I3020" s="403">
        <v>0</v>
      </c>
      <c r="J3020" s="404">
        <v>54.22</v>
      </c>
      <c r="K3020" s="404">
        <v>54.22</v>
      </c>
      <c r="L3020" s="168"/>
    </row>
    <row r="3021" spans="1:12" ht="15" customHeight="1" x14ac:dyDescent="0.3">
      <c r="A3021" s="405"/>
      <c r="B3021" s="405"/>
      <c r="C3021" s="405"/>
      <c r="D3021" s="405"/>
      <c r="E3021" s="405" t="s">
        <v>1046</v>
      </c>
      <c r="F3021" s="406">
        <v>10.68</v>
      </c>
      <c r="G3021" s="405" t="s">
        <v>1047</v>
      </c>
      <c r="H3021" s="406">
        <v>0</v>
      </c>
      <c r="I3021" s="405" t="s">
        <v>1048</v>
      </c>
      <c r="J3021" s="406">
        <v>10.68</v>
      </c>
      <c r="K3021"/>
      <c r="L3021" s="166"/>
    </row>
    <row r="3022" spans="1:12" ht="15.6" thickBot="1" x14ac:dyDescent="0.35">
      <c r="A3022" s="405"/>
      <c r="B3022" s="405"/>
      <c r="C3022" s="405"/>
      <c r="D3022" s="405"/>
      <c r="E3022" s="405" t="s">
        <v>1049</v>
      </c>
      <c r="F3022" s="406">
        <v>0</v>
      </c>
      <c r="G3022" s="405"/>
      <c r="H3022" s="606"/>
      <c r="I3022" s="606" t="s">
        <v>1050</v>
      </c>
      <c r="J3022" s="406">
        <v>72.88</v>
      </c>
      <c r="K3022"/>
      <c r="L3022" s="166"/>
    </row>
    <row r="3023" spans="1:12" ht="15.6" thickTop="1" x14ac:dyDescent="0.3">
      <c r="A3023" s="407"/>
      <c r="B3023" s="407"/>
      <c r="C3023" s="407"/>
      <c r="D3023" s="407"/>
      <c r="E3023" s="407"/>
      <c r="F3023" s="407"/>
      <c r="G3023" s="407"/>
      <c r="H3023" s="407"/>
      <c r="I3023" s="407"/>
      <c r="J3023" s="407"/>
      <c r="K3023" s="407"/>
      <c r="L3023" s="168"/>
    </row>
    <row r="3024" spans="1:12" ht="15" customHeight="1" x14ac:dyDescent="0.3">
      <c r="A3024" s="382" t="s">
        <v>2013</v>
      </c>
      <c r="B3024" s="312" t="s">
        <v>413</v>
      </c>
      <c r="C3024" s="382" t="s">
        <v>414</v>
      </c>
      <c r="D3024" s="382" t="s">
        <v>415</v>
      </c>
      <c r="E3024" s="586" t="s">
        <v>1029</v>
      </c>
      <c r="F3024" s="586"/>
      <c r="G3024" s="383" t="s">
        <v>416</v>
      </c>
      <c r="H3024" s="312" t="s">
        <v>1030</v>
      </c>
      <c r="I3024" s="312" t="s">
        <v>3016</v>
      </c>
      <c r="J3024" s="312" t="s">
        <v>1031</v>
      </c>
      <c r="K3024" s="312" t="s">
        <v>1032</v>
      </c>
      <c r="L3024" s="168"/>
    </row>
    <row r="3025" spans="1:12" ht="15" customHeight="1" x14ac:dyDescent="0.3">
      <c r="A3025" s="313" t="s">
        <v>1033</v>
      </c>
      <c r="B3025" s="315" t="s">
        <v>2948</v>
      </c>
      <c r="C3025" s="313" t="s">
        <v>5902</v>
      </c>
      <c r="D3025" s="313" t="s">
        <v>2705</v>
      </c>
      <c r="E3025" s="603">
        <v>37.17</v>
      </c>
      <c r="F3025" s="603"/>
      <c r="G3025" s="314" t="s">
        <v>4</v>
      </c>
      <c r="H3025" s="399">
        <v>1</v>
      </c>
      <c r="I3025" s="316"/>
      <c r="J3025" s="316">
        <v>297.14999999999998</v>
      </c>
      <c r="K3025" s="316">
        <v>297.14999999999998</v>
      </c>
      <c r="L3025" s="168"/>
    </row>
    <row r="3026" spans="1:12" ht="26.4" x14ac:dyDescent="0.3">
      <c r="A3026" s="400" t="s">
        <v>1038</v>
      </c>
      <c r="B3026" s="401" t="s">
        <v>1051</v>
      </c>
      <c r="C3026" s="400" t="s">
        <v>5902</v>
      </c>
      <c r="D3026" s="400" t="s">
        <v>1052</v>
      </c>
      <c r="E3026" s="605" t="s">
        <v>1053</v>
      </c>
      <c r="F3026" s="605"/>
      <c r="G3026" s="402" t="s">
        <v>6</v>
      </c>
      <c r="H3026" s="403">
        <v>0.25</v>
      </c>
      <c r="I3026" s="403">
        <v>0</v>
      </c>
      <c r="J3026" s="404">
        <v>33.119999999999997</v>
      </c>
      <c r="K3026" s="404">
        <v>8.2799999999999994</v>
      </c>
      <c r="L3026" s="168"/>
    </row>
    <row r="3027" spans="1:12" ht="26.4" x14ac:dyDescent="0.3">
      <c r="A3027" s="400" t="s">
        <v>1038</v>
      </c>
      <c r="B3027" s="401" t="s">
        <v>1054</v>
      </c>
      <c r="C3027" s="400" t="s">
        <v>5902</v>
      </c>
      <c r="D3027" s="400" t="s">
        <v>1055</v>
      </c>
      <c r="E3027" s="605" t="s">
        <v>1053</v>
      </c>
      <c r="F3027" s="605"/>
      <c r="G3027" s="402" t="s">
        <v>6</v>
      </c>
      <c r="H3027" s="403">
        <v>0.25</v>
      </c>
      <c r="I3027" s="403">
        <v>0</v>
      </c>
      <c r="J3027" s="404">
        <v>22.71</v>
      </c>
      <c r="K3027" s="404">
        <v>5.6775000000000002</v>
      </c>
      <c r="L3027" s="166"/>
    </row>
    <row r="3028" spans="1:12" ht="17.399999999999999" customHeight="1" x14ac:dyDescent="0.3">
      <c r="A3028" s="400" t="s">
        <v>1038</v>
      </c>
      <c r="B3028" s="401" t="s">
        <v>3155</v>
      </c>
      <c r="C3028" s="400" t="s">
        <v>5902</v>
      </c>
      <c r="D3028" s="400" t="s">
        <v>3156</v>
      </c>
      <c r="E3028" s="605" t="s">
        <v>1039</v>
      </c>
      <c r="F3028" s="605"/>
      <c r="G3028" s="402" t="s">
        <v>4</v>
      </c>
      <c r="H3028" s="403">
        <v>1</v>
      </c>
      <c r="I3028" s="403">
        <v>0</v>
      </c>
      <c r="J3028" s="404">
        <v>283.19</v>
      </c>
      <c r="K3028" s="404">
        <v>283.19</v>
      </c>
      <c r="L3028" s="168"/>
    </row>
    <row r="3029" spans="1:12" ht="15" customHeight="1" x14ac:dyDescent="0.3">
      <c r="A3029" s="405"/>
      <c r="B3029" s="405"/>
      <c r="C3029" s="405"/>
      <c r="D3029" s="405"/>
      <c r="E3029" s="405" t="s">
        <v>1046</v>
      </c>
      <c r="F3029" s="406">
        <v>13.96</v>
      </c>
      <c r="G3029" s="405" t="s">
        <v>1047</v>
      </c>
      <c r="H3029" s="406">
        <v>0</v>
      </c>
      <c r="I3029" s="405" t="s">
        <v>1048</v>
      </c>
      <c r="J3029" s="406">
        <v>13.96</v>
      </c>
      <c r="K3029"/>
      <c r="L3029" s="168"/>
    </row>
    <row r="3030" spans="1:12" ht="15" customHeight="1" thickBot="1" x14ac:dyDescent="0.35">
      <c r="A3030" s="405"/>
      <c r="B3030" s="405"/>
      <c r="C3030" s="405"/>
      <c r="D3030" s="405"/>
      <c r="E3030" s="405" t="s">
        <v>1049</v>
      </c>
      <c r="F3030" s="406">
        <v>0</v>
      </c>
      <c r="G3030" s="405"/>
      <c r="H3030" s="606"/>
      <c r="I3030" s="606" t="s">
        <v>1050</v>
      </c>
      <c r="J3030" s="406">
        <v>297.14999999999998</v>
      </c>
      <c r="K3030"/>
      <c r="L3030" s="168"/>
    </row>
    <row r="3031" spans="1:12" ht="15" customHeight="1" thickTop="1" x14ac:dyDescent="0.3">
      <c r="A3031" s="407"/>
      <c r="B3031" s="407"/>
      <c r="C3031" s="407"/>
      <c r="D3031" s="407"/>
      <c r="E3031" s="407"/>
      <c r="F3031" s="407"/>
      <c r="G3031" s="407"/>
      <c r="H3031" s="407"/>
      <c r="I3031" s="407"/>
      <c r="J3031" s="407"/>
      <c r="K3031" s="407"/>
      <c r="L3031" s="166"/>
    </row>
    <row r="3032" spans="1:12" ht="15" x14ac:dyDescent="0.3">
      <c r="A3032" s="382" t="s">
        <v>2015</v>
      </c>
      <c r="B3032" s="312" t="s">
        <v>413</v>
      </c>
      <c r="C3032" s="382" t="s">
        <v>414</v>
      </c>
      <c r="D3032" s="382" t="s">
        <v>415</v>
      </c>
      <c r="E3032" s="586" t="s">
        <v>1029</v>
      </c>
      <c r="F3032" s="586"/>
      <c r="G3032" s="383" t="s">
        <v>416</v>
      </c>
      <c r="H3032" s="312" t="s">
        <v>1030</v>
      </c>
      <c r="I3032" s="312" t="s">
        <v>3016</v>
      </c>
      <c r="J3032" s="312" t="s">
        <v>1031</v>
      </c>
      <c r="K3032" s="312" t="s">
        <v>1032</v>
      </c>
      <c r="L3032" s="166"/>
    </row>
    <row r="3033" spans="1:12" ht="26.4" x14ac:dyDescent="0.3">
      <c r="A3033" s="313" t="s">
        <v>1033</v>
      </c>
      <c r="B3033" s="315" t="s">
        <v>2939</v>
      </c>
      <c r="C3033" s="313" t="s">
        <v>420</v>
      </c>
      <c r="D3033" s="313" t="s">
        <v>2679</v>
      </c>
      <c r="E3033" s="603" t="s">
        <v>1521</v>
      </c>
      <c r="F3033" s="603"/>
      <c r="G3033" s="314" t="s">
        <v>422</v>
      </c>
      <c r="H3033" s="399">
        <v>1</v>
      </c>
      <c r="I3033" s="316"/>
      <c r="J3033" s="316">
        <v>1830.17</v>
      </c>
      <c r="K3033" s="316">
        <v>1830.17</v>
      </c>
      <c r="L3033" s="168"/>
    </row>
    <row r="3034" spans="1:12" ht="14.25" customHeight="1" x14ac:dyDescent="0.3">
      <c r="A3034" s="408" t="s">
        <v>1034</v>
      </c>
      <c r="B3034" s="409" t="s">
        <v>1071</v>
      </c>
      <c r="C3034" s="408" t="s">
        <v>420</v>
      </c>
      <c r="D3034" s="408" t="s">
        <v>1072</v>
      </c>
      <c r="E3034" s="604" t="s">
        <v>1069</v>
      </c>
      <c r="F3034" s="604"/>
      <c r="G3034" s="410" t="s">
        <v>1070</v>
      </c>
      <c r="H3034" s="412">
        <v>4.2</v>
      </c>
      <c r="I3034" s="412">
        <v>0</v>
      </c>
      <c r="J3034" s="411">
        <v>3.95</v>
      </c>
      <c r="K3034" s="411">
        <v>16.59</v>
      </c>
      <c r="L3034" s="168"/>
    </row>
    <row r="3035" spans="1:12" ht="14.25" customHeight="1" x14ac:dyDescent="0.3">
      <c r="A3035" s="408" t="s">
        <v>1034</v>
      </c>
      <c r="B3035" s="409" t="s">
        <v>1478</v>
      </c>
      <c r="C3035" s="408" t="s">
        <v>420</v>
      </c>
      <c r="D3035" s="408" t="s">
        <v>1479</v>
      </c>
      <c r="E3035" s="604" t="s">
        <v>1069</v>
      </c>
      <c r="F3035" s="604"/>
      <c r="G3035" s="410" t="s">
        <v>1070</v>
      </c>
      <c r="H3035" s="412">
        <v>2.8</v>
      </c>
      <c r="I3035" s="412">
        <v>0</v>
      </c>
      <c r="J3035" s="411">
        <v>3.86</v>
      </c>
      <c r="K3035" s="411">
        <v>10.808</v>
      </c>
      <c r="L3035" s="168"/>
    </row>
    <row r="3036" spans="1:12" ht="25.5" customHeight="1" x14ac:dyDescent="0.3">
      <c r="A3036" s="408" t="s">
        <v>1034</v>
      </c>
      <c r="B3036" s="409" t="s">
        <v>1067</v>
      </c>
      <c r="C3036" s="408" t="s">
        <v>420</v>
      </c>
      <c r="D3036" s="408" t="s">
        <v>1068</v>
      </c>
      <c r="E3036" s="604" t="s">
        <v>1069</v>
      </c>
      <c r="F3036" s="604"/>
      <c r="G3036" s="410" t="s">
        <v>1070</v>
      </c>
      <c r="H3036" s="412">
        <v>11.2</v>
      </c>
      <c r="I3036" s="412">
        <v>0</v>
      </c>
      <c r="J3036" s="411">
        <v>3.82</v>
      </c>
      <c r="K3036" s="411">
        <v>42.783999999999999</v>
      </c>
      <c r="L3036" s="166"/>
    </row>
    <row r="3037" spans="1:12" ht="52.8" x14ac:dyDescent="0.3">
      <c r="A3037" s="408" t="s">
        <v>1034</v>
      </c>
      <c r="B3037" s="409" t="s">
        <v>3125</v>
      </c>
      <c r="C3037" s="408" t="s">
        <v>395</v>
      </c>
      <c r="D3037" s="408" t="s">
        <v>219</v>
      </c>
      <c r="E3037" s="604" t="s">
        <v>7840</v>
      </c>
      <c r="F3037" s="604"/>
      <c r="G3037" s="410" t="s">
        <v>713</v>
      </c>
      <c r="H3037" s="412">
        <v>1.9E-2</v>
      </c>
      <c r="I3037" s="412">
        <v>0</v>
      </c>
      <c r="J3037" s="411">
        <v>613.9</v>
      </c>
      <c r="K3037" s="411">
        <v>11.664099999999999</v>
      </c>
      <c r="L3037" s="166"/>
    </row>
    <row r="3038" spans="1:12" ht="15" customHeight="1" x14ac:dyDescent="0.3">
      <c r="A3038" s="400" t="s">
        <v>1038</v>
      </c>
      <c r="B3038" s="401" t="s">
        <v>3126</v>
      </c>
      <c r="C3038" s="400" t="s">
        <v>420</v>
      </c>
      <c r="D3038" s="400" t="s">
        <v>3127</v>
      </c>
      <c r="E3038" s="605" t="s">
        <v>1039</v>
      </c>
      <c r="F3038" s="605"/>
      <c r="G3038" s="402" t="s">
        <v>422</v>
      </c>
      <c r="H3038" s="403">
        <v>1</v>
      </c>
      <c r="I3038" s="403">
        <v>0</v>
      </c>
      <c r="J3038" s="404">
        <v>1396.55</v>
      </c>
      <c r="K3038" s="404">
        <v>1396.55</v>
      </c>
      <c r="L3038" s="166"/>
    </row>
    <row r="3039" spans="1:12" ht="12.75" customHeight="1" x14ac:dyDescent="0.3">
      <c r="A3039" s="400" t="s">
        <v>1038</v>
      </c>
      <c r="B3039" s="401" t="s">
        <v>6199</v>
      </c>
      <c r="C3039" s="400" t="s">
        <v>420</v>
      </c>
      <c r="D3039" s="400" t="s">
        <v>6200</v>
      </c>
      <c r="E3039" s="605" t="s">
        <v>1053</v>
      </c>
      <c r="F3039" s="605"/>
      <c r="G3039" s="402" t="s">
        <v>1070</v>
      </c>
      <c r="H3039" s="403">
        <v>11.2</v>
      </c>
      <c r="I3039" s="403">
        <v>0</v>
      </c>
      <c r="J3039" s="404">
        <v>20.45</v>
      </c>
      <c r="K3039" s="404">
        <v>229.04</v>
      </c>
      <c r="L3039" s="166"/>
    </row>
    <row r="3040" spans="1:12" ht="15" customHeight="1" x14ac:dyDescent="0.3">
      <c r="A3040" s="400" t="s">
        <v>1038</v>
      </c>
      <c r="B3040" s="401" t="s">
        <v>6295</v>
      </c>
      <c r="C3040" s="400" t="s">
        <v>420</v>
      </c>
      <c r="D3040" s="400" t="s">
        <v>6296</v>
      </c>
      <c r="E3040" s="605" t="s">
        <v>1053</v>
      </c>
      <c r="F3040" s="605"/>
      <c r="G3040" s="402" t="s">
        <v>1070</v>
      </c>
      <c r="H3040" s="403">
        <v>2.8</v>
      </c>
      <c r="I3040" s="403">
        <v>0</v>
      </c>
      <c r="J3040" s="404">
        <v>20.45</v>
      </c>
      <c r="K3040" s="404">
        <v>57.26</v>
      </c>
      <c r="L3040" s="166"/>
    </row>
    <row r="3041" spans="1:12" ht="15" x14ac:dyDescent="0.3">
      <c r="A3041" s="400" t="s">
        <v>1038</v>
      </c>
      <c r="B3041" s="401" t="s">
        <v>6251</v>
      </c>
      <c r="C3041" s="400" t="s">
        <v>420</v>
      </c>
      <c r="D3041" s="400" t="s">
        <v>6252</v>
      </c>
      <c r="E3041" s="605" t="s">
        <v>1053</v>
      </c>
      <c r="F3041" s="605"/>
      <c r="G3041" s="402" t="s">
        <v>1070</v>
      </c>
      <c r="H3041" s="403">
        <v>4.2</v>
      </c>
      <c r="I3041" s="403">
        <v>0</v>
      </c>
      <c r="J3041" s="404">
        <v>15.59</v>
      </c>
      <c r="K3041" s="404">
        <v>65.477999999999994</v>
      </c>
      <c r="L3041" s="166"/>
    </row>
    <row r="3042" spans="1:12" ht="15" x14ac:dyDescent="0.3">
      <c r="A3042" s="405"/>
      <c r="B3042" s="405"/>
      <c r="C3042" s="405"/>
      <c r="D3042" s="405"/>
      <c r="E3042" s="405" t="s">
        <v>1046</v>
      </c>
      <c r="F3042" s="406">
        <v>353.62</v>
      </c>
      <c r="G3042" s="405" t="s">
        <v>1047</v>
      </c>
      <c r="H3042" s="406">
        <v>0</v>
      </c>
      <c r="I3042" s="405" t="s">
        <v>1048</v>
      </c>
      <c r="J3042" s="406">
        <v>353.62</v>
      </c>
      <c r="K3042"/>
      <c r="L3042" s="166"/>
    </row>
    <row r="3043" spans="1:12" ht="15.6" thickBot="1" x14ac:dyDescent="0.35">
      <c r="A3043" s="405"/>
      <c r="B3043" s="405"/>
      <c r="C3043" s="405"/>
      <c r="D3043" s="405"/>
      <c r="E3043" s="405" t="s">
        <v>1049</v>
      </c>
      <c r="F3043" s="406">
        <v>0</v>
      </c>
      <c r="G3043" s="405"/>
      <c r="H3043" s="606"/>
      <c r="I3043" s="606" t="s">
        <v>1050</v>
      </c>
      <c r="J3043" s="406">
        <v>1830.17</v>
      </c>
      <c r="K3043"/>
      <c r="L3043" s="168"/>
    </row>
    <row r="3044" spans="1:12" ht="15" customHeight="1" thickTop="1" x14ac:dyDescent="0.3">
      <c r="A3044" s="407"/>
      <c r="B3044" s="407"/>
      <c r="C3044" s="407"/>
      <c r="D3044" s="407"/>
      <c r="E3044" s="407"/>
      <c r="F3044" s="407"/>
      <c r="G3044" s="407"/>
      <c r="H3044" s="407"/>
      <c r="I3044" s="407"/>
      <c r="J3044" s="407"/>
      <c r="K3044" s="407"/>
      <c r="L3044" s="170"/>
    </row>
    <row r="3045" spans="1:12" ht="25.5" customHeight="1" x14ac:dyDescent="0.3">
      <c r="A3045" s="382" t="s">
        <v>2016</v>
      </c>
      <c r="B3045" s="312" t="s">
        <v>413</v>
      </c>
      <c r="C3045" s="382" t="s">
        <v>414</v>
      </c>
      <c r="D3045" s="382" t="s">
        <v>415</v>
      </c>
      <c r="E3045" s="586" t="s">
        <v>1029</v>
      </c>
      <c r="F3045" s="586"/>
      <c r="G3045" s="383" t="s">
        <v>416</v>
      </c>
      <c r="H3045" s="312" t="s">
        <v>1030</v>
      </c>
      <c r="I3045" s="312" t="s">
        <v>3016</v>
      </c>
      <c r="J3045" s="312" t="s">
        <v>1031</v>
      </c>
      <c r="K3045" s="312" t="s">
        <v>1032</v>
      </c>
      <c r="L3045" s="168"/>
    </row>
    <row r="3046" spans="1:12" ht="25.5" customHeight="1" x14ac:dyDescent="0.3">
      <c r="A3046" s="313" t="s">
        <v>1033</v>
      </c>
      <c r="B3046" s="315" t="s">
        <v>2101</v>
      </c>
      <c r="C3046" s="313" t="s">
        <v>420</v>
      </c>
      <c r="D3046" s="313" t="s">
        <v>5978</v>
      </c>
      <c r="E3046" s="603" t="s">
        <v>3119</v>
      </c>
      <c r="F3046" s="603"/>
      <c r="G3046" s="314" t="s">
        <v>422</v>
      </c>
      <c r="H3046" s="399">
        <v>1</v>
      </c>
      <c r="I3046" s="316"/>
      <c r="J3046" s="316">
        <v>324.39999999999998</v>
      </c>
      <c r="K3046" s="316">
        <v>324.39999999999998</v>
      </c>
      <c r="L3046" s="168"/>
    </row>
    <row r="3047" spans="1:12" ht="14.25" customHeight="1" x14ac:dyDescent="0.3">
      <c r="A3047" s="408" t="s">
        <v>1034</v>
      </c>
      <c r="B3047" s="409" t="s">
        <v>1071</v>
      </c>
      <c r="C3047" s="408" t="s">
        <v>420</v>
      </c>
      <c r="D3047" s="408" t="s">
        <v>1072</v>
      </c>
      <c r="E3047" s="604" t="s">
        <v>1069</v>
      </c>
      <c r="F3047" s="604"/>
      <c r="G3047" s="410" t="s">
        <v>1070</v>
      </c>
      <c r="H3047" s="412">
        <v>3.1</v>
      </c>
      <c r="I3047" s="412">
        <v>0</v>
      </c>
      <c r="J3047" s="411">
        <v>3.95</v>
      </c>
      <c r="K3047" s="411">
        <v>12.244999999999999</v>
      </c>
      <c r="L3047" s="168"/>
    </row>
    <row r="3048" spans="1:12" ht="26.4" x14ac:dyDescent="0.3">
      <c r="A3048" s="408" t="s">
        <v>1034</v>
      </c>
      <c r="B3048" s="409" t="s">
        <v>1067</v>
      </c>
      <c r="C3048" s="408" t="s">
        <v>420</v>
      </c>
      <c r="D3048" s="408" t="s">
        <v>1068</v>
      </c>
      <c r="E3048" s="604" t="s">
        <v>1069</v>
      </c>
      <c r="F3048" s="604"/>
      <c r="G3048" s="410" t="s">
        <v>1070</v>
      </c>
      <c r="H3048" s="412">
        <v>3.1</v>
      </c>
      <c r="I3048" s="412">
        <v>0</v>
      </c>
      <c r="J3048" s="411">
        <v>3.82</v>
      </c>
      <c r="K3048" s="411">
        <v>11.842000000000001</v>
      </c>
      <c r="L3048" s="166"/>
    </row>
    <row r="3049" spans="1:12" ht="15" x14ac:dyDescent="0.3">
      <c r="A3049" s="400" t="s">
        <v>1038</v>
      </c>
      <c r="B3049" s="401" t="s">
        <v>2911</v>
      </c>
      <c r="C3049" s="400" t="s">
        <v>420</v>
      </c>
      <c r="D3049" s="400" t="s">
        <v>3144</v>
      </c>
      <c r="E3049" s="605" t="s">
        <v>1039</v>
      </c>
      <c r="F3049" s="605"/>
      <c r="G3049" s="402" t="s">
        <v>422</v>
      </c>
      <c r="H3049" s="403">
        <v>1</v>
      </c>
      <c r="I3049" s="403">
        <v>0</v>
      </c>
      <c r="J3049" s="404">
        <v>188.59</v>
      </c>
      <c r="K3049" s="404">
        <v>188.59</v>
      </c>
      <c r="L3049" s="166"/>
    </row>
    <row r="3050" spans="1:12" ht="15" customHeight="1" x14ac:dyDescent="0.3">
      <c r="A3050" s="400" t="s">
        <v>1038</v>
      </c>
      <c r="B3050" s="401" t="s">
        <v>6199</v>
      </c>
      <c r="C3050" s="400" t="s">
        <v>420</v>
      </c>
      <c r="D3050" s="400" t="s">
        <v>6200</v>
      </c>
      <c r="E3050" s="605" t="s">
        <v>1053</v>
      </c>
      <c r="F3050" s="605"/>
      <c r="G3050" s="402" t="s">
        <v>1070</v>
      </c>
      <c r="H3050" s="403">
        <v>3.1</v>
      </c>
      <c r="I3050" s="403">
        <v>0</v>
      </c>
      <c r="J3050" s="404">
        <v>20.45</v>
      </c>
      <c r="K3050" s="404">
        <v>63.395000000000003</v>
      </c>
      <c r="L3050" s="168"/>
    </row>
    <row r="3051" spans="1:12" ht="15" x14ac:dyDescent="0.3">
      <c r="A3051" s="400" t="s">
        <v>1038</v>
      </c>
      <c r="B3051" s="401" t="s">
        <v>6251</v>
      </c>
      <c r="C3051" s="400" t="s">
        <v>420</v>
      </c>
      <c r="D3051" s="400" t="s">
        <v>6252</v>
      </c>
      <c r="E3051" s="605" t="s">
        <v>1053</v>
      </c>
      <c r="F3051" s="605"/>
      <c r="G3051" s="402" t="s">
        <v>1070</v>
      </c>
      <c r="H3051" s="403">
        <v>3.1</v>
      </c>
      <c r="I3051" s="403">
        <v>0</v>
      </c>
      <c r="J3051" s="404">
        <v>15.59</v>
      </c>
      <c r="K3051" s="404">
        <v>48.329000000000001</v>
      </c>
      <c r="L3051" s="168"/>
    </row>
    <row r="3052" spans="1:12" ht="15" customHeight="1" x14ac:dyDescent="0.3">
      <c r="A3052" s="405"/>
      <c r="B3052" s="405"/>
      <c r="C3052" s="405"/>
      <c r="D3052" s="405"/>
      <c r="E3052" s="405" t="s">
        <v>1046</v>
      </c>
      <c r="F3052" s="406">
        <v>111.73</v>
      </c>
      <c r="G3052" s="405" t="s">
        <v>1047</v>
      </c>
      <c r="H3052" s="406">
        <v>0</v>
      </c>
      <c r="I3052" s="405" t="s">
        <v>1048</v>
      </c>
      <c r="J3052" s="406">
        <v>111.73</v>
      </c>
      <c r="K3052"/>
      <c r="L3052" s="168"/>
    </row>
    <row r="3053" spans="1:12" ht="15.6" thickBot="1" x14ac:dyDescent="0.35">
      <c r="A3053" s="405"/>
      <c r="B3053" s="405"/>
      <c r="C3053" s="405"/>
      <c r="D3053" s="405"/>
      <c r="E3053" s="405" t="s">
        <v>1049</v>
      </c>
      <c r="F3053" s="406">
        <v>0</v>
      </c>
      <c r="G3053" s="405"/>
      <c r="H3053" s="606"/>
      <c r="I3053" s="606" t="s">
        <v>1050</v>
      </c>
      <c r="J3053" s="406">
        <v>324.39999999999998</v>
      </c>
      <c r="K3053"/>
      <c r="L3053" s="168"/>
    </row>
    <row r="3054" spans="1:12" ht="15.6" thickTop="1" x14ac:dyDescent="0.3">
      <c r="A3054" s="407"/>
      <c r="B3054" s="407"/>
      <c r="C3054" s="407"/>
      <c r="D3054" s="407"/>
      <c r="E3054" s="407"/>
      <c r="F3054" s="407"/>
      <c r="G3054" s="407"/>
      <c r="H3054" s="407"/>
      <c r="I3054" s="407"/>
      <c r="J3054" s="407"/>
      <c r="K3054" s="407"/>
      <c r="L3054" s="166"/>
    </row>
    <row r="3055" spans="1:12" ht="25.5" customHeight="1" x14ac:dyDescent="0.3">
      <c r="A3055" s="382" t="s">
        <v>2039</v>
      </c>
      <c r="B3055" s="312" t="s">
        <v>413</v>
      </c>
      <c r="C3055" s="382" t="s">
        <v>414</v>
      </c>
      <c r="D3055" s="382" t="s">
        <v>415</v>
      </c>
      <c r="E3055" s="586" t="s">
        <v>1029</v>
      </c>
      <c r="F3055" s="586"/>
      <c r="G3055" s="383" t="s">
        <v>416</v>
      </c>
      <c r="H3055" s="312" t="s">
        <v>1030</v>
      </c>
      <c r="I3055" s="312" t="s">
        <v>3016</v>
      </c>
      <c r="J3055" s="312" t="s">
        <v>1031</v>
      </c>
      <c r="K3055" s="312" t="s">
        <v>1032</v>
      </c>
      <c r="L3055" s="168"/>
    </row>
    <row r="3056" spans="1:12" ht="14.25" customHeight="1" x14ac:dyDescent="0.3">
      <c r="A3056" s="313" t="s">
        <v>1033</v>
      </c>
      <c r="B3056" s="315" t="s">
        <v>3864</v>
      </c>
      <c r="C3056" s="313" t="s">
        <v>395</v>
      </c>
      <c r="D3056" s="313" t="s">
        <v>5979</v>
      </c>
      <c r="E3056" s="603" t="s">
        <v>7791</v>
      </c>
      <c r="F3056" s="603"/>
      <c r="G3056" s="314" t="s">
        <v>4</v>
      </c>
      <c r="H3056" s="399">
        <v>1</v>
      </c>
      <c r="I3056" s="316"/>
      <c r="J3056" s="316">
        <v>12.63</v>
      </c>
      <c r="K3056" s="316">
        <v>12.63</v>
      </c>
      <c r="L3056" s="168"/>
    </row>
    <row r="3057" spans="1:12" ht="14.25" customHeight="1" x14ac:dyDescent="0.3">
      <c r="A3057" s="408" t="s">
        <v>1034</v>
      </c>
      <c r="B3057" s="409" t="s">
        <v>1035</v>
      </c>
      <c r="C3057" s="408" t="s">
        <v>395</v>
      </c>
      <c r="D3057" s="408" t="s">
        <v>128</v>
      </c>
      <c r="E3057" s="604" t="s">
        <v>7768</v>
      </c>
      <c r="F3057" s="604"/>
      <c r="G3057" s="410" t="s">
        <v>6</v>
      </c>
      <c r="H3057" s="412">
        <v>4.6843000000000003E-2</v>
      </c>
      <c r="I3057" s="412">
        <v>0</v>
      </c>
      <c r="J3057" s="411">
        <v>34.5</v>
      </c>
      <c r="K3057" s="411">
        <v>1.6160835</v>
      </c>
      <c r="L3057" s="168"/>
    </row>
    <row r="3058" spans="1:12" ht="26.4" x14ac:dyDescent="0.3">
      <c r="A3058" s="408" t="s">
        <v>1034</v>
      </c>
      <c r="B3058" s="409" t="s">
        <v>1037</v>
      </c>
      <c r="C3058" s="408" t="s">
        <v>395</v>
      </c>
      <c r="D3058" s="408" t="s">
        <v>135</v>
      </c>
      <c r="E3058" s="604" t="s">
        <v>7768</v>
      </c>
      <c r="F3058" s="604"/>
      <c r="G3058" s="410" t="s">
        <v>6</v>
      </c>
      <c r="H3058" s="412">
        <v>4.6843000000000003E-2</v>
      </c>
      <c r="I3058" s="412">
        <v>0</v>
      </c>
      <c r="J3058" s="411">
        <v>41.81</v>
      </c>
      <c r="K3058" s="411">
        <v>1.9585058</v>
      </c>
      <c r="L3058" s="166"/>
    </row>
    <row r="3059" spans="1:12" ht="15" customHeight="1" x14ac:dyDescent="0.3">
      <c r="A3059" s="400" t="s">
        <v>1038</v>
      </c>
      <c r="B3059" s="401" t="s">
        <v>4429</v>
      </c>
      <c r="C3059" s="400" t="s">
        <v>395</v>
      </c>
      <c r="D3059" s="400" t="s">
        <v>4430</v>
      </c>
      <c r="E3059" s="605" t="s">
        <v>1039</v>
      </c>
      <c r="F3059" s="605"/>
      <c r="G3059" s="402" t="s">
        <v>4</v>
      </c>
      <c r="H3059" s="403">
        <v>1</v>
      </c>
      <c r="I3059" s="403">
        <v>0</v>
      </c>
      <c r="J3059" s="404">
        <v>1.34</v>
      </c>
      <c r="K3059" s="404">
        <v>1.34</v>
      </c>
      <c r="L3059" s="166"/>
    </row>
    <row r="3060" spans="1:12" ht="17.399999999999999" customHeight="1" x14ac:dyDescent="0.3">
      <c r="A3060" s="400" t="s">
        <v>1038</v>
      </c>
      <c r="B3060" s="401" t="s">
        <v>4266</v>
      </c>
      <c r="C3060" s="400" t="s">
        <v>395</v>
      </c>
      <c r="D3060" s="400" t="s">
        <v>4267</v>
      </c>
      <c r="E3060" s="605" t="s">
        <v>1039</v>
      </c>
      <c r="F3060" s="605"/>
      <c r="G3060" s="402" t="s">
        <v>4</v>
      </c>
      <c r="H3060" s="403">
        <v>1</v>
      </c>
      <c r="I3060" s="403">
        <v>0</v>
      </c>
      <c r="J3060" s="404">
        <v>7.72</v>
      </c>
      <c r="K3060" s="404">
        <v>7.72</v>
      </c>
      <c r="L3060" s="168"/>
    </row>
    <row r="3061" spans="1:12" ht="15" customHeight="1" x14ac:dyDescent="0.3">
      <c r="A3061" s="405"/>
      <c r="B3061" s="405"/>
      <c r="C3061" s="405"/>
      <c r="D3061" s="405"/>
      <c r="E3061" s="405" t="s">
        <v>1046</v>
      </c>
      <c r="F3061" s="406">
        <v>2.61</v>
      </c>
      <c r="G3061" s="405" t="s">
        <v>1047</v>
      </c>
      <c r="H3061" s="406">
        <v>0</v>
      </c>
      <c r="I3061" s="405" t="s">
        <v>1048</v>
      </c>
      <c r="J3061" s="406">
        <v>2.61</v>
      </c>
      <c r="K3061"/>
      <c r="L3061" s="168"/>
    </row>
    <row r="3062" spans="1:12" ht="15.6" thickBot="1" x14ac:dyDescent="0.35">
      <c r="A3062" s="405"/>
      <c r="B3062" s="405"/>
      <c r="C3062" s="405"/>
      <c r="D3062" s="405"/>
      <c r="E3062" s="405" t="s">
        <v>1049</v>
      </c>
      <c r="F3062" s="406">
        <v>0</v>
      </c>
      <c r="G3062" s="405"/>
      <c r="H3062" s="606"/>
      <c r="I3062" s="606" t="s">
        <v>1050</v>
      </c>
      <c r="J3062" s="406">
        <v>12.63</v>
      </c>
      <c r="K3062"/>
      <c r="L3062" s="168"/>
    </row>
    <row r="3063" spans="1:12" ht="30" customHeight="1" thickTop="1" x14ac:dyDescent="0.3">
      <c r="A3063" s="407"/>
      <c r="B3063" s="407"/>
      <c r="C3063" s="407"/>
      <c r="D3063" s="407"/>
      <c r="E3063" s="407"/>
      <c r="F3063" s="407"/>
      <c r="G3063" s="407"/>
      <c r="H3063" s="407"/>
      <c r="I3063" s="407"/>
      <c r="J3063" s="407"/>
      <c r="K3063" s="407"/>
      <c r="L3063" s="166"/>
    </row>
    <row r="3064" spans="1:12" ht="25.5" customHeight="1" x14ac:dyDescent="0.3">
      <c r="A3064" s="382" t="s">
        <v>2043</v>
      </c>
      <c r="B3064" s="312" t="s">
        <v>413</v>
      </c>
      <c r="C3064" s="382" t="s">
        <v>414</v>
      </c>
      <c r="D3064" s="382" t="s">
        <v>415</v>
      </c>
      <c r="E3064" s="586" t="s">
        <v>1029</v>
      </c>
      <c r="F3064" s="586"/>
      <c r="G3064" s="383" t="s">
        <v>416</v>
      </c>
      <c r="H3064" s="312" t="s">
        <v>1030</v>
      </c>
      <c r="I3064" s="312" t="s">
        <v>3016</v>
      </c>
      <c r="J3064" s="312" t="s">
        <v>1031</v>
      </c>
      <c r="K3064" s="312" t="s">
        <v>1032</v>
      </c>
      <c r="L3064" s="166"/>
    </row>
    <row r="3065" spans="1:12" ht="25.5" customHeight="1" x14ac:dyDescent="0.3">
      <c r="A3065" s="313" t="s">
        <v>1033</v>
      </c>
      <c r="B3065" s="315" t="s">
        <v>2994</v>
      </c>
      <c r="C3065" s="313" t="s">
        <v>575</v>
      </c>
      <c r="D3065" s="313" t="s">
        <v>2642</v>
      </c>
      <c r="E3065" s="603" t="s">
        <v>1227</v>
      </c>
      <c r="F3065" s="603"/>
      <c r="G3065" s="314" t="s">
        <v>422</v>
      </c>
      <c r="H3065" s="399">
        <v>1</v>
      </c>
      <c r="I3065" s="316"/>
      <c r="J3065" s="316">
        <v>2901.6</v>
      </c>
      <c r="K3065" s="316">
        <v>2901.6</v>
      </c>
      <c r="L3065" s="166"/>
    </row>
    <row r="3066" spans="1:12" ht="26.4" x14ac:dyDescent="0.3">
      <c r="A3066" s="408" t="s">
        <v>1034</v>
      </c>
      <c r="B3066" s="409" t="s">
        <v>1071</v>
      </c>
      <c r="C3066" s="408" t="s">
        <v>420</v>
      </c>
      <c r="D3066" s="408" t="s">
        <v>1072</v>
      </c>
      <c r="E3066" s="604" t="s">
        <v>1069</v>
      </c>
      <c r="F3066" s="604"/>
      <c r="G3066" s="410" t="s">
        <v>1070</v>
      </c>
      <c r="H3066" s="412">
        <v>5.2</v>
      </c>
      <c r="I3066" s="412">
        <v>0</v>
      </c>
      <c r="J3066" s="411">
        <v>3.95</v>
      </c>
      <c r="K3066" s="411">
        <v>20.54</v>
      </c>
      <c r="L3066" s="166"/>
    </row>
    <row r="3067" spans="1:12" ht="12.75" customHeight="1" x14ac:dyDescent="0.3">
      <c r="A3067" s="408" t="s">
        <v>1034</v>
      </c>
      <c r="B3067" s="409" t="s">
        <v>1478</v>
      </c>
      <c r="C3067" s="408" t="s">
        <v>420</v>
      </c>
      <c r="D3067" s="408" t="s">
        <v>1479</v>
      </c>
      <c r="E3067" s="604" t="s">
        <v>1069</v>
      </c>
      <c r="F3067" s="604"/>
      <c r="G3067" s="410" t="s">
        <v>1070</v>
      </c>
      <c r="H3067" s="412">
        <v>3.5</v>
      </c>
      <c r="I3067" s="412">
        <v>0</v>
      </c>
      <c r="J3067" s="411">
        <v>3.86</v>
      </c>
      <c r="K3067" s="411">
        <v>13.51</v>
      </c>
      <c r="L3067" s="166"/>
    </row>
    <row r="3068" spans="1:12" ht="15" customHeight="1" x14ac:dyDescent="0.3">
      <c r="A3068" s="408" t="s">
        <v>1034</v>
      </c>
      <c r="B3068" s="409" t="s">
        <v>1067</v>
      </c>
      <c r="C3068" s="408" t="s">
        <v>420</v>
      </c>
      <c r="D3068" s="408" t="s">
        <v>1068</v>
      </c>
      <c r="E3068" s="604" t="s">
        <v>1069</v>
      </c>
      <c r="F3068" s="604"/>
      <c r="G3068" s="410" t="s">
        <v>1070</v>
      </c>
      <c r="H3068" s="412">
        <v>14</v>
      </c>
      <c r="I3068" s="412">
        <v>0</v>
      </c>
      <c r="J3068" s="411">
        <v>3.82</v>
      </c>
      <c r="K3068" s="411">
        <v>53.48</v>
      </c>
      <c r="L3068" s="166"/>
    </row>
    <row r="3069" spans="1:12" ht="52.8" x14ac:dyDescent="0.3">
      <c r="A3069" s="408" t="s">
        <v>1034</v>
      </c>
      <c r="B3069" s="409" t="s">
        <v>3125</v>
      </c>
      <c r="C3069" s="408" t="s">
        <v>395</v>
      </c>
      <c r="D3069" s="408" t="s">
        <v>219</v>
      </c>
      <c r="E3069" s="604" t="s">
        <v>7840</v>
      </c>
      <c r="F3069" s="604"/>
      <c r="G3069" s="410" t="s">
        <v>713</v>
      </c>
      <c r="H3069" s="412">
        <v>2.4E-2</v>
      </c>
      <c r="I3069" s="412">
        <v>0</v>
      </c>
      <c r="J3069" s="411">
        <v>613.9</v>
      </c>
      <c r="K3069" s="411">
        <v>14.733599999999999</v>
      </c>
      <c r="L3069" s="166"/>
    </row>
    <row r="3070" spans="1:12" ht="14.25" customHeight="1" x14ac:dyDescent="0.3">
      <c r="A3070" s="400" t="s">
        <v>1038</v>
      </c>
      <c r="B3070" s="401" t="s">
        <v>1074</v>
      </c>
      <c r="C3070" s="400" t="s">
        <v>395</v>
      </c>
      <c r="D3070" s="400" t="s">
        <v>404</v>
      </c>
      <c r="E3070" s="605" t="s">
        <v>1053</v>
      </c>
      <c r="F3070" s="605"/>
      <c r="G3070" s="402" t="s">
        <v>6</v>
      </c>
      <c r="H3070" s="403">
        <v>14</v>
      </c>
      <c r="I3070" s="403">
        <v>0</v>
      </c>
      <c r="J3070" s="404">
        <v>30.36</v>
      </c>
      <c r="K3070" s="404">
        <v>425.04</v>
      </c>
      <c r="L3070" s="168"/>
    </row>
    <row r="3071" spans="1:12" ht="15" customHeight="1" x14ac:dyDescent="0.3">
      <c r="A3071" s="400" t="s">
        <v>1038</v>
      </c>
      <c r="B3071" s="401" t="s">
        <v>1482</v>
      </c>
      <c r="C3071" s="400" t="s">
        <v>395</v>
      </c>
      <c r="D3071" s="400" t="s">
        <v>406</v>
      </c>
      <c r="E3071" s="605" t="s">
        <v>1053</v>
      </c>
      <c r="F3071" s="605"/>
      <c r="G3071" s="402" t="s">
        <v>6</v>
      </c>
      <c r="H3071" s="403">
        <v>3.5</v>
      </c>
      <c r="I3071" s="403">
        <v>0</v>
      </c>
      <c r="J3071" s="404">
        <v>31.19</v>
      </c>
      <c r="K3071" s="404">
        <v>109.16500000000001</v>
      </c>
      <c r="L3071" s="170"/>
    </row>
    <row r="3072" spans="1:12" ht="15" x14ac:dyDescent="0.3">
      <c r="A3072" s="400" t="s">
        <v>1038</v>
      </c>
      <c r="B3072" s="401" t="s">
        <v>1075</v>
      </c>
      <c r="C3072" s="400" t="s">
        <v>395</v>
      </c>
      <c r="D3072" s="400" t="s">
        <v>8694</v>
      </c>
      <c r="E3072" s="605" t="s">
        <v>1053</v>
      </c>
      <c r="F3072" s="605"/>
      <c r="G3072" s="402" t="s">
        <v>6</v>
      </c>
      <c r="H3072" s="403">
        <v>5.2</v>
      </c>
      <c r="I3072" s="403">
        <v>0</v>
      </c>
      <c r="J3072" s="404">
        <v>22.14</v>
      </c>
      <c r="K3072" s="404">
        <v>115.128</v>
      </c>
      <c r="L3072" s="168"/>
    </row>
    <row r="3073" spans="1:12" ht="26.4" x14ac:dyDescent="0.3">
      <c r="A3073" s="400" t="s">
        <v>1038</v>
      </c>
      <c r="B3073" s="401" t="s">
        <v>3236</v>
      </c>
      <c r="C3073" s="400" t="s">
        <v>575</v>
      </c>
      <c r="D3073" s="400" t="s">
        <v>3237</v>
      </c>
      <c r="E3073" s="605" t="s">
        <v>1039</v>
      </c>
      <c r="F3073" s="605"/>
      <c r="G3073" s="402" t="s">
        <v>422</v>
      </c>
      <c r="H3073" s="403">
        <v>1</v>
      </c>
      <c r="I3073" s="403">
        <v>0</v>
      </c>
      <c r="J3073" s="404">
        <v>2150</v>
      </c>
      <c r="K3073" s="404">
        <v>2150</v>
      </c>
      <c r="L3073" s="168"/>
    </row>
    <row r="3074" spans="1:12" ht="12.75" customHeight="1" x14ac:dyDescent="0.3">
      <c r="A3074" s="405"/>
      <c r="B3074" s="405"/>
      <c r="C3074" s="405"/>
      <c r="D3074" s="405"/>
      <c r="E3074" s="405" t="s">
        <v>1046</v>
      </c>
      <c r="F3074" s="406">
        <v>651.66999999999996</v>
      </c>
      <c r="G3074" s="405" t="s">
        <v>1047</v>
      </c>
      <c r="H3074" s="406">
        <v>0</v>
      </c>
      <c r="I3074" s="405" t="s">
        <v>1048</v>
      </c>
      <c r="J3074" s="406">
        <v>651.66999999999996</v>
      </c>
      <c r="K3074"/>
      <c r="L3074" s="168"/>
    </row>
    <row r="3075" spans="1:12" ht="15" customHeight="1" thickBot="1" x14ac:dyDescent="0.35">
      <c r="A3075" s="405"/>
      <c r="B3075" s="405"/>
      <c r="C3075" s="405"/>
      <c r="D3075" s="405"/>
      <c r="E3075" s="405" t="s">
        <v>1049</v>
      </c>
      <c r="F3075" s="406">
        <v>0</v>
      </c>
      <c r="G3075" s="405"/>
      <c r="H3075" s="606"/>
      <c r="I3075" s="606" t="s">
        <v>1050</v>
      </c>
      <c r="J3075" s="406">
        <v>2901.6</v>
      </c>
      <c r="K3075"/>
      <c r="L3075" s="166"/>
    </row>
    <row r="3076" spans="1:12" ht="15.6" thickTop="1" x14ac:dyDescent="0.3">
      <c r="A3076" s="407"/>
      <c r="B3076" s="407"/>
      <c r="C3076" s="407"/>
      <c r="D3076" s="407"/>
      <c r="E3076" s="407"/>
      <c r="F3076" s="407"/>
      <c r="G3076" s="407"/>
      <c r="H3076" s="407"/>
      <c r="I3076" s="407"/>
      <c r="J3076" s="407"/>
      <c r="K3076" s="407"/>
      <c r="L3076" s="166"/>
    </row>
    <row r="3077" spans="1:12" ht="15" x14ac:dyDescent="0.3">
      <c r="A3077" s="382" t="s">
        <v>2051</v>
      </c>
      <c r="B3077" s="312" t="s">
        <v>413</v>
      </c>
      <c r="C3077" s="382" t="s">
        <v>414</v>
      </c>
      <c r="D3077" s="382" t="s">
        <v>415</v>
      </c>
      <c r="E3077" s="586" t="s">
        <v>1029</v>
      </c>
      <c r="F3077" s="586"/>
      <c r="G3077" s="383" t="s">
        <v>416</v>
      </c>
      <c r="H3077" s="312" t="s">
        <v>1030</v>
      </c>
      <c r="I3077" s="312" t="s">
        <v>3016</v>
      </c>
      <c r="J3077" s="312" t="s">
        <v>1031</v>
      </c>
      <c r="K3077" s="312" t="s">
        <v>1032</v>
      </c>
      <c r="L3077" s="168"/>
    </row>
    <row r="3078" spans="1:12" ht="30" customHeight="1" x14ac:dyDescent="0.3">
      <c r="A3078" s="313" t="s">
        <v>1033</v>
      </c>
      <c r="B3078" s="315" t="s">
        <v>3865</v>
      </c>
      <c r="C3078" s="313" t="s">
        <v>395</v>
      </c>
      <c r="D3078" s="313" t="s">
        <v>5980</v>
      </c>
      <c r="E3078" s="603" t="s">
        <v>7791</v>
      </c>
      <c r="F3078" s="603"/>
      <c r="G3078" s="314" t="s">
        <v>4</v>
      </c>
      <c r="H3078" s="399">
        <v>1</v>
      </c>
      <c r="I3078" s="316"/>
      <c r="J3078" s="316">
        <v>938.07</v>
      </c>
      <c r="K3078" s="316">
        <v>938.07</v>
      </c>
      <c r="L3078" s="168"/>
    </row>
    <row r="3079" spans="1:12" ht="14.25" customHeight="1" x14ac:dyDescent="0.3">
      <c r="A3079" s="408" t="s">
        <v>1034</v>
      </c>
      <c r="B3079" s="409" t="s">
        <v>5254</v>
      </c>
      <c r="C3079" s="408" t="s">
        <v>395</v>
      </c>
      <c r="D3079" s="408" t="s">
        <v>5255</v>
      </c>
      <c r="E3079" s="604" t="s">
        <v>7840</v>
      </c>
      <c r="F3079" s="604"/>
      <c r="G3079" s="410" t="s">
        <v>713</v>
      </c>
      <c r="H3079" s="412">
        <v>1.89E-2</v>
      </c>
      <c r="I3079" s="412">
        <v>0</v>
      </c>
      <c r="J3079" s="411">
        <v>837.23</v>
      </c>
      <c r="K3079" s="411">
        <v>15.823646999999999</v>
      </c>
      <c r="L3079" s="168"/>
    </row>
    <row r="3080" spans="1:12" ht="25.5" customHeight="1" x14ac:dyDescent="0.3">
      <c r="A3080" s="408" t="s">
        <v>1034</v>
      </c>
      <c r="B3080" s="409" t="s">
        <v>1035</v>
      </c>
      <c r="C3080" s="408" t="s">
        <v>395</v>
      </c>
      <c r="D3080" s="408" t="s">
        <v>128</v>
      </c>
      <c r="E3080" s="604" t="s">
        <v>7768</v>
      </c>
      <c r="F3080" s="604"/>
      <c r="G3080" s="410" t="s">
        <v>6</v>
      </c>
      <c r="H3080" s="412">
        <v>2.056</v>
      </c>
      <c r="I3080" s="412">
        <v>0</v>
      </c>
      <c r="J3080" s="411">
        <v>34.5</v>
      </c>
      <c r="K3080" s="411">
        <v>70.932000000000002</v>
      </c>
      <c r="L3080" s="168"/>
    </row>
    <row r="3081" spans="1:12" ht="25.5" customHeight="1" x14ac:dyDescent="0.3">
      <c r="A3081" s="408" t="s">
        <v>1034</v>
      </c>
      <c r="B3081" s="409" t="s">
        <v>1037</v>
      </c>
      <c r="C3081" s="408" t="s">
        <v>395</v>
      </c>
      <c r="D3081" s="408" t="s">
        <v>135</v>
      </c>
      <c r="E3081" s="604" t="s">
        <v>7768</v>
      </c>
      <c r="F3081" s="604"/>
      <c r="G3081" s="410" t="s">
        <v>6</v>
      </c>
      <c r="H3081" s="412">
        <v>2.056</v>
      </c>
      <c r="I3081" s="412">
        <v>0</v>
      </c>
      <c r="J3081" s="411">
        <v>41.81</v>
      </c>
      <c r="K3081" s="411">
        <v>85.961359999999999</v>
      </c>
      <c r="L3081" s="166"/>
    </row>
    <row r="3082" spans="1:12" ht="25.5" customHeight="1" x14ac:dyDescent="0.3">
      <c r="A3082" s="400" t="s">
        <v>1038</v>
      </c>
      <c r="B3082" s="401" t="s">
        <v>4080</v>
      </c>
      <c r="C3082" s="400" t="s">
        <v>395</v>
      </c>
      <c r="D3082" s="400" t="s">
        <v>4081</v>
      </c>
      <c r="E3082" s="605" t="s">
        <v>1039</v>
      </c>
      <c r="F3082" s="605"/>
      <c r="G3082" s="402" t="s">
        <v>4</v>
      </c>
      <c r="H3082" s="403">
        <v>1</v>
      </c>
      <c r="I3082" s="403">
        <v>0</v>
      </c>
      <c r="J3082" s="404">
        <v>765.35</v>
      </c>
      <c r="K3082" s="404">
        <v>765.35</v>
      </c>
      <c r="L3082" s="168"/>
    </row>
    <row r="3083" spans="1:12" ht="15" x14ac:dyDescent="0.3">
      <c r="A3083" s="405"/>
      <c r="B3083" s="405"/>
      <c r="C3083" s="405"/>
      <c r="D3083" s="405"/>
      <c r="E3083" s="405" t="s">
        <v>1046</v>
      </c>
      <c r="F3083" s="406">
        <v>119.25</v>
      </c>
      <c r="G3083" s="405" t="s">
        <v>1047</v>
      </c>
      <c r="H3083" s="406">
        <v>0</v>
      </c>
      <c r="I3083" s="405" t="s">
        <v>1048</v>
      </c>
      <c r="J3083" s="406">
        <v>119.25</v>
      </c>
      <c r="K3083"/>
      <c r="L3083" s="168"/>
    </row>
    <row r="3084" spans="1:12" ht="17.399999999999999" customHeight="1" thickBot="1" x14ac:dyDescent="0.35">
      <c r="A3084" s="405"/>
      <c r="B3084" s="405"/>
      <c r="C3084" s="405"/>
      <c r="D3084" s="405"/>
      <c r="E3084" s="405" t="s">
        <v>1049</v>
      </c>
      <c r="F3084" s="406">
        <v>0</v>
      </c>
      <c r="G3084" s="405"/>
      <c r="H3084" s="606"/>
      <c r="I3084" s="606" t="s">
        <v>1050</v>
      </c>
      <c r="J3084" s="406">
        <v>938.07</v>
      </c>
      <c r="K3084"/>
      <c r="L3084" s="168"/>
    </row>
    <row r="3085" spans="1:12" ht="15" customHeight="1" thickTop="1" x14ac:dyDescent="0.3">
      <c r="A3085" s="407"/>
      <c r="B3085" s="407"/>
      <c r="C3085" s="407"/>
      <c r="D3085" s="407"/>
      <c r="E3085" s="407"/>
      <c r="F3085" s="407"/>
      <c r="G3085" s="407"/>
      <c r="H3085" s="407"/>
      <c r="I3085" s="407"/>
      <c r="J3085" s="407"/>
      <c r="K3085" s="407"/>
      <c r="L3085" s="166"/>
    </row>
    <row r="3086" spans="1:12" ht="15" x14ac:dyDescent="0.3">
      <c r="A3086" s="382" t="s">
        <v>2072</v>
      </c>
      <c r="B3086" s="312" t="s">
        <v>413</v>
      </c>
      <c r="C3086" s="382" t="s">
        <v>414</v>
      </c>
      <c r="D3086" s="382" t="s">
        <v>415</v>
      </c>
      <c r="E3086" s="586" t="s">
        <v>1029</v>
      </c>
      <c r="F3086" s="586"/>
      <c r="G3086" s="383" t="s">
        <v>416</v>
      </c>
      <c r="H3086" s="312" t="s">
        <v>1030</v>
      </c>
      <c r="I3086" s="312" t="s">
        <v>3016</v>
      </c>
      <c r="J3086" s="312" t="s">
        <v>1031</v>
      </c>
      <c r="K3086" s="312" t="s">
        <v>1032</v>
      </c>
      <c r="L3086" s="166"/>
    </row>
    <row r="3087" spans="1:12" ht="15" customHeight="1" x14ac:dyDescent="0.3">
      <c r="A3087" s="313" t="s">
        <v>1033</v>
      </c>
      <c r="B3087" s="315" t="s">
        <v>3866</v>
      </c>
      <c r="C3087" s="313" t="s">
        <v>395</v>
      </c>
      <c r="D3087" s="313" t="s">
        <v>5981</v>
      </c>
      <c r="E3087" s="603" t="s">
        <v>7791</v>
      </c>
      <c r="F3087" s="603"/>
      <c r="G3087" s="314" t="s">
        <v>4</v>
      </c>
      <c r="H3087" s="399">
        <v>1</v>
      </c>
      <c r="I3087" s="316"/>
      <c r="J3087" s="316">
        <v>60.71</v>
      </c>
      <c r="K3087" s="316">
        <v>60.71</v>
      </c>
      <c r="L3087" s="168"/>
    </row>
    <row r="3088" spans="1:12" ht="30" customHeight="1" x14ac:dyDescent="0.3">
      <c r="A3088" s="408" t="s">
        <v>1034</v>
      </c>
      <c r="B3088" s="409" t="s">
        <v>1035</v>
      </c>
      <c r="C3088" s="408" t="s">
        <v>395</v>
      </c>
      <c r="D3088" s="408" t="s">
        <v>128</v>
      </c>
      <c r="E3088" s="604" t="s">
        <v>7768</v>
      </c>
      <c r="F3088" s="604"/>
      <c r="G3088" s="410" t="s">
        <v>6</v>
      </c>
      <c r="H3088" s="412">
        <v>0.17358499999999999</v>
      </c>
      <c r="I3088" s="412">
        <v>0</v>
      </c>
      <c r="J3088" s="411">
        <v>34.5</v>
      </c>
      <c r="K3088" s="411">
        <v>5.9886825000000004</v>
      </c>
      <c r="L3088" s="168"/>
    </row>
    <row r="3089" spans="1:12" ht="30" customHeight="1" x14ac:dyDescent="0.3">
      <c r="A3089" s="408" t="s">
        <v>1034</v>
      </c>
      <c r="B3089" s="409" t="s">
        <v>1037</v>
      </c>
      <c r="C3089" s="408" t="s">
        <v>395</v>
      </c>
      <c r="D3089" s="408" t="s">
        <v>135</v>
      </c>
      <c r="E3089" s="604" t="s">
        <v>7768</v>
      </c>
      <c r="F3089" s="604"/>
      <c r="G3089" s="410" t="s">
        <v>6</v>
      </c>
      <c r="H3089" s="412">
        <v>0.17358499999999999</v>
      </c>
      <c r="I3089" s="412">
        <v>0</v>
      </c>
      <c r="J3089" s="411">
        <v>41.81</v>
      </c>
      <c r="K3089" s="411">
        <v>7.2575889</v>
      </c>
      <c r="L3089" s="168"/>
    </row>
    <row r="3090" spans="1:12" ht="14.25" customHeight="1" x14ac:dyDescent="0.3">
      <c r="A3090" s="400" t="s">
        <v>1038</v>
      </c>
      <c r="B3090" s="401" t="s">
        <v>4612</v>
      </c>
      <c r="C3090" s="400" t="s">
        <v>395</v>
      </c>
      <c r="D3090" s="400" t="s">
        <v>4613</v>
      </c>
      <c r="E3090" s="605" t="s">
        <v>1039</v>
      </c>
      <c r="F3090" s="605"/>
      <c r="G3090" s="402" t="s">
        <v>4</v>
      </c>
      <c r="H3090" s="403">
        <v>2</v>
      </c>
      <c r="I3090" s="403">
        <v>0</v>
      </c>
      <c r="J3090" s="404">
        <v>1.6</v>
      </c>
      <c r="K3090" s="404">
        <v>3.2</v>
      </c>
      <c r="L3090" s="166"/>
    </row>
    <row r="3091" spans="1:12" ht="15" x14ac:dyDescent="0.3">
      <c r="A3091" s="400" t="s">
        <v>1038</v>
      </c>
      <c r="B3091" s="401" t="s">
        <v>4099</v>
      </c>
      <c r="C3091" s="400" t="s">
        <v>395</v>
      </c>
      <c r="D3091" s="400" t="s">
        <v>4100</v>
      </c>
      <c r="E3091" s="605" t="s">
        <v>1039</v>
      </c>
      <c r="F3091" s="605"/>
      <c r="G3091" s="402" t="s">
        <v>4</v>
      </c>
      <c r="H3091" s="403">
        <v>1</v>
      </c>
      <c r="I3091" s="403">
        <v>0</v>
      </c>
      <c r="J3091" s="404">
        <v>44.26</v>
      </c>
      <c r="K3091" s="404">
        <v>44.26</v>
      </c>
      <c r="L3091" s="166"/>
    </row>
    <row r="3092" spans="1:12" ht="15" x14ac:dyDescent="0.3">
      <c r="A3092" s="405"/>
      <c r="B3092" s="405"/>
      <c r="C3092" s="405"/>
      <c r="D3092" s="405"/>
      <c r="E3092" s="405" t="s">
        <v>1046</v>
      </c>
      <c r="F3092" s="406">
        <v>9.66</v>
      </c>
      <c r="G3092" s="405" t="s">
        <v>1047</v>
      </c>
      <c r="H3092" s="406">
        <v>0.01</v>
      </c>
      <c r="I3092" s="405" t="s">
        <v>1048</v>
      </c>
      <c r="J3092" s="406">
        <v>9.67</v>
      </c>
      <c r="K3092"/>
      <c r="L3092" s="166"/>
    </row>
    <row r="3093" spans="1:12" ht="17.399999999999999" customHeight="1" thickBot="1" x14ac:dyDescent="0.35">
      <c r="A3093" s="405"/>
      <c r="B3093" s="405"/>
      <c r="C3093" s="405"/>
      <c r="D3093" s="405"/>
      <c r="E3093" s="405" t="s">
        <v>1049</v>
      </c>
      <c r="F3093" s="406">
        <v>0</v>
      </c>
      <c r="G3093" s="405"/>
      <c r="H3093" s="606"/>
      <c r="I3093" s="606" t="s">
        <v>1050</v>
      </c>
      <c r="J3093" s="406">
        <v>60.71</v>
      </c>
      <c r="K3093"/>
      <c r="L3093" s="166"/>
    </row>
    <row r="3094" spans="1:12" ht="12.75" customHeight="1" thickTop="1" x14ac:dyDescent="0.3">
      <c r="A3094" s="407"/>
      <c r="B3094" s="407"/>
      <c r="C3094" s="407"/>
      <c r="D3094" s="407"/>
      <c r="E3094" s="407"/>
      <c r="F3094" s="407"/>
      <c r="G3094" s="407"/>
      <c r="H3094" s="407"/>
      <c r="I3094" s="407"/>
      <c r="J3094" s="407"/>
      <c r="K3094" s="407"/>
      <c r="L3094" s="166"/>
    </row>
    <row r="3095" spans="1:12" ht="15" customHeight="1" x14ac:dyDescent="0.3">
      <c r="A3095" s="382" t="s">
        <v>2073</v>
      </c>
      <c r="B3095" s="312" t="s">
        <v>413</v>
      </c>
      <c r="C3095" s="382" t="s">
        <v>414</v>
      </c>
      <c r="D3095" s="382" t="s">
        <v>415</v>
      </c>
      <c r="E3095" s="586" t="s">
        <v>1029</v>
      </c>
      <c r="F3095" s="586"/>
      <c r="G3095" s="383" t="s">
        <v>416</v>
      </c>
      <c r="H3095" s="312" t="s">
        <v>1030</v>
      </c>
      <c r="I3095" s="312" t="s">
        <v>3016</v>
      </c>
      <c r="J3095" s="312" t="s">
        <v>1031</v>
      </c>
      <c r="K3095" s="312" t="s">
        <v>1032</v>
      </c>
      <c r="L3095" s="166"/>
    </row>
    <row r="3096" spans="1:12" ht="15" customHeight="1" x14ac:dyDescent="0.3">
      <c r="A3096" s="313" t="s">
        <v>1033</v>
      </c>
      <c r="B3096" s="315" t="s">
        <v>3867</v>
      </c>
      <c r="C3096" s="313" t="s">
        <v>395</v>
      </c>
      <c r="D3096" s="313" t="s">
        <v>5982</v>
      </c>
      <c r="E3096" s="603" t="s">
        <v>7791</v>
      </c>
      <c r="F3096" s="603"/>
      <c r="G3096" s="314" t="s">
        <v>4</v>
      </c>
      <c r="H3096" s="399">
        <v>1</v>
      </c>
      <c r="I3096" s="316"/>
      <c r="J3096" s="316">
        <v>66.44</v>
      </c>
      <c r="K3096" s="316">
        <v>66.44</v>
      </c>
      <c r="L3096" s="166"/>
    </row>
    <row r="3097" spans="1:12" ht="15" customHeight="1" x14ac:dyDescent="0.3">
      <c r="A3097" s="408" t="s">
        <v>1034</v>
      </c>
      <c r="B3097" s="409" t="s">
        <v>1035</v>
      </c>
      <c r="C3097" s="408" t="s">
        <v>395</v>
      </c>
      <c r="D3097" s="408" t="s">
        <v>128</v>
      </c>
      <c r="E3097" s="604" t="s">
        <v>7768</v>
      </c>
      <c r="F3097" s="604"/>
      <c r="G3097" s="410" t="s">
        <v>6</v>
      </c>
      <c r="H3097" s="412">
        <v>0.25427899999999998</v>
      </c>
      <c r="I3097" s="412">
        <v>0</v>
      </c>
      <c r="J3097" s="411">
        <v>34.5</v>
      </c>
      <c r="K3097" s="411">
        <v>8.7726255000000002</v>
      </c>
      <c r="L3097" s="168"/>
    </row>
    <row r="3098" spans="1:12" ht="15" customHeight="1" x14ac:dyDescent="0.3">
      <c r="A3098" s="408" t="s">
        <v>1034</v>
      </c>
      <c r="B3098" s="409" t="s">
        <v>1037</v>
      </c>
      <c r="C3098" s="408" t="s">
        <v>395</v>
      </c>
      <c r="D3098" s="408" t="s">
        <v>135</v>
      </c>
      <c r="E3098" s="604" t="s">
        <v>7768</v>
      </c>
      <c r="F3098" s="604"/>
      <c r="G3098" s="410" t="s">
        <v>6</v>
      </c>
      <c r="H3098" s="412">
        <v>0.25427899999999998</v>
      </c>
      <c r="I3098" s="412">
        <v>0</v>
      </c>
      <c r="J3098" s="411">
        <v>41.81</v>
      </c>
      <c r="K3098" s="411">
        <v>10.631405000000001</v>
      </c>
      <c r="L3098" s="170"/>
    </row>
    <row r="3099" spans="1:12" ht="15" customHeight="1" x14ac:dyDescent="0.3">
      <c r="A3099" s="400" t="s">
        <v>1038</v>
      </c>
      <c r="B3099" s="401" t="s">
        <v>4326</v>
      </c>
      <c r="C3099" s="400" t="s">
        <v>395</v>
      </c>
      <c r="D3099" s="400" t="s">
        <v>4327</v>
      </c>
      <c r="E3099" s="605" t="s">
        <v>1039</v>
      </c>
      <c r="F3099" s="605"/>
      <c r="G3099" s="402" t="s">
        <v>4</v>
      </c>
      <c r="H3099" s="403">
        <v>2</v>
      </c>
      <c r="I3099" s="403">
        <v>0</v>
      </c>
      <c r="J3099" s="404">
        <v>1.73</v>
      </c>
      <c r="K3099" s="404">
        <v>3.46</v>
      </c>
      <c r="L3099" s="168"/>
    </row>
    <row r="3100" spans="1:12" ht="15" customHeight="1" x14ac:dyDescent="0.3">
      <c r="A3100" s="400" t="s">
        <v>1038</v>
      </c>
      <c r="B3100" s="401" t="s">
        <v>4258</v>
      </c>
      <c r="C3100" s="400" t="s">
        <v>395</v>
      </c>
      <c r="D3100" s="400" t="s">
        <v>4259</v>
      </c>
      <c r="E3100" s="605" t="s">
        <v>1039</v>
      </c>
      <c r="F3100" s="605"/>
      <c r="G3100" s="402" t="s">
        <v>4</v>
      </c>
      <c r="H3100" s="403">
        <v>1</v>
      </c>
      <c r="I3100" s="403">
        <v>0</v>
      </c>
      <c r="J3100" s="404">
        <v>43.58</v>
      </c>
      <c r="K3100" s="404">
        <v>43.58</v>
      </c>
      <c r="L3100" s="168"/>
    </row>
    <row r="3101" spans="1:12" ht="15" customHeight="1" x14ac:dyDescent="0.3">
      <c r="A3101" s="405"/>
      <c r="B3101" s="405"/>
      <c r="C3101" s="405"/>
      <c r="D3101" s="405"/>
      <c r="E3101" s="405" t="s">
        <v>1046</v>
      </c>
      <c r="F3101" s="406">
        <v>14.16</v>
      </c>
      <c r="G3101" s="405" t="s">
        <v>1047</v>
      </c>
      <c r="H3101" s="406">
        <v>0</v>
      </c>
      <c r="I3101" s="405" t="s">
        <v>1048</v>
      </c>
      <c r="J3101" s="406">
        <v>14.16</v>
      </c>
      <c r="K3101"/>
      <c r="L3101" s="168"/>
    </row>
    <row r="3102" spans="1:12" ht="15" customHeight="1" thickBot="1" x14ac:dyDescent="0.35">
      <c r="A3102" s="405"/>
      <c r="B3102" s="405"/>
      <c r="C3102" s="405"/>
      <c r="D3102" s="405"/>
      <c r="E3102" s="405" t="s">
        <v>1049</v>
      </c>
      <c r="F3102" s="406">
        <v>0</v>
      </c>
      <c r="G3102" s="405"/>
      <c r="H3102" s="606"/>
      <c r="I3102" s="606" t="s">
        <v>1050</v>
      </c>
      <c r="J3102" s="406">
        <v>66.44</v>
      </c>
      <c r="K3102"/>
      <c r="L3102" s="166"/>
    </row>
    <row r="3103" spans="1:12" ht="14.25" customHeight="1" thickTop="1" x14ac:dyDescent="0.3">
      <c r="A3103" s="407"/>
      <c r="B3103" s="407"/>
      <c r="C3103" s="407"/>
      <c r="D3103" s="407"/>
      <c r="E3103" s="407"/>
      <c r="F3103" s="407"/>
      <c r="G3103" s="407"/>
      <c r="H3103" s="407"/>
      <c r="I3103" s="407"/>
      <c r="J3103" s="407"/>
      <c r="K3103" s="407"/>
      <c r="L3103" s="166"/>
    </row>
    <row r="3104" spans="1:12" ht="15" x14ac:dyDescent="0.3">
      <c r="A3104" s="382" t="s">
        <v>2087</v>
      </c>
      <c r="B3104" s="312" t="s">
        <v>413</v>
      </c>
      <c r="C3104" s="382" t="s">
        <v>414</v>
      </c>
      <c r="D3104" s="382" t="s">
        <v>415</v>
      </c>
      <c r="E3104" s="586" t="s">
        <v>1029</v>
      </c>
      <c r="F3104" s="586"/>
      <c r="G3104" s="383" t="s">
        <v>416</v>
      </c>
      <c r="H3104" s="312" t="s">
        <v>1030</v>
      </c>
      <c r="I3104" s="312" t="s">
        <v>3016</v>
      </c>
      <c r="J3104" s="312" t="s">
        <v>1031</v>
      </c>
      <c r="K3104" s="312" t="s">
        <v>1032</v>
      </c>
      <c r="L3104" s="168"/>
    </row>
    <row r="3105" spans="1:12" ht="15" customHeight="1" x14ac:dyDescent="0.3">
      <c r="A3105" s="313" t="s">
        <v>1033</v>
      </c>
      <c r="B3105" s="315" t="s">
        <v>3868</v>
      </c>
      <c r="C3105" s="313" t="s">
        <v>395</v>
      </c>
      <c r="D3105" s="313" t="s">
        <v>5983</v>
      </c>
      <c r="E3105" s="603" t="s">
        <v>7791</v>
      </c>
      <c r="F3105" s="603"/>
      <c r="G3105" s="314" t="s">
        <v>4</v>
      </c>
      <c r="H3105" s="399">
        <v>1</v>
      </c>
      <c r="I3105" s="316"/>
      <c r="J3105" s="316">
        <v>693.16</v>
      </c>
      <c r="K3105" s="316">
        <v>693.16</v>
      </c>
      <c r="L3105" s="168"/>
    </row>
    <row r="3106" spans="1:12" ht="15" customHeight="1" x14ac:dyDescent="0.3">
      <c r="A3106" s="408" t="s">
        <v>1034</v>
      </c>
      <c r="B3106" s="409" t="s">
        <v>5254</v>
      </c>
      <c r="C3106" s="408" t="s">
        <v>395</v>
      </c>
      <c r="D3106" s="408" t="s">
        <v>5255</v>
      </c>
      <c r="E3106" s="604" t="s">
        <v>7840</v>
      </c>
      <c r="F3106" s="604"/>
      <c r="G3106" s="410" t="s">
        <v>713</v>
      </c>
      <c r="H3106" s="412">
        <v>1.9199999999999998E-2</v>
      </c>
      <c r="I3106" s="412">
        <v>0</v>
      </c>
      <c r="J3106" s="411">
        <v>837.23</v>
      </c>
      <c r="K3106" s="411">
        <v>16.074815999999998</v>
      </c>
      <c r="L3106" s="168"/>
    </row>
    <row r="3107" spans="1:12" ht="38.25" customHeight="1" x14ac:dyDescent="0.3">
      <c r="A3107" s="408" t="s">
        <v>1034</v>
      </c>
      <c r="B3107" s="409" t="s">
        <v>1035</v>
      </c>
      <c r="C3107" s="408" t="s">
        <v>395</v>
      </c>
      <c r="D3107" s="408" t="s">
        <v>128</v>
      </c>
      <c r="E3107" s="604" t="s">
        <v>7768</v>
      </c>
      <c r="F3107" s="604"/>
      <c r="G3107" s="410" t="s">
        <v>6</v>
      </c>
      <c r="H3107" s="412">
        <v>2.0377000000000001</v>
      </c>
      <c r="I3107" s="412">
        <v>0</v>
      </c>
      <c r="J3107" s="411">
        <v>34.5</v>
      </c>
      <c r="K3107" s="411">
        <v>70.300650000000005</v>
      </c>
      <c r="L3107" s="168"/>
    </row>
    <row r="3108" spans="1:12" ht="38.25" customHeight="1" x14ac:dyDescent="0.3">
      <c r="A3108" s="408" t="s">
        <v>1034</v>
      </c>
      <c r="B3108" s="409" t="s">
        <v>1037</v>
      </c>
      <c r="C3108" s="408" t="s">
        <v>395</v>
      </c>
      <c r="D3108" s="408" t="s">
        <v>135</v>
      </c>
      <c r="E3108" s="604" t="s">
        <v>7768</v>
      </c>
      <c r="F3108" s="604"/>
      <c r="G3108" s="410" t="s">
        <v>6</v>
      </c>
      <c r="H3108" s="412">
        <v>2.0377000000000001</v>
      </c>
      <c r="I3108" s="412">
        <v>0</v>
      </c>
      <c r="J3108" s="411">
        <v>41.81</v>
      </c>
      <c r="K3108" s="411">
        <v>85.196236999999996</v>
      </c>
      <c r="L3108" s="166"/>
    </row>
    <row r="3109" spans="1:12" ht="15" customHeight="1" x14ac:dyDescent="0.3">
      <c r="A3109" s="400" t="s">
        <v>1038</v>
      </c>
      <c r="B3109" s="401" t="s">
        <v>4097</v>
      </c>
      <c r="C3109" s="400" t="s">
        <v>395</v>
      </c>
      <c r="D3109" s="400" t="s">
        <v>4098</v>
      </c>
      <c r="E3109" s="605" t="s">
        <v>1039</v>
      </c>
      <c r="F3109" s="605"/>
      <c r="G3109" s="402" t="s">
        <v>4</v>
      </c>
      <c r="H3109" s="403">
        <v>1</v>
      </c>
      <c r="I3109" s="403">
        <v>0</v>
      </c>
      <c r="J3109" s="404">
        <v>521.59</v>
      </c>
      <c r="K3109" s="404">
        <v>521.59</v>
      </c>
      <c r="L3109" s="168"/>
    </row>
    <row r="3110" spans="1:12" ht="15" customHeight="1" x14ac:dyDescent="0.3">
      <c r="A3110" s="405"/>
      <c r="B3110" s="405"/>
      <c r="C3110" s="405"/>
      <c r="D3110" s="405"/>
      <c r="E3110" s="405" t="s">
        <v>1046</v>
      </c>
      <c r="F3110" s="406">
        <v>118.31</v>
      </c>
      <c r="G3110" s="405" t="s">
        <v>1047</v>
      </c>
      <c r="H3110" s="406">
        <v>0.01</v>
      </c>
      <c r="I3110" s="405" t="s">
        <v>1048</v>
      </c>
      <c r="J3110" s="406">
        <v>118.32</v>
      </c>
      <c r="K3110"/>
      <c r="L3110" s="168"/>
    </row>
    <row r="3111" spans="1:12" ht="15" customHeight="1" thickBot="1" x14ac:dyDescent="0.35">
      <c r="A3111" s="405"/>
      <c r="B3111" s="405"/>
      <c r="C3111" s="405"/>
      <c r="D3111" s="405"/>
      <c r="E3111" s="405" t="s">
        <v>1049</v>
      </c>
      <c r="F3111" s="406">
        <v>0</v>
      </c>
      <c r="G3111" s="405"/>
      <c r="H3111" s="606"/>
      <c r="I3111" s="606" t="s">
        <v>1050</v>
      </c>
      <c r="J3111" s="406">
        <v>693.16</v>
      </c>
      <c r="K3111"/>
      <c r="L3111" s="168"/>
    </row>
    <row r="3112" spans="1:12" ht="15" customHeight="1" thickTop="1" x14ac:dyDescent="0.3">
      <c r="A3112" s="407"/>
      <c r="B3112" s="407"/>
      <c r="C3112" s="407"/>
      <c r="D3112" s="407"/>
      <c r="E3112" s="407"/>
      <c r="F3112" s="407"/>
      <c r="G3112" s="407"/>
      <c r="H3112" s="407"/>
      <c r="I3112" s="407"/>
      <c r="J3112" s="407"/>
      <c r="K3112" s="407"/>
      <c r="L3112" s="166"/>
    </row>
    <row r="3113" spans="1:12" ht="15" customHeight="1" x14ac:dyDescent="0.3">
      <c r="A3113" s="382" t="s">
        <v>2091</v>
      </c>
      <c r="B3113" s="312" t="s">
        <v>413</v>
      </c>
      <c r="C3113" s="382" t="s">
        <v>414</v>
      </c>
      <c r="D3113" s="382" t="s">
        <v>415</v>
      </c>
      <c r="E3113" s="586" t="s">
        <v>1029</v>
      </c>
      <c r="F3113" s="586"/>
      <c r="G3113" s="383" t="s">
        <v>416</v>
      </c>
      <c r="H3113" s="312" t="s">
        <v>1030</v>
      </c>
      <c r="I3113" s="312" t="s">
        <v>3016</v>
      </c>
      <c r="J3113" s="312" t="s">
        <v>1031</v>
      </c>
      <c r="K3113" s="312" t="s">
        <v>1032</v>
      </c>
      <c r="L3113" s="166"/>
    </row>
    <row r="3114" spans="1:12" ht="15" customHeight="1" x14ac:dyDescent="0.3">
      <c r="A3114" s="313" t="s">
        <v>1033</v>
      </c>
      <c r="B3114" s="315" t="s">
        <v>2956</v>
      </c>
      <c r="C3114" s="313" t="s">
        <v>575</v>
      </c>
      <c r="D3114" s="313" t="s">
        <v>2645</v>
      </c>
      <c r="E3114" s="603" t="s">
        <v>1227</v>
      </c>
      <c r="F3114" s="603"/>
      <c r="G3114" s="314" t="s">
        <v>4</v>
      </c>
      <c r="H3114" s="399">
        <v>1</v>
      </c>
      <c r="I3114" s="316"/>
      <c r="J3114" s="316">
        <v>296.66000000000003</v>
      </c>
      <c r="K3114" s="316">
        <v>296.66000000000003</v>
      </c>
      <c r="L3114" s="168"/>
    </row>
    <row r="3115" spans="1:12" ht="15" customHeight="1" x14ac:dyDescent="0.3">
      <c r="A3115" s="400" t="s">
        <v>1038</v>
      </c>
      <c r="B3115" s="401" t="s">
        <v>1051</v>
      </c>
      <c r="C3115" s="400" t="s">
        <v>5902</v>
      </c>
      <c r="D3115" s="400" t="s">
        <v>1052</v>
      </c>
      <c r="E3115" s="605" t="s">
        <v>1053</v>
      </c>
      <c r="F3115" s="605"/>
      <c r="G3115" s="402" t="s">
        <v>6</v>
      </c>
      <c r="H3115" s="403">
        <v>2</v>
      </c>
      <c r="I3115" s="403">
        <v>0</v>
      </c>
      <c r="J3115" s="404">
        <v>33.119999999999997</v>
      </c>
      <c r="K3115" s="404">
        <v>66.239999999999995</v>
      </c>
      <c r="L3115" s="168"/>
    </row>
    <row r="3116" spans="1:12" ht="15" customHeight="1" x14ac:dyDescent="0.3">
      <c r="A3116" s="400" t="s">
        <v>1038</v>
      </c>
      <c r="B3116" s="401" t="s">
        <v>1054</v>
      </c>
      <c r="C3116" s="400" t="s">
        <v>5902</v>
      </c>
      <c r="D3116" s="400" t="s">
        <v>1055</v>
      </c>
      <c r="E3116" s="605" t="s">
        <v>1053</v>
      </c>
      <c r="F3116" s="605"/>
      <c r="G3116" s="402" t="s">
        <v>6</v>
      </c>
      <c r="H3116" s="403">
        <v>2</v>
      </c>
      <c r="I3116" s="403">
        <v>0</v>
      </c>
      <c r="J3116" s="404">
        <v>22.71</v>
      </c>
      <c r="K3116" s="404">
        <v>45.42</v>
      </c>
      <c r="L3116" s="168"/>
    </row>
    <row r="3117" spans="1:12" ht="17.399999999999999" customHeight="1" x14ac:dyDescent="0.3">
      <c r="A3117" s="400" t="s">
        <v>1038</v>
      </c>
      <c r="B3117" s="401" t="s">
        <v>3170</v>
      </c>
      <c r="C3117" s="400" t="s">
        <v>575</v>
      </c>
      <c r="D3117" s="400" t="s">
        <v>2734</v>
      </c>
      <c r="E3117" s="605" t="s">
        <v>1039</v>
      </c>
      <c r="F3117" s="605"/>
      <c r="G3117" s="402" t="s">
        <v>4</v>
      </c>
      <c r="H3117" s="403">
        <v>1</v>
      </c>
      <c r="I3117" s="403">
        <v>0</v>
      </c>
      <c r="J3117" s="404">
        <v>185</v>
      </c>
      <c r="K3117" s="404">
        <v>185</v>
      </c>
      <c r="L3117" s="166"/>
    </row>
    <row r="3118" spans="1:12" ht="38.25" customHeight="1" x14ac:dyDescent="0.3">
      <c r="A3118" s="405"/>
      <c r="B3118" s="405"/>
      <c r="C3118" s="405"/>
      <c r="D3118" s="405"/>
      <c r="E3118" s="405" t="s">
        <v>1046</v>
      </c>
      <c r="F3118" s="406">
        <v>111.66</v>
      </c>
      <c r="G3118" s="405" t="s">
        <v>1047</v>
      </c>
      <c r="H3118" s="406">
        <v>0</v>
      </c>
      <c r="I3118" s="405" t="s">
        <v>1048</v>
      </c>
      <c r="J3118" s="406">
        <v>111.66</v>
      </c>
      <c r="K3118"/>
      <c r="L3118" s="166"/>
    </row>
    <row r="3119" spans="1:12" ht="15" customHeight="1" thickBot="1" x14ac:dyDescent="0.35">
      <c r="A3119" s="405"/>
      <c r="B3119" s="405"/>
      <c r="C3119" s="405"/>
      <c r="D3119" s="405"/>
      <c r="E3119" s="405" t="s">
        <v>1049</v>
      </c>
      <c r="F3119" s="406">
        <v>0</v>
      </c>
      <c r="G3119" s="405"/>
      <c r="H3119" s="606"/>
      <c r="I3119" s="606" t="s">
        <v>1050</v>
      </c>
      <c r="J3119" s="406">
        <v>296.66000000000003</v>
      </c>
      <c r="K3119"/>
      <c r="L3119" s="166"/>
    </row>
    <row r="3120" spans="1:12" ht="15" customHeight="1" thickTop="1" x14ac:dyDescent="0.3">
      <c r="A3120" s="407"/>
      <c r="B3120" s="407"/>
      <c r="C3120" s="407"/>
      <c r="D3120" s="407"/>
      <c r="E3120" s="407"/>
      <c r="F3120" s="407"/>
      <c r="G3120" s="407"/>
      <c r="H3120" s="407"/>
      <c r="I3120" s="407"/>
      <c r="J3120" s="407"/>
      <c r="K3120" s="407"/>
      <c r="L3120" s="166"/>
    </row>
    <row r="3121" spans="1:12" ht="25.5" customHeight="1" x14ac:dyDescent="0.3">
      <c r="A3121" s="382" t="s">
        <v>2093</v>
      </c>
      <c r="B3121" s="312" t="s">
        <v>413</v>
      </c>
      <c r="C3121" s="382" t="s">
        <v>414</v>
      </c>
      <c r="D3121" s="382" t="s">
        <v>415</v>
      </c>
      <c r="E3121" s="586" t="s">
        <v>1029</v>
      </c>
      <c r="F3121" s="586"/>
      <c r="G3121" s="383" t="s">
        <v>416</v>
      </c>
      <c r="H3121" s="312" t="s">
        <v>1030</v>
      </c>
      <c r="I3121" s="312" t="s">
        <v>3016</v>
      </c>
      <c r="J3121" s="312" t="s">
        <v>1031</v>
      </c>
      <c r="K3121" s="312" t="s">
        <v>1032</v>
      </c>
      <c r="L3121" s="166"/>
    </row>
    <row r="3122" spans="1:12" ht="25.5" customHeight="1" x14ac:dyDescent="0.3">
      <c r="A3122" s="313" t="s">
        <v>1033</v>
      </c>
      <c r="B3122" s="315" t="s">
        <v>3869</v>
      </c>
      <c r="C3122" s="313" t="s">
        <v>395</v>
      </c>
      <c r="D3122" s="313" t="s">
        <v>5984</v>
      </c>
      <c r="E3122" s="603" t="s">
        <v>7791</v>
      </c>
      <c r="F3122" s="603"/>
      <c r="G3122" s="314" t="s">
        <v>4</v>
      </c>
      <c r="H3122" s="399">
        <v>1</v>
      </c>
      <c r="I3122" s="316"/>
      <c r="J3122" s="316">
        <v>11.45</v>
      </c>
      <c r="K3122" s="316">
        <v>11.45</v>
      </c>
      <c r="L3122" s="166"/>
    </row>
    <row r="3123" spans="1:12" ht="15" customHeight="1" x14ac:dyDescent="0.3">
      <c r="A3123" s="408" t="s">
        <v>1034</v>
      </c>
      <c r="B3123" s="409" t="s">
        <v>1035</v>
      </c>
      <c r="C3123" s="408" t="s">
        <v>395</v>
      </c>
      <c r="D3123" s="408" t="s">
        <v>128</v>
      </c>
      <c r="E3123" s="604" t="s">
        <v>7768</v>
      </c>
      <c r="F3123" s="604"/>
      <c r="G3123" s="410" t="s">
        <v>6</v>
      </c>
      <c r="H3123" s="412">
        <v>3.5428000000000001E-2</v>
      </c>
      <c r="I3123" s="412">
        <v>0</v>
      </c>
      <c r="J3123" s="411">
        <v>34.5</v>
      </c>
      <c r="K3123" s="411">
        <v>1.2222660000000001</v>
      </c>
      <c r="L3123" s="166"/>
    </row>
    <row r="3124" spans="1:12" ht="26.4" x14ac:dyDescent="0.3">
      <c r="A3124" s="408" t="s">
        <v>1034</v>
      </c>
      <c r="B3124" s="409" t="s">
        <v>1037</v>
      </c>
      <c r="C3124" s="408" t="s">
        <v>395</v>
      </c>
      <c r="D3124" s="408" t="s">
        <v>135</v>
      </c>
      <c r="E3124" s="604" t="s">
        <v>7768</v>
      </c>
      <c r="F3124" s="604"/>
      <c r="G3124" s="410" t="s">
        <v>6</v>
      </c>
      <c r="H3124" s="412">
        <v>3.5428000000000001E-2</v>
      </c>
      <c r="I3124" s="412">
        <v>0</v>
      </c>
      <c r="J3124" s="411">
        <v>41.81</v>
      </c>
      <c r="K3124" s="411">
        <v>1.4812447</v>
      </c>
      <c r="L3124" s="168"/>
    </row>
    <row r="3125" spans="1:12" ht="15" customHeight="1" x14ac:dyDescent="0.3">
      <c r="A3125" s="400" t="s">
        <v>1038</v>
      </c>
      <c r="B3125" s="401" t="s">
        <v>4505</v>
      </c>
      <c r="C3125" s="400" t="s">
        <v>395</v>
      </c>
      <c r="D3125" s="400" t="s">
        <v>4506</v>
      </c>
      <c r="E3125" s="605" t="s">
        <v>1039</v>
      </c>
      <c r="F3125" s="605"/>
      <c r="G3125" s="402" t="s">
        <v>4</v>
      </c>
      <c r="H3125" s="403">
        <v>1</v>
      </c>
      <c r="I3125" s="403">
        <v>0</v>
      </c>
      <c r="J3125" s="404">
        <v>1.03</v>
      </c>
      <c r="K3125" s="404">
        <v>1.03</v>
      </c>
      <c r="L3125" s="170"/>
    </row>
    <row r="3126" spans="1:12" ht="14.25" customHeight="1" x14ac:dyDescent="0.3">
      <c r="A3126" s="400" t="s">
        <v>1038</v>
      </c>
      <c r="B3126" s="401" t="s">
        <v>4266</v>
      </c>
      <c r="C3126" s="400" t="s">
        <v>395</v>
      </c>
      <c r="D3126" s="400" t="s">
        <v>4267</v>
      </c>
      <c r="E3126" s="605" t="s">
        <v>1039</v>
      </c>
      <c r="F3126" s="605"/>
      <c r="G3126" s="402" t="s">
        <v>4</v>
      </c>
      <c r="H3126" s="403">
        <v>1</v>
      </c>
      <c r="I3126" s="403">
        <v>0</v>
      </c>
      <c r="J3126" s="404">
        <v>7.72</v>
      </c>
      <c r="K3126" s="404">
        <v>7.72</v>
      </c>
      <c r="L3126" s="168"/>
    </row>
    <row r="3127" spans="1:12" ht="15" x14ac:dyDescent="0.3">
      <c r="A3127" s="405"/>
      <c r="B3127" s="405"/>
      <c r="C3127" s="405"/>
      <c r="D3127" s="405"/>
      <c r="E3127" s="405" t="s">
        <v>1046</v>
      </c>
      <c r="F3127" s="406">
        <v>1.97</v>
      </c>
      <c r="G3127" s="405" t="s">
        <v>1047</v>
      </c>
      <c r="H3127" s="406">
        <v>0.01</v>
      </c>
      <c r="I3127" s="405" t="s">
        <v>1048</v>
      </c>
      <c r="J3127" s="406">
        <v>1.98</v>
      </c>
      <c r="K3127"/>
      <c r="L3127" s="168"/>
    </row>
    <row r="3128" spans="1:12" ht="15.6" thickBot="1" x14ac:dyDescent="0.35">
      <c r="A3128" s="405"/>
      <c r="B3128" s="405"/>
      <c r="C3128" s="405"/>
      <c r="D3128" s="405"/>
      <c r="E3128" s="405" t="s">
        <v>1049</v>
      </c>
      <c r="F3128" s="406">
        <v>0</v>
      </c>
      <c r="G3128" s="405"/>
      <c r="H3128" s="606"/>
      <c r="I3128" s="606" t="s">
        <v>1050</v>
      </c>
      <c r="J3128" s="406">
        <v>11.45</v>
      </c>
      <c r="K3128"/>
      <c r="L3128" s="168"/>
    </row>
    <row r="3129" spans="1:12" ht="15" customHeight="1" thickTop="1" x14ac:dyDescent="0.3">
      <c r="A3129" s="407"/>
      <c r="B3129" s="407"/>
      <c r="C3129" s="407"/>
      <c r="D3129" s="407"/>
      <c r="E3129" s="407"/>
      <c r="F3129" s="407"/>
      <c r="G3129" s="407"/>
      <c r="H3129" s="407"/>
      <c r="I3129" s="407"/>
      <c r="J3129" s="407"/>
      <c r="K3129" s="407"/>
      <c r="L3129" s="166"/>
    </row>
    <row r="3130" spans="1:12" ht="25.5" customHeight="1" x14ac:dyDescent="0.3">
      <c r="A3130" s="382" t="s">
        <v>2094</v>
      </c>
      <c r="B3130" s="312" t="s">
        <v>413</v>
      </c>
      <c r="C3130" s="382" t="s">
        <v>414</v>
      </c>
      <c r="D3130" s="382" t="s">
        <v>415</v>
      </c>
      <c r="E3130" s="586" t="s">
        <v>1029</v>
      </c>
      <c r="F3130" s="586"/>
      <c r="G3130" s="383" t="s">
        <v>416</v>
      </c>
      <c r="H3130" s="312" t="s">
        <v>1030</v>
      </c>
      <c r="I3130" s="312" t="s">
        <v>3016</v>
      </c>
      <c r="J3130" s="312" t="s">
        <v>1031</v>
      </c>
      <c r="K3130" s="312" t="s">
        <v>1032</v>
      </c>
      <c r="L3130" s="166"/>
    </row>
    <row r="3131" spans="1:12" ht="25.5" customHeight="1" x14ac:dyDescent="0.3">
      <c r="A3131" s="313" t="s">
        <v>1033</v>
      </c>
      <c r="B3131" s="315" t="s">
        <v>2970</v>
      </c>
      <c r="C3131" s="313" t="s">
        <v>575</v>
      </c>
      <c r="D3131" s="313" t="s">
        <v>2646</v>
      </c>
      <c r="E3131" s="603" t="s">
        <v>1227</v>
      </c>
      <c r="F3131" s="603"/>
      <c r="G3131" s="314" t="s">
        <v>4</v>
      </c>
      <c r="H3131" s="399">
        <v>1</v>
      </c>
      <c r="I3131" s="316"/>
      <c r="J3131" s="316">
        <v>359.03</v>
      </c>
      <c r="K3131" s="316">
        <v>359.03</v>
      </c>
      <c r="L3131" s="168"/>
    </row>
    <row r="3132" spans="1:12" ht="25.5" customHeight="1" x14ac:dyDescent="0.3">
      <c r="A3132" s="408" t="s">
        <v>1034</v>
      </c>
      <c r="B3132" s="409" t="s">
        <v>1037</v>
      </c>
      <c r="C3132" s="408" t="s">
        <v>395</v>
      </c>
      <c r="D3132" s="408" t="s">
        <v>135</v>
      </c>
      <c r="E3132" s="604" t="s">
        <v>7768</v>
      </c>
      <c r="F3132" s="604"/>
      <c r="G3132" s="410" t="s">
        <v>6</v>
      </c>
      <c r="H3132" s="412">
        <v>1.786</v>
      </c>
      <c r="I3132" s="412">
        <v>0</v>
      </c>
      <c r="J3132" s="411">
        <v>41.81</v>
      </c>
      <c r="K3132" s="411">
        <v>74.672659999999993</v>
      </c>
      <c r="L3132" s="168"/>
    </row>
    <row r="3133" spans="1:12" ht="25.5" customHeight="1" x14ac:dyDescent="0.3">
      <c r="A3133" s="408" t="s">
        <v>1034</v>
      </c>
      <c r="B3133" s="409" t="s">
        <v>1035</v>
      </c>
      <c r="C3133" s="408" t="s">
        <v>395</v>
      </c>
      <c r="D3133" s="408" t="s">
        <v>128</v>
      </c>
      <c r="E3133" s="604" t="s">
        <v>7768</v>
      </c>
      <c r="F3133" s="604"/>
      <c r="G3133" s="410" t="s">
        <v>6</v>
      </c>
      <c r="H3133" s="412">
        <v>2.4449999999999998</v>
      </c>
      <c r="I3133" s="412">
        <v>0</v>
      </c>
      <c r="J3133" s="411">
        <v>34.5</v>
      </c>
      <c r="K3133" s="411">
        <v>84.352500000000006</v>
      </c>
      <c r="L3133" s="168"/>
    </row>
    <row r="3134" spans="1:12" ht="15" customHeight="1" x14ac:dyDescent="0.3">
      <c r="A3134" s="400" t="s">
        <v>1038</v>
      </c>
      <c r="B3134" s="401" t="s">
        <v>3190</v>
      </c>
      <c r="C3134" s="400" t="s">
        <v>575</v>
      </c>
      <c r="D3134" s="400" t="s">
        <v>3191</v>
      </c>
      <c r="E3134" s="605" t="s">
        <v>1039</v>
      </c>
      <c r="F3134" s="605"/>
      <c r="G3134" s="402" t="s">
        <v>4</v>
      </c>
      <c r="H3134" s="403">
        <v>1</v>
      </c>
      <c r="I3134" s="403">
        <v>0</v>
      </c>
      <c r="J3134" s="404">
        <v>200</v>
      </c>
      <c r="K3134" s="404">
        <v>200</v>
      </c>
      <c r="L3134" s="168"/>
    </row>
    <row r="3135" spans="1:12" ht="14.25" customHeight="1" x14ac:dyDescent="0.3">
      <c r="A3135" s="405"/>
      <c r="B3135" s="405"/>
      <c r="C3135" s="405"/>
      <c r="D3135" s="405"/>
      <c r="E3135" s="405" t="s">
        <v>1046</v>
      </c>
      <c r="F3135" s="406">
        <v>115.36</v>
      </c>
      <c r="G3135" s="405" t="s">
        <v>1047</v>
      </c>
      <c r="H3135" s="406">
        <v>0</v>
      </c>
      <c r="I3135" s="405" t="s">
        <v>1048</v>
      </c>
      <c r="J3135" s="406">
        <v>115.36</v>
      </c>
      <c r="K3135"/>
      <c r="L3135" s="166"/>
    </row>
    <row r="3136" spans="1:12" ht="14.25" customHeight="1" thickBot="1" x14ac:dyDescent="0.35">
      <c r="A3136" s="405"/>
      <c r="B3136" s="405"/>
      <c r="C3136" s="405"/>
      <c r="D3136" s="405"/>
      <c r="E3136" s="405" t="s">
        <v>1049</v>
      </c>
      <c r="F3136" s="406">
        <v>0</v>
      </c>
      <c r="G3136" s="405"/>
      <c r="H3136" s="606"/>
      <c r="I3136" s="606" t="s">
        <v>1050</v>
      </c>
      <c r="J3136" s="406">
        <v>359.03</v>
      </c>
      <c r="K3136"/>
      <c r="L3136" s="168"/>
    </row>
    <row r="3137" spans="1:12" ht="15.6" thickTop="1" x14ac:dyDescent="0.3">
      <c r="A3137" s="407"/>
      <c r="B3137" s="407"/>
      <c r="C3137" s="407"/>
      <c r="D3137" s="407"/>
      <c r="E3137" s="407"/>
      <c r="F3137" s="407"/>
      <c r="G3137" s="407"/>
      <c r="H3137" s="407"/>
      <c r="I3137" s="407"/>
      <c r="J3137" s="407"/>
      <c r="K3137" s="407"/>
      <c r="L3137" s="168"/>
    </row>
    <row r="3138" spans="1:12" ht="15" customHeight="1" x14ac:dyDescent="0.3">
      <c r="A3138" s="382" t="s">
        <v>2095</v>
      </c>
      <c r="B3138" s="312" t="s">
        <v>413</v>
      </c>
      <c r="C3138" s="382" t="s">
        <v>414</v>
      </c>
      <c r="D3138" s="382" t="s">
        <v>415</v>
      </c>
      <c r="E3138" s="586" t="s">
        <v>1029</v>
      </c>
      <c r="F3138" s="586"/>
      <c r="G3138" s="383" t="s">
        <v>416</v>
      </c>
      <c r="H3138" s="312" t="s">
        <v>1030</v>
      </c>
      <c r="I3138" s="312" t="s">
        <v>3016</v>
      </c>
      <c r="J3138" s="312" t="s">
        <v>1031</v>
      </c>
      <c r="K3138" s="312" t="s">
        <v>1032</v>
      </c>
      <c r="L3138" s="168"/>
    </row>
    <row r="3139" spans="1:12" ht="25.5" customHeight="1" x14ac:dyDescent="0.3">
      <c r="A3139" s="313" t="s">
        <v>1033</v>
      </c>
      <c r="B3139" s="315" t="s">
        <v>2954</v>
      </c>
      <c r="C3139" s="313" t="s">
        <v>575</v>
      </c>
      <c r="D3139" s="313" t="s">
        <v>2647</v>
      </c>
      <c r="E3139" s="603" t="s">
        <v>1227</v>
      </c>
      <c r="F3139" s="603"/>
      <c r="G3139" s="314" t="s">
        <v>4</v>
      </c>
      <c r="H3139" s="399">
        <v>1</v>
      </c>
      <c r="I3139" s="316"/>
      <c r="J3139" s="316">
        <v>357.48</v>
      </c>
      <c r="K3139" s="316">
        <v>357.48</v>
      </c>
      <c r="L3139" s="166"/>
    </row>
    <row r="3140" spans="1:12" ht="25.5" customHeight="1" x14ac:dyDescent="0.3">
      <c r="A3140" s="400" t="s">
        <v>1038</v>
      </c>
      <c r="B3140" s="401" t="s">
        <v>1051</v>
      </c>
      <c r="C3140" s="400" t="s">
        <v>5902</v>
      </c>
      <c r="D3140" s="400" t="s">
        <v>1052</v>
      </c>
      <c r="E3140" s="605" t="s">
        <v>1053</v>
      </c>
      <c r="F3140" s="605"/>
      <c r="G3140" s="402" t="s">
        <v>6</v>
      </c>
      <c r="H3140" s="403">
        <v>2.9</v>
      </c>
      <c r="I3140" s="403">
        <v>0</v>
      </c>
      <c r="J3140" s="404">
        <v>33.119999999999997</v>
      </c>
      <c r="K3140" s="404">
        <v>96.048000000000002</v>
      </c>
      <c r="L3140" s="166"/>
    </row>
    <row r="3141" spans="1:12" ht="25.5" customHeight="1" x14ac:dyDescent="0.3">
      <c r="A3141" s="400" t="s">
        <v>1038</v>
      </c>
      <c r="B3141" s="401" t="s">
        <v>1054</v>
      </c>
      <c r="C3141" s="400" t="s">
        <v>5902</v>
      </c>
      <c r="D3141" s="400" t="s">
        <v>1055</v>
      </c>
      <c r="E3141" s="605" t="s">
        <v>1053</v>
      </c>
      <c r="F3141" s="605"/>
      <c r="G3141" s="402" t="s">
        <v>6</v>
      </c>
      <c r="H3141" s="403">
        <v>2.9</v>
      </c>
      <c r="I3141" s="403">
        <v>0</v>
      </c>
      <c r="J3141" s="404">
        <v>22.71</v>
      </c>
      <c r="K3141" s="404">
        <v>65.858999999999995</v>
      </c>
      <c r="L3141" s="168"/>
    </row>
    <row r="3142" spans="1:12" ht="25.5" customHeight="1" x14ac:dyDescent="0.3">
      <c r="A3142" s="400" t="s">
        <v>1038</v>
      </c>
      <c r="B3142" s="401" t="s">
        <v>3168</v>
      </c>
      <c r="C3142" s="400" t="s">
        <v>575</v>
      </c>
      <c r="D3142" s="400" t="s">
        <v>2647</v>
      </c>
      <c r="E3142" s="605" t="s">
        <v>1039</v>
      </c>
      <c r="F3142" s="605"/>
      <c r="G3142" s="402" t="s">
        <v>4</v>
      </c>
      <c r="H3142" s="403">
        <v>1</v>
      </c>
      <c r="I3142" s="403">
        <v>0</v>
      </c>
      <c r="J3142" s="404">
        <v>195.57</v>
      </c>
      <c r="K3142" s="404">
        <v>195.57</v>
      </c>
      <c r="L3142" s="168"/>
    </row>
    <row r="3143" spans="1:12" ht="25.5" customHeight="1" x14ac:dyDescent="0.3">
      <c r="A3143" s="405"/>
      <c r="B3143" s="405"/>
      <c r="C3143" s="405"/>
      <c r="D3143" s="405"/>
      <c r="E3143" s="405" t="s">
        <v>1046</v>
      </c>
      <c r="F3143" s="406">
        <v>161.91</v>
      </c>
      <c r="G3143" s="405" t="s">
        <v>1047</v>
      </c>
      <c r="H3143" s="406">
        <v>0</v>
      </c>
      <c r="I3143" s="405" t="s">
        <v>1048</v>
      </c>
      <c r="J3143" s="406">
        <v>161.91</v>
      </c>
      <c r="K3143"/>
      <c r="L3143" s="168"/>
    </row>
    <row r="3144" spans="1:12" ht="15" customHeight="1" thickBot="1" x14ac:dyDescent="0.35">
      <c r="A3144" s="405"/>
      <c r="B3144" s="405"/>
      <c r="C3144" s="405"/>
      <c r="D3144" s="405"/>
      <c r="E3144" s="405" t="s">
        <v>1049</v>
      </c>
      <c r="F3144" s="406">
        <v>0</v>
      </c>
      <c r="G3144" s="405"/>
      <c r="H3144" s="606"/>
      <c r="I3144" s="606" t="s">
        <v>1050</v>
      </c>
      <c r="J3144" s="406">
        <v>357.48</v>
      </c>
      <c r="K3144"/>
      <c r="L3144" s="166"/>
    </row>
    <row r="3145" spans="1:12" ht="14.25" customHeight="1" thickTop="1" x14ac:dyDescent="0.3">
      <c r="A3145" s="407"/>
      <c r="B3145" s="407"/>
      <c r="C3145" s="407"/>
      <c r="D3145" s="407"/>
      <c r="E3145" s="407"/>
      <c r="F3145" s="407"/>
      <c r="G3145" s="407"/>
      <c r="H3145" s="407"/>
      <c r="I3145" s="407"/>
      <c r="J3145" s="407"/>
      <c r="K3145" s="407"/>
      <c r="L3145" s="166"/>
    </row>
    <row r="3146" spans="1:12" ht="15" customHeight="1" x14ac:dyDescent="0.3">
      <c r="A3146" s="382" t="s">
        <v>2096</v>
      </c>
      <c r="B3146" s="312" t="s">
        <v>413</v>
      </c>
      <c r="C3146" s="382" t="s">
        <v>414</v>
      </c>
      <c r="D3146" s="382" t="s">
        <v>415</v>
      </c>
      <c r="E3146" s="586" t="s">
        <v>1029</v>
      </c>
      <c r="F3146" s="586"/>
      <c r="G3146" s="383" t="s">
        <v>416</v>
      </c>
      <c r="H3146" s="312" t="s">
        <v>1030</v>
      </c>
      <c r="I3146" s="312" t="s">
        <v>3016</v>
      </c>
      <c r="J3146" s="312" t="s">
        <v>1031</v>
      </c>
      <c r="K3146" s="312" t="s">
        <v>1032</v>
      </c>
      <c r="L3146" s="166"/>
    </row>
    <row r="3147" spans="1:12" ht="15" x14ac:dyDescent="0.3">
      <c r="A3147" s="313" t="s">
        <v>1033</v>
      </c>
      <c r="B3147" s="315" t="s">
        <v>2955</v>
      </c>
      <c r="C3147" s="313" t="s">
        <v>575</v>
      </c>
      <c r="D3147" s="313" t="s">
        <v>2648</v>
      </c>
      <c r="E3147" s="603" t="s">
        <v>1227</v>
      </c>
      <c r="F3147" s="603"/>
      <c r="G3147" s="314" t="s">
        <v>4</v>
      </c>
      <c r="H3147" s="399">
        <v>1</v>
      </c>
      <c r="I3147" s="316"/>
      <c r="J3147" s="316">
        <v>310.27</v>
      </c>
      <c r="K3147" s="316">
        <v>310.27</v>
      </c>
      <c r="L3147" s="166"/>
    </row>
    <row r="3148" spans="1:12" ht="15" customHeight="1" x14ac:dyDescent="0.3">
      <c r="A3148" s="400" t="s">
        <v>1038</v>
      </c>
      <c r="B3148" s="401" t="s">
        <v>1051</v>
      </c>
      <c r="C3148" s="400" t="s">
        <v>5902</v>
      </c>
      <c r="D3148" s="400" t="s">
        <v>1052</v>
      </c>
      <c r="E3148" s="605" t="s">
        <v>1053</v>
      </c>
      <c r="F3148" s="605"/>
      <c r="G3148" s="402" t="s">
        <v>6</v>
      </c>
      <c r="H3148" s="403">
        <v>2.9</v>
      </c>
      <c r="I3148" s="403">
        <v>0</v>
      </c>
      <c r="J3148" s="404">
        <v>33.119999999999997</v>
      </c>
      <c r="K3148" s="404">
        <v>96.048000000000002</v>
      </c>
      <c r="L3148" s="166"/>
    </row>
    <row r="3149" spans="1:12" ht="25.5" customHeight="1" x14ac:dyDescent="0.3">
      <c r="A3149" s="400" t="s">
        <v>1038</v>
      </c>
      <c r="B3149" s="401" t="s">
        <v>1054</v>
      </c>
      <c r="C3149" s="400" t="s">
        <v>5902</v>
      </c>
      <c r="D3149" s="400" t="s">
        <v>1055</v>
      </c>
      <c r="E3149" s="605" t="s">
        <v>1053</v>
      </c>
      <c r="F3149" s="605"/>
      <c r="G3149" s="402" t="s">
        <v>6</v>
      </c>
      <c r="H3149" s="403">
        <v>2.9</v>
      </c>
      <c r="I3149" s="403">
        <v>0</v>
      </c>
      <c r="J3149" s="404">
        <v>22.71</v>
      </c>
      <c r="K3149" s="404">
        <v>65.858999999999995</v>
      </c>
      <c r="L3149" s="166"/>
    </row>
    <row r="3150" spans="1:12" ht="15" customHeight="1" x14ac:dyDescent="0.3">
      <c r="A3150" s="400" t="s">
        <v>1038</v>
      </c>
      <c r="B3150" s="401" t="s">
        <v>3169</v>
      </c>
      <c r="C3150" s="400" t="s">
        <v>575</v>
      </c>
      <c r="D3150" s="400" t="s">
        <v>2648</v>
      </c>
      <c r="E3150" s="605" t="s">
        <v>1039</v>
      </c>
      <c r="F3150" s="605"/>
      <c r="G3150" s="402" t="s">
        <v>4</v>
      </c>
      <c r="H3150" s="403">
        <v>1</v>
      </c>
      <c r="I3150" s="403">
        <v>0</v>
      </c>
      <c r="J3150" s="404">
        <v>148.36000000000001</v>
      </c>
      <c r="K3150" s="404">
        <v>148.36000000000001</v>
      </c>
      <c r="L3150" s="166"/>
    </row>
    <row r="3151" spans="1:12" ht="25.5" customHeight="1" x14ac:dyDescent="0.3">
      <c r="A3151" s="405"/>
      <c r="B3151" s="405"/>
      <c r="C3151" s="405"/>
      <c r="D3151" s="405"/>
      <c r="E3151" s="405" t="s">
        <v>1046</v>
      </c>
      <c r="F3151" s="406">
        <v>161.91</v>
      </c>
      <c r="G3151" s="405" t="s">
        <v>1047</v>
      </c>
      <c r="H3151" s="406">
        <v>0</v>
      </c>
      <c r="I3151" s="405" t="s">
        <v>1048</v>
      </c>
      <c r="J3151" s="406">
        <v>161.91</v>
      </c>
      <c r="K3151"/>
      <c r="L3151" s="168"/>
    </row>
    <row r="3152" spans="1:12" ht="25.5" customHeight="1" thickBot="1" x14ac:dyDescent="0.35">
      <c r="A3152" s="405"/>
      <c r="B3152" s="405"/>
      <c r="C3152" s="405"/>
      <c r="D3152" s="405"/>
      <c r="E3152" s="405" t="s">
        <v>1049</v>
      </c>
      <c r="F3152" s="406">
        <v>0</v>
      </c>
      <c r="G3152" s="405"/>
      <c r="H3152" s="606"/>
      <c r="I3152" s="606" t="s">
        <v>1050</v>
      </c>
      <c r="J3152" s="406">
        <v>310.27</v>
      </c>
      <c r="K3152"/>
      <c r="L3152" s="170"/>
    </row>
    <row r="3153" spans="1:12" ht="15" customHeight="1" thickTop="1" x14ac:dyDescent="0.3">
      <c r="A3153" s="407"/>
      <c r="B3153" s="407"/>
      <c r="C3153" s="407"/>
      <c r="D3153" s="407"/>
      <c r="E3153" s="407"/>
      <c r="F3153" s="407"/>
      <c r="G3153" s="407"/>
      <c r="H3153" s="407"/>
      <c r="I3153" s="407"/>
      <c r="J3153" s="407"/>
      <c r="K3153" s="407"/>
      <c r="L3153" s="168"/>
    </row>
    <row r="3154" spans="1:12" ht="15" customHeight="1" x14ac:dyDescent="0.3">
      <c r="A3154" s="382" t="s">
        <v>2097</v>
      </c>
      <c r="B3154" s="312" t="s">
        <v>413</v>
      </c>
      <c r="C3154" s="382" t="s">
        <v>414</v>
      </c>
      <c r="D3154" s="382" t="s">
        <v>415</v>
      </c>
      <c r="E3154" s="586" t="s">
        <v>1029</v>
      </c>
      <c r="F3154" s="586"/>
      <c r="G3154" s="383" t="s">
        <v>416</v>
      </c>
      <c r="H3154" s="312" t="s">
        <v>1030</v>
      </c>
      <c r="I3154" s="312" t="s">
        <v>3016</v>
      </c>
      <c r="J3154" s="312" t="s">
        <v>1031</v>
      </c>
      <c r="K3154" s="312" t="s">
        <v>1032</v>
      </c>
      <c r="L3154" s="168"/>
    </row>
    <row r="3155" spans="1:12" ht="14.25" customHeight="1" x14ac:dyDescent="0.3">
      <c r="A3155" s="313" t="s">
        <v>1033</v>
      </c>
      <c r="B3155" s="315" t="s">
        <v>2170</v>
      </c>
      <c r="C3155" s="313" t="s">
        <v>420</v>
      </c>
      <c r="D3155" s="313" t="s">
        <v>5985</v>
      </c>
      <c r="E3155" s="603" t="s">
        <v>2455</v>
      </c>
      <c r="F3155" s="603"/>
      <c r="G3155" s="314" t="s">
        <v>422</v>
      </c>
      <c r="H3155" s="399">
        <v>1</v>
      </c>
      <c r="I3155" s="316"/>
      <c r="J3155" s="316">
        <v>120.45</v>
      </c>
      <c r="K3155" s="316">
        <v>120.45</v>
      </c>
      <c r="L3155" s="168"/>
    </row>
    <row r="3156" spans="1:12" ht="26.4" x14ac:dyDescent="0.3">
      <c r="A3156" s="400" t="s">
        <v>1038</v>
      </c>
      <c r="B3156" s="401" t="s">
        <v>6629</v>
      </c>
      <c r="C3156" s="400" t="s">
        <v>420</v>
      </c>
      <c r="D3156" s="400" t="s">
        <v>6630</v>
      </c>
      <c r="E3156" s="605" t="s">
        <v>1039</v>
      </c>
      <c r="F3156" s="605"/>
      <c r="G3156" s="402" t="s">
        <v>422</v>
      </c>
      <c r="H3156" s="403">
        <v>1</v>
      </c>
      <c r="I3156" s="403">
        <v>0</v>
      </c>
      <c r="J3156" s="404">
        <v>120.45</v>
      </c>
      <c r="K3156" s="404">
        <v>120.45</v>
      </c>
      <c r="L3156" s="166"/>
    </row>
    <row r="3157" spans="1:12" ht="15" customHeight="1" x14ac:dyDescent="0.3">
      <c r="A3157" s="405"/>
      <c r="B3157" s="405"/>
      <c r="C3157" s="405"/>
      <c r="D3157" s="405"/>
      <c r="E3157" s="405" t="s">
        <v>1046</v>
      </c>
      <c r="F3157" s="406">
        <v>0</v>
      </c>
      <c r="G3157" s="405" t="s">
        <v>1047</v>
      </c>
      <c r="H3157" s="406">
        <v>0</v>
      </c>
      <c r="I3157" s="405" t="s">
        <v>1048</v>
      </c>
      <c r="J3157" s="406">
        <v>0</v>
      </c>
      <c r="K3157"/>
      <c r="L3157" s="166"/>
    </row>
    <row r="3158" spans="1:12" ht="15" customHeight="1" thickBot="1" x14ac:dyDescent="0.35">
      <c r="A3158" s="405"/>
      <c r="B3158" s="405"/>
      <c r="C3158" s="405"/>
      <c r="D3158" s="405"/>
      <c r="E3158" s="405" t="s">
        <v>1049</v>
      </c>
      <c r="F3158" s="406">
        <v>0</v>
      </c>
      <c r="G3158" s="405"/>
      <c r="H3158" s="606"/>
      <c r="I3158" s="606" t="s">
        <v>1050</v>
      </c>
      <c r="J3158" s="406">
        <v>120.45</v>
      </c>
      <c r="K3158"/>
      <c r="L3158" s="168"/>
    </row>
    <row r="3159" spans="1:12" ht="25.5" customHeight="1" thickTop="1" x14ac:dyDescent="0.3">
      <c r="A3159" s="407"/>
      <c r="B3159" s="407"/>
      <c r="C3159" s="407"/>
      <c r="D3159" s="407"/>
      <c r="E3159" s="407"/>
      <c r="F3159" s="407"/>
      <c r="G3159" s="407"/>
      <c r="H3159" s="407"/>
      <c r="I3159" s="407"/>
      <c r="J3159" s="407"/>
      <c r="K3159" s="407"/>
      <c r="L3159" s="168"/>
    </row>
    <row r="3160" spans="1:12" ht="15" x14ac:dyDescent="0.3">
      <c r="A3160" s="382" t="s">
        <v>2100</v>
      </c>
      <c r="B3160" s="312" t="s">
        <v>413</v>
      </c>
      <c r="C3160" s="382" t="s">
        <v>414</v>
      </c>
      <c r="D3160" s="382" t="s">
        <v>415</v>
      </c>
      <c r="E3160" s="586" t="s">
        <v>1029</v>
      </c>
      <c r="F3160" s="586"/>
      <c r="G3160" s="383" t="s">
        <v>416</v>
      </c>
      <c r="H3160" s="312" t="s">
        <v>1030</v>
      </c>
      <c r="I3160" s="312" t="s">
        <v>3016</v>
      </c>
      <c r="J3160" s="312" t="s">
        <v>1031</v>
      </c>
      <c r="K3160" s="312" t="s">
        <v>1032</v>
      </c>
      <c r="L3160" s="168"/>
    </row>
    <row r="3161" spans="1:12" ht="15" x14ac:dyDescent="0.3">
      <c r="A3161" s="313" t="s">
        <v>1033</v>
      </c>
      <c r="B3161" s="315" t="s">
        <v>2974</v>
      </c>
      <c r="C3161" s="313" t="s">
        <v>575</v>
      </c>
      <c r="D3161" s="313" t="s">
        <v>2650</v>
      </c>
      <c r="E3161" s="603">
        <v>9.52</v>
      </c>
      <c r="F3161" s="603"/>
      <c r="G3161" s="314" t="s">
        <v>4</v>
      </c>
      <c r="H3161" s="399">
        <v>1</v>
      </c>
      <c r="I3161" s="316"/>
      <c r="J3161" s="316">
        <v>26.36</v>
      </c>
      <c r="K3161" s="316">
        <v>26.36</v>
      </c>
      <c r="L3161" s="168"/>
    </row>
    <row r="3162" spans="1:12" ht="15" customHeight="1" x14ac:dyDescent="0.3">
      <c r="A3162" s="408" t="s">
        <v>1034</v>
      </c>
      <c r="B3162" s="409" t="s">
        <v>1037</v>
      </c>
      <c r="C3162" s="408" t="s">
        <v>395</v>
      </c>
      <c r="D3162" s="408" t="s">
        <v>135</v>
      </c>
      <c r="E3162" s="604" t="s">
        <v>7768</v>
      </c>
      <c r="F3162" s="604"/>
      <c r="G3162" s="410" t="s">
        <v>6</v>
      </c>
      <c r="H3162" s="412">
        <v>0.125</v>
      </c>
      <c r="I3162" s="412">
        <v>0</v>
      </c>
      <c r="J3162" s="411">
        <v>41.81</v>
      </c>
      <c r="K3162" s="411">
        <v>5.2262500000000003</v>
      </c>
      <c r="L3162" s="166"/>
    </row>
    <row r="3163" spans="1:12" ht="14.25" customHeight="1" x14ac:dyDescent="0.3">
      <c r="A3163" s="408" t="s">
        <v>1034</v>
      </c>
      <c r="B3163" s="409" t="s">
        <v>1035</v>
      </c>
      <c r="C3163" s="408" t="s">
        <v>395</v>
      </c>
      <c r="D3163" s="408" t="s">
        <v>128</v>
      </c>
      <c r="E3163" s="604" t="s">
        <v>7768</v>
      </c>
      <c r="F3163" s="604"/>
      <c r="G3163" s="410" t="s">
        <v>6</v>
      </c>
      <c r="H3163" s="412">
        <v>0.125</v>
      </c>
      <c r="I3163" s="412">
        <v>0</v>
      </c>
      <c r="J3163" s="411">
        <v>34.5</v>
      </c>
      <c r="K3163" s="411">
        <v>4.3125</v>
      </c>
      <c r="L3163" s="168"/>
    </row>
    <row r="3164" spans="1:12" ht="15" x14ac:dyDescent="0.3">
      <c r="A3164" s="400" t="s">
        <v>1038</v>
      </c>
      <c r="B3164" s="401" t="s">
        <v>3194</v>
      </c>
      <c r="C3164" s="400" t="s">
        <v>575</v>
      </c>
      <c r="D3164" s="400" t="s">
        <v>2650</v>
      </c>
      <c r="E3164" s="605" t="s">
        <v>1039</v>
      </c>
      <c r="F3164" s="605"/>
      <c r="G3164" s="402" t="s">
        <v>4</v>
      </c>
      <c r="H3164" s="403">
        <v>1</v>
      </c>
      <c r="I3164" s="403">
        <v>0</v>
      </c>
      <c r="J3164" s="404">
        <v>16.82</v>
      </c>
      <c r="K3164" s="404">
        <v>16.82</v>
      </c>
      <c r="L3164" s="168"/>
    </row>
    <row r="3165" spans="1:12" ht="15" customHeight="1" x14ac:dyDescent="0.3">
      <c r="A3165" s="405"/>
      <c r="B3165" s="405"/>
      <c r="C3165" s="405"/>
      <c r="D3165" s="405"/>
      <c r="E3165" s="405" t="s">
        <v>1046</v>
      </c>
      <c r="F3165" s="406">
        <v>6.96</v>
      </c>
      <c r="G3165" s="405" t="s">
        <v>1047</v>
      </c>
      <c r="H3165" s="406">
        <v>0</v>
      </c>
      <c r="I3165" s="405" t="s">
        <v>1048</v>
      </c>
      <c r="J3165" s="406">
        <v>6.96</v>
      </c>
      <c r="K3165"/>
      <c r="L3165" s="168"/>
    </row>
    <row r="3166" spans="1:12" ht="15.6" thickBot="1" x14ac:dyDescent="0.35">
      <c r="A3166" s="405"/>
      <c r="B3166" s="405"/>
      <c r="C3166" s="405"/>
      <c r="D3166" s="405"/>
      <c r="E3166" s="405" t="s">
        <v>1049</v>
      </c>
      <c r="F3166" s="406">
        <v>0</v>
      </c>
      <c r="G3166" s="405"/>
      <c r="H3166" s="606"/>
      <c r="I3166" s="606" t="s">
        <v>1050</v>
      </c>
      <c r="J3166" s="406">
        <v>26.36</v>
      </c>
      <c r="K3166"/>
      <c r="L3166" s="166"/>
    </row>
    <row r="3167" spans="1:12" ht="15.6" thickTop="1" x14ac:dyDescent="0.3">
      <c r="A3167" s="407"/>
      <c r="B3167" s="407"/>
      <c r="C3167" s="407"/>
      <c r="D3167" s="407"/>
      <c r="E3167" s="407"/>
      <c r="F3167" s="407"/>
      <c r="G3167" s="407"/>
      <c r="H3167" s="407"/>
      <c r="I3167" s="407"/>
      <c r="J3167" s="407"/>
      <c r="K3167" s="407"/>
      <c r="L3167" s="166"/>
    </row>
    <row r="3168" spans="1:12" ht="15" x14ac:dyDescent="0.3">
      <c r="A3168" s="382" t="s">
        <v>2101</v>
      </c>
      <c r="B3168" s="312" t="s">
        <v>413</v>
      </c>
      <c r="C3168" s="382" t="s">
        <v>414</v>
      </c>
      <c r="D3168" s="382" t="s">
        <v>415</v>
      </c>
      <c r="E3168" s="586" t="s">
        <v>1029</v>
      </c>
      <c r="F3168" s="586"/>
      <c r="G3168" s="383" t="s">
        <v>416</v>
      </c>
      <c r="H3168" s="312" t="s">
        <v>1030</v>
      </c>
      <c r="I3168" s="312" t="s">
        <v>3016</v>
      </c>
      <c r="J3168" s="312" t="s">
        <v>1031</v>
      </c>
      <c r="K3168" s="312" t="s">
        <v>1032</v>
      </c>
      <c r="L3168" s="168"/>
    </row>
    <row r="3169" spans="1:12" ht="15" x14ac:dyDescent="0.3">
      <c r="A3169" s="313" t="s">
        <v>1033</v>
      </c>
      <c r="B3169" s="315" t="s">
        <v>2965</v>
      </c>
      <c r="C3169" s="313" t="s">
        <v>575</v>
      </c>
      <c r="D3169" s="313" t="s">
        <v>2651</v>
      </c>
      <c r="E3169" s="603" t="s">
        <v>1227</v>
      </c>
      <c r="F3169" s="603"/>
      <c r="G3169" s="314" t="s">
        <v>4</v>
      </c>
      <c r="H3169" s="399">
        <v>1</v>
      </c>
      <c r="I3169" s="316"/>
      <c r="J3169" s="316">
        <v>68.55</v>
      </c>
      <c r="K3169" s="316">
        <v>68.55</v>
      </c>
      <c r="L3169" s="168"/>
    </row>
    <row r="3170" spans="1:12" ht="15" customHeight="1" x14ac:dyDescent="0.3">
      <c r="A3170" s="408" t="s">
        <v>1034</v>
      </c>
      <c r="B3170" s="409" t="s">
        <v>1035</v>
      </c>
      <c r="C3170" s="408" t="s">
        <v>395</v>
      </c>
      <c r="D3170" s="408" t="s">
        <v>128</v>
      </c>
      <c r="E3170" s="604" t="s">
        <v>7768</v>
      </c>
      <c r="F3170" s="604"/>
      <c r="G3170" s="410" t="s">
        <v>6</v>
      </c>
      <c r="H3170" s="412">
        <v>0.10299999999999999</v>
      </c>
      <c r="I3170" s="412">
        <v>0</v>
      </c>
      <c r="J3170" s="411">
        <v>34.5</v>
      </c>
      <c r="K3170" s="411">
        <v>3.5535000000000001</v>
      </c>
      <c r="L3170" s="168"/>
    </row>
    <row r="3171" spans="1:12" ht="15" customHeight="1" x14ac:dyDescent="0.3">
      <c r="A3171" s="400" t="s">
        <v>1038</v>
      </c>
      <c r="B3171" s="401" t="s">
        <v>3178</v>
      </c>
      <c r="C3171" s="400" t="s">
        <v>575</v>
      </c>
      <c r="D3171" s="400" t="s">
        <v>2651</v>
      </c>
      <c r="E3171" s="605" t="s">
        <v>1039</v>
      </c>
      <c r="F3171" s="605"/>
      <c r="G3171" s="402" t="s">
        <v>4</v>
      </c>
      <c r="H3171" s="403">
        <v>1</v>
      </c>
      <c r="I3171" s="403">
        <v>0</v>
      </c>
      <c r="J3171" s="404">
        <v>65</v>
      </c>
      <c r="K3171" s="404">
        <v>65</v>
      </c>
      <c r="L3171" s="166"/>
    </row>
    <row r="3172" spans="1:12" ht="15" customHeight="1" x14ac:dyDescent="0.3">
      <c r="A3172" s="405"/>
      <c r="B3172" s="405"/>
      <c r="C3172" s="405"/>
      <c r="D3172" s="405"/>
      <c r="E3172" s="405" t="s">
        <v>1046</v>
      </c>
      <c r="F3172" s="406">
        <v>2.4900000000000002</v>
      </c>
      <c r="G3172" s="405" t="s">
        <v>1047</v>
      </c>
      <c r="H3172" s="406">
        <v>0</v>
      </c>
      <c r="I3172" s="405" t="s">
        <v>1048</v>
      </c>
      <c r="J3172" s="406">
        <v>2.4900000000000002</v>
      </c>
      <c r="K3172"/>
      <c r="L3172" s="166"/>
    </row>
    <row r="3173" spans="1:12" ht="15" customHeight="1" thickBot="1" x14ac:dyDescent="0.35">
      <c r="A3173" s="405"/>
      <c r="B3173" s="405"/>
      <c r="C3173" s="405"/>
      <c r="D3173" s="405"/>
      <c r="E3173" s="405" t="s">
        <v>1049</v>
      </c>
      <c r="F3173" s="406">
        <v>0</v>
      </c>
      <c r="G3173" s="405"/>
      <c r="H3173" s="606"/>
      <c r="I3173" s="606" t="s">
        <v>1050</v>
      </c>
      <c r="J3173" s="406">
        <v>68.55</v>
      </c>
      <c r="K3173"/>
      <c r="L3173" s="166"/>
    </row>
    <row r="3174" spans="1:12" ht="15" customHeight="1" thickTop="1" x14ac:dyDescent="0.3">
      <c r="A3174" s="407"/>
      <c r="B3174" s="407"/>
      <c r="C3174" s="407"/>
      <c r="D3174" s="407"/>
      <c r="E3174" s="407"/>
      <c r="F3174" s="407"/>
      <c r="G3174" s="407"/>
      <c r="H3174" s="407"/>
      <c r="I3174" s="407"/>
      <c r="J3174" s="407"/>
      <c r="K3174" s="407"/>
      <c r="L3174" s="166"/>
    </row>
    <row r="3175" spans="1:12" ht="15" customHeight="1" x14ac:dyDescent="0.3">
      <c r="A3175" s="382" t="s">
        <v>2102</v>
      </c>
      <c r="B3175" s="312" t="s">
        <v>413</v>
      </c>
      <c r="C3175" s="382" t="s">
        <v>414</v>
      </c>
      <c r="D3175" s="382" t="s">
        <v>415</v>
      </c>
      <c r="E3175" s="586" t="s">
        <v>1029</v>
      </c>
      <c r="F3175" s="586"/>
      <c r="G3175" s="383" t="s">
        <v>416</v>
      </c>
      <c r="H3175" s="312" t="s">
        <v>1030</v>
      </c>
      <c r="I3175" s="312" t="s">
        <v>3016</v>
      </c>
      <c r="J3175" s="312" t="s">
        <v>1031</v>
      </c>
      <c r="K3175" s="312" t="s">
        <v>1032</v>
      </c>
      <c r="L3175" s="166"/>
    </row>
    <row r="3176" spans="1:12" ht="15" customHeight="1" x14ac:dyDescent="0.3">
      <c r="A3176" s="313" t="s">
        <v>1033</v>
      </c>
      <c r="B3176" s="315" t="s">
        <v>3870</v>
      </c>
      <c r="C3176" s="313" t="s">
        <v>395</v>
      </c>
      <c r="D3176" s="313" t="s">
        <v>5986</v>
      </c>
      <c r="E3176" s="603" t="s">
        <v>7791</v>
      </c>
      <c r="F3176" s="603"/>
      <c r="G3176" s="314" t="s">
        <v>4</v>
      </c>
      <c r="H3176" s="399">
        <v>1</v>
      </c>
      <c r="I3176" s="316"/>
      <c r="J3176" s="316">
        <v>593.30999999999995</v>
      </c>
      <c r="K3176" s="316">
        <v>593.30999999999995</v>
      </c>
      <c r="L3176" s="166"/>
    </row>
    <row r="3177" spans="1:12" ht="15" customHeight="1" x14ac:dyDescent="0.3">
      <c r="A3177" s="408" t="s">
        <v>1034</v>
      </c>
      <c r="B3177" s="409" t="s">
        <v>5254</v>
      </c>
      <c r="C3177" s="408" t="s">
        <v>395</v>
      </c>
      <c r="D3177" s="408" t="s">
        <v>5255</v>
      </c>
      <c r="E3177" s="604" t="s">
        <v>7840</v>
      </c>
      <c r="F3177" s="604"/>
      <c r="G3177" s="410" t="s">
        <v>713</v>
      </c>
      <c r="H3177" s="412">
        <v>1.44E-2</v>
      </c>
      <c r="I3177" s="412">
        <v>0</v>
      </c>
      <c r="J3177" s="411">
        <v>837.23</v>
      </c>
      <c r="K3177" s="411">
        <v>12.056112000000001</v>
      </c>
      <c r="L3177" s="166"/>
    </row>
    <row r="3178" spans="1:12" ht="26.4" x14ac:dyDescent="0.3">
      <c r="A3178" s="408" t="s">
        <v>1034</v>
      </c>
      <c r="B3178" s="409" t="s">
        <v>1035</v>
      </c>
      <c r="C3178" s="408" t="s">
        <v>395</v>
      </c>
      <c r="D3178" s="408" t="s">
        <v>128</v>
      </c>
      <c r="E3178" s="604" t="s">
        <v>7768</v>
      </c>
      <c r="F3178" s="604"/>
      <c r="G3178" s="410" t="s">
        <v>6</v>
      </c>
      <c r="H3178" s="412">
        <v>1.657</v>
      </c>
      <c r="I3178" s="412">
        <v>0</v>
      </c>
      <c r="J3178" s="411">
        <v>34.5</v>
      </c>
      <c r="K3178" s="411">
        <v>57.166499999999999</v>
      </c>
      <c r="L3178" s="172"/>
    </row>
    <row r="3179" spans="1:12" ht="26.4" x14ac:dyDescent="0.3">
      <c r="A3179" s="408" t="s">
        <v>1034</v>
      </c>
      <c r="B3179" s="409" t="s">
        <v>1037</v>
      </c>
      <c r="C3179" s="408" t="s">
        <v>395</v>
      </c>
      <c r="D3179" s="408" t="s">
        <v>135</v>
      </c>
      <c r="E3179" s="604" t="s">
        <v>7768</v>
      </c>
      <c r="F3179" s="604"/>
      <c r="G3179" s="410" t="s">
        <v>6</v>
      </c>
      <c r="H3179" s="412">
        <v>1.657</v>
      </c>
      <c r="I3179" s="412">
        <v>0</v>
      </c>
      <c r="J3179" s="411">
        <v>41.81</v>
      </c>
      <c r="K3179" s="411">
        <v>69.279169999999993</v>
      </c>
      <c r="L3179" s="170"/>
    </row>
    <row r="3180" spans="1:12" ht="15" customHeight="1" x14ac:dyDescent="0.3">
      <c r="A3180" s="400" t="s">
        <v>1038</v>
      </c>
      <c r="B3180" s="401" t="s">
        <v>4050</v>
      </c>
      <c r="C3180" s="400" t="s">
        <v>395</v>
      </c>
      <c r="D3180" s="400" t="s">
        <v>4051</v>
      </c>
      <c r="E3180" s="605" t="s">
        <v>1039</v>
      </c>
      <c r="F3180" s="605"/>
      <c r="G3180" s="402" t="s">
        <v>4</v>
      </c>
      <c r="H3180" s="403">
        <v>1</v>
      </c>
      <c r="I3180" s="403">
        <v>0</v>
      </c>
      <c r="J3180" s="404">
        <v>454.81</v>
      </c>
      <c r="K3180" s="404">
        <v>454.81</v>
      </c>
      <c r="L3180" s="168"/>
    </row>
    <row r="3181" spans="1:12" ht="15" customHeight="1" x14ac:dyDescent="0.3">
      <c r="A3181" s="405"/>
      <c r="B3181" s="405"/>
      <c r="C3181" s="405"/>
      <c r="D3181" s="405"/>
      <c r="E3181" s="405" t="s">
        <v>1046</v>
      </c>
      <c r="F3181" s="406">
        <v>95.9</v>
      </c>
      <c r="G3181" s="405" t="s">
        <v>1047</v>
      </c>
      <c r="H3181" s="406">
        <v>0.01</v>
      </c>
      <c r="I3181" s="405" t="s">
        <v>1048</v>
      </c>
      <c r="J3181" s="406">
        <v>95.91</v>
      </c>
      <c r="K3181"/>
      <c r="L3181" s="168"/>
    </row>
    <row r="3182" spans="1:12" ht="15.6" thickBot="1" x14ac:dyDescent="0.35">
      <c r="A3182" s="405"/>
      <c r="B3182" s="405"/>
      <c r="C3182" s="405"/>
      <c r="D3182" s="405"/>
      <c r="E3182" s="405" t="s">
        <v>1049</v>
      </c>
      <c r="F3182" s="406">
        <v>0</v>
      </c>
      <c r="G3182" s="405"/>
      <c r="H3182" s="606"/>
      <c r="I3182" s="606" t="s">
        <v>1050</v>
      </c>
      <c r="J3182" s="406">
        <v>593.30999999999995</v>
      </c>
      <c r="K3182"/>
      <c r="L3182" s="168"/>
    </row>
    <row r="3183" spans="1:12" ht="15.6" thickTop="1" x14ac:dyDescent="0.3">
      <c r="A3183" s="407"/>
      <c r="B3183" s="407"/>
      <c r="C3183" s="407"/>
      <c r="D3183" s="407"/>
      <c r="E3183" s="407"/>
      <c r="F3183" s="407"/>
      <c r="G3183" s="407"/>
      <c r="H3183" s="407"/>
      <c r="I3183" s="407"/>
      <c r="J3183" s="407"/>
      <c r="K3183" s="407"/>
      <c r="L3183" s="166"/>
    </row>
    <row r="3184" spans="1:12" ht="15" customHeight="1" x14ac:dyDescent="0.3">
      <c r="A3184" s="382" t="s">
        <v>2611</v>
      </c>
      <c r="B3184" s="312" t="s">
        <v>413</v>
      </c>
      <c r="C3184" s="382" t="s">
        <v>414</v>
      </c>
      <c r="D3184" s="382" t="s">
        <v>415</v>
      </c>
      <c r="E3184" s="586" t="s">
        <v>1029</v>
      </c>
      <c r="F3184" s="586"/>
      <c r="G3184" s="383" t="s">
        <v>416</v>
      </c>
      <c r="H3184" s="312" t="s">
        <v>1030</v>
      </c>
      <c r="I3184" s="312" t="s">
        <v>3016</v>
      </c>
      <c r="J3184" s="312" t="s">
        <v>1031</v>
      </c>
      <c r="K3184" s="312" t="s">
        <v>1032</v>
      </c>
      <c r="L3184" s="166"/>
    </row>
    <row r="3185" spans="1:12" ht="15" customHeight="1" x14ac:dyDescent="0.3">
      <c r="A3185" s="313" t="s">
        <v>1033</v>
      </c>
      <c r="B3185" s="315" t="s">
        <v>2100</v>
      </c>
      <c r="C3185" s="313" t="s">
        <v>420</v>
      </c>
      <c r="D3185" s="313" t="s">
        <v>5987</v>
      </c>
      <c r="E3185" s="603" t="s">
        <v>3119</v>
      </c>
      <c r="F3185" s="603"/>
      <c r="G3185" s="314" t="s">
        <v>422</v>
      </c>
      <c r="H3185" s="399">
        <v>1</v>
      </c>
      <c r="I3185" s="316"/>
      <c r="J3185" s="316">
        <v>205.05</v>
      </c>
      <c r="K3185" s="316">
        <v>205.05</v>
      </c>
      <c r="L3185" s="168"/>
    </row>
    <row r="3186" spans="1:12" ht="25.5" customHeight="1" x14ac:dyDescent="0.3">
      <c r="A3186" s="408" t="s">
        <v>1034</v>
      </c>
      <c r="B3186" s="409" t="s">
        <v>1071</v>
      </c>
      <c r="C3186" s="408" t="s">
        <v>420</v>
      </c>
      <c r="D3186" s="408" t="s">
        <v>1072</v>
      </c>
      <c r="E3186" s="604" t="s">
        <v>1069</v>
      </c>
      <c r="F3186" s="604"/>
      <c r="G3186" s="410" t="s">
        <v>1070</v>
      </c>
      <c r="H3186" s="412">
        <v>2.9</v>
      </c>
      <c r="I3186" s="412">
        <v>0</v>
      </c>
      <c r="J3186" s="411">
        <v>3.95</v>
      </c>
      <c r="K3186" s="411">
        <v>11.455</v>
      </c>
      <c r="L3186" s="168"/>
    </row>
    <row r="3187" spans="1:12" ht="25.5" customHeight="1" x14ac:dyDescent="0.3">
      <c r="A3187" s="408" t="s">
        <v>1034</v>
      </c>
      <c r="B3187" s="409" t="s">
        <v>1067</v>
      </c>
      <c r="C3187" s="408" t="s">
        <v>420</v>
      </c>
      <c r="D3187" s="408" t="s">
        <v>1068</v>
      </c>
      <c r="E3187" s="604" t="s">
        <v>1069</v>
      </c>
      <c r="F3187" s="604"/>
      <c r="G3187" s="410" t="s">
        <v>1070</v>
      </c>
      <c r="H3187" s="412">
        <v>2.9</v>
      </c>
      <c r="I3187" s="412">
        <v>0</v>
      </c>
      <c r="J3187" s="411">
        <v>3.82</v>
      </c>
      <c r="K3187" s="411">
        <v>11.077999999999999</v>
      </c>
      <c r="L3187" s="168"/>
    </row>
    <row r="3188" spans="1:12" ht="15" x14ac:dyDescent="0.3">
      <c r="A3188" s="400" t="s">
        <v>1038</v>
      </c>
      <c r="B3188" s="401" t="s">
        <v>2907</v>
      </c>
      <c r="C3188" s="400" t="s">
        <v>420</v>
      </c>
      <c r="D3188" s="400" t="s">
        <v>3143</v>
      </c>
      <c r="E3188" s="605" t="s">
        <v>1039</v>
      </c>
      <c r="F3188" s="605"/>
      <c r="G3188" s="402" t="s">
        <v>422</v>
      </c>
      <c r="H3188" s="403">
        <v>1</v>
      </c>
      <c r="I3188" s="403">
        <v>0</v>
      </c>
      <c r="J3188" s="404">
        <v>78</v>
      </c>
      <c r="K3188" s="404">
        <v>78</v>
      </c>
      <c r="L3188" s="168"/>
    </row>
    <row r="3189" spans="1:12" ht="15" customHeight="1" x14ac:dyDescent="0.3">
      <c r="A3189" s="400" t="s">
        <v>1038</v>
      </c>
      <c r="B3189" s="401" t="s">
        <v>6199</v>
      </c>
      <c r="C3189" s="400" t="s">
        <v>420</v>
      </c>
      <c r="D3189" s="400" t="s">
        <v>6200</v>
      </c>
      <c r="E3189" s="605" t="s">
        <v>1053</v>
      </c>
      <c r="F3189" s="605"/>
      <c r="G3189" s="402" t="s">
        <v>1070</v>
      </c>
      <c r="H3189" s="403">
        <v>2.9</v>
      </c>
      <c r="I3189" s="403">
        <v>0</v>
      </c>
      <c r="J3189" s="404">
        <v>20.45</v>
      </c>
      <c r="K3189" s="404">
        <v>59.305</v>
      </c>
      <c r="L3189" s="168"/>
    </row>
    <row r="3190" spans="1:12" ht="15" customHeight="1" x14ac:dyDescent="0.3">
      <c r="A3190" s="400" t="s">
        <v>1038</v>
      </c>
      <c r="B3190" s="401" t="s">
        <v>6251</v>
      </c>
      <c r="C3190" s="400" t="s">
        <v>420</v>
      </c>
      <c r="D3190" s="400" t="s">
        <v>6252</v>
      </c>
      <c r="E3190" s="605" t="s">
        <v>1053</v>
      </c>
      <c r="F3190" s="605"/>
      <c r="G3190" s="402" t="s">
        <v>1070</v>
      </c>
      <c r="H3190" s="403">
        <v>2.9</v>
      </c>
      <c r="I3190" s="403">
        <v>0</v>
      </c>
      <c r="J3190" s="404">
        <v>15.59</v>
      </c>
      <c r="K3190" s="404">
        <v>45.210999999999999</v>
      </c>
      <c r="L3190" s="168"/>
    </row>
    <row r="3191" spans="1:12" ht="15" customHeight="1" x14ac:dyDescent="0.3">
      <c r="A3191" s="405"/>
      <c r="B3191" s="405"/>
      <c r="C3191" s="405"/>
      <c r="D3191" s="405"/>
      <c r="E3191" s="405" t="s">
        <v>1046</v>
      </c>
      <c r="F3191" s="406">
        <v>104.52</v>
      </c>
      <c r="G3191" s="405" t="s">
        <v>1047</v>
      </c>
      <c r="H3191" s="406">
        <v>0</v>
      </c>
      <c r="I3191" s="405" t="s">
        <v>1048</v>
      </c>
      <c r="J3191" s="406">
        <v>104.52</v>
      </c>
      <c r="K3191"/>
      <c r="L3191" s="168"/>
    </row>
    <row r="3192" spans="1:12" ht="15" customHeight="1" thickBot="1" x14ac:dyDescent="0.35">
      <c r="A3192" s="405"/>
      <c r="B3192" s="405"/>
      <c r="C3192" s="405"/>
      <c r="D3192" s="405"/>
      <c r="E3192" s="405" t="s">
        <v>1049</v>
      </c>
      <c r="F3192" s="406">
        <v>0</v>
      </c>
      <c r="G3192" s="405"/>
      <c r="H3192" s="606"/>
      <c r="I3192" s="606" t="s">
        <v>1050</v>
      </c>
      <c r="J3192" s="406">
        <v>205.05</v>
      </c>
      <c r="K3192"/>
      <c r="L3192" s="168"/>
    </row>
    <row r="3193" spans="1:12" ht="15" customHeight="1" thickTop="1" x14ac:dyDescent="0.3">
      <c r="A3193" s="407"/>
      <c r="B3193" s="407"/>
      <c r="C3193" s="407"/>
      <c r="D3193" s="407"/>
      <c r="E3193" s="407"/>
      <c r="F3193" s="407"/>
      <c r="G3193" s="407"/>
      <c r="H3193" s="407"/>
      <c r="I3193" s="407"/>
      <c r="J3193" s="407"/>
      <c r="K3193" s="407"/>
      <c r="L3193" s="166"/>
    </row>
    <row r="3194" spans="1:12" ht="15" customHeight="1" x14ac:dyDescent="0.3">
      <c r="A3194" s="382" t="s">
        <v>2614</v>
      </c>
      <c r="B3194" s="312" t="s">
        <v>413</v>
      </c>
      <c r="C3194" s="382" t="s">
        <v>414</v>
      </c>
      <c r="D3194" s="382" t="s">
        <v>415</v>
      </c>
      <c r="E3194" s="586" t="s">
        <v>1029</v>
      </c>
      <c r="F3194" s="586"/>
      <c r="G3194" s="383" t="s">
        <v>416</v>
      </c>
      <c r="H3194" s="312" t="s">
        <v>1030</v>
      </c>
      <c r="I3194" s="312" t="s">
        <v>3016</v>
      </c>
      <c r="J3194" s="312" t="s">
        <v>1031</v>
      </c>
      <c r="K3194" s="312" t="s">
        <v>1032</v>
      </c>
      <c r="L3194" s="168"/>
    </row>
    <row r="3195" spans="1:12" ht="15" customHeight="1" x14ac:dyDescent="0.3">
      <c r="A3195" s="313" t="s">
        <v>1033</v>
      </c>
      <c r="B3195" s="315" t="s">
        <v>2945</v>
      </c>
      <c r="C3195" s="313" t="s">
        <v>5902</v>
      </c>
      <c r="D3195" s="313" t="s">
        <v>2695</v>
      </c>
      <c r="E3195" s="603">
        <v>37.119999999999997</v>
      </c>
      <c r="F3195" s="603"/>
      <c r="G3195" s="314" t="s">
        <v>4</v>
      </c>
      <c r="H3195" s="399">
        <v>1</v>
      </c>
      <c r="I3195" s="316"/>
      <c r="J3195" s="316">
        <v>16.89</v>
      </c>
      <c r="K3195" s="316">
        <v>16.89</v>
      </c>
      <c r="L3195" s="168"/>
    </row>
    <row r="3196" spans="1:12" ht="25.5" customHeight="1" x14ac:dyDescent="0.3">
      <c r="A3196" s="400" t="s">
        <v>1038</v>
      </c>
      <c r="B3196" s="401" t="s">
        <v>1051</v>
      </c>
      <c r="C3196" s="400" t="s">
        <v>5902</v>
      </c>
      <c r="D3196" s="400" t="s">
        <v>1052</v>
      </c>
      <c r="E3196" s="605" t="s">
        <v>1053</v>
      </c>
      <c r="F3196" s="605"/>
      <c r="G3196" s="402" t="s">
        <v>6</v>
      </c>
      <c r="H3196" s="403">
        <v>0.2</v>
      </c>
      <c r="I3196" s="403">
        <v>0</v>
      </c>
      <c r="J3196" s="404">
        <v>33.119999999999997</v>
      </c>
      <c r="K3196" s="404">
        <v>6.6239999999999997</v>
      </c>
      <c r="L3196" s="168"/>
    </row>
    <row r="3197" spans="1:12" ht="25.5" customHeight="1" x14ac:dyDescent="0.3">
      <c r="A3197" s="400" t="s">
        <v>1038</v>
      </c>
      <c r="B3197" s="401" t="s">
        <v>1054</v>
      </c>
      <c r="C3197" s="400" t="s">
        <v>5902</v>
      </c>
      <c r="D3197" s="400" t="s">
        <v>1055</v>
      </c>
      <c r="E3197" s="605" t="s">
        <v>1053</v>
      </c>
      <c r="F3197" s="605"/>
      <c r="G3197" s="402" t="s">
        <v>6</v>
      </c>
      <c r="H3197" s="403">
        <v>0.2</v>
      </c>
      <c r="I3197" s="403">
        <v>0</v>
      </c>
      <c r="J3197" s="404">
        <v>22.71</v>
      </c>
      <c r="K3197" s="404">
        <v>4.5419999999999998</v>
      </c>
      <c r="L3197" s="166"/>
    </row>
    <row r="3198" spans="1:12" ht="26.4" x14ac:dyDescent="0.3">
      <c r="A3198" s="400" t="s">
        <v>1038</v>
      </c>
      <c r="B3198" s="401" t="s">
        <v>3149</v>
      </c>
      <c r="C3198" s="400" t="s">
        <v>5902</v>
      </c>
      <c r="D3198" s="400" t="s">
        <v>3150</v>
      </c>
      <c r="E3198" s="605" t="s">
        <v>1039</v>
      </c>
      <c r="F3198" s="605"/>
      <c r="G3198" s="402" t="s">
        <v>4</v>
      </c>
      <c r="H3198" s="403">
        <v>1</v>
      </c>
      <c r="I3198" s="403">
        <v>0</v>
      </c>
      <c r="J3198" s="404">
        <v>5.72</v>
      </c>
      <c r="K3198" s="404">
        <v>5.72</v>
      </c>
      <c r="L3198" s="166"/>
    </row>
    <row r="3199" spans="1:12" ht="15" customHeight="1" x14ac:dyDescent="0.3">
      <c r="A3199" s="405"/>
      <c r="B3199" s="405"/>
      <c r="C3199" s="405"/>
      <c r="D3199" s="405"/>
      <c r="E3199" s="405" t="s">
        <v>1046</v>
      </c>
      <c r="F3199" s="406">
        <v>11.16</v>
      </c>
      <c r="G3199" s="405" t="s">
        <v>1047</v>
      </c>
      <c r="H3199" s="406">
        <v>0</v>
      </c>
      <c r="I3199" s="405" t="s">
        <v>1048</v>
      </c>
      <c r="J3199" s="406">
        <v>11.16</v>
      </c>
      <c r="K3199"/>
      <c r="L3199" s="168"/>
    </row>
    <row r="3200" spans="1:12" ht="15" customHeight="1" thickBot="1" x14ac:dyDescent="0.35">
      <c r="A3200" s="405"/>
      <c r="B3200" s="405"/>
      <c r="C3200" s="405"/>
      <c r="D3200" s="405"/>
      <c r="E3200" s="405" t="s">
        <v>1049</v>
      </c>
      <c r="F3200" s="406">
        <v>0</v>
      </c>
      <c r="G3200" s="405"/>
      <c r="H3200" s="606"/>
      <c r="I3200" s="606" t="s">
        <v>1050</v>
      </c>
      <c r="J3200" s="406">
        <v>16.89</v>
      </c>
      <c r="K3200"/>
      <c r="L3200" s="168"/>
    </row>
    <row r="3201" spans="1:12" ht="14.25" customHeight="1" thickTop="1" x14ac:dyDescent="0.3">
      <c r="A3201" s="407"/>
      <c r="B3201" s="407"/>
      <c r="C3201" s="407"/>
      <c r="D3201" s="407"/>
      <c r="E3201" s="407"/>
      <c r="F3201" s="407"/>
      <c r="G3201" s="407"/>
      <c r="H3201" s="407"/>
      <c r="I3201" s="407"/>
      <c r="J3201" s="407"/>
      <c r="K3201" s="407"/>
      <c r="L3201" s="168"/>
    </row>
    <row r="3202" spans="1:12" ht="15" x14ac:dyDescent="0.3">
      <c r="A3202" s="382" t="s">
        <v>2615</v>
      </c>
      <c r="B3202" s="312" t="s">
        <v>413</v>
      </c>
      <c r="C3202" s="382" t="s">
        <v>414</v>
      </c>
      <c r="D3202" s="382" t="s">
        <v>415</v>
      </c>
      <c r="E3202" s="586" t="s">
        <v>1029</v>
      </c>
      <c r="F3202" s="586"/>
      <c r="G3202" s="383" t="s">
        <v>416</v>
      </c>
      <c r="H3202" s="312" t="s">
        <v>1030</v>
      </c>
      <c r="I3202" s="312" t="s">
        <v>3016</v>
      </c>
      <c r="J3202" s="312" t="s">
        <v>1031</v>
      </c>
      <c r="K3202" s="312" t="s">
        <v>1032</v>
      </c>
      <c r="L3202" s="166"/>
    </row>
    <row r="3203" spans="1:12" ht="15" customHeight="1" x14ac:dyDescent="0.3">
      <c r="A3203" s="313" t="s">
        <v>1033</v>
      </c>
      <c r="B3203" s="315" t="s">
        <v>2957</v>
      </c>
      <c r="C3203" s="313" t="s">
        <v>575</v>
      </c>
      <c r="D3203" s="313" t="s">
        <v>2653</v>
      </c>
      <c r="E3203" s="603" t="s">
        <v>1227</v>
      </c>
      <c r="F3203" s="603"/>
      <c r="G3203" s="314" t="s">
        <v>4</v>
      </c>
      <c r="H3203" s="399">
        <v>1</v>
      </c>
      <c r="I3203" s="316"/>
      <c r="J3203" s="316">
        <v>115.79</v>
      </c>
      <c r="K3203" s="316">
        <v>115.79</v>
      </c>
      <c r="L3203" s="166"/>
    </row>
    <row r="3204" spans="1:12" ht="25.5" customHeight="1" x14ac:dyDescent="0.3">
      <c r="A3204" s="400" t="s">
        <v>1038</v>
      </c>
      <c r="B3204" s="401" t="s">
        <v>1051</v>
      </c>
      <c r="C3204" s="400" t="s">
        <v>5902</v>
      </c>
      <c r="D3204" s="400" t="s">
        <v>1052</v>
      </c>
      <c r="E3204" s="605" t="s">
        <v>1053</v>
      </c>
      <c r="F3204" s="605"/>
      <c r="G3204" s="402" t="s">
        <v>6</v>
      </c>
      <c r="H3204" s="403">
        <v>2</v>
      </c>
      <c r="I3204" s="403">
        <v>0</v>
      </c>
      <c r="J3204" s="404">
        <v>33.119999999999997</v>
      </c>
      <c r="K3204" s="404">
        <v>66.239999999999995</v>
      </c>
      <c r="L3204" s="166"/>
    </row>
    <row r="3205" spans="1:12" ht="25.5" customHeight="1" x14ac:dyDescent="0.3">
      <c r="A3205" s="400" t="s">
        <v>1038</v>
      </c>
      <c r="B3205" s="401" t="s">
        <v>1054</v>
      </c>
      <c r="C3205" s="400" t="s">
        <v>5902</v>
      </c>
      <c r="D3205" s="400" t="s">
        <v>1055</v>
      </c>
      <c r="E3205" s="605" t="s">
        <v>1053</v>
      </c>
      <c r="F3205" s="605"/>
      <c r="G3205" s="402" t="s">
        <v>6</v>
      </c>
      <c r="H3205" s="403">
        <v>2</v>
      </c>
      <c r="I3205" s="403">
        <v>0</v>
      </c>
      <c r="J3205" s="404">
        <v>22.71</v>
      </c>
      <c r="K3205" s="404">
        <v>45.42</v>
      </c>
      <c r="L3205" s="166"/>
    </row>
    <row r="3206" spans="1:12" ht="25.5" customHeight="1" x14ac:dyDescent="0.3">
      <c r="A3206" s="400" t="s">
        <v>1038</v>
      </c>
      <c r="B3206" s="401" t="s">
        <v>3171</v>
      </c>
      <c r="C3206" s="400" t="s">
        <v>575</v>
      </c>
      <c r="D3206" s="400" t="s">
        <v>3172</v>
      </c>
      <c r="E3206" s="605" t="s">
        <v>1039</v>
      </c>
      <c r="F3206" s="605"/>
      <c r="G3206" s="402" t="s">
        <v>4</v>
      </c>
      <c r="H3206" s="403">
        <v>1</v>
      </c>
      <c r="I3206" s="403">
        <v>0</v>
      </c>
      <c r="J3206" s="404">
        <v>4.13</v>
      </c>
      <c r="K3206" s="404">
        <v>4.13</v>
      </c>
      <c r="L3206" s="166"/>
    </row>
    <row r="3207" spans="1:12" ht="15" x14ac:dyDescent="0.3">
      <c r="A3207" s="405"/>
      <c r="B3207" s="405"/>
      <c r="C3207" s="405"/>
      <c r="D3207" s="405"/>
      <c r="E3207" s="405" t="s">
        <v>1046</v>
      </c>
      <c r="F3207" s="406">
        <v>111.66</v>
      </c>
      <c r="G3207" s="405" t="s">
        <v>1047</v>
      </c>
      <c r="H3207" s="406">
        <v>0</v>
      </c>
      <c r="I3207" s="405" t="s">
        <v>1048</v>
      </c>
      <c r="J3207" s="406">
        <v>111.66</v>
      </c>
      <c r="K3207"/>
      <c r="L3207" s="166"/>
    </row>
    <row r="3208" spans="1:12" ht="30" customHeight="1" thickBot="1" x14ac:dyDescent="0.35">
      <c r="A3208" s="405"/>
      <c r="B3208" s="405"/>
      <c r="C3208" s="405"/>
      <c r="D3208" s="405"/>
      <c r="E3208" s="405" t="s">
        <v>1049</v>
      </c>
      <c r="F3208" s="406">
        <v>0</v>
      </c>
      <c r="G3208" s="405"/>
      <c r="H3208" s="606"/>
      <c r="I3208" s="606" t="s">
        <v>1050</v>
      </c>
      <c r="J3208" s="406">
        <v>115.79</v>
      </c>
      <c r="K3208"/>
      <c r="L3208" s="166"/>
    </row>
    <row r="3209" spans="1:12" ht="15" customHeight="1" thickTop="1" x14ac:dyDescent="0.3">
      <c r="A3209" s="407"/>
      <c r="B3209" s="407"/>
      <c r="C3209" s="407"/>
      <c r="D3209" s="407"/>
      <c r="E3209" s="407"/>
      <c r="F3209" s="407"/>
      <c r="G3209" s="407"/>
      <c r="H3209" s="407"/>
      <c r="I3209" s="407"/>
      <c r="J3209" s="407"/>
      <c r="K3209" s="407"/>
      <c r="L3209" s="168"/>
    </row>
    <row r="3210" spans="1:12" ht="30" customHeight="1" x14ac:dyDescent="0.3">
      <c r="A3210" s="382" t="s">
        <v>2619</v>
      </c>
      <c r="B3210" s="312" t="s">
        <v>413</v>
      </c>
      <c r="C3210" s="382" t="s">
        <v>414</v>
      </c>
      <c r="D3210" s="382" t="s">
        <v>415</v>
      </c>
      <c r="E3210" s="586" t="s">
        <v>1029</v>
      </c>
      <c r="F3210" s="586"/>
      <c r="G3210" s="383" t="s">
        <v>416</v>
      </c>
      <c r="H3210" s="312" t="s">
        <v>1030</v>
      </c>
      <c r="I3210" s="312" t="s">
        <v>3016</v>
      </c>
      <c r="J3210" s="312" t="s">
        <v>1031</v>
      </c>
      <c r="K3210" s="312" t="s">
        <v>1032</v>
      </c>
      <c r="L3210" s="170"/>
    </row>
    <row r="3211" spans="1:12" ht="15" x14ac:dyDescent="0.3">
      <c r="A3211" s="313" t="s">
        <v>1033</v>
      </c>
      <c r="B3211" s="315" t="s">
        <v>2971</v>
      </c>
      <c r="C3211" s="313" t="s">
        <v>575</v>
      </c>
      <c r="D3211" s="313" t="s">
        <v>2654</v>
      </c>
      <c r="E3211" s="603" t="s">
        <v>1227</v>
      </c>
      <c r="F3211" s="603"/>
      <c r="G3211" s="314" t="s">
        <v>4</v>
      </c>
      <c r="H3211" s="399">
        <v>1</v>
      </c>
      <c r="I3211" s="316"/>
      <c r="J3211" s="316">
        <v>359.03</v>
      </c>
      <c r="K3211" s="316">
        <v>359.03</v>
      </c>
      <c r="L3211" s="168"/>
    </row>
    <row r="3212" spans="1:12" ht="15" customHeight="1" x14ac:dyDescent="0.3">
      <c r="A3212" s="408" t="s">
        <v>1034</v>
      </c>
      <c r="B3212" s="409" t="s">
        <v>1037</v>
      </c>
      <c r="C3212" s="408" t="s">
        <v>395</v>
      </c>
      <c r="D3212" s="408" t="s">
        <v>135</v>
      </c>
      <c r="E3212" s="604" t="s">
        <v>7768</v>
      </c>
      <c r="F3212" s="604"/>
      <c r="G3212" s="410" t="s">
        <v>6</v>
      </c>
      <c r="H3212" s="412">
        <v>1.786</v>
      </c>
      <c r="I3212" s="412">
        <v>0</v>
      </c>
      <c r="J3212" s="411">
        <v>41.81</v>
      </c>
      <c r="K3212" s="411">
        <v>74.672659999999993</v>
      </c>
      <c r="L3212" s="168"/>
    </row>
    <row r="3213" spans="1:12" ht="38.25" customHeight="1" x14ac:dyDescent="0.3">
      <c r="A3213" s="408" t="s">
        <v>1034</v>
      </c>
      <c r="B3213" s="409" t="s">
        <v>1035</v>
      </c>
      <c r="C3213" s="408" t="s">
        <v>395</v>
      </c>
      <c r="D3213" s="408" t="s">
        <v>128</v>
      </c>
      <c r="E3213" s="604" t="s">
        <v>7768</v>
      </c>
      <c r="F3213" s="604"/>
      <c r="G3213" s="410" t="s">
        <v>6</v>
      </c>
      <c r="H3213" s="412">
        <v>2.4449999999999998</v>
      </c>
      <c r="I3213" s="412">
        <v>0</v>
      </c>
      <c r="J3213" s="411">
        <v>34.5</v>
      </c>
      <c r="K3213" s="411">
        <v>84.352500000000006</v>
      </c>
      <c r="L3213" s="168"/>
    </row>
    <row r="3214" spans="1:12" ht="25.5" customHeight="1" x14ac:dyDescent="0.3">
      <c r="A3214" s="400" t="s">
        <v>1038</v>
      </c>
      <c r="B3214" s="401" t="s">
        <v>3192</v>
      </c>
      <c r="C3214" s="400" t="s">
        <v>575</v>
      </c>
      <c r="D3214" s="400" t="s">
        <v>2654</v>
      </c>
      <c r="E3214" s="605" t="s">
        <v>1039</v>
      </c>
      <c r="F3214" s="605"/>
      <c r="G3214" s="402" t="s">
        <v>4</v>
      </c>
      <c r="H3214" s="403">
        <v>1</v>
      </c>
      <c r="I3214" s="403">
        <v>0</v>
      </c>
      <c r="J3214" s="404">
        <v>200</v>
      </c>
      <c r="K3214" s="404">
        <v>200</v>
      </c>
      <c r="L3214" s="166"/>
    </row>
    <row r="3215" spans="1:12" ht="25.5" customHeight="1" x14ac:dyDescent="0.3">
      <c r="A3215" s="405"/>
      <c r="B3215" s="405"/>
      <c r="C3215" s="405"/>
      <c r="D3215" s="405"/>
      <c r="E3215" s="405" t="s">
        <v>1046</v>
      </c>
      <c r="F3215" s="406">
        <v>115.36</v>
      </c>
      <c r="G3215" s="405" t="s">
        <v>1047</v>
      </c>
      <c r="H3215" s="406">
        <v>0</v>
      </c>
      <c r="I3215" s="405" t="s">
        <v>1048</v>
      </c>
      <c r="J3215" s="406">
        <v>115.36</v>
      </c>
      <c r="K3215"/>
      <c r="L3215" s="166"/>
    </row>
    <row r="3216" spans="1:12" ht="25.5" customHeight="1" thickBot="1" x14ac:dyDescent="0.35">
      <c r="A3216" s="405"/>
      <c r="B3216" s="405"/>
      <c r="C3216" s="405"/>
      <c r="D3216" s="405"/>
      <c r="E3216" s="405" t="s">
        <v>1049</v>
      </c>
      <c r="F3216" s="406">
        <v>0</v>
      </c>
      <c r="G3216" s="405"/>
      <c r="H3216" s="606"/>
      <c r="I3216" s="606" t="s">
        <v>1050</v>
      </c>
      <c r="J3216" s="406">
        <v>359.03</v>
      </c>
      <c r="K3216"/>
      <c r="L3216" s="168"/>
    </row>
    <row r="3217" spans="1:12" ht="25.5" customHeight="1" thickTop="1" x14ac:dyDescent="0.3">
      <c r="A3217" s="407"/>
      <c r="B3217" s="407"/>
      <c r="C3217" s="407"/>
      <c r="D3217" s="407"/>
      <c r="E3217" s="407"/>
      <c r="F3217" s="407"/>
      <c r="G3217" s="407"/>
      <c r="H3217" s="407"/>
      <c r="I3217" s="407"/>
      <c r="J3217" s="407"/>
      <c r="K3217" s="407"/>
      <c r="L3217" s="168"/>
    </row>
    <row r="3218" spans="1:12" ht="15" customHeight="1" x14ac:dyDescent="0.3">
      <c r="A3218" s="382" t="s">
        <v>2623</v>
      </c>
      <c r="B3218" s="312" t="s">
        <v>413</v>
      </c>
      <c r="C3218" s="382" t="s">
        <v>414</v>
      </c>
      <c r="D3218" s="382" t="s">
        <v>415</v>
      </c>
      <c r="E3218" s="586" t="s">
        <v>1029</v>
      </c>
      <c r="F3218" s="586"/>
      <c r="G3218" s="383" t="s">
        <v>416</v>
      </c>
      <c r="H3218" s="312" t="s">
        <v>1030</v>
      </c>
      <c r="I3218" s="312" t="s">
        <v>3016</v>
      </c>
      <c r="J3218" s="312" t="s">
        <v>1031</v>
      </c>
      <c r="K3218" s="312" t="s">
        <v>1032</v>
      </c>
      <c r="L3218" s="168"/>
    </row>
    <row r="3219" spans="1:12" ht="15" customHeight="1" x14ac:dyDescent="0.3">
      <c r="A3219" s="313" t="s">
        <v>1033</v>
      </c>
      <c r="B3219" s="315" t="s">
        <v>2442</v>
      </c>
      <c r="C3219" s="313" t="s">
        <v>420</v>
      </c>
      <c r="D3219" s="313" t="s">
        <v>2673</v>
      </c>
      <c r="E3219" s="603" t="s">
        <v>3119</v>
      </c>
      <c r="F3219" s="603"/>
      <c r="G3219" s="314" t="s">
        <v>422</v>
      </c>
      <c r="H3219" s="399">
        <v>1</v>
      </c>
      <c r="I3219" s="316"/>
      <c r="J3219" s="316">
        <v>77.27</v>
      </c>
      <c r="K3219" s="316">
        <v>77.27</v>
      </c>
      <c r="L3219" s="168"/>
    </row>
    <row r="3220" spans="1:12" ht="26.4" x14ac:dyDescent="0.3">
      <c r="A3220" s="408" t="s">
        <v>1034</v>
      </c>
      <c r="B3220" s="409" t="s">
        <v>1071</v>
      </c>
      <c r="C3220" s="408" t="s">
        <v>420</v>
      </c>
      <c r="D3220" s="408" t="s">
        <v>1072</v>
      </c>
      <c r="E3220" s="604" t="s">
        <v>1069</v>
      </c>
      <c r="F3220" s="604"/>
      <c r="G3220" s="410" t="s">
        <v>1070</v>
      </c>
      <c r="H3220" s="412">
        <v>0.25</v>
      </c>
      <c r="I3220" s="412">
        <v>0</v>
      </c>
      <c r="J3220" s="411">
        <v>3.95</v>
      </c>
      <c r="K3220" s="411">
        <v>0.98750000000000004</v>
      </c>
      <c r="L3220" s="166"/>
    </row>
    <row r="3221" spans="1:12" ht="26.4" x14ac:dyDescent="0.3">
      <c r="A3221" s="408" t="s">
        <v>1034</v>
      </c>
      <c r="B3221" s="409" t="s">
        <v>1067</v>
      </c>
      <c r="C3221" s="408" t="s">
        <v>420</v>
      </c>
      <c r="D3221" s="408" t="s">
        <v>1068</v>
      </c>
      <c r="E3221" s="604" t="s">
        <v>1069</v>
      </c>
      <c r="F3221" s="604"/>
      <c r="G3221" s="410" t="s">
        <v>1070</v>
      </c>
      <c r="H3221" s="412">
        <v>0.75</v>
      </c>
      <c r="I3221" s="412">
        <v>0</v>
      </c>
      <c r="J3221" s="411">
        <v>3.82</v>
      </c>
      <c r="K3221" s="411">
        <v>2.8650000000000002</v>
      </c>
      <c r="L3221" s="168"/>
    </row>
    <row r="3222" spans="1:12" ht="15" customHeight="1" x14ac:dyDescent="0.3">
      <c r="A3222" s="400" t="s">
        <v>1038</v>
      </c>
      <c r="B3222" s="401" t="s">
        <v>3122</v>
      </c>
      <c r="C3222" s="400" t="s">
        <v>420</v>
      </c>
      <c r="D3222" s="400" t="s">
        <v>2673</v>
      </c>
      <c r="E3222" s="605" t="s">
        <v>1039</v>
      </c>
      <c r="F3222" s="605"/>
      <c r="G3222" s="402" t="s">
        <v>422</v>
      </c>
      <c r="H3222" s="403">
        <v>1</v>
      </c>
      <c r="I3222" s="403">
        <v>0</v>
      </c>
      <c r="J3222" s="404">
        <v>54.18</v>
      </c>
      <c r="K3222" s="404">
        <v>54.18</v>
      </c>
      <c r="L3222" s="168"/>
    </row>
    <row r="3223" spans="1:12" ht="38.25" customHeight="1" x14ac:dyDescent="0.3">
      <c r="A3223" s="400" t="s">
        <v>1038</v>
      </c>
      <c r="B3223" s="401" t="s">
        <v>6199</v>
      </c>
      <c r="C3223" s="400" t="s">
        <v>420</v>
      </c>
      <c r="D3223" s="400" t="s">
        <v>6200</v>
      </c>
      <c r="E3223" s="605" t="s">
        <v>1053</v>
      </c>
      <c r="F3223" s="605"/>
      <c r="G3223" s="402" t="s">
        <v>1070</v>
      </c>
      <c r="H3223" s="403">
        <v>0.75</v>
      </c>
      <c r="I3223" s="403">
        <v>0</v>
      </c>
      <c r="J3223" s="404">
        <v>20.45</v>
      </c>
      <c r="K3223" s="404">
        <v>15.3375</v>
      </c>
      <c r="L3223" s="168"/>
    </row>
    <row r="3224" spans="1:12" ht="25.5" customHeight="1" x14ac:dyDescent="0.3">
      <c r="A3224" s="400" t="s">
        <v>1038</v>
      </c>
      <c r="B3224" s="401" t="s">
        <v>6251</v>
      </c>
      <c r="C3224" s="400" t="s">
        <v>420</v>
      </c>
      <c r="D3224" s="400" t="s">
        <v>6252</v>
      </c>
      <c r="E3224" s="605" t="s">
        <v>1053</v>
      </c>
      <c r="F3224" s="605"/>
      <c r="G3224" s="402" t="s">
        <v>1070</v>
      </c>
      <c r="H3224" s="403">
        <v>0.25</v>
      </c>
      <c r="I3224" s="403">
        <v>0</v>
      </c>
      <c r="J3224" s="404">
        <v>15.59</v>
      </c>
      <c r="K3224" s="404">
        <v>3.8975</v>
      </c>
      <c r="L3224" s="166"/>
    </row>
    <row r="3225" spans="1:12" ht="25.5" customHeight="1" x14ac:dyDescent="0.3">
      <c r="A3225" s="405"/>
      <c r="B3225" s="405"/>
      <c r="C3225" s="405"/>
      <c r="D3225" s="405"/>
      <c r="E3225" s="405" t="s">
        <v>1046</v>
      </c>
      <c r="F3225" s="406">
        <v>19.239999999999998</v>
      </c>
      <c r="G3225" s="405" t="s">
        <v>1047</v>
      </c>
      <c r="H3225" s="406">
        <v>0</v>
      </c>
      <c r="I3225" s="405" t="s">
        <v>1048</v>
      </c>
      <c r="J3225" s="406">
        <v>19.239999999999998</v>
      </c>
      <c r="K3225"/>
      <c r="L3225" s="166"/>
    </row>
    <row r="3226" spans="1:12" ht="15" customHeight="1" thickBot="1" x14ac:dyDescent="0.35">
      <c r="A3226" s="405"/>
      <c r="B3226" s="405"/>
      <c r="C3226" s="405"/>
      <c r="D3226" s="405"/>
      <c r="E3226" s="405" t="s">
        <v>1049</v>
      </c>
      <c r="F3226" s="406">
        <v>0</v>
      </c>
      <c r="G3226" s="405"/>
      <c r="H3226" s="606"/>
      <c r="I3226" s="606" t="s">
        <v>1050</v>
      </c>
      <c r="J3226" s="406">
        <v>77.27</v>
      </c>
      <c r="K3226"/>
      <c r="L3226" s="168"/>
    </row>
    <row r="3227" spans="1:12" ht="30" customHeight="1" thickTop="1" x14ac:dyDescent="0.3">
      <c r="A3227" s="407"/>
      <c r="B3227" s="407"/>
      <c r="C3227" s="407"/>
      <c r="D3227" s="407"/>
      <c r="E3227" s="407"/>
      <c r="F3227" s="407"/>
      <c r="G3227" s="407"/>
      <c r="H3227" s="407"/>
      <c r="I3227" s="407"/>
      <c r="J3227" s="407"/>
      <c r="K3227" s="407"/>
      <c r="L3227" s="168"/>
    </row>
    <row r="3228" spans="1:12" ht="30" customHeight="1" x14ac:dyDescent="0.3">
      <c r="A3228" s="382" t="s">
        <v>2625</v>
      </c>
      <c r="B3228" s="312" t="s">
        <v>413</v>
      </c>
      <c r="C3228" s="382" t="s">
        <v>414</v>
      </c>
      <c r="D3228" s="382" t="s">
        <v>415</v>
      </c>
      <c r="E3228" s="586" t="s">
        <v>1029</v>
      </c>
      <c r="F3228" s="586"/>
      <c r="G3228" s="383" t="s">
        <v>416</v>
      </c>
      <c r="H3228" s="312" t="s">
        <v>1030</v>
      </c>
      <c r="I3228" s="312" t="s">
        <v>3016</v>
      </c>
      <c r="J3228" s="312" t="s">
        <v>1031</v>
      </c>
      <c r="K3228" s="312" t="s">
        <v>1032</v>
      </c>
      <c r="L3228" s="168"/>
    </row>
    <row r="3229" spans="1:12" ht="14.25" customHeight="1" x14ac:dyDescent="0.3">
      <c r="A3229" s="313" t="s">
        <v>1033</v>
      </c>
      <c r="B3229" s="315" t="s">
        <v>2936</v>
      </c>
      <c r="C3229" s="313" t="s">
        <v>5902</v>
      </c>
      <c r="D3229" s="313" t="s">
        <v>2669</v>
      </c>
      <c r="E3229" s="603">
        <v>40.200000000000003</v>
      </c>
      <c r="F3229" s="603"/>
      <c r="G3229" s="314" t="s">
        <v>4</v>
      </c>
      <c r="H3229" s="399">
        <v>1</v>
      </c>
      <c r="I3229" s="316"/>
      <c r="J3229" s="316">
        <v>96.44</v>
      </c>
      <c r="K3229" s="316">
        <v>96.44</v>
      </c>
      <c r="L3229" s="166"/>
    </row>
    <row r="3230" spans="1:12" ht="14.25" customHeight="1" x14ac:dyDescent="0.3">
      <c r="A3230" s="400" t="s">
        <v>1038</v>
      </c>
      <c r="B3230" s="401" t="s">
        <v>1051</v>
      </c>
      <c r="C3230" s="400" t="s">
        <v>5902</v>
      </c>
      <c r="D3230" s="400" t="s">
        <v>1052</v>
      </c>
      <c r="E3230" s="605" t="s">
        <v>1053</v>
      </c>
      <c r="F3230" s="605"/>
      <c r="G3230" s="402" t="s">
        <v>6</v>
      </c>
      <c r="H3230" s="403">
        <v>0.8</v>
      </c>
      <c r="I3230" s="403">
        <v>0</v>
      </c>
      <c r="J3230" s="404">
        <v>33.119999999999997</v>
      </c>
      <c r="K3230" s="404">
        <v>26.495999999999999</v>
      </c>
      <c r="L3230" s="166"/>
    </row>
    <row r="3231" spans="1:12" ht="25.5" customHeight="1" x14ac:dyDescent="0.3">
      <c r="A3231" s="400" t="s">
        <v>1038</v>
      </c>
      <c r="B3231" s="401" t="s">
        <v>1054</v>
      </c>
      <c r="C3231" s="400" t="s">
        <v>5902</v>
      </c>
      <c r="D3231" s="400" t="s">
        <v>1055</v>
      </c>
      <c r="E3231" s="605" t="s">
        <v>1053</v>
      </c>
      <c r="F3231" s="605"/>
      <c r="G3231" s="402" t="s">
        <v>6</v>
      </c>
      <c r="H3231" s="403">
        <v>0.8</v>
      </c>
      <c r="I3231" s="403">
        <v>0</v>
      </c>
      <c r="J3231" s="404">
        <v>22.71</v>
      </c>
      <c r="K3231" s="404">
        <v>18.167999999999999</v>
      </c>
      <c r="L3231" s="166"/>
    </row>
    <row r="3232" spans="1:12" ht="25.5" customHeight="1" x14ac:dyDescent="0.3">
      <c r="A3232" s="400" t="s">
        <v>1038</v>
      </c>
      <c r="B3232" s="401" t="s">
        <v>3117</v>
      </c>
      <c r="C3232" s="400" t="s">
        <v>5902</v>
      </c>
      <c r="D3232" s="400" t="s">
        <v>3118</v>
      </c>
      <c r="E3232" s="605" t="s">
        <v>1039</v>
      </c>
      <c r="F3232" s="605"/>
      <c r="G3232" s="402" t="s">
        <v>4</v>
      </c>
      <c r="H3232" s="403">
        <v>1</v>
      </c>
      <c r="I3232" s="403">
        <v>0</v>
      </c>
      <c r="J3232" s="404">
        <v>51.78</v>
      </c>
      <c r="K3232" s="404">
        <v>51.78</v>
      </c>
      <c r="L3232" s="166"/>
    </row>
    <row r="3233" spans="1:12" ht="12.75" customHeight="1" x14ac:dyDescent="0.3">
      <c r="A3233" s="405"/>
      <c r="B3233" s="405"/>
      <c r="C3233" s="405"/>
      <c r="D3233" s="405"/>
      <c r="E3233" s="405" t="s">
        <v>1046</v>
      </c>
      <c r="F3233" s="406">
        <v>44.67</v>
      </c>
      <c r="G3233" s="405" t="s">
        <v>1047</v>
      </c>
      <c r="H3233" s="406">
        <v>0</v>
      </c>
      <c r="I3233" s="405" t="s">
        <v>1048</v>
      </c>
      <c r="J3233" s="406">
        <v>44.67</v>
      </c>
      <c r="K3233"/>
      <c r="L3233" s="166"/>
    </row>
    <row r="3234" spans="1:12" ht="25.5" customHeight="1" thickBot="1" x14ac:dyDescent="0.35">
      <c r="A3234" s="405"/>
      <c r="B3234" s="405"/>
      <c r="C3234" s="405"/>
      <c r="D3234" s="405"/>
      <c r="E3234" s="405" t="s">
        <v>1049</v>
      </c>
      <c r="F3234" s="406">
        <v>0</v>
      </c>
      <c r="G3234" s="405"/>
      <c r="H3234" s="606"/>
      <c r="I3234" s="606" t="s">
        <v>1050</v>
      </c>
      <c r="J3234" s="406">
        <v>96.44</v>
      </c>
      <c r="K3234"/>
      <c r="L3234" s="166"/>
    </row>
    <row r="3235" spans="1:12" ht="15" customHeight="1" thickTop="1" x14ac:dyDescent="0.3">
      <c r="A3235" s="407"/>
      <c r="B3235" s="407"/>
      <c r="C3235" s="407"/>
      <c r="D3235" s="407"/>
      <c r="E3235" s="407"/>
      <c r="F3235" s="407"/>
      <c r="G3235" s="407"/>
      <c r="H3235" s="407"/>
      <c r="I3235" s="407"/>
      <c r="J3235" s="407"/>
      <c r="K3235" s="407"/>
      <c r="L3235" s="166"/>
    </row>
    <row r="3236" spans="1:12" ht="30" customHeight="1" x14ac:dyDescent="0.3">
      <c r="A3236" s="382" t="s">
        <v>2629</v>
      </c>
      <c r="B3236" s="312" t="s">
        <v>413</v>
      </c>
      <c r="C3236" s="382" t="s">
        <v>414</v>
      </c>
      <c r="D3236" s="382" t="s">
        <v>415</v>
      </c>
      <c r="E3236" s="586" t="s">
        <v>1029</v>
      </c>
      <c r="F3236" s="586"/>
      <c r="G3236" s="383" t="s">
        <v>416</v>
      </c>
      <c r="H3236" s="312" t="s">
        <v>1030</v>
      </c>
      <c r="I3236" s="312" t="s">
        <v>3016</v>
      </c>
      <c r="J3236" s="312" t="s">
        <v>1031</v>
      </c>
      <c r="K3236" s="312" t="s">
        <v>1032</v>
      </c>
      <c r="L3236" s="168"/>
    </row>
    <row r="3237" spans="1:12" ht="15" customHeight="1" x14ac:dyDescent="0.3">
      <c r="A3237" s="313" t="s">
        <v>1033</v>
      </c>
      <c r="B3237" s="315" t="s">
        <v>2937</v>
      </c>
      <c r="C3237" s="313" t="s">
        <v>420</v>
      </c>
      <c r="D3237" s="313" t="s">
        <v>2671</v>
      </c>
      <c r="E3237" s="603" t="s">
        <v>3119</v>
      </c>
      <c r="F3237" s="603"/>
      <c r="G3237" s="314" t="s">
        <v>422</v>
      </c>
      <c r="H3237" s="399">
        <v>1</v>
      </c>
      <c r="I3237" s="316"/>
      <c r="J3237" s="316">
        <v>127.09</v>
      </c>
      <c r="K3237" s="316">
        <v>127.09</v>
      </c>
      <c r="L3237" s="170"/>
    </row>
    <row r="3238" spans="1:12" ht="25.5" customHeight="1" x14ac:dyDescent="0.3">
      <c r="A3238" s="408" t="s">
        <v>1034</v>
      </c>
      <c r="B3238" s="409" t="s">
        <v>1071</v>
      </c>
      <c r="C3238" s="408" t="s">
        <v>420</v>
      </c>
      <c r="D3238" s="408" t="s">
        <v>1072</v>
      </c>
      <c r="E3238" s="604" t="s">
        <v>1069</v>
      </c>
      <c r="F3238" s="604"/>
      <c r="G3238" s="410" t="s">
        <v>1070</v>
      </c>
      <c r="H3238" s="412">
        <v>0.25</v>
      </c>
      <c r="I3238" s="412">
        <v>0</v>
      </c>
      <c r="J3238" s="411">
        <v>3.95</v>
      </c>
      <c r="K3238" s="411">
        <v>0.98750000000000004</v>
      </c>
      <c r="L3238" s="168"/>
    </row>
    <row r="3239" spans="1:12" ht="15" customHeight="1" x14ac:dyDescent="0.3">
      <c r="A3239" s="408" t="s">
        <v>1034</v>
      </c>
      <c r="B3239" s="409" t="s">
        <v>1067</v>
      </c>
      <c r="C3239" s="408" t="s">
        <v>420</v>
      </c>
      <c r="D3239" s="408" t="s">
        <v>1068</v>
      </c>
      <c r="E3239" s="604" t="s">
        <v>1069</v>
      </c>
      <c r="F3239" s="604"/>
      <c r="G3239" s="410" t="s">
        <v>1070</v>
      </c>
      <c r="H3239" s="412">
        <v>0.75</v>
      </c>
      <c r="I3239" s="412">
        <v>0</v>
      </c>
      <c r="J3239" s="411">
        <v>3.82</v>
      </c>
      <c r="K3239" s="411">
        <v>2.8650000000000002</v>
      </c>
      <c r="L3239" s="168"/>
    </row>
    <row r="3240" spans="1:12" ht="25.5" customHeight="1" x14ac:dyDescent="0.3">
      <c r="A3240" s="400" t="s">
        <v>1038</v>
      </c>
      <c r="B3240" s="401" t="s">
        <v>3120</v>
      </c>
      <c r="C3240" s="400" t="s">
        <v>420</v>
      </c>
      <c r="D3240" s="400" t="s">
        <v>3121</v>
      </c>
      <c r="E3240" s="605" t="s">
        <v>1039</v>
      </c>
      <c r="F3240" s="605"/>
      <c r="G3240" s="402" t="s">
        <v>422</v>
      </c>
      <c r="H3240" s="403">
        <v>1</v>
      </c>
      <c r="I3240" s="403">
        <v>0</v>
      </c>
      <c r="J3240" s="404">
        <v>104</v>
      </c>
      <c r="K3240" s="404">
        <v>104</v>
      </c>
      <c r="L3240" s="168"/>
    </row>
    <row r="3241" spans="1:12" ht="12.75" customHeight="1" x14ac:dyDescent="0.3">
      <c r="A3241" s="400" t="s">
        <v>1038</v>
      </c>
      <c r="B3241" s="401" t="s">
        <v>6199</v>
      </c>
      <c r="C3241" s="400" t="s">
        <v>420</v>
      </c>
      <c r="D3241" s="400" t="s">
        <v>6200</v>
      </c>
      <c r="E3241" s="605" t="s">
        <v>1053</v>
      </c>
      <c r="F3241" s="605"/>
      <c r="G3241" s="402" t="s">
        <v>1070</v>
      </c>
      <c r="H3241" s="403">
        <v>0.75</v>
      </c>
      <c r="I3241" s="403">
        <v>0</v>
      </c>
      <c r="J3241" s="404">
        <v>20.45</v>
      </c>
      <c r="K3241" s="404">
        <v>15.3375</v>
      </c>
      <c r="L3241" s="166"/>
    </row>
    <row r="3242" spans="1:12" ht="25.5" customHeight="1" x14ac:dyDescent="0.3">
      <c r="A3242" s="400" t="s">
        <v>1038</v>
      </c>
      <c r="B3242" s="401" t="s">
        <v>6251</v>
      </c>
      <c r="C3242" s="400" t="s">
        <v>420</v>
      </c>
      <c r="D3242" s="400" t="s">
        <v>6252</v>
      </c>
      <c r="E3242" s="605" t="s">
        <v>1053</v>
      </c>
      <c r="F3242" s="605"/>
      <c r="G3242" s="402" t="s">
        <v>1070</v>
      </c>
      <c r="H3242" s="403">
        <v>0.25</v>
      </c>
      <c r="I3242" s="403">
        <v>0</v>
      </c>
      <c r="J3242" s="404">
        <v>15.59</v>
      </c>
      <c r="K3242" s="404">
        <v>3.8975</v>
      </c>
      <c r="L3242" s="166"/>
    </row>
    <row r="3243" spans="1:12" ht="25.5" customHeight="1" x14ac:dyDescent="0.3">
      <c r="A3243" s="405"/>
      <c r="B3243" s="405"/>
      <c r="C3243" s="405"/>
      <c r="D3243" s="405"/>
      <c r="E3243" s="405" t="s">
        <v>1046</v>
      </c>
      <c r="F3243" s="406">
        <v>19.239999999999998</v>
      </c>
      <c r="G3243" s="405" t="s">
        <v>1047</v>
      </c>
      <c r="H3243" s="406">
        <v>0</v>
      </c>
      <c r="I3243" s="405" t="s">
        <v>1048</v>
      </c>
      <c r="J3243" s="406">
        <v>19.239999999999998</v>
      </c>
      <c r="K3243"/>
      <c r="L3243" s="168"/>
    </row>
    <row r="3244" spans="1:12" ht="25.5" customHeight="1" thickBot="1" x14ac:dyDescent="0.35">
      <c r="A3244" s="405"/>
      <c r="B3244" s="405"/>
      <c r="C3244" s="405"/>
      <c r="D3244" s="405"/>
      <c r="E3244" s="405" t="s">
        <v>1049</v>
      </c>
      <c r="F3244" s="406">
        <v>0</v>
      </c>
      <c r="G3244" s="405"/>
      <c r="H3244" s="606"/>
      <c r="I3244" s="606" t="s">
        <v>1050</v>
      </c>
      <c r="J3244" s="406">
        <v>127.09</v>
      </c>
      <c r="K3244"/>
      <c r="L3244" s="168"/>
    </row>
    <row r="3245" spans="1:12" ht="25.5" customHeight="1" thickTop="1" x14ac:dyDescent="0.3">
      <c r="A3245" s="407"/>
      <c r="B3245" s="407"/>
      <c r="C3245" s="407"/>
      <c r="D3245" s="407"/>
      <c r="E3245" s="407"/>
      <c r="F3245" s="407"/>
      <c r="G3245" s="407"/>
      <c r="H3245" s="407"/>
      <c r="I3245" s="407"/>
      <c r="J3245" s="407"/>
      <c r="K3245" s="407"/>
      <c r="L3245" s="168"/>
    </row>
    <row r="3246" spans="1:12" ht="25.5" customHeight="1" x14ac:dyDescent="0.3">
      <c r="A3246" s="382" t="s">
        <v>2633</v>
      </c>
      <c r="B3246" s="312" t="s">
        <v>413</v>
      </c>
      <c r="C3246" s="382" t="s">
        <v>414</v>
      </c>
      <c r="D3246" s="382" t="s">
        <v>415</v>
      </c>
      <c r="E3246" s="586" t="s">
        <v>1029</v>
      </c>
      <c r="F3246" s="586"/>
      <c r="G3246" s="383" t="s">
        <v>416</v>
      </c>
      <c r="H3246" s="312" t="s">
        <v>1030</v>
      </c>
      <c r="I3246" s="312" t="s">
        <v>3016</v>
      </c>
      <c r="J3246" s="312" t="s">
        <v>1031</v>
      </c>
      <c r="K3246" s="312" t="s">
        <v>1032</v>
      </c>
      <c r="L3246" s="168"/>
    </row>
    <row r="3247" spans="1:12" ht="15" customHeight="1" x14ac:dyDescent="0.3">
      <c r="A3247" s="313" t="s">
        <v>1033</v>
      </c>
      <c r="B3247" s="315" t="s">
        <v>2968</v>
      </c>
      <c r="C3247" s="313" t="s">
        <v>575</v>
      </c>
      <c r="D3247" s="313" t="s">
        <v>2656</v>
      </c>
      <c r="E3247" s="603" t="s">
        <v>1227</v>
      </c>
      <c r="F3247" s="603"/>
      <c r="G3247" s="314" t="s">
        <v>4</v>
      </c>
      <c r="H3247" s="399">
        <v>1</v>
      </c>
      <c r="I3247" s="316"/>
      <c r="J3247" s="316">
        <v>286.16000000000003</v>
      </c>
      <c r="K3247" s="316">
        <v>286.16000000000003</v>
      </c>
      <c r="L3247" s="166"/>
    </row>
    <row r="3248" spans="1:12" ht="25.5" customHeight="1" x14ac:dyDescent="0.3">
      <c r="A3248" s="408" t="s">
        <v>1034</v>
      </c>
      <c r="B3248" s="409" t="s">
        <v>1037</v>
      </c>
      <c r="C3248" s="408" t="s">
        <v>395</v>
      </c>
      <c r="D3248" s="408" t="s">
        <v>135</v>
      </c>
      <c r="E3248" s="604" t="s">
        <v>7768</v>
      </c>
      <c r="F3248" s="604"/>
      <c r="G3248" s="410" t="s">
        <v>6</v>
      </c>
      <c r="H3248" s="412">
        <v>1.786</v>
      </c>
      <c r="I3248" s="412">
        <v>0</v>
      </c>
      <c r="J3248" s="411">
        <v>41.81</v>
      </c>
      <c r="K3248" s="411">
        <v>74.672659999999993</v>
      </c>
      <c r="L3248" s="168"/>
    </row>
    <row r="3249" spans="1:12" ht="26.4" x14ac:dyDescent="0.3">
      <c r="A3249" s="408" t="s">
        <v>1034</v>
      </c>
      <c r="B3249" s="409" t="s">
        <v>1035</v>
      </c>
      <c r="C3249" s="408" t="s">
        <v>395</v>
      </c>
      <c r="D3249" s="408" t="s">
        <v>128</v>
      </c>
      <c r="E3249" s="604" t="s">
        <v>7768</v>
      </c>
      <c r="F3249" s="604"/>
      <c r="G3249" s="410" t="s">
        <v>6</v>
      </c>
      <c r="H3249" s="412">
        <v>2.4449999999999998</v>
      </c>
      <c r="I3249" s="412">
        <v>0</v>
      </c>
      <c r="J3249" s="411">
        <v>34.5</v>
      </c>
      <c r="K3249" s="411">
        <v>84.352500000000006</v>
      </c>
      <c r="L3249" s="168"/>
    </row>
    <row r="3250" spans="1:12" ht="15" x14ac:dyDescent="0.3">
      <c r="A3250" s="400" t="s">
        <v>1038</v>
      </c>
      <c r="B3250" s="401" t="s">
        <v>3187</v>
      </c>
      <c r="C3250" s="400" t="s">
        <v>575</v>
      </c>
      <c r="D3250" s="400" t="s">
        <v>2748</v>
      </c>
      <c r="E3250" s="605" t="s">
        <v>1039</v>
      </c>
      <c r="F3250" s="605"/>
      <c r="G3250" s="402" t="s">
        <v>4</v>
      </c>
      <c r="H3250" s="403">
        <v>1</v>
      </c>
      <c r="I3250" s="403">
        <v>0</v>
      </c>
      <c r="J3250" s="404">
        <v>127.13</v>
      </c>
      <c r="K3250" s="404">
        <v>127.13</v>
      </c>
      <c r="L3250" s="168"/>
    </row>
    <row r="3251" spans="1:12" ht="15" customHeight="1" x14ac:dyDescent="0.3">
      <c r="A3251" s="405"/>
      <c r="B3251" s="405"/>
      <c r="C3251" s="405"/>
      <c r="D3251" s="405"/>
      <c r="E3251" s="405" t="s">
        <v>1046</v>
      </c>
      <c r="F3251" s="406">
        <v>115.36</v>
      </c>
      <c r="G3251" s="405" t="s">
        <v>1047</v>
      </c>
      <c r="H3251" s="406">
        <v>0</v>
      </c>
      <c r="I3251" s="405" t="s">
        <v>1048</v>
      </c>
      <c r="J3251" s="406">
        <v>115.36</v>
      </c>
      <c r="K3251"/>
      <c r="L3251" s="166"/>
    </row>
    <row r="3252" spans="1:12" ht="12.75" customHeight="1" thickBot="1" x14ac:dyDescent="0.35">
      <c r="A3252" s="405"/>
      <c r="B3252" s="405"/>
      <c r="C3252" s="405"/>
      <c r="D3252" s="405"/>
      <c r="E3252" s="405" t="s">
        <v>1049</v>
      </c>
      <c r="F3252" s="406">
        <v>0</v>
      </c>
      <c r="G3252" s="405"/>
      <c r="H3252" s="606"/>
      <c r="I3252" s="606" t="s">
        <v>1050</v>
      </c>
      <c r="J3252" s="406">
        <v>286.16000000000003</v>
      </c>
      <c r="K3252"/>
      <c r="L3252" s="166"/>
    </row>
    <row r="3253" spans="1:12" ht="15.6" thickTop="1" x14ac:dyDescent="0.3">
      <c r="A3253" s="407"/>
      <c r="B3253" s="407"/>
      <c r="C3253" s="407"/>
      <c r="D3253" s="407"/>
      <c r="E3253" s="407"/>
      <c r="F3253" s="407"/>
      <c r="G3253" s="407"/>
      <c r="H3253" s="407"/>
      <c r="I3253" s="407"/>
      <c r="J3253" s="407"/>
      <c r="K3253" s="407"/>
      <c r="L3253" s="168"/>
    </row>
    <row r="3254" spans="1:12" ht="15" x14ac:dyDescent="0.3">
      <c r="A3254" s="382" t="s">
        <v>2684</v>
      </c>
      <c r="B3254" s="312" t="s">
        <v>413</v>
      </c>
      <c r="C3254" s="382" t="s">
        <v>414</v>
      </c>
      <c r="D3254" s="382" t="s">
        <v>415</v>
      </c>
      <c r="E3254" s="586" t="s">
        <v>1029</v>
      </c>
      <c r="F3254" s="586"/>
      <c r="G3254" s="383" t="s">
        <v>416</v>
      </c>
      <c r="H3254" s="312" t="s">
        <v>1030</v>
      </c>
      <c r="I3254" s="312" t="s">
        <v>3016</v>
      </c>
      <c r="J3254" s="312" t="s">
        <v>1031</v>
      </c>
      <c r="K3254" s="312" t="s">
        <v>1032</v>
      </c>
      <c r="L3254" s="168"/>
    </row>
    <row r="3255" spans="1:12" ht="38.25" customHeight="1" x14ac:dyDescent="0.3">
      <c r="A3255" s="313" t="s">
        <v>1033</v>
      </c>
      <c r="B3255" s="315" t="s">
        <v>2967</v>
      </c>
      <c r="C3255" s="313" t="s">
        <v>575</v>
      </c>
      <c r="D3255" s="313" t="s">
        <v>2657</v>
      </c>
      <c r="E3255" s="603" t="s">
        <v>1227</v>
      </c>
      <c r="F3255" s="603"/>
      <c r="G3255" s="314" t="s">
        <v>4</v>
      </c>
      <c r="H3255" s="399">
        <v>1</v>
      </c>
      <c r="I3255" s="316"/>
      <c r="J3255" s="316">
        <v>349.03</v>
      </c>
      <c r="K3255" s="316">
        <v>349.03</v>
      </c>
      <c r="L3255" s="168"/>
    </row>
    <row r="3256" spans="1:12" ht="15" customHeight="1" x14ac:dyDescent="0.3">
      <c r="A3256" s="408" t="s">
        <v>1034</v>
      </c>
      <c r="B3256" s="409" t="s">
        <v>1037</v>
      </c>
      <c r="C3256" s="408" t="s">
        <v>395</v>
      </c>
      <c r="D3256" s="408" t="s">
        <v>135</v>
      </c>
      <c r="E3256" s="604" t="s">
        <v>7768</v>
      </c>
      <c r="F3256" s="604"/>
      <c r="G3256" s="410" t="s">
        <v>6</v>
      </c>
      <c r="H3256" s="412">
        <v>1.786</v>
      </c>
      <c r="I3256" s="412">
        <v>0</v>
      </c>
      <c r="J3256" s="411">
        <v>41.81</v>
      </c>
      <c r="K3256" s="411">
        <v>74.672659999999993</v>
      </c>
      <c r="L3256" s="166"/>
    </row>
    <row r="3257" spans="1:12" ht="25.5" customHeight="1" x14ac:dyDescent="0.3">
      <c r="A3257" s="408" t="s">
        <v>1034</v>
      </c>
      <c r="B3257" s="409" t="s">
        <v>1035</v>
      </c>
      <c r="C3257" s="408" t="s">
        <v>395</v>
      </c>
      <c r="D3257" s="408" t="s">
        <v>128</v>
      </c>
      <c r="E3257" s="604" t="s">
        <v>7768</v>
      </c>
      <c r="F3257" s="604"/>
      <c r="G3257" s="410" t="s">
        <v>6</v>
      </c>
      <c r="H3257" s="412">
        <v>2.4449999999999998</v>
      </c>
      <c r="I3257" s="412">
        <v>0</v>
      </c>
      <c r="J3257" s="411">
        <v>34.5</v>
      </c>
      <c r="K3257" s="411">
        <v>84.352500000000006</v>
      </c>
      <c r="L3257" s="166"/>
    </row>
    <row r="3258" spans="1:12" ht="25.5" customHeight="1" x14ac:dyDescent="0.3">
      <c r="A3258" s="400" t="s">
        <v>1038</v>
      </c>
      <c r="B3258" s="401" t="s">
        <v>3186</v>
      </c>
      <c r="C3258" s="400" t="s">
        <v>575</v>
      </c>
      <c r="D3258" s="400" t="s">
        <v>2657</v>
      </c>
      <c r="E3258" s="605" t="s">
        <v>1039</v>
      </c>
      <c r="F3258" s="605"/>
      <c r="G3258" s="402" t="s">
        <v>4</v>
      </c>
      <c r="H3258" s="403">
        <v>1</v>
      </c>
      <c r="I3258" s="403">
        <v>0</v>
      </c>
      <c r="J3258" s="404">
        <v>190</v>
      </c>
      <c r="K3258" s="404">
        <v>190</v>
      </c>
      <c r="L3258" s="166"/>
    </row>
    <row r="3259" spans="1:12" ht="15" customHeight="1" x14ac:dyDescent="0.3">
      <c r="A3259" s="405"/>
      <c r="B3259" s="405"/>
      <c r="C3259" s="405"/>
      <c r="D3259" s="405"/>
      <c r="E3259" s="405" t="s">
        <v>1046</v>
      </c>
      <c r="F3259" s="406">
        <v>115.36</v>
      </c>
      <c r="G3259" s="405" t="s">
        <v>1047</v>
      </c>
      <c r="H3259" s="406">
        <v>0</v>
      </c>
      <c r="I3259" s="405" t="s">
        <v>1048</v>
      </c>
      <c r="J3259" s="406">
        <v>115.36</v>
      </c>
      <c r="K3259"/>
      <c r="L3259" s="166"/>
    </row>
    <row r="3260" spans="1:12" ht="15" customHeight="1" thickBot="1" x14ac:dyDescent="0.35">
      <c r="A3260" s="405"/>
      <c r="B3260" s="405"/>
      <c r="C3260" s="405"/>
      <c r="D3260" s="405"/>
      <c r="E3260" s="405" t="s">
        <v>1049</v>
      </c>
      <c r="F3260" s="406">
        <v>0</v>
      </c>
      <c r="G3260" s="405"/>
      <c r="H3260" s="606"/>
      <c r="I3260" s="606" t="s">
        <v>1050</v>
      </c>
      <c r="J3260" s="406">
        <v>349.03</v>
      </c>
      <c r="K3260"/>
      <c r="L3260" s="166"/>
    </row>
    <row r="3261" spans="1:12" ht="25.5" customHeight="1" thickTop="1" x14ac:dyDescent="0.3">
      <c r="A3261" s="407"/>
      <c r="B3261" s="407"/>
      <c r="C3261" s="407"/>
      <c r="D3261" s="407"/>
      <c r="E3261" s="407"/>
      <c r="F3261" s="407"/>
      <c r="G3261" s="407"/>
      <c r="H3261" s="407"/>
      <c r="I3261" s="407"/>
      <c r="J3261" s="407"/>
      <c r="K3261" s="407"/>
      <c r="L3261" s="166"/>
    </row>
    <row r="3262" spans="1:12" ht="25.5" customHeight="1" x14ac:dyDescent="0.3">
      <c r="A3262" s="382" t="s">
        <v>2686</v>
      </c>
      <c r="B3262" s="312" t="s">
        <v>413</v>
      </c>
      <c r="C3262" s="382" t="s">
        <v>414</v>
      </c>
      <c r="D3262" s="382" t="s">
        <v>415</v>
      </c>
      <c r="E3262" s="586" t="s">
        <v>1029</v>
      </c>
      <c r="F3262" s="586"/>
      <c r="G3262" s="383" t="s">
        <v>416</v>
      </c>
      <c r="H3262" s="312" t="s">
        <v>1030</v>
      </c>
      <c r="I3262" s="312" t="s">
        <v>3016</v>
      </c>
      <c r="J3262" s="312" t="s">
        <v>1031</v>
      </c>
      <c r="K3262" s="312" t="s">
        <v>1032</v>
      </c>
      <c r="L3262" s="166"/>
    </row>
    <row r="3263" spans="1:12" ht="15" customHeight="1" x14ac:dyDescent="0.3">
      <c r="A3263" s="313" t="s">
        <v>1033</v>
      </c>
      <c r="B3263" s="315" t="s">
        <v>2953</v>
      </c>
      <c r="C3263" s="313" t="s">
        <v>575</v>
      </c>
      <c r="D3263" s="313" t="s">
        <v>2658</v>
      </c>
      <c r="E3263" s="603" t="s">
        <v>1227</v>
      </c>
      <c r="F3263" s="603"/>
      <c r="G3263" s="314" t="s">
        <v>4</v>
      </c>
      <c r="H3263" s="399">
        <v>1</v>
      </c>
      <c r="I3263" s="316"/>
      <c r="J3263" s="316">
        <v>627.37</v>
      </c>
      <c r="K3263" s="316">
        <v>627.37</v>
      </c>
      <c r="L3263" s="168"/>
    </row>
    <row r="3264" spans="1:12" ht="15" customHeight="1" x14ac:dyDescent="0.3">
      <c r="A3264" s="400" t="s">
        <v>1038</v>
      </c>
      <c r="B3264" s="401" t="s">
        <v>1051</v>
      </c>
      <c r="C3264" s="400" t="s">
        <v>5902</v>
      </c>
      <c r="D3264" s="400" t="s">
        <v>1052</v>
      </c>
      <c r="E3264" s="605" t="s">
        <v>1053</v>
      </c>
      <c r="F3264" s="605"/>
      <c r="G3264" s="402" t="s">
        <v>6</v>
      </c>
      <c r="H3264" s="403">
        <v>0.4</v>
      </c>
      <c r="I3264" s="403">
        <v>0</v>
      </c>
      <c r="J3264" s="404">
        <v>33.119999999999997</v>
      </c>
      <c r="K3264" s="404">
        <v>13.247999999999999</v>
      </c>
      <c r="L3264" s="170"/>
    </row>
    <row r="3265" spans="1:12" ht="15" customHeight="1" x14ac:dyDescent="0.3">
      <c r="A3265" s="400" t="s">
        <v>1038</v>
      </c>
      <c r="B3265" s="401" t="s">
        <v>1054</v>
      </c>
      <c r="C3265" s="400" t="s">
        <v>5902</v>
      </c>
      <c r="D3265" s="400" t="s">
        <v>1055</v>
      </c>
      <c r="E3265" s="605" t="s">
        <v>1053</v>
      </c>
      <c r="F3265" s="605"/>
      <c r="G3265" s="402" t="s">
        <v>6</v>
      </c>
      <c r="H3265" s="403">
        <v>0.4</v>
      </c>
      <c r="I3265" s="403">
        <v>0</v>
      </c>
      <c r="J3265" s="404">
        <v>22.71</v>
      </c>
      <c r="K3265" s="404">
        <v>9.0839999999999996</v>
      </c>
      <c r="L3265" s="168"/>
    </row>
    <row r="3266" spans="1:12" ht="15" customHeight="1" x14ac:dyDescent="0.3">
      <c r="A3266" s="400" t="s">
        <v>1038</v>
      </c>
      <c r="B3266" s="401" t="s">
        <v>3167</v>
      </c>
      <c r="C3266" s="400" t="s">
        <v>575</v>
      </c>
      <c r="D3266" s="400" t="s">
        <v>2658</v>
      </c>
      <c r="E3266" s="605" t="s">
        <v>1039</v>
      </c>
      <c r="F3266" s="605"/>
      <c r="G3266" s="402" t="s">
        <v>4</v>
      </c>
      <c r="H3266" s="403">
        <v>1</v>
      </c>
      <c r="I3266" s="403">
        <v>0</v>
      </c>
      <c r="J3266" s="404">
        <v>605.04</v>
      </c>
      <c r="K3266" s="404">
        <v>605.04</v>
      </c>
      <c r="L3266" s="168"/>
    </row>
    <row r="3267" spans="1:12" ht="30" customHeight="1" x14ac:dyDescent="0.3">
      <c r="A3267" s="405"/>
      <c r="B3267" s="405"/>
      <c r="C3267" s="405"/>
      <c r="D3267" s="405"/>
      <c r="E3267" s="405" t="s">
        <v>1046</v>
      </c>
      <c r="F3267" s="406">
        <v>22.33</v>
      </c>
      <c r="G3267" s="405" t="s">
        <v>1047</v>
      </c>
      <c r="H3267" s="406">
        <v>0</v>
      </c>
      <c r="I3267" s="405" t="s">
        <v>1048</v>
      </c>
      <c r="J3267" s="406">
        <v>22.33</v>
      </c>
      <c r="K3267"/>
      <c r="L3267" s="168"/>
    </row>
    <row r="3268" spans="1:12" ht="15.6" thickBot="1" x14ac:dyDescent="0.35">
      <c r="A3268" s="405"/>
      <c r="B3268" s="405"/>
      <c r="C3268" s="405"/>
      <c r="D3268" s="405"/>
      <c r="E3268" s="405" t="s">
        <v>1049</v>
      </c>
      <c r="F3268" s="406">
        <v>0</v>
      </c>
      <c r="G3268" s="405"/>
      <c r="H3268" s="606"/>
      <c r="I3268" s="606" t="s">
        <v>1050</v>
      </c>
      <c r="J3268" s="406">
        <v>627.37</v>
      </c>
      <c r="K3268"/>
      <c r="L3268" s="166"/>
    </row>
    <row r="3269" spans="1:12" ht="15" customHeight="1" thickTop="1" x14ac:dyDescent="0.3">
      <c r="A3269" s="407"/>
      <c r="B3269" s="407"/>
      <c r="C3269" s="407"/>
      <c r="D3269" s="407"/>
      <c r="E3269" s="407"/>
      <c r="F3269" s="407"/>
      <c r="G3269" s="407"/>
      <c r="H3269" s="407"/>
      <c r="I3269" s="407"/>
      <c r="J3269" s="407"/>
      <c r="K3269" s="407"/>
      <c r="L3269" s="166"/>
    </row>
    <row r="3270" spans="1:12" ht="15" customHeight="1" x14ac:dyDescent="0.3">
      <c r="A3270" s="382" t="s">
        <v>2689</v>
      </c>
      <c r="B3270" s="312" t="s">
        <v>413</v>
      </c>
      <c r="C3270" s="382" t="s">
        <v>414</v>
      </c>
      <c r="D3270" s="382" t="s">
        <v>415</v>
      </c>
      <c r="E3270" s="586" t="s">
        <v>1029</v>
      </c>
      <c r="F3270" s="586"/>
      <c r="G3270" s="383" t="s">
        <v>416</v>
      </c>
      <c r="H3270" s="312" t="s">
        <v>1030</v>
      </c>
      <c r="I3270" s="312" t="s">
        <v>3016</v>
      </c>
      <c r="J3270" s="312" t="s">
        <v>1031</v>
      </c>
      <c r="K3270" s="312" t="s">
        <v>1032</v>
      </c>
      <c r="L3270" s="168"/>
    </row>
    <row r="3271" spans="1:12" ht="15" x14ac:dyDescent="0.3">
      <c r="A3271" s="313" t="s">
        <v>1033</v>
      </c>
      <c r="B3271" s="315" t="s">
        <v>2969</v>
      </c>
      <c r="C3271" s="313" t="s">
        <v>575</v>
      </c>
      <c r="D3271" s="313" t="s">
        <v>2659</v>
      </c>
      <c r="E3271" s="603" t="s">
        <v>1227</v>
      </c>
      <c r="F3271" s="603"/>
      <c r="G3271" s="314" t="s">
        <v>4</v>
      </c>
      <c r="H3271" s="399">
        <v>1</v>
      </c>
      <c r="I3271" s="316"/>
      <c r="J3271" s="316">
        <v>478.39</v>
      </c>
      <c r="K3271" s="316">
        <v>478.39</v>
      </c>
      <c r="L3271" s="168"/>
    </row>
    <row r="3272" spans="1:12" ht="14.25" customHeight="1" x14ac:dyDescent="0.3">
      <c r="A3272" s="408" t="s">
        <v>1034</v>
      </c>
      <c r="B3272" s="409" t="s">
        <v>1037</v>
      </c>
      <c r="C3272" s="408" t="s">
        <v>395</v>
      </c>
      <c r="D3272" s="408" t="s">
        <v>135</v>
      </c>
      <c r="E3272" s="604" t="s">
        <v>7768</v>
      </c>
      <c r="F3272" s="604"/>
      <c r="G3272" s="410" t="s">
        <v>6</v>
      </c>
      <c r="H3272" s="412">
        <v>1.786</v>
      </c>
      <c r="I3272" s="412">
        <v>0</v>
      </c>
      <c r="J3272" s="411">
        <v>41.81</v>
      </c>
      <c r="K3272" s="411">
        <v>74.672659999999993</v>
      </c>
      <c r="L3272" s="168"/>
    </row>
    <row r="3273" spans="1:12" ht="15" customHeight="1" x14ac:dyDescent="0.3">
      <c r="A3273" s="408" t="s">
        <v>1034</v>
      </c>
      <c r="B3273" s="409" t="s">
        <v>1035</v>
      </c>
      <c r="C3273" s="408" t="s">
        <v>395</v>
      </c>
      <c r="D3273" s="408" t="s">
        <v>128</v>
      </c>
      <c r="E3273" s="604" t="s">
        <v>7768</v>
      </c>
      <c r="F3273" s="604"/>
      <c r="G3273" s="410" t="s">
        <v>6</v>
      </c>
      <c r="H3273" s="412">
        <v>2.4449999999999998</v>
      </c>
      <c r="I3273" s="412">
        <v>0</v>
      </c>
      <c r="J3273" s="411">
        <v>34.5</v>
      </c>
      <c r="K3273" s="411">
        <v>84.352500000000006</v>
      </c>
      <c r="L3273" s="168"/>
    </row>
    <row r="3274" spans="1:12" ht="25.5" customHeight="1" x14ac:dyDescent="0.3">
      <c r="A3274" s="400" t="s">
        <v>1038</v>
      </c>
      <c r="B3274" s="401" t="s">
        <v>3188</v>
      </c>
      <c r="C3274" s="400" t="s">
        <v>575</v>
      </c>
      <c r="D3274" s="400" t="s">
        <v>3189</v>
      </c>
      <c r="E3274" s="605" t="s">
        <v>1039</v>
      </c>
      <c r="F3274" s="605"/>
      <c r="G3274" s="402" t="s">
        <v>4</v>
      </c>
      <c r="H3274" s="403">
        <v>1</v>
      </c>
      <c r="I3274" s="403">
        <v>0</v>
      </c>
      <c r="J3274" s="404">
        <v>319.36</v>
      </c>
      <c r="K3274" s="404">
        <v>319.36</v>
      </c>
      <c r="L3274" s="166"/>
    </row>
    <row r="3275" spans="1:12" ht="15" customHeight="1" x14ac:dyDescent="0.3">
      <c r="A3275" s="405"/>
      <c r="B3275" s="405"/>
      <c r="C3275" s="405"/>
      <c r="D3275" s="405"/>
      <c r="E3275" s="405" t="s">
        <v>1046</v>
      </c>
      <c r="F3275" s="406">
        <v>115.36</v>
      </c>
      <c r="G3275" s="405" t="s">
        <v>1047</v>
      </c>
      <c r="H3275" s="406">
        <v>0</v>
      </c>
      <c r="I3275" s="405" t="s">
        <v>1048</v>
      </c>
      <c r="J3275" s="406">
        <v>115.36</v>
      </c>
      <c r="K3275"/>
      <c r="L3275" s="168"/>
    </row>
    <row r="3276" spans="1:12" ht="15" customHeight="1" thickBot="1" x14ac:dyDescent="0.35">
      <c r="A3276" s="405"/>
      <c r="B3276" s="405"/>
      <c r="C3276" s="405"/>
      <c r="D3276" s="405"/>
      <c r="E3276" s="405" t="s">
        <v>1049</v>
      </c>
      <c r="F3276" s="406">
        <v>0</v>
      </c>
      <c r="G3276" s="405"/>
      <c r="H3276" s="606"/>
      <c r="I3276" s="606" t="s">
        <v>1050</v>
      </c>
      <c r="J3276" s="406">
        <v>478.39</v>
      </c>
      <c r="K3276"/>
      <c r="L3276" s="168"/>
    </row>
    <row r="3277" spans="1:12" ht="25.5" customHeight="1" thickTop="1" x14ac:dyDescent="0.3">
      <c r="A3277" s="407"/>
      <c r="B3277" s="407"/>
      <c r="C3277" s="407"/>
      <c r="D3277" s="407"/>
      <c r="E3277" s="407"/>
      <c r="F3277" s="407"/>
      <c r="G3277" s="407"/>
      <c r="H3277" s="407"/>
      <c r="I3277" s="407"/>
      <c r="J3277" s="407"/>
      <c r="K3277" s="407"/>
      <c r="L3277" s="168"/>
    </row>
    <row r="3278" spans="1:12" ht="15" x14ac:dyDescent="0.3">
      <c r="A3278" s="382" t="s">
        <v>2690</v>
      </c>
      <c r="B3278" s="312" t="s">
        <v>413</v>
      </c>
      <c r="C3278" s="382" t="s">
        <v>414</v>
      </c>
      <c r="D3278" s="382" t="s">
        <v>415</v>
      </c>
      <c r="E3278" s="586" t="s">
        <v>1029</v>
      </c>
      <c r="F3278" s="586"/>
      <c r="G3278" s="383" t="s">
        <v>416</v>
      </c>
      <c r="H3278" s="312" t="s">
        <v>1030</v>
      </c>
      <c r="I3278" s="312" t="s">
        <v>3016</v>
      </c>
      <c r="J3278" s="312" t="s">
        <v>1031</v>
      </c>
      <c r="K3278" s="312" t="s">
        <v>1032</v>
      </c>
      <c r="L3278" s="166"/>
    </row>
    <row r="3279" spans="1:12" ht="26.4" x14ac:dyDescent="0.3">
      <c r="A3279" s="313" t="s">
        <v>1033</v>
      </c>
      <c r="B3279" s="315" t="s">
        <v>2938</v>
      </c>
      <c r="C3279" s="313" t="s">
        <v>420</v>
      </c>
      <c r="D3279" s="313" t="s">
        <v>2676</v>
      </c>
      <c r="E3279" s="603" t="s">
        <v>3123</v>
      </c>
      <c r="F3279" s="603"/>
      <c r="G3279" s="314" t="s">
        <v>422</v>
      </c>
      <c r="H3279" s="399">
        <v>1</v>
      </c>
      <c r="I3279" s="316"/>
      <c r="J3279" s="316">
        <v>160.63999999999999</v>
      </c>
      <c r="K3279" s="316">
        <v>160.63999999999999</v>
      </c>
      <c r="L3279" s="166"/>
    </row>
    <row r="3280" spans="1:12" ht="25.5" customHeight="1" x14ac:dyDescent="0.3">
      <c r="A3280" s="408" t="s">
        <v>1034</v>
      </c>
      <c r="B3280" s="409" t="s">
        <v>1071</v>
      </c>
      <c r="C3280" s="408" t="s">
        <v>420</v>
      </c>
      <c r="D3280" s="408" t="s">
        <v>1072</v>
      </c>
      <c r="E3280" s="604" t="s">
        <v>1069</v>
      </c>
      <c r="F3280" s="604"/>
      <c r="G3280" s="410" t="s">
        <v>1070</v>
      </c>
      <c r="H3280" s="412">
        <v>0.5</v>
      </c>
      <c r="I3280" s="412">
        <v>0</v>
      </c>
      <c r="J3280" s="411">
        <v>3.95</v>
      </c>
      <c r="K3280" s="411">
        <v>1.9750000000000001</v>
      </c>
      <c r="L3280" s="168"/>
    </row>
    <row r="3281" spans="1:12" ht="25.5" customHeight="1" x14ac:dyDescent="0.3">
      <c r="A3281" s="408" t="s">
        <v>1034</v>
      </c>
      <c r="B3281" s="409" t="s">
        <v>1067</v>
      </c>
      <c r="C3281" s="408" t="s">
        <v>420</v>
      </c>
      <c r="D3281" s="408" t="s">
        <v>1068</v>
      </c>
      <c r="E3281" s="604" t="s">
        <v>1069</v>
      </c>
      <c r="F3281" s="604"/>
      <c r="G3281" s="410" t="s">
        <v>1070</v>
      </c>
      <c r="H3281" s="412">
        <v>0.5</v>
      </c>
      <c r="I3281" s="412">
        <v>0</v>
      </c>
      <c r="J3281" s="411">
        <v>3.82</v>
      </c>
      <c r="K3281" s="411">
        <v>1.91</v>
      </c>
      <c r="L3281" s="168"/>
    </row>
    <row r="3282" spans="1:12" ht="25.5" customHeight="1" x14ac:dyDescent="0.3">
      <c r="A3282" s="400" t="s">
        <v>1038</v>
      </c>
      <c r="B3282" s="401" t="s">
        <v>3124</v>
      </c>
      <c r="C3282" s="400" t="s">
        <v>420</v>
      </c>
      <c r="D3282" s="400" t="s">
        <v>2676</v>
      </c>
      <c r="E3282" s="605" t="s">
        <v>1039</v>
      </c>
      <c r="F3282" s="605"/>
      <c r="G3282" s="402" t="s">
        <v>422</v>
      </c>
      <c r="H3282" s="403">
        <v>1</v>
      </c>
      <c r="I3282" s="403">
        <v>0</v>
      </c>
      <c r="J3282" s="404">
        <v>138.72999999999999</v>
      </c>
      <c r="K3282" s="404">
        <v>138.72999999999999</v>
      </c>
      <c r="L3282" s="168"/>
    </row>
    <row r="3283" spans="1:12" ht="15" customHeight="1" x14ac:dyDescent="0.3">
      <c r="A3283" s="400" t="s">
        <v>1038</v>
      </c>
      <c r="B3283" s="401" t="s">
        <v>6199</v>
      </c>
      <c r="C3283" s="400" t="s">
        <v>420</v>
      </c>
      <c r="D3283" s="400" t="s">
        <v>6200</v>
      </c>
      <c r="E3283" s="605" t="s">
        <v>1053</v>
      </c>
      <c r="F3283" s="605"/>
      <c r="G3283" s="402" t="s">
        <v>1070</v>
      </c>
      <c r="H3283" s="403">
        <v>0.5</v>
      </c>
      <c r="I3283" s="403">
        <v>0</v>
      </c>
      <c r="J3283" s="404">
        <v>20.45</v>
      </c>
      <c r="K3283" s="404">
        <v>10.225</v>
      </c>
      <c r="L3283" s="166"/>
    </row>
    <row r="3284" spans="1:12" ht="15" customHeight="1" x14ac:dyDescent="0.3">
      <c r="A3284" s="400" t="s">
        <v>1038</v>
      </c>
      <c r="B3284" s="401" t="s">
        <v>6251</v>
      </c>
      <c r="C3284" s="400" t="s">
        <v>420</v>
      </c>
      <c r="D3284" s="400" t="s">
        <v>6252</v>
      </c>
      <c r="E3284" s="605" t="s">
        <v>1053</v>
      </c>
      <c r="F3284" s="605"/>
      <c r="G3284" s="402" t="s">
        <v>1070</v>
      </c>
      <c r="H3284" s="403">
        <v>0.5</v>
      </c>
      <c r="I3284" s="403">
        <v>0</v>
      </c>
      <c r="J3284" s="404">
        <v>15.59</v>
      </c>
      <c r="K3284" s="404">
        <v>7.7949999999999999</v>
      </c>
      <c r="L3284" s="166"/>
    </row>
    <row r="3285" spans="1:12" ht="45" customHeight="1" x14ac:dyDescent="0.3">
      <c r="A3285" s="405"/>
      <c r="B3285" s="405"/>
      <c r="C3285" s="405"/>
      <c r="D3285" s="405"/>
      <c r="E3285" s="405" t="s">
        <v>1046</v>
      </c>
      <c r="F3285" s="406">
        <v>18.03</v>
      </c>
      <c r="G3285" s="405" t="s">
        <v>1047</v>
      </c>
      <c r="H3285" s="406">
        <v>0</v>
      </c>
      <c r="I3285" s="405" t="s">
        <v>1048</v>
      </c>
      <c r="J3285" s="406">
        <v>18.03</v>
      </c>
      <c r="K3285"/>
      <c r="L3285" s="166"/>
    </row>
    <row r="3286" spans="1:12" ht="30" customHeight="1" thickBot="1" x14ac:dyDescent="0.35">
      <c r="A3286" s="405"/>
      <c r="B3286" s="405"/>
      <c r="C3286" s="405"/>
      <c r="D3286" s="405"/>
      <c r="E3286" s="405" t="s">
        <v>1049</v>
      </c>
      <c r="F3286" s="406">
        <v>0</v>
      </c>
      <c r="G3286" s="405"/>
      <c r="H3286" s="606"/>
      <c r="I3286" s="606" t="s">
        <v>1050</v>
      </c>
      <c r="J3286" s="406">
        <v>160.63999999999999</v>
      </c>
      <c r="K3286"/>
      <c r="L3286" s="166"/>
    </row>
    <row r="3287" spans="1:12" ht="25.5" customHeight="1" thickTop="1" x14ac:dyDescent="0.3">
      <c r="A3287" s="407"/>
      <c r="B3287" s="407"/>
      <c r="C3287" s="407"/>
      <c r="D3287" s="407"/>
      <c r="E3287" s="407"/>
      <c r="F3287" s="407"/>
      <c r="G3287" s="407"/>
      <c r="H3287" s="407"/>
      <c r="I3287" s="407"/>
      <c r="J3287" s="407"/>
      <c r="K3287" s="407"/>
      <c r="L3287" s="166"/>
    </row>
    <row r="3288" spans="1:12" ht="15" customHeight="1" x14ac:dyDescent="0.3">
      <c r="A3288" s="382" t="s">
        <v>2696</v>
      </c>
      <c r="B3288" s="312" t="s">
        <v>413</v>
      </c>
      <c r="C3288" s="382" t="s">
        <v>414</v>
      </c>
      <c r="D3288" s="382" t="s">
        <v>415</v>
      </c>
      <c r="E3288" s="586" t="s">
        <v>1029</v>
      </c>
      <c r="F3288" s="586"/>
      <c r="G3288" s="383" t="s">
        <v>416</v>
      </c>
      <c r="H3288" s="312" t="s">
        <v>1030</v>
      </c>
      <c r="I3288" s="312" t="s">
        <v>3016</v>
      </c>
      <c r="J3288" s="312" t="s">
        <v>1031</v>
      </c>
      <c r="K3288" s="312" t="s">
        <v>1032</v>
      </c>
      <c r="L3288" s="166"/>
    </row>
    <row r="3289" spans="1:12" ht="25.5" customHeight="1" x14ac:dyDescent="0.3">
      <c r="A3289" s="313" t="s">
        <v>1033</v>
      </c>
      <c r="B3289" s="315" t="s">
        <v>2157</v>
      </c>
      <c r="C3289" s="313" t="s">
        <v>484</v>
      </c>
      <c r="D3289" s="313" t="s">
        <v>1831</v>
      </c>
      <c r="E3289" s="603">
        <v>7</v>
      </c>
      <c r="F3289" s="603"/>
      <c r="G3289" s="314" t="s">
        <v>486</v>
      </c>
      <c r="H3289" s="399">
        <v>1</v>
      </c>
      <c r="I3289" s="316"/>
      <c r="J3289" s="316">
        <v>10.01</v>
      </c>
      <c r="K3289" s="316">
        <v>10.01</v>
      </c>
      <c r="L3289" s="166"/>
    </row>
    <row r="3290" spans="1:12" ht="25.5" customHeight="1" x14ac:dyDescent="0.3">
      <c r="A3290" s="400" t="s">
        <v>1038</v>
      </c>
      <c r="B3290" s="401" t="s">
        <v>2446</v>
      </c>
      <c r="C3290" s="400" t="s">
        <v>484</v>
      </c>
      <c r="D3290" s="400" t="s">
        <v>2447</v>
      </c>
      <c r="E3290" s="605" t="s">
        <v>1039</v>
      </c>
      <c r="F3290" s="605"/>
      <c r="G3290" s="402" t="s">
        <v>422</v>
      </c>
      <c r="H3290" s="403">
        <v>1</v>
      </c>
      <c r="I3290" s="403">
        <v>0</v>
      </c>
      <c r="J3290" s="404">
        <v>3.78</v>
      </c>
      <c r="K3290" s="404">
        <v>3.78</v>
      </c>
      <c r="L3290" s="168"/>
    </row>
    <row r="3291" spans="1:12" ht="26.4" x14ac:dyDescent="0.3">
      <c r="A3291" s="400" t="s">
        <v>1038</v>
      </c>
      <c r="B3291" s="401" t="s">
        <v>1188</v>
      </c>
      <c r="C3291" s="400" t="s">
        <v>484</v>
      </c>
      <c r="D3291" s="400" t="s">
        <v>1093</v>
      </c>
      <c r="E3291" s="605" t="s">
        <v>1053</v>
      </c>
      <c r="F3291" s="605"/>
      <c r="G3291" s="402" t="s">
        <v>1070</v>
      </c>
      <c r="H3291" s="403">
        <v>0.12</v>
      </c>
      <c r="I3291" s="403">
        <v>0</v>
      </c>
      <c r="J3291" s="404">
        <v>29.48</v>
      </c>
      <c r="K3291" s="404">
        <v>3.5375999999999999</v>
      </c>
      <c r="L3291" s="170"/>
    </row>
    <row r="3292" spans="1:12" ht="38.25" customHeight="1" x14ac:dyDescent="0.3">
      <c r="A3292" s="400" t="s">
        <v>1038</v>
      </c>
      <c r="B3292" s="401" t="s">
        <v>1186</v>
      </c>
      <c r="C3292" s="400" t="s">
        <v>484</v>
      </c>
      <c r="D3292" s="400" t="s">
        <v>1187</v>
      </c>
      <c r="E3292" s="605" t="s">
        <v>1053</v>
      </c>
      <c r="F3292" s="605"/>
      <c r="G3292" s="402" t="s">
        <v>1070</v>
      </c>
      <c r="H3292" s="403">
        <v>0.12</v>
      </c>
      <c r="I3292" s="403">
        <v>0</v>
      </c>
      <c r="J3292" s="404">
        <v>22.4</v>
      </c>
      <c r="K3292" s="404">
        <v>2.6880000000000002</v>
      </c>
      <c r="L3292" s="168"/>
    </row>
    <row r="3293" spans="1:12" ht="15" customHeight="1" x14ac:dyDescent="0.3">
      <c r="A3293" s="405"/>
      <c r="B3293" s="405"/>
      <c r="C3293" s="405"/>
      <c r="D3293" s="405"/>
      <c r="E3293" s="405" t="s">
        <v>1046</v>
      </c>
      <c r="F3293" s="406">
        <v>6.23</v>
      </c>
      <c r="G3293" s="405" t="s">
        <v>1047</v>
      </c>
      <c r="H3293" s="406">
        <v>0</v>
      </c>
      <c r="I3293" s="405" t="s">
        <v>1048</v>
      </c>
      <c r="J3293" s="406">
        <v>6.23</v>
      </c>
      <c r="K3293"/>
      <c r="L3293" s="168"/>
    </row>
    <row r="3294" spans="1:12" ht="15" customHeight="1" thickBot="1" x14ac:dyDescent="0.35">
      <c r="A3294" s="405"/>
      <c r="B3294" s="405"/>
      <c r="C3294" s="405"/>
      <c r="D3294" s="405"/>
      <c r="E3294" s="405" t="s">
        <v>1049</v>
      </c>
      <c r="F3294" s="406">
        <v>0</v>
      </c>
      <c r="G3294" s="405"/>
      <c r="H3294" s="606"/>
      <c r="I3294" s="606" t="s">
        <v>1050</v>
      </c>
      <c r="J3294" s="406">
        <v>10.01</v>
      </c>
      <c r="K3294"/>
      <c r="L3294" s="168"/>
    </row>
    <row r="3295" spans="1:12" ht="25.5" customHeight="1" thickTop="1" x14ac:dyDescent="0.3">
      <c r="A3295" s="407"/>
      <c r="B3295" s="407"/>
      <c r="C3295" s="407"/>
      <c r="D3295" s="407"/>
      <c r="E3295" s="407"/>
      <c r="F3295" s="407"/>
      <c r="G3295" s="407"/>
      <c r="H3295" s="407"/>
      <c r="I3295" s="407"/>
      <c r="J3295" s="407"/>
      <c r="K3295" s="407"/>
      <c r="L3295" s="166"/>
    </row>
    <row r="3296" spans="1:12" ht="25.5" customHeight="1" x14ac:dyDescent="0.3">
      <c r="A3296" s="382" t="s">
        <v>2697</v>
      </c>
      <c r="B3296" s="312" t="s">
        <v>413</v>
      </c>
      <c r="C3296" s="382" t="s">
        <v>414</v>
      </c>
      <c r="D3296" s="382" t="s">
        <v>415</v>
      </c>
      <c r="E3296" s="586" t="s">
        <v>1029</v>
      </c>
      <c r="F3296" s="586"/>
      <c r="G3296" s="383" t="s">
        <v>416</v>
      </c>
      <c r="H3296" s="312" t="s">
        <v>1030</v>
      </c>
      <c r="I3296" s="312" t="s">
        <v>3016</v>
      </c>
      <c r="J3296" s="312" t="s">
        <v>1031</v>
      </c>
      <c r="K3296" s="312" t="s">
        <v>1032</v>
      </c>
      <c r="L3296" s="166"/>
    </row>
    <row r="3297" spans="1:12" ht="25.5" customHeight="1" x14ac:dyDescent="0.3">
      <c r="A3297" s="313" t="s">
        <v>1033</v>
      </c>
      <c r="B3297" s="315" t="s">
        <v>3871</v>
      </c>
      <c r="C3297" s="313" t="s">
        <v>395</v>
      </c>
      <c r="D3297" s="313" t="s">
        <v>398</v>
      </c>
      <c r="E3297" s="603" t="s">
        <v>7871</v>
      </c>
      <c r="F3297" s="603"/>
      <c r="G3297" s="314" t="s">
        <v>7</v>
      </c>
      <c r="H3297" s="399">
        <v>1</v>
      </c>
      <c r="I3297" s="316"/>
      <c r="J3297" s="316">
        <v>14.53</v>
      </c>
      <c r="K3297" s="316">
        <v>14.53</v>
      </c>
      <c r="L3297" s="168"/>
    </row>
    <row r="3298" spans="1:12" ht="25.5" customHeight="1" x14ac:dyDescent="0.3">
      <c r="A3298" s="408" t="s">
        <v>1034</v>
      </c>
      <c r="B3298" s="409" t="s">
        <v>1035</v>
      </c>
      <c r="C3298" s="408" t="s">
        <v>395</v>
      </c>
      <c r="D3298" s="408" t="s">
        <v>128</v>
      </c>
      <c r="E3298" s="604" t="s">
        <v>7768</v>
      </c>
      <c r="F3298" s="604"/>
      <c r="G3298" s="410" t="s">
        <v>6</v>
      </c>
      <c r="H3298" s="412">
        <v>9.4500000000000001E-2</v>
      </c>
      <c r="I3298" s="412">
        <v>0</v>
      </c>
      <c r="J3298" s="411">
        <v>34.5</v>
      </c>
      <c r="K3298" s="411">
        <v>3.2602500000000001</v>
      </c>
      <c r="L3298" s="168"/>
    </row>
    <row r="3299" spans="1:12" ht="14.25" customHeight="1" x14ac:dyDescent="0.3">
      <c r="A3299" s="408" t="s">
        <v>1034</v>
      </c>
      <c r="B3299" s="409" t="s">
        <v>1037</v>
      </c>
      <c r="C3299" s="408" t="s">
        <v>395</v>
      </c>
      <c r="D3299" s="408" t="s">
        <v>135</v>
      </c>
      <c r="E3299" s="604" t="s">
        <v>7768</v>
      </c>
      <c r="F3299" s="604"/>
      <c r="G3299" s="410" t="s">
        <v>6</v>
      </c>
      <c r="H3299" s="412">
        <v>9.4500000000000001E-2</v>
      </c>
      <c r="I3299" s="412">
        <v>0</v>
      </c>
      <c r="J3299" s="411">
        <v>41.81</v>
      </c>
      <c r="K3299" s="411">
        <v>3.9510450000000001</v>
      </c>
      <c r="L3299" s="168"/>
    </row>
    <row r="3300" spans="1:12" ht="25.5" customHeight="1" x14ac:dyDescent="0.3">
      <c r="A3300" s="400" t="s">
        <v>1038</v>
      </c>
      <c r="B3300" s="401" t="s">
        <v>2456</v>
      </c>
      <c r="C3300" s="400" t="s">
        <v>395</v>
      </c>
      <c r="D3300" s="400" t="s">
        <v>259</v>
      </c>
      <c r="E3300" s="605" t="s">
        <v>1039</v>
      </c>
      <c r="F3300" s="605"/>
      <c r="G3300" s="402" t="s">
        <v>7</v>
      </c>
      <c r="H3300" s="403">
        <v>1.1000000000000001</v>
      </c>
      <c r="I3300" s="403">
        <v>0</v>
      </c>
      <c r="J3300" s="404">
        <v>6.65</v>
      </c>
      <c r="K3300" s="404">
        <v>7.3150000000000004</v>
      </c>
      <c r="L3300" s="168"/>
    </row>
    <row r="3301" spans="1:12" ht="15" x14ac:dyDescent="0.3">
      <c r="A3301" s="405"/>
      <c r="B3301" s="405"/>
      <c r="C3301" s="405"/>
      <c r="D3301" s="405"/>
      <c r="E3301" s="405" t="s">
        <v>1046</v>
      </c>
      <c r="F3301" s="406">
        <v>5.26</v>
      </c>
      <c r="G3301" s="405" t="s">
        <v>1047</v>
      </c>
      <c r="H3301" s="406">
        <v>0.01</v>
      </c>
      <c r="I3301" s="405" t="s">
        <v>1048</v>
      </c>
      <c r="J3301" s="406">
        <v>5.27</v>
      </c>
      <c r="K3301"/>
      <c r="L3301" s="166"/>
    </row>
    <row r="3302" spans="1:12" ht="17.399999999999999" customHeight="1" thickBot="1" x14ac:dyDescent="0.35">
      <c r="A3302" s="405"/>
      <c r="B3302" s="405"/>
      <c r="C3302" s="405"/>
      <c r="D3302" s="405"/>
      <c r="E3302" s="405" t="s">
        <v>1049</v>
      </c>
      <c r="F3302" s="406">
        <v>0</v>
      </c>
      <c r="G3302" s="405"/>
      <c r="H3302" s="606"/>
      <c r="I3302" s="606" t="s">
        <v>1050</v>
      </c>
      <c r="J3302" s="406">
        <v>14.53</v>
      </c>
      <c r="K3302"/>
      <c r="L3302" s="168"/>
    </row>
    <row r="3303" spans="1:12" ht="15" customHeight="1" thickTop="1" x14ac:dyDescent="0.3">
      <c r="A3303" s="407"/>
      <c r="B3303" s="407"/>
      <c r="C3303" s="407"/>
      <c r="D3303" s="407"/>
      <c r="E3303" s="407"/>
      <c r="F3303" s="407"/>
      <c r="G3303" s="407"/>
      <c r="H3303" s="407"/>
      <c r="I3303" s="407"/>
      <c r="J3303" s="407"/>
      <c r="K3303" s="407"/>
      <c r="L3303" s="168"/>
    </row>
    <row r="3304" spans="1:12" ht="25.5" customHeight="1" x14ac:dyDescent="0.3">
      <c r="A3304" s="382" t="s">
        <v>2698</v>
      </c>
      <c r="B3304" s="312" t="s">
        <v>413</v>
      </c>
      <c r="C3304" s="382" t="s">
        <v>414</v>
      </c>
      <c r="D3304" s="382" t="s">
        <v>415</v>
      </c>
      <c r="E3304" s="586" t="s">
        <v>1029</v>
      </c>
      <c r="F3304" s="586"/>
      <c r="G3304" s="383" t="s">
        <v>416</v>
      </c>
      <c r="H3304" s="312" t="s">
        <v>1030</v>
      </c>
      <c r="I3304" s="312" t="s">
        <v>3016</v>
      </c>
      <c r="J3304" s="312" t="s">
        <v>1031</v>
      </c>
      <c r="K3304" s="312" t="s">
        <v>1032</v>
      </c>
      <c r="L3304" s="168"/>
    </row>
    <row r="3305" spans="1:12" ht="25.5" customHeight="1" x14ac:dyDescent="0.3">
      <c r="A3305" s="313" t="s">
        <v>1033</v>
      </c>
      <c r="B3305" s="315" t="s">
        <v>3872</v>
      </c>
      <c r="C3305" s="313" t="s">
        <v>395</v>
      </c>
      <c r="D3305" s="313" t="s">
        <v>399</v>
      </c>
      <c r="E3305" s="603" t="s">
        <v>7871</v>
      </c>
      <c r="F3305" s="603"/>
      <c r="G3305" s="314" t="s">
        <v>7</v>
      </c>
      <c r="H3305" s="399">
        <v>1</v>
      </c>
      <c r="I3305" s="316"/>
      <c r="J3305" s="316">
        <v>27.41</v>
      </c>
      <c r="K3305" s="316">
        <v>27.41</v>
      </c>
      <c r="L3305" s="166"/>
    </row>
    <row r="3306" spans="1:12" ht="30" customHeight="1" x14ac:dyDescent="0.3">
      <c r="A3306" s="408" t="s">
        <v>1034</v>
      </c>
      <c r="B3306" s="409" t="s">
        <v>1035</v>
      </c>
      <c r="C3306" s="408" t="s">
        <v>395</v>
      </c>
      <c r="D3306" s="408" t="s">
        <v>128</v>
      </c>
      <c r="E3306" s="604" t="s">
        <v>7768</v>
      </c>
      <c r="F3306" s="604"/>
      <c r="G3306" s="410" t="s">
        <v>6</v>
      </c>
      <c r="H3306" s="412">
        <v>0.1721</v>
      </c>
      <c r="I3306" s="412">
        <v>0</v>
      </c>
      <c r="J3306" s="411">
        <v>34.5</v>
      </c>
      <c r="K3306" s="411">
        <v>5.9374500000000001</v>
      </c>
      <c r="L3306" s="166"/>
    </row>
    <row r="3307" spans="1:12" ht="30" customHeight="1" x14ac:dyDescent="0.3">
      <c r="A3307" s="408" t="s">
        <v>1034</v>
      </c>
      <c r="B3307" s="409" t="s">
        <v>1037</v>
      </c>
      <c r="C3307" s="408" t="s">
        <v>395</v>
      </c>
      <c r="D3307" s="408" t="s">
        <v>135</v>
      </c>
      <c r="E3307" s="604" t="s">
        <v>7768</v>
      </c>
      <c r="F3307" s="604"/>
      <c r="G3307" s="410" t="s">
        <v>6</v>
      </c>
      <c r="H3307" s="412">
        <v>0.1721</v>
      </c>
      <c r="I3307" s="412">
        <v>0</v>
      </c>
      <c r="J3307" s="411">
        <v>41.81</v>
      </c>
      <c r="K3307" s="411">
        <v>7.1955010000000001</v>
      </c>
      <c r="L3307" s="168"/>
    </row>
    <row r="3308" spans="1:12" ht="39.6" x14ac:dyDescent="0.3">
      <c r="A3308" s="400" t="s">
        <v>1038</v>
      </c>
      <c r="B3308" s="401" t="s">
        <v>4606</v>
      </c>
      <c r="C3308" s="400" t="s">
        <v>395</v>
      </c>
      <c r="D3308" s="400" t="s">
        <v>4607</v>
      </c>
      <c r="E3308" s="605" t="s">
        <v>1039</v>
      </c>
      <c r="F3308" s="605"/>
      <c r="G3308" s="402" t="s">
        <v>7</v>
      </c>
      <c r="H3308" s="403">
        <v>1.1000000000000001</v>
      </c>
      <c r="I3308" s="403">
        <v>0</v>
      </c>
      <c r="J3308" s="404">
        <v>12.98</v>
      </c>
      <c r="K3308" s="404">
        <v>14.278</v>
      </c>
      <c r="L3308" s="168"/>
    </row>
    <row r="3309" spans="1:12" ht="14.25" customHeight="1" x14ac:dyDescent="0.3">
      <c r="A3309" s="405"/>
      <c r="B3309" s="405"/>
      <c r="C3309" s="405"/>
      <c r="D3309" s="405"/>
      <c r="E3309" s="405" t="s">
        <v>1046</v>
      </c>
      <c r="F3309" s="406">
        <v>9.58</v>
      </c>
      <c r="G3309" s="405" t="s">
        <v>1047</v>
      </c>
      <c r="H3309" s="406">
        <v>0</v>
      </c>
      <c r="I3309" s="405" t="s">
        <v>1048</v>
      </c>
      <c r="J3309" s="406">
        <v>9.58</v>
      </c>
      <c r="K3309"/>
      <c r="L3309" s="168"/>
    </row>
    <row r="3310" spans="1:12" ht="15" customHeight="1" thickBot="1" x14ac:dyDescent="0.35">
      <c r="A3310" s="405"/>
      <c r="B3310" s="405"/>
      <c r="C3310" s="405"/>
      <c r="D3310" s="405"/>
      <c r="E3310" s="405" t="s">
        <v>1049</v>
      </c>
      <c r="F3310" s="406">
        <v>0</v>
      </c>
      <c r="G3310" s="405"/>
      <c r="H3310" s="606"/>
      <c r="I3310" s="606" t="s">
        <v>1050</v>
      </c>
      <c r="J3310" s="406">
        <v>27.41</v>
      </c>
      <c r="K3310"/>
      <c r="L3310" s="166"/>
    </row>
    <row r="3311" spans="1:12" ht="15" customHeight="1" thickTop="1" x14ac:dyDescent="0.3">
      <c r="A3311" s="407"/>
      <c r="B3311" s="407"/>
      <c r="C3311" s="407"/>
      <c r="D3311" s="407"/>
      <c r="E3311" s="407"/>
      <c r="F3311" s="407"/>
      <c r="G3311" s="407"/>
      <c r="H3311" s="407"/>
      <c r="I3311" s="407"/>
      <c r="J3311" s="407"/>
      <c r="K3311" s="407"/>
      <c r="L3311" s="166"/>
    </row>
    <row r="3312" spans="1:12" ht="15" x14ac:dyDescent="0.3">
      <c r="A3312" s="382" t="s">
        <v>2706</v>
      </c>
      <c r="B3312" s="312" t="s">
        <v>413</v>
      </c>
      <c r="C3312" s="382" t="s">
        <v>414</v>
      </c>
      <c r="D3312" s="382" t="s">
        <v>415</v>
      </c>
      <c r="E3312" s="586" t="s">
        <v>1029</v>
      </c>
      <c r="F3312" s="586"/>
      <c r="G3312" s="383" t="s">
        <v>416</v>
      </c>
      <c r="H3312" s="312" t="s">
        <v>1030</v>
      </c>
      <c r="I3312" s="312" t="s">
        <v>3016</v>
      </c>
      <c r="J3312" s="312" t="s">
        <v>1031</v>
      </c>
      <c r="K3312" s="312" t="s">
        <v>1032</v>
      </c>
      <c r="L3312" s="166"/>
    </row>
    <row r="3313" spans="1:12" ht="38.25" customHeight="1" x14ac:dyDescent="0.3">
      <c r="A3313" s="313" t="s">
        <v>1033</v>
      </c>
      <c r="B3313" s="315" t="s">
        <v>915</v>
      </c>
      <c r="C3313" s="313" t="s">
        <v>484</v>
      </c>
      <c r="D3313" s="313" t="s">
        <v>485</v>
      </c>
      <c r="E3313" s="603">
        <v>7</v>
      </c>
      <c r="F3313" s="603"/>
      <c r="G3313" s="314" t="s">
        <v>486</v>
      </c>
      <c r="H3313" s="399">
        <v>1</v>
      </c>
      <c r="I3313" s="316"/>
      <c r="J3313" s="316">
        <v>16.62</v>
      </c>
      <c r="K3313" s="316">
        <v>16.62</v>
      </c>
      <c r="L3313" s="166"/>
    </row>
    <row r="3314" spans="1:12" ht="15" customHeight="1" x14ac:dyDescent="0.3">
      <c r="A3314" s="400" t="s">
        <v>1038</v>
      </c>
      <c r="B3314" s="401" t="s">
        <v>1185</v>
      </c>
      <c r="C3314" s="400" t="s">
        <v>484</v>
      </c>
      <c r="D3314" s="400" t="s">
        <v>485</v>
      </c>
      <c r="E3314" s="605" t="s">
        <v>1039</v>
      </c>
      <c r="F3314" s="605"/>
      <c r="G3314" s="402" t="s">
        <v>422</v>
      </c>
      <c r="H3314" s="403">
        <v>1</v>
      </c>
      <c r="I3314" s="403">
        <v>0</v>
      </c>
      <c r="J3314" s="404">
        <v>6.24</v>
      </c>
      <c r="K3314" s="404">
        <v>6.24</v>
      </c>
      <c r="L3314" s="166"/>
    </row>
    <row r="3315" spans="1:12" ht="25.5" customHeight="1" x14ac:dyDescent="0.3">
      <c r="A3315" s="400" t="s">
        <v>1038</v>
      </c>
      <c r="B3315" s="401" t="s">
        <v>1188</v>
      </c>
      <c r="C3315" s="400" t="s">
        <v>484</v>
      </c>
      <c r="D3315" s="400" t="s">
        <v>1093</v>
      </c>
      <c r="E3315" s="605" t="s">
        <v>1053</v>
      </c>
      <c r="F3315" s="605"/>
      <c r="G3315" s="402" t="s">
        <v>1070</v>
      </c>
      <c r="H3315" s="403">
        <v>0.2</v>
      </c>
      <c r="I3315" s="403">
        <v>0</v>
      </c>
      <c r="J3315" s="404">
        <v>29.48</v>
      </c>
      <c r="K3315" s="404">
        <v>5.8959999999999999</v>
      </c>
      <c r="L3315" s="166"/>
    </row>
    <row r="3316" spans="1:12" ht="25.5" customHeight="1" x14ac:dyDescent="0.3">
      <c r="A3316" s="400" t="s">
        <v>1038</v>
      </c>
      <c r="B3316" s="401" t="s">
        <v>1186</v>
      </c>
      <c r="C3316" s="400" t="s">
        <v>484</v>
      </c>
      <c r="D3316" s="400" t="s">
        <v>1187</v>
      </c>
      <c r="E3316" s="605" t="s">
        <v>1053</v>
      </c>
      <c r="F3316" s="605"/>
      <c r="G3316" s="402" t="s">
        <v>1070</v>
      </c>
      <c r="H3316" s="403">
        <v>0.2</v>
      </c>
      <c r="I3316" s="403">
        <v>0</v>
      </c>
      <c r="J3316" s="404">
        <v>22.4</v>
      </c>
      <c r="K3316" s="404">
        <v>4.4800000000000004</v>
      </c>
      <c r="L3316" s="166"/>
    </row>
    <row r="3317" spans="1:12" ht="30" customHeight="1" x14ac:dyDescent="0.3">
      <c r="A3317" s="405"/>
      <c r="B3317" s="405"/>
      <c r="C3317" s="405"/>
      <c r="D3317" s="405"/>
      <c r="E3317" s="405" t="s">
        <v>1046</v>
      </c>
      <c r="F3317" s="406">
        <v>10.38</v>
      </c>
      <c r="G3317" s="405" t="s">
        <v>1047</v>
      </c>
      <c r="H3317" s="406">
        <v>0</v>
      </c>
      <c r="I3317" s="405" t="s">
        <v>1048</v>
      </c>
      <c r="J3317" s="406">
        <v>10.38</v>
      </c>
      <c r="K3317"/>
      <c r="L3317" s="168"/>
    </row>
    <row r="3318" spans="1:12" ht="30" customHeight="1" thickBot="1" x14ac:dyDescent="0.35">
      <c r="A3318" s="405"/>
      <c r="B3318" s="405"/>
      <c r="C3318" s="405"/>
      <c r="D3318" s="405"/>
      <c r="E3318" s="405" t="s">
        <v>1049</v>
      </c>
      <c r="F3318" s="406">
        <v>0</v>
      </c>
      <c r="G3318" s="405"/>
      <c r="H3318" s="606"/>
      <c r="I3318" s="606" t="s">
        <v>1050</v>
      </c>
      <c r="J3318" s="406">
        <v>16.62</v>
      </c>
      <c r="K3318"/>
      <c r="L3318" s="170"/>
    </row>
    <row r="3319" spans="1:12" ht="14.25" customHeight="1" thickTop="1" x14ac:dyDescent="0.3">
      <c r="A3319" s="407"/>
      <c r="B3319" s="407"/>
      <c r="C3319" s="407"/>
      <c r="D3319" s="407"/>
      <c r="E3319" s="407"/>
      <c r="F3319" s="407"/>
      <c r="G3319" s="407"/>
      <c r="H3319" s="407"/>
      <c r="I3319" s="407"/>
      <c r="J3319" s="407"/>
      <c r="K3319" s="407"/>
      <c r="L3319" s="168"/>
    </row>
    <row r="3320" spans="1:12" ht="15" customHeight="1" x14ac:dyDescent="0.3">
      <c r="A3320" s="382" t="s">
        <v>2707</v>
      </c>
      <c r="B3320" s="312" t="s">
        <v>413</v>
      </c>
      <c r="C3320" s="382" t="s">
        <v>414</v>
      </c>
      <c r="D3320" s="382" t="s">
        <v>415</v>
      </c>
      <c r="E3320" s="586" t="s">
        <v>1029</v>
      </c>
      <c r="F3320" s="586"/>
      <c r="G3320" s="383" t="s">
        <v>416</v>
      </c>
      <c r="H3320" s="312" t="s">
        <v>1030</v>
      </c>
      <c r="I3320" s="312" t="s">
        <v>3016</v>
      </c>
      <c r="J3320" s="312" t="s">
        <v>1031</v>
      </c>
      <c r="K3320" s="312" t="s">
        <v>1032</v>
      </c>
      <c r="L3320" s="168"/>
    </row>
    <row r="3321" spans="1:12" ht="15" customHeight="1" x14ac:dyDescent="0.3">
      <c r="A3321" s="313" t="s">
        <v>1033</v>
      </c>
      <c r="B3321" s="315" t="s">
        <v>916</v>
      </c>
      <c r="C3321" s="313" t="s">
        <v>484</v>
      </c>
      <c r="D3321" s="313" t="s">
        <v>487</v>
      </c>
      <c r="E3321" s="603">
        <v>7</v>
      </c>
      <c r="F3321" s="603"/>
      <c r="G3321" s="314" t="s">
        <v>486</v>
      </c>
      <c r="H3321" s="399">
        <v>1</v>
      </c>
      <c r="I3321" s="316"/>
      <c r="J3321" s="316">
        <v>18.89</v>
      </c>
      <c r="K3321" s="316">
        <v>18.89</v>
      </c>
      <c r="L3321" s="168"/>
    </row>
    <row r="3322" spans="1:12" ht="26.4" x14ac:dyDescent="0.3">
      <c r="A3322" s="400" t="s">
        <v>1038</v>
      </c>
      <c r="B3322" s="401" t="s">
        <v>1189</v>
      </c>
      <c r="C3322" s="400" t="s">
        <v>484</v>
      </c>
      <c r="D3322" s="400" t="s">
        <v>487</v>
      </c>
      <c r="E3322" s="605" t="s">
        <v>1039</v>
      </c>
      <c r="F3322" s="605"/>
      <c r="G3322" s="402" t="s">
        <v>422</v>
      </c>
      <c r="H3322" s="403">
        <v>1</v>
      </c>
      <c r="I3322" s="403">
        <v>0</v>
      </c>
      <c r="J3322" s="404">
        <v>8.51</v>
      </c>
      <c r="K3322" s="404">
        <v>8.51</v>
      </c>
      <c r="L3322" s="166"/>
    </row>
    <row r="3323" spans="1:12" ht="25.5" customHeight="1" x14ac:dyDescent="0.3">
      <c r="A3323" s="400" t="s">
        <v>1038</v>
      </c>
      <c r="B3323" s="401" t="s">
        <v>1186</v>
      </c>
      <c r="C3323" s="400" t="s">
        <v>484</v>
      </c>
      <c r="D3323" s="400" t="s">
        <v>1187</v>
      </c>
      <c r="E3323" s="605" t="s">
        <v>1053</v>
      </c>
      <c r="F3323" s="605"/>
      <c r="G3323" s="402" t="s">
        <v>1070</v>
      </c>
      <c r="H3323" s="403">
        <v>0.2</v>
      </c>
      <c r="I3323" s="403">
        <v>0</v>
      </c>
      <c r="J3323" s="404">
        <v>22.4</v>
      </c>
      <c r="K3323" s="404">
        <v>4.4800000000000004</v>
      </c>
      <c r="L3323" s="166"/>
    </row>
    <row r="3324" spans="1:12" ht="25.5" customHeight="1" x14ac:dyDescent="0.3">
      <c r="A3324" s="400" t="s">
        <v>1038</v>
      </c>
      <c r="B3324" s="401" t="s">
        <v>1188</v>
      </c>
      <c r="C3324" s="400" t="s">
        <v>484</v>
      </c>
      <c r="D3324" s="400" t="s">
        <v>1093</v>
      </c>
      <c r="E3324" s="605" t="s">
        <v>1053</v>
      </c>
      <c r="F3324" s="605"/>
      <c r="G3324" s="402" t="s">
        <v>1070</v>
      </c>
      <c r="H3324" s="403">
        <v>0.2</v>
      </c>
      <c r="I3324" s="403">
        <v>0</v>
      </c>
      <c r="J3324" s="404">
        <v>29.48</v>
      </c>
      <c r="K3324" s="404">
        <v>5.8959999999999999</v>
      </c>
      <c r="L3324" s="168"/>
    </row>
    <row r="3325" spans="1:12" ht="15" customHeight="1" x14ac:dyDescent="0.3">
      <c r="A3325" s="405"/>
      <c r="B3325" s="405"/>
      <c r="C3325" s="405"/>
      <c r="D3325" s="405"/>
      <c r="E3325" s="405" t="s">
        <v>1046</v>
      </c>
      <c r="F3325" s="406">
        <v>10.38</v>
      </c>
      <c r="G3325" s="405" t="s">
        <v>1047</v>
      </c>
      <c r="H3325" s="406">
        <v>0</v>
      </c>
      <c r="I3325" s="405" t="s">
        <v>1048</v>
      </c>
      <c r="J3325" s="406">
        <v>10.38</v>
      </c>
      <c r="K3325"/>
      <c r="L3325" s="168"/>
    </row>
    <row r="3326" spans="1:12" ht="25.5" customHeight="1" thickBot="1" x14ac:dyDescent="0.35">
      <c r="A3326" s="405"/>
      <c r="B3326" s="405"/>
      <c r="C3326" s="405"/>
      <c r="D3326" s="405"/>
      <c r="E3326" s="405" t="s">
        <v>1049</v>
      </c>
      <c r="F3326" s="406">
        <v>0</v>
      </c>
      <c r="G3326" s="405"/>
      <c r="H3326" s="606"/>
      <c r="I3326" s="606" t="s">
        <v>1050</v>
      </c>
      <c r="J3326" s="406">
        <v>18.89</v>
      </c>
      <c r="K3326"/>
      <c r="L3326" s="168"/>
    </row>
    <row r="3327" spans="1:12" ht="25.5" customHeight="1" thickTop="1" x14ac:dyDescent="0.3">
      <c r="A3327" s="407"/>
      <c r="B3327" s="407"/>
      <c r="C3327" s="407"/>
      <c r="D3327" s="407"/>
      <c r="E3327" s="407"/>
      <c r="F3327" s="407"/>
      <c r="G3327" s="407"/>
      <c r="H3327" s="407"/>
      <c r="I3327" s="407"/>
      <c r="J3327" s="407"/>
      <c r="K3327" s="407"/>
      <c r="L3327" s="168"/>
    </row>
    <row r="3328" spans="1:12" ht="25.5" customHeight="1" x14ac:dyDescent="0.3">
      <c r="A3328" s="382" t="s">
        <v>2708</v>
      </c>
      <c r="B3328" s="312" t="s">
        <v>413</v>
      </c>
      <c r="C3328" s="382" t="s">
        <v>414</v>
      </c>
      <c r="D3328" s="382" t="s">
        <v>415</v>
      </c>
      <c r="E3328" s="586" t="s">
        <v>1029</v>
      </c>
      <c r="F3328" s="586"/>
      <c r="G3328" s="383" t="s">
        <v>416</v>
      </c>
      <c r="H3328" s="312" t="s">
        <v>1030</v>
      </c>
      <c r="I3328" s="312" t="s">
        <v>3016</v>
      </c>
      <c r="J3328" s="312" t="s">
        <v>1031</v>
      </c>
      <c r="K3328" s="312" t="s">
        <v>1032</v>
      </c>
      <c r="L3328" s="166"/>
    </row>
    <row r="3329" spans="1:12" ht="15" customHeight="1" x14ac:dyDescent="0.3">
      <c r="A3329" s="313" t="s">
        <v>1033</v>
      </c>
      <c r="B3329" s="315" t="s">
        <v>917</v>
      </c>
      <c r="C3329" s="313" t="s">
        <v>484</v>
      </c>
      <c r="D3329" s="313" t="s">
        <v>488</v>
      </c>
      <c r="E3329" s="603">
        <v>7</v>
      </c>
      <c r="F3329" s="603"/>
      <c r="G3329" s="314" t="s">
        <v>486</v>
      </c>
      <c r="H3329" s="399">
        <v>1</v>
      </c>
      <c r="I3329" s="316"/>
      <c r="J3329" s="316">
        <v>21.28</v>
      </c>
      <c r="K3329" s="316">
        <v>21.28</v>
      </c>
      <c r="L3329" s="168"/>
    </row>
    <row r="3330" spans="1:12" ht="26.4" x14ac:dyDescent="0.3">
      <c r="A3330" s="400" t="s">
        <v>1038</v>
      </c>
      <c r="B3330" s="401" t="s">
        <v>1190</v>
      </c>
      <c r="C3330" s="400" t="s">
        <v>484</v>
      </c>
      <c r="D3330" s="400" t="s">
        <v>488</v>
      </c>
      <c r="E3330" s="605" t="s">
        <v>1039</v>
      </c>
      <c r="F3330" s="605"/>
      <c r="G3330" s="402" t="s">
        <v>422</v>
      </c>
      <c r="H3330" s="403">
        <v>1</v>
      </c>
      <c r="I3330" s="403">
        <v>0</v>
      </c>
      <c r="J3330" s="404">
        <v>10.9</v>
      </c>
      <c r="K3330" s="404">
        <v>10.9</v>
      </c>
      <c r="L3330" s="168"/>
    </row>
    <row r="3331" spans="1:12" ht="25.5" customHeight="1" x14ac:dyDescent="0.3">
      <c r="A3331" s="400" t="s">
        <v>1038</v>
      </c>
      <c r="B3331" s="401" t="s">
        <v>1186</v>
      </c>
      <c r="C3331" s="400" t="s">
        <v>484</v>
      </c>
      <c r="D3331" s="400" t="s">
        <v>1187</v>
      </c>
      <c r="E3331" s="605" t="s">
        <v>1053</v>
      </c>
      <c r="F3331" s="605"/>
      <c r="G3331" s="402" t="s">
        <v>1070</v>
      </c>
      <c r="H3331" s="403">
        <v>0.2</v>
      </c>
      <c r="I3331" s="403">
        <v>0</v>
      </c>
      <c r="J3331" s="404">
        <v>22.4</v>
      </c>
      <c r="K3331" s="404">
        <v>4.4800000000000004</v>
      </c>
      <c r="L3331" s="168"/>
    </row>
    <row r="3332" spans="1:12" ht="25.5" customHeight="1" x14ac:dyDescent="0.3">
      <c r="A3332" s="400" t="s">
        <v>1038</v>
      </c>
      <c r="B3332" s="401" t="s">
        <v>1188</v>
      </c>
      <c r="C3332" s="400" t="s">
        <v>484</v>
      </c>
      <c r="D3332" s="400" t="s">
        <v>1093</v>
      </c>
      <c r="E3332" s="605" t="s">
        <v>1053</v>
      </c>
      <c r="F3332" s="605"/>
      <c r="G3332" s="402" t="s">
        <v>1070</v>
      </c>
      <c r="H3332" s="403">
        <v>0.2</v>
      </c>
      <c r="I3332" s="403">
        <v>0</v>
      </c>
      <c r="J3332" s="404">
        <v>29.48</v>
      </c>
      <c r="K3332" s="404">
        <v>5.8959999999999999</v>
      </c>
      <c r="L3332" s="166"/>
    </row>
    <row r="3333" spans="1:12" ht="25.5" customHeight="1" x14ac:dyDescent="0.3">
      <c r="A3333" s="405"/>
      <c r="B3333" s="405"/>
      <c r="C3333" s="405"/>
      <c r="D3333" s="405"/>
      <c r="E3333" s="405" t="s">
        <v>1046</v>
      </c>
      <c r="F3333" s="406">
        <v>10.38</v>
      </c>
      <c r="G3333" s="405" t="s">
        <v>1047</v>
      </c>
      <c r="H3333" s="406">
        <v>0</v>
      </c>
      <c r="I3333" s="405" t="s">
        <v>1048</v>
      </c>
      <c r="J3333" s="406">
        <v>10.38</v>
      </c>
      <c r="K3333"/>
      <c r="L3333" s="166"/>
    </row>
    <row r="3334" spans="1:12" ht="25.5" customHeight="1" thickBot="1" x14ac:dyDescent="0.35">
      <c r="A3334" s="405"/>
      <c r="B3334" s="405"/>
      <c r="C3334" s="405"/>
      <c r="D3334" s="405"/>
      <c r="E3334" s="405" t="s">
        <v>1049</v>
      </c>
      <c r="F3334" s="406">
        <v>0</v>
      </c>
      <c r="G3334" s="405"/>
      <c r="H3334" s="606"/>
      <c r="I3334" s="606" t="s">
        <v>1050</v>
      </c>
      <c r="J3334" s="406">
        <v>21.28</v>
      </c>
      <c r="K3334"/>
      <c r="L3334" s="168"/>
    </row>
    <row r="3335" spans="1:12" ht="15.6" thickTop="1" x14ac:dyDescent="0.3">
      <c r="A3335" s="407"/>
      <c r="B3335" s="407"/>
      <c r="C3335" s="407"/>
      <c r="D3335" s="407"/>
      <c r="E3335" s="407"/>
      <c r="F3335" s="407"/>
      <c r="G3335" s="407"/>
      <c r="H3335" s="407"/>
      <c r="I3335" s="407"/>
      <c r="J3335" s="407"/>
      <c r="K3335" s="407"/>
      <c r="L3335" s="168"/>
    </row>
    <row r="3336" spans="1:12" ht="15" x14ac:dyDescent="0.3">
      <c r="A3336" s="382" t="s">
        <v>2715</v>
      </c>
      <c r="B3336" s="312" t="s">
        <v>413</v>
      </c>
      <c r="C3336" s="382" t="s">
        <v>414</v>
      </c>
      <c r="D3336" s="382" t="s">
        <v>415</v>
      </c>
      <c r="E3336" s="586" t="s">
        <v>1029</v>
      </c>
      <c r="F3336" s="586"/>
      <c r="G3336" s="383" t="s">
        <v>416</v>
      </c>
      <c r="H3336" s="312" t="s">
        <v>1030</v>
      </c>
      <c r="I3336" s="312" t="s">
        <v>3016</v>
      </c>
      <c r="J3336" s="312" t="s">
        <v>1031</v>
      </c>
      <c r="K3336" s="312" t="s">
        <v>1032</v>
      </c>
      <c r="L3336" s="168"/>
    </row>
    <row r="3337" spans="1:12" ht="12.75" customHeight="1" x14ac:dyDescent="0.3">
      <c r="A3337" s="313" t="s">
        <v>1033</v>
      </c>
      <c r="B3337" s="315" t="s">
        <v>2158</v>
      </c>
      <c r="C3337" s="313" t="s">
        <v>490</v>
      </c>
      <c r="D3337" s="313" t="s">
        <v>1836</v>
      </c>
      <c r="E3337" s="603" t="s">
        <v>7869</v>
      </c>
      <c r="F3337" s="603"/>
      <c r="G3337" s="314" t="s">
        <v>4</v>
      </c>
      <c r="H3337" s="399">
        <v>1</v>
      </c>
      <c r="I3337" s="316"/>
      <c r="J3337" s="316">
        <v>104.93</v>
      </c>
      <c r="K3337" s="316">
        <v>104.93</v>
      </c>
      <c r="L3337" s="166"/>
    </row>
    <row r="3338" spans="1:12" ht="15" customHeight="1" x14ac:dyDescent="0.3">
      <c r="A3338" s="400" t="s">
        <v>1038</v>
      </c>
      <c r="B3338" s="401" t="s">
        <v>1193</v>
      </c>
      <c r="C3338" s="400" t="s">
        <v>490</v>
      </c>
      <c r="D3338" s="400" t="s">
        <v>1093</v>
      </c>
      <c r="E3338" s="605" t="s">
        <v>1053</v>
      </c>
      <c r="F3338" s="605"/>
      <c r="G3338" s="402" t="s">
        <v>6</v>
      </c>
      <c r="H3338" s="403">
        <v>1.2</v>
      </c>
      <c r="I3338" s="403">
        <v>0</v>
      </c>
      <c r="J3338" s="404">
        <v>29.0154</v>
      </c>
      <c r="K3338" s="404">
        <v>34.818480000000001</v>
      </c>
      <c r="L3338" s="166"/>
    </row>
    <row r="3339" spans="1:12" ht="14.25" customHeight="1" x14ac:dyDescent="0.3">
      <c r="A3339" s="400" t="s">
        <v>1038</v>
      </c>
      <c r="B3339" s="401" t="s">
        <v>1191</v>
      </c>
      <c r="C3339" s="400" t="s">
        <v>490</v>
      </c>
      <c r="D3339" s="400" t="s">
        <v>1192</v>
      </c>
      <c r="E3339" s="605" t="s">
        <v>1053</v>
      </c>
      <c r="F3339" s="605"/>
      <c r="G3339" s="402" t="s">
        <v>6</v>
      </c>
      <c r="H3339" s="403">
        <v>1.2</v>
      </c>
      <c r="I3339" s="403">
        <v>0</v>
      </c>
      <c r="J3339" s="404">
        <v>25.596599999999999</v>
      </c>
      <c r="K3339" s="404">
        <v>30.715920000000001</v>
      </c>
      <c r="L3339" s="166"/>
    </row>
    <row r="3340" spans="1:12" ht="15" customHeight="1" x14ac:dyDescent="0.3">
      <c r="A3340" s="400" t="s">
        <v>1038</v>
      </c>
      <c r="B3340" s="401" t="s">
        <v>2448</v>
      </c>
      <c r="C3340" s="400" t="s">
        <v>490</v>
      </c>
      <c r="D3340" s="400" t="s">
        <v>2449</v>
      </c>
      <c r="E3340" s="605" t="s">
        <v>1039</v>
      </c>
      <c r="F3340" s="605"/>
      <c r="G3340" s="402" t="s">
        <v>4</v>
      </c>
      <c r="H3340" s="403">
        <v>1</v>
      </c>
      <c r="I3340" s="403">
        <v>0</v>
      </c>
      <c r="J3340" s="404">
        <v>39.4</v>
      </c>
      <c r="K3340" s="404">
        <v>39.4</v>
      </c>
      <c r="L3340" s="166"/>
    </row>
    <row r="3341" spans="1:12" ht="38.25" customHeight="1" x14ac:dyDescent="0.3">
      <c r="A3341" s="405"/>
      <c r="B3341" s="405"/>
      <c r="C3341" s="405"/>
      <c r="D3341" s="405"/>
      <c r="E3341" s="405" t="s">
        <v>1046</v>
      </c>
      <c r="F3341" s="406">
        <v>65.540000000000006</v>
      </c>
      <c r="G3341" s="405" t="s">
        <v>1047</v>
      </c>
      <c r="H3341" s="406">
        <v>0</v>
      </c>
      <c r="I3341" s="405" t="s">
        <v>1048</v>
      </c>
      <c r="J3341" s="406">
        <v>65.540000000000006</v>
      </c>
      <c r="K3341"/>
      <c r="L3341" s="166"/>
    </row>
    <row r="3342" spans="1:12" ht="15.6" thickBot="1" x14ac:dyDescent="0.35">
      <c r="A3342" s="405"/>
      <c r="B3342" s="405"/>
      <c r="C3342" s="405"/>
      <c r="D3342" s="405"/>
      <c r="E3342" s="405" t="s">
        <v>1049</v>
      </c>
      <c r="F3342" s="406">
        <v>0</v>
      </c>
      <c r="G3342" s="405"/>
      <c r="H3342" s="606"/>
      <c r="I3342" s="606" t="s">
        <v>1050</v>
      </c>
      <c r="J3342" s="406">
        <v>104.93</v>
      </c>
      <c r="K3342"/>
      <c r="L3342" s="166"/>
    </row>
    <row r="3343" spans="1:12" ht="25.5" customHeight="1" thickTop="1" x14ac:dyDescent="0.3">
      <c r="A3343" s="407"/>
      <c r="B3343" s="407"/>
      <c r="C3343" s="407"/>
      <c r="D3343" s="407"/>
      <c r="E3343" s="407"/>
      <c r="F3343" s="407"/>
      <c r="G3343" s="407"/>
      <c r="H3343" s="407"/>
      <c r="I3343" s="407"/>
      <c r="J3343" s="407"/>
      <c r="K3343" s="407"/>
      <c r="L3343" s="166"/>
    </row>
    <row r="3344" spans="1:12" ht="25.5" customHeight="1" x14ac:dyDescent="0.3">
      <c r="A3344" s="382" t="s">
        <v>2716</v>
      </c>
      <c r="B3344" s="312" t="s">
        <v>413</v>
      </c>
      <c r="C3344" s="382" t="s">
        <v>414</v>
      </c>
      <c r="D3344" s="382" t="s">
        <v>415</v>
      </c>
      <c r="E3344" s="586" t="s">
        <v>1029</v>
      </c>
      <c r="F3344" s="586"/>
      <c r="G3344" s="383" t="s">
        <v>416</v>
      </c>
      <c r="H3344" s="312" t="s">
        <v>1030</v>
      </c>
      <c r="I3344" s="312" t="s">
        <v>3016</v>
      </c>
      <c r="J3344" s="312" t="s">
        <v>1031</v>
      </c>
      <c r="K3344" s="312" t="s">
        <v>1032</v>
      </c>
      <c r="L3344" s="168"/>
    </row>
    <row r="3345" spans="1:12" ht="25.5" customHeight="1" x14ac:dyDescent="0.3">
      <c r="A3345" s="313" t="s">
        <v>1033</v>
      </c>
      <c r="B3345" s="315" t="s">
        <v>919</v>
      </c>
      <c r="C3345" s="313" t="s">
        <v>490</v>
      </c>
      <c r="D3345" s="313" t="s">
        <v>493</v>
      </c>
      <c r="E3345" s="603" t="s">
        <v>7869</v>
      </c>
      <c r="F3345" s="603"/>
      <c r="G3345" s="314" t="s">
        <v>4</v>
      </c>
      <c r="H3345" s="399">
        <v>1</v>
      </c>
      <c r="I3345" s="316"/>
      <c r="J3345" s="316">
        <v>146.86000000000001</v>
      </c>
      <c r="K3345" s="316">
        <v>146.86000000000001</v>
      </c>
      <c r="L3345" s="170"/>
    </row>
    <row r="3346" spans="1:12" ht="25.5" customHeight="1" x14ac:dyDescent="0.3">
      <c r="A3346" s="400" t="s">
        <v>1038</v>
      </c>
      <c r="B3346" s="401" t="s">
        <v>1193</v>
      </c>
      <c r="C3346" s="400" t="s">
        <v>490</v>
      </c>
      <c r="D3346" s="400" t="s">
        <v>1093</v>
      </c>
      <c r="E3346" s="605" t="s">
        <v>1053</v>
      </c>
      <c r="F3346" s="605"/>
      <c r="G3346" s="402" t="s">
        <v>6</v>
      </c>
      <c r="H3346" s="403">
        <v>1.5</v>
      </c>
      <c r="I3346" s="403">
        <v>0</v>
      </c>
      <c r="J3346" s="404">
        <v>29.0154</v>
      </c>
      <c r="K3346" s="404">
        <v>43.523099999999999</v>
      </c>
      <c r="L3346" s="168"/>
    </row>
    <row r="3347" spans="1:12" ht="12.75" customHeight="1" x14ac:dyDescent="0.3">
      <c r="A3347" s="400" t="s">
        <v>1038</v>
      </c>
      <c r="B3347" s="401" t="s">
        <v>1191</v>
      </c>
      <c r="C3347" s="400" t="s">
        <v>490</v>
      </c>
      <c r="D3347" s="400" t="s">
        <v>1192</v>
      </c>
      <c r="E3347" s="605" t="s">
        <v>1053</v>
      </c>
      <c r="F3347" s="605"/>
      <c r="G3347" s="402" t="s">
        <v>6</v>
      </c>
      <c r="H3347" s="403">
        <v>1.5</v>
      </c>
      <c r="I3347" s="403">
        <v>0</v>
      </c>
      <c r="J3347" s="404">
        <v>25.596599999999999</v>
      </c>
      <c r="K3347" s="404">
        <v>38.3949</v>
      </c>
      <c r="L3347" s="168"/>
    </row>
    <row r="3348" spans="1:12" ht="30" customHeight="1" x14ac:dyDescent="0.3">
      <c r="A3348" s="400" t="s">
        <v>1038</v>
      </c>
      <c r="B3348" s="401" t="s">
        <v>1196</v>
      </c>
      <c r="C3348" s="400" t="s">
        <v>490</v>
      </c>
      <c r="D3348" s="400" t="s">
        <v>1197</v>
      </c>
      <c r="E3348" s="605" t="s">
        <v>1039</v>
      </c>
      <c r="F3348" s="605"/>
      <c r="G3348" s="402" t="s">
        <v>4</v>
      </c>
      <c r="H3348" s="403">
        <v>1</v>
      </c>
      <c r="I3348" s="403">
        <v>0</v>
      </c>
      <c r="J3348" s="404">
        <v>64.94</v>
      </c>
      <c r="K3348" s="404">
        <v>64.94</v>
      </c>
      <c r="L3348" s="168"/>
    </row>
    <row r="3349" spans="1:12" ht="15" customHeight="1" x14ac:dyDescent="0.3">
      <c r="A3349" s="405"/>
      <c r="B3349" s="405"/>
      <c r="C3349" s="405"/>
      <c r="D3349" s="405"/>
      <c r="E3349" s="405" t="s">
        <v>1046</v>
      </c>
      <c r="F3349" s="406">
        <v>81.91</v>
      </c>
      <c r="G3349" s="405" t="s">
        <v>1047</v>
      </c>
      <c r="H3349" s="406">
        <v>0</v>
      </c>
      <c r="I3349" s="405" t="s">
        <v>1048</v>
      </c>
      <c r="J3349" s="406">
        <v>81.91</v>
      </c>
      <c r="K3349"/>
      <c r="L3349" s="166"/>
    </row>
    <row r="3350" spans="1:12" ht="14.25" customHeight="1" thickBot="1" x14ac:dyDescent="0.35">
      <c r="A3350" s="405"/>
      <c r="B3350" s="405"/>
      <c r="C3350" s="405"/>
      <c r="D3350" s="405"/>
      <c r="E3350" s="405" t="s">
        <v>1049</v>
      </c>
      <c r="F3350" s="406">
        <v>0</v>
      </c>
      <c r="G3350" s="405"/>
      <c r="H3350" s="606"/>
      <c r="I3350" s="606" t="s">
        <v>1050</v>
      </c>
      <c r="J3350" s="406">
        <v>146.86000000000001</v>
      </c>
      <c r="K3350"/>
      <c r="L3350" s="166"/>
    </row>
    <row r="3351" spans="1:12" ht="14.25" customHeight="1" thickTop="1" x14ac:dyDescent="0.3">
      <c r="A3351" s="407"/>
      <c r="B3351" s="407"/>
      <c r="C3351" s="407"/>
      <c r="D3351" s="407"/>
      <c r="E3351" s="407"/>
      <c r="F3351" s="407"/>
      <c r="G3351" s="407"/>
      <c r="H3351" s="407"/>
      <c r="I3351" s="407"/>
      <c r="J3351" s="407"/>
      <c r="K3351" s="407"/>
      <c r="L3351" s="168"/>
    </row>
    <row r="3352" spans="1:12" ht="15" x14ac:dyDescent="0.3">
      <c r="A3352" s="382" t="s">
        <v>2717</v>
      </c>
      <c r="B3352" s="312" t="s">
        <v>413</v>
      </c>
      <c r="C3352" s="382" t="s">
        <v>414</v>
      </c>
      <c r="D3352" s="382" t="s">
        <v>415</v>
      </c>
      <c r="E3352" s="586" t="s">
        <v>1029</v>
      </c>
      <c r="F3352" s="586"/>
      <c r="G3352" s="383" t="s">
        <v>416</v>
      </c>
      <c r="H3352" s="312" t="s">
        <v>1030</v>
      </c>
      <c r="I3352" s="312" t="s">
        <v>3016</v>
      </c>
      <c r="J3352" s="312" t="s">
        <v>1031</v>
      </c>
      <c r="K3352" s="312" t="s">
        <v>1032</v>
      </c>
      <c r="L3352" s="168"/>
    </row>
    <row r="3353" spans="1:12" ht="26.4" x14ac:dyDescent="0.3">
      <c r="A3353" s="313" t="s">
        <v>1033</v>
      </c>
      <c r="B3353" s="315" t="s">
        <v>2159</v>
      </c>
      <c r="C3353" s="313" t="s">
        <v>420</v>
      </c>
      <c r="D3353" s="313" t="s">
        <v>1837</v>
      </c>
      <c r="E3353" s="603" t="s">
        <v>1386</v>
      </c>
      <c r="F3353" s="603"/>
      <c r="G3353" s="314" t="s">
        <v>422</v>
      </c>
      <c r="H3353" s="399">
        <v>1</v>
      </c>
      <c r="I3353" s="316"/>
      <c r="J3353" s="316">
        <v>385.92</v>
      </c>
      <c r="K3353" s="316">
        <v>385.92</v>
      </c>
      <c r="L3353" s="168"/>
    </row>
    <row r="3354" spans="1:12" ht="25.5" customHeight="1" x14ac:dyDescent="0.3">
      <c r="A3354" s="408" t="s">
        <v>1034</v>
      </c>
      <c r="B3354" s="409" t="s">
        <v>1071</v>
      </c>
      <c r="C3354" s="408" t="s">
        <v>420</v>
      </c>
      <c r="D3354" s="408" t="s">
        <v>1072</v>
      </c>
      <c r="E3354" s="604" t="s">
        <v>1069</v>
      </c>
      <c r="F3354" s="604"/>
      <c r="G3354" s="410" t="s">
        <v>1070</v>
      </c>
      <c r="H3354" s="412">
        <v>3</v>
      </c>
      <c r="I3354" s="412">
        <v>0</v>
      </c>
      <c r="J3354" s="411">
        <v>3.95</v>
      </c>
      <c r="K3354" s="411">
        <v>11.85</v>
      </c>
      <c r="L3354" s="168"/>
    </row>
    <row r="3355" spans="1:12" ht="25.5" customHeight="1" x14ac:dyDescent="0.3">
      <c r="A3355" s="408" t="s">
        <v>1034</v>
      </c>
      <c r="B3355" s="409" t="s">
        <v>1067</v>
      </c>
      <c r="C3355" s="408" t="s">
        <v>420</v>
      </c>
      <c r="D3355" s="408" t="s">
        <v>1068</v>
      </c>
      <c r="E3355" s="604" t="s">
        <v>1069</v>
      </c>
      <c r="F3355" s="604"/>
      <c r="G3355" s="410" t="s">
        <v>1070</v>
      </c>
      <c r="H3355" s="412">
        <v>3</v>
      </c>
      <c r="I3355" s="412">
        <v>0</v>
      </c>
      <c r="J3355" s="411">
        <v>3.82</v>
      </c>
      <c r="K3355" s="411">
        <v>11.46</v>
      </c>
      <c r="L3355" s="166"/>
    </row>
    <row r="3356" spans="1:12" ht="15" x14ac:dyDescent="0.3">
      <c r="A3356" s="400" t="s">
        <v>1038</v>
      </c>
      <c r="B3356" s="401" t="s">
        <v>2450</v>
      </c>
      <c r="C3356" s="400" t="s">
        <v>420</v>
      </c>
      <c r="D3356" s="400" t="s">
        <v>2451</v>
      </c>
      <c r="E3356" s="605" t="s">
        <v>1039</v>
      </c>
      <c r="F3356" s="605"/>
      <c r="G3356" s="402" t="s">
        <v>1324</v>
      </c>
      <c r="H3356" s="403">
        <v>12</v>
      </c>
      <c r="I3356" s="403">
        <v>0</v>
      </c>
      <c r="J3356" s="404">
        <v>0.96</v>
      </c>
      <c r="K3356" s="404">
        <v>11.52</v>
      </c>
      <c r="L3356" s="168"/>
    </row>
    <row r="3357" spans="1:12" ht="14.25" customHeight="1" x14ac:dyDescent="0.3">
      <c r="A3357" s="400" t="s">
        <v>1038</v>
      </c>
      <c r="B3357" s="401" t="s">
        <v>7337</v>
      </c>
      <c r="C3357" s="400" t="s">
        <v>420</v>
      </c>
      <c r="D3357" s="400" t="s">
        <v>7338</v>
      </c>
      <c r="E3357" s="605" t="s">
        <v>1039</v>
      </c>
      <c r="F3357" s="605"/>
      <c r="G3357" s="402" t="s">
        <v>422</v>
      </c>
      <c r="H3357" s="403">
        <v>6</v>
      </c>
      <c r="I3357" s="403">
        <v>0</v>
      </c>
      <c r="J3357" s="404">
        <v>1.42</v>
      </c>
      <c r="K3357" s="404">
        <v>8.52</v>
      </c>
      <c r="L3357" s="168"/>
    </row>
    <row r="3358" spans="1:12" ht="14.25" customHeight="1" x14ac:dyDescent="0.3">
      <c r="A3358" s="400" t="s">
        <v>1038</v>
      </c>
      <c r="B3358" s="401" t="s">
        <v>7360</v>
      </c>
      <c r="C3358" s="400" t="s">
        <v>420</v>
      </c>
      <c r="D3358" s="400" t="s">
        <v>7361</v>
      </c>
      <c r="E3358" s="605" t="s">
        <v>1039</v>
      </c>
      <c r="F3358" s="605"/>
      <c r="G3358" s="402" t="s">
        <v>422</v>
      </c>
      <c r="H3358" s="403">
        <v>3</v>
      </c>
      <c r="I3358" s="403">
        <v>0</v>
      </c>
      <c r="J3358" s="404">
        <v>2.65</v>
      </c>
      <c r="K3358" s="404">
        <v>7.95</v>
      </c>
      <c r="L3358" s="168"/>
    </row>
    <row r="3359" spans="1:12" ht="15" customHeight="1" x14ac:dyDescent="0.3">
      <c r="A3359" s="400" t="s">
        <v>1038</v>
      </c>
      <c r="B3359" s="401" t="s">
        <v>6199</v>
      </c>
      <c r="C3359" s="400" t="s">
        <v>420</v>
      </c>
      <c r="D3359" s="400" t="s">
        <v>6200</v>
      </c>
      <c r="E3359" s="605" t="s">
        <v>1053</v>
      </c>
      <c r="F3359" s="605"/>
      <c r="G3359" s="402" t="s">
        <v>1070</v>
      </c>
      <c r="H3359" s="403">
        <v>3</v>
      </c>
      <c r="I3359" s="403">
        <v>0</v>
      </c>
      <c r="J3359" s="404">
        <v>20.45</v>
      </c>
      <c r="K3359" s="404">
        <v>61.35</v>
      </c>
      <c r="L3359" s="166"/>
    </row>
    <row r="3360" spans="1:12" ht="15" customHeight="1" x14ac:dyDescent="0.3">
      <c r="A3360" s="400" t="s">
        <v>1038</v>
      </c>
      <c r="B3360" s="401" t="s">
        <v>6841</v>
      </c>
      <c r="C3360" s="400" t="s">
        <v>420</v>
      </c>
      <c r="D3360" s="400" t="s">
        <v>6842</v>
      </c>
      <c r="E3360" s="605" t="s">
        <v>1039</v>
      </c>
      <c r="F3360" s="605"/>
      <c r="G3360" s="402" t="s">
        <v>437</v>
      </c>
      <c r="H3360" s="403">
        <v>15</v>
      </c>
      <c r="I3360" s="403">
        <v>0</v>
      </c>
      <c r="J3360" s="404">
        <v>3.92</v>
      </c>
      <c r="K3360" s="404">
        <v>58.8</v>
      </c>
      <c r="L3360" s="166"/>
    </row>
    <row r="3361" spans="1:12" ht="38.25" customHeight="1" x14ac:dyDescent="0.3">
      <c r="A3361" s="400" t="s">
        <v>1038</v>
      </c>
      <c r="B3361" s="401" t="s">
        <v>6251</v>
      </c>
      <c r="C3361" s="400" t="s">
        <v>420</v>
      </c>
      <c r="D3361" s="400" t="s">
        <v>6252</v>
      </c>
      <c r="E3361" s="605" t="s">
        <v>1053</v>
      </c>
      <c r="F3361" s="605"/>
      <c r="G3361" s="402" t="s">
        <v>1070</v>
      </c>
      <c r="H3361" s="403">
        <v>3</v>
      </c>
      <c r="I3361" s="403">
        <v>0</v>
      </c>
      <c r="J3361" s="404">
        <v>15.59</v>
      </c>
      <c r="K3361" s="404">
        <v>46.77</v>
      </c>
      <c r="L3361" s="168"/>
    </row>
    <row r="3362" spans="1:12" ht="25.5" customHeight="1" x14ac:dyDescent="0.3">
      <c r="A3362" s="400" t="s">
        <v>1038</v>
      </c>
      <c r="B3362" s="401" t="s">
        <v>6951</v>
      </c>
      <c r="C3362" s="400" t="s">
        <v>420</v>
      </c>
      <c r="D3362" s="400" t="s">
        <v>6952</v>
      </c>
      <c r="E3362" s="605" t="s">
        <v>1039</v>
      </c>
      <c r="F3362" s="605"/>
      <c r="G3362" s="402" t="s">
        <v>422</v>
      </c>
      <c r="H3362" s="403">
        <v>1</v>
      </c>
      <c r="I3362" s="403">
        <v>0</v>
      </c>
      <c r="J3362" s="404">
        <v>39.9</v>
      </c>
      <c r="K3362" s="404">
        <v>39.9</v>
      </c>
      <c r="L3362" s="168"/>
    </row>
    <row r="3363" spans="1:12" ht="25.5" customHeight="1" x14ac:dyDescent="0.3">
      <c r="A3363" s="400" t="s">
        <v>1038</v>
      </c>
      <c r="B3363" s="401" t="s">
        <v>6595</v>
      </c>
      <c r="C3363" s="400" t="s">
        <v>420</v>
      </c>
      <c r="D3363" s="400" t="s">
        <v>6596</v>
      </c>
      <c r="E3363" s="605" t="s">
        <v>1039</v>
      </c>
      <c r="F3363" s="605"/>
      <c r="G3363" s="402" t="s">
        <v>437</v>
      </c>
      <c r="H3363" s="403">
        <v>20</v>
      </c>
      <c r="I3363" s="403">
        <v>0</v>
      </c>
      <c r="J3363" s="404">
        <v>6.39</v>
      </c>
      <c r="K3363" s="404">
        <v>127.8</v>
      </c>
      <c r="L3363" s="168"/>
    </row>
    <row r="3364" spans="1:12" ht="25.5" customHeight="1" x14ac:dyDescent="0.3">
      <c r="A3364" s="405"/>
      <c r="B3364" s="405"/>
      <c r="C3364" s="405"/>
      <c r="D3364" s="405"/>
      <c r="E3364" s="405" t="s">
        <v>1046</v>
      </c>
      <c r="F3364" s="406">
        <v>108.12</v>
      </c>
      <c r="G3364" s="405" t="s">
        <v>1047</v>
      </c>
      <c r="H3364" s="406">
        <v>0</v>
      </c>
      <c r="I3364" s="405" t="s">
        <v>1048</v>
      </c>
      <c r="J3364" s="406">
        <v>108.12</v>
      </c>
      <c r="K3364"/>
      <c r="L3364" s="166"/>
    </row>
    <row r="3365" spans="1:12" ht="25.5" customHeight="1" thickBot="1" x14ac:dyDescent="0.35">
      <c r="A3365" s="405"/>
      <c r="B3365" s="405"/>
      <c r="C3365" s="405"/>
      <c r="D3365" s="405"/>
      <c r="E3365" s="405" t="s">
        <v>1049</v>
      </c>
      <c r="F3365" s="406">
        <v>0</v>
      </c>
      <c r="G3365" s="405"/>
      <c r="H3365" s="606"/>
      <c r="I3365" s="606" t="s">
        <v>1050</v>
      </c>
      <c r="J3365" s="406">
        <v>385.92</v>
      </c>
      <c r="K3365"/>
      <c r="L3365" s="166"/>
    </row>
    <row r="3366" spans="1:12" ht="25.5" customHeight="1" thickTop="1" x14ac:dyDescent="0.3">
      <c r="A3366" s="407"/>
      <c r="B3366" s="407"/>
      <c r="C3366" s="407"/>
      <c r="D3366" s="407"/>
      <c r="E3366" s="407"/>
      <c r="F3366" s="407"/>
      <c r="G3366" s="407"/>
      <c r="H3366" s="407"/>
      <c r="I3366" s="407"/>
      <c r="J3366" s="407"/>
      <c r="K3366" s="407"/>
      <c r="L3366" s="166"/>
    </row>
    <row r="3367" spans="1:12" ht="45" customHeight="1" x14ac:dyDescent="0.3">
      <c r="A3367" s="382" t="s">
        <v>2718</v>
      </c>
      <c r="B3367" s="312" t="s">
        <v>413</v>
      </c>
      <c r="C3367" s="382" t="s">
        <v>414</v>
      </c>
      <c r="D3367" s="382" t="s">
        <v>415</v>
      </c>
      <c r="E3367" s="586" t="s">
        <v>1029</v>
      </c>
      <c r="F3367" s="586"/>
      <c r="G3367" s="383" t="s">
        <v>416</v>
      </c>
      <c r="H3367" s="312" t="s">
        <v>1030</v>
      </c>
      <c r="I3367" s="312" t="s">
        <v>3016</v>
      </c>
      <c r="J3367" s="312" t="s">
        <v>1031</v>
      </c>
      <c r="K3367" s="312" t="s">
        <v>1032</v>
      </c>
      <c r="L3367" s="166"/>
    </row>
    <row r="3368" spans="1:12" ht="15" customHeight="1" x14ac:dyDescent="0.3">
      <c r="A3368" s="313" t="s">
        <v>1033</v>
      </c>
      <c r="B3368" s="315" t="s">
        <v>3873</v>
      </c>
      <c r="C3368" s="313" t="s">
        <v>395</v>
      </c>
      <c r="D3368" s="313" t="s">
        <v>5988</v>
      </c>
      <c r="E3368" s="603" t="s">
        <v>7783</v>
      </c>
      <c r="F3368" s="603"/>
      <c r="G3368" s="314" t="s">
        <v>7</v>
      </c>
      <c r="H3368" s="399">
        <v>1</v>
      </c>
      <c r="I3368" s="316"/>
      <c r="J3368" s="316">
        <v>5.42</v>
      </c>
      <c r="K3368" s="316">
        <v>5.42</v>
      </c>
      <c r="L3368" s="166"/>
    </row>
    <row r="3369" spans="1:12" ht="30" customHeight="1" x14ac:dyDescent="0.3">
      <c r="A3369" s="408" t="s">
        <v>1034</v>
      </c>
      <c r="B3369" s="409" t="s">
        <v>1035</v>
      </c>
      <c r="C3369" s="408" t="s">
        <v>395</v>
      </c>
      <c r="D3369" s="408" t="s">
        <v>128</v>
      </c>
      <c r="E3369" s="604" t="s">
        <v>7768</v>
      </c>
      <c r="F3369" s="604"/>
      <c r="G3369" s="410" t="s">
        <v>6</v>
      </c>
      <c r="H3369" s="412">
        <v>2.9000000000000001E-2</v>
      </c>
      <c r="I3369" s="412">
        <v>0</v>
      </c>
      <c r="J3369" s="411">
        <v>34.5</v>
      </c>
      <c r="K3369" s="411">
        <v>1.0004999999999999</v>
      </c>
      <c r="L3369" s="166"/>
    </row>
    <row r="3370" spans="1:12" ht="26.4" x14ac:dyDescent="0.3">
      <c r="A3370" s="408" t="s">
        <v>1034</v>
      </c>
      <c r="B3370" s="409" t="s">
        <v>1037</v>
      </c>
      <c r="C3370" s="408" t="s">
        <v>395</v>
      </c>
      <c r="D3370" s="408" t="s">
        <v>135</v>
      </c>
      <c r="E3370" s="604" t="s">
        <v>7768</v>
      </c>
      <c r="F3370" s="604"/>
      <c r="G3370" s="410" t="s">
        <v>6</v>
      </c>
      <c r="H3370" s="412">
        <v>2.9000000000000001E-2</v>
      </c>
      <c r="I3370" s="412">
        <v>0</v>
      </c>
      <c r="J3370" s="411">
        <v>41.81</v>
      </c>
      <c r="K3370" s="411">
        <v>1.2124900000000001</v>
      </c>
      <c r="L3370" s="166"/>
    </row>
    <row r="3371" spans="1:12" ht="26.4" x14ac:dyDescent="0.3">
      <c r="A3371" s="400" t="s">
        <v>1038</v>
      </c>
      <c r="B3371" s="401" t="s">
        <v>4729</v>
      </c>
      <c r="C3371" s="400" t="s">
        <v>395</v>
      </c>
      <c r="D3371" s="400" t="s">
        <v>4730</v>
      </c>
      <c r="E3371" s="605" t="s">
        <v>1039</v>
      </c>
      <c r="F3371" s="605"/>
      <c r="G3371" s="402" t="s">
        <v>7</v>
      </c>
      <c r="H3371" s="403">
        <v>1.2434000000000001</v>
      </c>
      <c r="I3371" s="403">
        <v>0</v>
      </c>
      <c r="J3371" s="404">
        <v>2.5299999999999998</v>
      </c>
      <c r="K3371" s="404">
        <v>3.1458020000000002</v>
      </c>
      <c r="L3371" s="168"/>
    </row>
    <row r="3372" spans="1:12" ht="38.25" customHeight="1" x14ac:dyDescent="0.3">
      <c r="A3372" s="400" t="s">
        <v>1038</v>
      </c>
      <c r="B3372" s="401" t="s">
        <v>4986</v>
      </c>
      <c r="C3372" s="400" t="s">
        <v>395</v>
      </c>
      <c r="D3372" s="400" t="s">
        <v>4987</v>
      </c>
      <c r="E3372" s="605" t="s">
        <v>1039</v>
      </c>
      <c r="F3372" s="605"/>
      <c r="G3372" s="402" t="s">
        <v>4</v>
      </c>
      <c r="H3372" s="403">
        <v>9.4000000000000004E-3</v>
      </c>
      <c r="I3372" s="403">
        <v>0</v>
      </c>
      <c r="J3372" s="404">
        <v>6.56</v>
      </c>
      <c r="K3372" s="404">
        <v>6.1663999999999997E-2</v>
      </c>
      <c r="L3372" s="170"/>
    </row>
    <row r="3373" spans="1:12" ht="38.25" customHeight="1" x14ac:dyDescent="0.3">
      <c r="A3373" s="405"/>
      <c r="B3373" s="405"/>
      <c r="C3373" s="405"/>
      <c r="D3373" s="405"/>
      <c r="E3373" s="405" t="s">
        <v>1046</v>
      </c>
      <c r="F3373" s="406">
        <v>1.61</v>
      </c>
      <c r="G3373" s="405" t="s">
        <v>1047</v>
      </c>
      <c r="H3373" s="406">
        <v>0</v>
      </c>
      <c r="I3373" s="405" t="s">
        <v>1048</v>
      </c>
      <c r="J3373" s="406">
        <v>1.61</v>
      </c>
      <c r="K3373"/>
      <c r="L3373" s="168"/>
    </row>
    <row r="3374" spans="1:12" ht="14.25" customHeight="1" thickBot="1" x14ac:dyDescent="0.35">
      <c r="A3374" s="405"/>
      <c r="B3374" s="405"/>
      <c r="C3374" s="405"/>
      <c r="D3374" s="405"/>
      <c r="E3374" s="405" t="s">
        <v>1049</v>
      </c>
      <c r="F3374" s="406">
        <v>0</v>
      </c>
      <c r="G3374" s="405"/>
      <c r="H3374" s="606"/>
      <c r="I3374" s="606" t="s">
        <v>1050</v>
      </c>
      <c r="J3374" s="406">
        <v>5.42</v>
      </c>
      <c r="K3374"/>
      <c r="L3374" s="168"/>
    </row>
    <row r="3375" spans="1:12" ht="25.5" customHeight="1" thickTop="1" x14ac:dyDescent="0.3">
      <c r="A3375" s="407"/>
      <c r="B3375" s="407"/>
      <c r="C3375" s="407"/>
      <c r="D3375" s="407"/>
      <c r="E3375" s="407"/>
      <c r="F3375" s="407"/>
      <c r="G3375" s="407"/>
      <c r="H3375" s="407"/>
      <c r="I3375" s="407"/>
      <c r="J3375" s="407"/>
      <c r="K3375" s="407"/>
      <c r="L3375" s="168"/>
    </row>
    <row r="3376" spans="1:12" ht="25.5" customHeight="1" x14ac:dyDescent="0.3">
      <c r="A3376" s="382" t="s">
        <v>2719</v>
      </c>
      <c r="B3376" s="312" t="s">
        <v>413</v>
      </c>
      <c r="C3376" s="382" t="s">
        <v>414</v>
      </c>
      <c r="D3376" s="382" t="s">
        <v>415</v>
      </c>
      <c r="E3376" s="586" t="s">
        <v>1029</v>
      </c>
      <c r="F3376" s="586"/>
      <c r="G3376" s="383" t="s">
        <v>416</v>
      </c>
      <c r="H3376" s="312" t="s">
        <v>1030</v>
      </c>
      <c r="I3376" s="312" t="s">
        <v>3016</v>
      </c>
      <c r="J3376" s="312" t="s">
        <v>1031</v>
      </c>
      <c r="K3376" s="312" t="s">
        <v>1032</v>
      </c>
      <c r="L3376" s="166"/>
    </row>
    <row r="3377" spans="1:12" ht="17.399999999999999" customHeight="1" x14ac:dyDescent="0.3">
      <c r="A3377" s="313" t="s">
        <v>1033</v>
      </c>
      <c r="B3377" s="315" t="s">
        <v>3874</v>
      </c>
      <c r="C3377" s="313" t="s">
        <v>395</v>
      </c>
      <c r="D3377" s="313" t="s">
        <v>5989</v>
      </c>
      <c r="E3377" s="603" t="s">
        <v>7783</v>
      </c>
      <c r="F3377" s="603"/>
      <c r="G3377" s="314" t="s">
        <v>7</v>
      </c>
      <c r="H3377" s="399">
        <v>1</v>
      </c>
      <c r="I3377" s="316"/>
      <c r="J3377" s="316">
        <v>8.25</v>
      </c>
      <c r="K3377" s="316">
        <v>8.25</v>
      </c>
      <c r="L3377" s="166"/>
    </row>
    <row r="3378" spans="1:12" ht="15" customHeight="1" x14ac:dyDescent="0.3">
      <c r="A3378" s="408" t="s">
        <v>1034</v>
      </c>
      <c r="B3378" s="409" t="s">
        <v>1035</v>
      </c>
      <c r="C3378" s="408" t="s">
        <v>395</v>
      </c>
      <c r="D3378" s="408" t="s">
        <v>128</v>
      </c>
      <c r="E3378" s="604" t="s">
        <v>7768</v>
      </c>
      <c r="F3378" s="604"/>
      <c r="G3378" s="410" t="s">
        <v>6</v>
      </c>
      <c r="H3378" s="412">
        <v>3.9E-2</v>
      </c>
      <c r="I3378" s="412">
        <v>0</v>
      </c>
      <c r="J3378" s="411">
        <v>34.5</v>
      </c>
      <c r="K3378" s="411">
        <v>1.3454999999999999</v>
      </c>
      <c r="L3378" s="168"/>
    </row>
    <row r="3379" spans="1:12" ht="25.5" customHeight="1" x14ac:dyDescent="0.3">
      <c r="A3379" s="408" t="s">
        <v>1034</v>
      </c>
      <c r="B3379" s="409" t="s">
        <v>1037</v>
      </c>
      <c r="C3379" s="408" t="s">
        <v>395</v>
      </c>
      <c r="D3379" s="408" t="s">
        <v>135</v>
      </c>
      <c r="E3379" s="604" t="s">
        <v>7768</v>
      </c>
      <c r="F3379" s="604"/>
      <c r="G3379" s="410" t="s">
        <v>6</v>
      </c>
      <c r="H3379" s="412">
        <v>3.9E-2</v>
      </c>
      <c r="I3379" s="412">
        <v>0</v>
      </c>
      <c r="J3379" s="411">
        <v>41.81</v>
      </c>
      <c r="K3379" s="411">
        <v>1.63059</v>
      </c>
      <c r="L3379" s="168"/>
    </row>
    <row r="3380" spans="1:12" ht="25.5" customHeight="1" x14ac:dyDescent="0.3">
      <c r="A3380" s="400" t="s">
        <v>1038</v>
      </c>
      <c r="B3380" s="401" t="s">
        <v>4833</v>
      </c>
      <c r="C3380" s="400" t="s">
        <v>395</v>
      </c>
      <c r="D3380" s="400" t="s">
        <v>4834</v>
      </c>
      <c r="E3380" s="605" t="s">
        <v>1039</v>
      </c>
      <c r="F3380" s="605"/>
      <c r="G3380" s="402" t="s">
        <v>7</v>
      </c>
      <c r="H3380" s="403">
        <v>1.2434000000000001</v>
      </c>
      <c r="I3380" s="403">
        <v>0</v>
      </c>
      <c r="J3380" s="404">
        <v>4.1900000000000004</v>
      </c>
      <c r="K3380" s="404">
        <v>5.2098459999999998</v>
      </c>
      <c r="L3380" s="168"/>
    </row>
    <row r="3381" spans="1:12" ht="25.5" customHeight="1" x14ac:dyDescent="0.3">
      <c r="A3381" s="400" t="s">
        <v>1038</v>
      </c>
      <c r="B3381" s="401" t="s">
        <v>4986</v>
      </c>
      <c r="C3381" s="400" t="s">
        <v>395</v>
      </c>
      <c r="D3381" s="400" t="s">
        <v>4987</v>
      </c>
      <c r="E3381" s="605" t="s">
        <v>1039</v>
      </c>
      <c r="F3381" s="605"/>
      <c r="G3381" s="402" t="s">
        <v>4</v>
      </c>
      <c r="H3381" s="403">
        <v>9.4000000000000004E-3</v>
      </c>
      <c r="I3381" s="403">
        <v>0</v>
      </c>
      <c r="J3381" s="404">
        <v>6.56</v>
      </c>
      <c r="K3381" s="404">
        <v>6.1663999999999997E-2</v>
      </c>
      <c r="L3381" s="168"/>
    </row>
    <row r="3382" spans="1:12" ht="30" customHeight="1" x14ac:dyDescent="0.3">
      <c r="A3382" s="405"/>
      <c r="B3382" s="405"/>
      <c r="C3382" s="405"/>
      <c r="D3382" s="405"/>
      <c r="E3382" s="405" t="s">
        <v>1046</v>
      </c>
      <c r="F3382" s="406">
        <v>2.17</v>
      </c>
      <c r="G3382" s="405" t="s">
        <v>1047</v>
      </c>
      <c r="H3382" s="406">
        <v>0</v>
      </c>
      <c r="I3382" s="405" t="s">
        <v>1048</v>
      </c>
      <c r="J3382" s="406">
        <v>2.17</v>
      </c>
      <c r="K3382"/>
      <c r="L3382" s="166"/>
    </row>
    <row r="3383" spans="1:12" ht="25.5" customHeight="1" thickBot="1" x14ac:dyDescent="0.35">
      <c r="A3383" s="405"/>
      <c r="B3383" s="405"/>
      <c r="C3383" s="405"/>
      <c r="D3383" s="405"/>
      <c r="E3383" s="405" t="s">
        <v>1049</v>
      </c>
      <c r="F3383" s="406">
        <v>0</v>
      </c>
      <c r="G3383" s="405"/>
      <c r="H3383" s="606"/>
      <c r="I3383" s="606" t="s">
        <v>1050</v>
      </c>
      <c r="J3383" s="406">
        <v>8.25</v>
      </c>
      <c r="K3383"/>
      <c r="L3383" s="168"/>
    </row>
    <row r="3384" spans="1:12" ht="14.25" customHeight="1" thickTop="1" x14ac:dyDescent="0.3">
      <c r="A3384" s="407"/>
      <c r="B3384" s="407"/>
      <c r="C3384" s="407"/>
      <c r="D3384" s="407"/>
      <c r="E3384" s="407"/>
      <c r="F3384" s="407"/>
      <c r="G3384" s="407"/>
      <c r="H3384" s="407"/>
      <c r="I3384" s="407"/>
      <c r="J3384" s="407"/>
      <c r="K3384" s="407"/>
      <c r="L3384" s="168"/>
    </row>
    <row r="3385" spans="1:12" ht="15" x14ac:dyDescent="0.3">
      <c r="A3385" s="382" t="s">
        <v>2720</v>
      </c>
      <c r="B3385" s="312" t="s">
        <v>413</v>
      </c>
      <c r="C3385" s="382" t="s">
        <v>414</v>
      </c>
      <c r="D3385" s="382" t="s">
        <v>415</v>
      </c>
      <c r="E3385" s="586" t="s">
        <v>1029</v>
      </c>
      <c r="F3385" s="586"/>
      <c r="G3385" s="383" t="s">
        <v>416</v>
      </c>
      <c r="H3385" s="312" t="s">
        <v>1030</v>
      </c>
      <c r="I3385" s="312" t="s">
        <v>3016</v>
      </c>
      <c r="J3385" s="312" t="s">
        <v>1031</v>
      </c>
      <c r="K3385" s="312" t="s">
        <v>1032</v>
      </c>
      <c r="L3385" s="168"/>
    </row>
    <row r="3386" spans="1:12" ht="15" customHeight="1" x14ac:dyDescent="0.3">
      <c r="A3386" s="313" t="s">
        <v>1033</v>
      </c>
      <c r="B3386" s="315" t="s">
        <v>920</v>
      </c>
      <c r="C3386" s="313" t="s">
        <v>5902</v>
      </c>
      <c r="D3386" s="313" t="s">
        <v>495</v>
      </c>
      <c r="E3386" s="603">
        <v>39.26</v>
      </c>
      <c r="F3386" s="603"/>
      <c r="G3386" s="314" t="s">
        <v>7</v>
      </c>
      <c r="H3386" s="399">
        <v>1</v>
      </c>
      <c r="I3386" s="316"/>
      <c r="J3386" s="316">
        <v>11.43</v>
      </c>
      <c r="K3386" s="316">
        <v>11.43</v>
      </c>
      <c r="L3386" s="166"/>
    </row>
    <row r="3387" spans="1:12" ht="15" customHeight="1" x14ac:dyDescent="0.3">
      <c r="A3387" s="400" t="s">
        <v>1038</v>
      </c>
      <c r="B3387" s="401" t="s">
        <v>1051</v>
      </c>
      <c r="C3387" s="400" t="s">
        <v>5902</v>
      </c>
      <c r="D3387" s="400" t="s">
        <v>1052</v>
      </c>
      <c r="E3387" s="605" t="s">
        <v>1053</v>
      </c>
      <c r="F3387" s="605"/>
      <c r="G3387" s="402" t="s">
        <v>6</v>
      </c>
      <c r="H3387" s="403">
        <v>7.0000000000000007E-2</v>
      </c>
      <c r="I3387" s="403">
        <v>0</v>
      </c>
      <c r="J3387" s="404">
        <v>33.119999999999997</v>
      </c>
      <c r="K3387" s="404">
        <v>2.3184</v>
      </c>
      <c r="L3387" s="166"/>
    </row>
    <row r="3388" spans="1:12" ht="38.25" customHeight="1" x14ac:dyDescent="0.3">
      <c r="A3388" s="400" t="s">
        <v>1038</v>
      </c>
      <c r="B3388" s="401" t="s">
        <v>1054</v>
      </c>
      <c r="C3388" s="400" t="s">
        <v>5902</v>
      </c>
      <c r="D3388" s="400" t="s">
        <v>1055</v>
      </c>
      <c r="E3388" s="605" t="s">
        <v>1053</v>
      </c>
      <c r="F3388" s="605"/>
      <c r="G3388" s="402" t="s">
        <v>6</v>
      </c>
      <c r="H3388" s="403">
        <v>7.0000000000000007E-2</v>
      </c>
      <c r="I3388" s="403">
        <v>0</v>
      </c>
      <c r="J3388" s="404">
        <v>22.71</v>
      </c>
      <c r="K3388" s="404">
        <v>1.5896999999999999</v>
      </c>
      <c r="L3388" s="168"/>
    </row>
    <row r="3389" spans="1:12" ht="39.6" x14ac:dyDescent="0.3">
      <c r="A3389" s="400" t="s">
        <v>1038</v>
      </c>
      <c r="B3389" s="401" t="s">
        <v>1198</v>
      </c>
      <c r="C3389" s="400" t="s">
        <v>5902</v>
      </c>
      <c r="D3389" s="400" t="s">
        <v>1199</v>
      </c>
      <c r="E3389" s="605" t="s">
        <v>1039</v>
      </c>
      <c r="F3389" s="605"/>
      <c r="G3389" s="402" t="s">
        <v>7</v>
      </c>
      <c r="H3389" s="403">
        <v>1.02</v>
      </c>
      <c r="I3389" s="403">
        <v>0</v>
      </c>
      <c r="J3389" s="404">
        <v>7.37</v>
      </c>
      <c r="K3389" s="404">
        <v>7.5174000000000003</v>
      </c>
      <c r="L3389" s="168"/>
    </row>
    <row r="3390" spans="1:12" ht="25.5" customHeight="1" x14ac:dyDescent="0.3">
      <c r="A3390" s="405"/>
      <c r="B3390" s="405"/>
      <c r="C3390" s="405"/>
      <c r="D3390" s="405"/>
      <c r="E3390" s="405" t="s">
        <v>1046</v>
      </c>
      <c r="F3390" s="406">
        <v>3.91</v>
      </c>
      <c r="G3390" s="405" t="s">
        <v>1047</v>
      </c>
      <c r="H3390" s="406">
        <v>0</v>
      </c>
      <c r="I3390" s="405" t="s">
        <v>1048</v>
      </c>
      <c r="J3390" s="406">
        <v>3.91</v>
      </c>
      <c r="K3390"/>
      <c r="L3390" s="168"/>
    </row>
    <row r="3391" spans="1:12" ht="25.5" customHeight="1" thickBot="1" x14ac:dyDescent="0.35">
      <c r="A3391" s="405"/>
      <c r="B3391" s="405"/>
      <c r="C3391" s="405"/>
      <c r="D3391" s="405"/>
      <c r="E3391" s="405" t="s">
        <v>1049</v>
      </c>
      <c r="F3391" s="406">
        <v>0</v>
      </c>
      <c r="G3391" s="405"/>
      <c r="H3391" s="606"/>
      <c r="I3391" s="606" t="s">
        <v>1050</v>
      </c>
      <c r="J3391" s="406">
        <v>11.43</v>
      </c>
      <c r="K3391"/>
      <c r="L3391" s="166"/>
    </row>
    <row r="3392" spans="1:12" ht="25.5" customHeight="1" thickTop="1" x14ac:dyDescent="0.3">
      <c r="A3392" s="407"/>
      <c r="B3392" s="407"/>
      <c r="C3392" s="407"/>
      <c r="D3392" s="407"/>
      <c r="E3392" s="407"/>
      <c r="F3392" s="407"/>
      <c r="G3392" s="407"/>
      <c r="H3392" s="407"/>
      <c r="I3392" s="407"/>
      <c r="J3392" s="407"/>
      <c r="K3392" s="407"/>
      <c r="L3392" s="166"/>
    </row>
    <row r="3393" spans="1:12" ht="15" x14ac:dyDescent="0.3">
      <c r="A3393" s="382" t="s">
        <v>2721</v>
      </c>
      <c r="B3393" s="312" t="s">
        <v>413</v>
      </c>
      <c r="C3393" s="382" t="s">
        <v>414</v>
      </c>
      <c r="D3393" s="382" t="s">
        <v>415</v>
      </c>
      <c r="E3393" s="586" t="s">
        <v>1029</v>
      </c>
      <c r="F3393" s="586"/>
      <c r="G3393" s="383" t="s">
        <v>416</v>
      </c>
      <c r="H3393" s="312" t="s">
        <v>1030</v>
      </c>
      <c r="I3393" s="312" t="s">
        <v>3016</v>
      </c>
      <c r="J3393" s="312" t="s">
        <v>1031</v>
      </c>
      <c r="K3393" s="312" t="s">
        <v>1032</v>
      </c>
      <c r="L3393" s="166"/>
    </row>
    <row r="3394" spans="1:12" ht="14.25" customHeight="1" x14ac:dyDescent="0.3">
      <c r="A3394" s="313" t="s">
        <v>1033</v>
      </c>
      <c r="B3394" s="315" t="s">
        <v>921</v>
      </c>
      <c r="C3394" s="313" t="s">
        <v>5902</v>
      </c>
      <c r="D3394" s="313" t="s">
        <v>497</v>
      </c>
      <c r="E3394" s="603">
        <v>39.26</v>
      </c>
      <c r="F3394" s="603"/>
      <c r="G3394" s="314" t="s">
        <v>7</v>
      </c>
      <c r="H3394" s="399">
        <v>1</v>
      </c>
      <c r="I3394" s="316"/>
      <c r="J3394" s="316">
        <v>16.420000000000002</v>
      </c>
      <c r="K3394" s="316">
        <v>16.420000000000002</v>
      </c>
      <c r="L3394" s="166"/>
    </row>
    <row r="3395" spans="1:12" ht="15" customHeight="1" x14ac:dyDescent="0.3">
      <c r="A3395" s="400" t="s">
        <v>1038</v>
      </c>
      <c r="B3395" s="401" t="s">
        <v>1051</v>
      </c>
      <c r="C3395" s="400" t="s">
        <v>5902</v>
      </c>
      <c r="D3395" s="400" t="s">
        <v>1052</v>
      </c>
      <c r="E3395" s="605" t="s">
        <v>1053</v>
      </c>
      <c r="F3395" s="605"/>
      <c r="G3395" s="402" t="s">
        <v>6</v>
      </c>
      <c r="H3395" s="403">
        <v>0.08</v>
      </c>
      <c r="I3395" s="403">
        <v>0</v>
      </c>
      <c r="J3395" s="404">
        <v>33.119999999999997</v>
      </c>
      <c r="K3395" s="404">
        <v>2.6496</v>
      </c>
      <c r="L3395" s="166"/>
    </row>
    <row r="3396" spans="1:12" ht="26.4" x14ac:dyDescent="0.3">
      <c r="A3396" s="400" t="s">
        <v>1038</v>
      </c>
      <c r="B3396" s="401" t="s">
        <v>1054</v>
      </c>
      <c r="C3396" s="400" t="s">
        <v>5902</v>
      </c>
      <c r="D3396" s="400" t="s">
        <v>1055</v>
      </c>
      <c r="E3396" s="605" t="s">
        <v>1053</v>
      </c>
      <c r="F3396" s="605"/>
      <c r="G3396" s="402" t="s">
        <v>6</v>
      </c>
      <c r="H3396" s="403">
        <v>0.08</v>
      </c>
      <c r="I3396" s="403">
        <v>0</v>
      </c>
      <c r="J3396" s="404">
        <v>22.71</v>
      </c>
      <c r="K3396" s="404">
        <v>1.8168</v>
      </c>
      <c r="L3396" s="166"/>
    </row>
    <row r="3397" spans="1:12" ht="39.6" x14ac:dyDescent="0.3">
      <c r="A3397" s="400" t="s">
        <v>1038</v>
      </c>
      <c r="B3397" s="401" t="s">
        <v>1200</v>
      </c>
      <c r="C3397" s="400" t="s">
        <v>5902</v>
      </c>
      <c r="D3397" s="400" t="s">
        <v>1201</v>
      </c>
      <c r="E3397" s="605" t="s">
        <v>1039</v>
      </c>
      <c r="F3397" s="605"/>
      <c r="G3397" s="402" t="s">
        <v>7</v>
      </c>
      <c r="H3397" s="403">
        <v>1.02</v>
      </c>
      <c r="I3397" s="403">
        <v>0</v>
      </c>
      <c r="J3397" s="404">
        <v>11.72</v>
      </c>
      <c r="K3397" s="404">
        <v>11.9544</v>
      </c>
      <c r="L3397" s="166"/>
    </row>
    <row r="3398" spans="1:12" ht="12.75" customHeight="1" x14ac:dyDescent="0.3">
      <c r="A3398" s="405"/>
      <c r="B3398" s="405"/>
      <c r="C3398" s="405"/>
      <c r="D3398" s="405"/>
      <c r="E3398" s="405" t="s">
        <v>1046</v>
      </c>
      <c r="F3398" s="406">
        <v>4.47</v>
      </c>
      <c r="G3398" s="405" t="s">
        <v>1047</v>
      </c>
      <c r="H3398" s="406">
        <v>0</v>
      </c>
      <c r="I3398" s="405" t="s">
        <v>1048</v>
      </c>
      <c r="J3398" s="406">
        <v>4.47</v>
      </c>
      <c r="K3398"/>
      <c r="L3398" s="168"/>
    </row>
    <row r="3399" spans="1:12" ht="12.75" customHeight="1" thickBot="1" x14ac:dyDescent="0.35">
      <c r="A3399" s="405"/>
      <c r="B3399" s="405"/>
      <c r="C3399" s="405"/>
      <c r="D3399" s="405"/>
      <c r="E3399" s="405" t="s">
        <v>1049</v>
      </c>
      <c r="F3399" s="406">
        <v>0</v>
      </c>
      <c r="G3399" s="405"/>
      <c r="H3399" s="606"/>
      <c r="I3399" s="606" t="s">
        <v>1050</v>
      </c>
      <c r="J3399" s="406">
        <v>16.420000000000002</v>
      </c>
      <c r="K3399"/>
      <c r="L3399" s="170"/>
    </row>
    <row r="3400" spans="1:12" ht="15.6" thickTop="1" x14ac:dyDescent="0.3">
      <c r="A3400" s="407"/>
      <c r="B3400" s="407"/>
      <c r="C3400" s="407"/>
      <c r="D3400" s="407"/>
      <c r="E3400" s="407"/>
      <c r="F3400" s="407"/>
      <c r="G3400" s="407"/>
      <c r="H3400" s="407"/>
      <c r="I3400" s="407"/>
      <c r="J3400" s="407"/>
      <c r="K3400" s="407"/>
      <c r="L3400" s="168"/>
    </row>
    <row r="3401" spans="1:12" ht="17.399999999999999" customHeight="1" x14ac:dyDescent="0.3">
      <c r="A3401" s="382" t="s">
        <v>2722</v>
      </c>
      <c r="B3401" s="312" t="s">
        <v>413</v>
      </c>
      <c r="C3401" s="382" t="s">
        <v>414</v>
      </c>
      <c r="D3401" s="382" t="s">
        <v>415</v>
      </c>
      <c r="E3401" s="586" t="s">
        <v>1029</v>
      </c>
      <c r="F3401" s="586"/>
      <c r="G3401" s="383" t="s">
        <v>416</v>
      </c>
      <c r="H3401" s="312" t="s">
        <v>1030</v>
      </c>
      <c r="I3401" s="312" t="s">
        <v>3016</v>
      </c>
      <c r="J3401" s="312" t="s">
        <v>1031</v>
      </c>
      <c r="K3401" s="312" t="s">
        <v>1032</v>
      </c>
      <c r="L3401" s="168"/>
    </row>
    <row r="3402" spans="1:12" ht="26.4" x14ac:dyDescent="0.3">
      <c r="A3402" s="313" t="s">
        <v>1033</v>
      </c>
      <c r="B3402" s="315" t="s">
        <v>922</v>
      </c>
      <c r="C3402" s="313" t="s">
        <v>5902</v>
      </c>
      <c r="D3402" s="313" t="s">
        <v>499</v>
      </c>
      <c r="E3402" s="603">
        <v>39.26</v>
      </c>
      <c r="F3402" s="603"/>
      <c r="G3402" s="314" t="s">
        <v>7</v>
      </c>
      <c r="H3402" s="399">
        <v>1</v>
      </c>
      <c r="I3402" s="316"/>
      <c r="J3402" s="316">
        <v>23.31</v>
      </c>
      <c r="K3402" s="316">
        <v>23.31</v>
      </c>
      <c r="L3402" s="168"/>
    </row>
    <row r="3403" spans="1:12" ht="38.25" customHeight="1" x14ac:dyDescent="0.3">
      <c r="A3403" s="400" t="s">
        <v>1038</v>
      </c>
      <c r="B3403" s="401" t="s">
        <v>1051</v>
      </c>
      <c r="C3403" s="400" t="s">
        <v>5902</v>
      </c>
      <c r="D3403" s="400" t="s">
        <v>1052</v>
      </c>
      <c r="E3403" s="605" t="s">
        <v>1053</v>
      </c>
      <c r="F3403" s="605"/>
      <c r="G3403" s="402" t="s">
        <v>6</v>
      </c>
      <c r="H3403" s="403">
        <v>0.09</v>
      </c>
      <c r="I3403" s="403">
        <v>0</v>
      </c>
      <c r="J3403" s="404">
        <v>33.119999999999997</v>
      </c>
      <c r="K3403" s="404">
        <v>2.9807999999999999</v>
      </c>
      <c r="L3403" s="166"/>
    </row>
    <row r="3404" spans="1:12" ht="15" customHeight="1" x14ac:dyDescent="0.3">
      <c r="A3404" s="400" t="s">
        <v>1038</v>
      </c>
      <c r="B3404" s="401" t="s">
        <v>1054</v>
      </c>
      <c r="C3404" s="400" t="s">
        <v>5902</v>
      </c>
      <c r="D3404" s="400" t="s">
        <v>1055</v>
      </c>
      <c r="E3404" s="605" t="s">
        <v>1053</v>
      </c>
      <c r="F3404" s="605"/>
      <c r="G3404" s="402" t="s">
        <v>6</v>
      </c>
      <c r="H3404" s="403">
        <v>0.09</v>
      </c>
      <c r="I3404" s="403">
        <v>0</v>
      </c>
      <c r="J3404" s="404">
        <v>22.71</v>
      </c>
      <c r="K3404" s="404">
        <v>2.0438999999999998</v>
      </c>
      <c r="L3404" s="166"/>
    </row>
    <row r="3405" spans="1:12" ht="25.5" customHeight="1" x14ac:dyDescent="0.3">
      <c r="A3405" s="400" t="s">
        <v>1038</v>
      </c>
      <c r="B3405" s="401" t="s">
        <v>1202</v>
      </c>
      <c r="C3405" s="400" t="s">
        <v>5902</v>
      </c>
      <c r="D3405" s="400" t="s">
        <v>1203</v>
      </c>
      <c r="E3405" s="605" t="s">
        <v>1039</v>
      </c>
      <c r="F3405" s="605"/>
      <c r="G3405" s="402" t="s">
        <v>7</v>
      </c>
      <c r="H3405" s="403">
        <v>1.02</v>
      </c>
      <c r="I3405" s="403">
        <v>0</v>
      </c>
      <c r="J3405" s="404">
        <v>17.93</v>
      </c>
      <c r="K3405" s="404">
        <v>18.288599999999999</v>
      </c>
      <c r="L3405" s="168"/>
    </row>
    <row r="3406" spans="1:12" ht="25.5" customHeight="1" x14ac:dyDescent="0.3">
      <c r="A3406" s="405"/>
      <c r="B3406" s="405"/>
      <c r="C3406" s="405"/>
      <c r="D3406" s="405"/>
      <c r="E3406" s="405" t="s">
        <v>1046</v>
      </c>
      <c r="F3406" s="406">
        <v>5.0199999999999996</v>
      </c>
      <c r="G3406" s="405" t="s">
        <v>1047</v>
      </c>
      <c r="H3406" s="406">
        <v>0</v>
      </c>
      <c r="I3406" s="405" t="s">
        <v>1048</v>
      </c>
      <c r="J3406" s="406">
        <v>5.0199999999999996</v>
      </c>
      <c r="K3406"/>
      <c r="L3406" s="168"/>
    </row>
    <row r="3407" spans="1:12" ht="15.6" thickBot="1" x14ac:dyDescent="0.35">
      <c r="A3407" s="405"/>
      <c r="B3407" s="405"/>
      <c r="C3407" s="405"/>
      <c r="D3407" s="405"/>
      <c r="E3407" s="405" t="s">
        <v>1049</v>
      </c>
      <c r="F3407" s="406">
        <v>0</v>
      </c>
      <c r="G3407" s="405"/>
      <c r="H3407" s="606"/>
      <c r="I3407" s="606" t="s">
        <v>1050</v>
      </c>
      <c r="J3407" s="406">
        <v>23.31</v>
      </c>
      <c r="K3407"/>
      <c r="L3407" s="168"/>
    </row>
    <row r="3408" spans="1:12" ht="38.25" customHeight="1" thickTop="1" x14ac:dyDescent="0.3">
      <c r="A3408" s="407"/>
      <c r="B3408" s="407"/>
      <c r="C3408" s="407"/>
      <c r="D3408" s="407"/>
      <c r="E3408" s="407"/>
      <c r="F3408" s="407"/>
      <c r="G3408" s="407"/>
      <c r="H3408" s="407"/>
      <c r="I3408" s="407"/>
      <c r="J3408" s="407"/>
      <c r="K3408" s="407"/>
      <c r="L3408" s="168"/>
    </row>
    <row r="3409" spans="1:12" ht="25.5" customHeight="1" x14ac:dyDescent="0.3">
      <c r="A3409" s="382" t="s">
        <v>2723</v>
      </c>
      <c r="B3409" s="312" t="s">
        <v>413</v>
      </c>
      <c r="C3409" s="382" t="s">
        <v>414</v>
      </c>
      <c r="D3409" s="382" t="s">
        <v>415</v>
      </c>
      <c r="E3409" s="586" t="s">
        <v>1029</v>
      </c>
      <c r="F3409" s="586"/>
      <c r="G3409" s="383" t="s">
        <v>416</v>
      </c>
      <c r="H3409" s="312" t="s">
        <v>1030</v>
      </c>
      <c r="I3409" s="312" t="s">
        <v>3016</v>
      </c>
      <c r="J3409" s="312" t="s">
        <v>1031</v>
      </c>
      <c r="K3409" s="312" t="s">
        <v>1032</v>
      </c>
      <c r="L3409" s="166"/>
    </row>
    <row r="3410" spans="1:12" ht="25.5" customHeight="1" x14ac:dyDescent="0.3">
      <c r="A3410" s="313" t="s">
        <v>1033</v>
      </c>
      <c r="B3410" s="315" t="s">
        <v>923</v>
      </c>
      <c r="C3410" s="313" t="s">
        <v>5902</v>
      </c>
      <c r="D3410" s="313" t="s">
        <v>501</v>
      </c>
      <c r="E3410" s="603">
        <v>39.26</v>
      </c>
      <c r="F3410" s="603"/>
      <c r="G3410" s="314" t="s">
        <v>7</v>
      </c>
      <c r="H3410" s="399">
        <v>1</v>
      </c>
      <c r="I3410" s="316"/>
      <c r="J3410" s="316">
        <v>33.869999999999997</v>
      </c>
      <c r="K3410" s="316">
        <v>33.869999999999997</v>
      </c>
      <c r="L3410" s="168"/>
    </row>
    <row r="3411" spans="1:12" ht="25.5" customHeight="1" x14ac:dyDescent="0.3">
      <c r="A3411" s="400" t="s">
        <v>1038</v>
      </c>
      <c r="B3411" s="401" t="s">
        <v>1051</v>
      </c>
      <c r="C3411" s="400" t="s">
        <v>5902</v>
      </c>
      <c r="D3411" s="400" t="s">
        <v>1052</v>
      </c>
      <c r="E3411" s="605" t="s">
        <v>1053</v>
      </c>
      <c r="F3411" s="605"/>
      <c r="G3411" s="402" t="s">
        <v>6</v>
      </c>
      <c r="H3411" s="403">
        <v>0.1</v>
      </c>
      <c r="I3411" s="403">
        <v>0</v>
      </c>
      <c r="J3411" s="404">
        <v>33.119999999999997</v>
      </c>
      <c r="K3411" s="404">
        <v>3.3119999999999998</v>
      </c>
      <c r="L3411" s="168"/>
    </row>
    <row r="3412" spans="1:12" ht="17.399999999999999" customHeight="1" x14ac:dyDescent="0.3">
      <c r="A3412" s="400" t="s">
        <v>1038</v>
      </c>
      <c r="B3412" s="401" t="s">
        <v>1054</v>
      </c>
      <c r="C3412" s="400" t="s">
        <v>5902</v>
      </c>
      <c r="D3412" s="400" t="s">
        <v>1055</v>
      </c>
      <c r="E3412" s="605" t="s">
        <v>1053</v>
      </c>
      <c r="F3412" s="605"/>
      <c r="G3412" s="402" t="s">
        <v>6</v>
      </c>
      <c r="H3412" s="403">
        <v>0.1</v>
      </c>
      <c r="I3412" s="403">
        <v>0</v>
      </c>
      <c r="J3412" s="404">
        <v>22.71</v>
      </c>
      <c r="K3412" s="404">
        <v>2.2709999999999999</v>
      </c>
      <c r="L3412" s="168"/>
    </row>
    <row r="3413" spans="1:12" ht="15" customHeight="1" x14ac:dyDescent="0.3">
      <c r="A3413" s="400" t="s">
        <v>1038</v>
      </c>
      <c r="B3413" s="401" t="s">
        <v>1204</v>
      </c>
      <c r="C3413" s="400" t="s">
        <v>5902</v>
      </c>
      <c r="D3413" s="400" t="s">
        <v>1205</v>
      </c>
      <c r="E3413" s="605" t="s">
        <v>1039</v>
      </c>
      <c r="F3413" s="605"/>
      <c r="G3413" s="402" t="s">
        <v>7</v>
      </c>
      <c r="H3413" s="403">
        <v>1.02</v>
      </c>
      <c r="I3413" s="403">
        <v>0</v>
      </c>
      <c r="J3413" s="404">
        <v>27.73</v>
      </c>
      <c r="K3413" s="404">
        <v>28.284600000000001</v>
      </c>
      <c r="L3413" s="166"/>
    </row>
    <row r="3414" spans="1:12" ht="25.5" customHeight="1" x14ac:dyDescent="0.3">
      <c r="A3414" s="405"/>
      <c r="B3414" s="405"/>
      <c r="C3414" s="405"/>
      <c r="D3414" s="405"/>
      <c r="E3414" s="405" t="s">
        <v>1046</v>
      </c>
      <c r="F3414" s="406">
        <v>5.58</v>
      </c>
      <c r="G3414" s="405" t="s">
        <v>1047</v>
      </c>
      <c r="H3414" s="406">
        <v>0</v>
      </c>
      <c r="I3414" s="405" t="s">
        <v>1048</v>
      </c>
      <c r="J3414" s="406">
        <v>5.58</v>
      </c>
      <c r="K3414"/>
      <c r="L3414" s="166"/>
    </row>
    <row r="3415" spans="1:12" ht="14.25" customHeight="1" thickBot="1" x14ac:dyDescent="0.35">
      <c r="A3415" s="405"/>
      <c r="B3415" s="405"/>
      <c r="C3415" s="405"/>
      <c r="D3415" s="405"/>
      <c r="E3415" s="405" t="s">
        <v>1049</v>
      </c>
      <c r="F3415" s="406">
        <v>0</v>
      </c>
      <c r="G3415" s="405"/>
      <c r="H3415" s="606"/>
      <c r="I3415" s="606" t="s">
        <v>1050</v>
      </c>
      <c r="J3415" s="406">
        <v>33.869999999999997</v>
      </c>
      <c r="K3415"/>
      <c r="L3415" s="168"/>
    </row>
    <row r="3416" spans="1:12" ht="30" customHeight="1" thickTop="1" x14ac:dyDescent="0.3">
      <c r="A3416" s="407"/>
      <c r="B3416" s="407"/>
      <c r="C3416" s="407"/>
      <c r="D3416" s="407"/>
      <c r="E3416" s="407"/>
      <c r="F3416" s="407"/>
      <c r="G3416" s="407"/>
      <c r="H3416" s="407"/>
      <c r="I3416" s="407"/>
      <c r="J3416" s="407"/>
      <c r="K3416" s="407"/>
      <c r="L3416" s="168"/>
    </row>
    <row r="3417" spans="1:12" ht="30" customHeight="1" x14ac:dyDescent="0.3">
      <c r="A3417" s="382" t="s">
        <v>2724</v>
      </c>
      <c r="B3417" s="312" t="s">
        <v>413</v>
      </c>
      <c r="C3417" s="382" t="s">
        <v>414</v>
      </c>
      <c r="D3417" s="382" t="s">
        <v>415</v>
      </c>
      <c r="E3417" s="586" t="s">
        <v>1029</v>
      </c>
      <c r="F3417" s="586"/>
      <c r="G3417" s="383" t="s">
        <v>416</v>
      </c>
      <c r="H3417" s="312" t="s">
        <v>1030</v>
      </c>
      <c r="I3417" s="312" t="s">
        <v>3016</v>
      </c>
      <c r="J3417" s="312" t="s">
        <v>1031</v>
      </c>
      <c r="K3417" s="312" t="s">
        <v>1032</v>
      </c>
      <c r="L3417" s="168"/>
    </row>
    <row r="3418" spans="1:12" ht="15" customHeight="1" x14ac:dyDescent="0.3">
      <c r="A3418" s="313" t="s">
        <v>1033</v>
      </c>
      <c r="B3418" s="315" t="s">
        <v>924</v>
      </c>
      <c r="C3418" s="313" t="s">
        <v>5902</v>
      </c>
      <c r="D3418" s="313" t="s">
        <v>503</v>
      </c>
      <c r="E3418" s="603">
        <v>39.26</v>
      </c>
      <c r="F3418" s="603"/>
      <c r="G3418" s="314" t="s">
        <v>7</v>
      </c>
      <c r="H3418" s="399">
        <v>1</v>
      </c>
      <c r="I3418" s="316"/>
      <c r="J3418" s="316">
        <v>46.95</v>
      </c>
      <c r="K3418" s="316">
        <v>46.95</v>
      </c>
      <c r="L3418" s="166"/>
    </row>
    <row r="3419" spans="1:12" ht="38.25" customHeight="1" x14ac:dyDescent="0.3">
      <c r="A3419" s="400" t="s">
        <v>1038</v>
      </c>
      <c r="B3419" s="401" t="s">
        <v>1051</v>
      </c>
      <c r="C3419" s="400" t="s">
        <v>5902</v>
      </c>
      <c r="D3419" s="400" t="s">
        <v>1052</v>
      </c>
      <c r="E3419" s="605" t="s">
        <v>1053</v>
      </c>
      <c r="F3419" s="605"/>
      <c r="G3419" s="402" t="s">
        <v>6</v>
      </c>
      <c r="H3419" s="403">
        <v>0.15</v>
      </c>
      <c r="I3419" s="403">
        <v>0</v>
      </c>
      <c r="J3419" s="404">
        <v>33.119999999999997</v>
      </c>
      <c r="K3419" s="404">
        <v>4.968</v>
      </c>
      <c r="L3419" s="166"/>
    </row>
    <row r="3420" spans="1:12" ht="38.25" customHeight="1" x14ac:dyDescent="0.3">
      <c r="A3420" s="400" t="s">
        <v>1038</v>
      </c>
      <c r="B3420" s="401" t="s">
        <v>1054</v>
      </c>
      <c r="C3420" s="400" t="s">
        <v>5902</v>
      </c>
      <c r="D3420" s="400" t="s">
        <v>1055</v>
      </c>
      <c r="E3420" s="605" t="s">
        <v>1053</v>
      </c>
      <c r="F3420" s="605"/>
      <c r="G3420" s="402" t="s">
        <v>6</v>
      </c>
      <c r="H3420" s="403">
        <v>0.15</v>
      </c>
      <c r="I3420" s="403">
        <v>0</v>
      </c>
      <c r="J3420" s="404">
        <v>22.71</v>
      </c>
      <c r="K3420" s="404">
        <v>3.4064999999999999</v>
      </c>
      <c r="L3420" s="166"/>
    </row>
    <row r="3421" spans="1:12" ht="39.6" x14ac:dyDescent="0.3">
      <c r="A3421" s="400" t="s">
        <v>1038</v>
      </c>
      <c r="B3421" s="401" t="s">
        <v>1206</v>
      </c>
      <c r="C3421" s="400" t="s">
        <v>5902</v>
      </c>
      <c r="D3421" s="400" t="s">
        <v>1207</v>
      </c>
      <c r="E3421" s="605" t="s">
        <v>1039</v>
      </c>
      <c r="F3421" s="605"/>
      <c r="G3421" s="402" t="s">
        <v>7</v>
      </c>
      <c r="H3421" s="403">
        <v>1.02</v>
      </c>
      <c r="I3421" s="403">
        <v>0</v>
      </c>
      <c r="J3421" s="404">
        <v>37.82</v>
      </c>
      <c r="K3421" s="404">
        <v>38.5764</v>
      </c>
      <c r="L3421" s="166"/>
    </row>
    <row r="3422" spans="1:12" ht="15" customHeight="1" x14ac:dyDescent="0.3">
      <c r="A3422" s="405"/>
      <c r="B3422" s="405"/>
      <c r="C3422" s="405"/>
      <c r="D3422" s="405"/>
      <c r="E3422" s="405" t="s">
        <v>1046</v>
      </c>
      <c r="F3422" s="406">
        <v>8.3800000000000008</v>
      </c>
      <c r="G3422" s="405" t="s">
        <v>1047</v>
      </c>
      <c r="H3422" s="406">
        <v>0</v>
      </c>
      <c r="I3422" s="405" t="s">
        <v>1048</v>
      </c>
      <c r="J3422" s="406">
        <v>8.3800000000000008</v>
      </c>
      <c r="K3422"/>
      <c r="L3422" s="166"/>
    </row>
    <row r="3423" spans="1:12" ht="25.5" customHeight="1" thickBot="1" x14ac:dyDescent="0.35">
      <c r="A3423" s="405"/>
      <c r="B3423" s="405"/>
      <c r="C3423" s="405"/>
      <c r="D3423" s="405"/>
      <c r="E3423" s="405" t="s">
        <v>1049</v>
      </c>
      <c r="F3423" s="406">
        <v>0</v>
      </c>
      <c r="G3423" s="405"/>
      <c r="H3423" s="606"/>
      <c r="I3423" s="606" t="s">
        <v>1050</v>
      </c>
      <c r="J3423" s="406">
        <v>46.95</v>
      </c>
      <c r="K3423"/>
      <c r="L3423" s="166"/>
    </row>
    <row r="3424" spans="1:12" ht="25.5" customHeight="1" thickTop="1" x14ac:dyDescent="0.3">
      <c r="A3424" s="407"/>
      <c r="B3424" s="407"/>
      <c r="C3424" s="407"/>
      <c r="D3424" s="407"/>
      <c r="E3424" s="407"/>
      <c r="F3424" s="407"/>
      <c r="G3424" s="407"/>
      <c r="H3424" s="407"/>
      <c r="I3424" s="407"/>
      <c r="J3424" s="407"/>
      <c r="K3424" s="407"/>
      <c r="L3424" s="166"/>
    </row>
    <row r="3425" spans="1:12" ht="25.5" customHeight="1" x14ac:dyDescent="0.3">
      <c r="A3425" s="382" t="s">
        <v>2725</v>
      </c>
      <c r="B3425" s="312" t="s">
        <v>413</v>
      </c>
      <c r="C3425" s="382" t="s">
        <v>414</v>
      </c>
      <c r="D3425" s="382" t="s">
        <v>415</v>
      </c>
      <c r="E3425" s="586" t="s">
        <v>1029</v>
      </c>
      <c r="F3425" s="586"/>
      <c r="G3425" s="383" t="s">
        <v>416</v>
      </c>
      <c r="H3425" s="312" t="s">
        <v>1030</v>
      </c>
      <c r="I3425" s="312" t="s">
        <v>3016</v>
      </c>
      <c r="J3425" s="312" t="s">
        <v>1031</v>
      </c>
      <c r="K3425" s="312" t="s">
        <v>1032</v>
      </c>
      <c r="L3425" s="168"/>
    </row>
    <row r="3426" spans="1:12" ht="15" customHeight="1" x14ac:dyDescent="0.3">
      <c r="A3426" s="313" t="s">
        <v>1033</v>
      </c>
      <c r="B3426" s="315" t="s">
        <v>925</v>
      </c>
      <c r="C3426" s="313" t="s">
        <v>5902</v>
      </c>
      <c r="D3426" s="313" t="s">
        <v>505</v>
      </c>
      <c r="E3426" s="603">
        <v>39.26</v>
      </c>
      <c r="F3426" s="603"/>
      <c r="G3426" s="314" t="s">
        <v>7</v>
      </c>
      <c r="H3426" s="399">
        <v>1</v>
      </c>
      <c r="I3426" s="316"/>
      <c r="J3426" s="316">
        <v>66.180000000000007</v>
      </c>
      <c r="K3426" s="316">
        <v>66.180000000000007</v>
      </c>
      <c r="L3426" s="170"/>
    </row>
    <row r="3427" spans="1:12" ht="25.5" customHeight="1" x14ac:dyDescent="0.3">
      <c r="A3427" s="400" t="s">
        <v>1038</v>
      </c>
      <c r="B3427" s="401" t="s">
        <v>1051</v>
      </c>
      <c r="C3427" s="400" t="s">
        <v>5902</v>
      </c>
      <c r="D3427" s="400" t="s">
        <v>1052</v>
      </c>
      <c r="E3427" s="605" t="s">
        <v>1053</v>
      </c>
      <c r="F3427" s="605"/>
      <c r="G3427" s="402" t="s">
        <v>6</v>
      </c>
      <c r="H3427" s="403">
        <v>0.2</v>
      </c>
      <c r="I3427" s="403">
        <v>0</v>
      </c>
      <c r="J3427" s="404">
        <v>33.119999999999997</v>
      </c>
      <c r="K3427" s="404">
        <v>6.6239999999999997</v>
      </c>
      <c r="L3427" s="168"/>
    </row>
    <row r="3428" spans="1:12" ht="25.5" customHeight="1" x14ac:dyDescent="0.3">
      <c r="A3428" s="400" t="s">
        <v>1038</v>
      </c>
      <c r="B3428" s="401" t="s">
        <v>1054</v>
      </c>
      <c r="C3428" s="400" t="s">
        <v>5902</v>
      </c>
      <c r="D3428" s="400" t="s">
        <v>1055</v>
      </c>
      <c r="E3428" s="605" t="s">
        <v>1053</v>
      </c>
      <c r="F3428" s="605"/>
      <c r="G3428" s="402" t="s">
        <v>6</v>
      </c>
      <c r="H3428" s="403">
        <v>0.2</v>
      </c>
      <c r="I3428" s="403">
        <v>0</v>
      </c>
      <c r="J3428" s="404">
        <v>22.71</v>
      </c>
      <c r="K3428" s="404">
        <v>4.5419999999999998</v>
      </c>
      <c r="L3428" s="168"/>
    </row>
    <row r="3429" spans="1:12" ht="39.6" x14ac:dyDescent="0.3">
      <c r="A3429" s="400" t="s">
        <v>1038</v>
      </c>
      <c r="B3429" s="401" t="s">
        <v>1208</v>
      </c>
      <c r="C3429" s="400" t="s">
        <v>5902</v>
      </c>
      <c r="D3429" s="400" t="s">
        <v>1209</v>
      </c>
      <c r="E3429" s="605" t="s">
        <v>1039</v>
      </c>
      <c r="F3429" s="605"/>
      <c r="G3429" s="402" t="s">
        <v>7</v>
      </c>
      <c r="H3429" s="403">
        <v>1.02</v>
      </c>
      <c r="I3429" s="403">
        <v>0</v>
      </c>
      <c r="J3429" s="404">
        <v>53.94</v>
      </c>
      <c r="K3429" s="404">
        <v>55.018799999999999</v>
      </c>
      <c r="L3429" s="168"/>
    </row>
    <row r="3430" spans="1:12" ht="25.5" customHeight="1" x14ac:dyDescent="0.3">
      <c r="A3430" s="405"/>
      <c r="B3430" s="405"/>
      <c r="C3430" s="405"/>
      <c r="D3430" s="405"/>
      <c r="E3430" s="405" t="s">
        <v>1046</v>
      </c>
      <c r="F3430" s="406">
        <v>11.16</v>
      </c>
      <c r="G3430" s="405" t="s">
        <v>1047</v>
      </c>
      <c r="H3430" s="406">
        <v>0</v>
      </c>
      <c r="I3430" s="405" t="s">
        <v>1048</v>
      </c>
      <c r="J3430" s="406">
        <v>11.16</v>
      </c>
      <c r="K3430"/>
      <c r="L3430" s="168"/>
    </row>
    <row r="3431" spans="1:12" ht="15" customHeight="1" thickBot="1" x14ac:dyDescent="0.35">
      <c r="A3431" s="405"/>
      <c r="B3431" s="405"/>
      <c r="C3431" s="405"/>
      <c r="D3431" s="405"/>
      <c r="E3431" s="405" t="s">
        <v>1049</v>
      </c>
      <c r="F3431" s="406">
        <v>0</v>
      </c>
      <c r="G3431" s="405"/>
      <c r="H3431" s="606"/>
      <c r="I3431" s="606" t="s">
        <v>1050</v>
      </c>
      <c r="J3431" s="406">
        <v>66.180000000000007</v>
      </c>
      <c r="K3431"/>
      <c r="L3431" s="166"/>
    </row>
    <row r="3432" spans="1:12" ht="15.6" thickTop="1" x14ac:dyDescent="0.3">
      <c r="A3432" s="407"/>
      <c r="B3432" s="407"/>
      <c r="C3432" s="407"/>
      <c r="D3432" s="407"/>
      <c r="E3432" s="407"/>
      <c r="F3432" s="407"/>
      <c r="G3432" s="407"/>
      <c r="H3432" s="407"/>
      <c r="I3432" s="407"/>
      <c r="J3432" s="407"/>
      <c r="K3432" s="407"/>
      <c r="L3432" s="166"/>
    </row>
    <row r="3433" spans="1:12" ht="15" customHeight="1" x14ac:dyDescent="0.3">
      <c r="A3433" s="382" t="s">
        <v>2726</v>
      </c>
      <c r="B3433" s="312" t="s">
        <v>413</v>
      </c>
      <c r="C3433" s="382" t="s">
        <v>414</v>
      </c>
      <c r="D3433" s="382" t="s">
        <v>415</v>
      </c>
      <c r="E3433" s="586" t="s">
        <v>1029</v>
      </c>
      <c r="F3433" s="586"/>
      <c r="G3433" s="383" t="s">
        <v>416</v>
      </c>
      <c r="H3433" s="312" t="s">
        <v>1030</v>
      </c>
      <c r="I3433" s="312" t="s">
        <v>3016</v>
      </c>
      <c r="J3433" s="312" t="s">
        <v>1031</v>
      </c>
      <c r="K3433" s="312" t="s">
        <v>1032</v>
      </c>
      <c r="L3433" s="168"/>
    </row>
    <row r="3434" spans="1:12" ht="17.399999999999999" customHeight="1" x14ac:dyDescent="0.3">
      <c r="A3434" s="313" t="s">
        <v>1033</v>
      </c>
      <c r="B3434" s="315" t="s">
        <v>2160</v>
      </c>
      <c r="C3434" s="313" t="s">
        <v>5902</v>
      </c>
      <c r="D3434" s="313" t="s">
        <v>1838</v>
      </c>
      <c r="E3434" s="603">
        <v>39.26</v>
      </c>
      <c r="F3434" s="603"/>
      <c r="G3434" s="314" t="s">
        <v>7</v>
      </c>
      <c r="H3434" s="399">
        <v>1</v>
      </c>
      <c r="I3434" s="316"/>
      <c r="J3434" s="316">
        <v>119.11</v>
      </c>
      <c r="K3434" s="316">
        <v>119.11</v>
      </c>
      <c r="L3434" s="168"/>
    </row>
    <row r="3435" spans="1:12" ht="14.25" customHeight="1" x14ac:dyDescent="0.3">
      <c r="A3435" s="400" t="s">
        <v>1038</v>
      </c>
      <c r="B3435" s="401" t="s">
        <v>1051</v>
      </c>
      <c r="C3435" s="400" t="s">
        <v>5902</v>
      </c>
      <c r="D3435" s="400" t="s">
        <v>1052</v>
      </c>
      <c r="E3435" s="605" t="s">
        <v>1053</v>
      </c>
      <c r="F3435" s="605"/>
      <c r="G3435" s="402" t="s">
        <v>6</v>
      </c>
      <c r="H3435" s="403">
        <v>0.3</v>
      </c>
      <c r="I3435" s="403">
        <v>0</v>
      </c>
      <c r="J3435" s="404">
        <v>33.119999999999997</v>
      </c>
      <c r="K3435" s="404">
        <v>9.9359999999999999</v>
      </c>
      <c r="L3435" s="168"/>
    </row>
    <row r="3436" spans="1:12" ht="25.5" customHeight="1" x14ac:dyDescent="0.3">
      <c r="A3436" s="400" t="s">
        <v>1038</v>
      </c>
      <c r="B3436" s="401" t="s">
        <v>1054</v>
      </c>
      <c r="C3436" s="400" t="s">
        <v>5902</v>
      </c>
      <c r="D3436" s="400" t="s">
        <v>1055</v>
      </c>
      <c r="E3436" s="605" t="s">
        <v>1053</v>
      </c>
      <c r="F3436" s="605"/>
      <c r="G3436" s="402" t="s">
        <v>6</v>
      </c>
      <c r="H3436" s="403">
        <v>0.3</v>
      </c>
      <c r="I3436" s="403">
        <v>0</v>
      </c>
      <c r="J3436" s="404">
        <v>22.71</v>
      </c>
      <c r="K3436" s="404">
        <v>6.8129999999999997</v>
      </c>
      <c r="L3436" s="168"/>
    </row>
    <row r="3437" spans="1:12" ht="25.5" customHeight="1" x14ac:dyDescent="0.3">
      <c r="A3437" s="400" t="s">
        <v>1038</v>
      </c>
      <c r="B3437" s="401" t="s">
        <v>2453</v>
      </c>
      <c r="C3437" s="400" t="s">
        <v>5902</v>
      </c>
      <c r="D3437" s="400" t="s">
        <v>2454</v>
      </c>
      <c r="E3437" s="605" t="s">
        <v>1039</v>
      </c>
      <c r="F3437" s="605"/>
      <c r="G3437" s="402" t="s">
        <v>7</v>
      </c>
      <c r="H3437" s="403">
        <v>1.02</v>
      </c>
      <c r="I3437" s="403">
        <v>0</v>
      </c>
      <c r="J3437" s="404">
        <v>100.35</v>
      </c>
      <c r="K3437" s="404">
        <v>102.357</v>
      </c>
      <c r="L3437" s="168"/>
    </row>
    <row r="3438" spans="1:12" ht="25.5" customHeight="1" x14ac:dyDescent="0.3">
      <c r="A3438" s="405"/>
      <c r="B3438" s="405"/>
      <c r="C3438" s="405"/>
      <c r="D3438" s="405"/>
      <c r="E3438" s="405" t="s">
        <v>1046</v>
      </c>
      <c r="F3438" s="406">
        <v>16.75</v>
      </c>
      <c r="G3438" s="405" t="s">
        <v>1047</v>
      </c>
      <c r="H3438" s="406">
        <v>0</v>
      </c>
      <c r="I3438" s="405" t="s">
        <v>1048</v>
      </c>
      <c r="J3438" s="406">
        <v>16.75</v>
      </c>
      <c r="K3438"/>
      <c r="L3438" s="166"/>
    </row>
    <row r="3439" spans="1:12" ht="25.5" customHeight="1" thickBot="1" x14ac:dyDescent="0.35">
      <c r="A3439" s="405"/>
      <c r="B3439" s="405"/>
      <c r="C3439" s="405"/>
      <c r="D3439" s="405"/>
      <c r="E3439" s="405" t="s">
        <v>1049</v>
      </c>
      <c r="F3439" s="406">
        <v>0</v>
      </c>
      <c r="G3439" s="405"/>
      <c r="H3439" s="606"/>
      <c r="I3439" s="606" t="s">
        <v>1050</v>
      </c>
      <c r="J3439" s="406">
        <v>119.11</v>
      </c>
      <c r="K3439"/>
      <c r="L3439" s="168"/>
    </row>
    <row r="3440" spans="1:12" ht="15.6" thickTop="1" x14ac:dyDescent="0.3">
      <c r="A3440" s="407"/>
      <c r="B3440" s="407"/>
      <c r="C3440" s="407"/>
      <c r="D3440" s="407"/>
      <c r="E3440" s="407"/>
      <c r="F3440" s="407"/>
      <c r="G3440" s="407"/>
      <c r="H3440" s="407"/>
      <c r="I3440" s="407"/>
      <c r="J3440" s="407"/>
      <c r="K3440" s="407"/>
      <c r="L3440" s="168"/>
    </row>
    <row r="3441" spans="1:12" ht="15" x14ac:dyDescent="0.3">
      <c r="A3441" s="382" t="s">
        <v>2727</v>
      </c>
      <c r="B3441" s="312" t="s">
        <v>413</v>
      </c>
      <c r="C3441" s="382" t="s">
        <v>414</v>
      </c>
      <c r="D3441" s="382" t="s">
        <v>415</v>
      </c>
      <c r="E3441" s="586" t="s">
        <v>1029</v>
      </c>
      <c r="F3441" s="586"/>
      <c r="G3441" s="383" t="s">
        <v>416</v>
      </c>
      <c r="H3441" s="312" t="s">
        <v>1030</v>
      </c>
      <c r="I3441" s="312" t="s">
        <v>3016</v>
      </c>
      <c r="J3441" s="312" t="s">
        <v>1031</v>
      </c>
      <c r="K3441" s="312" t="s">
        <v>1032</v>
      </c>
      <c r="L3441" s="168"/>
    </row>
    <row r="3442" spans="1:12" ht="15" customHeight="1" x14ac:dyDescent="0.3">
      <c r="A3442" s="313" t="s">
        <v>1033</v>
      </c>
      <c r="B3442" s="315" t="s">
        <v>926</v>
      </c>
      <c r="C3442" s="313" t="s">
        <v>5902</v>
      </c>
      <c r="D3442" s="313" t="s">
        <v>507</v>
      </c>
      <c r="E3442" s="603">
        <v>39.26</v>
      </c>
      <c r="F3442" s="603"/>
      <c r="G3442" s="314" t="s">
        <v>7</v>
      </c>
      <c r="H3442" s="399">
        <v>1</v>
      </c>
      <c r="I3442" s="316"/>
      <c r="J3442" s="316">
        <v>221</v>
      </c>
      <c r="K3442" s="316">
        <v>221</v>
      </c>
      <c r="L3442" s="166"/>
    </row>
    <row r="3443" spans="1:12" ht="15" customHeight="1" x14ac:dyDescent="0.3">
      <c r="A3443" s="400" t="s">
        <v>1038</v>
      </c>
      <c r="B3443" s="401" t="s">
        <v>1051</v>
      </c>
      <c r="C3443" s="400" t="s">
        <v>5902</v>
      </c>
      <c r="D3443" s="400" t="s">
        <v>1052</v>
      </c>
      <c r="E3443" s="605" t="s">
        <v>1053</v>
      </c>
      <c r="F3443" s="605"/>
      <c r="G3443" s="402" t="s">
        <v>6</v>
      </c>
      <c r="H3443" s="403">
        <v>0.45</v>
      </c>
      <c r="I3443" s="403">
        <v>0</v>
      </c>
      <c r="J3443" s="404">
        <v>33.119999999999997</v>
      </c>
      <c r="K3443" s="404">
        <v>14.904</v>
      </c>
      <c r="L3443" s="166"/>
    </row>
    <row r="3444" spans="1:12" ht="26.4" x14ac:dyDescent="0.3">
      <c r="A3444" s="400" t="s">
        <v>1038</v>
      </c>
      <c r="B3444" s="401" t="s">
        <v>1054</v>
      </c>
      <c r="C3444" s="400" t="s">
        <v>5902</v>
      </c>
      <c r="D3444" s="400" t="s">
        <v>1055</v>
      </c>
      <c r="E3444" s="605" t="s">
        <v>1053</v>
      </c>
      <c r="F3444" s="605"/>
      <c r="G3444" s="402" t="s">
        <v>6</v>
      </c>
      <c r="H3444" s="403">
        <v>0.45</v>
      </c>
      <c r="I3444" s="403">
        <v>0</v>
      </c>
      <c r="J3444" s="404">
        <v>22.71</v>
      </c>
      <c r="K3444" s="404">
        <v>10.2195</v>
      </c>
      <c r="L3444" s="168"/>
    </row>
    <row r="3445" spans="1:12" ht="39.6" x14ac:dyDescent="0.3">
      <c r="A3445" s="400" t="s">
        <v>1038</v>
      </c>
      <c r="B3445" s="401" t="s">
        <v>1210</v>
      </c>
      <c r="C3445" s="400" t="s">
        <v>5902</v>
      </c>
      <c r="D3445" s="400" t="s">
        <v>1211</v>
      </c>
      <c r="E3445" s="605" t="s">
        <v>1039</v>
      </c>
      <c r="F3445" s="605"/>
      <c r="G3445" s="402" t="s">
        <v>7</v>
      </c>
      <c r="H3445" s="403">
        <v>1.02</v>
      </c>
      <c r="I3445" s="403">
        <v>0</v>
      </c>
      <c r="J3445" s="404">
        <v>192.04</v>
      </c>
      <c r="K3445" s="404">
        <v>195.88079999999999</v>
      </c>
      <c r="L3445" s="168"/>
    </row>
    <row r="3446" spans="1:12" ht="14.25" customHeight="1" x14ac:dyDescent="0.3">
      <c r="A3446" s="405"/>
      <c r="B3446" s="405"/>
      <c r="C3446" s="405"/>
      <c r="D3446" s="405"/>
      <c r="E3446" s="405" t="s">
        <v>1046</v>
      </c>
      <c r="F3446" s="406">
        <v>25.12</v>
      </c>
      <c r="G3446" s="405" t="s">
        <v>1047</v>
      </c>
      <c r="H3446" s="406">
        <v>0</v>
      </c>
      <c r="I3446" s="405" t="s">
        <v>1048</v>
      </c>
      <c r="J3446" s="406">
        <v>25.12</v>
      </c>
      <c r="K3446"/>
      <c r="L3446" s="168"/>
    </row>
    <row r="3447" spans="1:12" ht="25.5" customHeight="1" thickBot="1" x14ac:dyDescent="0.35">
      <c r="A3447" s="405"/>
      <c r="B3447" s="405"/>
      <c r="C3447" s="405"/>
      <c r="D3447" s="405"/>
      <c r="E3447" s="405" t="s">
        <v>1049</v>
      </c>
      <c r="F3447" s="406">
        <v>0</v>
      </c>
      <c r="G3447" s="405"/>
      <c r="H3447" s="606"/>
      <c r="I3447" s="606" t="s">
        <v>1050</v>
      </c>
      <c r="J3447" s="406">
        <v>221</v>
      </c>
      <c r="K3447"/>
      <c r="L3447" s="166"/>
    </row>
    <row r="3448" spans="1:12" ht="25.5" customHeight="1" thickTop="1" x14ac:dyDescent="0.3">
      <c r="A3448" s="407"/>
      <c r="B3448" s="407"/>
      <c r="C3448" s="407"/>
      <c r="D3448" s="407"/>
      <c r="E3448" s="407"/>
      <c r="F3448" s="407"/>
      <c r="G3448" s="407"/>
      <c r="H3448" s="407"/>
      <c r="I3448" s="407"/>
      <c r="J3448" s="407"/>
      <c r="K3448" s="407"/>
      <c r="L3448" s="166"/>
    </row>
    <row r="3449" spans="1:12" ht="25.5" customHeight="1" x14ac:dyDescent="0.3">
      <c r="A3449" s="382" t="s">
        <v>2728</v>
      </c>
      <c r="B3449" s="312" t="s">
        <v>413</v>
      </c>
      <c r="C3449" s="382" t="s">
        <v>414</v>
      </c>
      <c r="D3449" s="382" t="s">
        <v>415</v>
      </c>
      <c r="E3449" s="586" t="s">
        <v>1029</v>
      </c>
      <c r="F3449" s="586"/>
      <c r="G3449" s="383" t="s">
        <v>416</v>
      </c>
      <c r="H3449" s="312" t="s">
        <v>1030</v>
      </c>
      <c r="I3449" s="312" t="s">
        <v>3016</v>
      </c>
      <c r="J3449" s="312" t="s">
        <v>1031</v>
      </c>
      <c r="K3449" s="312" t="s">
        <v>1032</v>
      </c>
      <c r="L3449" s="166"/>
    </row>
    <row r="3450" spans="1:12" ht="38.25" customHeight="1" x14ac:dyDescent="0.3">
      <c r="A3450" s="313" t="s">
        <v>1033</v>
      </c>
      <c r="B3450" s="315" t="s">
        <v>927</v>
      </c>
      <c r="C3450" s="313" t="s">
        <v>5902</v>
      </c>
      <c r="D3450" s="313" t="s">
        <v>509</v>
      </c>
      <c r="E3450" s="603">
        <v>39.1</v>
      </c>
      <c r="F3450" s="603"/>
      <c r="G3450" s="314" t="s">
        <v>4</v>
      </c>
      <c r="H3450" s="399">
        <v>1</v>
      </c>
      <c r="I3450" s="316"/>
      <c r="J3450" s="316">
        <v>16</v>
      </c>
      <c r="K3450" s="316">
        <v>16</v>
      </c>
      <c r="L3450" s="166"/>
    </row>
    <row r="3451" spans="1:12" ht="26.4" x14ac:dyDescent="0.3">
      <c r="A3451" s="400" t="s">
        <v>1038</v>
      </c>
      <c r="B3451" s="401" t="s">
        <v>1051</v>
      </c>
      <c r="C3451" s="400" t="s">
        <v>5902</v>
      </c>
      <c r="D3451" s="400" t="s">
        <v>1052</v>
      </c>
      <c r="E3451" s="605" t="s">
        <v>1053</v>
      </c>
      <c r="F3451" s="605"/>
      <c r="G3451" s="402" t="s">
        <v>6</v>
      </c>
      <c r="H3451" s="403">
        <v>0.15</v>
      </c>
      <c r="I3451" s="403">
        <v>0</v>
      </c>
      <c r="J3451" s="404">
        <v>33.119999999999997</v>
      </c>
      <c r="K3451" s="404">
        <v>4.968</v>
      </c>
      <c r="L3451" s="166"/>
    </row>
    <row r="3452" spans="1:12" ht="15" customHeight="1" x14ac:dyDescent="0.3">
      <c r="A3452" s="400" t="s">
        <v>1038</v>
      </c>
      <c r="B3452" s="401" t="s">
        <v>1054</v>
      </c>
      <c r="C3452" s="400" t="s">
        <v>5902</v>
      </c>
      <c r="D3452" s="400" t="s">
        <v>1055</v>
      </c>
      <c r="E3452" s="605" t="s">
        <v>1053</v>
      </c>
      <c r="F3452" s="605"/>
      <c r="G3452" s="402" t="s">
        <v>6</v>
      </c>
      <c r="H3452" s="403">
        <v>0.15</v>
      </c>
      <c r="I3452" s="403">
        <v>0</v>
      </c>
      <c r="J3452" s="404">
        <v>22.71</v>
      </c>
      <c r="K3452" s="404">
        <v>3.4064999999999999</v>
      </c>
      <c r="L3452" s="166"/>
    </row>
    <row r="3453" spans="1:12" ht="15" customHeight="1" x14ac:dyDescent="0.3">
      <c r="A3453" s="400" t="s">
        <v>1038</v>
      </c>
      <c r="B3453" s="401" t="s">
        <v>1212</v>
      </c>
      <c r="C3453" s="400" t="s">
        <v>5902</v>
      </c>
      <c r="D3453" s="400" t="s">
        <v>1213</v>
      </c>
      <c r="E3453" s="605" t="s">
        <v>1039</v>
      </c>
      <c r="F3453" s="605"/>
      <c r="G3453" s="402" t="s">
        <v>4</v>
      </c>
      <c r="H3453" s="403">
        <v>1</v>
      </c>
      <c r="I3453" s="403">
        <v>0</v>
      </c>
      <c r="J3453" s="404">
        <v>7.63</v>
      </c>
      <c r="K3453" s="404">
        <v>7.63</v>
      </c>
      <c r="L3453" s="166"/>
    </row>
    <row r="3454" spans="1:12" ht="15" x14ac:dyDescent="0.3">
      <c r="A3454" s="405"/>
      <c r="B3454" s="405"/>
      <c r="C3454" s="405"/>
      <c r="D3454" s="405"/>
      <c r="E3454" s="405" t="s">
        <v>1046</v>
      </c>
      <c r="F3454" s="406">
        <v>8.3800000000000008</v>
      </c>
      <c r="G3454" s="405" t="s">
        <v>1047</v>
      </c>
      <c r="H3454" s="406">
        <v>0</v>
      </c>
      <c r="I3454" s="405" t="s">
        <v>1048</v>
      </c>
      <c r="J3454" s="406">
        <v>8.3800000000000008</v>
      </c>
      <c r="K3454"/>
      <c r="L3454" s="168"/>
    </row>
    <row r="3455" spans="1:12" ht="14.25" customHeight="1" thickBot="1" x14ac:dyDescent="0.35">
      <c r="A3455" s="405"/>
      <c r="B3455" s="405"/>
      <c r="C3455" s="405"/>
      <c r="D3455" s="405"/>
      <c r="E3455" s="405" t="s">
        <v>1049</v>
      </c>
      <c r="F3455" s="406">
        <v>0</v>
      </c>
      <c r="G3455" s="405"/>
      <c r="H3455" s="606"/>
      <c r="I3455" s="606" t="s">
        <v>1050</v>
      </c>
      <c r="J3455" s="406">
        <v>16</v>
      </c>
      <c r="K3455"/>
      <c r="L3455" s="170"/>
    </row>
    <row r="3456" spans="1:12" ht="14.25" customHeight="1" thickTop="1" x14ac:dyDescent="0.3">
      <c r="A3456" s="407"/>
      <c r="B3456" s="407"/>
      <c r="C3456" s="407"/>
      <c r="D3456" s="407"/>
      <c r="E3456" s="407"/>
      <c r="F3456" s="407"/>
      <c r="G3456" s="407"/>
      <c r="H3456" s="407"/>
      <c r="I3456" s="407"/>
      <c r="J3456" s="407"/>
      <c r="K3456" s="407"/>
      <c r="L3456" s="168"/>
    </row>
    <row r="3457" spans="1:12" ht="30" customHeight="1" x14ac:dyDescent="0.3">
      <c r="A3457" s="382" t="s">
        <v>2729</v>
      </c>
      <c r="B3457" s="312" t="s">
        <v>413</v>
      </c>
      <c r="C3457" s="382" t="s">
        <v>414</v>
      </c>
      <c r="D3457" s="382" t="s">
        <v>415</v>
      </c>
      <c r="E3457" s="586" t="s">
        <v>1029</v>
      </c>
      <c r="F3457" s="586"/>
      <c r="G3457" s="383" t="s">
        <v>416</v>
      </c>
      <c r="H3457" s="312" t="s">
        <v>1030</v>
      </c>
      <c r="I3457" s="312" t="s">
        <v>3016</v>
      </c>
      <c r="J3457" s="312" t="s">
        <v>1031</v>
      </c>
      <c r="K3457" s="312" t="s">
        <v>1032</v>
      </c>
      <c r="L3457" s="168"/>
    </row>
    <row r="3458" spans="1:12" ht="26.4" x14ac:dyDescent="0.3">
      <c r="A3458" s="313" t="s">
        <v>1033</v>
      </c>
      <c r="B3458" s="315" t="s">
        <v>928</v>
      </c>
      <c r="C3458" s="313" t="s">
        <v>5902</v>
      </c>
      <c r="D3458" s="313" t="s">
        <v>511</v>
      </c>
      <c r="E3458" s="603">
        <v>39.1</v>
      </c>
      <c r="F3458" s="603"/>
      <c r="G3458" s="314" t="s">
        <v>4</v>
      </c>
      <c r="H3458" s="399">
        <v>1</v>
      </c>
      <c r="I3458" s="316"/>
      <c r="J3458" s="316">
        <v>16.88</v>
      </c>
      <c r="K3458" s="316">
        <v>16.88</v>
      </c>
      <c r="L3458" s="168"/>
    </row>
    <row r="3459" spans="1:12" ht="26.4" x14ac:dyDescent="0.3">
      <c r="A3459" s="400" t="s">
        <v>1038</v>
      </c>
      <c r="B3459" s="401" t="s">
        <v>1051</v>
      </c>
      <c r="C3459" s="400" t="s">
        <v>5902</v>
      </c>
      <c r="D3459" s="400" t="s">
        <v>1052</v>
      </c>
      <c r="E3459" s="605" t="s">
        <v>1053</v>
      </c>
      <c r="F3459" s="605"/>
      <c r="G3459" s="402" t="s">
        <v>6</v>
      </c>
      <c r="H3459" s="403">
        <v>0.15</v>
      </c>
      <c r="I3459" s="403">
        <v>0</v>
      </c>
      <c r="J3459" s="404">
        <v>33.119999999999997</v>
      </c>
      <c r="K3459" s="404">
        <v>4.968</v>
      </c>
      <c r="L3459" s="166"/>
    </row>
    <row r="3460" spans="1:12" ht="38.25" customHeight="1" x14ac:dyDescent="0.3">
      <c r="A3460" s="400" t="s">
        <v>1038</v>
      </c>
      <c r="B3460" s="401" t="s">
        <v>1054</v>
      </c>
      <c r="C3460" s="400" t="s">
        <v>5902</v>
      </c>
      <c r="D3460" s="400" t="s">
        <v>1055</v>
      </c>
      <c r="E3460" s="605" t="s">
        <v>1053</v>
      </c>
      <c r="F3460" s="605"/>
      <c r="G3460" s="402" t="s">
        <v>6</v>
      </c>
      <c r="H3460" s="403">
        <v>0.15</v>
      </c>
      <c r="I3460" s="403">
        <v>0</v>
      </c>
      <c r="J3460" s="404">
        <v>22.71</v>
      </c>
      <c r="K3460" s="404">
        <v>3.4064999999999999</v>
      </c>
      <c r="L3460" s="166"/>
    </row>
    <row r="3461" spans="1:12" ht="25.5" customHeight="1" x14ac:dyDescent="0.3">
      <c r="A3461" s="400" t="s">
        <v>1038</v>
      </c>
      <c r="B3461" s="401" t="s">
        <v>1214</v>
      </c>
      <c r="C3461" s="400" t="s">
        <v>5902</v>
      </c>
      <c r="D3461" s="400" t="s">
        <v>1215</v>
      </c>
      <c r="E3461" s="605" t="s">
        <v>1039</v>
      </c>
      <c r="F3461" s="605"/>
      <c r="G3461" s="402" t="s">
        <v>4</v>
      </c>
      <c r="H3461" s="403">
        <v>1</v>
      </c>
      <c r="I3461" s="403">
        <v>0</v>
      </c>
      <c r="J3461" s="404">
        <v>8.51</v>
      </c>
      <c r="K3461" s="404">
        <v>8.51</v>
      </c>
      <c r="L3461" s="168"/>
    </row>
    <row r="3462" spans="1:12" ht="25.5" customHeight="1" x14ac:dyDescent="0.3">
      <c r="A3462" s="405"/>
      <c r="B3462" s="405"/>
      <c r="C3462" s="405"/>
      <c r="D3462" s="405"/>
      <c r="E3462" s="405" t="s">
        <v>1046</v>
      </c>
      <c r="F3462" s="406">
        <v>8.3800000000000008</v>
      </c>
      <c r="G3462" s="405" t="s">
        <v>1047</v>
      </c>
      <c r="H3462" s="406">
        <v>0</v>
      </c>
      <c r="I3462" s="405" t="s">
        <v>1048</v>
      </c>
      <c r="J3462" s="406">
        <v>8.3800000000000008</v>
      </c>
      <c r="K3462"/>
      <c r="L3462" s="168"/>
    </row>
    <row r="3463" spans="1:12" ht="15.6" thickBot="1" x14ac:dyDescent="0.35">
      <c r="A3463" s="405"/>
      <c r="B3463" s="405"/>
      <c r="C3463" s="405"/>
      <c r="D3463" s="405"/>
      <c r="E3463" s="405" t="s">
        <v>1049</v>
      </c>
      <c r="F3463" s="406">
        <v>0</v>
      </c>
      <c r="G3463" s="405"/>
      <c r="H3463" s="606"/>
      <c r="I3463" s="606" t="s">
        <v>1050</v>
      </c>
      <c r="J3463" s="406">
        <v>16.88</v>
      </c>
      <c r="K3463"/>
      <c r="L3463" s="168"/>
    </row>
    <row r="3464" spans="1:12" ht="14.25" customHeight="1" thickTop="1" x14ac:dyDescent="0.3">
      <c r="A3464" s="407"/>
      <c r="B3464" s="407"/>
      <c r="C3464" s="407"/>
      <c r="D3464" s="407"/>
      <c r="E3464" s="407"/>
      <c r="F3464" s="407"/>
      <c r="G3464" s="407"/>
      <c r="H3464" s="407"/>
      <c r="I3464" s="407"/>
      <c r="J3464" s="407"/>
      <c r="K3464" s="407"/>
      <c r="L3464" s="168"/>
    </row>
    <row r="3465" spans="1:12" ht="14.25" customHeight="1" x14ac:dyDescent="0.3">
      <c r="A3465" s="382" t="s">
        <v>2730</v>
      </c>
      <c r="B3465" s="312" t="s">
        <v>413</v>
      </c>
      <c r="C3465" s="382" t="s">
        <v>414</v>
      </c>
      <c r="D3465" s="382" t="s">
        <v>415</v>
      </c>
      <c r="E3465" s="586" t="s">
        <v>1029</v>
      </c>
      <c r="F3465" s="586"/>
      <c r="G3465" s="383" t="s">
        <v>416</v>
      </c>
      <c r="H3465" s="312" t="s">
        <v>1030</v>
      </c>
      <c r="I3465" s="312" t="s">
        <v>3016</v>
      </c>
      <c r="J3465" s="312" t="s">
        <v>1031</v>
      </c>
      <c r="K3465" s="312" t="s">
        <v>1032</v>
      </c>
      <c r="L3465" s="166"/>
    </row>
    <row r="3466" spans="1:12" ht="15" customHeight="1" x14ac:dyDescent="0.3">
      <c r="A3466" s="313" t="s">
        <v>1033</v>
      </c>
      <c r="B3466" s="315" t="s">
        <v>929</v>
      </c>
      <c r="C3466" s="313" t="s">
        <v>5902</v>
      </c>
      <c r="D3466" s="313" t="s">
        <v>513</v>
      </c>
      <c r="E3466" s="603">
        <v>39.1</v>
      </c>
      <c r="F3466" s="603"/>
      <c r="G3466" s="314" t="s">
        <v>4</v>
      </c>
      <c r="H3466" s="399">
        <v>1</v>
      </c>
      <c r="I3466" s="316"/>
      <c r="J3466" s="316">
        <v>17.57</v>
      </c>
      <c r="K3466" s="316">
        <v>17.57</v>
      </c>
      <c r="L3466" s="168"/>
    </row>
    <row r="3467" spans="1:12" ht="26.4" x14ac:dyDescent="0.3">
      <c r="A3467" s="400" t="s">
        <v>1038</v>
      </c>
      <c r="B3467" s="401" t="s">
        <v>1051</v>
      </c>
      <c r="C3467" s="400" t="s">
        <v>5902</v>
      </c>
      <c r="D3467" s="400" t="s">
        <v>1052</v>
      </c>
      <c r="E3467" s="605" t="s">
        <v>1053</v>
      </c>
      <c r="F3467" s="605"/>
      <c r="G3467" s="402" t="s">
        <v>6</v>
      </c>
      <c r="H3467" s="403">
        <v>0.15</v>
      </c>
      <c r="I3467" s="403">
        <v>0</v>
      </c>
      <c r="J3467" s="404">
        <v>33.119999999999997</v>
      </c>
      <c r="K3467" s="404">
        <v>4.968</v>
      </c>
      <c r="L3467" s="168"/>
    </row>
    <row r="3468" spans="1:12" ht="25.5" customHeight="1" x14ac:dyDescent="0.3">
      <c r="A3468" s="400" t="s">
        <v>1038</v>
      </c>
      <c r="B3468" s="401" t="s">
        <v>1054</v>
      </c>
      <c r="C3468" s="400" t="s">
        <v>5902</v>
      </c>
      <c r="D3468" s="400" t="s">
        <v>1055</v>
      </c>
      <c r="E3468" s="605" t="s">
        <v>1053</v>
      </c>
      <c r="F3468" s="605"/>
      <c r="G3468" s="402" t="s">
        <v>6</v>
      </c>
      <c r="H3468" s="403">
        <v>0.15</v>
      </c>
      <c r="I3468" s="403">
        <v>0</v>
      </c>
      <c r="J3468" s="404">
        <v>22.71</v>
      </c>
      <c r="K3468" s="404">
        <v>3.4064999999999999</v>
      </c>
      <c r="L3468" s="168"/>
    </row>
    <row r="3469" spans="1:12" ht="25.5" customHeight="1" x14ac:dyDescent="0.3">
      <c r="A3469" s="400" t="s">
        <v>1038</v>
      </c>
      <c r="B3469" s="401" t="s">
        <v>1216</v>
      </c>
      <c r="C3469" s="400" t="s">
        <v>5902</v>
      </c>
      <c r="D3469" s="400" t="s">
        <v>1217</v>
      </c>
      <c r="E3469" s="605" t="s">
        <v>1039</v>
      </c>
      <c r="F3469" s="605"/>
      <c r="G3469" s="402" t="s">
        <v>4</v>
      </c>
      <c r="H3469" s="403">
        <v>1</v>
      </c>
      <c r="I3469" s="403">
        <v>0</v>
      </c>
      <c r="J3469" s="404">
        <v>9.1999999999999993</v>
      </c>
      <c r="K3469" s="404">
        <v>9.1999999999999993</v>
      </c>
      <c r="L3469" s="166"/>
    </row>
    <row r="3470" spans="1:12" ht="15" customHeight="1" x14ac:dyDescent="0.3">
      <c r="A3470" s="405"/>
      <c r="B3470" s="405"/>
      <c r="C3470" s="405"/>
      <c r="D3470" s="405"/>
      <c r="E3470" s="405" t="s">
        <v>1046</v>
      </c>
      <c r="F3470" s="406">
        <v>8.3800000000000008</v>
      </c>
      <c r="G3470" s="405" t="s">
        <v>1047</v>
      </c>
      <c r="H3470" s="406">
        <v>0</v>
      </c>
      <c r="I3470" s="405" t="s">
        <v>1048</v>
      </c>
      <c r="J3470" s="406">
        <v>8.3800000000000008</v>
      </c>
      <c r="K3470"/>
      <c r="L3470" s="166"/>
    </row>
    <row r="3471" spans="1:12" ht="25.5" customHeight="1" thickBot="1" x14ac:dyDescent="0.35">
      <c r="A3471" s="405"/>
      <c r="B3471" s="405"/>
      <c r="C3471" s="405"/>
      <c r="D3471" s="405"/>
      <c r="E3471" s="405" t="s">
        <v>1049</v>
      </c>
      <c r="F3471" s="406">
        <v>0</v>
      </c>
      <c r="G3471" s="405"/>
      <c r="H3471" s="606"/>
      <c r="I3471" s="606" t="s">
        <v>1050</v>
      </c>
      <c r="J3471" s="406">
        <v>17.57</v>
      </c>
      <c r="K3471"/>
      <c r="L3471" s="168"/>
    </row>
    <row r="3472" spans="1:12" ht="25.5" customHeight="1" thickTop="1" x14ac:dyDescent="0.3">
      <c r="A3472" s="407"/>
      <c r="B3472" s="407"/>
      <c r="C3472" s="407"/>
      <c r="D3472" s="407"/>
      <c r="E3472" s="407"/>
      <c r="F3472" s="407"/>
      <c r="G3472" s="407"/>
      <c r="H3472" s="407"/>
      <c r="I3472" s="407"/>
      <c r="J3472" s="407"/>
      <c r="K3472" s="407"/>
      <c r="L3472" s="168"/>
    </row>
    <row r="3473" spans="1:12" ht="15" x14ac:dyDescent="0.3">
      <c r="A3473" s="382" t="s">
        <v>2732</v>
      </c>
      <c r="B3473" s="312" t="s">
        <v>413</v>
      </c>
      <c r="C3473" s="382" t="s">
        <v>414</v>
      </c>
      <c r="D3473" s="382" t="s">
        <v>415</v>
      </c>
      <c r="E3473" s="586" t="s">
        <v>1029</v>
      </c>
      <c r="F3473" s="586"/>
      <c r="G3473" s="383" t="s">
        <v>416</v>
      </c>
      <c r="H3473" s="312" t="s">
        <v>1030</v>
      </c>
      <c r="I3473" s="312" t="s">
        <v>3016</v>
      </c>
      <c r="J3473" s="312" t="s">
        <v>1031</v>
      </c>
      <c r="K3473" s="312" t="s">
        <v>1032</v>
      </c>
      <c r="L3473" s="168"/>
    </row>
    <row r="3474" spans="1:12" ht="26.4" x14ac:dyDescent="0.3">
      <c r="A3474" s="313" t="s">
        <v>1033</v>
      </c>
      <c r="B3474" s="315" t="s">
        <v>930</v>
      </c>
      <c r="C3474" s="313" t="s">
        <v>5902</v>
      </c>
      <c r="D3474" s="313" t="s">
        <v>515</v>
      </c>
      <c r="E3474" s="603">
        <v>39.1</v>
      </c>
      <c r="F3474" s="603"/>
      <c r="G3474" s="314" t="s">
        <v>4</v>
      </c>
      <c r="H3474" s="399">
        <v>1</v>
      </c>
      <c r="I3474" s="316"/>
      <c r="J3474" s="316">
        <v>24.84</v>
      </c>
      <c r="K3474" s="316">
        <v>24.84</v>
      </c>
      <c r="L3474" s="166"/>
    </row>
    <row r="3475" spans="1:12" ht="15" customHeight="1" x14ac:dyDescent="0.3">
      <c r="A3475" s="400" t="s">
        <v>1038</v>
      </c>
      <c r="B3475" s="401" t="s">
        <v>1051</v>
      </c>
      <c r="C3475" s="400" t="s">
        <v>5902</v>
      </c>
      <c r="D3475" s="400" t="s">
        <v>1052</v>
      </c>
      <c r="E3475" s="605" t="s">
        <v>1053</v>
      </c>
      <c r="F3475" s="605"/>
      <c r="G3475" s="402" t="s">
        <v>6</v>
      </c>
      <c r="H3475" s="403">
        <v>0.15</v>
      </c>
      <c r="I3475" s="403">
        <v>0</v>
      </c>
      <c r="J3475" s="404">
        <v>33.119999999999997</v>
      </c>
      <c r="K3475" s="404">
        <v>4.968</v>
      </c>
      <c r="L3475" s="166"/>
    </row>
    <row r="3476" spans="1:12" ht="30" customHeight="1" x14ac:dyDescent="0.3">
      <c r="A3476" s="400" t="s">
        <v>1038</v>
      </c>
      <c r="B3476" s="401" t="s">
        <v>1054</v>
      </c>
      <c r="C3476" s="400" t="s">
        <v>5902</v>
      </c>
      <c r="D3476" s="400" t="s">
        <v>1055</v>
      </c>
      <c r="E3476" s="605" t="s">
        <v>1053</v>
      </c>
      <c r="F3476" s="605"/>
      <c r="G3476" s="402" t="s">
        <v>6</v>
      </c>
      <c r="H3476" s="403">
        <v>0.15</v>
      </c>
      <c r="I3476" s="403">
        <v>0</v>
      </c>
      <c r="J3476" s="404">
        <v>22.71</v>
      </c>
      <c r="K3476" s="404">
        <v>3.4064999999999999</v>
      </c>
      <c r="L3476" s="166"/>
    </row>
    <row r="3477" spans="1:12" ht="30" customHeight="1" x14ac:dyDescent="0.3">
      <c r="A3477" s="400" t="s">
        <v>1038</v>
      </c>
      <c r="B3477" s="401" t="s">
        <v>1218</v>
      </c>
      <c r="C3477" s="400" t="s">
        <v>5902</v>
      </c>
      <c r="D3477" s="400" t="s">
        <v>1219</v>
      </c>
      <c r="E3477" s="605" t="s">
        <v>1039</v>
      </c>
      <c r="F3477" s="605"/>
      <c r="G3477" s="402" t="s">
        <v>4</v>
      </c>
      <c r="H3477" s="403">
        <v>1</v>
      </c>
      <c r="I3477" s="403">
        <v>0</v>
      </c>
      <c r="J3477" s="404">
        <v>16.47</v>
      </c>
      <c r="K3477" s="404">
        <v>16.47</v>
      </c>
      <c r="L3477" s="166"/>
    </row>
    <row r="3478" spans="1:12" ht="30" customHeight="1" x14ac:dyDescent="0.3">
      <c r="A3478" s="405"/>
      <c r="B3478" s="405"/>
      <c r="C3478" s="405"/>
      <c r="D3478" s="405"/>
      <c r="E3478" s="405" t="s">
        <v>1046</v>
      </c>
      <c r="F3478" s="406">
        <v>8.3800000000000008</v>
      </c>
      <c r="G3478" s="405" t="s">
        <v>1047</v>
      </c>
      <c r="H3478" s="406">
        <v>0</v>
      </c>
      <c r="I3478" s="405" t="s">
        <v>1048</v>
      </c>
      <c r="J3478" s="406">
        <v>8.3800000000000008</v>
      </c>
      <c r="K3478"/>
      <c r="L3478" s="166"/>
    </row>
    <row r="3479" spans="1:12" ht="15.6" thickBot="1" x14ac:dyDescent="0.35">
      <c r="A3479" s="405"/>
      <c r="B3479" s="405"/>
      <c r="C3479" s="405"/>
      <c r="D3479" s="405"/>
      <c r="E3479" s="405" t="s">
        <v>1049</v>
      </c>
      <c r="F3479" s="406">
        <v>0</v>
      </c>
      <c r="G3479" s="405"/>
      <c r="H3479" s="606"/>
      <c r="I3479" s="606" t="s">
        <v>1050</v>
      </c>
      <c r="J3479" s="406">
        <v>24.84</v>
      </c>
      <c r="K3479"/>
      <c r="L3479" s="166"/>
    </row>
    <row r="3480" spans="1:12" ht="25.5" customHeight="1" thickTop="1" x14ac:dyDescent="0.3">
      <c r="A3480" s="407"/>
      <c r="B3480" s="407"/>
      <c r="C3480" s="407"/>
      <c r="D3480" s="407"/>
      <c r="E3480" s="407"/>
      <c r="F3480" s="407"/>
      <c r="G3480" s="407"/>
      <c r="H3480" s="407"/>
      <c r="I3480" s="407"/>
      <c r="J3480" s="407"/>
      <c r="K3480" s="407"/>
      <c r="L3480" s="166"/>
    </row>
    <row r="3481" spans="1:12" ht="25.5" customHeight="1" x14ac:dyDescent="0.3">
      <c r="A3481" s="382" t="s">
        <v>2733</v>
      </c>
      <c r="B3481" s="312" t="s">
        <v>413</v>
      </c>
      <c r="C3481" s="382" t="s">
        <v>414</v>
      </c>
      <c r="D3481" s="382" t="s">
        <v>415</v>
      </c>
      <c r="E3481" s="586" t="s">
        <v>1029</v>
      </c>
      <c r="F3481" s="586"/>
      <c r="G3481" s="383" t="s">
        <v>416</v>
      </c>
      <c r="H3481" s="312" t="s">
        <v>1030</v>
      </c>
      <c r="I3481" s="312" t="s">
        <v>3016</v>
      </c>
      <c r="J3481" s="312" t="s">
        <v>1031</v>
      </c>
      <c r="K3481" s="312" t="s">
        <v>1032</v>
      </c>
      <c r="L3481" s="168"/>
    </row>
    <row r="3482" spans="1:12" ht="26.4" x14ac:dyDescent="0.3">
      <c r="A3482" s="313" t="s">
        <v>1033</v>
      </c>
      <c r="B3482" s="315" t="s">
        <v>931</v>
      </c>
      <c r="C3482" s="313" t="s">
        <v>5902</v>
      </c>
      <c r="D3482" s="313" t="s">
        <v>517</v>
      </c>
      <c r="E3482" s="603">
        <v>39.1</v>
      </c>
      <c r="F3482" s="603"/>
      <c r="G3482" s="314" t="s">
        <v>4</v>
      </c>
      <c r="H3482" s="399">
        <v>1</v>
      </c>
      <c r="I3482" s="316"/>
      <c r="J3482" s="316">
        <v>44.26</v>
      </c>
      <c r="K3482" s="316">
        <v>44.26</v>
      </c>
      <c r="L3482" s="170"/>
    </row>
    <row r="3483" spans="1:12" ht="12.75" customHeight="1" x14ac:dyDescent="0.3">
      <c r="A3483" s="400" t="s">
        <v>1038</v>
      </c>
      <c r="B3483" s="401" t="s">
        <v>1051</v>
      </c>
      <c r="C3483" s="400" t="s">
        <v>5902</v>
      </c>
      <c r="D3483" s="400" t="s">
        <v>1052</v>
      </c>
      <c r="E3483" s="605" t="s">
        <v>1053</v>
      </c>
      <c r="F3483" s="605"/>
      <c r="G3483" s="402" t="s">
        <v>6</v>
      </c>
      <c r="H3483" s="403">
        <v>0.2</v>
      </c>
      <c r="I3483" s="403">
        <v>0</v>
      </c>
      <c r="J3483" s="404">
        <v>33.119999999999997</v>
      </c>
      <c r="K3483" s="404">
        <v>6.6239999999999997</v>
      </c>
      <c r="L3483" s="168"/>
    </row>
    <row r="3484" spans="1:12" ht="15" customHeight="1" x14ac:dyDescent="0.3">
      <c r="A3484" s="400" t="s">
        <v>1038</v>
      </c>
      <c r="B3484" s="401" t="s">
        <v>1054</v>
      </c>
      <c r="C3484" s="400" t="s">
        <v>5902</v>
      </c>
      <c r="D3484" s="400" t="s">
        <v>1055</v>
      </c>
      <c r="E3484" s="605" t="s">
        <v>1053</v>
      </c>
      <c r="F3484" s="605"/>
      <c r="G3484" s="402" t="s">
        <v>6</v>
      </c>
      <c r="H3484" s="403">
        <v>0.2</v>
      </c>
      <c r="I3484" s="403">
        <v>0</v>
      </c>
      <c r="J3484" s="404">
        <v>22.71</v>
      </c>
      <c r="K3484" s="404">
        <v>4.5419999999999998</v>
      </c>
      <c r="L3484" s="168"/>
    </row>
    <row r="3485" spans="1:12" ht="14.25" customHeight="1" x14ac:dyDescent="0.3">
      <c r="A3485" s="400" t="s">
        <v>1038</v>
      </c>
      <c r="B3485" s="401" t="s">
        <v>1220</v>
      </c>
      <c r="C3485" s="400" t="s">
        <v>5902</v>
      </c>
      <c r="D3485" s="400" t="s">
        <v>1221</v>
      </c>
      <c r="E3485" s="605" t="s">
        <v>1039</v>
      </c>
      <c r="F3485" s="605"/>
      <c r="G3485" s="402" t="s">
        <v>4</v>
      </c>
      <c r="H3485" s="403">
        <v>1</v>
      </c>
      <c r="I3485" s="403">
        <v>0</v>
      </c>
      <c r="J3485" s="404">
        <v>33.090000000000003</v>
      </c>
      <c r="K3485" s="404">
        <v>33.090000000000003</v>
      </c>
      <c r="L3485" s="168"/>
    </row>
    <row r="3486" spans="1:12" ht="30" customHeight="1" x14ac:dyDescent="0.3">
      <c r="A3486" s="405"/>
      <c r="B3486" s="405"/>
      <c r="C3486" s="405"/>
      <c r="D3486" s="405"/>
      <c r="E3486" s="405" t="s">
        <v>1046</v>
      </c>
      <c r="F3486" s="406">
        <v>11.16</v>
      </c>
      <c r="G3486" s="405" t="s">
        <v>1047</v>
      </c>
      <c r="H3486" s="406">
        <v>0</v>
      </c>
      <c r="I3486" s="405" t="s">
        <v>1048</v>
      </c>
      <c r="J3486" s="406">
        <v>11.16</v>
      </c>
      <c r="K3486"/>
      <c r="L3486" s="166"/>
    </row>
    <row r="3487" spans="1:12" ht="25.5" customHeight="1" thickBot="1" x14ac:dyDescent="0.35">
      <c r="A3487" s="405"/>
      <c r="B3487" s="405"/>
      <c r="C3487" s="405"/>
      <c r="D3487" s="405"/>
      <c r="E3487" s="405" t="s">
        <v>1049</v>
      </c>
      <c r="F3487" s="406">
        <v>0</v>
      </c>
      <c r="G3487" s="405"/>
      <c r="H3487" s="606"/>
      <c r="I3487" s="606" t="s">
        <v>1050</v>
      </c>
      <c r="J3487" s="406">
        <v>44.26</v>
      </c>
      <c r="K3487"/>
      <c r="L3487" s="166"/>
    </row>
    <row r="3488" spans="1:12" ht="15" customHeight="1" thickTop="1" x14ac:dyDescent="0.3">
      <c r="A3488" s="407"/>
      <c r="B3488" s="407"/>
      <c r="C3488" s="407"/>
      <c r="D3488" s="407"/>
      <c r="E3488" s="407"/>
      <c r="F3488" s="407"/>
      <c r="G3488" s="407"/>
      <c r="H3488" s="407"/>
      <c r="I3488" s="407"/>
      <c r="J3488" s="407"/>
      <c r="K3488" s="407"/>
      <c r="L3488" s="168"/>
    </row>
    <row r="3489" spans="1:12" ht="15" x14ac:dyDescent="0.3">
      <c r="A3489" s="382" t="s">
        <v>2735</v>
      </c>
      <c r="B3489" s="312" t="s">
        <v>413</v>
      </c>
      <c r="C3489" s="382" t="s">
        <v>414</v>
      </c>
      <c r="D3489" s="382" t="s">
        <v>415</v>
      </c>
      <c r="E3489" s="586" t="s">
        <v>1029</v>
      </c>
      <c r="F3489" s="586"/>
      <c r="G3489" s="383" t="s">
        <v>416</v>
      </c>
      <c r="H3489" s="312" t="s">
        <v>1030</v>
      </c>
      <c r="I3489" s="312" t="s">
        <v>3016</v>
      </c>
      <c r="J3489" s="312" t="s">
        <v>1031</v>
      </c>
      <c r="K3489" s="312" t="s">
        <v>1032</v>
      </c>
      <c r="L3489" s="168"/>
    </row>
    <row r="3490" spans="1:12" ht="26.4" x14ac:dyDescent="0.3">
      <c r="A3490" s="313" t="s">
        <v>1033</v>
      </c>
      <c r="B3490" s="315" t="s">
        <v>932</v>
      </c>
      <c r="C3490" s="313" t="s">
        <v>5902</v>
      </c>
      <c r="D3490" s="313" t="s">
        <v>519</v>
      </c>
      <c r="E3490" s="603">
        <v>39.1</v>
      </c>
      <c r="F3490" s="603"/>
      <c r="G3490" s="314" t="s">
        <v>4</v>
      </c>
      <c r="H3490" s="399">
        <v>1</v>
      </c>
      <c r="I3490" s="316"/>
      <c r="J3490" s="316">
        <v>58.15</v>
      </c>
      <c r="K3490" s="316">
        <v>58.15</v>
      </c>
      <c r="L3490" s="168"/>
    </row>
    <row r="3491" spans="1:12" ht="17.399999999999999" customHeight="1" x14ac:dyDescent="0.3">
      <c r="A3491" s="400" t="s">
        <v>1038</v>
      </c>
      <c r="B3491" s="401" t="s">
        <v>1051</v>
      </c>
      <c r="C3491" s="400" t="s">
        <v>5902</v>
      </c>
      <c r="D3491" s="400" t="s">
        <v>1052</v>
      </c>
      <c r="E3491" s="605" t="s">
        <v>1053</v>
      </c>
      <c r="F3491" s="605"/>
      <c r="G3491" s="402" t="s">
        <v>6</v>
      </c>
      <c r="H3491" s="403">
        <v>0.2</v>
      </c>
      <c r="I3491" s="403">
        <v>0</v>
      </c>
      <c r="J3491" s="404">
        <v>33.119999999999997</v>
      </c>
      <c r="K3491" s="404">
        <v>6.6239999999999997</v>
      </c>
      <c r="L3491" s="168"/>
    </row>
    <row r="3492" spans="1:12" ht="26.4" x14ac:dyDescent="0.3">
      <c r="A3492" s="400" t="s">
        <v>1038</v>
      </c>
      <c r="B3492" s="401" t="s">
        <v>1054</v>
      </c>
      <c r="C3492" s="400" t="s">
        <v>5902</v>
      </c>
      <c r="D3492" s="400" t="s">
        <v>1055</v>
      </c>
      <c r="E3492" s="605" t="s">
        <v>1053</v>
      </c>
      <c r="F3492" s="605"/>
      <c r="G3492" s="402" t="s">
        <v>6</v>
      </c>
      <c r="H3492" s="403">
        <v>0.2</v>
      </c>
      <c r="I3492" s="403">
        <v>0</v>
      </c>
      <c r="J3492" s="404">
        <v>22.71</v>
      </c>
      <c r="K3492" s="404">
        <v>4.5419999999999998</v>
      </c>
      <c r="L3492" s="166"/>
    </row>
    <row r="3493" spans="1:12" ht="15" customHeight="1" x14ac:dyDescent="0.3">
      <c r="A3493" s="400" t="s">
        <v>1038</v>
      </c>
      <c r="B3493" s="401" t="s">
        <v>1222</v>
      </c>
      <c r="C3493" s="400" t="s">
        <v>5902</v>
      </c>
      <c r="D3493" s="400" t="s">
        <v>1223</v>
      </c>
      <c r="E3493" s="605" t="s">
        <v>1039</v>
      </c>
      <c r="F3493" s="605"/>
      <c r="G3493" s="402" t="s">
        <v>4</v>
      </c>
      <c r="H3493" s="403">
        <v>1</v>
      </c>
      <c r="I3493" s="403">
        <v>0</v>
      </c>
      <c r="J3493" s="404">
        <v>46.98</v>
      </c>
      <c r="K3493" s="404">
        <v>46.98</v>
      </c>
      <c r="L3493" s="168"/>
    </row>
    <row r="3494" spans="1:12" ht="14.25" customHeight="1" x14ac:dyDescent="0.3">
      <c r="A3494" s="405"/>
      <c r="B3494" s="405"/>
      <c r="C3494" s="405"/>
      <c r="D3494" s="405"/>
      <c r="E3494" s="405" t="s">
        <v>1046</v>
      </c>
      <c r="F3494" s="406">
        <v>11.16</v>
      </c>
      <c r="G3494" s="405" t="s">
        <v>1047</v>
      </c>
      <c r="H3494" s="406">
        <v>0</v>
      </c>
      <c r="I3494" s="405" t="s">
        <v>1048</v>
      </c>
      <c r="J3494" s="406">
        <v>11.16</v>
      </c>
      <c r="K3494"/>
      <c r="L3494" s="168"/>
    </row>
    <row r="3495" spans="1:12" ht="30" customHeight="1" thickBot="1" x14ac:dyDescent="0.35">
      <c r="A3495" s="405"/>
      <c r="B3495" s="405"/>
      <c r="C3495" s="405"/>
      <c r="D3495" s="405"/>
      <c r="E3495" s="405" t="s">
        <v>1049</v>
      </c>
      <c r="F3495" s="406">
        <v>0</v>
      </c>
      <c r="G3495" s="405"/>
      <c r="H3495" s="606"/>
      <c r="I3495" s="606" t="s">
        <v>1050</v>
      </c>
      <c r="J3495" s="406">
        <v>58.15</v>
      </c>
      <c r="K3495"/>
      <c r="L3495" s="168"/>
    </row>
    <row r="3496" spans="1:12" ht="30" customHeight="1" thickTop="1" x14ac:dyDescent="0.3">
      <c r="A3496" s="407"/>
      <c r="B3496" s="407"/>
      <c r="C3496" s="407"/>
      <c r="D3496" s="407"/>
      <c r="E3496" s="407"/>
      <c r="F3496" s="407"/>
      <c r="G3496" s="407"/>
      <c r="H3496" s="407"/>
      <c r="I3496" s="407"/>
      <c r="J3496" s="407"/>
      <c r="K3496" s="407"/>
      <c r="L3496" s="166"/>
    </row>
    <row r="3497" spans="1:12" ht="30" customHeight="1" x14ac:dyDescent="0.3">
      <c r="A3497" s="382" t="s">
        <v>2736</v>
      </c>
      <c r="B3497" s="312" t="s">
        <v>413</v>
      </c>
      <c r="C3497" s="382" t="s">
        <v>414</v>
      </c>
      <c r="D3497" s="382" t="s">
        <v>415</v>
      </c>
      <c r="E3497" s="586" t="s">
        <v>1029</v>
      </c>
      <c r="F3497" s="586"/>
      <c r="G3497" s="383" t="s">
        <v>416</v>
      </c>
      <c r="H3497" s="312" t="s">
        <v>1030</v>
      </c>
      <c r="I3497" s="312" t="s">
        <v>3016</v>
      </c>
      <c r="J3497" s="312" t="s">
        <v>1031</v>
      </c>
      <c r="K3497" s="312" t="s">
        <v>1032</v>
      </c>
      <c r="L3497" s="166"/>
    </row>
    <row r="3498" spans="1:12" ht="38.25" customHeight="1" x14ac:dyDescent="0.3">
      <c r="A3498" s="313" t="s">
        <v>1033</v>
      </c>
      <c r="B3498" s="315" t="s">
        <v>3875</v>
      </c>
      <c r="C3498" s="313" t="s">
        <v>395</v>
      </c>
      <c r="D3498" s="313" t="s">
        <v>5990</v>
      </c>
      <c r="E3498" s="603" t="s">
        <v>7872</v>
      </c>
      <c r="F3498" s="603"/>
      <c r="G3498" s="314" t="s">
        <v>7</v>
      </c>
      <c r="H3498" s="399">
        <v>1</v>
      </c>
      <c r="I3498" s="316"/>
      <c r="J3498" s="316">
        <v>29.27</v>
      </c>
      <c r="K3498" s="316">
        <v>29.27</v>
      </c>
      <c r="L3498" s="168"/>
    </row>
    <row r="3499" spans="1:12" ht="25.5" customHeight="1" x14ac:dyDescent="0.3">
      <c r="A3499" s="408" t="s">
        <v>1034</v>
      </c>
      <c r="B3499" s="409" t="s">
        <v>1113</v>
      </c>
      <c r="C3499" s="408" t="s">
        <v>395</v>
      </c>
      <c r="D3499" s="408" t="s">
        <v>129</v>
      </c>
      <c r="E3499" s="604" t="s">
        <v>7768</v>
      </c>
      <c r="F3499" s="604"/>
      <c r="G3499" s="410" t="s">
        <v>6</v>
      </c>
      <c r="H3499" s="412">
        <v>4.82E-2</v>
      </c>
      <c r="I3499" s="412">
        <v>0</v>
      </c>
      <c r="J3499" s="411">
        <v>33.450000000000003</v>
      </c>
      <c r="K3499" s="411">
        <v>1.61229</v>
      </c>
      <c r="L3499" s="168"/>
    </row>
    <row r="3500" spans="1:12" ht="15" customHeight="1" x14ac:dyDescent="0.3">
      <c r="A3500" s="408" t="s">
        <v>1034</v>
      </c>
      <c r="B3500" s="409" t="s">
        <v>1112</v>
      </c>
      <c r="C3500" s="408" t="s">
        <v>395</v>
      </c>
      <c r="D3500" s="408" t="s">
        <v>137</v>
      </c>
      <c r="E3500" s="604" t="s">
        <v>7768</v>
      </c>
      <c r="F3500" s="604"/>
      <c r="G3500" s="410" t="s">
        <v>6</v>
      </c>
      <c r="H3500" s="412">
        <v>4.82E-2</v>
      </c>
      <c r="I3500" s="412">
        <v>0</v>
      </c>
      <c r="J3500" s="411">
        <v>40.299999999999997</v>
      </c>
      <c r="K3500" s="411">
        <v>1.9424600000000001</v>
      </c>
      <c r="L3500" s="168"/>
    </row>
    <row r="3501" spans="1:12" ht="26.4" x14ac:dyDescent="0.3">
      <c r="A3501" s="400" t="s">
        <v>1038</v>
      </c>
      <c r="B3501" s="401" t="s">
        <v>4577</v>
      </c>
      <c r="C3501" s="400" t="s">
        <v>395</v>
      </c>
      <c r="D3501" s="400" t="s">
        <v>4578</v>
      </c>
      <c r="E3501" s="605" t="s">
        <v>1039</v>
      </c>
      <c r="F3501" s="605"/>
      <c r="G3501" s="402" t="s">
        <v>7</v>
      </c>
      <c r="H3501" s="403">
        <v>1.0353000000000001</v>
      </c>
      <c r="I3501" s="403">
        <v>0</v>
      </c>
      <c r="J3501" s="404">
        <v>24.78</v>
      </c>
      <c r="K3501" s="404">
        <v>25.654734000000001</v>
      </c>
      <c r="L3501" s="166"/>
    </row>
    <row r="3502" spans="1:12" ht="14.25" customHeight="1" x14ac:dyDescent="0.3">
      <c r="A3502" s="400" t="s">
        <v>1038</v>
      </c>
      <c r="B3502" s="401" t="s">
        <v>1372</v>
      </c>
      <c r="C3502" s="400" t="s">
        <v>395</v>
      </c>
      <c r="D3502" s="400" t="s">
        <v>266</v>
      </c>
      <c r="E3502" s="605" t="s">
        <v>1039</v>
      </c>
      <c r="F3502" s="605"/>
      <c r="G3502" s="402" t="s">
        <v>4</v>
      </c>
      <c r="H3502" s="403">
        <v>2.7E-2</v>
      </c>
      <c r="I3502" s="403">
        <v>0</v>
      </c>
      <c r="J3502" s="404">
        <v>2.09</v>
      </c>
      <c r="K3502" s="404">
        <v>5.6430000000000001E-2</v>
      </c>
      <c r="L3502" s="166"/>
    </row>
    <row r="3503" spans="1:12" ht="17.399999999999999" customHeight="1" x14ac:dyDescent="0.3">
      <c r="A3503" s="405"/>
      <c r="B3503" s="405"/>
      <c r="C3503" s="405"/>
      <c r="D3503" s="405"/>
      <c r="E3503" s="405" t="s">
        <v>1046</v>
      </c>
      <c r="F3503" s="406">
        <v>2.61</v>
      </c>
      <c r="G3503" s="405" t="s">
        <v>1047</v>
      </c>
      <c r="H3503" s="406">
        <v>0</v>
      </c>
      <c r="I3503" s="405" t="s">
        <v>1048</v>
      </c>
      <c r="J3503" s="406">
        <v>2.61</v>
      </c>
      <c r="K3503"/>
      <c r="L3503" s="166"/>
    </row>
    <row r="3504" spans="1:12" ht="14.25" customHeight="1" thickBot="1" x14ac:dyDescent="0.35">
      <c r="A3504" s="405"/>
      <c r="B3504" s="405"/>
      <c r="C3504" s="405"/>
      <c r="D3504" s="405"/>
      <c r="E3504" s="405" t="s">
        <v>1049</v>
      </c>
      <c r="F3504" s="406">
        <v>0</v>
      </c>
      <c r="G3504" s="405"/>
      <c r="H3504" s="606"/>
      <c r="I3504" s="606" t="s">
        <v>1050</v>
      </c>
      <c r="J3504" s="406">
        <v>29.27</v>
      </c>
      <c r="K3504"/>
      <c r="L3504" s="166"/>
    </row>
    <row r="3505" spans="1:12" ht="25.5" customHeight="1" thickTop="1" x14ac:dyDescent="0.3">
      <c r="A3505" s="407"/>
      <c r="B3505" s="407"/>
      <c r="C3505" s="407"/>
      <c r="D3505" s="407"/>
      <c r="E3505" s="407"/>
      <c r="F3505" s="407"/>
      <c r="G3505" s="407"/>
      <c r="H3505" s="407"/>
      <c r="I3505" s="407"/>
      <c r="J3505" s="407"/>
      <c r="K3505" s="407"/>
      <c r="L3505" s="166"/>
    </row>
    <row r="3506" spans="1:12" ht="25.5" customHeight="1" x14ac:dyDescent="0.3">
      <c r="A3506" s="382" t="s">
        <v>2737</v>
      </c>
      <c r="B3506" s="312" t="s">
        <v>413</v>
      </c>
      <c r="C3506" s="382" t="s">
        <v>414</v>
      </c>
      <c r="D3506" s="382" t="s">
        <v>415</v>
      </c>
      <c r="E3506" s="586" t="s">
        <v>1029</v>
      </c>
      <c r="F3506" s="586"/>
      <c r="G3506" s="383" t="s">
        <v>416</v>
      </c>
      <c r="H3506" s="312" t="s">
        <v>1030</v>
      </c>
      <c r="I3506" s="312" t="s">
        <v>3016</v>
      </c>
      <c r="J3506" s="312" t="s">
        <v>1031</v>
      </c>
      <c r="K3506" s="312" t="s">
        <v>1032</v>
      </c>
      <c r="L3506" s="166"/>
    </row>
    <row r="3507" spans="1:12" ht="25.5" customHeight="1" x14ac:dyDescent="0.3">
      <c r="A3507" s="313" t="s">
        <v>1033</v>
      </c>
      <c r="B3507" s="315" t="s">
        <v>3876</v>
      </c>
      <c r="C3507" s="313" t="s">
        <v>395</v>
      </c>
      <c r="D3507" s="313" t="s">
        <v>5991</v>
      </c>
      <c r="E3507" s="603" t="s">
        <v>7872</v>
      </c>
      <c r="F3507" s="603"/>
      <c r="G3507" s="314" t="s">
        <v>7</v>
      </c>
      <c r="H3507" s="399">
        <v>1</v>
      </c>
      <c r="I3507" s="316"/>
      <c r="J3507" s="316">
        <v>60.7</v>
      </c>
      <c r="K3507" s="316">
        <v>60.7</v>
      </c>
      <c r="L3507" s="166"/>
    </row>
    <row r="3508" spans="1:12" ht="38.25" customHeight="1" x14ac:dyDescent="0.3">
      <c r="A3508" s="408" t="s">
        <v>1034</v>
      </c>
      <c r="B3508" s="409" t="s">
        <v>1113</v>
      </c>
      <c r="C3508" s="408" t="s">
        <v>395</v>
      </c>
      <c r="D3508" s="408" t="s">
        <v>129</v>
      </c>
      <c r="E3508" s="604" t="s">
        <v>7768</v>
      </c>
      <c r="F3508" s="604"/>
      <c r="G3508" s="410" t="s">
        <v>6</v>
      </c>
      <c r="H3508" s="412">
        <v>0.40239999999999998</v>
      </c>
      <c r="I3508" s="412">
        <v>0</v>
      </c>
      <c r="J3508" s="411">
        <v>33.450000000000003</v>
      </c>
      <c r="K3508" s="411">
        <v>13.460279999999999</v>
      </c>
      <c r="L3508" s="168"/>
    </row>
    <row r="3509" spans="1:12" ht="15" customHeight="1" x14ac:dyDescent="0.3">
      <c r="A3509" s="408" t="s">
        <v>1034</v>
      </c>
      <c r="B3509" s="409" t="s">
        <v>1112</v>
      </c>
      <c r="C3509" s="408" t="s">
        <v>395</v>
      </c>
      <c r="D3509" s="408" t="s">
        <v>137</v>
      </c>
      <c r="E3509" s="604" t="s">
        <v>7768</v>
      </c>
      <c r="F3509" s="604"/>
      <c r="G3509" s="410" t="s">
        <v>6</v>
      </c>
      <c r="H3509" s="412">
        <v>0.40239999999999998</v>
      </c>
      <c r="I3509" s="412">
        <v>0</v>
      </c>
      <c r="J3509" s="411">
        <v>40.299999999999997</v>
      </c>
      <c r="K3509" s="411">
        <v>16.216719999999999</v>
      </c>
      <c r="L3509" s="170"/>
    </row>
    <row r="3510" spans="1:12" ht="26.4" x14ac:dyDescent="0.3">
      <c r="A3510" s="400" t="s">
        <v>1038</v>
      </c>
      <c r="B3510" s="401" t="s">
        <v>4417</v>
      </c>
      <c r="C3510" s="400" t="s">
        <v>395</v>
      </c>
      <c r="D3510" s="400" t="s">
        <v>4418</v>
      </c>
      <c r="E3510" s="605" t="s">
        <v>1039</v>
      </c>
      <c r="F3510" s="605"/>
      <c r="G3510" s="402" t="s">
        <v>7</v>
      </c>
      <c r="H3510" s="403">
        <v>1.0353000000000001</v>
      </c>
      <c r="I3510" s="403">
        <v>0</v>
      </c>
      <c r="J3510" s="404">
        <v>29.92</v>
      </c>
      <c r="K3510" s="404">
        <v>30.976175999999999</v>
      </c>
      <c r="L3510" s="168"/>
    </row>
    <row r="3511" spans="1:12" ht="14.25" customHeight="1" x14ac:dyDescent="0.3">
      <c r="A3511" s="400" t="s">
        <v>1038</v>
      </c>
      <c r="B3511" s="401" t="s">
        <v>1372</v>
      </c>
      <c r="C3511" s="400" t="s">
        <v>395</v>
      </c>
      <c r="D3511" s="400" t="s">
        <v>266</v>
      </c>
      <c r="E3511" s="605" t="s">
        <v>1039</v>
      </c>
      <c r="F3511" s="605"/>
      <c r="G3511" s="402" t="s">
        <v>4</v>
      </c>
      <c r="H3511" s="403">
        <v>2.24E-2</v>
      </c>
      <c r="I3511" s="403">
        <v>0</v>
      </c>
      <c r="J3511" s="404">
        <v>2.09</v>
      </c>
      <c r="K3511" s="404">
        <v>4.6816000000000003E-2</v>
      </c>
      <c r="L3511" s="168"/>
    </row>
    <row r="3512" spans="1:12" ht="25.5" customHeight="1" x14ac:dyDescent="0.3">
      <c r="A3512" s="405"/>
      <c r="B3512" s="405"/>
      <c r="C3512" s="405"/>
      <c r="D3512" s="405"/>
      <c r="E3512" s="405" t="s">
        <v>1046</v>
      </c>
      <c r="F3512" s="406">
        <v>21.85</v>
      </c>
      <c r="G3512" s="405" t="s">
        <v>1047</v>
      </c>
      <c r="H3512" s="406">
        <v>0.01</v>
      </c>
      <c r="I3512" s="405" t="s">
        <v>1048</v>
      </c>
      <c r="J3512" s="406">
        <v>21.86</v>
      </c>
      <c r="K3512"/>
      <c r="L3512" s="168"/>
    </row>
    <row r="3513" spans="1:12" ht="15.6" thickBot="1" x14ac:dyDescent="0.35">
      <c r="A3513" s="405"/>
      <c r="B3513" s="405"/>
      <c r="C3513" s="405"/>
      <c r="D3513" s="405"/>
      <c r="E3513" s="405" t="s">
        <v>1049</v>
      </c>
      <c r="F3513" s="406">
        <v>0</v>
      </c>
      <c r="G3513" s="405"/>
      <c r="H3513" s="606"/>
      <c r="I3513" s="606" t="s">
        <v>1050</v>
      </c>
      <c r="J3513" s="406">
        <v>60.7</v>
      </c>
      <c r="K3513"/>
      <c r="L3513" s="166"/>
    </row>
    <row r="3514" spans="1:12" ht="15" customHeight="1" thickTop="1" x14ac:dyDescent="0.3">
      <c r="A3514" s="407"/>
      <c r="B3514" s="407"/>
      <c r="C3514" s="407"/>
      <c r="D3514" s="407"/>
      <c r="E3514" s="407"/>
      <c r="F3514" s="407"/>
      <c r="G3514" s="407"/>
      <c r="H3514" s="407"/>
      <c r="I3514" s="407"/>
      <c r="J3514" s="407"/>
      <c r="K3514" s="407"/>
      <c r="L3514" s="166"/>
    </row>
    <row r="3515" spans="1:12" ht="15" customHeight="1" x14ac:dyDescent="0.3">
      <c r="A3515" s="382" t="s">
        <v>2738</v>
      </c>
      <c r="B3515" s="312" t="s">
        <v>413</v>
      </c>
      <c r="C3515" s="382" t="s">
        <v>414</v>
      </c>
      <c r="D3515" s="382" t="s">
        <v>415</v>
      </c>
      <c r="E3515" s="586" t="s">
        <v>1029</v>
      </c>
      <c r="F3515" s="586"/>
      <c r="G3515" s="383" t="s">
        <v>416</v>
      </c>
      <c r="H3515" s="312" t="s">
        <v>1030</v>
      </c>
      <c r="I3515" s="312" t="s">
        <v>3016</v>
      </c>
      <c r="J3515" s="312" t="s">
        <v>1031</v>
      </c>
      <c r="K3515" s="312" t="s">
        <v>1032</v>
      </c>
      <c r="L3515" s="168"/>
    </row>
    <row r="3516" spans="1:12" ht="30" customHeight="1" x14ac:dyDescent="0.3">
      <c r="A3516" s="313" t="s">
        <v>1033</v>
      </c>
      <c r="B3516" s="315" t="s">
        <v>3877</v>
      </c>
      <c r="C3516" s="313" t="s">
        <v>395</v>
      </c>
      <c r="D3516" s="313" t="s">
        <v>5992</v>
      </c>
      <c r="E3516" s="603" t="s">
        <v>7872</v>
      </c>
      <c r="F3516" s="603"/>
      <c r="G3516" s="314" t="s">
        <v>7</v>
      </c>
      <c r="H3516" s="399">
        <v>1</v>
      </c>
      <c r="I3516" s="316"/>
      <c r="J3516" s="316">
        <v>75.25</v>
      </c>
      <c r="K3516" s="316">
        <v>75.25</v>
      </c>
      <c r="L3516" s="168"/>
    </row>
    <row r="3517" spans="1:12" ht="15" customHeight="1" x14ac:dyDescent="0.3">
      <c r="A3517" s="408" t="s">
        <v>1034</v>
      </c>
      <c r="B3517" s="409" t="s">
        <v>1113</v>
      </c>
      <c r="C3517" s="408" t="s">
        <v>395</v>
      </c>
      <c r="D3517" s="408" t="s">
        <v>129</v>
      </c>
      <c r="E3517" s="604" t="s">
        <v>7768</v>
      </c>
      <c r="F3517" s="604"/>
      <c r="G3517" s="410" t="s">
        <v>6</v>
      </c>
      <c r="H3517" s="412">
        <v>0.13089999999999999</v>
      </c>
      <c r="I3517" s="412">
        <v>0</v>
      </c>
      <c r="J3517" s="411">
        <v>33.450000000000003</v>
      </c>
      <c r="K3517" s="411">
        <v>4.3786050000000003</v>
      </c>
      <c r="L3517" s="168"/>
    </row>
    <row r="3518" spans="1:12" ht="26.4" x14ac:dyDescent="0.3">
      <c r="A3518" s="408" t="s">
        <v>1034</v>
      </c>
      <c r="B3518" s="409" t="s">
        <v>1112</v>
      </c>
      <c r="C3518" s="408" t="s">
        <v>395</v>
      </c>
      <c r="D3518" s="408" t="s">
        <v>137</v>
      </c>
      <c r="E3518" s="604" t="s">
        <v>7768</v>
      </c>
      <c r="F3518" s="604"/>
      <c r="G3518" s="410" t="s">
        <v>6</v>
      </c>
      <c r="H3518" s="412">
        <v>0.13089999999999999</v>
      </c>
      <c r="I3518" s="412">
        <v>0</v>
      </c>
      <c r="J3518" s="411">
        <v>40.299999999999997</v>
      </c>
      <c r="K3518" s="411">
        <v>5.2752699999999999</v>
      </c>
      <c r="L3518" s="168"/>
    </row>
    <row r="3519" spans="1:12" ht="38.25" customHeight="1" x14ac:dyDescent="0.3">
      <c r="A3519" s="400" t="s">
        <v>1038</v>
      </c>
      <c r="B3519" s="401" t="s">
        <v>4272</v>
      </c>
      <c r="C3519" s="400" t="s">
        <v>395</v>
      </c>
      <c r="D3519" s="400" t="s">
        <v>4273</v>
      </c>
      <c r="E3519" s="605" t="s">
        <v>1039</v>
      </c>
      <c r="F3519" s="605"/>
      <c r="G3519" s="402" t="s">
        <v>7</v>
      </c>
      <c r="H3519" s="403">
        <v>1.0353000000000001</v>
      </c>
      <c r="I3519" s="403">
        <v>0</v>
      </c>
      <c r="J3519" s="404">
        <v>63.21</v>
      </c>
      <c r="K3519" s="404">
        <v>65.441312999999994</v>
      </c>
      <c r="L3519" s="166"/>
    </row>
    <row r="3520" spans="1:12" ht="25.5" customHeight="1" x14ac:dyDescent="0.3">
      <c r="A3520" s="400" t="s">
        <v>1038</v>
      </c>
      <c r="B3520" s="401" t="s">
        <v>1372</v>
      </c>
      <c r="C3520" s="400" t="s">
        <v>395</v>
      </c>
      <c r="D3520" s="400" t="s">
        <v>266</v>
      </c>
      <c r="E3520" s="605" t="s">
        <v>1039</v>
      </c>
      <c r="F3520" s="605"/>
      <c r="G3520" s="402" t="s">
        <v>4</v>
      </c>
      <c r="H3520" s="403">
        <v>7.2999999999999995E-2</v>
      </c>
      <c r="I3520" s="403">
        <v>0</v>
      </c>
      <c r="J3520" s="404">
        <v>2.09</v>
      </c>
      <c r="K3520" s="404">
        <v>0.15257000000000001</v>
      </c>
      <c r="L3520" s="168"/>
    </row>
    <row r="3521" spans="1:12" ht="15" customHeight="1" x14ac:dyDescent="0.3">
      <c r="A3521" s="405"/>
      <c r="B3521" s="405"/>
      <c r="C3521" s="405"/>
      <c r="D3521" s="405"/>
      <c r="E3521" s="405" t="s">
        <v>1046</v>
      </c>
      <c r="F3521" s="406">
        <v>7.11</v>
      </c>
      <c r="G3521" s="405" t="s">
        <v>1047</v>
      </c>
      <c r="H3521" s="406">
        <v>0</v>
      </c>
      <c r="I3521" s="405" t="s">
        <v>1048</v>
      </c>
      <c r="J3521" s="406">
        <v>7.11</v>
      </c>
      <c r="K3521"/>
      <c r="L3521" s="168"/>
    </row>
    <row r="3522" spans="1:12" ht="14.25" customHeight="1" thickBot="1" x14ac:dyDescent="0.35">
      <c r="A3522" s="405"/>
      <c r="B3522" s="405"/>
      <c r="C3522" s="405"/>
      <c r="D3522" s="405"/>
      <c r="E3522" s="405" t="s">
        <v>1049</v>
      </c>
      <c r="F3522" s="406">
        <v>0</v>
      </c>
      <c r="G3522" s="405"/>
      <c r="H3522" s="606"/>
      <c r="I3522" s="606" t="s">
        <v>1050</v>
      </c>
      <c r="J3522" s="406">
        <v>75.25</v>
      </c>
      <c r="K3522"/>
      <c r="L3522" s="168"/>
    </row>
    <row r="3523" spans="1:12" ht="15.6" thickTop="1" x14ac:dyDescent="0.3">
      <c r="A3523" s="407"/>
      <c r="B3523" s="407"/>
      <c r="C3523" s="407"/>
      <c r="D3523" s="407"/>
      <c r="E3523" s="407"/>
      <c r="F3523" s="407"/>
      <c r="G3523" s="407"/>
      <c r="H3523" s="407"/>
      <c r="I3523" s="407"/>
      <c r="J3523" s="407"/>
      <c r="K3523" s="407"/>
      <c r="L3523" s="166"/>
    </row>
    <row r="3524" spans="1:12" ht="15" customHeight="1" x14ac:dyDescent="0.3">
      <c r="A3524" s="382" t="s">
        <v>2739</v>
      </c>
      <c r="B3524" s="312" t="s">
        <v>413</v>
      </c>
      <c r="C3524" s="382" t="s">
        <v>414</v>
      </c>
      <c r="D3524" s="382" t="s">
        <v>415</v>
      </c>
      <c r="E3524" s="586" t="s">
        <v>1029</v>
      </c>
      <c r="F3524" s="586"/>
      <c r="G3524" s="383" t="s">
        <v>416</v>
      </c>
      <c r="H3524" s="312" t="s">
        <v>1030</v>
      </c>
      <c r="I3524" s="312" t="s">
        <v>3016</v>
      </c>
      <c r="J3524" s="312" t="s">
        <v>1031</v>
      </c>
      <c r="K3524" s="312" t="s">
        <v>1032</v>
      </c>
      <c r="L3524" s="166"/>
    </row>
    <row r="3525" spans="1:12" ht="30" customHeight="1" x14ac:dyDescent="0.3">
      <c r="A3525" s="313" t="s">
        <v>1033</v>
      </c>
      <c r="B3525" s="315" t="s">
        <v>3878</v>
      </c>
      <c r="C3525" s="313" t="s">
        <v>395</v>
      </c>
      <c r="D3525" s="313" t="s">
        <v>5993</v>
      </c>
      <c r="E3525" s="603" t="s">
        <v>7872</v>
      </c>
      <c r="F3525" s="603"/>
      <c r="G3525" s="314" t="s">
        <v>4</v>
      </c>
      <c r="H3525" s="399">
        <v>1</v>
      </c>
      <c r="I3525" s="316"/>
      <c r="J3525" s="316">
        <v>38.590000000000003</v>
      </c>
      <c r="K3525" s="316">
        <v>38.590000000000003</v>
      </c>
      <c r="L3525" s="168"/>
    </row>
    <row r="3526" spans="1:12" ht="25.5" customHeight="1" x14ac:dyDescent="0.3">
      <c r="A3526" s="408" t="s">
        <v>1034</v>
      </c>
      <c r="B3526" s="409" t="s">
        <v>1113</v>
      </c>
      <c r="C3526" s="408" t="s">
        <v>395</v>
      </c>
      <c r="D3526" s="408" t="s">
        <v>129</v>
      </c>
      <c r="E3526" s="604" t="s">
        <v>7768</v>
      </c>
      <c r="F3526" s="604"/>
      <c r="G3526" s="410" t="s">
        <v>6</v>
      </c>
      <c r="H3526" s="412">
        <v>0.17369999999999999</v>
      </c>
      <c r="I3526" s="412">
        <v>0</v>
      </c>
      <c r="J3526" s="411">
        <v>33.450000000000003</v>
      </c>
      <c r="K3526" s="411">
        <v>5.8102650000000002</v>
      </c>
      <c r="L3526" s="168"/>
    </row>
    <row r="3527" spans="1:12" ht="25.5" customHeight="1" x14ac:dyDescent="0.3">
      <c r="A3527" s="408" t="s">
        <v>1034</v>
      </c>
      <c r="B3527" s="409" t="s">
        <v>1112</v>
      </c>
      <c r="C3527" s="408" t="s">
        <v>395</v>
      </c>
      <c r="D3527" s="408" t="s">
        <v>137</v>
      </c>
      <c r="E3527" s="604" t="s">
        <v>7768</v>
      </c>
      <c r="F3527" s="604"/>
      <c r="G3527" s="410" t="s">
        <v>6</v>
      </c>
      <c r="H3527" s="412">
        <v>0.17369999999999999</v>
      </c>
      <c r="I3527" s="412">
        <v>0</v>
      </c>
      <c r="J3527" s="411">
        <v>40.299999999999997</v>
      </c>
      <c r="K3527" s="411">
        <v>7.0001100000000003</v>
      </c>
      <c r="L3527" s="168"/>
    </row>
    <row r="3528" spans="1:12" ht="26.4" x14ac:dyDescent="0.3">
      <c r="A3528" s="400" t="s">
        <v>1038</v>
      </c>
      <c r="B3528" s="401" t="s">
        <v>4476</v>
      </c>
      <c r="C3528" s="400" t="s">
        <v>395</v>
      </c>
      <c r="D3528" s="400" t="s">
        <v>4477</v>
      </c>
      <c r="E3528" s="605" t="s">
        <v>1039</v>
      </c>
      <c r="F3528" s="605"/>
      <c r="G3528" s="402" t="s">
        <v>4</v>
      </c>
      <c r="H3528" s="403">
        <v>2</v>
      </c>
      <c r="I3528" s="403">
        <v>0</v>
      </c>
      <c r="J3528" s="404">
        <v>2.69</v>
      </c>
      <c r="K3528" s="404">
        <v>5.38</v>
      </c>
      <c r="L3528" s="166"/>
    </row>
    <row r="3529" spans="1:12" ht="26.4" x14ac:dyDescent="0.3">
      <c r="A3529" s="400" t="s">
        <v>1038</v>
      </c>
      <c r="B3529" s="401" t="s">
        <v>1338</v>
      </c>
      <c r="C3529" s="400" t="s">
        <v>395</v>
      </c>
      <c r="D3529" s="400" t="s">
        <v>345</v>
      </c>
      <c r="E3529" s="605" t="s">
        <v>1039</v>
      </c>
      <c r="F3529" s="605"/>
      <c r="G3529" s="402" t="s">
        <v>4</v>
      </c>
      <c r="H3529" s="403">
        <v>7.4999999999999997E-2</v>
      </c>
      <c r="I3529" s="403">
        <v>0</v>
      </c>
      <c r="J3529" s="404">
        <v>32.67</v>
      </c>
      <c r="K3529" s="404">
        <v>2.45025</v>
      </c>
      <c r="L3529" s="166"/>
    </row>
    <row r="3530" spans="1:12" ht="14.25" customHeight="1" x14ac:dyDescent="0.3">
      <c r="A3530" s="400" t="s">
        <v>1038</v>
      </c>
      <c r="B3530" s="401" t="s">
        <v>4597</v>
      </c>
      <c r="C3530" s="400" t="s">
        <v>395</v>
      </c>
      <c r="D3530" s="400" t="s">
        <v>4598</v>
      </c>
      <c r="E3530" s="605" t="s">
        <v>1039</v>
      </c>
      <c r="F3530" s="605"/>
      <c r="G3530" s="402" t="s">
        <v>4</v>
      </c>
      <c r="H3530" s="403">
        <v>1</v>
      </c>
      <c r="I3530" s="403">
        <v>0</v>
      </c>
      <c r="J3530" s="404">
        <v>17.95</v>
      </c>
      <c r="K3530" s="404">
        <v>17.95</v>
      </c>
      <c r="L3530" s="166"/>
    </row>
    <row r="3531" spans="1:12" ht="17.399999999999999" customHeight="1" x14ac:dyDescent="0.3">
      <c r="A3531" s="405"/>
      <c r="B3531" s="405"/>
      <c r="C3531" s="405"/>
      <c r="D3531" s="405"/>
      <c r="E3531" s="405" t="s">
        <v>1046</v>
      </c>
      <c r="F3531" s="406">
        <v>9.43</v>
      </c>
      <c r="G3531" s="405" t="s">
        <v>1047</v>
      </c>
      <c r="H3531" s="406">
        <v>0</v>
      </c>
      <c r="I3531" s="405" t="s">
        <v>1048</v>
      </c>
      <c r="J3531" s="406">
        <v>9.43</v>
      </c>
      <c r="K3531"/>
      <c r="L3531" s="166"/>
    </row>
    <row r="3532" spans="1:12" ht="15" customHeight="1" thickBot="1" x14ac:dyDescent="0.35">
      <c r="A3532" s="405"/>
      <c r="B3532" s="405"/>
      <c r="C3532" s="405"/>
      <c r="D3532" s="405"/>
      <c r="E3532" s="405" t="s">
        <v>1049</v>
      </c>
      <c r="F3532" s="406">
        <v>0</v>
      </c>
      <c r="G3532" s="405"/>
      <c r="H3532" s="606"/>
      <c r="I3532" s="606" t="s">
        <v>1050</v>
      </c>
      <c r="J3532" s="406">
        <v>38.590000000000003</v>
      </c>
      <c r="K3532"/>
      <c r="L3532" s="166"/>
    </row>
    <row r="3533" spans="1:12" ht="15.6" thickTop="1" x14ac:dyDescent="0.3">
      <c r="A3533" s="407"/>
      <c r="B3533" s="407"/>
      <c r="C3533" s="407"/>
      <c r="D3533" s="407"/>
      <c r="E3533" s="407"/>
      <c r="F3533" s="407"/>
      <c r="G3533" s="407"/>
      <c r="H3533" s="407"/>
      <c r="I3533" s="407"/>
      <c r="J3533" s="407"/>
      <c r="K3533" s="407"/>
      <c r="L3533" s="166"/>
    </row>
    <row r="3534" spans="1:12" ht="25.5" customHeight="1" x14ac:dyDescent="0.3">
      <c r="A3534" s="382" t="s">
        <v>2740</v>
      </c>
      <c r="B3534" s="312" t="s">
        <v>413</v>
      </c>
      <c r="C3534" s="382" t="s">
        <v>414</v>
      </c>
      <c r="D3534" s="382" t="s">
        <v>415</v>
      </c>
      <c r="E3534" s="586" t="s">
        <v>1029</v>
      </c>
      <c r="F3534" s="586"/>
      <c r="G3534" s="383" t="s">
        <v>416</v>
      </c>
      <c r="H3534" s="312" t="s">
        <v>1030</v>
      </c>
      <c r="I3534" s="312" t="s">
        <v>3016</v>
      </c>
      <c r="J3534" s="312" t="s">
        <v>1031</v>
      </c>
      <c r="K3534" s="312" t="s">
        <v>1032</v>
      </c>
      <c r="L3534" s="166"/>
    </row>
    <row r="3535" spans="1:12" ht="12.75" customHeight="1" x14ac:dyDescent="0.3">
      <c r="A3535" s="313" t="s">
        <v>1033</v>
      </c>
      <c r="B3535" s="315" t="s">
        <v>3879</v>
      </c>
      <c r="C3535" s="313" t="s">
        <v>395</v>
      </c>
      <c r="D3535" s="313" t="s">
        <v>5994</v>
      </c>
      <c r="E3535" s="603" t="s">
        <v>7872</v>
      </c>
      <c r="F3535" s="603"/>
      <c r="G3535" s="314" t="s">
        <v>4</v>
      </c>
      <c r="H3535" s="399">
        <v>1</v>
      </c>
      <c r="I3535" s="316"/>
      <c r="J3535" s="316">
        <v>51.59</v>
      </c>
      <c r="K3535" s="316">
        <v>51.59</v>
      </c>
      <c r="L3535" s="168"/>
    </row>
    <row r="3536" spans="1:12" ht="26.4" x14ac:dyDescent="0.3">
      <c r="A3536" s="408" t="s">
        <v>1034</v>
      </c>
      <c r="B3536" s="409" t="s">
        <v>1113</v>
      </c>
      <c r="C3536" s="408" t="s">
        <v>395</v>
      </c>
      <c r="D3536" s="408" t="s">
        <v>129</v>
      </c>
      <c r="E3536" s="604" t="s">
        <v>7768</v>
      </c>
      <c r="F3536" s="604"/>
      <c r="G3536" s="410" t="s">
        <v>6</v>
      </c>
      <c r="H3536" s="412">
        <v>0.27289999999999998</v>
      </c>
      <c r="I3536" s="412">
        <v>0</v>
      </c>
      <c r="J3536" s="411">
        <v>33.450000000000003</v>
      </c>
      <c r="K3536" s="411">
        <v>9.1285050000000005</v>
      </c>
      <c r="L3536" s="170"/>
    </row>
    <row r="3537" spans="1:12" ht="26.4" x14ac:dyDescent="0.3">
      <c r="A3537" s="408" t="s">
        <v>1034</v>
      </c>
      <c r="B3537" s="409" t="s">
        <v>1112</v>
      </c>
      <c r="C3537" s="408" t="s">
        <v>395</v>
      </c>
      <c r="D3537" s="408" t="s">
        <v>137</v>
      </c>
      <c r="E3537" s="604" t="s">
        <v>7768</v>
      </c>
      <c r="F3537" s="604"/>
      <c r="G3537" s="410" t="s">
        <v>6</v>
      </c>
      <c r="H3537" s="412">
        <v>0.27289999999999998</v>
      </c>
      <c r="I3537" s="412">
        <v>0</v>
      </c>
      <c r="J3537" s="411">
        <v>40.299999999999997</v>
      </c>
      <c r="K3537" s="411">
        <v>10.997870000000001</v>
      </c>
      <c r="L3537" s="168"/>
    </row>
    <row r="3538" spans="1:12" ht="15" customHeight="1" x14ac:dyDescent="0.3">
      <c r="A3538" s="400" t="s">
        <v>1038</v>
      </c>
      <c r="B3538" s="401" t="s">
        <v>6794</v>
      </c>
      <c r="C3538" s="400" t="s">
        <v>395</v>
      </c>
      <c r="D3538" s="400" t="s">
        <v>6795</v>
      </c>
      <c r="E3538" s="605" t="s">
        <v>1039</v>
      </c>
      <c r="F3538" s="605"/>
      <c r="G3538" s="402" t="s">
        <v>4</v>
      </c>
      <c r="H3538" s="403">
        <v>2</v>
      </c>
      <c r="I3538" s="403">
        <v>0</v>
      </c>
      <c r="J3538" s="404">
        <v>3.51</v>
      </c>
      <c r="K3538" s="404">
        <v>7.02</v>
      </c>
      <c r="L3538" s="168"/>
    </row>
    <row r="3539" spans="1:12" ht="38.25" customHeight="1" x14ac:dyDescent="0.3">
      <c r="A3539" s="400" t="s">
        <v>1038</v>
      </c>
      <c r="B3539" s="401" t="s">
        <v>1338</v>
      </c>
      <c r="C3539" s="400" t="s">
        <v>395</v>
      </c>
      <c r="D3539" s="400" t="s">
        <v>345</v>
      </c>
      <c r="E3539" s="605" t="s">
        <v>1039</v>
      </c>
      <c r="F3539" s="605"/>
      <c r="G3539" s="402" t="s">
        <v>4</v>
      </c>
      <c r="H3539" s="403">
        <v>0.115</v>
      </c>
      <c r="I3539" s="403">
        <v>0</v>
      </c>
      <c r="J3539" s="404">
        <v>32.67</v>
      </c>
      <c r="K3539" s="404">
        <v>3.75705</v>
      </c>
      <c r="L3539" s="168"/>
    </row>
    <row r="3540" spans="1:12" ht="38.25" customHeight="1" x14ac:dyDescent="0.3">
      <c r="A3540" s="400" t="s">
        <v>1038</v>
      </c>
      <c r="B3540" s="401" t="s">
        <v>4471</v>
      </c>
      <c r="C3540" s="400" t="s">
        <v>395</v>
      </c>
      <c r="D3540" s="400" t="s">
        <v>4472</v>
      </c>
      <c r="E3540" s="605" t="s">
        <v>1039</v>
      </c>
      <c r="F3540" s="605"/>
      <c r="G3540" s="402" t="s">
        <v>4</v>
      </c>
      <c r="H3540" s="403">
        <v>1</v>
      </c>
      <c r="I3540" s="403">
        <v>0</v>
      </c>
      <c r="J3540" s="404">
        <v>20.69</v>
      </c>
      <c r="K3540" s="404">
        <v>20.69</v>
      </c>
      <c r="L3540" s="166"/>
    </row>
    <row r="3541" spans="1:12" ht="14.25" customHeight="1" x14ac:dyDescent="0.3">
      <c r="A3541" s="405"/>
      <c r="B3541" s="405"/>
      <c r="C3541" s="405"/>
      <c r="D3541" s="405"/>
      <c r="E3541" s="405" t="s">
        <v>1046</v>
      </c>
      <c r="F3541" s="406">
        <v>14.82</v>
      </c>
      <c r="G3541" s="405" t="s">
        <v>1047</v>
      </c>
      <c r="H3541" s="406">
        <v>0.01</v>
      </c>
      <c r="I3541" s="405" t="s">
        <v>1048</v>
      </c>
      <c r="J3541" s="406">
        <v>14.83</v>
      </c>
      <c r="K3541"/>
      <c r="L3541" s="166"/>
    </row>
    <row r="3542" spans="1:12" ht="15" customHeight="1" thickBot="1" x14ac:dyDescent="0.35">
      <c r="A3542" s="405"/>
      <c r="B3542" s="405"/>
      <c r="C3542" s="405"/>
      <c r="D3542" s="405"/>
      <c r="E3542" s="405" t="s">
        <v>1049</v>
      </c>
      <c r="F3542" s="406">
        <v>0</v>
      </c>
      <c r="G3542" s="405"/>
      <c r="H3542" s="606"/>
      <c r="I3542" s="606" t="s">
        <v>1050</v>
      </c>
      <c r="J3542" s="406">
        <v>51.59</v>
      </c>
      <c r="K3542"/>
      <c r="L3542" s="168"/>
    </row>
    <row r="3543" spans="1:12" ht="25.5" customHeight="1" thickTop="1" x14ac:dyDescent="0.3">
      <c r="A3543" s="407"/>
      <c r="B3543" s="407"/>
      <c r="C3543" s="407"/>
      <c r="D3543" s="407"/>
      <c r="E3543" s="407"/>
      <c r="F3543" s="407"/>
      <c r="G3543" s="407"/>
      <c r="H3543" s="407"/>
      <c r="I3543" s="407"/>
      <c r="J3543" s="407"/>
      <c r="K3543" s="407"/>
      <c r="L3543" s="168"/>
    </row>
    <row r="3544" spans="1:12" ht="25.5" customHeight="1" x14ac:dyDescent="0.3">
      <c r="A3544" s="382" t="s">
        <v>2741</v>
      </c>
      <c r="B3544" s="312" t="s">
        <v>413</v>
      </c>
      <c r="C3544" s="382" t="s">
        <v>414</v>
      </c>
      <c r="D3544" s="382" t="s">
        <v>415</v>
      </c>
      <c r="E3544" s="586" t="s">
        <v>1029</v>
      </c>
      <c r="F3544" s="586"/>
      <c r="G3544" s="383" t="s">
        <v>416</v>
      </c>
      <c r="H3544" s="312" t="s">
        <v>1030</v>
      </c>
      <c r="I3544" s="312" t="s">
        <v>3016</v>
      </c>
      <c r="J3544" s="312" t="s">
        <v>1031</v>
      </c>
      <c r="K3544" s="312" t="s">
        <v>1032</v>
      </c>
      <c r="L3544" s="168"/>
    </row>
    <row r="3545" spans="1:12" ht="38.25" customHeight="1" x14ac:dyDescent="0.3">
      <c r="A3545" s="313" t="s">
        <v>1033</v>
      </c>
      <c r="B3545" s="315" t="s">
        <v>3880</v>
      </c>
      <c r="C3545" s="313" t="s">
        <v>395</v>
      </c>
      <c r="D3545" s="313" t="s">
        <v>5995</v>
      </c>
      <c r="E3545" s="603" t="s">
        <v>7872</v>
      </c>
      <c r="F3545" s="603"/>
      <c r="G3545" s="314" t="s">
        <v>4</v>
      </c>
      <c r="H3545" s="399">
        <v>1</v>
      </c>
      <c r="I3545" s="316"/>
      <c r="J3545" s="316">
        <v>146.91</v>
      </c>
      <c r="K3545" s="316">
        <v>146.91</v>
      </c>
      <c r="L3545" s="168"/>
    </row>
    <row r="3546" spans="1:12" ht="25.5" customHeight="1" x14ac:dyDescent="0.3">
      <c r="A3546" s="408" t="s">
        <v>1034</v>
      </c>
      <c r="B3546" s="409" t="s">
        <v>1113</v>
      </c>
      <c r="C3546" s="408" t="s">
        <v>395</v>
      </c>
      <c r="D3546" s="408" t="s">
        <v>129</v>
      </c>
      <c r="E3546" s="604" t="s">
        <v>7768</v>
      </c>
      <c r="F3546" s="604"/>
      <c r="G3546" s="410" t="s">
        <v>6</v>
      </c>
      <c r="H3546" s="412">
        <v>0.4713</v>
      </c>
      <c r="I3546" s="412">
        <v>0</v>
      </c>
      <c r="J3546" s="411">
        <v>33.450000000000003</v>
      </c>
      <c r="K3546" s="411">
        <v>15.764984999999999</v>
      </c>
      <c r="L3546" s="166"/>
    </row>
    <row r="3547" spans="1:12" ht="15" customHeight="1" x14ac:dyDescent="0.3">
      <c r="A3547" s="408" t="s">
        <v>1034</v>
      </c>
      <c r="B3547" s="409" t="s">
        <v>1112</v>
      </c>
      <c r="C3547" s="408" t="s">
        <v>395</v>
      </c>
      <c r="D3547" s="408" t="s">
        <v>137</v>
      </c>
      <c r="E3547" s="604" t="s">
        <v>7768</v>
      </c>
      <c r="F3547" s="604"/>
      <c r="G3547" s="410" t="s">
        <v>6</v>
      </c>
      <c r="H3547" s="412">
        <v>0.4713</v>
      </c>
      <c r="I3547" s="412">
        <v>0</v>
      </c>
      <c r="J3547" s="411">
        <v>40.299999999999997</v>
      </c>
      <c r="K3547" s="411">
        <v>18.993390000000002</v>
      </c>
      <c r="L3547" s="168"/>
    </row>
    <row r="3548" spans="1:12" ht="26.4" x14ac:dyDescent="0.3">
      <c r="A3548" s="400" t="s">
        <v>1038</v>
      </c>
      <c r="B3548" s="401" t="s">
        <v>2577</v>
      </c>
      <c r="C3548" s="400" t="s">
        <v>395</v>
      </c>
      <c r="D3548" s="400" t="s">
        <v>235</v>
      </c>
      <c r="E3548" s="605" t="s">
        <v>1039</v>
      </c>
      <c r="F3548" s="605"/>
      <c r="G3548" s="402" t="s">
        <v>4</v>
      </c>
      <c r="H3548" s="403">
        <v>2</v>
      </c>
      <c r="I3548" s="403">
        <v>0</v>
      </c>
      <c r="J3548" s="404">
        <v>12.13</v>
      </c>
      <c r="K3548" s="404">
        <v>24.26</v>
      </c>
      <c r="L3548" s="168"/>
    </row>
    <row r="3549" spans="1:12" ht="15" customHeight="1" x14ac:dyDescent="0.3">
      <c r="A3549" s="400" t="s">
        <v>1038</v>
      </c>
      <c r="B3549" s="401" t="s">
        <v>1338</v>
      </c>
      <c r="C3549" s="400" t="s">
        <v>395</v>
      </c>
      <c r="D3549" s="400" t="s">
        <v>345</v>
      </c>
      <c r="E3549" s="605" t="s">
        <v>1039</v>
      </c>
      <c r="F3549" s="605"/>
      <c r="G3549" s="402" t="s">
        <v>4</v>
      </c>
      <c r="H3549" s="403">
        <v>0.17499999999999999</v>
      </c>
      <c r="I3549" s="403">
        <v>0</v>
      </c>
      <c r="J3549" s="404">
        <v>32.67</v>
      </c>
      <c r="K3549" s="404">
        <v>5.7172499999999999</v>
      </c>
      <c r="L3549" s="168"/>
    </row>
    <row r="3550" spans="1:12" ht="17.399999999999999" customHeight="1" x14ac:dyDescent="0.3">
      <c r="A3550" s="400" t="s">
        <v>1038</v>
      </c>
      <c r="B3550" s="401" t="s">
        <v>4236</v>
      </c>
      <c r="C3550" s="400" t="s">
        <v>395</v>
      </c>
      <c r="D3550" s="400" t="s">
        <v>4237</v>
      </c>
      <c r="E3550" s="605" t="s">
        <v>1039</v>
      </c>
      <c r="F3550" s="605"/>
      <c r="G3550" s="402" t="s">
        <v>4</v>
      </c>
      <c r="H3550" s="403">
        <v>1</v>
      </c>
      <c r="I3550" s="403">
        <v>0</v>
      </c>
      <c r="J3550" s="404">
        <v>82.17</v>
      </c>
      <c r="K3550" s="404">
        <v>82.17</v>
      </c>
      <c r="L3550" s="166"/>
    </row>
    <row r="3551" spans="1:12" ht="15" customHeight="1" x14ac:dyDescent="0.3">
      <c r="A3551" s="405"/>
      <c r="B3551" s="405"/>
      <c r="C3551" s="405"/>
      <c r="D3551" s="405"/>
      <c r="E3551" s="405" t="s">
        <v>1046</v>
      </c>
      <c r="F3551" s="406">
        <v>25.59</v>
      </c>
      <c r="G3551" s="405" t="s">
        <v>1047</v>
      </c>
      <c r="H3551" s="406">
        <v>0</v>
      </c>
      <c r="I3551" s="405" t="s">
        <v>1048</v>
      </c>
      <c r="J3551" s="406">
        <v>25.59</v>
      </c>
      <c r="K3551"/>
      <c r="L3551" s="166"/>
    </row>
    <row r="3552" spans="1:12" ht="25.5" customHeight="1" thickBot="1" x14ac:dyDescent="0.35">
      <c r="A3552" s="405"/>
      <c r="B3552" s="405"/>
      <c r="C3552" s="405"/>
      <c r="D3552" s="405"/>
      <c r="E3552" s="405" t="s">
        <v>1049</v>
      </c>
      <c r="F3552" s="406">
        <v>0</v>
      </c>
      <c r="G3552" s="405"/>
      <c r="H3552" s="606"/>
      <c r="I3552" s="606" t="s">
        <v>1050</v>
      </c>
      <c r="J3552" s="406">
        <v>146.91</v>
      </c>
      <c r="K3552"/>
      <c r="L3552" s="168"/>
    </row>
    <row r="3553" spans="1:12" ht="25.5" customHeight="1" thickTop="1" x14ac:dyDescent="0.3">
      <c r="A3553" s="407"/>
      <c r="B3553" s="407"/>
      <c r="C3553" s="407"/>
      <c r="D3553" s="407"/>
      <c r="E3553" s="407"/>
      <c r="F3553" s="407"/>
      <c r="G3553" s="407"/>
      <c r="H3553" s="407"/>
      <c r="I3553" s="407"/>
      <c r="J3553" s="407"/>
      <c r="K3553" s="407"/>
      <c r="L3553" s="168"/>
    </row>
    <row r="3554" spans="1:12" ht="15" customHeight="1" x14ac:dyDescent="0.3">
      <c r="A3554" s="382" t="s">
        <v>2742</v>
      </c>
      <c r="B3554" s="312" t="s">
        <v>413</v>
      </c>
      <c r="C3554" s="382" t="s">
        <v>414</v>
      </c>
      <c r="D3554" s="382" t="s">
        <v>415</v>
      </c>
      <c r="E3554" s="586" t="s">
        <v>1029</v>
      </c>
      <c r="F3554" s="586"/>
      <c r="G3554" s="383" t="s">
        <v>416</v>
      </c>
      <c r="H3554" s="312" t="s">
        <v>1030</v>
      </c>
      <c r="I3554" s="312" t="s">
        <v>3016</v>
      </c>
      <c r="J3554" s="312" t="s">
        <v>1031</v>
      </c>
      <c r="K3554" s="312" t="s">
        <v>1032</v>
      </c>
      <c r="L3554" s="168"/>
    </row>
    <row r="3555" spans="1:12" ht="38.25" customHeight="1" x14ac:dyDescent="0.3">
      <c r="A3555" s="313" t="s">
        <v>1033</v>
      </c>
      <c r="B3555" s="315" t="s">
        <v>3881</v>
      </c>
      <c r="C3555" s="313" t="s">
        <v>395</v>
      </c>
      <c r="D3555" s="313" t="s">
        <v>5996</v>
      </c>
      <c r="E3555" s="603" t="s">
        <v>7872</v>
      </c>
      <c r="F3555" s="603"/>
      <c r="G3555" s="314" t="s">
        <v>4</v>
      </c>
      <c r="H3555" s="399">
        <v>1</v>
      </c>
      <c r="I3555" s="316"/>
      <c r="J3555" s="316">
        <v>39.07</v>
      </c>
      <c r="K3555" s="316">
        <v>39.07</v>
      </c>
      <c r="L3555" s="166"/>
    </row>
    <row r="3556" spans="1:12" ht="15" customHeight="1" x14ac:dyDescent="0.3">
      <c r="A3556" s="408" t="s">
        <v>1034</v>
      </c>
      <c r="B3556" s="409" t="s">
        <v>1113</v>
      </c>
      <c r="C3556" s="408" t="s">
        <v>395</v>
      </c>
      <c r="D3556" s="408" t="s">
        <v>129</v>
      </c>
      <c r="E3556" s="604" t="s">
        <v>7768</v>
      </c>
      <c r="F3556" s="604"/>
      <c r="G3556" s="410" t="s">
        <v>6</v>
      </c>
      <c r="H3556" s="412">
        <v>0.17369999999999999</v>
      </c>
      <c r="I3556" s="412">
        <v>0</v>
      </c>
      <c r="J3556" s="411">
        <v>33.450000000000003</v>
      </c>
      <c r="K3556" s="411">
        <v>5.8102650000000002</v>
      </c>
      <c r="L3556" s="166"/>
    </row>
    <row r="3557" spans="1:12" ht="26.4" x14ac:dyDescent="0.3">
      <c r="A3557" s="408" t="s">
        <v>1034</v>
      </c>
      <c r="B3557" s="409" t="s">
        <v>1112</v>
      </c>
      <c r="C3557" s="408" t="s">
        <v>395</v>
      </c>
      <c r="D3557" s="408" t="s">
        <v>137</v>
      </c>
      <c r="E3557" s="604" t="s">
        <v>7768</v>
      </c>
      <c r="F3557" s="604"/>
      <c r="G3557" s="410" t="s">
        <v>6</v>
      </c>
      <c r="H3557" s="412">
        <v>0.17369999999999999</v>
      </c>
      <c r="I3557" s="412">
        <v>0</v>
      </c>
      <c r="J3557" s="411">
        <v>40.299999999999997</v>
      </c>
      <c r="K3557" s="411">
        <v>7.0001100000000003</v>
      </c>
      <c r="L3557" s="166"/>
    </row>
    <row r="3558" spans="1:12" ht="25.5" customHeight="1" x14ac:dyDescent="0.3">
      <c r="A3558" s="400" t="s">
        <v>1038</v>
      </c>
      <c r="B3558" s="401" t="s">
        <v>4476</v>
      </c>
      <c r="C3558" s="400" t="s">
        <v>395</v>
      </c>
      <c r="D3558" s="400" t="s">
        <v>4477</v>
      </c>
      <c r="E3558" s="605" t="s">
        <v>1039</v>
      </c>
      <c r="F3558" s="605"/>
      <c r="G3558" s="402" t="s">
        <v>4</v>
      </c>
      <c r="H3558" s="403">
        <v>2</v>
      </c>
      <c r="I3558" s="403">
        <v>0</v>
      </c>
      <c r="J3558" s="404">
        <v>2.69</v>
      </c>
      <c r="K3558" s="404">
        <v>5.38</v>
      </c>
      <c r="L3558" s="166"/>
    </row>
    <row r="3559" spans="1:12" ht="25.5" customHeight="1" x14ac:dyDescent="0.3">
      <c r="A3559" s="400" t="s">
        <v>1038</v>
      </c>
      <c r="B3559" s="401" t="s">
        <v>1338</v>
      </c>
      <c r="C3559" s="400" t="s">
        <v>395</v>
      </c>
      <c r="D3559" s="400" t="s">
        <v>345</v>
      </c>
      <c r="E3559" s="605" t="s">
        <v>1039</v>
      </c>
      <c r="F3559" s="605"/>
      <c r="G3559" s="402" t="s">
        <v>4</v>
      </c>
      <c r="H3559" s="403">
        <v>7.4999999999999997E-2</v>
      </c>
      <c r="I3559" s="403">
        <v>0</v>
      </c>
      <c r="J3559" s="404">
        <v>32.67</v>
      </c>
      <c r="K3559" s="404">
        <v>2.45025</v>
      </c>
      <c r="L3559" s="166"/>
    </row>
    <row r="3560" spans="1:12" ht="26.4" x14ac:dyDescent="0.3">
      <c r="A3560" s="400" t="s">
        <v>1038</v>
      </c>
      <c r="B3560" s="401" t="s">
        <v>4629</v>
      </c>
      <c r="C3560" s="400" t="s">
        <v>395</v>
      </c>
      <c r="D3560" s="400" t="s">
        <v>4630</v>
      </c>
      <c r="E3560" s="605" t="s">
        <v>1039</v>
      </c>
      <c r="F3560" s="605"/>
      <c r="G3560" s="402" t="s">
        <v>4</v>
      </c>
      <c r="H3560" s="403">
        <v>1</v>
      </c>
      <c r="I3560" s="403">
        <v>0</v>
      </c>
      <c r="J3560" s="404">
        <v>18.43</v>
      </c>
      <c r="K3560" s="404">
        <v>18.43</v>
      </c>
      <c r="L3560" s="166"/>
    </row>
    <row r="3561" spans="1:12" ht="15" x14ac:dyDescent="0.3">
      <c r="A3561" s="405"/>
      <c r="B3561" s="405"/>
      <c r="C3561" s="405"/>
      <c r="D3561" s="405"/>
      <c r="E3561" s="405" t="s">
        <v>1046</v>
      </c>
      <c r="F3561" s="406">
        <v>9.43</v>
      </c>
      <c r="G3561" s="405" t="s">
        <v>1047</v>
      </c>
      <c r="H3561" s="406">
        <v>0</v>
      </c>
      <c r="I3561" s="405" t="s">
        <v>1048</v>
      </c>
      <c r="J3561" s="406">
        <v>9.43</v>
      </c>
      <c r="K3561"/>
      <c r="L3561" s="166"/>
    </row>
    <row r="3562" spans="1:12" ht="14.25" customHeight="1" thickBot="1" x14ac:dyDescent="0.35">
      <c r="A3562" s="405"/>
      <c r="B3562" s="405"/>
      <c r="C3562" s="405"/>
      <c r="D3562" s="405"/>
      <c r="E3562" s="405" t="s">
        <v>1049</v>
      </c>
      <c r="F3562" s="406">
        <v>0</v>
      </c>
      <c r="G3562" s="405"/>
      <c r="H3562" s="606"/>
      <c r="I3562" s="606" t="s">
        <v>1050</v>
      </c>
      <c r="J3562" s="406">
        <v>39.07</v>
      </c>
      <c r="K3562"/>
      <c r="L3562" s="168"/>
    </row>
    <row r="3563" spans="1:12" ht="14.25" customHeight="1" thickTop="1" x14ac:dyDescent="0.3">
      <c r="A3563" s="407"/>
      <c r="B3563" s="407"/>
      <c r="C3563" s="407"/>
      <c r="D3563" s="407"/>
      <c r="E3563" s="407"/>
      <c r="F3563" s="407"/>
      <c r="G3563" s="407"/>
      <c r="H3563" s="407"/>
      <c r="I3563" s="407"/>
      <c r="J3563" s="407"/>
      <c r="K3563" s="407"/>
      <c r="L3563" s="170"/>
    </row>
    <row r="3564" spans="1:12" ht="15" customHeight="1" x14ac:dyDescent="0.3">
      <c r="A3564" s="382" t="s">
        <v>2743</v>
      </c>
      <c r="B3564" s="312" t="s">
        <v>413</v>
      </c>
      <c r="C3564" s="382" t="s">
        <v>414</v>
      </c>
      <c r="D3564" s="382" t="s">
        <v>415</v>
      </c>
      <c r="E3564" s="586" t="s">
        <v>1029</v>
      </c>
      <c r="F3564" s="586"/>
      <c r="G3564" s="383" t="s">
        <v>416</v>
      </c>
      <c r="H3564" s="312" t="s">
        <v>1030</v>
      </c>
      <c r="I3564" s="312" t="s">
        <v>3016</v>
      </c>
      <c r="J3564" s="312" t="s">
        <v>1031</v>
      </c>
      <c r="K3564" s="312" t="s">
        <v>1032</v>
      </c>
      <c r="L3564" s="168"/>
    </row>
    <row r="3565" spans="1:12" ht="15" customHeight="1" x14ac:dyDescent="0.3">
      <c r="A3565" s="313" t="s">
        <v>1033</v>
      </c>
      <c r="B3565" s="315" t="s">
        <v>3882</v>
      </c>
      <c r="C3565" s="313" t="s">
        <v>395</v>
      </c>
      <c r="D3565" s="313" t="s">
        <v>5997</v>
      </c>
      <c r="E3565" s="603" t="s">
        <v>7872</v>
      </c>
      <c r="F3565" s="603"/>
      <c r="G3565" s="314" t="s">
        <v>4</v>
      </c>
      <c r="H3565" s="399">
        <v>1</v>
      </c>
      <c r="I3565" s="316"/>
      <c r="J3565" s="316">
        <v>52.68</v>
      </c>
      <c r="K3565" s="316">
        <v>52.68</v>
      </c>
      <c r="L3565" s="168"/>
    </row>
    <row r="3566" spans="1:12" ht="38.25" customHeight="1" x14ac:dyDescent="0.3">
      <c r="A3566" s="408" t="s">
        <v>1034</v>
      </c>
      <c r="B3566" s="409" t="s">
        <v>1113</v>
      </c>
      <c r="C3566" s="408" t="s">
        <v>395</v>
      </c>
      <c r="D3566" s="408" t="s">
        <v>129</v>
      </c>
      <c r="E3566" s="604" t="s">
        <v>7768</v>
      </c>
      <c r="F3566" s="604"/>
      <c r="G3566" s="410" t="s">
        <v>6</v>
      </c>
      <c r="H3566" s="412">
        <v>0.27289999999999998</v>
      </c>
      <c r="I3566" s="412">
        <v>0</v>
      </c>
      <c r="J3566" s="411">
        <v>33.450000000000003</v>
      </c>
      <c r="K3566" s="411">
        <v>9.1285050000000005</v>
      </c>
      <c r="L3566" s="168"/>
    </row>
    <row r="3567" spans="1:12" ht="25.5" customHeight="1" x14ac:dyDescent="0.3">
      <c r="A3567" s="408" t="s">
        <v>1034</v>
      </c>
      <c r="B3567" s="409" t="s">
        <v>1112</v>
      </c>
      <c r="C3567" s="408" t="s">
        <v>395</v>
      </c>
      <c r="D3567" s="408" t="s">
        <v>137</v>
      </c>
      <c r="E3567" s="604" t="s">
        <v>7768</v>
      </c>
      <c r="F3567" s="604"/>
      <c r="G3567" s="410" t="s">
        <v>6</v>
      </c>
      <c r="H3567" s="412">
        <v>0.27289999999999998</v>
      </c>
      <c r="I3567" s="412">
        <v>0</v>
      </c>
      <c r="J3567" s="411">
        <v>40.299999999999997</v>
      </c>
      <c r="K3567" s="411">
        <v>10.997870000000001</v>
      </c>
      <c r="L3567" s="166"/>
    </row>
    <row r="3568" spans="1:12" ht="25.5" customHeight="1" x14ac:dyDescent="0.3">
      <c r="A3568" s="400" t="s">
        <v>1038</v>
      </c>
      <c r="B3568" s="401" t="s">
        <v>6794</v>
      </c>
      <c r="C3568" s="400" t="s">
        <v>395</v>
      </c>
      <c r="D3568" s="400" t="s">
        <v>6795</v>
      </c>
      <c r="E3568" s="605" t="s">
        <v>1039</v>
      </c>
      <c r="F3568" s="605"/>
      <c r="G3568" s="402" t="s">
        <v>4</v>
      </c>
      <c r="H3568" s="403">
        <v>2</v>
      </c>
      <c r="I3568" s="403">
        <v>0</v>
      </c>
      <c r="J3568" s="404">
        <v>3.51</v>
      </c>
      <c r="K3568" s="404">
        <v>7.02</v>
      </c>
      <c r="L3568" s="166"/>
    </row>
    <row r="3569" spans="1:12" ht="35.1" customHeight="1" x14ac:dyDescent="0.3">
      <c r="A3569" s="400" t="s">
        <v>1038</v>
      </c>
      <c r="B3569" s="401" t="s">
        <v>1338</v>
      </c>
      <c r="C3569" s="400" t="s">
        <v>395</v>
      </c>
      <c r="D3569" s="400" t="s">
        <v>345</v>
      </c>
      <c r="E3569" s="605" t="s">
        <v>1039</v>
      </c>
      <c r="F3569" s="605"/>
      <c r="G3569" s="402" t="s">
        <v>4</v>
      </c>
      <c r="H3569" s="403">
        <v>0.115</v>
      </c>
      <c r="I3569" s="403">
        <v>0</v>
      </c>
      <c r="J3569" s="404">
        <v>32.67</v>
      </c>
      <c r="K3569" s="404">
        <v>3.75705</v>
      </c>
      <c r="L3569" s="168"/>
    </row>
    <row r="3570" spans="1:12" ht="26.4" x14ac:dyDescent="0.3">
      <c r="A3570" s="400" t="s">
        <v>1038</v>
      </c>
      <c r="B3570" s="401" t="s">
        <v>4556</v>
      </c>
      <c r="C3570" s="400" t="s">
        <v>395</v>
      </c>
      <c r="D3570" s="400" t="s">
        <v>4557</v>
      </c>
      <c r="E3570" s="605" t="s">
        <v>1039</v>
      </c>
      <c r="F3570" s="605"/>
      <c r="G3570" s="402" t="s">
        <v>4</v>
      </c>
      <c r="H3570" s="403">
        <v>1</v>
      </c>
      <c r="I3570" s="403">
        <v>0</v>
      </c>
      <c r="J3570" s="404">
        <v>21.78</v>
      </c>
      <c r="K3570" s="404">
        <v>21.78</v>
      </c>
      <c r="L3570" s="168"/>
    </row>
    <row r="3571" spans="1:12" ht="15" x14ac:dyDescent="0.3">
      <c r="A3571" s="405"/>
      <c r="B3571" s="405"/>
      <c r="C3571" s="405"/>
      <c r="D3571" s="405"/>
      <c r="E3571" s="405" t="s">
        <v>1046</v>
      </c>
      <c r="F3571" s="406">
        <v>14.82</v>
      </c>
      <c r="G3571" s="405" t="s">
        <v>1047</v>
      </c>
      <c r="H3571" s="406">
        <v>0.01</v>
      </c>
      <c r="I3571" s="405" t="s">
        <v>1048</v>
      </c>
      <c r="J3571" s="406">
        <v>14.83</v>
      </c>
      <c r="K3571"/>
      <c r="L3571" s="168"/>
    </row>
    <row r="3572" spans="1:12" ht="15" customHeight="1" thickBot="1" x14ac:dyDescent="0.35">
      <c r="A3572" s="405"/>
      <c r="B3572" s="405"/>
      <c r="C3572" s="405"/>
      <c r="D3572" s="405"/>
      <c r="E3572" s="405" t="s">
        <v>1049</v>
      </c>
      <c r="F3572" s="406">
        <v>0</v>
      </c>
      <c r="G3572" s="405"/>
      <c r="H3572" s="606"/>
      <c r="I3572" s="606" t="s">
        <v>1050</v>
      </c>
      <c r="J3572" s="406">
        <v>52.68</v>
      </c>
      <c r="K3572"/>
      <c r="L3572" s="168"/>
    </row>
    <row r="3573" spans="1:12" ht="14.25" customHeight="1" thickTop="1" x14ac:dyDescent="0.3">
      <c r="A3573" s="407"/>
      <c r="B3573" s="407"/>
      <c r="C3573" s="407"/>
      <c r="D3573" s="407"/>
      <c r="E3573" s="407"/>
      <c r="F3573" s="407"/>
      <c r="G3573" s="407"/>
      <c r="H3573" s="407"/>
      <c r="I3573" s="407"/>
      <c r="J3573" s="407"/>
      <c r="K3573" s="407"/>
      <c r="L3573" s="166"/>
    </row>
    <row r="3574" spans="1:12" ht="14.25" customHeight="1" x14ac:dyDescent="0.3">
      <c r="A3574" s="382" t="s">
        <v>2744</v>
      </c>
      <c r="B3574" s="312" t="s">
        <v>413</v>
      </c>
      <c r="C3574" s="382" t="s">
        <v>414</v>
      </c>
      <c r="D3574" s="382" t="s">
        <v>415</v>
      </c>
      <c r="E3574" s="586" t="s">
        <v>1029</v>
      </c>
      <c r="F3574" s="586"/>
      <c r="G3574" s="383" t="s">
        <v>416</v>
      </c>
      <c r="H3574" s="312" t="s">
        <v>1030</v>
      </c>
      <c r="I3574" s="312" t="s">
        <v>3016</v>
      </c>
      <c r="J3574" s="312" t="s">
        <v>1031</v>
      </c>
      <c r="K3574" s="312" t="s">
        <v>1032</v>
      </c>
      <c r="L3574" s="168"/>
    </row>
    <row r="3575" spans="1:12" ht="39.6" x14ac:dyDescent="0.3">
      <c r="A3575" s="313" t="s">
        <v>1033</v>
      </c>
      <c r="B3575" s="315" t="s">
        <v>3883</v>
      </c>
      <c r="C3575" s="313" t="s">
        <v>395</v>
      </c>
      <c r="D3575" s="313" t="s">
        <v>5998</v>
      </c>
      <c r="E3575" s="603" t="s">
        <v>7872</v>
      </c>
      <c r="F3575" s="603"/>
      <c r="G3575" s="314" t="s">
        <v>4</v>
      </c>
      <c r="H3575" s="399">
        <v>1</v>
      </c>
      <c r="I3575" s="316"/>
      <c r="J3575" s="316">
        <v>143.57</v>
      </c>
      <c r="K3575" s="316">
        <v>143.57</v>
      </c>
      <c r="L3575" s="168"/>
    </row>
    <row r="3576" spans="1:12" ht="17.399999999999999" customHeight="1" x14ac:dyDescent="0.3">
      <c r="A3576" s="408" t="s">
        <v>1034</v>
      </c>
      <c r="B3576" s="409" t="s">
        <v>1113</v>
      </c>
      <c r="C3576" s="408" t="s">
        <v>395</v>
      </c>
      <c r="D3576" s="408" t="s">
        <v>129</v>
      </c>
      <c r="E3576" s="604" t="s">
        <v>7768</v>
      </c>
      <c r="F3576" s="604"/>
      <c r="G3576" s="410" t="s">
        <v>6</v>
      </c>
      <c r="H3576" s="412">
        <v>0.4713</v>
      </c>
      <c r="I3576" s="412">
        <v>0</v>
      </c>
      <c r="J3576" s="411">
        <v>33.450000000000003</v>
      </c>
      <c r="K3576" s="411">
        <v>15.764984999999999</v>
      </c>
      <c r="L3576" s="168"/>
    </row>
    <row r="3577" spans="1:12" ht="25.5" customHeight="1" x14ac:dyDescent="0.3">
      <c r="A3577" s="408" t="s">
        <v>1034</v>
      </c>
      <c r="B3577" s="409" t="s">
        <v>1112</v>
      </c>
      <c r="C3577" s="408" t="s">
        <v>395</v>
      </c>
      <c r="D3577" s="408" t="s">
        <v>137</v>
      </c>
      <c r="E3577" s="604" t="s">
        <v>7768</v>
      </c>
      <c r="F3577" s="604"/>
      <c r="G3577" s="410" t="s">
        <v>6</v>
      </c>
      <c r="H3577" s="412">
        <v>0.4713</v>
      </c>
      <c r="I3577" s="412">
        <v>0</v>
      </c>
      <c r="J3577" s="411">
        <v>40.299999999999997</v>
      </c>
      <c r="K3577" s="411">
        <v>18.993390000000002</v>
      </c>
      <c r="L3577" s="166"/>
    </row>
    <row r="3578" spans="1:12" ht="25.5" customHeight="1" x14ac:dyDescent="0.3">
      <c r="A3578" s="400" t="s">
        <v>1038</v>
      </c>
      <c r="B3578" s="401" t="s">
        <v>2577</v>
      </c>
      <c r="C3578" s="400" t="s">
        <v>395</v>
      </c>
      <c r="D3578" s="400" t="s">
        <v>235</v>
      </c>
      <c r="E3578" s="605" t="s">
        <v>1039</v>
      </c>
      <c r="F3578" s="605"/>
      <c r="G3578" s="402" t="s">
        <v>4</v>
      </c>
      <c r="H3578" s="403">
        <v>2</v>
      </c>
      <c r="I3578" s="403">
        <v>0</v>
      </c>
      <c r="J3578" s="404">
        <v>12.13</v>
      </c>
      <c r="K3578" s="404">
        <v>24.26</v>
      </c>
      <c r="L3578" s="166"/>
    </row>
    <row r="3579" spans="1:12" ht="15" customHeight="1" x14ac:dyDescent="0.3">
      <c r="A3579" s="400" t="s">
        <v>1038</v>
      </c>
      <c r="B3579" s="401" t="s">
        <v>1338</v>
      </c>
      <c r="C3579" s="400" t="s">
        <v>395</v>
      </c>
      <c r="D3579" s="400" t="s">
        <v>345</v>
      </c>
      <c r="E3579" s="605" t="s">
        <v>1039</v>
      </c>
      <c r="F3579" s="605"/>
      <c r="G3579" s="402" t="s">
        <v>4</v>
      </c>
      <c r="H3579" s="403">
        <v>0.17499999999999999</v>
      </c>
      <c r="I3579" s="403">
        <v>0</v>
      </c>
      <c r="J3579" s="404">
        <v>32.67</v>
      </c>
      <c r="K3579" s="404">
        <v>5.7172499999999999</v>
      </c>
      <c r="L3579" s="168"/>
    </row>
    <row r="3580" spans="1:12" ht="26.4" x14ac:dyDescent="0.3">
      <c r="A3580" s="400" t="s">
        <v>1038</v>
      </c>
      <c r="B3580" s="401" t="s">
        <v>4262</v>
      </c>
      <c r="C3580" s="400" t="s">
        <v>395</v>
      </c>
      <c r="D3580" s="400" t="s">
        <v>4263</v>
      </c>
      <c r="E3580" s="605" t="s">
        <v>1039</v>
      </c>
      <c r="F3580" s="605"/>
      <c r="G3580" s="402" t="s">
        <v>4</v>
      </c>
      <c r="H3580" s="403">
        <v>1</v>
      </c>
      <c r="I3580" s="403">
        <v>0</v>
      </c>
      <c r="J3580" s="404">
        <v>78.83</v>
      </c>
      <c r="K3580" s="404">
        <v>78.83</v>
      </c>
      <c r="L3580" s="168"/>
    </row>
    <row r="3581" spans="1:12" ht="15" customHeight="1" x14ac:dyDescent="0.3">
      <c r="A3581" s="405"/>
      <c r="B3581" s="405"/>
      <c r="C3581" s="405"/>
      <c r="D3581" s="405"/>
      <c r="E3581" s="405" t="s">
        <v>1046</v>
      </c>
      <c r="F3581" s="406">
        <v>25.59</v>
      </c>
      <c r="G3581" s="405" t="s">
        <v>1047</v>
      </c>
      <c r="H3581" s="406">
        <v>0</v>
      </c>
      <c r="I3581" s="405" t="s">
        <v>1048</v>
      </c>
      <c r="J3581" s="406">
        <v>25.59</v>
      </c>
      <c r="K3581"/>
      <c r="L3581" s="168"/>
    </row>
    <row r="3582" spans="1:12" ht="14.25" customHeight="1" thickBot="1" x14ac:dyDescent="0.35">
      <c r="A3582" s="405"/>
      <c r="B3582" s="405"/>
      <c r="C3582" s="405"/>
      <c r="D3582" s="405"/>
      <c r="E3582" s="405" t="s">
        <v>1049</v>
      </c>
      <c r="F3582" s="406">
        <v>0</v>
      </c>
      <c r="G3582" s="405"/>
      <c r="H3582" s="606"/>
      <c r="I3582" s="606" t="s">
        <v>1050</v>
      </c>
      <c r="J3582" s="406">
        <v>143.57</v>
      </c>
      <c r="K3582"/>
      <c r="L3582" s="166"/>
    </row>
    <row r="3583" spans="1:12" ht="15.6" thickTop="1" x14ac:dyDescent="0.3">
      <c r="A3583" s="407"/>
      <c r="B3583" s="407"/>
      <c r="C3583" s="407"/>
      <c r="D3583" s="407"/>
      <c r="E3583" s="407"/>
      <c r="F3583" s="407"/>
      <c r="G3583" s="407"/>
      <c r="H3583" s="407"/>
      <c r="I3583" s="407"/>
      <c r="J3583" s="407"/>
      <c r="K3583" s="407"/>
      <c r="L3583" s="166"/>
    </row>
    <row r="3584" spans="1:12" ht="15" x14ac:dyDescent="0.3">
      <c r="A3584" s="382" t="s">
        <v>2745</v>
      </c>
      <c r="B3584" s="312" t="s">
        <v>413</v>
      </c>
      <c r="C3584" s="382" t="s">
        <v>414</v>
      </c>
      <c r="D3584" s="382" t="s">
        <v>415</v>
      </c>
      <c r="E3584" s="586" t="s">
        <v>1029</v>
      </c>
      <c r="F3584" s="586"/>
      <c r="G3584" s="383" t="s">
        <v>416</v>
      </c>
      <c r="H3584" s="312" t="s">
        <v>1030</v>
      </c>
      <c r="I3584" s="312" t="s">
        <v>3016</v>
      </c>
      <c r="J3584" s="312" t="s">
        <v>1031</v>
      </c>
      <c r="K3584" s="312" t="s">
        <v>1032</v>
      </c>
      <c r="L3584" s="166"/>
    </row>
    <row r="3585" spans="1:12" ht="15" customHeight="1" x14ac:dyDescent="0.3">
      <c r="A3585" s="313" t="s">
        <v>1033</v>
      </c>
      <c r="B3585" s="315" t="s">
        <v>3884</v>
      </c>
      <c r="C3585" s="313" t="s">
        <v>395</v>
      </c>
      <c r="D3585" s="313" t="s">
        <v>5999</v>
      </c>
      <c r="E3585" s="603" t="s">
        <v>7872</v>
      </c>
      <c r="F3585" s="603"/>
      <c r="G3585" s="314" t="s">
        <v>4</v>
      </c>
      <c r="H3585" s="399">
        <v>1</v>
      </c>
      <c r="I3585" s="316"/>
      <c r="J3585" s="316">
        <v>68.209999999999994</v>
      </c>
      <c r="K3585" s="316">
        <v>68.209999999999994</v>
      </c>
      <c r="L3585" s="166"/>
    </row>
    <row r="3586" spans="1:12" ht="15" customHeight="1" x14ac:dyDescent="0.3">
      <c r="A3586" s="408" t="s">
        <v>1034</v>
      </c>
      <c r="B3586" s="409" t="s">
        <v>1113</v>
      </c>
      <c r="C3586" s="408" t="s">
        <v>395</v>
      </c>
      <c r="D3586" s="408" t="s">
        <v>129</v>
      </c>
      <c r="E3586" s="604" t="s">
        <v>7768</v>
      </c>
      <c r="F3586" s="604"/>
      <c r="G3586" s="410" t="s">
        <v>6</v>
      </c>
      <c r="H3586" s="412">
        <v>0.2316</v>
      </c>
      <c r="I3586" s="412">
        <v>0</v>
      </c>
      <c r="J3586" s="411">
        <v>33.450000000000003</v>
      </c>
      <c r="K3586" s="411">
        <v>7.74702</v>
      </c>
      <c r="L3586" s="166"/>
    </row>
    <row r="3587" spans="1:12" ht="38.25" customHeight="1" x14ac:dyDescent="0.3">
      <c r="A3587" s="408" t="s">
        <v>1034</v>
      </c>
      <c r="B3587" s="409" t="s">
        <v>1112</v>
      </c>
      <c r="C3587" s="408" t="s">
        <v>395</v>
      </c>
      <c r="D3587" s="408" t="s">
        <v>137</v>
      </c>
      <c r="E3587" s="604" t="s">
        <v>7768</v>
      </c>
      <c r="F3587" s="604"/>
      <c r="G3587" s="410" t="s">
        <v>6</v>
      </c>
      <c r="H3587" s="412">
        <v>0.2316</v>
      </c>
      <c r="I3587" s="412">
        <v>0</v>
      </c>
      <c r="J3587" s="411">
        <v>40.299999999999997</v>
      </c>
      <c r="K3587" s="411">
        <v>9.3334799999999998</v>
      </c>
      <c r="L3587" s="166"/>
    </row>
    <row r="3588" spans="1:12" ht="26.4" x14ac:dyDescent="0.3">
      <c r="A3588" s="400" t="s">
        <v>1038</v>
      </c>
      <c r="B3588" s="401" t="s">
        <v>4476</v>
      </c>
      <c r="C3588" s="400" t="s">
        <v>395</v>
      </c>
      <c r="D3588" s="400" t="s">
        <v>4477</v>
      </c>
      <c r="E3588" s="605" t="s">
        <v>1039</v>
      </c>
      <c r="F3588" s="605"/>
      <c r="G3588" s="402" t="s">
        <v>4</v>
      </c>
      <c r="H3588" s="403">
        <v>3</v>
      </c>
      <c r="I3588" s="403">
        <v>0</v>
      </c>
      <c r="J3588" s="404">
        <v>2.69</v>
      </c>
      <c r="K3588" s="404">
        <v>8.07</v>
      </c>
      <c r="L3588" s="166"/>
    </row>
    <row r="3589" spans="1:12" ht="15" customHeight="1" x14ac:dyDescent="0.3">
      <c r="A3589" s="400" t="s">
        <v>1038</v>
      </c>
      <c r="B3589" s="401" t="s">
        <v>1338</v>
      </c>
      <c r="C3589" s="400" t="s">
        <v>395</v>
      </c>
      <c r="D3589" s="400" t="s">
        <v>345</v>
      </c>
      <c r="E3589" s="605" t="s">
        <v>1039</v>
      </c>
      <c r="F3589" s="605"/>
      <c r="G3589" s="402" t="s">
        <v>4</v>
      </c>
      <c r="H3589" s="403">
        <v>0.1125</v>
      </c>
      <c r="I3589" s="403">
        <v>0</v>
      </c>
      <c r="J3589" s="404">
        <v>32.67</v>
      </c>
      <c r="K3589" s="404">
        <v>3.6753749999999998</v>
      </c>
      <c r="L3589" s="168"/>
    </row>
    <row r="3590" spans="1:12" ht="25.5" customHeight="1" x14ac:dyDescent="0.3">
      <c r="A3590" s="400" t="s">
        <v>1038</v>
      </c>
      <c r="B3590" s="401" t="s">
        <v>4278</v>
      </c>
      <c r="C3590" s="400" t="s">
        <v>395</v>
      </c>
      <c r="D3590" s="400" t="s">
        <v>4279</v>
      </c>
      <c r="E3590" s="605" t="s">
        <v>1039</v>
      </c>
      <c r="F3590" s="605"/>
      <c r="G3590" s="402" t="s">
        <v>4</v>
      </c>
      <c r="H3590" s="403">
        <v>1</v>
      </c>
      <c r="I3590" s="403">
        <v>0</v>
      </c>
      <c r="J3590" s="404">
        <v>39.380000000000003</v>
      </c>
      <c r="K3590" s="404">
        <v>39.380000000000003</v>
      </c>
      <c r="L3590" s="170"/>
    </row>
    <row r="3591" spans="1:12" ht="30" customHeight="1" x14ac:dyDescent="0.3">
      <c r="A3591" s="405"/>
      <c r="B3591" s="405"/>
      <c r="C3591" s="405"/>
      <c r="D3591" s="405"/>
      <c r="E3591" s="405" t="s">
        <v>1046</v>
      </c>
      <c r="F3591" s="406">
        <v>12.58</v>
      </c>
      <c r="G3591" s="405" t="s">
        <v>1047</v>
      </c>
      <c r="H3591" s="406">
        <v>0</v>
      </c>
      <c r="I3591" s="405" t="s">
        <v>1048</v>
      </c>
      <c r="J3591" s="406">
        <v>12.58</v>
      </c>
      <c r="K3591"/>
      <c r="L3591" s="168"/>
    </row>
    <row r="3592" spans="1:12" ht="15.6" thickBot="1" x14ac:dyDescent="0.35">
      <c r="A3592" s="405"/>
      <c r="B3592" s="405"/>
      <c r="C3592" s="405"/>
      <c r="D3592" s="405"/>
      <c r="E3592" s="405" t="s">
        <v>1049</v>
      </c>
      <c r="F3592" s="406">
        <v>0</v>
      </c>
      <c r="G3592" s="405"/>
      <c r="H3592" s="606"/>
      <c r="I3592" s="606" t="s">
        <v>1050</v>
      </c>
      <c r="J3592" s="406">
        <v>68.209999999999994</v>
      </c>
      <c r="K3592"/>
      <c r="L3592" s="168"/>
    </row>
    <row r="3593" spans="1:12" ht="14.25" customHeight="1" thickTop="1" x14ac:dyDescent="0.3">
      <c r="A3593" s="407"/>
      <c r="B3593" s="407"/>
      <c r="C3593" s="407"/>
      <c r="D3593" s="407"/>
      <c r="E3593" s="407"/>
      <c r="F3593" s="407"/>
      <c r="G3593" s="407"/>
      <c r="H3593" s="407"/>
      <c r="I3593" s="407"/>
      <c r="J3593" s="407"/>
      <c r="K3593" s="407"/>
      <c r="L3593" s="168"/>
    </row>
    <row r="3594" spans="1:12" ht="17.399999999999999" customHeight="1" x14ac:dyDescent="0.3">
      <c r="A3594" s="382" t="s">
        <v>2746</v>
      </c>
      <c r="B3594" s="312" t="s">
        <v>413</v>
      </c>
      <c r="C3594" s="382" t="s">
        <v>414</v>
      </c>
      <c r="D3594" s="382" t="s">
        <v>415</v>
      </c>
      <c r="E3594" s="586" t="s">
        <v>1029</v>
      </c>
      <c r="F3594" s="586"/>
      <c r="G3594" s="383" t="s">
        <v>416</v>
      </c>
      <c r="H3594" s="312" t="s">
        <v>1030</v>
      </c>
      <c r="I3594" s="312" t="s">
        <v>3016</v>
      </c>
      <c r="J3594" s="312" t="s">
        <v>1031</v>
      </c>
      <c r="K3594" s="312" t="s">
        <v>1032</v>
      </c>
      <c r="L3594" s="166"/>
    </row>
    <row r="3595" spans="1:12" ht="39.6" x14ac:dyDescent="0.3">
      <c r="A3595" s="313" t="s">
        <v>1033</v>
      </c>
      <c r="B3595" s="315" t="s">
        <v>3885</v>
      </c>
      <c r="C3595" s="313" t="s">
        <v>395</v>
      </c>
      <c r="D3595" s="313" t="s">
        <v>6000</v>
      </c>
      <c r="E3595" s="603" t="s">
        <v>7872</v>
      </c>
      <c r="F3595" s="603"/>
      <c r="G3595" s="314" t="s">
        <v>4</v>
      </c>
      <c r="H3595" s="399">
        <v>1</v>
      </c>
      <c r="I3595" s="316"/>
      <c r="J3595" s="316">
        <v>112.17</v>
      </c>
      <c r="K3595" s="316">
        <v>112.17</v>
      </c>
      <c r="L3595" s="166"/>
    </row>
    <row r="3596" spans="1:12" ht="15" customHeight="1" x14ac:dyDescent="0.3">
      <c r="A3596" s="408" t="s">
        <v>1034</v>
      </c>
      <c r="B3596" s="409" t="s">
        <v>1113</v>
      </c>
      <c r="C3596" s="408" t="s">
        <v>395</v>
      </c>
      <c r="D3596" s="408" t="s">
        <v>129</v>
      </c>
      <c r="E3596" s="604" t="s">
        <v>7768</v>
      </c>
      <c r="F3596" s="604"/>
      <c r="G3596" s="410" t="s">
        <v>6</v>
      </c>
      <c r="H3596" s="412">
        <v>0.31969999999999998</v>
      </c>
      <c r="I3596" s="412">
        <v>0</v>
      </c>
      <c r="J3596" s="411">
        <v>33.450000000000003</v>
      </c>
      <c r="K3596" s="411">
        <v>10.693965</v>
      </c>
      <c r="L3596" s="168"/>
    </row>
    <row r="3597" spans="1:12" ht="38.25" customHeight="1" x14ac:dyDescent="0.3">
      <c r="A3597" s="408" t="s">
        <v>1034</v>
      </c>
      <c r="B3597" s="409" t="s">
        <v>1112</v>
      </c>
      <c r="C3597" s="408" t="s">
        <v>395</v>
      </c>
      <c r="D3597" s="408" t="s">
        <v>137</v>
      </c>
      <c r="E3597" s="604" t="s">
        <v>7768</v>
      </c>
      <c r="F3597" s="604"/>
      <c r="G3597" s="410" t="s">
        <v>6</v>
      </c>
      <c r="H3597" s="412">
        <v>0.31969999999999998</v>
      </c>
      <c r="I3597" s="412">
        <v>0</v>
      </c>
      <c r="J3597" s="411">
        <v>40.299999999999997</v>
      </c>
      <c r="K3597" s="411">
        <v>12.88391</v>
      </c>
      <c r="L3597" s="168"/>
    </row>
    <row r="3598" spans="1:12" ht="15" customHeight="1" x14ac:dyDescent="0.3">
      <c r="A3598" s="400" t="s">
        <v>1038</v>
      </c>
      <c r="B3598" s="401" t="s">
        <v>4476</v>
      </c>
      <c r="C3598" s="400" t="s">
        <v>395</v>
      </c>
      <c r="D3598" s="400" t="s">
        <v>4477</v>
      </c>
      <c r="E3598" s="605" t="s">
        <v>1039</v>
      </c>
      <c r="F3598" s="605"/>
      <c r="G3598" s="402" t="s">
        <v>4</v>
      </c>
      <c r="H3598" s="403">
        <v>1</v>
      </c>
      <c r="I3598" s="403">
        <v>0</v>
      </c>
      <c r="J3598" s="404">
        <v>2.69</v>
      </c>
      <c r="K3598" s="404">
        <v>2.69</v>
      </c>
      <c r="L3598" s="168"/>
    </row>
    <row r="3599" spans="1:12" ht="25.5" customHeight="1" x14ac:dyDescent="0.3">
      <c r="A3599" s="400" t="s">
        <v>1038</v>
      </c>
      <c r="B3599" s="401" t="s">
        <v>6794</v>
      </c>
      <c r="C3599" s="400" t="s">
        <v>395</v>
      </c>
      <c r="D3599" s="400" t="s">
        <v>6795</v>
      </c>
      <c r="E3599" s="605" t="s">
        <v>1039</v>
      </c>
      <c r="F3599" s="605"/>
      <c r="G3599" s="402" t="s">
        <v>4</v>
      </c>
      <c r="H3599" s="403">
        <v>2</v>
      </c>
      <c r="I3599" s="403">
        <v>0</v>
      </c>
      <c r="J3599" s="404">
        <v>3.51</v>
      </c>
      <c r="K3599" s="404">
        <v>7.02</v>
      </c>
      <c r="L3599" s="168"/>
    </row>
    <row r="3600" spans="1:12" ht="25.5" customHeight="1" x14ac:dyDescent="0.3">
      <c r="A3600" s="400" t="s">
        <v>1038</v>
      </c>
      <c r="B3600" s="401" t="s">
        <v>1338</v>
      </c>
      <c r="C3600" s="400" t="s">
        <v>395</v>
      </c>
      <c r="D3600" s="400" t="s">
        <v>345</v>
      </c>
      <c r="E3600" s="605" t="s">
        <v>1039</v>
      </c>
      <c r="F3600" s="605"/>
      <c r="G3600" s="402" t="s">
        <v>4</v>
      </c>
      <c r="H3600" s="403">
        <v>0.1525</v>
      </c>
      <c r="I3600" s="403">
        <v>0</v>
      </c>
      <c r="J3600" s="404">
        <v>32.67</v>
      </c>
      <c r="K3600" s="404">
        <v>4.9821749999999998</v>
      </c>
      <c r="L3600" s="166"/>
    </row>
    <row r="3601" spans="1:12" ht="14.25" customHeight="1" x14ac:dyDescent="0.3">
      <c r="A3601" s="400" t="s">
        <v>1038</v>
      </c>
      <c r="B3601" s="401" t="s">
        <v>4335</v>
      </c>
      <c r="C3601" s="400" t="s">
        <v>395</v>
      </c>
      <c r="D3601" s="400" t="s">
        <v>4336</v>
      </c>
      <c r="E3601" s="605" t="s">
        <v>1039</v>
      </c>
      <c r="F3601" s="605"/>
      <c r="G3601" s="402" t="s">
        <v>4</v>
      </c>
      <c r="H3601" s="403">
        <v>1</v>
      </c>
      <c r="I3601" s="403">
        <v>0</v>
      </c>
      <c r="J3601" s="404">
        <v>73.900000000000006</v>
      </c>
      <c r="K3601" s="404">
        <v>73.900000000000006</v>
      </c>
      <c r="L3601" s="168"/>
    </row>
    <row r="3602" spans="1:12" ht="15" x14ac:dyDescent="0.3">
      <c r="A3602" s="405"/>
      <c r="B3602" s="405"/>
      <c r="C3602" s="405"/>
      <c r="D3602" s="405"/>
      <c r="E3602" s="405" t="s">
        <v>1046</v>
      </c>
      <c r="F3602" s="406">
        <v>17.36</v>
      </c>
      <c r="G3602" s="405" t="s">
        <v>1047</v>
      </c>
      <c r="H3602" s="406">
        <v>0.01</v>
      </c>
      <c r="I3602" s="405" t="s">
        <v>1048</v>
      </c>
      <c r="J3602" s="406">
        <v>17.37</v>
      </c>
      <c r="K3602"/>
      <c r="L3602" s="168"/>
    </row>
    <row r="3603" spans="1:12" ht="17.399999999999999" customHeight="1" thickBot="1" x14ac:dyDescent="0.35">
      <c r="A3603" s="405"/>
      <c r="B3603" s="405"/>
      <c r="C3603" s="405"/>
      <c r="D3603" s="405"/>
      <c r="E3603" s="405" t="s">
        <v>1049</v>
      </c>
      <c r="F3603" s="406">
        <v>0</v>
      </c>
      <c r="G3603" s="405"/>
      <c r="H3603" s="606"/>
      <c r="I3603" s="606" t="s">
        <v>1050</v>
      </c>
      <c r="J3603" s="406">
        <v>112.17</v>
      </c>
      <c r="K3603"/>
      <c r="L3603" s="168"/>
    </row>
    <row r="3604" spans="1:12" ht="15" customHeight="1" thickTop="1" x14ac:dyDescent="0.3">
      <c r="A3604" s="407"/>
      <c r="B3604" s="407"/>
      <c r="C3604" s="407"/>
      <c r="D3604" s="407"/>
      <c r="E3604" s="407"/>
      <c r="F3604" s="407"/>
      <c r="G3604" s="407"/>
      <c r="H3604" s="407"/>
      <c r="I3604" s="407"/>
      <c r="J3604" s="407"/>
      <c r="K3604" s="407"/>
      <c r="L3604" s="166"/>
    </row>
    <row r="3605" spans="1:12" ht="15" x14ac:dyDescent="0.3">
      <c r="A3605" s="382" t="s">
        <v>2747</v>
      </c>
      <c r="B3605" s="312" t="s">
        <v>413</v>
      </c>
      <c r="C3605" s="382" t="s">
        <v>414</v>
      </c>
      <c r="D3605" s="382" t="s">
        <v>415</v>
      </c>
      <c r="E3605" s="586" t="s">
        <v>1029</v>
      </c>
      <c r="F3605" s="586"/>
      <c r="G3605" s="383" t="s">
        <v>416</v>
      </c>
      <c r="H3605" s="312" t="s">
        <v>1030</v>
      </c>
      <c r="I3605" s="312" t="s">
        <v>3016</v>
      </c>
      <c r="J3605" s="312" t="s">
        <v>1031</v>
      </c>
      <c r="K3605" s="312" t="s">
        <v>1032</v>
      </c>
      <c r="L3605" s="166"/>
    </row>
    <row r="3606" spans="1:12" ht="30" customHeight="1" x14ac:dyDescent="0.3">
      <c r="A3606" s="313" t="s">
        <v>1033</v>
      </c>
      <c r="B3606" s="315" t="s">
        <v>3886</v>
      </c>
      <c r="C3606" s="313" t="s">
        <v>395</v>
      </c>
      <c r="D3606" s="313" t="s">
        <v>6001</v>
      </c>
      <c r="E3606" s="603" t="s">
        <v>7872</v>
      </c>
      <c r="F3606" s="603"/>
      <c r="G3606" s="314" t="s">
        <v>4</v>
      </c>
      <c r="H3606" s="399">
        <v>1</v>
      </c>
      <c r="I3606" s="316"/>
      <c r="J3606" s="316">
        <v>100.76</v>
      </c>
      <c r="K3606" s="316">
        <v>100.76</v>
      </c>
      <c r="L3606" s="168"/>
    </row>
    <row r="3607" spans="1:12" ht="30" customHeight="1" x14ac:dyDescent="0.3">
      <c r="A3607" s="408" t="s">
        <v>1034</v>
      </c>
      <c r="B3607" s="409" t="s">
        <v>1113</v>
      </c>
      <c r="C3607" s="408" t="s">
        <v>395</v>
      </c>
      <c r="D3607" s="408" t="s">
        <v>129</v>
      </c>
      <c r="E3607" s="604" t="s">
        <v>7768</v>
      </c>
      <c r="F3607" s="604"/>
      <c r="G3607" s="410" t="s">
        <v>6</v>
      </c>
      <c r="H3607" s="412">
        <v>0.36380000000000001</v>
      </c>
      <c r="I3607" s="412">
        <v>0</v>
      </c>
      <c r="J3607" s="411">
        <v>33.450000000000003</v>
      </c>
      <c r="K3607" s="411">
        <v>12.16911</v>
      </c>
      <c r="L3607" s="168"/>
    </row>
    <row r="3608" spans="1:12" ht="38.25" customHeight="1" x14ac:dyDescent="0.3">
      <c r="A3608" s="408" t="s">
        <v>1034</v>
      </c>
      <c r="B3608" s="409" t="s">
        <v>1112</v>
      </c>
      <c r="C3608" s="408" t="s">
        <v>395</v>
      </c>
      <c r="D3608" s="408" t="s">
        <v>137</v>
      </c>
      <c r="E3608" s="604" t="s">
        <v>7768</v>
      </c>
      <c r="F3608" s="604"/>
      <c r="G3608" s="410" t="s">
        <v>6</v>
      </c>
      <c r="H3608" s="412">
        <v>0.36380000000000001</v>
      </c>
      <c r="I3608" s="412">
        <v>0</v>
      </c>
      <c r="J3608" s="411">
        <v>40.299999999999997</v>
      </c>
      <c r="K3608" s="411">
        <v>14.66114</v>
      </c>
      <c r="L3608" s="168"/>
    </row>
    <row r="3609" spans="1:12" ht="25.5" customHeight="1" x14ac:dyDescent="0.3">
      <c r="A3609" s="400" t="s">
        <v>1038</v>
      </c>
      <c r="B3609" s="401" t="s">
        <v>6794</v>
      </c>
      <c r="C3609" s="400" t="s">
        <v>395</v>
      </c>
      <c r="D3609" s="400" t="s">
        <v>6795</v>
      </c>
      <c r="E3609" s="605" t="s">
        <v>1039</v>
      </c>
      <c r="F3609" s="605"/>
      <c r="G3609" s="402" t="s">
        <v>4</v>
      </c>
      <c r="H3609" s="403">
        <v>3</v>
      </c>
      <c r="I3609" s="403">
        <v>0</v>
      </c>
      <c r="J3609" s="404">
        <v>3.51</v>
      </c>
      <c r="K3609" s="404">
        <v>10.53</v>
      </c>
      <c r="L3609" s="166"/>
    </row>
    <row r="3610" spans="1:12" ht="15" customHeight="1" x14ac:dyDescent="0.3">
      <c r="A3610" s="400" t="s">
        <v>1038</v>
      </c>
      <c r="B3610" s="401" t="s">
        <v>1338</v>
      </c>
      <c r="C3610" s="400" t="s">
        <v>395</v>
      </c>
      <c r="D3610" s="400" t="s">
        <v>345</v>
      </c>
      <c r="E3610" s="605" t="s">
        <v>1039</v>
      </c>
      <c r="F3610" s="605"/>
      <c r="G3610" s="402" t="s">
        <v>4</v>
      </c>
      <c r="H3610" s="403">
        <v>0.17249999999999999</v>
      </c>
      <c r="I3610" s="403">
        <v>0</v>
      </c>
      <c r="J3610" s="404">
        <v>32.67</v>
      </c>
      <c r="K3610" s="404">
        <v>5.6355750000000002</v>
      </c>
      <c r="L3610" s="166"/>
    </row>
    <row r="3611" spans="1:12" ht="26.4" x14ac:dyDescent="0.3">
      <c r="A3611" s="400" t="s">
        <v>1038</v>
      </c>
      <c r="B3611" s="401" t="s">
        <v>4216</v>
      </c>
      <c r="C3611" s="400" t="s">
        <v>395</v>
      </c>
      <c r="D3611" s="400" t="s">
        <v>4217</v>
      </c>
      <c r="E3611" s="605" t="s">
        <v>1039</v>
      </c>
      <c r="F3611" s="605"/>
      <c r="G3611" s="402" t="s">
        <v>4</v>
      </c>
      <c r="H3611" s="403">
        <v>1</v>
      </c>
      <c r="I3611" s="403">
        <v>0</v>
      </c>
      <c r="J3611" s="404">
        <v>57.76</v>
      </c>
      <c r="K3611" s="404">
        <v>57.76</v>
      </c>
      <c r="L3611" s="166"/>
    </row>
    <row r="3612" spans="1:12" ht="17.399999999999999" customHeight="1" x14ac:dyDescent="0.3">
      <c r="A3612" s="405"/>
      <c r="B3612" s="405"/>
      <c r="C3612" s="405"/>
      <c r="D3612" s="405"/>
      <c r="E3612" s="405" t="s">
        <v>1046</v>
      </c>
      <c r="F3612" s="406">
        <v>19.760000000000002</v>
      </c>
      <c r="G3612" s="405" t="s">
        <v>1047</v>
      </c>
      <c r="H3612" s="406">
        <v>0</v>
      </c>
      <c r="I3612" s="405" t="s">
        <v>1048</v>
      </c>
      <c r="J3612" s="406">
        <v>19.760000000000002</v>
      </c>
      <c r="K3612"/>
      <c r="L3612" s="166"/>
    </row>
    <row r="3613" spans="1:12" ht="15.6" thickBot="1" x14ac:dyDescent="0.35">
      <c r="A3613" s="405"/>
      <c r="B3613" s="405"/>
      <c r="C3613" s="405"/>
      <c r="D3613" s="405"/>
      <c r="E3613" s="405" t="s">
        <v>1049</v>
      </c>
      <c r="F3613" s="406">
        <v>0</v>
      </c>
      <c r="G3613" s="405"/>
      <c r="H3613" s="606"/>
      <c r="I3613" s="606" t="s">
        <v>1050</v>
      </c>
      <c r="J3613" s="406">
        <v>100.76</v>
      </c>
      <c r="K3613"/>
      <c r="L3613" s="166"/>
    </row>
    <row r="3614" spans="1:12" ht="15" customHeight="1" thickTop="1" x14ac:dyDescent="0.3">
      <c r="A3614" s="407"/>
      <c r="B3614" s="407"/>
      <c r="C3614" s="407"/>
      <c r="D3614" s="407"/>
      <c r="E3614" s="407"/>
      <c r="F3614" s="407"/>
      <c r="G3614" s="407"/>
      <c r="H3614" s="407"/>
      <c r="I3614" s="407"/>
      <c r="J3614" s="407"/>
      <c r="K3614" s="407"/>
      <c r="L3614" s="166"/>
    </row>
    <row r="3615" spans="1:12" ht="38.25" customHeight="1" x14ac:dyDescent="0.3">
      <c r="A3615" s="382" t="s">
        <v>2749</v>
      </c>
      <c r="B3615" s="312" t="s">
        <v>413</v>
      </c>
      <c r="C3615" s="382" t="s">
        <v>414</v>
      </c>
      <c r="D3615" s="382" t="s">
        <v>415</v>
      </c>
      <c r="E3615" s="586" t="s">
        <v>1029</v>
      </c>
      <c r="F3615" s="586"/>
      <c r="G3615" s="383" t="s">
        <v>416</v>
      </c>
      <c r="H3615" s="312" t="s">
        <v>1030</v>
      </c>
      <c r="I3615" s="312" t="s">
        <v>3016</v>
      </c>
      <c r="J3615" s="312" t="s">
        <v>1031</v>
      </c>
      <c r="K3615" s="312" t="s">
        <v>1032</v>
      </c>
      <c r="L3615" s="166"/>
    </row>
    <row r="3616" spans="1:12" ht="30" customHeight="1" x14ac:dyDescent="0.3">
      <c r="A3616" s="313" t="s">
        <v>1033</v>
      </c>
      <c r="B3616" s="315" t="s">
        <v>3887</v>
      </c>
      <c r="C3616" s="313" t="s">
        <v>395</v>
      </c>
      <c r="D3616" s="313" t="s">
        <v>6002</v>
      </c>
      <c r="E3616" s="603" t="s">
        <v>7872</v>
      </c>
      <c r="F3616" s="603"/>
      <c r="G3616" s="314" t="s">
        <v>4</v>
      </c>
      <c r="H3616" s="399">
        <v>1</v>
      </c>
      <c r="I3616" s="316"/>
      <c r="J3616" s="316">
        <v>217.76</v>
      </c>
      <c r="K3616" s="316">
        <v>217.76</v>
      </c>
      <c r="L3616" s="168"/>
    </row>
    <row r="3617" spans="1:12" ht="25.5" customHeight="1" x14ac:dyDescent="0.3">
      <c r="A3617" s="408" t="s">
        <v>1034</v>
      </c>
      <c r="B3617" s="409" t="s">
        <v>1113</v>
      </c>
      <c r="C3617" s="408" t="s">
        <v>395</v>
      </c>
      <c r="D3617" s="408" t="s">
        <v>129</v>
      </c>
      <c r="E3617" s="604" t="s">
        <v>7768</v>
      </c>
      <c r="F3617" s="604"/>
      <c r="G3617" s="410" t="s">
        <v>6</v>
      </c>
      <c r="H3617" s="412">
        <v>0.54020000000000001</v>
      </c>
      <c r="I3617" s="412">
        <v>0</v>
      </c>
      <c r="J3617" s="411">
        <v>33.450000000000003</v>
      </c>
      <c r="K3617" s="411">
        <v>18.069690000000001</v>
      </c>
      <c r="L3617" s="170"/>
    </row>
    <row r="3618" spans="1:12" ht="25.5" customHeight="1" x14ac:dyDescent="0.3">
      <c r="A3618" s="408" t="s">
        <v>1034</v>
      </c>
      <c r="B3618" s="409" t="s">
        <v>1112</v>
      </c>
      <c r="C3618" s="408" t="s">
        <v>395</v>
      </c>
      <c r="D3618" s="408" t="s">
        <v>137</v>
      </c>
      <c r="E3618" s="604" t="s">
        <v>7768</v>
      </c>
      <c r="F3618" s="604"/>
      <c r="G3618" s="410" t="s">
        <v>6</v>
      </c>
      <c r="H3618" s="412">
        <v>0.54020000000000001</v>
      </c>
      <c r="I3618" s="412">
        <v>0</v>
      </c>
      <c r="J3618" s="411">
        <v>40.299999999999997</v>
      </c>
      <c r="K3618" s="411">
        <v>21.770060000000001</v>
      </c>
      <c r="L3618" s="168"/>
    </row>
    <row r="3619" spans="1:12" ht="26.4" x14ac:dyDescent="0.3">
      <c r="A3619" s="400" t="s">
        <v>1038</v>
      </c>
      <c r="B3619" s="401" t="s">
        <v>6794</v>
      </c>
      <c r="C3619" s="400" t="s">
        <v>395</v>
      </c>
      <c r="D3619" s="400" t="s">
        <v>6795</v>
      </c>
      <c r="E3619" s="605" t="s">
        <v>1039</v>
      </c>
      <c r="F3619" s="605"/>
      <c r="G3619" s="402" t="s">
        <v>4</v>
      </c>
      <c r="H3619" s="403">
        <v>1</v>
      </c>
      <c r="I3619" s="403">
        <v>0</v>
      </c>
      <c r="J3619" s="404">
        <v>3.51</v>
      </c>
      <c r="K3619" s="404">
        <v>3.51</v>
      </c>
      <c r="L3619" s="168"/>
    </row>
    <row r="3620" spans="1:12" ht="15" customHeight="1" x14ac:dyDescent="0.3">
      <c r="A3620" s="400" t="s">
        <v>1038</v>
      </c>
      <c r="B3620" s="401" t="s">
        <v>2577</v>
      </c>
      <c r="C3620" s="400" t="s">
        <v>395</v>
      </c>
      <c r="D3620" s="400" t="s">
        <v>235</v>
      </c>
      <c r="E3620" s="605" t="s">
        <v>1039</v>
      </c>
      <c r="F3620" s="605"/>
      <c r="G3620" s="402" t="s">
        <v>4</v>
      </c>
      <c r="H3620" s="403">
        <v>2</v>
      </c>
      <c r="I3620" s="403">
        <v>0</v>
      </c>
      <c r="J3620" s="404">
        <v>12.13</v>
      </c>
      <c r="K3620" s="404">
        <v>24.26</v>
      </c>
      <c r="L3620" s="168"/>
    </row>
    <row r="3621" spans="1:12" ht="15" customHeight="1" x14ac:dyDescent="0.3">
      <c r="A3621" s="400" t="s">
        <v>1038</v>
      </c>
      <c r="B3621" s="401" t="s">
        <v>1338</v>
      </c>
      <c r="C3621" s="400" t="s">
        <v>395</v>
      </c>
      <c r="D3621" s="400" t="s">
        <v>345</v>
      </c>
      <c r="E3621" s="605" t="s">
        <v>1039</v>
      </c>
      <c r="F3621" s="605"/>
      <c r="G3621" s="402" t="s">
        <v>4</v>
      </c>
      <c r="H3621" s="403">
        <v>0.23250000000000001</v>
      </c>
      <c r="I3621" s="403">
        <v>0</v>
      </c>
      <c r="J3621" s="404">
        <v>32.67</v>
      </c>
      <c r="K3621" s="404">
        <v>7.5957749999999997</v>
      </c>
      <c r="L3621" s="166"/>
    </row>
    <row r="3622" spans="1:12" ht="26.4" x14ac:dyDescent="0.3">
      <c r="A3622" s="400" t="s">
        <v>1038</v>
      </c>
      <c r="B3622" s="401" t="s">
        <v>4189</v>
      </c>
      <c r="C3622" s="400" t="s">
        <v>395</v>
      </c>
      <c r="D3622" s="400" t="s">
        <v>4190</v>
      </c>
      <c r="E3622" s="605" t="s">
        <v>1039</v>
      </c>
      <c r="F3622" s="605"/>
      <c r="G3622" s="402" t="s">
        <v>4</v>
      </c>
      <c r="H3622" s="403">
        <v>1</v>
      </c>
      <c r="I3622" s="403">
        <v>0</v>
      </c>
      <c r="J3622" s="404">
        <v>142.55000000000001</v>
      </c>
      <c r="K3622" s="404">
        <v>142.55000000000001</v>
      </c>
      <c r="L3622" s="166"/>
    </row>
    <row r="3623" spans="1:12" ht="14.25" customHeight="1" x14ac:dyDescent="0.3">
      <c r="A3623" s="405"/>
      <c r="B3623" s="405"/>
      <c r="C3623" s="405"/>
      <c r="D3623" s="405"/>
      <c r="E3623" s="405" t="s">
        <v>1046</v>
      </c>
      <c r="F3623" s="406">
        <v>29.34</v>
      </c>
      <c r="G3623" s="405" t="s">
        <v>1047</v>
      </c>
      <c r="H3623" s="406">
        <v>0</v>
      </c>
      <c r="I3623" s="405" t="s">
        <v>1048</v>
      </c>
      <c r="J3623" s="406">
        <v>29.34</v>
      </c>
      <c r="K3623"/>
    </row>
    <row r="3624" spans="1:12" ht="30" customHeight="1" thickBot="1" x14ac:dyDescent="0.35">
      <c r="A3624" s="405"/>
      <c r="B3624" s="405"/>
      <c r="C3624" s="405"/>
      <c r="D3624" s="405"/>
      <c r="E3624" s="405" t="s">
        <v>1049</v>
      </c>
      <c r="F3624" s="406">
        <v>0</v>
      </c>
      <c r="G3624" s="405"/>
      <c r="H3624" s="606"/>
      <c r="I3624" s="606" t="s">
        <v>1050</v>
      </c>
      <c r="J3624" s="406">
        <v>217.76</v>
      </c>
      <c r="K3624"/>
    </row>
    <row r="3625" spans="1:12" ht="30" customHeight="1" thickTop="1" x14ac:dyDescent="0.3">
      <c r="A3625" s="407"/>
      <c r="B3625" s="407"/>
      <c r="C3625" s="407"/>
      <c r="D3625" s="407"/>
      <c r="E3625" s="407"/>
      <c r="F3625" s="407"/>
      <c r="G3625" s="407"/>
      <c r="H3625" s="407"/>
      <c r="I3625" s="407"/>
      <c r="J3625" s="407"/>
      <c r="K3625" s="407"/>
    </row>
    <row r="3626" spans="1:12" ht="30" customHeight="1" x14ac:dyDescent="0.3">
      <c r="A3626" s="382" t="s">
        <v>2750</v>
      </c>
      <c r="B3626" s="312" t="s">
        <v>413</v>
      </c>
      <c r="C3626" s="382" t="s">
        <v>414</v>
      </c>
      <c r="D3626" s="382" t="s">
        <v>415</v>
      </c>
      <c r="E3626" s="586" t="s">
        <v>1029</v>
      </c>
      <c r="F3626" s="586"/>
      <c r="G3626" s="383" t="s">
        <v>416</v>
      </c>
      <c r="H3626" s="312" t="s">
        <v>1030</v>
      </c>
      <c r="I3626" s="312" t="s">
        <v>3016</v>
      </c>
      <c r="J3626" s="312" t="s">
        <v>1031</v>
      </c>
      <c r="K3626" s="312" t="s">
        <v>1032</v>
      </c>
    </row>
    <row r="3627" spans="1:12" ht="39.6" x14ac:dyDescent="0.3">
      <c r="A3627" s="313" t="s">
        <v>1033</v>
      </c>
      <c r="B3627" s="315" t="s">
        <v>3888</v>
      </c>
      <c r="C3627" s="313" t="s">
        <v>395</v>
      </c>
      <c r="D3627" s="313" t="s">
        <v>6003</v>
      </c>
      <c r="E3627" s="603" t="s">
        <v>7872</v>
      </c>
      <c r="F3627" s="603"/>
      <c r="G3627" s="314" t="s">
        <v>4</v>
      </c>
      <c r="H3627" s="399">
        <v>1</v>
      </c>
      <c r="I3627" s="316"/>
      <c r="J3627" s="316">
        <v>286.17</v>
      </c>
      <c r="K3627" s="316">
        <v>286.17</v>
      </c>
    </row>
    <row r="3628" spans="1:12" ht="26.4" x14ac:dyDescent="0.3">
      <c r="A3628" s="408" t="s">
        <v>1034</v>
      </c>
      <c r="B3628" s="409" t="s">
        <v>1113</v>
      </c>
      <c r="C3628" s="408" t="s">
        <v>395</v>
      </c>
      <c r="D3628" s="408" t="s">
        <v>129</v>
      </c>
      <c r="E3628" s="604" t="s">
        <v>7768</v>
      </c>
      <c r="F3628" s="604"/>
      <c r="G3628" s="410" t="s">
        <v>6</v>
      </c>
      <c r="H3628" s="412">
        <v>0.62839999999999996</v>
      </c>
      <c r="I3628" s="412">
        <v>0</v>
      </c>
      <c r="J3628" s="411">
        <v>33.450000000000003</v>
      </c>
      <c r="K3628" s="411">
        <v>21.01998</v>
      </c>
    </row>
    <row r="3629" spans="1:12" ht="14.25" customHeight="1" x14ac:dyDescent="0.3">
      <c r="A3629" s="408" t="s">
        <v>1034</v>
      </c>
      <c r="B3629" s="409" t="s">
        <v>1112</v>
      </c>
      <c r="C3629" s="408" t="s">
        <v>395</v>
      </c>
      <c r="D3629" s="408" t="s">
        <v>137</v>
      </c>
      <c r="E3629" s="604" t="s">
        <v>7768</v>
      </c>
      <c r="F3629" s="604"/>
      <c r="G3629" s="410" t="s">
        <v>6</v>
      </c>
      <c r="H3629" s="412">
        <v>0.62839999999999996</v>
      </c>
      <c r="I3629" s="412">
        <v>0</v>
      </c>
      <c r="J3629" s="411">
        <v>40.299999999999997</v>
      </c>
      <c r="K3629" s="411">
        <v>25.32452</v>
      </c>
    </row>
    <row r="3630" spans="1:12" ht="17.399999999999999" customHeight="1" x14ac:dyDescent="0.3">
      <c r="A3630" s="400" t="s">
        <v>1038</v>
      </c>
      <c r="B3630" s="401" t="s">
        <v>2577</v>
      </c>
      <c r="C3630" s="400" t="s">
        <v>395</v>
      </c>
      <c r="D3630" s="400" t="s">
        <v>235</v>
      </c>
      <c r="E3630" s="605" t="s">
        <v>1039</v>
      </c>
      <c r="F3630" s="605"/>
      <c r="G3630" s="402" t="s">
        <v>4</v>
      </c>
      <c r="H3630" s="403">
        <v>3</v>
      </c>
      <c r="I3630" s="403">
        <v>0</v>
      </c>
      <c r="J3630" s="404">
        <v>12.13</v>
      </c>
      <c r="K3630" s="404">
        <v>36.39</v>
      </c>
    </row>
    <row r="3631" spans="1:12" ht="26.4" x14ac:dyDescent="0.3">
      <c r="A3631" s="400" t="s">
        <v>1038</v>
      </c>
      <c r="B3631" s="401" t="s">
        <v>1338</v>
      </c>
      <c r="C3631" s="400" t="s">
        <v>395</v>
      </c>
      <c r="D3631" s="400" t="s">
        <v>345</v>
      </c>
      <c r="E3631" s="605" t="s">
        <v>1039</v>
      </c>
      <c r="F3631" s="605"/>
      <c r="G3631" s="402" t="s">
        <v>4</v>
      </c>
      <c r="H3631" s="403">
        <v>0.26250000000000001</v>
      </c>
      <c r="I3631" s="403">
        <v>0</v>
      </c>
      <c r="J3631" s="404">
        <v>32.67</v>
      </c>
      <c r="K3631" s="404">
        <v>8.5758749999999999</v>
      </c>
    </row>
    <row r="3632" spans="1:12" ht="15" customHeight="1" x14ac:dyDescent="0.3">
      <c r="A3632" s="400" t="s">
        <v>1038</v>
      </c>
      <c r="B3632" s="401" t="s">
        <v>4179</v>
      </c>
      <c r="C3632" s="400" t="s">
        <v>395</v>
      </c>
      <c r="D3632" s="400" t="s">
        <v>4180</v>
      </c>
      <c r="E3632" s="605" t="s">
        <v>1039</v>
      </c>
      <c r="F3632" s="605"/>
      <c r="G3632" s="402" t="s">
        <v>4</v>
      </c>
      <c r="H3632" s="403">
        <v>1</v>
      </c>
      <c r="I3632" s="403">
        <v>0</v>
      </c>
      <c r="J3632" s="404">
        <v>194.86</v>
      </c>
      <c r="K3632" s="404">
        <v>194.86</v>
      </c>
    </row>
    <row r="3633" spans="1:11" ht="30" customHeight="1" x14ac:dyDescent="0.3">
      <c r="A3633" s="405"/>
      <c r="B3633" s="405"/>
      <c r="C3633" s="405"/>
      <c r="D3633" s="405"/>
      <c r="E3633" s="405" t="s">
        <v>1046</v>
      </c>
      <c r="F3633" s="406">
        <v>34.130000000000003</v>
      </c>
      <c r="G3633" s="405" t="s">
        <v>1047</v>
      </c>
      <c r="H3633" s="406">
        <v>0</v>
      </c>
      <c r="I3633" s="405" t="s">
        <v>1048</v>
      </c>
      <c r="J3633" s="406">
        <v>34.130000000000003</v>
      </c>
      <c r="K3633"/>
    </row>
    <row r="3634" spans="1:11" ht="30" customHeight="1" thickBot="1" x14ac:dyDescent="0.35">
      <c r="A3634" s="405"/>
      <c r="B3634" s="405"/>
      <c r="C3634" s="405"/>
      <c r="D3634" s="405"/>
      <c r="E3634" s="405" t="s">
        <v>1049</v>
      </c>
      <c r="F3634" s="406">
        <v>0</v>
      </c>
      <c r="G3634" s="405"/>
      <c r="H3634" s="606"/>
      <c r="I3634" s="606" t="s">
        <v>1050</v>
      </c>
      <c r="J3634" s="406">
        <v>286.17</v>
      </c>
      <c r="K3634"/>
    </row>
    <row r="3635" spans="1:11" ht="30" customHeight="1" thickTop="1" x14ac:dyDescent="0.3">
      <c r="A3635" s="407"/>
      <c r="B3635" s="407"/>
      <c r="C3635" s="407"/>
      <c r="D3635" s="407"/>
      <c r="E3635" s="407"/>
      <c r="F3635" s="407"/>
      <c r="G3635" s="407"/>
      <c r="H3635" s="407"/>
      <c r="I3635" s="407"/>
      <c r="J3635" s="407"/>
      <c r="K3635" s="407"/>
    </row>
    <row r="3636" spans="1:11" ht="15" customHeight="1" x14ac:dyDescent="0.3">
      <c r="A3636" s="382" t="s">
        <v>2751</v>
      </c>
      <c r="B3636" s="312" t="s">
        <v>413</v>
      </c>
      <c r="C3636" s="382" t="s">
        <v>414</v>
      </c>
      <c r="D3636" s="382" t="s">
        <v>415</v>
      </c>
      <c r="E3636" s="586" t="s">
        <v>1029</v>
      </c>
      <c r="F3636" s="586"/>
      <c r="G3636" s="383" t="s">
        <v>416</v>
      </c>
      <c r="H3636" s="312" t="s">
        <v>1030</v>
      </c>
      <c r="I3636" s="312" t="s">
        <v>3016</v>
      </c>
      <c r="J3636" s="312" t="s">
        <v>1031</v>
      </c>
      <c r="K3636" s="312" t="s">
        <v>1032</v>
      </c>
    </row>
    <row r="3637" spans="1:11" ht="38.25" customHeight="1" x14ac:dyDescent="0.3">
      <c r="A3637" s="313" t="s">
        <v>1033</v>
      </c>
      <c r="B3637" s="315" t="s">
        <v>3889</v>
      </c>
      <c r="C3637" s="313" t="s">
        <v>395</v>
      </c>
      <c r="D3637" s="313" t="s">
        <v>6004</v>
      </c>
      <c r="E3637" s="603" t="s">
        <v>7872</v>
      </c>
      <c r="F3637" s="603"/>
      <c r="G3637" s="314" t="s">
        <v>4</v>
      </c>
      <c r="H3637" s="399">
        <v>1</v>
      </c>
      <c r="I3637" s="316"/>
      <c r="J3637" s="316">
        <v>59.4</v>
      </c>
      <c r="K3637" s="316">
        <v>59.4</v>
      </c>
    </row>
    <row r="3638" spans="1:11" ht="14.25" customHeight="1" x14ac:dyDescent="0.3">
      <c r="A3638" s="408" t="s">
        <v>1034</v>
      </c>
      <c r="B3638" s="409" t="s">
        <v>1113</v>
      </c>
      <c r="C3638" s="408" t="s">
        <v>395</v>
      </c>
      <c r="D3638" s="408" t="s">
        <v>129</v>
      </c>
      <c r="E3638" s="604" t="s">
        <v>7768</v>
      </c>
      <c r="F3638" s="604"/>
      <c r="G3638" s="410" t="s">
        <v>6</v>
      </c>
      <c r="H3638" s="412">
        <v>0.2316</v>
      </c>
      <c r="I3638" s="412">
        <v>0</v>
      </c>
      <c r="J3638" s="411">
        <v>33.450000000000003</v>
      </c>
      <c r="K3638" s="411">
        <v>7.74702</v>
      </c>
    </row>
    <row r="3639" spans="1:11" ht="25.5" customHeight="1" x14ac:dyDescent="0.3">
      <c r="A3639" s="408" t="s">
        <v>1034</v>
      </c>
      <c r="B3639" s="409" t="s">
        <v>1112</v>
      </c>
      <c r="C3639" s="408" t="s">
        <v>395</v>
      </c>
      <c r="D3639" s="408" t="s">
        <v>137</v>
      </c>
      <c r="E3639" s="604" t="s">
        <v>7768</v>
      </c>
      <c r="F3639" s="604"/>
      <c r="G3639" s="410" t="s">
        <v>6</v>
      </c>
      <c r="H3639" s="412">
        <v>0.2316</v>
      </c>
      <c r="I3639" s="412">
        <v>0</v>
      </c>
      <c r="J3639" s="411">
        <v>40.299999999999997</v>
      </c>
      <c r="K3639" s="411">
        <v>9.3334799999999998</v>
      </c>
    </row>
    <row r="3640" spans="1:11" ht="25.5" customHeight="1" x14ac:dyDescent="0.3">
      <c r="A3640" s="400" t="s">
        <v>1038</v>
      </c>
      <c r="B3640" s="401" t="s">
        <v>4476</v>
      </c>
      <c r="C3640" s="400" t="s">
        <v>395</v>
      </c>
      <c r="D3640" s="400" t="s">
        <v>4477</v>
      </c>
      <c r="E3640" s="605" t="s">
        <v>1039</v>
      </c>
      <c r="F3640" s="605"/>
      <c r="G3640" s="402" t="s">
        <v>4</v>
      </c>
      <c r="H3640" s="403">
        <v>3</v>
      </c>
      <c r="I3640" s="403">
        <v>0</v>
      </c>
      <c r="J3640" s="404">
        <v>2.69</v>
      </c>
      <c r="K3640" s="404">
        <v>8.07</v>
      </c>
    </row>
    <row r="3641" spans="1:11" ht="26.4" x14ac:dyDescent="0.3">
      <c r="A3641" s="400" t="s">
        <v>1038</v>
      </c>
      <c r="B3641" s="401" t="s">
        <v>1338</v>
      </c>
      <c r="C3641" s="400" t="s">
        <v>395</v>
      </c>
      <c r="D3641" s="400" t="s">
        <v>345</v>
      </c>
      <c r="E3641" s="605" t="s">
        <v>1039</v>
      </c>
      <c r="F3641" s="605"/>
      <c r="G3641" s="402" t="s">
        <v>4</v>
      </c>
      <c r="H3641" s="403">
        <v>0.1125</v>
      </c>
      <c r="I3641" s="403">
        <v>0</v>
      </c>
      <c r="J3641" s="404">
        <v>32.67</v>
      </c>
      <c r="K3641" s="404">
        <v>3.6753749999999998</v>
      </c>
    </row>
    <row r="3642" spans="1:11" ht="12.75" customHeight="1" x14ac:dyDescent="0.3">
      <c r="A3642" s="400" t="s">
        <v>1038</v>
      </c>
      <c r="B3642" s="401" t="s">
        <v>4489</v>
      </c>
      <c r="C3642" s="400" t="s">
        <v>395</v>
      </c>
      <c r="D3642" s="400" t="s">
        <v>4490</v>
      </c>
      <c r="E3642" s="605" t="s">
        <v>1039</v>
      </c>
      <c r="F3642" s="605"/>
      <c r="G3642" s="402" t="s">
        <v>4</v>
      </c>
      <c r="H3642" s="403">
        <v>1</v>
      </c>
      <c r="I3642" s="403">
        <v>0</v>
      </c>
      <c r="J3642" s="404">
        <v>30.57</v>
      </c>
      <c r="K3642" s="404">
        <v>30.57</v>
      </c>
    </row>
    <row r="3643" spans="1:11" ht="12.75" customHeight="1" x14ac:dyDescent="0.3">
      <c r="A3643" s="405"/>
      <c r="B3643" s="405"/>
      <c r="C3643" s="405"/>
      <c r="D3643" s="405"/>
      <c r="E3643" s="405" t="s">
        <v>1046</v>
      </c>
      <c r="F3643" s="406">
        <v>12.58</v>
      </c>
      <c r="G3643" s="405" t="s">
        <v>1047</v>
      </c>
      <c r="H3643" s="406">
        <v>0</v>
      </c>
      <c r="I3643" s="405" t="s">
        <v>1048</v>
      </c>
      <c r="J3643" s="406">
        <v>12.58</v>
      </c>
      <c r="K3643"/>
    </row>
    <row r="3644" spans="1:11" ht="30" customHeight="1" thickBot="1" x14ac:dyDescent="0.35">
      <c r="A3644" s="405"/>
      <c r="B3644" s="405"/>
      <c r="C3644" s="405"/>
      <c r="D3644" s="405"/>
      <c r="E3644" s="405" t="s">
        <v>1049</v>
      </c>
      <c r="F3644" s="406">
        <v>0</v>
      </c>
      <c r="G3644" s="405"/>
      <c r="H3644" s="606"/>
      <c r="I3644" s="606" t="s">
        <v>1050</v>
      </c>
      <c r="J3644" s="406">
        <v>59.4</v>
      </c>
      <c r="K3644"/>
    </row>
    <row r="3645" spans="1:11" ht="15.6" thickTop="1" x14ac:dyDescent="0.3">
      <c r="A3645" s="407"/>
      <c r="B3645" s="407"/>
      <c r="C3645" s="407"/>
      <c r="D3645" s="407"/>
      <c r="E3645" s="407"/>
      <c r="F3645" s="407"/>
      <c r="G3645" s="407"/>
      <c r="H3645" s="407"/>
      <c r="I3645" s="407"/>
      <c r="J3645" s="407"/>
      <c r="K3645" s="407"/>
    </row>
    <row r="3646" spans="1:11" ht="15" x14ac:dyDescent="0.3">
      <c r="A3646" s="382" t="s">
        <v>2752</v>
      </c>
      <c r="B3646" s="312" t="s">
        <v>413</v>
      </c>
      <c r="C3646" s="382" t="s">
        <v>414</v>
      </c>
      <c r="D3646" s="382" t="s">
        <v>415</v>
      </c>
      <c r="E3646" s="586" t="s">
        <v>1029</v>
      </c>
      <c r="F3646" s="586"/>
      <c r="G3646" s="383" t="s">
        <v>416</v>
      </c>
      <c r="H3646" s="312" t="s">
        <v>1030</v>
      </c>
      <c r="I3646" s="312" t="s">
        <v>3016</v>
      </c>
      <c r="J3646" s="312" t="s">
        <v>1031</v>
      </c>
      <c r="K3646" s="312" t="s">
        <v>1032</v>
      </c>
    </row>
    <row r="3647" spans="1:11" ht="25.5" customHeight="1" x14ac:dyDescent="0.3">
      <c r="A3647" s="313" t="s">
        <v>1033</v>
      </c>
      <c r="B3647" s="315" t="s">
        <v>3890</v>
      </c>
      <c r="C3647" s="313" t="s">
        <v>395</v>
      </c>
      <c r="D3647" s="313" t="s">
        <v>6005</v>
      </c>
      <c r="E3647" s="603" t="s">
        <v>7872</v>
      </c>
      <c r="F3647" s="603"/>
      <c r="G3647" s="314" t="s">
        <v>4</v>
      </c>
      <c r="H3647" s="399">
        <v>1</v>
      </c>
      <c r="I3647" s="316"/>
      <c r="J3647" s="316">
        <v>89.67</v>
      </c>
      <c r="K3647" s="316">
        <v>89.67</v>
      </c>
    </row>
    <row r="3648" spans="1:11" ht="17.399999999999999" customHeight="1" x14ac:dyDescent="0.3">
      <c r="A3648" s="408" t="s">
        <v>1034</v>
      </c>
      <c r="B3648" s="409" t="s">
        <v>1113</v>
      </c>
      <c r="C3648" s="408" t="s">
        <v>395</v>
      </c>
      <c r="D3648" s="408" t="s">
        <v>129</v>
      </c>
      <c r="E3648" s="604" t="s">
        <v>7768</v>
      </c>
      <c r="F3648" s="604"/>
      <c r="G3648" s="410" t="s">
        <v>6</v>
      </c>
      <c r="H3648" s="412">
        <v>0.36380000000000001</v>
      </c>
      <c r="I3648" s="412">
        <v>0</v>
      </c>
      <c r="J3648" s="411">
        <v>33.450000000000003</v>
      </c>
      <c r="K3648" s="411">
        <v>12.16911</v>
      </c>
    </row>
    <row r="3649" spans="1:11" ht="14.25" customHeight="1" x14ac:dyDescent="0.3">
      <c r="A3649" s="408" t="s">
        <v>1034</v>
      </c>
      <c r="B3649" s="409" t="s">
        <v>1112</v>
      </c>
      <c r="C3649" s="408" t="s">
        <v>395</v>
      </c>
      <c r="D3649" s="408" t="s">
        <v>137</v>
      </c>
      <c r="E3649" s="604" t="s">
        <v>7768</v>
      </c>
      <c r="F3649" s="604"/>
      <c r="G3649" s="410" t="s">
        <v>6</v>
      </c>
      <c r="H3649" s="412">
        <v>0.36380000000000001</v>
      </c>
      <c r="I3649" s="412">
        <v>0</v>
      </c>
      <c r="J3649" s="411">
        <v>40.299999999999997</v>
      </c>
      <c r="K3649" s="411">
        <v>14.66114</v>
      </c>
    </row>
    <row r="3650" spans="1:11" ht="26.4" x14ac:dyDescent="0.3">
      <c r="A3650" s="400" t="s">
        <v>1038</v>
      </c>
      <c r="B3650" s="401" t="s">
        <v>6794</v>
      </c>
      <c r="C3650" s="400" t="s">
        <v>395</v>
      </c>
      <c r="D3650" s="400" t="s">
        <v>6795</v>
      </c>
      <c r="E3650" s="605" t="s">
        <v>1039</v>
      </c>
      <c r="F3650" s="605"/>
      <c r="G3650" s="402" t="s">
        <v>4</v>
      </c>
      <c r="H3650" s="403">
        <v>3</v>
      </c>
      <c r="I3650" s="403">
        <v>0</v>
      </c>
      <c r="J3650" s="404">
        <v>3.51</v>
      </c>
      <c r="K3650" s="404">
        <v>10.53</v>
      </c>
    </row>
    <row r="3651" spans="1:11" ht="15" customHeight="1" x14ac:dyDescent="0.3">
      <c r="A3651" s="400" t="s">
        <v>1038</v>
      </c>
      <c r="B3651" s="401" t="s">
        <v>1338</v>
      </c>
      <c r="C3651" s="400" t="s">
        <v>395</v>
      </c>
      <c r="D3651" s="400" t="s">
        <v>345</v>
      </c>
      <c r="E3651" s="605" t="s">
        <v>1039</v>
      </c>
      <c r="F3651" s="605"/>
      <c r="G3651" s="402" t="s">
        <v>4</v>
      </c>
      <c r="H3651" s="403">
        <v>0.17249999999999999</v>
      </c>
      <c r="I3651" s="403">
        <v>0</v>
      </c>
      <c r="J3651" s="404">
        <v>32.67</v>
      </c>
      <c r="K3651" s="404">
        <v>5.6355750000000002</v>
      </c>
    </row>
    <row r="3652" spans="1:11" ht="15" customHeight="1" x14ac:dyDescent="0.3">
      <c r="A3652" s="400" t="s">
        <v>1038</v>
      </c>
      <c r="B3652" s="401" t="s">
        <v>4345</v>
      </c>
      <c r="C3652" s="400" t="s">
        <v>395</v>
      </c>
      <c r="D3652" s="400" t="s">
        <v>4346</v>
      </c>
      <c r="E3652" s="605" t="s">
        <v>1039</v>
      </c>
      <c r="F3652" s="605"/>
      <c r="G3652" s="402" t="s">
        <v>4</v>
      </c>
      <c r="H3652" s="403">
        <v>1</v>
      </c>
      <c r="I3652" s="403">
        <v>0</v>
      </c>
      <c r="J3652" s="404">
        <v>46.67</v>
      </c>
      <c r="K3652" s="404">
        <v>46.67</v>
      </c>
    </row>
    <row r="3653" spans="1:11" ht="38.25" customHeight="1" x14ac:dyDescent="0.3">
      <c r="A3653" s="405"/>
      <c r="B3653" s="405"/>
      <c r="C3653" s="405"/>
      <c r="D3653" s="405"/>
      <c r="E3653" s="405" t="s">
        <v>1046</v>
      </c>
      <c r="F3653" s="406">
        <v>19.760000000000002</v>
      </c>
      <c r="G3653" s="405" t="s">
        <v>1047</v>
      </c>
      <c r="H3653" s="406">
        <v>0</v>
      </c>
      <c r="I3653" s="405" t="s">
        <v>1048</v>
      </c>
      <c r="J3653" s="406">
        <v>19.760000000000002</v>
      </c>
      <c r="K3653"/>
    </row>
    <row r="3654" spans="1:11" ht="25.5" customHeight="1" thickBot="1" x14ac:dyDescent="0.35">
      <c r="A3654" s="405"/>
      <c r="B3654" s="405"/>
      <c r="C3654" s="405"/>
      <c r="D3654" s="405"/>
      <c r="E3654" s="405" t="s">
        <v>1049</v>
      </c>
      <c r="F3654" s="406">
        <v>0</v>
      </c>
      <c r="G3654" s="405"/>
      <c r="H3654" s="606"/>
      <c r="I3654" s="606" t="s">
        <v>1050</v>
      </c>
      <c r="J3654" s="406">
        <v>89.67</v>
      </c>
      <c r="K3654"/>
    </row>
    <row r="3655" spans="1:11" ht="25.5" customHeight="1" thickTop="1" x14ac:dyDescent="0.3">
      <c r="A3655" s="407"/>
      <c r="B3655" s="407"/>
      <c r="C3655" s="407"/>
      <c r="D3655" s="407"/>
      <c r="E3655" s="407"/>
      <c r="F3655" s="407"/>
      <c r="G3655" s="407"/>
      <c r="H3655" s="407"/>
      <c r="I3655" s="407"/>
      <c r="J3655" s="407"/>
      <c r="K3655" s="407"/>
    </row>
    <row r="3656" spans="1:11" ht="25.5" customHeight="1" x14ac:dyDescent="0.3">
      <c r="A3656" s="382" t="s">
        <v>2753</v>
      </c>
      <c r="B3656" s="312" t="s">
        <v>413</v>
      </c>
      <c r="C3656" s="382" t="s">
        <v>414</v>
      </c>
      <c r="D3656" s="382" t="s">
        <v>415</v>
      </c>
      <c r="E3656" s="586" t="s">
        <v>1029</v>
      </c>
      <c r="F3656" s="586"/>
      <c r="G3656" s="383" t="s">
        <v>416</v>
      </c>
      <c r="H3656" s="312" t="s">
        <v>1030</v>
      </c>
      <c r="I3656" s="312" t="s">
        <v>3016</v>
      </c>
      <c r="J3656" s="312" t="s">
        <v>1031</v>
      </c>
      <c r="K3656" s="312" t="s">
        <v>1032</v>
      </c>
    </row>
    <row r="3657" spans="1:11" ht="25.5" customHeight="1" x14ac:dyDescent="0.3">
      <c r="A3657" s="313" t="s">
        <v>1033</v>
      </c>
      <c r="B3657" s="315" t="s">
        <v>3891</v>
      </c>
      <c r="C3657" s="313" t="s">
        <v>395</v>
      </c>
      <c r="D3657" s="313" t="s">
        <v>6006</v>
      </c>
      <c r="E3657" s="603" t="s">
        <v>7872</v>
      </c>
      <c r="F3657" s="603"/>
      <c r="G3657" s="314" t="s">
        <v>4</v>
      </c>
      <c r="H3657" s="399">
        <v>1</v>
      </c>
      <c r="I3657" s="316"/>
      <c r="J3657" s="316">
        <v>28.78</v>
      </c>
      <c r="K3657" s="316">
        <v>28.78</v>
      </c>
    </row>
    <row r="3658" spans="1:11" ht="15" customHeight="1" x14ac:dyDescent="0.3">
      <c r="A3658" s="408" t="s">
        <v>1034</v>
      </c>
      <c r="B3658" s="409" t="s">
        <v>1113</v>
      </c>
      <c r="C3658" s="408" t="s">
        <v>395</v>
      </c>
      <c r="D3658" s="408" t="s">
        <v>129</v>
      </c>
      <c r="E3658" s="604" t="s">
        <v>7768</v>
      </c>
      <c r="F3658" s="604"/>
      <c r="G3658" s="410" t="s">
        <v>6</v>
      </c>
      <c r="H3658" s="412">
        <v>0.1158</v>
      </c>
      <c r="I3658" s="412">
        <v>0</v>
      </c>
      <c r="J3658" s="411">
        <v>33.450000000000003</v>
      </c>
      <c r="K3658" s="411">
        <v>3.87351</v>
      </c>
    </row>
    <row r="3659" spans="1:11" ht="25.5" customHeight="1" x14ac:dyDescent="0.3">
      <c r="A3659" s="408" t="s">
        <v>1034</v>
      </c>
      <c r="B3659" s="409" t="s">
        <v>1112</v>
      </c>
      <c r="C3659" s="408" t="s">
        <v>395</v>
      </c>
      <c r="D3659" s="408" t="s">
        <v>137</v>
      </c>
      <c r="E3659" s="604" t="s">
        <v>7768</v>
      </c>
      <c r="F3659" s="604"/>
      <c r="G3659" s="410" t="s">
        <v>6</v>
      </c>
      <c r="H3659" s="412">
        <v>0.1158</v>
      </c>
      <c r="I3659" s="412">
        <v>0</v>
      </c>
      <c r="J3659" s="411">
        <v>40.299999999999997</v>
      </c>
      <c r="K3659" s="411">
        <v>4.6667399999999999</v>
      </c>
    </row>
    <row r="3660" spans="1:11" ht="14.25" customHeight="1" x14ac:dyDescent="0.3">
      <c r="A3660" s="400" t="s">
        <v>1038</v>
      </c>
      <c r="B3660" s="401" t="s">
        <v>2587</v>
      </c>
      <c r="C3660" s="400" t="s">
        <v>395</v>
      </c>
      <c r="D3660" s="400" t="s">
        <v>349</v>
      </c>
      <c r="E3660" s="605" t="s">
        <v>1039</v>
      </c>
      <c r="F3660" s="605"/>
      <c r="G3660" s="402" t="s">
        <v>4</v>
      </c>
      <c r="H3660" s="403">
        <v>1.67E-2</v>
      </c>
      <c r="I3660" s="403">
        <v>0</v>
      </c>
      <c r="J3660" s="404">
        <v>79.17</v>
      </c>
      <c r="K3660" s="404">
        <v>1.322139</v>
      </c>
    </row>
    <row r="3661" spans="1:11" ht="26.4" x14ac:dyDescent="0.3">
      <c r="A3661" s="400" t="s">
        <v>1038</v>
      </c>
      <c r="B3661" s="401" t="s">
        <v>4476</v>
      </c>
      <c r="C3661" s="400" t="s">
        <v>395</v>
      </c>
      <c r="D3661" s="400" t="s">
        <v>4477</v>
      </c>
      <c r="E3661" s="605" t="s">
        <v>1039</v>
      </c>
      <c r="F3661" s="605"/>
      <c r="G3661" s="402" t="s">
        <v>4</v>
      </c>
      <c r="H3661" s="403">
        <v>1</v>
      </c>
      <c r="I3661" s="403">
        <v>0</v>
      </c>
      <c r="J3661" s="404">
        <v>2.69</v>
      </c>
      <c r="K3661" s="404">
        <v>2.69</v>
      </c>
    </row>
    <row r="3662" spans="1:11" ht="30" customHeight="1" x14ac:dyDescent="0.3">
      <c r="A3662" s="400" t="s">
        <v>1038</v>
      </c>
      <c r="B3662" s="401" t="s">
        <v>1338</v>
      </c>
      <c r="C3662" s="400" t="s">
        <v>395</v>
      </c>
      <c r="D3662" s="400" t="s">
        <v>345</v>
      </c>
      <c r="E3662" s="605" t="s">
        <v>1039</v>
      </c>
      <c r="F3662" s="605"/>
      <c r="G3662" s="402" t="s">
        <v>4</v>
      </c>
      <c r="H3662" s="403">
        <v>3.7499999999999999E-2</v>
      </c>
      <c r="I3662" s="403">
        <v>0</v>
      </c>
      <c r="J3662" s="404">
        <v>32.67</v>
      </c>
      <c r="K3662" s="404">
        <v>1.225125</v>
      </c>
    </row>
    <row r="3663" spans="1:11" ht="15" customHeight="1" x14ac:dyDescent="0.3">
      <c r="A3663" s="400" t="s">
        <v>1038</v>
      </c>
      <c r="B3663" s="401" t="s">
        <v>2588</v>
      </c>
      <c r="C3663" s="400" t="s">
        <v>395</v>
      </c>
      <c r="D3663" s="400" t="s">
        <v>350</v>
      </c>
      <c r="E3663" s="605" t="s">
        <v>1039</v>
      </c>
      <c r="F3663" s="605"/>
      <c r="G3663" s="402" t="s">
        <v>4</v>
      </c>
      <c r="H3663" s="403">
        <v>2.5999999999999999E-2</v>
      </c>
      <c r="I3663" s="403">
        <v>0</v>
      </c>
      <c r="J3663" s="404">
        <v>89.7</v>
      </c>
      <c r="K3663" s="404">
        <v>2.3321999999999998</v>
      </c>
    </row>
    <row r="3664" spans="1:11" ht="38.25" customHeight="1" x14ac:dyDescent="0.3">
      <c r="A3664" s="400" t="s">
        <v>1038</v>
      </c>
      <c r="B3664" s="401" t="s">
        <v>4690</v>
      </c>
      <c r="C3664" s="400" t="s">
        <v>395</v>
      </c>
      <c r="D3664" s="400" t="s">
        <v>4691</v>
      </c>
      <c r="E3664" s="605" t="s">
        <v>1039</v>
      </c>
      <c r="F3664" s="605"/>
      <c r="G3664" s="402" t="s">
        <v>4</v>
      </c>
      <c r="H3664" s="403">
        <v>1</v>
      </c>
      <c r="I3664" s="403">
        <v>0</v>
      </c>
      <c r="J3664" s="404">
        <v>12.6</v>
      </c>
      <c r="K3664" s="404">
        <v>12.6</v>
      </c>
    </row>
    <row r="3665" spans="1:11" ht="25.5" customHeight="1" x14ac:dyDescent="0.3">
      <c r="A3665" s="400" t="s">
        <v>1038</v>
      </c>
      <c r="B3665" s="401" t="s">
        <v>1372</v>
      </c>
      <c r="C3665" s="400" t="s">
        <v>395</v>
      </c>
      <c r="D3665" s="400" t="s">
        <v>266</v>
      </c>
      <c r="E3665" s="605" t="s">
        <v>1039</v>
      </c>
      <c r="F3665" s="605"/>
      <c r="G3665" s="402" t="s">
        <v>4</v>
      </c>
      <c r="H3665" s="403">
        <v>3.2000000000000001E-2</v>
      </c>
      <c r="I3665" s="403">
        <v>0</v>
      </c>
      <c r="J3665" s="404">
        <v>2.09</v>
      </c>
      <c r="K3665" s="404">
        <v>6.6879999999999995E-2</v>
      </c>
    </row>
    <row r="3666" spans="1:11" ht="25.5" customHeight="1" x14ac:dyDescent="0.3">
      <c r="A3666" s="405"/>
      <c r="B3666" s="405"/>
      <c r="C3666" s="405"/>
      <c r="D3666" s="405"/>
      <c r="E3666" s="405" t="s">
        <v>1046</v>
      </c>
      <c r="F3666" s="406">
        <v>6.29</v>
      </c>
      <c r="G3666" s="405" t="s">
        <v>1047</v>
      </c>
      <c r="H3666" s="406">
        <v>0</v>
      </c>
      <c r="I3666" s="405" t="s">
        <v>1048</v>
      </c>
      <c r="J3666" s="406">
        <v>6.29</v>
      </c>
      <c r="K3666"/>
    </row>
    <row r="3667" spans="1:11" ht="38.25" customHeight="1" thickBot="1" x14ac:dyDescent="0.35">
      <c r="A3667" s="405"/>
      <c r="B3667" s="405"/>
      <c r="C3667" s="405"/>
      <c r="D3667" s="405"/>
      <c r="E3667" s="405" t="s">
        <v>1049</v>
      </c>
      <c r="F3667" s="406">
        <v>0</v>
      </c>
      <c r="G3667" s="405"/>
      <c r="H3667" s="606"/>
      <c r="I3667" s="606" t="s">
        <v>1050</v>
      </c>
      <c r="J3667" s="406">
        <v>28.78</v>
      </c>
      <c r="K3667"/>
    </row>
    <row r="3668" spans="1:11" ht="25.5" customHeight="1" thickTop="1" x14ac:dyDescent="0.3">
      <c r="A3668" s="407"/>
      <c r="B3668" s="407"/>
      <c r="C3668" s="407"/>
      <c r="D3668" s="407"/>
      <c r="E3668" s="407"/>
      <c r="F3668" s="407"/>
      <c r="G3668" s="407"/>
      <c r="H3668" s="407"/>
      <c r="I3668" s="407"/>
      <c r="J3668" s="407"/>
      <c r="K3668" s="407"/>
    </row>
    <row r="3669" spans="1:11" ht="25.5" customHeight="1" x14ac:dyDescent="0.3">
      <c r="A3669" s="382" t="s">
        <v>2754</v>
      </c>
      <c r="B3669" s="312" t="s">
        <v>413</v>
      </c>
      <c r="C3669" s="382" t="s">
        <v>414</v>
      </c>
      <c r="D3669" s="382" t="s">
        <v>415</v>
      </c>
      <c r="E3669" s="586" t="s">
        <v>1029</v>
      </c>
      <c r="F3669" s="586"/>
      <c r="G3669" s="383" t="s">
        <v>416</v>
      </c>
      <c r="H3669" s="312" t="s">
        <v>1030</v>
      </c>
      <c r="I3669" s="312" t="s">
        <v>3016</v>
      </c>
      <c r="J3669" s="312" t="s">
        <v>1031</v>
      </c>
      <c r="K3669" s="312" t="s">
        <v>1032</v>
      </c>
    </row>
    <row r="3670" spans="1:11" ht="15" customHeight="1" x14ac:dyDescent="0.3">
      <c r="A3670" s="313" t="s">
        <v>1033</v>
      </c>
      <c r="B3670" s="315" t="s">
        <v>3892</v>
      </c>
      <c r="C3670" s="313" t="s">
        <v>395</v>
      </c>
      <c r="D3670" s="313" t="s">
        <v>6007</v>
      </c>
      <c r="E3670" s="603" t="s">
        <v>7872</v>
      </c>
      <c r="F3670" s="603"/>
      <c r="G3670" s="314" t="s">
        <v>4</v>
      </c>
      <c r="H3670" s="399">
        <v>1</v>
      </c>
      <c r="I3670" s="316"/>
      <c r="J3670" s="316">
        <v>38.909999999999997</v>
      </c>
      <c r="K3670" s="316">
        <v>38.909999999999997</v>
      </c>
    </row>
    <row r="3671" spans="1:11" ht="26.4" x14ac:dyDescent="0.3">
      <c r="A3671" s="408" t="s">
        <v>1034</v>
      </c>
      <c r="B3671" s="409" t="s">
        <v>1113</v>
      </c>
      <c r="C3671" s="408" t="s">
        <v>395</v>
      </c>
      <c r="D3671" s="408" t="s">
        <v>129</v>
      </c>
      <c r="E3671" s="604" t="s">
        <v>7768</v>
      </c>
      <c r="F3671" s="604"/>
      <c r="G3671" s="410" t="s">
        <v>6</v>
      </c>
      <c r="H3671" s="412">
        <v>0.18190000000000001</v>
      </c>
      <c r="I3671" s="412">
        <v>0</v>
      </c>
      <c r="J3671" s="411">
        <v>33.450000000000003</v>
      </c>
      <c r="K3671" s="411">
        <v>6.0845549999999999</v>
      </c>
    </row>
    <row r="3672" spans="1:11" ht="26.4" x14ac:dyDescent="0.3">
      <c r="A3672" s="408" t="s">
        <v>1034</v>
      </c>
      <c r="B3672" s="409" t="s">
        <v>1112</v>
      </c>
      <c r="C3672" s="408" t="s">
        <v>395</v>
      </c>
      <c r="D3672" s="408" t="s">
        <v>137</v>
      </c>
      <c r="E3672" s="604" t="s">
        <v>7768</v>
      </c>
      <c r="F3672" s="604"/>
      <c r="G3672" s="410" t="s">
        <v>6</v>
      </c>
      <c r="H3672" s="412">
        <v>0.18190000000000001</v>
      </c>
      <c r="I3672" s="412">
        <v>0</v>
      </c>
      <c r="J3672" s="411">
        <v>40.299999999999997</v>
      </c>
      <c r="K3672" s="411">
        <v>7.3305699999999998</v>
      </c>
    </row>
    <row r="3673" spans="1:11" ht="15" customHeight="1" x14ac:dyDescent="0.3">
      <c r="A3673" s="400" t="s">
        <v>1038</v>
      </c>
      <c r="B3673" s="401" t="s">
        <v>2587</v>
      </c>
      <c r="C3673" s="400" t="s">
        <v>395</v>
      </c>
      <c r="D3673" s="400" t="s">
        <v>349</v>
      </c>
      <c r="E3673" s="605" t="s">
        <v>1039</v>
      </c>
      <c r="F3673" s="605"/>
      <c r="G3673" s="402" t="s">
        <v>4</v>
      </c>
      <c r="H3673" s="403">
        <v>2.4500000000000001E-2</v>
      </c>
      <c r="I3673" s="403">
        <v>0</v>
      </c>
      <c r="J3673" s="404">
        <v>79.17</v>
      </c>
      <c r="K3673" s="404">
        <v>1.939665</v>
      </c>
    </row>
    <row r="3674" spans="1:11" ht="12.75" customHeight="1" x14ac:dyDescent="0.3">
      <c r="A3674" s="400" t="s">
        <v>1038</v>
      </c>
      <c r="B3674" s="401" t="s">
        <v>6794</v>
      </c>
      <c r="C3674" s="400" t="s">
        <v>395</v>
      </c>
      <c r="D3674" s="400" t="s">
        <v>6795</v>
      </c>
      <c r="E3674" s="605" t="s">
        <v>1039</v>
      </c>
      <c r="F3674" s="605"/>
      <c r="G3674" s="402" t="s">
        <v>4</v>
      </c>
      <c r="H3674" s="403">
        <v>1</v>
      </c>
      <c r="I3674" s="403">
        <v>0</v>
      </c>
      <c r="J3674" s="404">
        <v>3.51</v>
      </c>
      <c r="K3674" s="404">
        <v>3.51</v>
      </c>
    </row>
    <row r="3675" spans="1:11" ht="30" customHeight="1" x14ac:dyDescent="0.3">
      <c r="A3675" s="400" t="s">
        <v>1038</v>
      </c>
      <c r="B3675" s="401" t="s">
        <v>1338</v>
      </c>
      <c r="C3675" s="400" t="s">
        <v>395</v>
      </c>
      <c r="D3675" s="400" t="s">
        <v>345</v>
      </c>
      <c r="E3675" s="605" t="s">
        <v>1039</v>
      </c>
      <c r="F3675" s="605"/>
      <c r="G3675" s="402" t="s">
        <v>4</v>
      </c>
      <c r="H3675" s="403">
        <v>5.7500000000000002E-2</v>
      </c>
      <c r="I3675" s="403">
        <v>0</v>
      </c>
      <c r="J3675" s="404">
        <v>32.67</v>
      </c>
      <c r="K3675" s="404">
        <v>1.878525</v>
      </c>
    </row>
    <row r="3676" spans="1:11" ht="26.4" x14ac:dyDescent="0.3">
      <c r="A3676" s="400" t="s">
        <v>1038</v>
      </c>
      <c r="B3676" s="401" t="s">
        <v>2588</v>
      </c>
      <c r="C3676" s="400" t="s">
        <v>395</v>
      </c>
      <c r="D3676" s="400" t="s">
        <v>350</v>
      </c>
      <c r="E3676" s="605" t="s">
        <v>1039</v>
      </c>
      <c r="F3676" s="605"/>
      <c r="G3676" s="402" t="s">
        <v>4</v>
      </c>
      <c r="H3676" s="403">
        <v>0.04</v>
      </c>
      <c r="I3676" s="403">
        <v>0</v>
      </c>
      <c r="J3676" s="404">
        <v>89.7</v>
      </c>
      <c r="K3676" s="404">
        <v>3.5880000000000001</v>
      </c>
    </row>
    <row r="3677" spans="1:11" ht="15" customHeight="1" x14ac:dyDescent="0.3">
      <c r="A3677" s="400" t="s">
        <v>1038</v>
      </c>
      <c r="B3677" s="401" t="s">
        <v>4659</v>
      </c>
      <c r="C3677" s="400" t="s">
        <v>395</v>
      </c>
      <c r="D3677" s="400" t="s">
        <v>4660</v>
      </c>
      <c r="E3677" s="605" t="s">
        <v>1039</v>
      </c>
      <c r="F3677" s="605"/>
      <c r="G3677" s="402" t="s">
        <v>4</v>
      </c>
      <c r="H3677" s="403">
        <v>1</v>
      </c>
      <c r="I3677" s="403">
        <v>0</v>
      </c>
      <c r="J3677" s="404">
        <v>14.47</v>
      </c>
      <c r="K3677" s="404">
        <v>14.47</v>
      </c>
    </row>
    <row r="3678" spans="1:11" ht="15" x14ac:dyDescent="0.3">
      <c r="A3678" s="400" t="s">
        <v>1038</v>
      </c>
      <c r="B3678" s="401" t="s">
        <v>1372</v>
      </c>
      <c r="C3678" s="400" t="s">
        <v>395</v>
      </c>
      <c r="D3678" s="400" t="s">
        <v>266</v>
      </c>
      <c r="E3678" s="605" t="s">
        <v>1039</v>
      </c>
      <c r="F3678" s="605"/>
      <c r="G3678" s="402" t="s">
        <v>4</v>
      </c>
      <c r="H3678" s="403">
        <v>5.0999999999999997E-2</v>
      </c>
      <c r="I3678" s="403">
        <v>0</v>
      </c>
      <c r="J3678" s="404">
        <v>2.09</v>
      </c>
      <c r="K3678" s="404">
        <v>0.10659</v>
      </c>
    </row>
    <row r="3679" spans="1:11" ht="14.25" customHeight="1" x14ac:dyDescent="0.3">
      <c r="A3679" s="405"/>
      <c r="B3679" s="405"/>
      <c r="C3679" s="405"/>
      <c r="D3679" s="405"/>
      <c r="E3679" s="405" t="s">
        <v>1046</v>
      </c>
      <c r="F3679" s="406">
        <v>9.8800000000000008</v>
      </c>
      <c r="G3679" s="405" t="s">
        <v>1047</v>
      </c>
      <c r="H3679" s="406">
        <v>0</v>
      </c>
      <c r="I3679" s="405" t="s">
        <v>1048</v>
      </c>
      <c r="J3679" s="406">
        <v>9.8800000000000008</v>
      </c>
      <c r="K3679"/>
    </row>
    <row r="3680" spans="1:11" ht="15.6" thickBot="1" x14ac:dyDescent="0.35">
      <c r="A3680" s="405"/>
      <c r="B3680" s="405"/>
      <c r="C3680" s="405"/>
      <c r="D3680" s="405"/>
      <c r="E3680" s="405" t="s">
        <v>1049</v>
      </c>
      <c r="F3680" s="406">
        <v>0</v>
      </c>
      <c r="G3680" s="405"/>
      <c r="H3680" s="606"/>
      <c r="I3680" s="606" t="s">
        <v>1050</v>
      </c>
      <c r="J3680" s="406">
        <v>38.909999999999997</v>
      </c>
      <c r="K3680"/>
    </row>
    <row r="3681" spans="1:11" ht="15" customHeight="1" thickTop="1" x14ac:dyDescent="0.3">
      <c r="A3681" s="407"/>
      <c r="B3681" s="407"/>
      <c r="C3681" s="407"/>
      <c r="D3681" s="407"/>
      <c r="E3681" s="407"/>
      <c r="F3681" s="407"/>
      <c r="G3681" s="407"/>
      <c r="H3681" s="407"/>
      <c r="I3681" s="407"/>
      <c r="J3681" s="407"/>
      <c r="K3681" s="407"/>
    </row>
    <row r="3682" spans="1:11" ht="25.5" customHeight="1" x14ac:dyDescent="0.3">
      <c r="A3682" s="382" t="s">
        <v>2755</v>
      </c>
      <c r="B3682" s="312" t="s">
        <v>413</v>
      </c>
      <c r="C3682" s="382" t="s">
        <v>414</v>
      </c>
      <c r="D3682" s="382" t="s">
        <v>415</v>
      </c>
      <c r="E3682" s="586" t="s">
        <v>1029</v>
      </c>
      <c r="F3682" s="586"/>
      <c r="G3682" s="383" t="s">
        <v>416</v>
      </c>
      <c r="H3682" s="312" t="s">
        <v>1030</v>
      </c>
      <c r="I3682" s="312" t="s">
        <v>3016</v>
      </c>
      <c r="J3682" s="312" t="s">
        <v>1031</v>
      </c>
      <c r="K3682" s="312" t="s">
        <v>1032</v>
      </c>
    </row>
    <row r="3683" spans="1:11" ht="39.6" x14ac:dyDescent="0.3">
      <c r="A3683" s="313" t="s">
        <v>1033</v>
      </c>
      <c r="B3683" s="315" t="s">
        <v>3893</v>
      </c>
      <c r="C3683" s="313" t="s">
        <v>395</v>
      </c>
      <c r="D3683" s="313" t="s">
        <v>6008</v>
      </c>
      <c r="E3683" s="603" t="s">
        <v>7873</v>
      </c>
      <c r="F3683" s="603"/>
      <c r="G3683" s="314" t="s">
        <v>4</v>
      </c>
      <c r="H3683" s="399">
        <v>1</v>
      </c>
      <c r="I3683" s="316"/>
      <c r="J3683" s="316">
        <v>59.62</v>
      </c>
      <c r="K3683" s="316">
        <v>59.62</v>
      </c>
    </row>
    <row r="3684" spans="1:11" ht="12.75" customHeight="1" x14ac:dyDescent="0.3">
      <c r="A3684" s="408" t="s">
        <v>1034</v>
      </c>
      <c r="B3684" s="409" t="s">
        <v>1113</v>
      </c>
      <c r="C3684" s="408" t="s">
        <v>395</v>
      </c>
      <c r="D3684" s="408" t="s">
        <v>129</v>
      </c>
      <c r="E3684" s="604" t="s">
        <v>7768</v>
      </c>
      <c r="F3684" s="604"/>
      <c r="G3684" s="410" t="s">
        <v>6</v>
      </c>
      <c r="H3684" s="412">
        <v>0.24030000000000001</v>
      </c>
      <c r="I3684" s="412">
        <v>0</v>
      </c>
      <c r="J3684" s="411">
        <v>33.450000000000003</v>
      </c>
      <c r="K3684" s="411">
        <v>8.0380350000000007</v>
      </c>
    </row>
    <row r="3685" spans="1:11" ht="15" customHeight="1" x14ac:dyDescent="0.3">
      <c r="A3685" s="408" t="s">
        <v>1034</v>
      </c>
      <c r="B3685" s="409" t="s">
        <v>1112</v>
      </c>
      <c r="C3685" s="408" t="s">
        <v>395</v>
      </c>
      <c r="D3685" s="408" t="s">
        <v>137</v>
      </c>
      <c r="E3685" s="604" t="s">
        <v>7768</v>
      </c>
      <c r="F3685" s="604"/>
      <c r="G3685" s="410" t="s">
        <v>6</v>
      </c>
      <c r="H3685" s="412">
        <v>0.24030000000000001</v>
      </c>
      <c r="I3685" s="412">
        <v>0</v>
      </c>
      <c r="J3685" s="411">
        <v>40.299999999999997</v>
      </c>
      <c r="K3685" s="411">
        <v>9.6840899999999994</v>
      </c>
    </row>
    <row r="3686" spans="1:11" ht="30" customHeight="1" x14ac:dyDescent="0.3">
      <c r="A3686" s="400" t="s">
        <v>1038</v>
      </c>
      <c r="B3686" s="401" t="s">
        <v>2587</v>
      </c>
      <c r="C3686" s="400" t="s">
        <v>395</v>
      </c>
      <c r="D3686" s="400" t="s">
        <v>349</v>
      </c>
      <c r="E3686" s="605" t="s">
        <v>1039</v>
      </c>
      <c r="F3686" s="605"/>
      <c r="G3686" s="402" t="s">
        <v>4</v>
      </c>
      <c r="H3686" s="403">
        <v>3.0599999999999999E-2</v>
      </c>
      <c r="I3686" s="403">
        <v>0</v>
      </c>
      <c r="J3686" s="404">
        <v>79.17</v>
      </c>
      <c r="K3686" s="404">
        <v>2.4226019999999999</v>
      </c>
    </row>
    <row r="3687" spans="1:11" ht="26.4" x14ac:dyDescent="0.3">
      <c r="A3687" s="400" t="s">
        <v>1038</v>
      </c>
      <c r="B3687" s="401" t="s">
        <v>2588</v>
      </c>
      <c r="C3687" s="400" t="s">
        <v>395</v>
      </c>
      <c r="D3687" s="400" t="s">
        <v>350</v>
      </c>
      <c r="E3687" s="605" t="s">
        <v>1039</v>
      </c>
      <c r="F3687" s="605"/>
      <c r="G3687" s="402" t="s">
        <v>4</v>
      </c>
      <c r="H3687" s="403">
        <v>0.05</v>
      </c>
      <c r="I3687" s="403">
        <v>0</v>
      </c>
      <c r="J3687" s="404">
        <v>89.7</v>
      </c>
      <c r="K3687" s="404">
        <v>4.4850000000000003</v>
      </c>
    </row>
    <row r="3688" spans="1:11" ht="14.25" customHeight="1" x14ac:dyDescent="0.3">
      <c r="A3688" s="400" t="s">
        <v>1038</v>
      </c>
      <c r="B3688" s="401" t="s">
        <v>1372</v>
      </c>
      <c r="C3688" s="400" t="s">
        <v>395</v>
      </c>
      <c r="D3688" s="400" t="s">
        <v>266</v>
      </c>
      <c r="E3688" s="605" t="s">
        <v>1039</v>
      </c>
      <c r="F3688" s="605"/>
      <c r="G3688" s="402" t="s">
        <v>4</v>
      </c>
      <c r="H3688" s="403">
        <v>0.01</v>
      </c>
      <c r="I3688" s="403">
        <v>0</v>
      </c>
      <c r="J3688" s="404">
        <v>2.09</v>
      </c>
      <c r="K3688" s="404">
        <v>2.0899999999999998E-2</v>
      </c>
    </row>
    <row r="3689" spans="1:11" ht="26.4" x14ac:dyDescent="0.3">
      <c r="A3689" s="400" t="s">
        <v>1038</v>
      </c>
      <c r="B3689" s="401" t="s">
        <v>4483</v>
      </c>
      <c r="C3689" s="400" t="s">
        <v>395</v>
      </c>
      <c r="D3689" s="400" t="s">
        <v>4484</v>
      </c>
      <c r="E3689" s="605" t="s">
        <v>1039</v>
      </c>
      <c r="F3689" s="605"/>
      <c r="G3689" s="402" t="s">
        <v>4</v>
      </c>
      <c r="H3689" s="403">
        <v>1</v>
      </c>
      <c r="I3689" s="403">
        <v>0</v>
      </c>
      <c r="J3689" s="404">
        <v>34.97</v>
      </c>
      <c r="K3689" s="404">
        <v>34.97</v>
      </c>
    </row>
    <row r="3690" spans="1:11" ht="15" x14ac:dyDescent="0.3">
      <c r="A3690" s="405"/>
      <c r="B3690" s="405"/>
      <c r="C3690" s="405"/>
      <c r="D3690" s="405"/>
      <c r="E3690" s="405" t="s">
        <v>1046</v>
      </c>
      <c r="F3690" s="406">
        <v>13.05</v>
      </c>
      <c r="G3690" s="405" t="s">
        <v>1047</v>
      </c>
      <c r="H3690" s="406">
        <v>0</v>
      </c>
      <c r="I3690" s="405" t="s">
        <v>1048</v>
      </c>
      <c r="J3690" s="406">
        <v>13.05</v>
      </c>
      <c r="K3690"/>
    </row>
    <row r="3691" spans="1:11" ht="15" customHeight="1" thickBot="1" x14ac:dyDescent="0.35">
      <c r="A3691" s="405"/>
      <c r="B3691" s="405"/>
      <c r="C3691" s="405"/>
      <c r="D3691" s="405"/>
      <c r="E3691" s="405" t="s">
        <v>1049</v>
      </c>
      <c r="F3691" s="406">
        <v>0</v>
      </c>
      <c r="G3691" s="405"/>
      <c r="H3691" s="606"/>
      <c r="I3691" s="606" t="s">
        <v>1050</v>
      </c>
      <c r="J3691" s="406">
        <v>59.62</v>
      </c>
      <c r="K3691"/>
    </row>
    <row r="3692" spans="1:11" ht="38.25" customHeight="1" thickTop="1" x14ac:dyDescent="0.3">
      <c r="A3692" s="407"/>
      <c r="B3692" s="407"/>
      <c r="C3692" s="407"/>
      <c r="D3692" s="407"/>
      <c r="E3692" s="407"/>
      <c r="F3692" s="407"/>
      <c r="G3692" s="407"/>
      <c r="H3692" s="407"/>
      <c r="I3692" s="407"/>
      <c r="J3692" s="407"/>
      <c r="K3692" s="407"/>
    </row>
    <row r="3693" spans="1:11" ht="38.25" customHeight="1" x14ac:dyDescent="0.3">
      <c r="A3693" s="382" t="s">
        <v>2760</v>
      </c>
      <c r="B3693" s="312" t="s">
        <v>413</v>
      </c>
      <c r="C3693" s="382" t="s">
        <v>414</v>
      </c>
      <c r="D3693" s="382" t="s">
        <v>415</v>
      </c>
      <c r="E3693" s="586" t="s">
        <v>1029</v>
      </c>
      <c r="F3693" s="586"/>
      <c r="G3693" s="383" t="s">
        <v>416</v>
      </c>
      <c r="H3693" s="312" t="s">
        <v>1030</v>
      </c>
      <c r="I3693" s="312" t="s">
        <v>3016</v>
      </c>
      <c r="J3693" s="312" t="s">
        <v>1031</v>
      </c>
      <c r="K3693" s="312" t="s">
        <v>1032</v>
      </c>
    </row>
    <row r="3694" spans="1:11" ht="39.6" x14ac:dyDescent="0.3">
      <c r="A3694" s="313" t="s">
        <v>1033</v>
      </c>
      <c r="B3694" s="315" t="s">
        <v>3894</v>
      </c>
      <c r="C3694" s="313" t="s">
        <v>395</v>
      </c>
      <c r="D3694" s="313" t="s">
        <v>6009</v>
      </c>
      <c r="E3694" s="603" t="s">
        <v>7872</v>
      </c>
      <c r="F3694" s="603"/>
      <c r="G3694" s="314" t="s">
        <v>4</v>
      </c>
      <c r="H3694" s="399">
        <v>1</v>
      </c>
      <c r="I3694" s="316"/>
      <c r="J3694" s="316">
        <v>39.93</v>
      </c>
      <c r="K3694" s="316">
        <v>39.93</v>
      </c>
    </row>
    <row r="3695" spans="1:11" ht="25.5" customHeight="1" x14ac:dyDescent="0.3">
      <c r="A3695" s="408" t="s">
        <v>1034</v>
      </c>
      <c r="B3695" s="409" t="s">
        <v>1113</v>
      </c>
      <c r="C3695" s="408" t="s">
        <v>395</v>
      </c>
      <c r="D3695" s="408" t="s">
        <v>129</v>
      </c>
      <c r="E3695" s="604" t="s">
        <v>7768</v>
      </c>
      <c r="F3695" s="604"/>
      <c r="G3695" s="410" t="s">
        <v>6</v>
      </c>
      <c r="H3695" s="412">
        <v>0.1489</v>
      </c>
      <c r="I3695" s="412">
        <v>0</v>
      </c>
      <c r="J3695" s="411">
        <v>33.450000000000003</v>
      </c>
      <c r="K3695" s="411">
        <v>4.9807050000000004</v>
      </c>
    </row>
    <row r="3696" spans="1:11" ht="25.5" customHeight="1" x14ac:dyDescent="0.3">
      <c r="A3696" s="408" t="s">
        <v>1034</v>
      </c>
      <c r="B3696" s="409" t="s">
        <v>1112</v>
      </c>
      <c r="C3696" s="408" t="s">
        <v>395</v>
      </c>
      <c r="D3696" s="408" t="s">
        <v>137</v>
      </c>
      <c r="E3696" s="604" t="s">
        <v>7768</v>
      </c>
      <c r="F3696" s="604"/>
      <c r="G3696" s="410" t="s">
        <v>6</v>
      </c>
      <c r="H3696" s="412">
        <v>0.1489</v>
      </c>
      <c r="I3696" s="412">
        <v>0</v>
      </c>
      <c r="J3696" s="411">
        <v>40.299999999999997</v>
      </c>
      <c r="K3696" s="411">
        <v>6.0006700000000004</v>
      </c>
    </row>
    <row r="3697" spans="1:11" ht="15" customHeight="1" x14ac:dyDescent="0.3">
      <c r="A3697" s="400" t="s">
        <v>1038</v>
      </c>
      <c r="B3697" s="401" t="s">
        <v>4476</v>
      </c>
      <c r="C3697" s="400" t="s">
        <v>395</v>
      </c>
      <c r="D3697" s="400" t="s">
        <v>4477</v>
      </c>
      <c r="E3697" s="605" t="s">
        <v>1039</v>
      </c>
      <c r="F3697" s="605"/>
      <c r="G3697" s="402" t="s">
        <v>4</v>
      </c>
      <c r="H3697" s="403">
        <v>1</v>
      </c>
      <c r="I3697" s="403">
        <v>0</v>
      </c>
      <c r="J3697" s="404">
        <v>2.69</v>
      </c>
      <c r="K3697" s="404">
        <v>2.69</v>
      </c>
    </row>
    <row r="3698" spans="1:11" ht="26.4" x14ac:dyDescent="0.3">
      <c r="A3698" s="400" t="s">
        <v>1038</v>
      </c>
      <c r="B3698" s="401" t="s">
        <v>6794</v>
      </c>
      <c r="C3698" s="400" t="s">
        <v>395</v>
      </c>
      <c r="D3698" s="400" t="s">
        <v>6795</v>
      </c>
      <c r="E3698" s="605" t="s">
        <v>1039</v>
      </c>
      <c r="F3698" s="605"/>
      <c r="G3698" s="402" t="s">
        <v>4</v>
      </c>
      <c r="H3698" s="403">
        <v>1</v>
      </c>
      <c r="I3698" s="403">
        <v>0</v>
      </c>
      <c r="J3698" s="404">
        <v>3.51</v>
      </c>
      <c r="K3698" s="404">
        <v>3.51</v>
      </c>
    </row>
    <row r="3699" spans="1:11" ht="14.25" customHeight="1" x14ac:dyDescent="0.3">
      <c r="A3699" s="400" t="s">
        <v>1038</v>
      </c>
      <c r="B3699" s="401" t="s">
        <v>4608</v>
      </c>
      <c r="C3699" s="400" t="s">
        <v>395</v>
      </c>
      <c r="D3699" s="400" t="s">
        <v>4609</v>
      </c>
      <c r="E3699" s="605" t="s">
        <v>1039</v>
      </c>
      <c r="F3699" s="605"/>
      <c r="G3699" s="402" t="s">
        <v>4</v>
      </c>
      <c r="H3699" s="403">
        <v>1</v>
      </c>
      <c r="I3699" s="403">
        <v>0</v>
      </c>
      <c r="J3699" s="404">
        <v>19.64</v>
      </c>
      <c r="K3699" s="404">
        <v>19.64</v>
      </c>
    </row>
    <row r="3700" spans="1:11" ht="26.4" x14ac:dyDescent="0.3">
      <c r="A3700" s="400" t="s">
        <v>1038</v>
      </c>
      <c r="B3700" s="401" t="s">
        <v>1338</v>
      </c>
      <c r="C3700" s="400" t="s">
        <v>395</v>
      </c>
      <c r="D3700" s="400" t="s">
        <v>345</v>
      </c>
      <c r="E3700" s="605" t="s">
        <v>1039</v>
      </c>
      <c r="F3700" s="605"/>
      <c r="G3700" s="402" t="s">
        <v>4</v>
      </c>
      <c r="H3700" s="403">
        <v>9.5000000000000001E-2</v>
      </c>
      <c r="I3700" s="403">
        <v>0</v>
      </c>
      <c r="J3700" s="404">
        <v>32.67</v>
      </c>
      <c r="K3700" s="404">
        <v>3.10365</v>
      </c>
    </row>
    <row r="3701" spans="1:11" ht="15" x14ac:dyDescent="0.3">
      <c r="A3701" s="405"/>
      <c r="B3701" s="405"/>
      <c r="C3701" s="405"/>
      <c r="D3701" s="405"/>
      <c r="E3701" s="405" t="s">
        <v>1046</v>
      </c>
      <c r="F3701" s="406">
        <v>8.08</v>
      </c>
      <c r="G3701" s="405" t="s">
        <v>1047</v>
      </c>
      <c r="H3701" s="406">
        <v>0</v>
      </c>
      <c r="I3701" s="405" t="s">
        <v>1048</v>
      </c>
      <c r="J3701" s="406">
        <v>8.08</v>
      </c>
      <c r="K3701"/>
    </row>
    <row r="3702" spans="1:11" ht="15.6" thickBot="1" x14ac:dyDescent="0.35">
      <c r="A3702" s="405"/>
      <c r="B3702" s="405"/>
      <c r="C3702" s="405"/>
      <c r="D3702" s="405"/>
      <c r="E3702" s="405" t="s">
        <v>1049</v>
      </c>
      <c r="F3702" s="406">
        <v>0</v>
      </c>
      <c r="G3702" s="405"/>
      <c r="H3702" s="606"/>
      <c r="I3702" s="606" t="s">
        <v>1050</v>
      </c>
      <c r="J3702" s="406">
        <v>39.93</v>
      </c>
      <c r="K3702"/>
    </row>
    <row r="3703" spans="1:11" ht="25.5" customHeight="1" thickTop="1" x14ac:dyDescent="0.3">
      <c r="A3703" s="407"/>
      <c r="B3703" s="407"/>
      <c r="C3703" s="407"/>
      <c r="D3703" s="407"/>
      <c r="E3703" s="407"/>
      <c r="F3703" s="407"/>
      <c r="G3703" s="407"/>
      <c r="H3703" s="407"/>
      <c r="I3703" s="407"/>
      <c r="J3703" s="407"/>
      <c r="K3703" s="407"/>
    </row>
    <row r="3704" spans="1:11" ht="38.25" customHeight="1" x14ac:dyDescent="0.3">
      <c r="A3704" s="382" t="s">
        <v>2762</v>
      </c>
      <c r="B3704" s="312" t="s">
        <v>413</v>
      </c>
      <c r="C3704" s="382" t="s">
        <v>414</v>
      </c>
      <c r="D3704" s="382" t="s">
        <v>415</v>
      </c>
      <c r="E3704" s="586" t="s">
        <v>1029</v>
      </c>
      <c r="F3704" s="586"/>
      <c r="G3704" s="383" t="s">
        <v>416</v>
      </c>
      <c r="H3704" s="312" t="s">
        <v>1030</v>
      </c>
      <c r="I3704" s="312" t="s">
        <v>3016</v>
      </c>
      <c r="J3704" s="312" t="s">
        <v>1031</v>
      </c>
      <c r="K3704" s="312" t="s">
        <v>1032</v>
      </c>
    </row>
    <row r="3705" spans="1:11" ht="39.6" x14ac:dyDescent="0.3">
      <c r="A3705" s="313" t="s">
        <v>1033</v>
      </c>
      <c r="B3705" s="315" t="s">
        <v>3895</v>
      </c>
      <c r="C3705" s="313" t="s">
        <v>395</v>
      </c>
      <c r="D3705" s="313" t="s">
        <v>6010</v>
      </c>
      <c r="E3705" s="603" t="s">
        <v>7872</v>
      </c>
      <c r="F3705" s="603"/>
      <c r="G3705" s="314" t="s">
        <v>4</v>
      </c>
      <c r="H3705" s="399">
        <v>1</v>
      </c>
      <c r="I3705" s="316"/>
      <c r="J3705" s="316">
        <v>97.58</v>
      </c>
      <c r="K3705" s="316">
        <v>97.58</v>
      </c>
    </row>
    <row r="3706" spans="1:11" ht="25.5" customHeight="1" x14ac:dyDescent="0.3">
      <c r="A3706" s="408" t="s">
        <v>1034</v>
      </c>
      <c r="B3706" s="409" t="s">
        <v>1113</v>
      </c>
      <c r="C3706" s="408" t="s">
        <v>395</v>
      </c>
      <c r="D3706" s="408" t="s">
        <v>129</v>
      </c>
      <c r="E3706" s="604" t="s">
        <v>7768</v>
      </c>
      <c r="F3706" s="604"/>
      <c r="G3706" s="410" t="s">
        <v>6</v>
      </c>
      <c r="H3706" s="412">
        <v>0.24809999999999999</v>
      </c>
      <c r="I3706" s="412">
        <v>0</v>
      </c>
      <c r="J3706" s="411">
        <v>33.450000000000003</v>
      </c>
      <c r="K3706" s="411">
        <v>8.2989449999999998</v>
      </c>
    </row>
    <row r="3707" spans="1:11" ht="15" customHeight="1" x14ac:dyDescent="0.3">
      <c r="A3707" s="408" t="s">
        <v>1034</v>
      </c>
      <c r="B3707" s="409" t="s">
        <v>1112</v>
      </c>
      <c r="C3707" s="408" t="s">
        <v>395</v>
      </c>
      <c r="D3707" s="408" t="s">
        <v>137</v>
      </c>
      <c r="E3707" s="604" t="s">
        <v>7768</v>
      </c>
      <c r="F3707" s="604"/>
      <c r="G3707" s="410" t="s">
        <v>6</v>
      </c>
      <c r="H3707" s="412">
        <v>0.24809999999999999</v>
      </c>
      <c r="I3707" s="412">
        <v>0</v>
      </c>
      <c r="J3707" s="411">
        <v>40.299999999999997</v>
      </c>
      <c r="K3707" s="411">
        <v>9.9984300000000008</v>
      </c>
    </row>
    <row r="3708" spans="1:11" ht="14.25" customHeight="1" x14ac:dyDescent="0.3">
      <c r="A3708" s="400" t="s">
        <v>1038</v>
      </c>
      <c r="B3708" s="401" t="s">
        <v>6794</v>
      </c>
      <c r="C3708" s="400" t="s">
        <v>395</v>
      </c>
      <c r="D3708" s="400" t="s">
        <v>6795</v>
      </c>
      <c r="E3708" s="605" t="s">
        <v>1039</v>
      </c>
      <c r="F3708" s="605"/>
      <c r="G3708" s="402" t="s">
        <v>4</v>
      </c>
      <c r="H3708" s="403">
        <v>1</v>
      </c>
      <c r="I3708" s="403">
        <v>0</v>
      </c>
      <c r="J3708" s="404">
        <v>3.51</v>
      </c>
      <c r="K3708" s="404">
        <v>3.51</v>
      </c>
    </row>
    <row r="3709" spans="1:11" ht="26.4" x14ac:dyDescent="0.3">
      <c r="A3709" s="400" t="s">
        <v>1038</v>
      </c>
      <c r="B3709" s="401" t="s">
        <v>2577</v>
      </c>
      <c r="C3709" s="400" t="s">
        <v>395</v>
      </c>
      <c r="D3709" s="400" t="s">
        <v>235</v>
      </c>
      <c r="E3709" s="605" t="s">
        <v>1039</v>
      </c>
      <c r="F3709" s="605"/>
      <c r="G3709" s="402" t="s">
        <v>4</v>
      </c>
      <c r="H3709" s="403">
        <v>1</v>
      </c>
      <c r="I3709" s="403">
        <v>0</v>
      </c>
      <c r="J3709" s="404">
        <v>12.13</v>
      </c>
      <c r="K3709" s="404">
        <v>12.13</v>
      </c>
    </row>
    <row r="3710" spans="1:11" ht="14.25" customHeight="1" x14ac:dyDescent="0.3">
      <c r="A3710" s="400" t="s">
        <v>1038</v>
      </c>
      <c r="B3710" s="401" t="s">
        <v>4242</v>
      </c>
      <c r="C3710" s="400" t="s">
        <v>395</v>
      </c>
      <c r="D3710" s="400" t="s">
        <v>4243</v>
      </c>
      <c r="E3710" s="605" t="s">
        <v>1039</v>
      </c>
      <c r="F3710" s="605"/>
      <c r="G3710" s="402" t="s">
        <v>4</v>
      </c>
      <c r="H3710" s="403">
        <v>1</v>
      </c>
      <c r="I3710" s="403">
        <v>0</v>
      </c>
      <c r="J3710" s="404">
        <v>58.91</v>
      </c>
      <c r="K3710" s="404">
        <v>58.91</v>
      </c>
    </row>
    <row r="3711" spans="1:11" ht="26.4" x14ac:dyDescent="0.3">
      <c r="A3711" s="400" t="s">
        <v>1038</v>
      </c>
      <c r="B3711" s="401" t="s">
        <v>1338</v>
      </c>
      <c r="C3711" s="400" t="s">
        <v>395</v>
      </c>
      <c r="D3711" s="400" t="s">
        <v>345</v>
      </c>
      <c r="E3711" s="605" t="s">
        <v>1039</v>
      </c>
      <c r="F3711" s="605"/>
      <c r="G3711" s="402" t="s">
        <v>4</v>
      </c>
      <c r="H3711" s="403">
        <v>0.14499999999999999</v>
      </c>
      <c r="I3711" s="403">
        <v>0</v>
      </c>
      <c r="J3711" s="404">
        <v>32.67</v>
      </c>
      <c r="K3711" s="404">
        <v>4.7371499999999997</v>
      </c>
    </row>
    <row r="3712" spans="1:11" ht="38.25" customHeight="1" x14ac:dyDescent="0.3">
      <c r="A3712" s="405"/>
      <c r="B3712" s="405"/>
      <c r="C3712" s="405"/>
      <c r="D3712" s="405"/>
      <c r="E3712" s="405" t="s">
        <v>1046</v>
      </c>
      <c r="F3712" s="406">
        <v>13.47</v>
      </c>
      <c r="G3712" s="405" t="s">
        <v>1047</v>
      </c>
      <c r="H3712" s="406">
        <v>0.01</v>
      </c>
      <c r="I3712" s="405" t="s">
        <v>1048</v>
      </c>
      <c r="J3712" s="406">
        <v>13.48</v>
      </c>
      <c r="K3712"/>
    </row>
    <row r="3713" spans="1:11" ht="38.25" customHeight="1" thickBot="1" x14ac:dyDescent="0.35">
      <c r="A3713" s="405"/>
      <c r="B3713" s="405"/>
      <c r="C3713" s="405"/>
      <c r="D3713" s="405"/>
      <c r="E3713" s="405" t="s">
        <v>1049</v>
      </c>
      <c r="F3713" s="406">
        <v>0</v>
      </c>
      <c r="G3713" s="405"/>
      <c r="H3713" s="606"/>
      <c r="I3713" s="606" t="s">
        <v>1050</v>
      </c>
      <c r="J3713" s="406">
        <v>97.58</v>
      </c>
      <c r="K3713"/>
    </row>
    <row r="3714" spans="1:11" ht="25.5" customHeight="1" thickTop="1" x14ac:dyDescent="0.3">
      <c r="A3714" s="407"/>
      <c r="B3714" s="407"/>
      <c r="C3714" s="407"/>
      <c r="D3714" s="407"/>
      <c r="E3714" s="407"/>
      <c r="F3714" s="407"/>
      <c r="G3714" s="407"/>
      <c r="H3714" s="407"/>
      <c r="I3714" s="407"/>
      <c r="J3714" s="407"/>
      <c r="K3714" s="407"/>
    </row>
    <row r="3715" spans="1:11" ht="25.5" customHeight="1" x14ac:dyDescent="0.3">
      <c r="A3715" s="382" t="s">
        <v>2766</v>
      </c>
      <c r="B3715" s="312" t="s">
        <v>413</v>
      </c>
      <c r="C3715" s="382" t="s">
        <v>414</v>
      </c>
      <c r="D3715" s="382" t="s">
        <v>415</v>
      </c>
      <c r="E3715" s="586" t="s">
        <v>1029</v>
      </c>
      <c r="F3715" s="586"/>
      <c r="G3715" s="383" t="s">
        <v>416</v>
      </c>
      <c r="H3715" s="312" t="s">
        <v>1030</v>
      </c>
      <c r="I3715" s="312" t="s">
        <v>3016</v>
      </c>
      <c r="J3715" s="312" t="s">
        <v>1031</v>
      </c>
      <c r="K3715" s="312" t="s">
        <v>1032</v>
      </c>
    </row>
    <row r="3716" spans="1:11" ht="15" x14ac:dyDescent="0.3">
      <c r="A3716" s="313" t="s">
        <v>1033</v>
      </c>
      <c r="B3716" s="315" t="s">
        <v>2179</v>
      </c>
      <c r="C3716" s="313" t="s">
        <v>420</v>
      </c>
      <c r="D3716" s="313" t="s">
        <v>1890</v>
      </c>
      <c r="E3716" s="603" t="s">
        <v>1244</v>
      </c>
      <c r="F3716" s="603"/>
      <c r="G3716" s="314" t="s">
        <v>422</v>
      </c>
      <c r="H3716" s="399">
        <v>1</v>
      </c>
      <c r="I3716" s="316"/>
      <c r="J3716" s="316">
        <v>66.61</v>
      </c>
      <c r="K3716" s="316">
        <v>66.61</v>
      </c>
    </row>
    <row r="3717" spans="1:11" ht="26.4" x14ac:dyDescent="0.3">
      <c r="A3717" s="408" t="s">
        <v>1034</v>
      </c>
      <c r="B3717" s="409" t="s">
        <v>1071</v>
      </c>
      <c r="C3717" s="408" t="s">
        <v>420</v>
      </c>
      <c r="D3717" s="408" t="s">
        <v>1072</v>
      </c>
      <c r="E3717" s="604" t="s">
        <v>1069</v>
      </c>
      <c r="F3717" s="604"/>
      <c r="G3717" s="410" t="s">
        <v>1070</v>
      </c>
      <c r="H3717" s="412">
        <v>0.12</v>
      </c>
      <c r="I3717" s="412">
        <v>0</v>
      </c>
      <c r="J3717" s="411">
        <v>3.95</v>
      </c>
      <c r="K3717" s="411">
        <v>0.47399999999999998</v>
      </c>
    </row>
    <row r="3718" spans="1:11" ht="14.25" customHeight="1" x14ac:dyDescent="0.3">
      <c r="A3718" s="408" t="s">
        <v>1034</v>
      </c>
      <c r="B3718" s="409" t="s">
        <v>1180</v>
      </c>
      <c r="C3718" s="408" t="s">
        <v>420</v>
      </c>
      <c r="D3718" s="408" t="s">
        <v>1181</v>
      </c>
      <c r="E3718" s="604" t="s">
        <v>1069</v>
      </c>
      <c r="F3718" s="604"/>
      <c r="G3718" s="410" t="s">
        <v>1070</v>
      </c>
      <c r="H3718" s="412">
        <v>0.12</v>
      </c>
      <c r="I3718" s="412">
        <v>0</v>
      </c>
      <c r="J3718" s="411">
        <v>3.91</v>
      </c>
      <c r="K3718" s="411">
        <v>0.46920000000000001</v>
      </c>
    </row>
    <row r="3719" spans="1:11" ht="14.25" customHeight="1" x14ac:dyDescent="0.3">
      <c r="A3719" s="400" t="s">
        <v>1038</v>
      </c>
      <c r="B3719" s="401" t="s">
        <v>2484</v>
      </c>
      <c r="C3719" s="400" t="s">
        <v>420</v>
      </c>
      <c r="D3719" s="400" t="s">
        <v>2485</v>
      </c>
      <c r="E3719" s="605" t="s">
        <v>1039</v>
      </c>
      <c r="F3719" s="605"/>
      <c r="G3719" s="402" t="s">
        <v>1246</v>
      </c>
      <c r="H3719" s="403">
        <v>2.3E-2</v>
      </c>
      <c r="I3719" s="403">
        <v>0</v>
      </c>
      <c r="J3719" s="404">
        <v>63.5</v>
      </c>
      <c r="K3719" s="404">
        <v>1.4604999999999999</v>
      </c>
    </row>
    <row r="3720" spans="1:11" ht="15" x14ac:dyDescent="0.3">
      <c r="A3720" s="400" t="s">
        <v>1038</v>
      </c>
      <c r="B3720" s="401" t="s">
        <v>6480</v>
      </c>
      <c r="C3720" s="400" t="s">
        <v>420</v>
      </c>
      <c r="D3720" s="400" t="s">
        <v>6481</v>
      </c>
      <c r="E3720" s="605" t="s">
        <v>1053</v>
      </c>
      <c r="F3720" s="605"/>
      <c r="G3720" s="402" t="s">
        <v>1070</v>
      </c>
      <c r="H3720" s="403">
        <v>0.12</v>
      </c>
      <c r="I3720" s="403">
        <v>0</v>
      </c>
      <c r="J3720" s="404">
        <v>20.45</v>
      </c>
      <c r="K3720" s="404">
        <v>2.4540000000000002</v>
      </c>
    </row>
    <row r="3721" spans="1:11" ht="15" customHeight="1" x14ac:dyDescent="0.3">
      <c r="A3721" s="400" t="s">
        <v>1038</v>
      </c>
      <c r="B3721" s="401" t="s">
        <v>6251</v>
      </c>
      <c r="C3721" s="400" t="s">
        <v>420</v>
      </c>
      <c r="D3721" s="400" t="s">
        <v>6252</v>
      </c>
      <c r="E3721" s="605" t="s">
        <v>1053</v>
      </c>
      <c r="F3721" s="605"/>
      <c r="G3721" s="402" t="s">
        <v>1070</v>
      </c>
      <c r="H3721" s="403">
        <v>0.12</v>
      </c>
      <c r="I3721" s="403">
        <v>0</v>
      </c>
      <c r="J3721" s="404">
        <v>15.59</v>
      </c>
      <c r="K3721" s="404">
        <v>1.8708</v>
      </c>
    </row>
    <row r="3722" spans="1:11" ht="38.25" customHeight="1" x14ac:dyDescent="0.3">
      <c r="A3722" s="400" t="s">
        <v>1038</v>
      </c>
      <c r="B3722" s="401" t="s">
        <v>6850</v>
      </c>
      <c r="C3722" s="400" t="s">
        <v>420</v>
      </c>
      <c r="D3722" s="400" t="s">
        <v>6851</v>
      </c>
      <c r="E3722" s="605" t="s">
        <v>1039</v>
      </c>
      <c r="F3722" s="605"/>
      <c r="G3722" s="402" t="s">
        <v>422</v>
      </c>
      <c r="H3722" s="403">
        <v>1</v>
      </c>
      <c r="I3722" s="403">
        <v>0</v>
      </c>
      <c r="J3722" s="404">
        <v>59.88</v>
      </c>
      <c r="K3722" s="404">
        <v>59.88</v>
      </c>
    </row>
    <row r="3723" spans="1:11" ht="38.25" customHeight="1" x14ac:dyDescent="0.3">
      <c r="A3723" s="405"/>
      <c r="B3723" s="405"/>
      <c r="C3723" s="405"/>
      <c r="D3723" s="405"/>
      <c r="E3723" s="405" t="s">
        <v>1046</v>
      </c>
      <c r="F3723" s="406">
        <v>4.32</v>
      </c>
      <c r="G3723" s="405" t="s">
        <v>1047</v>
      </c>
      <c r="H3723" s="406">
        <v>0</v>
      </c>
      <c r="I3723" s="405" t="s">
        <v>1048</v>
      </c>
      <c r="J3723" s="406">
        <v>4.32</v>
      </c>
      <c r="K3723"/>
    </row>
    <row r="3724" spans="1:11" ht="25.5" customHeight="1" thickBot="1" x14ac:dyDescent="0.35">
      <c r="A3724" s="405"/>
      <c r="B3724" s="405"/>
      <c r="C3724" s="405"/>
      <c r="D3724" s="405"/>
      <c r="E3724" s="405" t="s">
        <v>1049</v>
      </c>
      <c r="F3724" s="406">
        <v>0</v>
      </c>
      <c r="G3724" s="405"/>
      <c r="H3724" s="606"/>
      <c r="I3724" s="606" t="s">
        <v>1050</v>
      </c>
      <c r="J3724" s="406">
        <v>66.61</v>
      </c>
      <c r="K3724"/>
    </row>
    <row r="3725" spans="1:11" ht="15" customHeight="1" thickTop="1" x14ac:dyDescent="0.3">
      <c r="A3725" s="407"/>
      <c r="B3725" s="407"/>
      <c r="C3725" s="407"/>
      <c r="D3725" s="407"/>
      <c r="E3725" s="407"/>
      <c r="F3725" s="407"/>
      <c r="G3725" s="407"/>
      <c r="H3725" s="407"/>
      <c r="I3725" s="407"/>
      <c r="J3725" s="407"/>
      <c r="K3725" s="407"/>
    </row>
    <row r="3726" spans="1:11" ht="38.25" customHeight="1" x14ac:dyDescent="0.3">
      <c r="A3726" s="382" t="s">
        <v>2774</v>
      </c>
      <c r="B3726" s="312" t="s">
        <v>413</v>
      </c>
      <c r="C3726" s="382" t="s">
        <v>414</v>
      </c>
      <c r="D3726" s="382" t="s">
        <v>415</v>
      </c>
      <c r="E3726" s="586" t="s">
        <v>1029</v>
      </c>
      <c r="F3726" s="586"/>
      <c r="G3726" s="383" t="s">
        <v>416</v>
      </c>
      <c r="H3726" s="312" t="s">
        <v>1030</v>
      </c>
      <c r="I3726" s="312" t="s">
        <v>3016</v>
      </c>
      <c r="J3726" s="312" t="s">
        <v>1031</v>
      </c>
      <c r="K3726" s="312" t="s">
        <v>1032</v>
      </c>
    </row>
    <row r="3727" spans="1:11" ht="25.5" customHeight="1" x14ac:dyDescent="0.3">
      <c r="A3727" s="313" t="s">
        <v>1033</v>
      </c>
      <c r="B3727" s="315" t="s">
        <v>2240</v>
      </c>
      <c r="C3727" s="313" t="s">
        <v>575</v>
      </c>
      <c r="D3727" s="313" t="s">
        <v>2083</v>
      </c>
      <c r="E3727" s="603" t="s">
        <v>1309</v>
      </c>
      <c r="F3727" s="603"/>
      <c r="G3727" s="314" t="s">
        <v>4</v>
      </c>
      <c r="H3727" s="399">
        <v>1</v>
      </c>
      <c r="I3727" s="316"/>
      <c r="J3727" s="316">
        <v>563.92999999999995</v>
      </c>
      <c r="K3727" s="316">
        <v>563.92999999999995</v>
      </c>
    </row>
    <row r="3728" spans="1:11" ht="25.5" customHeight="1" x14ac:dyDescent="0.3">
      <c r="A3728" s="408" t="s">
        <v>1034</v>
      </c>
      <c r="B3728" s="409" t="s">
        <v>1113</v>
      </c>
      <c r="C3728" s="408" t="s">
        <v>395</v>
      </c>
      <c r="D3728" s="408" t="s">
        <v>129</v>
      </c>
      <c r="E3728" s="604" t="s">
        <v>7768</v>
      </c>
      <c r="F3728" s="604"/>
      <c r="G3728" s="410" t="s">
        <v>6</v>
      </c>
      <c r="H3728" s="412">
        <v>0.85499999999999998</v>
      </c>
      <c r="I3728" s="412">
        <v>0</v>
      </c>
      <c r="J3728" s="411">
        <v>33.450000000000003</v>
      </c>
      <c r="K3728" s="411">
        <v>28.59975</v>
      </c>
    </row>
    <row r="3729" spans="1:11" ht="14.25" customHeight="1" x14ac:dyDescent="0.3">
      <c r="A3729" s="408" t="s">
        <v>1034</v>
      </c>
      <c r="B3729" s="409" t="s">
        <v>1112</v>
      </c>
      <c r="C3729" s="408" t="s">
        <v>395</v>
      </c>
      <c r="D3729" s="408" t="s">
        <v>137</v>
      </c>
      <c r="E3729" s="604" t="s">
        <v>7768</v>
      </c>
      <c r="F3729" s="604"/>
      <c r="G3729" s="410" t="s">
        <v>6</v>
      </c>
      <c r="H3729" s="412">
        <v>0.85499999999999998</v>
      </c>
      <c r="I3729" s="412">
        <v>0</v>
      </c>
      <c r="J3729" s="411">
        <v>40.299999999999997</v>
      </c>
      <c r="K3729" s="411">
        <v>34.456499999999998</v>
      </c>
    </row>
    <row r="3730" spans="1:11" ht="15" x14ac:dyDescent="0.3">
      <c r="A3730" s="400" t="s">
        <v>1038</v>
      </c>
      <c r="B3730" s="401" t="s">
        <v>1114</v>
      </c>
      <c r="C3730" s="400" t="s">
        <v>408</v>
      </c>
      <c r="D3730" s="400" t="s">
        <v>1115</v>
      </c>
      <c r="E3730" s="605" t="s">
        <v>1039</v>
      </c>
      <c r="F3730" s="605"/>
      <c r="G3730" s="402" t="s">
        <v>7</v>
      </c>
      <c r="H3730" s="403">
        <v>3.83</v>
      </c>
      <c r="I3730" s="403">
        <v>0</v>
      </c>
      <c r="J3730" s="404">
        <v>0.23</v>
      </c>
      <c r="K3730" s="404">
        <v>0.88090000000000002</v>
      </c>
    </row>
    <row r="3731" spans="1:11" ht="15" x14ac:dyDescent="0.3">
      <c r="A3731" s="400" t="s">
        <v>1038</v>
      </c>
      <c r="B3731" s="401" t="s">
        <v>2578</v>
      </c>
      <c r="C3731" s="400" t="s">
        <v>575</v>
      </c>
      <c r="D3731" s="400" t="s">
        <v>2083</v>
      </c>
      <c r="E3731" s="605" t="s">
        <v>1039</v>
      </c>
      <c r="F3731" s="605"/>
      <c r="G3731" s="402" t="s">
        <v>422</v>
      </c>
      <c r="H3731" s="403">
        <v>1</v>
      </c>
      <c r="I3731" s="403">
        <v>0</v>
      </c>
      <c r="J3731" s="404">
        <v>499.99</v>
      </c>
      <c r="K3731" s="404">
        <v>499.99</v>
      </c>
    </row>
    <row r="3732" spans="1:11" ht="15" x14ac:dyDescent="0.3">
      <c r="A3732" s="405"/>
      <c r="B3732" s="405"/>
      <c r="C3732" s="405"/>
      <c r="D3732" s="405"/>
      <c r="E3732" s="405" t="s">
        <v>1046</v>
      </c>
      <c r="F3732" s="406">
        <v>46.44</v>
      </c>
      <c r="G3732" s="405" t="s">
        <v>1047</v>
      </c>
      <c r="H3732" s="406">
        <v>0</v>
      </c>
      <c r="I3732" s="405" t="s">
        <v>1048</v>
      </c>
      <c r="J3732" s="406">
        <v>46.44</v>
      </c>
      <c r="K3732"/>
    </row>
    <row r="3733" spans="1:11" ht="15" customHeight="1" thickBot="1" x14ac:dyDescent="0.35">
      <c r="A3733" s="405"/>
      <c r="B3733" s="405"/>
      <c r="C3733" s="405"/>
      <c r="D3733" s="405"/>
      <c r="E3733" s="405" t="s">
        <v>1049</v>
      </c>
      <c r="F3733" s="406">
        <v>0</v>
      </c>
      <c r="G3733" s="405"/>
      <c r="H3733" s="606"/>
      <c r="I3733" s="606" t="s">
        <v>1050</v>
      </c>
      <c r="J3733" s="406">
        <v>563.92999999999995</v>
      </c>
      <c r="K3733"/>
    </row>
    <row r="3734" spans="1:11" ht="25.5" customHeight="1" thickTop="1" x14ac:dyDescent="0.3">
      <c r="A3734" s="407"/>
      <c r="B3734" s="407"/>
      <c r="C3734" s="407"/>
      <c r="D3734" s="407"/>
      <c r="E3734" s="407"/>
      <c r="F3734" s="407"/>
      <c r="G3734" s="407"/>
      <c r="H3734" s="407"/>
      <c r="I3734" s="407"/>
      <c r="J3734" s="407"/>
      <c r="K3734" s="407"/>
    </row>
    <row r="3735" spans="1:11" ht="25.5" customHeight="1" x14ac:dyDescent="0.3">
      <c r="A3735" s="382" t="s">
        <v>2776</v>
      </c>
      <c r="B3735" s="312" t="s">
        <v>413</v>
      </c>
      <c r="C3735" s="382" t="s">
        <v>414</v>
      </c>
      <c r="D3735" s="382" t="s">
        <v>415</v>
      </c>
      <c r="E3735" s="586" t="s">
        <v>1029</v>
      </c>
      <c r="F3735" s="586"/>
      <c r="G3735" s="383" t="s">
        <v>416</v>
      </c>
      <c r="H3735" s="312" t="s">
        <v>1030</v>
      </c>
      <c r="I3735" s="312" t="s">
        <v>3016</v>
      </c>
      <c r="J3735" s="312" t="s">
        <v>1031</v>
      </c>
      <c r="K3735" s="312" t="s">
        <v>1032</v>
      </c>
    </row>
    <row r="3736" spans="1:11" ht="15" x14ac:dyDescent="0.3">
      <c r="A3736" s="313" t="s">
        <v>1033</v>
      </c>
      <c r="B3736" s="315" t="s">
        <v>2241</v>
      </c>
      <c r="C3736" s="313" t="s">
        <v>575</v>
      </c>
      <c r="D3736" s="313" t="s">
        <v>2085</v>
      </c>
      <c r="E3736" s="603" t="s">
        <v>1309</v>
      </c>
      <c r="F3736" s="603"/>
      <c r="G3736" s="314" t="s">
        <v>4</v>
      </c>
      <c r="H3736" s="399">
        <v>1</v>
      </c>
      <c r="I3736" s="316"/>
      <c r="J3736" s="316">
        <v>661.93</v>
      </c>
      <c r="K3736" s="316">
        <v>661.93</v>
      </c>
    </row>
    <row r="3737" spans="1:11" ht="25.5" customHeight="1" x14ac:dyDescent="0.3">
      <c r="A3737" s="408" t="s">
        <v>1034</v>
      </c>
      <c r="B3737" s="409" t="s">
        <v>1113</v>
      </c>
      <c r="C3737" s="408" t="s">
        <v>395</v>
      </c>
      <c r="D3737" s="408" t="s">
        <v>129</v>
      </c>
      <c r="E3737" s="604" t="s">
        <v>7768</v>
      </c>
      <c r="F3737" s="604"/>
      <c r="G3737" s="410" t="s">
        <v>6</v>
      </c>
      <c r="H3737" s="412">
        <v>0.85499999999999998</v>
      </c>
      <c r="I3737" s="412">
        <v>0</v>
      </c>
      <c r="J3737" s="411">
        <v>33.450000000000003</v>
      </c>
      <c r="K3737" s="411">
        <v>28.59975</v>
      </c>
    </row>
    <row r="3738" spans="1:11" ht="25.5" customHeight="1" x14ac:dyDescent="0.3">
      <c r="A3738" s="408" t="s">
        <v>1034</v>
      </c>
      <c r="B3738" s="409" t="s">
        <v>1112</v>
      </c>
      <c r="C3738" s="408" t="s">
        <v>395</v>
      </c>
      <c r="D3738" s="408" t="s">
        <v>137</v>
      </c>
      <c r="E3738" s="604" t="s">
        <v>7768</v>
      </c>
      <c r="F3738" s="604"/>
      <c r="G3738" s="410" t="s">
        <v>6</v>
      </c>
      <c r="H3738" s="412">
        <v>0.85499999999999998</v>
      </c>
      <c r="I3738" s="412">
        <v>0</v>
      </c>
      <c r="J3738" s="411">
        <v>40.299999999999997</v>
      </c>
      <c r="K3738" s="411">
        <v>34.456499999999998</v>
      </c>
    </row>
    <row r="3739" spans="1:11" ht="25.5" customHeight="1" x14ac:dyDescent="0.3">
      <c r="A3739" s="400" t="s">
        <v>1038</v>
      </c>
      <c r="B3739" s="401" t="s">
        <v>1114</v>
      </c>
      <c r="C3739" s="400" t="s">
        <v>408</v>
      </c>
      <c r="D3739" s="400" t="s">
        <v>1115</v>
      </c>
      <c r="E3739" s="605" t="s">
        <v>1039</v>
      </c>
      <c r="F3739" s="605"/>
      <c r="G3739" s="402" t="s">
        <v>7</v>
      </c>
      <c r="H3739" s="403">
        <v>3.83</v>
      </c>
      <c r="I3739" s="403">
        <v>0</v>
      </c>
      <c r="J3739" s="404">
        <v>0.23</v>
      </c>
      <c r="K3739" s="404">
        <v>0.88090000000000002</v>
      </c>
    </row>
    <row r="3740" spans="1:11" ht="14.25" customHeight="1" x14ac:dyDescent="0.3">
      <c r="A3740" s="400" t="s">
        <v>1038</v>
      </c>
      <c r="B3740" s="401" t="s">
        <v>2579</v>
      </c>
      <c r="C3740" s="400" t="s">
        <v>575</v>
      </c>
      <c r="D3740" s="400" t="s">
        <v>2580</v>
      </c>
      <c r="E3740" s="605" t="s">
        <v>1039</v>
      </c>
      <c r="F3740" s="605"/>
      <c r="G3740" s="402" t="s">
        <v>422</v>
      </c>
      <c r="H3740" s="403">
        <v>1</v>
      </c>
      <c r="I3740" s="403">
        <v>0</v>
      </c>
      <c r="J3740" s="404">
        <v>597.99</v>
      </c>
      <c r="K3740" s="404">
        <v>597.99</v>
      </c>
    </row>
    <row r="3741" spans="1:11" ht="30" customHeight="1" x14ac:dyDescent="0.3">
      <c r="A3741" s="405"/>
      <c r="B3741" s="405"/>
      <c r="C3741" s="405"/>
      <c r="D3741" s="405"/>
      <c r="E3741" s="405" t="s">
        <v>1046</v>
      </c>
      <c r="F3741" s="406">
        <v>46.44</v>
      </c>
      <c r="G3741" s="405" t="s">
        <v>1047</v>
      </c>
      <c r="H3741" s="406">
        <v>0</v>
      </c>
      <c r="I3741" s="405" t="s">
        <v>1048</v>
      </c>
      <c r="J3741" s="406">
        <v>46.44</v>
      </c>
      <c r="K3741"/>
    </row>
    <row r="3742" spans="1:11" ht="30" customHeight="1" thickBot="1" x14ac:dyDescent="0.35">
      <c r="A3742" s="405"/>
      <c r="B3742" s="405"/>
      <c r="C3742" s="405"/>
      <c r="D3742" s="405"/>
      <c r="E3742" s="405" t="s">
        <v>1049</v>
      </c>
      <c r="F3742" s="406">
        <v>0</v>
      </c>
      <c r="G3742" s="405"/>
      <c r="H3742" s="606"/>
      <c r="I3742" s="606" t="s">
        <v>1050</v>
      </c>
      <c r="J3742" s="406">
        <v>661.93</v>
      </c>
      <c r="K3742"/>
    </row>
    <row r="3743" spans="1:11" ht="15" customHeight="1" thickTop="1" x14ac:dyDescent="0.3">
      <c r="A3743" s="407"/>
      <c r="B3743" s="407"/>
      <c r="C3743" s="407"/>
      <c r="D3743" s="407"/>
      <c r="E3743" s="407"/>
      <c r="F3743" s="407"/>
      <c r="G3743" s="407"/>
      <c r="H3743" s="407"/>
      <c r="I3743" s="407"/>
      <c r="J3743" s="407"/>
      <c r="K3743" s="407"/>
    </row>
    <row r="3744" spans="1:11" ht="12.75" customHeight="1" x14ac:dyDescent="0.3">
      <c r="A3744" s="382" t="s">
        <v>2868</v>
      </c>
      <c r="B3744" s="312" t="s">
        <v>413</v>
      </c>
      <c r="C3744" s="382" t="s">
        <v>414</v>
      </c>
      <c r="D3744" s="382" t="s">
        <v>415</v>
      </c>
      <c r="E3744" s="586" t="s">
        <v>1029</v>
      </c>
      <c r="F3744" s="586"/>
      <c r="G3744" s="383" t="s">
        <v>416</v>
      </c>
      <c r="H3744" s="312" t="s">
        <v>1030</v>
      </c>
      <c r="I3744" s="312" t="s">
        <v>3016</v>
      </c>
      <c r="J3744" s="312" t="s">
        <v>1031</v>
      </c>
      <c r="K3744" s="312" t="s">
        <v>1032</v>
      </c>
    </row>
    <row r="3745" spans="1:11" ht="15" customHeight="1" x14ac:dyDescent="0.3">
      <c r="A3745" s="313" t="s">
        <v>1033</v>
      </c>
      <c r="B3745" s="315" t="s">
        <v>2242</v>
      </c>
      <c r="C3745" s="313" t="s">
        <v>575</v>
      </c>
      <c r="D3745" s="313" t="s">
        <v>2080</v>
      </c>
      <c r="E3745" s="603" t="s">
        <v>1309</v>
      </c>
      <c r="F3745" s="603"/>
      <c r="G3745" s="314" t="s">
        <v>4</v>
      </c>
      <c r="H3745" s="399">
        <v>1</v>
      </c>
      <c r="I3745" s="316"/>
      <c r="J3745" s="316">
        <v>749.77</v>
      </c>
      <c r="K3745" s="316">
        <v>749.77</v>
      </c>
    </row>
    <row r="3746" spans="1:11" ht="26.4" x14ac:dyDescent="0.3">
      <c r="A3746" s="408" t="s">
        <v>1034</v>
      </c>
      <c r="B3746" s="409" t="s">
        <v>1113</v>
      </c>
      <c r="C3746" s="408" t="s">
        <v>395</v>
      </c>
      <c r="D3746" s="408" t="s">
        <v>129</v>
      </c>
      <c r="E3746" s="604" t="s">
        <v>7768</v>
      </c>
      <c r="F3746" s="604"/>
      <c r="G3746" s="410" t="s">
        <v>6</v>
      </c>
      <c r="H3746" s="412">
        <v>0.85499999999999998</v>
      </c>
      <c r="I3746" s="412">
        <v>0</v>
      </c>
      <c r="J3746" s="411">
        <v>33.450000000000003</v>
      </c>
      <c r="K3746" s="411">
        <v>28.59975</v>
      </c>
    </row>
    <row r="3747" spans="1:11" ht="14.25" customHeight="1" x14ac:dyDescent="0.3">
      <c r="A3747" s="408" t="s">
        <v>1034</v>
      </c>
      <c r="B3747" s="409" t="s">
        <v>1112</v>
      </c>
      <c r="C3747" s="408" t="s">
        <v>395</v>
      </c>
      <c r="D3747" s="408" t="s">
        <v>137</v>
      </c>
      <c r="E3747" s="604" t="s">
        <v>7768</v>
      </c>
      <c r="F3747" s="604"/>
      <c r="G3747" s="410" t="s">
        <v>6</v>
      </c>
      <c r="H3747" s="412">
        <v>0.85499999999999998</v>
      </c>
      <c r="I3747" s="412">
        <v>0</v>
      </c>
      <c r="J3747" s="411">
        <v>40.299999999999997</v>
      </c>
      <c r="K3747" s="411">
        <v>34.456499999999998</v>
      </c>
    </row>
    <row r="3748" spans="1:11" ht="14.25" customHeight="1" x14ac:dyDescent="0.3">
      <c r="A3748" s="400" t="s">
        <v>1038</v>
      </c>
      <c r="B3748" s="401" t="s">
        <v>1114</v>
      </c>
      <c r="C3748" s="400" t="s">
        <v>408</v>
      </c>
      <c r="D3748" s="400" t="s">
        <v>1115</v>
      </c>
      <c r="E3748" s="605" t="s">
        <v>1039</v>
      </c>
      <c r="F3748" s="605"/>
      <c r="G3748" s="402" t="s">
        <v>7</v>
      </c>
      <c r="H3748" s="403">
        <v>3.83</v>
      </c>
      <c r="I3748" s="403">
        <v>0</v>
      </c>
      <c r="J3748" s="404">
        <v>0.23</v>
      </c>
      <c r="K3748" s="404">
        <v>0.88090000000000002</v>
      </c>
    </row>
    <row r="3749" spans="1:11" ht="15" x14ac:dyDescent="0.3">
      <c r="A3749" s="400" t="s">
        <v>1038</v>
      </c>
      <c r="B3749" s="401" t="s">
        <v>2581</v>
      </c>
      <c r="C3749" s="400" t="s">
        <v>575</v>
      </c>
      <c r="D3749" s="400" t="s">
        <v>2080</v>
      </c>
      <c r="E3749" s="605" t="s">
        <v>1039</v>
      </c>
      <c r="F3749" s="605"/>
      <c r="G3749" s="402" t="s">
        <v>422</v>
      </c>
      <c r="H3749" s="403">
        <v>1</v>
      </c>
      <c r="I3749" s="403">
        <v>0</v>
      </c>
      <c r="J3749" s="404">
        <v>685.83</v>
      </c>
      <c r="K3749" s="404">
        <v>685.83</v>
      </c>
    </row>
    <row r="3750" spans="1:11" ht="15" x14ac:dyDescent="0.3">
      <c r="A3750" s="405"/>
      <c r="B3750" s="405"/>
      <c r="C3750" s="405"/>
      <c r="D3750" s="405"/>
      <c r="E3750" s="405" t="s">
        <v>1046</v>
      </c>
      <c r="F3750" s="406">
        <v>46.44</v>
      </c>
      <c r="G3750" s="405" t="s">
        <v>1047</v>
      </c>
      <c r="H3750" s="406">
        <v>0</v>
      </c>
      <c r="I3750" s="405" t="s">
        <v>1048</v>
      </c>
      <c r="J3750" s="406">
        <v>46.44</v>
      </c>
      <c r="K3750"/>
    </row>
    <row r="3751" spans="1:11" ht="38.25" customHeight="1" thickBot="1" x14ac:dyDescent="0.35">
      <c r="A3751" s="405"/>
      <c r="B3751" s="405"/>
      <c r="C3751" s="405"/>
      <c r="D3751" s="405"/>
      <c r="E3751" s="405" t="s">
        <v>1049</v>
      </c>
      <c r="F3751" s="406">
        <v>0</v>
      </c>
      <c r="G3751" s="405"/>
      <c r="H3751" s="606"/>
      <c r="I3751" s="606" t="s">
        <v>1050</v>
      </c>
      <c r="J3751" s="406">
        <v>749.77</v>
      </c>
      <c r="K3751"/>
    </row>
    <row r="3752" spans="1:11" ht="38.25" customHeight="1" thickTop="1" x14ac:dyDescent="0.3">
      <c r="A3752" s="407"/>
      <c r="B3752" s="407"/>
      <c r="C3752" s="407"/>
      <c r="D3752" s="407"/>
      <c r="E3752" s="407"/>
      <c r="F3752" s="407"/>
      <c r="G3752" s="407"/>
      <c r="H3752" s="407"/>
      <c r="I3752" s="407"/>
      <c r="J3752" s="407"/>
      <c r="K3752" s="407"/>
    </row>
    <row r="3753" spans="1:11" ht="30" customHeight="1" x14ac:dyDescent="0.3">
      <c r="A3753" s="382" t="s">
        <v>2869</v>
      </c>
      <c r="B3753" s="312" t="s">
        <v>413</v>
      </c>
      <c r="C3753" s="382" t="s">
        <v>414</v>
      </c>
      <c r="D3753" s="382" t="s">
        <v>415</v>
      </c>
      <c r="E3753" s="586" t="s">
        <v>1029</v>
      </c>
      <c r="F3753" s="586"/>
      <c r="G3753" s="383" t="s">
        <v>416</v>
      </c>
      <c r="H3753" s="312" t="s">
        <v>1030</v>
      </c>
      <c r="I3753" s="312" t="s">
        <v>3016</v>
      </c>
      <c r="J3753" s="312" t="s">
        <v>1031</v>
      </c>
      <c r="K3753" s="312" t="s">
        <v>1032</v>
      </c>
    </row>
    <row r="3754" spans="1:11" ht="25.5" customHeight="1" x14ac:dyDescent="0.3">
      <c r="A3754" s="313" t="s">
        <v>1033</v>
      </c>
      <c r="B3754" s="315" t="s">
        <v>2243</v>
      </c>
      <c r="C3754" s="313" t="s">
        <v>575</v>
      </c>
      <c r="D3754" s="313" t="s">
        <v>1873</v>
      </c>
      <c r="E3754" s="603" t="s">
        <v>1319</v>
      </c>
      <c r="F3754" s="603"/>
      <c r="G3754" s="314" t="s">
        <v>4</v>
      </c>
      <c r="H3754" s="399">
        <v>1</v>
      </c>
      <c r="I3754" s="316"/>
      <c r="J3754" s="316">
        <v>212.05</v>
      </c>
      <c r="K3754" s="316">
        <v>212.05</v>
      </c>
    </row>
    <row r="3755" spans="1:11" ht="25.5" customHeight="1" x14ac:dyDescent="0.3">
      <c r="A3755" s="408" t="s">
        <v>1034</v>
      </c>
      <c r="B3755" s="409" t="s">
        <v>1113</v>
      </c>
      <c r="C3755" s="408" t="s">
        <v>395</v>
      </c>
      <c r="D3755" s="408" t="s">
        <v>129</v>
      </c>
      <c r="E3755" s="604" t="s">
        <v>7768</v>
      </c>
      <c r="F3755" s="604"/>
      <c r="G3755" s="410" t="s">
        <v>6</v>
      </c>
      <c r="H3755" s="412">
        <v>0.11</v>
      </c>
      <c r="I3755" s="412">
        <v>0</v>
      </c>
      <c r="J3755" s="411">
        <v>33.450000000000003</v>
      </c>
      <c r="K3755" s="411">
        <v>3.6795</v>
      </c>
    </row>
    <row r="3756" spans="1:11" ht="26.4" x14ac:dyDescent="0.3">
      <c r="A3756" s="408" t="s">
        <v>1034</v>
      </c>
      <c r="B3756" s="409" t="s">
        <v>1112</v>
      </c>
      <c r="C3756" s="408" t="s">
        <v>395</v>
      </c>
      <c r="D3756" s="408" t="s">
        <v>137</v>
      </c>
      <c r="E3756" s="604" t="s">
        <v>7768</v>
      </c>
      <c r="F3756" s="604"/>
      <c r="G3756" s="410" t="s">
        <v>6</v>
      </c>
      <c r="H3756" s="412">
        <v>0.11</v>
      </c>
      <c r="I3756" s="412">
        <v>0</v>
      </c>
      <c r="J3756" s="411">
        <v>40.299999999999997</v>
      </c>
      <c r="K3756" s="411">
        <v>4.4329999999999998</v>
      </c>
    </row>
    <row r="3757" spans="1:11" ht="15" customHeight="1" x14ac:dyDescent="0.3">
      <c r="A3757" s="400" t="s">
        <v>1038</v>
      </c>
      <c r="B3757" s="401" t="s">
        <v>2577</v>
      </c>
      <c r="C3757" s="400" t="s">
        <v>395</v>
      </c>
      <c r="D3757" s="400" t="s">
        <v>235</v>
      </c>
      <c r="E3757" s="605" t="s">
        <v>1039</v>
      </c>
      <c r="F3757" s="605"/>
      <c r="G3757" s="402" t="s">
        <v>4</v>
      </c>
      <c r="H3757" s="403">
        <v>1</v>
      </c>
      <c r="I3757" s="403">
        <v>0</v>
      </c>
      <c r="J3757" s="404">
        <v>12.13</v>
      </c>
      <c r="K3757" s="404">
        <v>12.13</v>
      </c>
    </row>
    <row r="3758" spans="1:11" ht="14.25" customHeight="1" x14ac:dyDescent="0.3">
      <c r="A3758" s="400" t="s">
        <v>1038</v>
      </c>
      <c r="B3758" s="401" t="s">
        <v>1338</v>
      </c>
      <c r="C3758" s="400" t="s">
        <v>395</v>
      </c>
      <c r="D3758" s="400" t="s">
        <v>345</v>
      </c>
      <c r="E3758" s="605" t="s">
        <v>1039</v>
      </c>
      <c r="F3758" s="605"/>
      <c r="G3758" s="402" t="s">
        <v>4</v>
      </c>
      <c r="H3758" s="403">
        <v>7.0000000000000007E-2</v>
      </c>
      <c r="I3758" s="403">
        <v>0</v>
      </c>
      <c r="J3758" s="404">
        <v>32.67</v>
      </c>
      <c r="K3758" s="404">
        <v>2.2869000000000002</v>
      </c>
    </row>
    <row r="3759" spans="1:11" ht="17.399999999999999" customHeight="1" x14ac:dyDescent="0.3">
      <c r="A3759" s="400" t="s">
        <v>1038</v>
      </c>
      <c r="B3759" s="401" t="s">
        <v>2582</v>
      </c>
      <c r="C3759" s="400" t="s">
        <v>575</v>
      </c>
      <c r="D3759" s="400" t="s">
        <v>1873</v>
      </c>
      <c r="E3759" s="605" t="s">
        <v>1039</v>
      </c>
      <c r="F3759" s="605"/>
      <c r="G3759" s="402" t="s">
        <v>422</v>
      </c>
      <c r="H3759" s="403">
        <v>1</v>
      </c>
      <c r="I3759" s="403">
        <v>0</v>
      </c>
      <c r="J3759" s="404">
        <v>189.52</v>
      </c>
      <c r="K3759" s="404">
        <v>189.52</v>
      </c>
    </row>
    <row r="3760" spans="1:11" ht="14.25" customHeight="1" x14ac:dyDescent="0.3">
      <c r="A3760" s="405"/>
      <c r="B3760" s="405"/>
      <c r="C3760" s="405"/>
      <c r="D3760" s="405"/>
      <c r="E3760" s="405" t="s">
        <v>1046</v>
      </c>
      <c r="F3760" s="406">
        <v>5.97</v>
      </c>
      <c r="G3760" s="405" t="s">
        <v>1047</v>
      </c>
      <c r="H3760" s="406">
        <v>0</v>
      </c>
      <c r="I3760" s="405" t="s">
        <v>1048</v>
      </c>
      <c r="J3760" s="406">
        <v>5.97</v>
      </c>
      <c r="K3760"/>
    </row>
    <row r="3761" spans="1:11" ht="15.6" thickBot="1" x14ac:dyDescent="0.35">
      <c r="A3761" s="405"/>
      <c r="B3761" s="405"/>
      <c r="C3761" s="405"/>
      <c r="D3761" s="405"/>
      <c r="E3761" s="405" t="s">
        <v>1049</v>
      </c>
      <c r="F3761" s="406">
        <v>0</v>
      </c>
      <c r="G3761" s="405"/>
      <c r="H3761" s="606"/>
      <c r="I3761" s="606" t="s">
        <v>1050</v>
      </c>
      <c r="J3761" s="406">
        <v>212.05</v>
      </c>
      <c r="K3761"/>
    </row>
    <row r="3762" spans="1:11" ht="30" customHeight="1" thickTop="1" x14ac:dyDescent="0.3">
      <c r="A3762" s="407"/>
      <c r="B3762" s="407"/>
      <c r="C3762" s="407"/>
      <c r="D3762" s="407"/>
      <c r="E3762" s="407"/>
      <c r="F3762" s="407"/>
      <c r="G3762" s="407"/>
      <c r="H3762" s="407"/>
      <c r="I3762" s="407"/>
      <c r="J3762" s="407"/>
      <c r="K3762" s="407"/>
    </row>
    <row r="3763" spans="1:11" ht="15" customHeight="1" x14ac:dyDescent="0.3">
      <c r="A3763" s="382" t="s">
        <v>2870</v>
      </c>
      <c r="B3763" s="312" t="s">
        <v>413</v>
      </c>
      <c r="C3763" s="382" t="s">
        <v>414</v>
      </c>
      <c r="D3763" s="382" t="s">
        <v>415</v>
      </c>
      <c r="E3763" s="586" t="s">
        <v>1029</v>
      </c>
      <c r="F3763" s="586"/>
      <c r="G3763" s="383" t="s">
        <v>416</v>
      </c>
      <c r="H3763" s="312" t="s">
        <v>1030</v>
      </c>
      <c r="I3763" s="312" t="s">
        <v>3016</v>
      </c>
      <c r="J3763" s="312" t="s">
        <v>1031</v>
      </c>
      <c r="K3763" s="312" t="s">
        <v>1032</v>
      </c>
    </row>
    <row r="3764" spans="1:11" ht="38.25" customHeight="1" x14ac:dyDescent="0.3">
      <c r="A3764" s="313" t="s">
        <v>1033</v>
      </c>
      <c r="B3764" s="315" t="s">
        <v>3896</v>
      </c>
      <c r="C3764" s="313" t="s">
        <v>395</v>
      </c>
      <c r="D3764" s="313" t="s">
        <v>6011</v>
      </c>
      <c r="E3764" s="603" t="s">
        <v>7874</v>
      </c>
      <c r="F3764" s="603"/>
      <c r="G3764" s="314" t="s">
        <v>7</v>
      </c>
      <c r="H3764" s="399">
        <v>1</v>
      </c>
      <c r="I3764" s="316"/>
      <c r="J3764" s="316">
        <v>347.55</v>
      </c>
      <c r="K3764" s="316">
        <v>347.55</v>
      </c>
    </row>
    <row r="3765" spans="1:11" ht="25.5" customHeight="1" x14ac:dyDescent="0.3">
      <c r="A3765" s="408" t="s">
        <v>1034</v>
      </c>
      <c r="B3765" s="409" t="s">
        <v>7875</v>
      </c>
      <c r="C3765" s="408" t="s">
        <v>395</v>
      </c>
      <c r="D3765" s="408" t="s">
        <v>7876</v>
      </c>
      <c r="E3765" s="604" t="s">
        <v>7772</v>
      </c>
      <c r="F3765" s="604"/>
      <c r="G3765" s="410" t="s">
        <v>15</v>
      </c>
      <c r="H3765" s="412">
        <v>0.32929999999999998</v>
      </c>
      <c r="I3765" s="412">
        <v>0</v>
      </c>
      <c r="J3765" s="411">
        <v>1.32</v>
      </c>
      <c r="K3765" s="411">
        <v>0.43467600000000001</v>
      </c>
    </row>
    <row r="3766" spans="1:11" ht="14.25" customHeight="1" x14ac:dyDescent="0.3">
      <c r="A3766" s="408" t="s">
        <v>1034</v>
      </c>
      <c r="B3766" s="409" t="s">
        <v>7877</v>
      </c>
      <c r="C3766" s="408" t="s">
        <v>395</v>
      </c>
      <c r="D3766" s="408" t="s">
        <v>7878</v>
      </c>
      <c r="E3766" s="604" t="s">
        <v>7772</v>
      </c>
      <c r="F3766" s="604"/>
      <c r="G3766" s="410" t="s">
        <v>19</v>
      </c>
      <c r="H3766" s="412">
        <v>0.15160000000000001</v>
      </c>
      <c r="I3766" s="412">
        <v>0</v>
      </c>
      <c r="J3766" s="411">
        <v>0.06</v>
      </c>
      <c r="K3766" s="411">
        <v>9.0959999999999999E-3</v>
      </c>
    </row>
    <row r="3767" spans="1:11" ht="26.4" x14ac:dyDescent="0.3">
      <c r="A3767" s="408" t="s">
        <v>1034</v>
      </c>
      <c r="B3767" s="409" t="s">
        <v>1113</v>
      </c>
      <c r="C3767" s="408" t="s">
        <v>395</v>
      </c>
      <c r="D3767" s="408" t="s">
        <v>129</v>
      </c>
      <c r="E3767" s="604" t="s">
        <v>7768</v>
      </c>
      <c r="F3767" s="604"/>
      <c r="G3767" s="410" t="s">
        <v>6</v>
      </c>
      <c r="H3767" s="412">
        <v>0.48089999999999999</v>
      </c>
      <c r="I3767" s="412">
        <v>0</v>
      </c>
      <c r="J3767" s="411">
        <v>33.450000000000003</v>
      </c>
      <c r="K3767" s="411">
        <v>16.086105</v>
      </c>
    </row>
    <row r="3768" spans="1:11" ht="26.4" x14ac:dyDescent="0.3">
      <c r="A3768" s="408" t="s">
        <v>1034</v>
      </c>
      <c r="B3768" s="409" t="s">
        <v>1112</v>
      </c>
      <c r="C3768" s="408" t="s">
        <v>395</v>
      </c>
      <c r="D3768" s="408" t="s">
        <v>137</v>
      </c>
      <c r="E3768" s="604" t="s">
        <v>7768</v>
      </c>
      <c r="F3768" s="604"/>
      <c r="G3768" s="410" t="s">
        <v>6</v>
      </c>
      <c r="H3768" s="412">
        <v>0.48089999999999999</v>
      </c>
      <c r="I3768" s="412">
        <v>0</v>
      </c>
      <c r="J3768" s="411">
        <v>40.299999999999997</v>
      </c>
      <c r="K3768" s="411">
        <v>19.380269999999999</v>
      </c>
    </row>
    <row r="3769" spans="1:11" ht="15" customHeight="1" x14ac:dyDescent="0.3">
      <c r="A3769" s="400" t="s">
        <v>1038</v>
      </c>
      <c r="B3769" s="401" t="s">
        <v>4160</v>
      </c>
      <c r="C3769" s="400" t="s">
        <v>395</v>
      </c>
      <c r="D3769" s="400" t="s">
        <v>4161</v>
      </c>
      <c r="E3769" s="605" t="s">
        <v>1039</v>
      </c>
      <c r="F3769" s="605"/>
      <c r="G3769" s="402" t="s">
        <v>7</v>
      </c>
      <c r="H3769" s="403">
        <v>1.0667</v>
      </c>
      <c r="I3769" s="403">
        <v>0</v>
      </c>
      <c r="J3769" s="404">
        <v>292.14999999999998</v>
      </c>
      <c r="K3769" s="404">
        <v>311.63640500000002</v>
      </c>
    </row>
    <row r="3770" spans="1:11" ht="38.25" customHeight="1" x14ac:dyDescent="0.3">
      <c r="A3770" s="405"/>
      <c r="B3770" s="405"/>
      <c r="C3770" s="405"/>
      <c r="D3770" s="405"/>
      <c r="E3770" s="405" t="s">
        <v>1046</v>
      </c>
      <c r="F3770" s="406">
        <v>26.12</v>
      </c>
      <c r="G3770" s="405" t="s">
        <v>1047</v>
      </c>
      <c r="H3770" s="406">
        <v>0</v>
      </c>
      <c r="I3770" s="405" t="s">
        <v>1048</v>
      </c>
      <c r="J3770" s="406">
        <v>26.12</v>
      </c>
      <c r="K3770"/>
    </row>
    <row r="3771" spans="1:11" ht="25.5" customHeight="1" thickBot="1" x14ac:dyDescent="0.35">
      <c r="A3771" s="405"/>
      <c r="B3771" s="405"/>
      <c r="C3771" s="405"/>
      <c r="D3771" s="405"/>
      <c r="E3771" s="405" t="s">
        <v>1049</v>
      </c>
      <c r="F3771" s="406">
        <v>0</v>
      </c>
      <c r="G3771" s="405"/>
      <c r="H3771" s="606"/>
      <c r="I3771" s="606" t="s">
        <v>1050</v>
      </c>
      <c r="J3771" s="406">
        <v>347.55</v>
      </c>
      <c r="K3771"/>
    </row>
    <row r="3772" spans="1:11" ht="25.5" customHeight="1" thickTop="1" x14ac:dyDescent="0.3">
      <c r="A3772" s="407"/>
      <c r="B3772" s="407"/>
      <c r="C3772" s="407"/>
      <c r="D3772" s="407"/>
      <c r="E3772" s="407"/>
      <c r="F3772" s="407"/>
      <c r="G3772" s="407"/>
      <c r="H3772" s="407"/>
      <c r="I3772" s="407"/>
      <c r="J3772" s="407"/>
      <c r="K3772" s="407"/>
    </row>
    <row r="3773" spans="1:11" ht="25.5" customHeight="1" x14ac:dyDescent="0.3">
      <c r="A3773" s="382" t="s">
        <v>2871</v>
      </c>
      <c r="B3773" s="312" t="s">
        <v>413</v>
      </c>
      <c r="C3773" s="382" t="s">
        <v>414</v>
      </c>
      <c r="D3773" s="382" t="s">
        <v>415</v>
      </c>
      <c r="E3773" s="586" t="s">
        <v>1029</v>
      </c>
      <c r="F3773" s="586"/>
      <c r="G3773" s="383" t="s">
        <v>416</v>
      </c>
      <c r="H3773" s="312" t="s">
        <v>1030</v>
      </c>
      <c r="I3773" s="312" t="s">
        <v>3016</v>
      </c>
      <c r="J3773" s="312" t="s">
        <v>1031</v>
      </c>
      <c r="K3773" s="312" t="s">
        <v>1032</v>
      </c>
    </row>
    <row r="3774" spans="1:11" ht="25.5" customHeight="1" x14ac:dyDescent="0.3">
      <c r="A3774" s="313" t="s">
        <v>1033</v>
      </c>
      <c r="B3774" s="315" t="s">
        <v>3897</v>
      </c>
      <c r="C3774" s="313" t="s">
        <v>395</v>
      </c>
      <c r="D3774" s="313" t="s">
        <v>6012</v>
      </c>
      <c r="E3774" s="603" t="s">
        <v>7874</v>
      </c>
      <c r="F3774" s="603"/>
      <c r="G3774" s="314" t="s">
        <v>4</v>
      </c>
      <c r="H3774" s="399">
        <v>1</v>
      </c>
      <c r="I3774" s="316"/>
      <c r="J3774" s="316">
        <v>387.43</v>
      </c>
      <c r="K3774" s="316">
        <v>387.43</v>
      </c>
    </row>
    <row r="3775" spans="1:11" ht="25.5" customHeight="1" x14ac:dyDescent="0.3">
      <c r="A3775" s="408" t="s">
        <v>1034</v>
      </c>
      <c r="B3775" s="409" t="s">
        <v>7875</v>
      </c>
      <c r="C3775" s="408" t="s">
        <v>395</v>
      </c>
      <c r="D3775" s="408" t="s">
        <v>7876</v>
      </c>
      <c r="E3775" s="604" t="s">
        <v>7772</v>
      </c>
      <c r="F3775" s="604"/>
      <c r="G3775" s="410" t="s">
        <v>15</v>
      </c>
      <c r="H3775" s="412">
        <v>0.4345</v>
      </c>
      <c r="I3775" s="412">
        <v>0</v>
      </c>
      <c r="J3775" s="411">
        <v>1.32</v>
      </c>
      <c r="K3775" s="411">
        <v>0.57354000000000005</v>
      </c>
    </row>
    <row r="3776" spans="1:11" ht="39.6" x14ac:dyDescent="0.3">
      <c r="A3776" s="408" t="s">
        <v>1034</v>
      </c>
      <c r="B3776" s="409" t="s">
        <v>7877</v>
      </c>
      <c r="C3776" s="408" t="s">
        <v>395</v>
      </c>
      <c r="D3776" s="408" t="s">
        <v>7878</v>
      </c>
      <c r="E3776" s="604" t="s">
        <v>7772</v>
      </c>
      <c r="F3776" s="604"/>
      <c r="G3776" s="410" t="s">
        <v>19</v>
      </c>
      <c r="H3776" s="412">
        <v>0.2</v>
      </c>
      <c r="I3776" s="412">
        <v>0</v>
      </c>
      <c r="J3776" s="411">
        <v>0.06</v>
      </c>
      <c r="K3776" s="411">
        <v>1.2E-2</v>
      </c>
    </row>
    <row r="3777" spans="1:11" ht="14.25" customHeight="1" x14ac:dyDescent="0.3">
      <c r="A3777" s="408" t="s">
        <v>1034</v>
      </c>
      <c r="B3777" s="409" t="s">
        <v>1113</v>
      </c>
      <c r="C3777" s="408" t="s">
        <v>395</v>
      </c>
      <c r="D3777" s="408" t="s">
        <v>129</v>
      </c>
      <c r="E3777" s="604" t="s">
        <v>7768</v>
      </c>
      <c r="F3777" s="604"/>
      <c r="G3777" s="410" t="s">
        <v>6</v>
      </c>
      <c r="H3777" s="412">
        <v>0.63449999999999995</v>
      </c>
      <c r="I3777" s="412">
        <v>0</v>
      </c>
      <c r="J3777" s="411">
        <v>33.450000000000003</v>
      </c>
      <c r="K3777" s="411">
        <v>21.224025000000001</v>
      </c>
    </row>
    <row r="3778" spans="1:11" ht="26.4" x14ac:dyDescent="0.3">
      <c r="A3778" s="408" t="s">
        <v>1034</v>
      </c>
      <c r="B3778" s="409" t="s">
        <v>1112</v>
      </c>
      <c r="C3778" s="408" t="s">
        <v>395</v>
      </c>
      <c r="D3778" s="408" t="s">
        <v>137</v>
      </c>
      <c r="E3778" s="604" t="s">
        <v>7768</v>
      </c>
      <c r="F3778" s="604"/>
      <c r="G3778" s="410" t="s">
        <v>6</v>
      </c>
      <c r="H3778" s="412">
        <v>0.63449999999999995</v>
      </c>
      <c r="I3778" s="412">
        <v>0</v>
      </c>
      <c r="J3778" s="411">
        <v>40.299999999999997</v>
      </c>
      <c r="K3778" s="411">
        <v>25.570350000000001</v>
      </c>
    </row>
    <row r="3779" spans="1:11" ht="14.25" customHeight="1" x14ac:dyDescent="0.3">
      <c r="A3779" s="400" t="s">
        <v>1038</v>
      </c>
      <c r="B3779" s="401" t="s">
        <v>4185</v>
      </c>
      <c r="C3779" s="400" t="s">
        <v>395</v>
      </c>
      <c r="D3779" s="400" t="s">
        <v>4186</v>
      </c>
      <c r="E3779" s="605" t="s">
        <v>1039</v>
      </c>
      <c r="F3779" s="605"/>
      <c r="G3779" s="402" t="s">
        <v>4</v>
      </c>
      <c r="H3779" s="403">
        <v>1</v>
      </c>
      <c r="I3779" s="403">
        <v>0</v>
      </c>
      <c r="J3779" s="404">
        <v>340.05</v>
      </c>
      <c r="K3779" s="404">
        <v>340.05</v>
      </c>
    </row>
    <row r="3780" spans="1:11" ht="15" x14ac:dyDescent="0.3">
      <c r="A3780" s="405"/>
      <c r="B3780" s="405"/>
      <c r="C3780" s="405"/>
      <c r="D3780" s="405"/>
      <c r="E3780" s="405" t="s">
        <v>1046</v>
      </c>
      <c r="F3780" s="406">
        <v>34.46</v>
      </c>
      <c r="G3780" s="405" t="s">
        <v>1047</v>
      </c>
      <c r="H3780" s="406">
        <v>0</v>
      </c>
      <c r="I3780" s="405" t="s">
        <v>1048</v>
      </c>
      <c r="J3780" s="406">
        <v>34.46</v>
      </c>
      <c r="K3780"/>
    </row>
    <row r="3781" spans="1:11" ht="15" customHeight="1" thickBot="1" x14ac:dyDescent="0.35">
      <c r="A3781" s="405"/>
      <c r="B3781" s="405"/>
      <c r="C3781" s="405"/>
      <c r="D3781" s="405"/>
      <c r="E3781" s="405" t="s">
        <v>1049</v>
      </c>
      <c r="F3781" s="406">
        <v>0</v>
      </c>
      <c r="G3781" s="405"/>
      <c r="H3781" s="606"/>
      <c r="I3781" s="606" t="s">
        <v>1050</v>
      </c>
      <c r="J3781" s="406">
        <v>387.43</v>
      </c>
      <c r="K3781"/>
    </row>
    <row r="3782" spans="1:11" ht="15.6" thickTop="1" x14ac:dyDescent="0.3">
      <c r="A3782" s="407"/>
      <c r="B3782" s="407"/>
      <c r="C3782" s="407"/>
      <c r="D3782" s="407"/>
      <c r="E3782" s="407"/>
      <c r="F3782" s="407"/>
      <c r="G3782" s="407"/>
      <c r="H3782" s="407"/>
      <c r="I3782" s="407"/>
      <c r="J3782" s="407"/>
      <c r="K3782" s="407"/>
    </row>
    <row r="3783" spans="1:11" ht="15" x14ac:dyDescent="0.3">
      <c r="A3783" s="382" t="s">
        <v>2872</v>
      </c>
      <c r="B3783" s="312" t="s">
        <v>413</v>
      </c>
      <c r="C3783" s="382" t="s">
        <v>414</v>
      </c>
      <c r="D3783" s="382" t="s">
        <v>415</v>
      </c>
      <c r="E3783" s="586" t="s">
        <v>1029</v>
      </c>
      <c r="F3783" s="586"/>
      <c r="G3783" s="383" t="s">
        <v>416</v>
      </c>
      <c r="H3783" s="312" t="s">
        <v>1030</v>
      </c>
      <c r="I3783" s="312" t="s">
        <v>3016</v>
      </c>
      <c r="J3783" s="312" t="s">
        <v>1031</v>
      </c>
      <c r="K3783" s="312" t="s">
        <v>1032</v>
      </c>
    </row>
    <row r="3784" spans="1:11" ht="30" customHeight="1" x14ac:dyDescent="0.3">
      <c r="A3784" s="313" t="s">
        <v>1033</v>
      </c>
      <c r="B3784" s="315" t="s">
        <v>2244</v>
      </c>
      <c r="C3784" s="313" t="s">
        <v>575</v>
      </c>
      <c r="D3784" s="313" t="s">
        <v>2081</v>
      </c>
      <c r="E3784" s="603" t="s">
        <v>1309</v>
      </c>
      <c r="F3784" s="603"/>
      <c r="G3784" s="314" t="s">
        <v>422</v>
      </c>
      <c r="H3784" s="399">
        <v>1</v>
      </c>
      <c r="I3784" s="316"/>
      <c r="J3784" s="316">
        <v>659.61</v>
      </c>
      <c r="K3784" s="316">
        <v>659.61</v>
      </c>
    </row>
    <row r="3785" spans="1:11" ht="15" customHeight="1" x14ac:dyDescent="0.3">
      <c r="A3785" s="408" t="s">
        <v>1034</v>
      </c>
      <c r="B3785" s="409" t="s">
        <v>1287</v>
      </c>
      <c r="C3785" s="408" t="s">
        <v>395</v>
      </c>
      <c r="D3785" s="408" t="s">
        <v>134</v>
      </c>
      <c r="E3785" s="604" t="s">
        <v>7768</v>
      </c>
      <c r="F3785" s="604"/>
      <c r="G3785" s="410" t="s">
        <v>6</v>
      </c>
      <c r="H3785" s="412">
        <v>1.37</v>
      </c>
      <c r="I3785" s="412">
        <v>0</v>
      </c>
      <c r="J3785" s="411">
        <v>42.08</v>
      </c>
      <c r="K3785" s="411">
        <v>57.6496</v>
      </c>
    </row>
    <row r="3786" spans="1:11" ht="14.25" customHeight="1" x14ac:dyDescent="0.3">
      <c r="A3786" s="408" t="s">
        <v>1034</v>
      </c>
      <c r="B3786" s="409" t="s">
        <v>1288</v>
      </c>
      <c r="C3786" s="408" t="s">
        <v>395</v>
      </c>
      <c r="D3786" s="408" t="s">
        <v>124</v>
      </c>
      <c r="E3786" s="604" t="s">
        <v>7768</v>
      </c>
      <c r="F3786" s="604"/>
      <c r="G3786" s="410" t="s">
        <v>6</v>
      </c>
      <c r="H3786" s="412">
        <v>2.41</v>
      </c>
      <c r="I3786" s="412">
        <v>0</v>
      </c>
      <c r="J3786" s="411">
        <v>33.47</v>
      </c>
      <c r="K3786" s="411">
        <v>80.662700000000001</v>
      </c>
    </row>
    <row r="3787" spans="1:11" ht="26.4" x14ac:dyDescent="0.3">
      <c r="A3787" s="408" t="s">
        <v>1034</v>
      </c>
      <c r="B3787" s="409" t="s">
        <v>1290</v>
      </c>
      <c r="C3787" s="408" t="s">
        <v>395</v>
      </c>
      <c r="D3787" s="408" t="s">
        <v>147</v>
      </c>
      <c r="E3787" s="604" t="s">
        <v>7768</v>
      </c>
      <c r="F3787" s="604"/>
      <c r="G3787" s="410" t="s">
        <v>6</v>
      </c>
      <c r="H3787" s="412">
        <v>3.1789999999999998</v>
      </c>
      <c r="I3787" s="412">
        <v>0</v>
      </c>
      <c r="J3787" s="411">
        <v>32.82</v>
      </c>
      <c r="K3787" s="411">
        <v>104.33477999999999</v>
      </c>
    </row>
    <row r="3788" spans="1:11" ht="15" x14ac:dyDescent="0.3">
      <c r="A3788" s="400" t="s">
        <v>1038</v>
      </c>
      <c r="B3788" s="401" t="s">
        <v>1293</v>
      </c>
      <c r="C3788" s="400" t="s">
        <v>408</v>
      </c>
      <c r="D3788" s="400" t="s">
        <v>1294</v>
      </c>
      <c r="E3788" s="605" t="s">
        <v>1039</v>
      </c>
      <c r="F3788" s="605"/>
      <c r="G3788" s="402" t="s">
        <v>7</v>
      </c>
      <c r="H3788" s="403">
        <v>0.67200000000000004</v>
      </c>
      <c r="I3788" s="403">
        <v>0</v>
      </c>
      <c r="J3788" s="404">
        <v>8.1199999999999992</v>
      </c>
      <c r="K3788" s="404">
        <v>5.4566400000000002</v>
      </c>
    </row>
    <row r="3789" spans="1:11" ht="15" customHeight="1" x14ac:dyDescent="0.3">
      <c r="A3789" s="400" t="s">
        <v>1038</v>
      </c>
      <c r="B3789" s="401" t="s">
        <v>1295</v>
      </c>
      <c r="C3789" s="400" t="s">
        <v>408</v>
      </c>
      <c r="D3789" s="400" t="s">
        <v>1296</v>
      </c>
      <c r="E3789" s="605" t="s">
        <v>1039</v>
      </c>
      <c r="F3789" s="605"/>
      <c r="G3789" s="402" t="s">
        <v>3</v>
      </c>
      <c r="H3789" s="403">
        <v>0.372</v>
      </c>
      <c r="I3789" s="403">
        <v>0</v>
      </c>
      <c r="J3789" s="404">
        <v>32.380000000000003</v>
      </c>
      <c r="K3789" s="404">
        <v>12.045360000000001</v>
      </c>
    </row>
    <row r="3790" spans="1:11" ht="38.25" customHeight="1" x14ac:dyDescent="0.3">
      <c r="A3790" s="400" t="s">
        <v>1038</v>
      </c>
      <c r="B3790" s="401" t="s">
        <v>1291</v>
      </c>
      <c r="C3790" s="400" t="s">
        <v>408</v>
      </c>
      <c r="D3790" s="400" t="s">
        <v>1292</v>
      </c>
      <c r="E3790" s="605" t="s">
        <v>1039</v>
      </c>
      <c r="F3790" s="605"/>
      <c r="G3790" s="402" t="s">
        <v>675</v>
      </c>
      <c r="H3790" s="403">
        <v>1.252</v>
      </c>
      <c r="I3790" s="403">
        <v>0</v>
      </c>
      <c r="J3790" s="404">
        <v>38.880000000000003</v>
      </c>
      <c r="K3790" s="404">
        <v>48.677759999999999</v>
      </c>
    </row>
    <row r="3791" spans="1:11" ht="25.5" customHeight="1" x14ac:dyDescent="0.3">
      <c r="A3791" s="400" t="s">
        <v>1038</v>
      </c>
      <c r="B3791" s="401" t="s">
        <v>2583</v>
      </c>
      <c r="C3791" s="400" t="s">
        <v>575</v>
      </c>
      <c r="D3791" s="400" t="s">
        <v>2081</v>
      </c>
      <c r="E3791" s="605" t="s">
        <v>1039</v>
      </c>
      <c r="F3791" s="605"/>
      <c r="G3791" s="402" t="s">
        <v>422</v>
      </c>
      <c r="H3791" s="403">
        <v>1</v>
      </c>
      <c r="I3791" s="403">
        <v>0</v>
      </c>
      <c r="J3791" s="404">
        <v>350.78</v>
      </c>
      <c r="K3791" s="404">
        <v>350.78</v>
      </c>
    </row>
    <row r="3792" spans="1:11" ht="25.5" customHeight="1" x14ac:dyDescent="0.3">
      <c r="A3792" s="405"/>
      <c r="B3792" s="405"/>
      <c r="C3792" s="405"/>
      <c r="D3792" s="405"/>
      <c r="E3792" s="405" t="s">
        <v>1046</v>
      </c>
      <c r="F3792" s="406">
        <v>173.07</v>
      </c>
      <c r="G3792" s="405" t="s">
        <v>1047</v>
      </c>
      <c r="H3792" s="406">
        <v>0.01</v>
      </c>
      <c r="I3792" s="405" t="s">
        <v>1048</v>
      </c>
      <c r="J3792" s="406">
        <v>173.08</v>
      </c>
      <c r="K3792"/>
    </row>
    <row r="3793" spans="1:11" ht="25.5" customHeight="1" thickBot="1" x14ac:dyDescent="0.35">
      <c r="A3793" s="405"/>
      <c r="B3793" s="405"/>
      <c r="C3793" s="405"/>
      <c r="D3793" s="405"/>
      <c r="E3793" s="405" t="s">
        <v>1049</v>
      </c>
      <c r="F3793" s="406">
        <v>0</v>
      </c>
      <c r="G3793" s="405"/>
      <c r="H3793" s="606"/>
      <c r="I3793" s="606" t="s">
        <v>1050</v>
      </c>
      <c r="J3793" s="406">
        <v>659.61</v>
      </c>
      <c r="K3793"/>
    </row>
    <row r="3794" spans="1:11" ht="15" customHeight="1" thickTop="1" x14ac:dyDescent="0.3">
      <c r="A3794" s="407"/>
      <c r="B3794" s="407"/>
      <c r="C3794" s="407"/>
      <c r="D3794" s="407"/>
      <c r="E3794" s="407"/>
      <c r="F3794" s="407"/>
      <c r="G3794" s="407"/>
      <c r="H3794" s="407"/>
      <c r="I3794" s="407"/>
      <c r="J3794" s="407"/>
      <c r="K3794" s="407"/>
    </row>
    <row r="3795" spans="1:11" ht="25.5" customHeight="1" x14ac:dyDescent="0.3">
      <c r="A3795" s="382" t="s">
        <v>2874</v>
      </c>
      <c r="B3795" s="312" t="s">
        <v>413</v>
      </c>
      <c r="C3795" s="382" t="s">
        <v>414</v>
      </c>
      <c r="D3795" s="382" t="s">
        <v>415</v>
      </c>
      <c r="E3795" s="586" t="s">
        <v>1029</v>
      </c>
      <c r="F3795" s="586"/>
      <c r="G3795" s="383" t="s">
        <v>416</v>
      </c>
      <c r="H3795" s="312" t="s">
        <v>1030</v>
      </c>
      <c r="I3795" s="312" t="s">
        <v>3016</v>
      </c>
      <c r="J3795" s="312" t="s">
        <v>1031</v>
      </c>
      <c r="K3795" s="312" t="s">
        <v>1032</v>
      </c>
    </row>
    <row r="3796" spans="1:11" ht="14.25" customHeight="1" x14ac:dyDescent="0.3">
      <c r="A3796" s="313" t="s">
        <v>1033</v>
      </c>
      <c r="B3796" s="315" t="s">
        <v>957</v>
      </c>
      <c r="C3796" s="313" t="s">
        <v>575</v>
      </c>
      <c r="D3796" s="313" t="s">
        <v>578</v>
      </c>
      <c r="E3796" s="603" t="s">
        <v>1314</v>
      </c>
      <c r="F3796" s="603"/>
      <c r="G3796" s="314" t="s">
        <v>437</v>
      </c>
      <c r="H3796" s="399">
        <v>1</v>
      </c>
      <c r="I3796" s="316"/>
      <c r="J3796" s="316">
        <v>26.85</v>
      </c>
      <c r="K3796" s="316">
        <v>26.85</v>
      </c>
    </row>
    <row r="3797" spans="1:11" ht="30" customHeight="1" x14ac:dyDescent="0.3">
      <c r="A3797" s="408" t="s">
        <v>1034</v>
      </c>
      <c r="B3797" s="409" t="s">
        <v>1112</v>
      </c>
      <c r="C3797" s="408" t="s">
        <v>395</v>
      </c>
      <c r="D3797" s="408" t="s">
        <v>137</v>
      </c>
      <c r="E3797" s="604" t="s">
        <v>7768</v>
      </c>
      <c r="F3797" s="604"/>
      <c r="G3797" s="410" t="s">
        <v>6</v>
      </c>
      <c r="H3797" s="412">
        <v>0.12</v>
      </c>
      <c r="I3797" s="412">
        <v>0</v>
      </c>
      <c r="J3797" s="411">
        <v>40.299999999999997</v>
      </c>
      <c r="K3797" s="411">
        <v>4.8360000000000003</v>
      </c>
    </row>
    <row r="3798" spans="1:11" ht="15" customHeight="1" x14ac:dyDescent="0.3">
      <c r="A3798" s="408" t="s">
        <v>1034</v>
      </c>
      <c r="B3798" s="409" t="s">
        <v>1315</v>
      </c>
      <c r="C3798" s="408" t="s">
        <v>395</v>
      </c>
      <c r="D3798" s="408" t="s">
        <v>123</v>
      </c>
      <c r="E3798" s="604" t="s">
        <v>7768</v>
      </c>
      <c r="F3798" s="604"/>
      <c r="G3798" s="410" t="s">
        <v>6</v>
      </c>
      <c r="H3798" s="412">
        <v>0.12</v>
      </c>
      <c r="I3798" s="412">
        <v>0</v>
      </c>
      <c r="J3798" s="411">
        <v>33.79</v>
      </c>
      <c r="K3798" s="411">
        <v>4.0548000000000002</v>
      </c>
    </row>
    <row r="3799" spans="1:11" ht="25.5" customHeight="1" x14ac:dyDescent="0.3">
      <c r="A3799" s="400" t="s">
        <v>1038</v>
      </c>
      <c r="B3799" s="401" t="s">
        <v>1316</v>
      </c>
      <c r="C3799" s="400" t="s">
        <v>395</v>
      </c>
      <c r="D3799" s="400" t="s">
        <v>255</v>
      </c>
      <c r="E3799" s="605" t="s">
        <v>1039</v>
      </c>
      <c r="F3799" s="605"/>
      <c r="G3799" s="402" t="s">
        <v>3</v>
      </c>
      <c r="H3799" s="403">
        <v>0.5</v>
      </c>
      <c r="I3799" s="403">
        <v>0</v>
      </c>
      <c r="J3799" s="404">
        <v>35.909999999999997</v>
      </c>
      <c r="K3799" s="404">
        <v>17.954999999999998</v>
      </c>
    </row>
    <row r="3800" spans="1:11" ht="25.5" customHeight="1" x14ac:dyDescent="0.3">
      <c r="A3800" s="405"/>
      <c r="B3800" s="405"/>
      <c r="C3800" s="405"/>
      <c r="D3800" s="405"/>
      <c r="E3800" s="405" t="s">
        <v>1046</v>
      </c>
      <c r="F3800" s="406">
        <v>6.5</v>
      </c>
      <c r="G3800" s="405" t="s">
        <v>1047</v>
      </c>
      <c r="H3800" s="406">
        <v>0</v>
      </c>
      <c r="I3800" s="405" t="s">
        <v>1048</v>
      </c>
      <c r="J3800" s="406">
        <v>6.5</v>
      </c>
      <c r="K3800"/>
    </row>
    <row r="3801" spans="1:11" ht="15.6" thickBot="1" x14ac:dyDescent="0.35">
      <c r="A3801" s="405"/>
      <c r="B3801" s="405"/>
      <c r="C3801" s="405"/>
      <c r="D3801" s="405"/>
      <c r="E3801" s="405" t="s">
        <v>1049</v>
      </c>
      <c r="F3801" s="406">
        <v>0</v>
      </c>
      <c r="G3801" s="405"/>
      <c r="H3801" s="606"/>
      <c r="I3801" s="606" t="s">
        <v>1050</v>
      </c>
      <c r="J3801" s="406">
        <v>26.85</v>
      </c>
      <c r="K3801"/>
    </row>
    <row r="3802" spans="1:11" ht="15.6" thickTop="1" x14ac:dyDescent="0.3">
      <c r="A3802" s="407"/>
      <c r="B3802" s="407"/>
      <c r="C3802" s="407"/>
      <c r="D3802" s="407"/>
      <c r="E3802" s="407"/>
      <c r="F3802" s="407"/>
      <c r="G3802" s="407"/>
      <c r="H3802" s="407"/>
      <c r="I3802" s="407"/>
      <c r="J3802" s="407"/>
      <c r="K3802" s="407"/>
    </row>
    <row r="3803" spans="1:11" ht="17.399999999999999" customHeight="1" x14ac:dyDescent="0.3">
      <c r="A3803" s="382" t="s">
        <v>2875</v>
      </c>
      <c r="B3803" s="312" t="s">
        <v>413</v>
      </c>
      <c r="C3803" s="382" t="s">
        <v>414</v>
      </c>
      <c r="D3803" s="382" t="s">
        <v>415</v>
      </c>
      <c r="E3803" s="586" t="s">
        <v>1029</v>
      </c>
      <c r="F3803" s="586"/>
      <c r="G3803" s="383" t="s">
        <v>416</v>
      </c>
      <c r="H3803" s="312" t="s">
        <v>1030</v>
      </c>
      <c r="I3803" s="312" t="s">
        <v>3016</v>
      </c>
      <c r="J3803" s="312" t="s">
        <v>1031</v>
      </c>
      <c r="K3803" s="312" t="s">
        <v>1032</v>
      </c>
    </row>
    <row r="3804" spans="1:11" ht="15" customHeight="1" x14ac:dyDescent="0.3">
      <c r="A3804" s="313" t="s">
        <v>1033</v>
      </c>
      <c r="B3804" s="315" t="s">
        <v>956</v>
      </c>
      <c r="C3804" s="313" t="s">
        <v>575</v>
      </c>
      <c r="D3804" s="313" t="s">
        <v>577</v>
      </c>
      <c r="E3804" s="603" t="s">
        <v>1309</v>
      </c>
      <c r="F3804" s="603"/>
      <c r="G3804" s="314" t="s">
        <v>4</v>
      </c>
      <c r="H3804" s="399">
        <v>1</v>
      </c>
      <c r="I3804" s="316"/>
      <c r="J3804" s="316">
        <v>1075.9100000000001</v>
      </c>
      <c r="K3804" s="316">
        <v>1075.9100000000001</v>
      </c>
    </row>
    <row r="3805" spans="1:11" ht="14.25" customHeight="1" x14ac:dyDescent="0.3">
      <c r="A3805" s="408" t="s">
        <v>1034</v>
      </c>
      <c r="B3805" s="409" t="s">
        <v>1113</v>
      </c>
      <c r="C3805" s="408" t="s">
        <v>395</v>
      </c>
      <c r="D3805" s="408" t="s">
        <v>129</v>
      </c>
      <c r="E3805" s="604" t="s">
        <v>7768</v>
      </c>
      <c r="F3805" s="604"/>
      <c r="G3805" s="410" t="s">
        <v>6</v>
      </c>
      <c r="H3805" s="412">
        <v>0.45</v>
      </c>
      <c r="I3805" s="412">
        <v>0</v>
      </c>
      <c r="J3805" s="411">
        <v>33.450000000000003</v>
      </c>
      <c r="K3805" s="411">
        <v>15.0525</v>
      </c>
    </row>
    <row r="3806" spans="1:11" ht="30" customHeight="1" x14ac:dyDescent="0.3">
      <c r="A3806" s="408" t="s">
        <v>1034</v>
      </c>
      <c r="B3806" s="409" t="s">
        <v>1112</v>
      </c>
      <c r="C3806" s="408" t="s">
        <v>395</v>
      </c>
      <c r="D3806" s="408" t="s">
        <v>137</v>
      </c>
      <c r="E3806" s="604" t="s">
        <v>7768</v>
      </c>
      <c r="F3806" s="604"/>
      <c r="G3806" s="410" t="s">
        <v>6</v>
      </c>
      <c r="H3806" s="412">
        <v>0.45</v>
      </c>
      <c r="I3806" s="412">
        <v>0</v>
      </c>
      <c r="J3806" s="411">
        <v>40.299999999999997</v>
      </c>
      <c r="K3806" s="411">
        <v>18.135000000000002</v>
      </c>
    </row>
    <row r="3807" spans="1:11" ht="14.25" customHeight="1" x14ac:dyDescent="0.3">
      <c r="A3807" s="400" t="s">
        <v>1038</v>
      </c>
      <c r="B3807" s="401" t="s">
        <v>1310</v>
      </c>
      <c r="C3807" s="400" t="s">
        <v>5902</v>
      </c>
      <c r="D3807" s="400" t="s">
        <v>1311</v>
      </c>
      <c r="E3807" s="605" t="s">
        <v>1039</v>
      </c>
      <c r="F3807" s="605"/>
      <c r="G3807" s="402" t="s">
        <v>7</v>
      </c>
      <c r="H3807" s="403">
        <v>1</v>
      </c>
      <c r="I3807" s="403">
        <v>0</v>
      </c>
      <c r="J3807" s="404">
        <v>0.2</v>
      </c>
      <c r="K3807" s="404">
        <v>0.2</v>
      </c>
    </row>
    <row r="3808" spans="1:11" ht="25.5" customHeight="1" x14ac:dyDescent="0.3">
      <c r="A3808" s="400" t="s">
        <v>1038</v>
      </c>
      <c r="B3808" s="401" t="s">
        <v>1184</v>
      </c>
      <c r="C3808" s="400" t="s">
        <v>395</v>
      </c>
      <c r="D3808" s="400" t="s">
        <v>405</v>
      </c>
      <c r="E3808" s="605" t="s">
        <v>1053</v>
      </c>
      <c r="F3808" s="605"/>
      <c r="G3808" s="402" t="s">
        <v>6</v>
      </c>
      <c r="H3808" s="403">
        <v>0.45</v>
      </c>
      <c r="I3808" s="403">
        <v>0</v>
      </c>
      <c r="J3808" s="404">
        <v>30.04</v>
      </c>
      <c r="K3808" s="404">
        <v>13.518000000000001</v>
      </c>
    </row>
    <row r="3809" spans="1:11" ht="25.5" customHeight="1" x14ac:dyDescent="0.3">
      <c r="A3809" s="400" t="s">
        <v>1038</v>
      </c>
      <c r="B3809" s="401" t="s">
        <v>1312</v>
      </c>
      <c r="C3809" s="400" t="s">
        <v>575</v>
      </c>
      <c r="D3809" s="400" t="s">
        <v>1313</v>
      </c>
      <c r="E3809" s="605" t="s">
        <v>1039</v>
      </c>
      <c r="F3809" s="605"/>
      <c r="G3809" s="402" t="s">
        <v>422</v>
      </c>
      <c r="H3809" s="403">
        <v>1</v>
      </c>
      <c r="I3809" s="403">
        <v>0</v>
      </c>
      <c r="J3809" s="404">
        <v>1029</v>
      </c>
      <c r="K3809" s="404">
        <v>1029</v>
      </c>
    </row>
    <row r="3810" spans="1:11" ht="25.5" customHeight="1" x14ac:dyDescent="0.3">
      <c r="A3810" s="405"/>
      <c r="B3810" s="405"/>
      <c r="C3810" s="405"/>
      <c r="D3810" s="405"/>
      <c r="E3810" s="405" t="s">
        <v>1046</v>
      </c>
      <c r="F3810" s="406">
        <v>37.96</v>
      </c>
      <c r="G3810" s="405" t="s">
        <v>1047</v>
      </c>
      <c r="H3810" s="406">
        <v>0</v>
      </c>
      <c r="I3810" s="405" t="s">
        <v>1048</v>
      </c>
      <c r="J3810" s="406">
        <v>37.96</v>
      </c>
      <c r="K3810"/>
    </row>
    <row r="3811" spans="1:11" ht="25.5" customHeight="1" thickBot="1" x14ac:dyDescent="0.35">
      <c r="A3811" s="405"/>
      <c r="B3811" s="405"/>
      <c r="C3811" s="405"/>
      <c r="D3811" s="405"/>
      <c r="E3811" s="405" t="s">
        <v>1049</v>
      </c>
      <c r="F3811" s="406">
        <v>0</v>
      </c>
      <c r="G3811" s="405"/>
      <c r="H3811" s="606"/>
      <c r="I3811" s="606" t="s">
        <v>1050</v>
      </c>
      <c r="J3811" s="406">
        <v>1075.9100000000001</v>
      </c>
      <c r="K3811"/>
    </row>
    <row r="3812" spans="1:11" ht="15.6" thickTop="1" x14ac:dyDescent="0.3">
      <c r="A3812" s="407"/>
      <c r="B3812" s="407"/>
      <c r="C3812" s="407"/>
      <c r="D3812" s="407"/>
      <c r="E3812" s="407"/>
      <c r="F3812" s="407"/>
      <c r="G3812" s="407"/>
      <c r="H3812" s="407"/>
      <c r="I3812" s="407"/>
      <c r="J3812" s="407"/>
      <c r="K3812" s="407"/>
    </row>
    <row r="3813" spans="1:11" ht="15" x14ac:dyDescent="0.3">
      <c r="A3813" s="382" t="s">
        <v>2876</v>
      </c>
      <c r="B3813" s="312" t="s">
        <v>413</v>
      </c>
      <c r="C3813" s="382" t="s">
        <v>414</v>
      </c>
      <c r="D3813" s="382" t="s">
        <v>415</v>
      </c>
      <c r="E3813" s="586" t="s">
        <v>1029</v>
      </c>
      <c r="F3813" s="586"/>
      <c r="G3813" s="383" t="s">
        <v>416</v>
      </c>
      <c r="H3813" s="312" t="s">
        <v>1030</v>
      </c>
      <c r="I3813" s="312" t="s">
        <v>3016</v>
      </c>
      <c r="J3813" s="312" t="s">
        <v>1031</v>
      </c>
      <c r="K3813" s="312" t="s">
        <v>1032</v>
      </c>
    </row>
    <row r="3814" spans="1:11" ht="14.25" customHeight="1" x14ac:dyDescent="0.3">
      <c r="A3814" s="313" t="s">
        <v>1033</v>
      </c>
      <c r="B3814" s="315" t="s">
        <v>955</v>
      </c>
      <c r="C3814" s="313" t="s">
        <v>575</v>
      </c>
      <c r="D3814" s="313" t="s">
        <v>576</v>
      </c>
      <c r="E3814" s="603" t="s">
        <v>1297</v>
      </c>
      <c r="F3814" s="603"/>
      <c r="G3814" s="314" t="s">
        <v>4</v>
      </c>
      <c r="H3814" s="399">
        <v>1</v>
      </c>
      <c r="I3814" s="316"/>
      <c r="J3814" s="316">
        <v>769</v>
      </c>
      <c r="K3814" s="316">
        <v>769</v>
      </c>
    </row>
    <row r="3815" spans="1:11" ht="26.4" x14ac:dyDescent="0.3">
      <c r="A3815" s="408" t="s">
        <v>1034</v>
      </c>
      <c r="B3815" s="409" t="s">
        <v>1302</v>
      </c>
      <c r="C3815" s="408" t="s">
        <v>395</v>
      </c>
      <c r="D3815" s="408" t="s">
        <v>144</v>
      </c>
      <c r="E3815" s="604" t="s">
        <v>7768</v>
      </c>
      <c r="F3815" s="604"/>
      <c r="G3815" s="410" t="s">
        <v>6</v>
      </c>
      <c r="H3815" s="412">
        <v>1.5</v>
      </c>
      <c r="I3815" s="412">
        <v>0</v>
      </c>
      <c r="J3815" s="411">
        <v>42.06</v>
      </c>
      <c r="K3815" s="411">
        <v>63.09</v>
      </c>
    </row>
    <row r="3816" spans="1:11" ht="14.25" customHeight="1" x14ac:dyDescent="0.3">
      <c r="A3816" s="408" t="s">
        <v>1034</v>
      </c>
      <c r="B3816" s="409" t="s">
        <v>1290</v>
      </c>
      <c r="C3816" s="408" t="s">
        <v>395</v>
      </c>
      <c r="D3816" s="408" t="s">
        <v>147</v>
      </c>
      <c r="E3816" s="604" t="s">
        <v>7768</v>
      </c>
      <c r="F3816" s="604"/>
      <c r="G3816" s="410" t="s">
        <v>6</v>
      </c>
      <c r="H3816" s="412">
        <v>1.5</v>
      </c>
      <c r="I3816" s="412">
        <v>0</v>
      </c>
      <c r="J3816" s="411">
        <v>32.82</v>
      </c>
      <c r="K3816" s="411">
        <v>49.23</v>
      </c>
    </row>
    <row r="3817" spans="1:11" ht="15" customHeight="1" x14ac:dyDescent="0.3">
      <c r="A3817" s="400" t="s">
        <v>1038</v>
      </c>
      <c r="B3817" s="401" t="s">
        <v>1303</v>
      </c>
      <c r="C3817" s="400" t="s">
        <v>395</v>
      </c>
      <c r="D3817" s="400" t="s">
        <v>239</v>
      </c>
      <c r="E3817" s="605" t="s">
        <v>1039</v>
      </c>
      <c r="F3817" s="605"/>
      <c r="G3817" s="402" t="s">
        <v>713</v>
      </c>
      <c r="H3817" s="403">
        <v>0.1</v>
      </c>
      <c r="I3817" s="403">
        <v>0</v>
      </c>
      <c r="J3817" s="404">
        <v>105</v>
      </c>
      <c r="K3817" s="404">
        <v>10.5</v>
      </c>
    </row>
    <row r="3818" spans="1:11" ht="30" customHeight="1" x14ac:dyDescent="0.3">
      <c r="A3818" s="400" t="s">
        <v>1038</v>
      </c>
      <c r="B3818" s="401" t="s">
        <v>1304</v>
      </c>
      <c r="C3818" s="400" t="s">
        <v>395</v>
      </c>
      <c r="D3818" s="400" t="s">
        <v>251</v>
      </c>
      <c r="E3818" s="605" t="s">
        <v>1039</v>
      </c>
      <c r="F3818" s="605"/>
      <c r="G3818" s="402" t="s">
        <v>3</v>
      </c>
      <c r="H3818" s="403">
        <v>1</v>
      </c>
      <c r="I3818" s="403">
        <v>0</v>
      </c>
      <c r="J3818" s="404">
        <v>0.72</v>
      </c>
      <c r="K3818" s="404">
        <v>0.72</v>
      </c>
    </row>
    <row r="3819" spans="1:11" ht="30" customHeight="1" x14ac:dyDescent="0.3">
      <c r="A3819" s="400" t="s">
        <v>1038</v>
      </c>
      <c r="B3819" s="401" t="s">
        <v>1307</v>
      </c>
      <c r="C3819" s="400" t="s">
        <v>395</v>
      </c>
      <c r="D3819" s="400" t="s">
        <v>407</v>
      </c>
      <c r="E3819" s="605" t="s">
        <v>1039</v>
      </c>
      <c r="F3819" s="605"/>
      <c r="G3819" s="402" t="s">
        <v>4</v>
      </c>
      <c r="H3819" s="403">
        <v>1</v>
      </c>
      <c r="I3819" s="403">
        <v>0</v>
      </c>
      <c r="J3819" s="404">
        <v>645.46</v>
      </c>
      <c r="K3819" s="404">
        <v>645.46</v>
      </c>
    </row>
    <row r="3820" spans="1:11" ht="15" x14ac:dyDescent="0.3">
      <c r="A3820" s="405"/>
      <c r="B3820" s="405"/>
      <c r="C3820" s="405"/>
      <c r="D3820" s="405"/>
      <c r="E3820" s="405" t="s">
        <v>1046</v>
      </c>
      <c r="F3820" s="406">
        <v>81.69</v>
      </c>
      <c r="G3820" s="405" t="s">
        <v>1047</v>
      </c>
      <c r="H3820" s="406">
        <v>0.01</v>
      </c>
      <c r="I3820" s="405" t="s">
        <v>1048</v>
      </c>
      <c r="J3820" s="406">
        <v>81.7</v>
      </c>
      <c r="K3820"/>
    </row>
    <row r="3821" spans="1:11" ht="15" customHeight="1" thickBot="1" x14ac:dyDescent="0.35">
      <c r="A3821" s="405"/>
      <c r="B3821" s="405"/>
      <c r="C3821" s="405"/>
      <c r="D3821" s="405"/>
      <c r="E3821" s="405" t="s">
        <v>1049</v>
      </c>
      <c r="F3821" s="406">
        <v>0</v>
      </c>
      <c r="G3821" s="405"/>
      <c r="H3821" s="606"/>
      <c r="I3821" s="606" t="s">
        <v>1050</v>
      </c>
      <c r="J3821" s="406">
        <v>769</v>
      </c>
      <c r="K3821"/>
    </row>
    <row r="3822" spans="1:11" ht="25.5" customHeight="1" thickTop="1" x14ac:dyDescent="0.3">
      <c r="A3822" s="407"/>
      <c r="B3822" s="407"/>
      <c r="C3822" s="407"/>
      <c r="D3822" s="407"/>
      <c r="E3822" s="407"/>
      <c r="F3822" s="407"/>
      <c r="G3822" s="407"/>
      <c r="H3822" s="407"/>
      <c r="I3822" s="407"/>
      <c r="J3822" s="407"/>
      <c r="K3822" s="407"/>
    </row>
    <row r="3823" spans="1:11" ht="25.5" customHeight="1" x14ac:dyDescent="0.3">
      <c r="A3823" s="382" t="s">
        <v>2877</v>
      </c>
      <c r="B3823" s="312" t="s">
        <v>413</v>
      </c>
      <c r="C3823" s="382" t="s">
        <v>414</v>
      </c>
      <c r="D3823" s="382" t="s">
        <v>415</v>
      </c>
      <c r="E3823" s="586" t="s">
        <v>1029</v>
      </c>
      <c r="F3823" s="586"/>
      <c r="G3823" s="383" t="s">
        <v>416</v>
      </c>
      <c r="H3823" s="312" t="s">
        <v>1030</v>
      </c>
      <c r="I3823" s="312" t="s">
        <v>3016</v>
      </c>
      <c r="J3823" s="312" t="s">
        <v>1031</v>
      </c>
      <c r="K3823" s="312" t="s">
        <v>1032</v>
      </c>
    </row>
    <row r="3824" spans="1:11" ht="39.6" x14ac:dyDescent="0.3">
      <c r="A3824" s="313" t="s">
        <v>1033</v>
      </c>
      <c r="B3824" s="315" t="s">
        <v>2999</v>
      </c>
      <c r="C3824" s="313" t="s">
        <v>2616</v>
      </c>
      <c r="D3824" s="313" t="s">
        <v>6013</v>
      </c>
      <c r="E3824" s="603">
        <v>18</v>
      </c>
      <c r="F3824" s="603"/>
      <c r="G3824" s="314" t="s">
        <v>4</v>
      </c>
      <c r="H3824" s="399">
        <v>1</v>
      </c>
      <c r="I3824" s="316"/>
      <c r="J3824" s="316">
        <v>3613.64</v>
      </c>
      <c r="K3824" s="316">
        <v>3613.64</v>
      </c>
    </row>
    <row r="3825" spans="1:11" ht="14.25" customHeight="1" x14ac:dyDescent="0.3">
      <c r="A3825" s="400" t="s">
        <v>1038</v>
      </c>
      <c r="B3825" s="401" t="s">
        <v>3244</v>
      </c>
      <c r="C3825" s="400" t="s">
        <v>2616</v>
      </c>
      <c r="D3825" s="400" t="s">
        <v>3245</v>
      </c>
      <c r="E3825" s="605" t="s">
        <v>1039</v>
      </c>
      <c r="F3825" s="605"/>
      <c r="G3825" s="402" t="s">
        <v>7</v>
      </c>
      <c r="H3825" s="403">
        <v>10</v>
      </c>
      <c r="I3825" s="403">
        <v>0</v>
      </c>
      <c r="J3825" s="404">
        <v>1.5347</v>
      </c>
      <c r="K3825" s="404">
        <v>15.347</v>
      </c>
    </row>
    <row r="3826" spans="1:11" ht="26.4" x14ac:dyDescent="0.3">
      <c r="A3826" s="400" t="s">
        <v>1038</v>
      </c>
      <c r="B3826" s="401" t="s">
        <v>3250</v>
      </c>
      <c r="C3826" s="400" t="s">
        <v>2616</v>
      </c>
      <c r="D3826" s="400" t="s">
        <v>3251</v>
      </c>
      <c r="E3826" s="605" t="s">
        <v>1053</v>
      </c>
      <c r="F3826" s="605"/>
      <c r="G3826" s="402" t="s">
        <v>6</v>
      </c>
      <c r="H3826" s="403">
        <v>2</v>
      </c>
      <c r="I3826" s="403">
        <v>3</v>
      </c>
      <c r="J3826" s="404">
        <v>30.79</v>
      </c>
      <c r="K3826" s="404">
        <v>63.427399999999999</v>
      </c>
    </row>
    <row r="3827" spans="1:11" ht="26.4" x14ac:dyDescent="0.3">
      <c r="A3827" s="400" t="s">
        <v>1038</v>
      </c>
      <c r="B3827" s="401" t="s">
        <v>3248</v>
      </c>
      <c r="C3827" s="400" t="s">
        <v>2616</v>
      </c>
      <c r="D3827" s="400" t="s">
        <v>3249</v>
      </c>
      <c r="E3827" s="605" t="s">
        <v>1053</v>
      </c>
      <c r="F3827" s="605"/>
      <c r="G3827" s="402" t="s">
        <v>6</v>
      </c>
      <c r="H3827" s="403">
        <v>3</v>
      </c>
      <c r="I3827" s="403">
        <v>3</v>
      </c>
      <c r="J3827" s="404">
        <v>30.79</v>
      </c>
      <c r="K3827" s="404">
        <v>95.141099999999994</v>
      </c>
    </row>
    <row r="3828" spans="1:11" ht="30" customHeight="1" x14ac:dyDescent="0.3">
      <c r="A3828" s="400" t="s">
        <v>1038</v>
      </c>
      <c r="B3828" s="401" t="s">
        <v>3246</v>
      </c>
      <c r="C3828" s="400" t="s">
        <v>2616</v>
      </c>
      <c r="D3828" s="400" t="s">
        <v>3247</v>
      </c>
      <c r="E3828" s="605" t="s">
        <v>1053</v>
      </c>
      <c r="F3828" s="605"/>
      <c r="G3828" s="402" t="s">
        <v>6</v>
      </c>
      <c r="H3828" s="403">
        <v>5</v>
      </c>
      <c r="I3828" s="403">
        <v>3</v>
      </c>
      <c r="J3828" s="404">
        <v>22.25</v>
      </c>
      <c r="K3828" s="404">
        <v>114.58750000000001</v>
      </c>
    </row>
    <row r="3829" spans="1:11" ht="30" customHeight="1" x14ac:dyDescent="0.3">
      <c r="A3829" s="400" t="s">
        <v>1038</v>
      </c>
      <c r="B3829" s="401" t="s">
        <v>3252</v>
      </c>
      <c r="C3829" s="400" t="s">
        <v>2616</v>
      </c>
      <c r="D3829" s="400" t="s">
        <v>3253</v>
      </c>
      <c r="E3829" s="605" t="s">
        <v>1039</v>
      </c>
      <c r="F3829" s="605"/>
      <c r="G3829" s="402" t="s">
        <v>4</v>
      </c>
      <c r="H3829" s="403">
        <v>0.7</v>
      </c>
      <c r="I3829" s="403">
        <v>0</v>
      </c>
      <c r="J3829" s="404">
        <v>344.24</v>
      </c>
      <c r="K3829" s="404">
        <v>240.96799999999999</v>
      </c>
    </row>
    <row r="3830" spans="1:11" ht="30" customHeight="1" x14ac:dyDescent="0.3">
      <c r="A3830" s="400" t="s">
        <v>1038</v>
      </c>
      <c r="B3830" s="401" t="s">
        <v>3254</v>
      </c>
      <c r="C3830" s="400" t="s">
        <v>2616</v>
      </c>
      <c r="D3830" s="400" t="s">
        <v>3255</v>
      </c>
      <c r="E3830" s="605" t="s">
        <v>1317</v>
      </c>
      <c r="F3830" s="605"/>
      <c r="G3830" s="402" t="s">
        <v>4</v>
      </c>
      <c r="H3830" s="403">
        <v>1</v>
      </c>
      <c r="I3830" s="403">
        <v>8</v>
      </c>
      <c r="J3830" s="404">
        <v>2855.71</v>
      </c>
      <c r="K3830" s="404">
        <v>3084.1668</v>
      </c>
    </row>
    <row r="3831" spans="1:11" ht="15" x14ac:dyDescent="0.3">
      <c r="A3831" s="405"/>
      <c r="B3831" s="405"/>
      <c r="C3831" s="405"/>
      <c r="D3831" s="405"/>
      <c r="E3831" s="405" t="s">
        <v>1046</v>
      </c>
      <c r="F3831" s="406">
        <v>273.16000000000003</v>
      </c>
      <c r="G3831" s="405" t="s">
        <v>1047</v>
      </c>
      <c r="H3831" s="406">
        <v>0</v>
      </c>
      <c r="I3831" s="405" t="s">
        <v>1048</v>
      </c>
      <c r="J3831" s="406">
        <v>273.16000000000003</v>
      </c>
      <c r="K3831"/>
    </row>
    <row r="3832" spans="1:11" ht="14.25" customHeight="1" thickBot="1" x14ac:dyDescent="0.35">
      <c r="A3832" s="405"/>
      <c r="B3832" s="405"/>
      <c r="C3832" s="405"/>
      <c r="D3832" s="405"/>
      <c r="E3832" s="405" t="s">
        <v>1049</v>
      </c>
      <c r="F3832" s="406">
        <v>0</v>
      </c>
      <c r="G3832" s="405"/>
      <c r="H3832" s="606"/>
      <c r="I3832" s="606" t="s">
        <v>1050</v>
      </c>
      <c r="J3832" s="406">
        <v>3613.64</v>
      </c>
      <c r="K3832"/>
    </row>
    <row r="3833" spans="1:11" ht="15.6" thickTop="1" x14ac:dyDescent="0.3">
      <c r="A3833" s="407"/>
      <c r="B3833" s="407"/>
      <c r="C3833" s="407"/>
      <c r="D3833" s="407"/>
      <c r="E3833" s="407"/>
      <c r="F3833" s="407"/>
      <c r="G3833" s="407"/>
      <c r="H3833" s="407"/>
      <c r="I3833" s="407"/>
      <c r="J3833" s="407"/>
      <c r="K3833" s="407"/>
    </row>
    <row r="3834" spans="1:11" ht="14.25" customHeight="1" x14ac:dyDescent="0.3">
      <c r="A3834" s="382" t="s">
        <v>2879</v>
      </c>
      <c r="B3834" s="312" t="s">
        <v>413</v>
      </c>
      <c r="C3834" s="382" t="s">
        <v>414</v>
      </c>
      <c r="D3834" s="382" t="s">
        <v>415</v>
      </c>
      <c r="E3834" s="586" t="s">
        <v>1029</v>
      </c>
      <c r="F3834" s="586"/>
      <c r="G3834" s="383" t="s">
        <v>416</v>
      </c>
      <c r="H3834" s="312" t="s">
        <v>1030</v>
      </c>
      <c r="I3834" s="312" t="s">
        <v>3016</v>
      </c>
      <c r="J3834" s="312" t="s">
        <v>1031</v>
      </c>
      <c r="K3834" s="312" t="s">
        <v>1032</v>
      </c>
    </row>
    <row r="3835" spans="1:11" ht="26.4" x14ac:dyDescent="0.3">
      <c r="A3835" s="313" t="s">
        <v>1033</v>
      </c>
      <c r="B3835" s="315" t="s">
        <v>2171</v>
      </c>
      <c r="C3835" s="313" t="s">
        <v>5902</v>
      </c>
      <c r="D3835" s="313" t="s">
        <v>2472</v>
      </c>
      <c r="E3835" s="603">
        <v>49.06</v>
      </c>
      <c r="F3835" s="603"/>
      <c r="G3835" s="314" t="s">
        <v>4</v>
      </c>
      <c r="H3835" s="399">
        <v>1</v>
      </c>
      <c r="I3835" s="316"/>
      <c r="J3835" s="316">
        <v>13.78</v>
      </c>
      <c r="K3835" s="316">
        <v>13.78</v>
      </c>
    </row>
    <row r="3836" spans="1:11" ht="17.399999999999999" customHeight="1" x14ac:dyDescent="0.3">
      <c r="A3836" s="400" t="s">
        <v>1038</v>
      </c>
      <c r="B3836" s="401" t="s">
        <v>1360</v>
      </c>
      <c r="C3836" s="400" t="s">
        <v>5902</v>
      </c>
      <c r="D3836" s="400" t="s">
        <v>1361</v>
      </c>
      <c r="E3836" s="605" t="s">
        <v>1053</v>
      </c>
      <c r="F3836" s="605"/>
      <c r="G3836" s="402" t="s">
        <v>6</v>
      </c>
      <c r="H3836" s="403">
        <v>0.06</v>
      </c>
      <c r="I3836" s="403">
        <v>0</v>
      </c>
      <c r="J3836" s="404">
        <v>33.119999999999997</v>
      </c>
      <c r="K3836" s="404">
        <v>1.9872000000000001</v>
      </c>
    </row>
    <row r="3837" spans="1:11" ht="15" customHeight="1" x14ac:dyDescent="0.3">
      <c r="A3837" s="400" t="s">
        <v>1038</v>
      </c>
      <c r="B3837" s="401" t="s">
        <v>1358</v>
      </c>
      <c r="C3837" s="400" t="s">
        <v>5902</v>
      </c>
      <c r="D3837" s="400" t="s">
        <v>1359</v>
      </c>
      <c r="E3837" s="605" t="s">
        <v>1053</v>
      </c>
      <c r="F3837" s="605"/>
      <c r="G3837" s="402" t="s">
        <v>6</v>
      </c>
      <c r="H3837" s="403">
        <v>0.06</v>
      </c>
      <c r="I3837" s="403">
        <v>0</v>
      </c>
      <c r="J3837" s="404">
        <v>22.71</v>
      </c>
      <c r="K3837" s="404">
        <v>1.3626</v>
      </c>
    </row>
    <row r="3838" spans="1:11" ht="26.4" x14ac:dyDescent="0.3">
      <c r="A3838" s="400" t="s">
        <v>1038</v>
      </c>
      <c r="B3838" s="401" t="s">
        <v>2471</v>
      </c>
      <c r="C3838" s="400" t="s">
        <v>5902</v>
      </c>
      <c r="D3838" s="400" t="s">
        <v>2472</v>
      </c>
      <c r="E3838" s="605" t="s">
        <v>1039</v>
      </c>
      <c r="F3838" s="605"/>
      <c r="G3838" s="402" t="s">
        <v>4</v>
      </c>
      <c r="H3838" s="403">
        <v>1</v>
      </c>
      <c r="I3838" s="403">
        <v>0</v>
      </c>
      <c r="J3838" s="404">
        <v>10.43</v>
      </c>
      <c r="K3838" s="404">
        <v>10.43</v>
      </c>
    </row>
    <row r="3839" spans="1:11" ht="30" customHeight="1" x14ac:dyDescent="0.3">
      <c r="A3839" s="405"/>
      <c r="B3839" s="405"/>
      <c r="C3839" s="405"/>
      <c r="D3839" s="405"/>
      <c r="E3839" s="405" t="s">
        <v>1046</v>
      </c>
      <c r="F3839" s="406">
        <v>3.35</v>
      </c>
      <c r="G3839" s="405" t="s">
        <v>1047</v>
      </c>
      <c r="H3839" s="406">
        <v>0</v>
      </c>
      <c r="I3839" s="405" t="s">
        <v>1048</v>
      </c>
      <c r="J3839" s="406">
        <v>3.35</v>
      </c>
      <c r="K3839"/>
    </row>
    <row r="3840" spans="1:11" ht="30" customHeight="1" thickBot="1" x14ac:dyDescent="0.35">
      <c r="A3840" s="405"/>
      <c r="B3840" s="405"/>
      <c r="C3840" s="405"/>
      <c r="D3840" s="405"/>
      <c r="E3840" s="405" t="s">
        <v>1049</v>
      </c>
      <c r="F3840" s="406">
        <v>0</v>
      </c>
      <c r="G3840" s="405"/>
      <c r="H3840" s="606"/>
      <c r="I3840" s="606" t="s">
        <v>1050</v>
      </c>
      <c r="J3840" s="406">
        <v>13.78</v>
      </c>
      <c r="K3840"/>
    </row>
    <row r="3841" spans="1:11" ht="15" customHeight="1" thickTop="1" x14ac:dyDescent="0.3">
      <c r="A3841" s="407"/>
      <c r="B3841" s="407"/>
      <c r="C3841" s="407"/>
      <c r="D3841" s="407"/>
      <c r="E3841" s="407"/>
      <c r="F3841" s="407"/>
      <c r="G3841" s="407"/>
      <c r="H3841" s="407"/>
      <c r="I3841" s="407"/>
      <c r="J3841" s="407"/>
      <c r="K3841" s="407"/>
    </row>
    <row r="3842" spans="1:11" ht="38.25" customHeight="1" x14ac:dyDescent="0.3">
      <c r="A3842" s="382" t="s">
        <v>2881</v>
      </c>
      <c r="B3842" s="312" t="s">
        <v>413</v>
      </c>
      <c r="C3842" s="382" t="s">
        <v>414</v>
      </c>
      <c r="D3842" s="382" t="s">
        <v>415</v>
      </c>
      <c r="E3842" s="586" t="s">
        <v>1029</v>
      </c>
      <c r="F3842" s="586"/>
      <c r="G3842" s="383" t="s">
        <v>416</v>
      </c>
      <c r="H3842" s="312" t="s">
        <v>1030</v>
      </c>
      <c r="I3842" s="312" t="s">
        <v>3016</v>
      </c>
      <c r="J3842" s="312" t="s">
        <v>1031</v>
      </c>
      <c r="K3842" s="312" t="s">
        <v>1032</v>
      </c>
    </row>
    <row r="3843" spans="1:11" ht="25.5" customHeight="1" x14ac:dyDescent="0.3">
      <c r="A3843" s="313" t="s">
        <v>1033</v>
      </c>
      <c r="B3843" s="315" t="s">
        <v>2172</v>
      </c>
      <c r="C3843" s="313" t="s">
        <v>5902</v>
      </c>
      <c r="D3843" s="313" t="s">
        <v>2474</v>
      </c>
      <c r="E3843" s="603">
        <v>49.06</v>
      </c>
      <c r="F3843" s="603"/>
      <c r="G3843" s="314" t="s">
        <v>4</v>
      </c>
      <c r="H3843" s="399">
        <v>1</v>
      </c>
      <c r="I3843" s="316"/>
      <c r="J3843" s="316">
        <v>16</v>
      </c>
      <c r="K3843" s="316">
        <v>16</v>
      </c>
    </row>
    <row r="3844" spans="1:11" ht="25.5" customHeight="1" x14ac:dyDescent="0.3">
      <c r="A3844" s="400" t="s">
        <v>1038</v>
      </c>
      <c r="B3844" s="401" t="s">
        <v>1360</v>
      </c>
      <c r="C3844" s="400" t="s">
        <v>5902</v>
      </c>
      <c r="D3844" s="400" t="s">
        <v>1361</v>
      </c>
      <c r="E3844" s="605" t="s">
        <v>1053</v>
      </c>
      <c r="F3844" s="605"/>
      <c r="G3844" s="402" t="s">
        <v>6</v>
      </c>
      <c r="H3844" s="403">
        <v>0.06</v>
      </c>
      <c r="I3844" s="403">
        <v>0</v>
      </c>
      <c r="J3844" s="404">
        <v>33.119999999999997</v>
      </c>
      <c r="K3844" s="404">
        <v>1.9872000000000001</v>
      </c>
    </row>
    <row r="3845" spans="1:11" ht="26.4" x14ac:dyDescent="0.3">
      <c r="A3845" s="400" t="s">
        <v>1038</v>
      </c>
      <c r="B3845" s="401" t="s">
        <v>1358</v>
      </c>
      <c r="C3845" s="400" t="s">
        <v>5902</v>
      </c>
      <c r="D3845" s="400" t="s">
        <v>1359</v>
      </c>
      <c r="E3845" s="605" t="s">
        <v>1053</v>
      </c>
      <c r="F3845" s="605"/>
      <c r="G3845" s="402" t="s">
        <v>6</v>
      </c>
      <c r="H3845" s="403">
        <v>0.06</v>
      </c>
      <c r="I3845" s="403">
        <v>0</v>
      </c>
      <c r="J3845" s="404">
        <v>22.71</v>
      </c>
      <c r="K3845" s="404">
        <v>1.3626</v>
      </c>
    </row>
    <row r="3846" spans="1:11" ht="26.4" x14ac:dyDescent="0.3">
      <c r="A3846" s="400" t="s">
        <v>1038</v>
      </c>
      <c r="B3846" s="401" t="s">
        <v>2473</v>
      </c>
      <c r="C3846" s="400" t="s">
        <v>5902</v>
      </c>
      <c r="D3846" s="400" t="s">
        <v>2474</v>
      </c>
      <c r="E3846" s="605" t="s">
        <v>1039</v>
      </c>
      <c r="F3846" s="605"/>
      <c r="G3846" s="402" t="s">
        <v>4</v>
      </c>
      <c r="H3846" s="403">
        <v>1</v>
      </c>
      <c r="I3846" s="403">
        <v>0</v>
      </c>
      <c r="J3846" s="404">
        <v>12.65</v>
      </c>
      <c r="K3846" s="404">
        <v>12.65</v>
      </c>
    </row>
    <row r="3847" spans="1:11" ht="17.399999999999999" customHeight="1" x14ac:dyDescent="0.3">
      <c r="A3847" s="405"/>
      <c r="B3847" s="405"/>
      <c r="C3847" s="405"/>
      <c r="D3847" s="405"/>
      <c r="E3847" s="405" t="s">
        <v>1046</v>
      </c>
      <c r="F3847" s="406">
        <v>3.35</v>
      </c>
      <c r="G3847" s="405" t="s">
        <v>1047</v>
      </c>
      <c r="H3847" s="406">
        <v>0</v>
      </c>
      <c r="I3847" s="405" t="s">
        <v>1048</v>
      </c>
      <c r="J3847" s="406">
        <v>3.35</v>
      </c>
      <c r="K3847"/>
    </row>
    <row r="3848" spans="1:11" ht="15.6" thickBot="1" x14ac:dyDescent="0.35">
      <c r="A3848" s="405"/>
      <c r="B3848" s="405"/>
      <c r="C3848" s="405"/>
      <c r="D3848" s="405"/>
      <c r="E3848" s="405" t="s">
        <v>1049</v>
      </c>
      <c r="F3848" s="406">
        <v>0</v>
      </c>
      <c r="G3848" s="405"/>
      <c r="H3848" s="606"/>
      <c r="I3848" s="606" t="s">
        <v>1050</v>
      </c>
      <c r="J3848" s="406">
        <v>16</v>
      </c>
      <c r="K3848"/>
    </row>
    <row r="3849" spans="1:11" ht="15" customHeight="1" thickTop="1" x14ac:dyDescent="0.3">
      <c r="A3849" s="407"/>
      <c r="B3849" s="407"/>
      <c r="C3849" s="407"/>
      <c r="D3849" s="407"/>
      <c r="E3849" s="407"/>
      <c r="F3849" s="407"/>
      <c r="G3849" s="407"/>
      <c r="H3849" s="407"/>
      <c r="I3849" s="407"/>
      <c r="J3849" s="407"/>
      <c r="K3849" s="407"/>
    </row>
    <row r="3850" spans="1:11" ht="14.25" customHeight="1" x14ac:dyDescent="0.3">
      <c r="A3850" s="382" t="s">
        <v>2882</v>
      </c>
      <c r="B3850" s="312" t="s">
        <v>413</v>
      </c>
      <c r="C3850" s="382" t="s">
        <v>414</v>
      </c>
      <c r="D3850" s="382" t="s">
        <v>415</v>
      </c>
      <c r="E3850" s="586" t="s">
        <v>1029</v>
      </c>
      <c r="F3850" s="586"/>
      <c r="G3850" s="383" t="s">
        <v>416</v>
      </c>
      <c r="H3850" s="312" t="s">
        <v>1030</v>
      </c>
      <c r="I3850" s="312" t="s">
        <v>3016</v>
      </c>
      <c r="J3850" s="312" t="s">
        <v>1031</v>
      </c>
      <c r="K3850" s="312" t="s">
        <v>1032</v>
      </c>
    </row>
    <row r="3851" spans="1:11" ht="30" customHeight="1" x14ac:dyDescent="0.3">
      <c r="A3851" s="313" t="s">
        <v>1033</v>
      </c>
      <c r="B3851" s="315" t="s">
        <v>2173</v>
      </c>
      <c r="C3851" s="313" t="s">
        <v>5902</v>
      </c>
      <c r="D3851" s="313" t="s">
        <v>2476</v>
      </c>
      <c r="E3851" s="603">
        <v>49.06</v>
      </c>
      <c r="F3851" s="603"/>
      <c r="G3851" s="314" t="s">
        <v>4</v>
      </c>
      <c r="H3851" s="399">
        <v>1</v>
      </c>
      <c r="I3851" s="316"/>
      <c r="J3851" s="316">
        <v>34.96</v>
      </c>
      <c r="K3851" s="316">
        <v>34.96</v>
      </c>
    </row>
    <row r="3852" spans="1:11" ht="14.25" customHeight="1" x14ac:dyDescent="0.3">
      <c r="A3852" s="400" t="s">
        <v>1038</v>
      </c>
      <c r="B3852" s="401" t="s">
        <v>1358</v>
      </c>
      <c r="C3852" s="400" t="s">
        <v>5902</v>
      </c>
      <c r="D3852" s="400" t="s">
        <v>1359</v>
      </c>
      <c r="E3852" s="605" t="s">
        <v>1053</v>
      </c>
      <c r="F3852" s="605"/>
      <c r="G3852" s="402" t="s">
        <v>6</v>
      </c>
      <c r="H3852" s="403">
        <v>0.06</v>
      </c>
      <c r="I3852" s="403">
        <v>0</v>
      </c>
      <c r="J3852" s="404">
        <v>22.71</v>
      </c>
      <c r="K3852" s="404">
        <v>1.3626</v>
      </c>
    </row>
    <row r="3853" spans="1:11" ht="25.5" customHeight="1" x14ac:dyDescent="0.3">
      <c r="A3853" s="400" t="s">
        <v>1038</v>
      </c>
      <c r="B3853" s="401" t="s">
        <v>1360</v>
      </c>
      <c r="C3853" s="400" t="s">
        <v>5902</v>
      </c>
      <c r="D3853" s="400" t="s">
        <v>1361</v>
      </c>
      <c r="E3853" s="605" t="s">
        <v>1053</v>
      </c>
      <c r="F3853" s="605"/>
      <c r="G3853" s="402" t="s">
        <v>6</v>
      </c>
      <c r="H3853" s="403">
        <v>0.06</v>
      </c>
      <c r="I3853" s="403">
        <v>0</v>
      </c>
      <c r="J3853" s="404">
        <v>33.119999999999997</v>
      </c>
      <c r="K3853" s="404">
        <v>1.9872000000000001</v>
      </c>
    </row>
    <row r="3854" spans="1:11" ht="25.5" customHeight="1" x14ac:dyDescent="0.3">
      <c r="A3854" s="400" t="s">
        <v>1038</v>
      </c>
      <c r="B3854" s="401" t="s">
        <v>2475</v>
      </c>
      <c r="C3854" s="400" t="s">
        <v>5902</v>
      </c>
      <c r="D3854" s="400" t="s">
        <v>2476</v>
      </c>
      <c r="E3854" s="605" t="s">
        <v>1039</v>
      </c>
      <c r="F3854" s="605"/>
      <c r="G3854" s="402" t="s">
        <v>4</v>
      </c>
      <c r="H3854" s="403">
        <v>1</v>
      </c>
      <c r="I3854" s="403">
        <v>0</v>
      </c>
      <c r="J3854" s="404">
        <v>31.61</v>
      </c>
      <c r="K3854" s="404">
        <v>31.61</v>
      </c>
    </row>
    <row r="3855" spans="1:11" ht="25.5" customHeight="1" x14ac:dyDescent="0.3">
      <c r="A3855" s="405"/>
      <c r="B3855" s="405"/>
      <c r="C3855" s="405"/>
      <c r="D3855" s="405"/>
      <c r="E3855" s="405" t="s">
        <v>1046</v>
      </c>
      <c r="F3855" s="406">
        <v>3.35</v>
      </c>
      <c r="G3855" s="405" t="s">
        <v>1047</v>
      </c>
      <c r="H3855" s="406">
        <v>0</v>
      </c>
      <c r="I3855" s="405" t="s">
        <v>1048</v>
      </c>
      <c r="J3855" s="406">
        <v>3.35</v>
      </c>
      <c r="K3855"/>
    </row>
    <row r="3856" spans="1:11" ht="12.75" customHeight="1" thickBot="1" x14ac:dyDescent="0.35">
      <c r="A3856" s="405"/>
      <c r="B3856" s="405"/>
      <c r="C3856" s="405"/>
      <c r="D3856" s="405"/>
      <c r="E3856" s="405" t="s">
        <v>1049</v>
      </c>
      <c r="F3856" s="406">
        <v>0</v>
      </c>
      <c r="G3856" s="405"/>
      <c r="H3856" s="606"/>
      <c r="I3856" s="606" t="s">
        <v>1050</v>
      </c>
      <c r="J3856" s="406">
        <v>34.96</v>
      </c>
      <c r="K3856"/>
    </row>
    <row r="3857" spans="1:11" ht="15.6" thickTop="1" x14ac:dyDescent="0.3">
      <c r="A3857" s="407"/>
      <c r="B3857" s="407"/>
      <c r="C3857" s="407"/>
      <c r="D3857" s="407"/>
      <c r="E3857" s="407"/>
      <c r="F3857" s="407"/>
      <c r="G3857" s="407"/>
      <c r="H3857" s="407"/>
      <c r="I3857" s="407"/>
      <c r="J3857" s="407"/>
      <c r="K3857" s="407"/>
    </row>
    <row r="3858" spans="1:11" ht="17.399999999999999" customHeight="1" x14ac:dyDescent="0.3">
      <c r="A3858" s="382" t="s">
        <v>2883</v>
      </c>
      <c r="B3858" s="312" t="s">
        <v>413</v>
      </c>
      <c r="C3858" s="382" t="s">
        <v>414</v>
      </c>
      <c r="D3858" s="382" t="s">
        <v>415</v>
      </c>
      <c r="E3858" s="586" t="s">
        <v>1029</v>
      </c>
      <c r="F3858" s="586"/>
      <c r="G3858" s="383" t="s">
        <v>416</v>
      </c>
      <c r="H3858" s="312" t="s">
        <v>1030</v>
      </c>
      <c r="I3858" s="312" t="s">
        <v>3016</v>
      </c>
      <c r="J3858" s="312" t="s">
        <v>1031</v>
      </c>
      <c r="K3858" s="312" t="s">
        <v>1032</v>
      </c>
    </row>
    <row r="3859" spans="1:11" ht="14.25" customHeight="1" x14ac:dyDescent="0.3">
      <c r="A3859" s="313" t="s">
        <v>1033</v>
      </c>
      <c r="B3859" s="315" t="s">
        <v>2174</v>
      </c>
      <c r="C3859" s="313" t="s">
        <v>5902</v>
      </c>
      <c r="D3859" s="313" t="s">
        <v>1876</v>
      </c>
      <c r="E3859" s="603">
        <v>49.06</v>
      </c>
      <c r="F3859" s="603"/>
      <c r="G3859" s="314" t="s">
        <v>4</v>
      </c>
      <c r="H3859" s="399">
        <v>1</v>
      </c>
      <c r="I3859" s="316"/>
      <c r="J3859" s="316">
        <v>485.24</v>
      </c>
      <c r="K3859" s="316">
        <v>485.24</v>
      </c>
    </row>
    <row r="3860" spans="1:11" ht="26.4" x14ac:dyDescent="0.3">
      <c r="A3860" s="400" t="s">
        <v>1038</v>
      </c>
      <c r="B3860" s="401" t="s">
        <v>1631</v>
      </c>
      <c r="C3860" s="400" t="s">
        <v>5902</v>
      </c>
      <c r="D3860" s="400" t="s">
        <v>1632</v>
      </c>
      <c r="E3860" s="605" t="s">
        <v>1053</v>
      </c>
      <c r="F3860" s="605"/>
      <c r="G3860" s="402" t="s">
        <v>6</v>
      </c>
      <c r="H3860" s="403">
        <v>1.5</v>
      </c>
      <c r="I3860" s="403">
        <v>0</v>
      </c>
      <c r="J3860" s="404">
        <v>22.71</v>
      </c>
      <c r="K3860" s="404">
        <v>34.064999999999998</v>
      </c>
    </row>
    <row r="3861" spans="1:11" ht="15" customHeight="1" x14ac:dyDescent="0.3">
      <c r="A3861" s="400" t="s">
        <v>1038</v>
      </c>
      <c r="B3861" s="401" t="s">
        <v>1469</v>
      </c>
      <c r="C3861" s="400" t="s">
        <v>5902</v>
      </c>
      <c r="D3861" s="400" t="s">
        <v>1470</v>
      </c>
      <c r="E3861" s="605" t="s">
        <v>1053</v>
      </c>
      <c r="F3861" s="605"/>
      <c r="G3861" s="402" t="s">
        <v>6</v>
      </c>
      <c r="H3861" s="403">
        <v>1.5</v>
      </c>
      <c r="I3861" s="403">
        <v>0</v>
      </c>
      <c r="J3861" s="404">
        <v>27.64</v>
      </c>
      <c r="K3861" s="404">
        <v>41.46</v>
      </c>
    </row>
    <row r="3862" spans="1:11" ht="30" customHeight="1" x14ac:dyDescent="0.3">
      <c r="A3862" s="400" t="s">
        <v>1038</v>
      </c>
      <c r="B3862" s="401" t="s">
        <v>1471</v>
      </c>
      <c r="C3862" s="400" t="s">
        <v>5902</v>
      </c>
      <c r="D3862" s="400" t="s">
        <v>1472</v>
      </c>
      <c r="E3862" s="605" t="s">
        <v>1039</v>
      </c>
      <c r="F3862" s="605"/>
      <c r="G3862" s="402" t="s">
        <v>3</v>
      </c>
      <c r="H3862" s="403">
        <v>9.7200000000000006</v>
      </c>
      <c r="I3862" s="403">
        <v>0</v>
      </c>
      <c r="J3862" s="404">
        <v>0.67</v>
      </c>
      <c r="K3862" s="404">
        <v>6.5124000000000004</v>
      </c>
    </row>
    <row r="3863" spans="1:11" ht="30" customHeight="1" x14ac:dyDescent="0.3">
      <c r="A3863" s="400" t="s">
        <v>1038</v>
      </c>
      <c r="B3863" s="401" t="s">
        <v>1473</v>
      </c>
      <c r="C3863" s="400" t="s">
        <v>5902</v>
      </c>
      <c r="D3863" s="400" t="s">
        <v>1474</v>
      </c>
      <c r="E3863" s="605" t="s">
        <v>1039</v>
      </c>
      <c r="F3863" s="605"/>
      <c r="G3863" s="402" t="s">
        <v>713</v>
      </c>
      <c r="H3863" s="403">
        <v>2.4E-2</v>
      </c>
      <c r="I3863" s="403">
        <v>0</v>
      </c>
      <c r="J3863" s="404">
        <v>170.72</v>
      </c>
      <c r="K3863" s="404">
        <v>4.0972799999999996</v>
      </c>
    </row>
    <row r="3864" spans="1:11" ht="26.4" x14ac:dyDescent="0.3">
      <c r="A3864" s="400" t="s">
        <v>1038</v>
      </c>
      <c r="B3864" s="401" t="s">
        <v>2477</v>
      </c>
      <c r="C3864" s="400" t="s">
        <v>5902</v>
      </c>
      <c r="D3864" s="400" t="s">
        <v>2478</v>
      </c>
      <c r="E3864" s="605" t="s">
        <v>1039</v>
      </c>
      <c r="F3864" s="605"/>
      <c r="G3864" s="402" t="s">
        <v>4</v>
      </c>
      <c r="H3864" s="403">
        <v>1</v>
      </c>
      <c r="I3864" s="403">
        <v>0</v>
      </c>
      <c r="J3864" s="404">
        <v>399.11</v>
      </c>
      <c r="K3864" s="404">
        <v>399.11</v>
      </c>
    </row>
    <row r="3865" spans="1:11" ht="25.5" customHeight="1" x14ac:dyDescent="0.3">
      <c r="A3865" s="405"/>
      <c r="B3865" s="405"/>
      <c r="C3865" s="405"/>
      <c r="D3865" s="405"/>
      <c r="E3865" s="405" t="s">
        <v>1046</v>
      </c>
      <c r="F3865" s="406">
        <v>75.53</v>
      </c>
      <c r="G3865" s="405" t="s">
        <v>1047</v>
      </c>
      <c r="H3865" s="406">
        <v>0</v>
      </c>
      <c r="I3865" s="405" t="s">
        <v>1048</v>
      </c>
      <c r="J3865" s="406">
        <v>75.53</v>
      </c>
      <c r="K3865"/>
    </row>
    <row r="3866" spans="1:11" ht="25.5" customHeight="1" thickBot="1" x14ac:dyDescent="0.35">
      <c r="A3866" s="405"/>
      <c r="B3866" s="405"/>
      <c r="C3866" s="405"/>
      <c r="D3866" s="405"/>
      <c r="E3866" s="405" t="s">
        <v>1049</v>
      </c>
      <c r="F3866" s="406">
        <v>0</v>
      </c>
      <c r="G3866" s="405"/>
      <c r="H3866" s="606"/>
      <c r="I3866" s="606" t="s">
        <v>1050</v>
      </c>
      <c r="J3866" s="406">
        <v>485.24</v>
      </c>
      <c r="K3866"/>
    </row>
    <row r="3867" spans="1:11" ht="25.5" customHeight="1" thickTop="1" x14ac:dyDescent="0.3">
      <c r="A3867" s="407"/>
      <c r="B3867" s="407"/>
      <c r="C3867" s="407"/>
      <c r="D3867" s="407"/>
      <c r="E3867" s="407"/>
      <c r="F3867" s="407"/>
      <c r="G3867" s="407"/>
      <c r="H3867" s="407"/>
      <c r="I3867" s="407"/>
      <c r="J3867" s="407"/>
      <c r="K3867" s="407"/>
    </row>
    <row r="3868" spans="1:11" ht="15" customHeight="1" x14ac:dyDescent="0.3">
      <c r="A3868" s="382" t="s">
        <v>2884</v>
      </c>
      <c r="B3868" s="312" t="s">
        <v>413</v>
      </c>
      <c r="C3868" s="382" t="s">
        <v>414</v>
      </c>
      <c r="D3868" s="382" t="s">
        <v>415</v>
      </c>
      <c r="E3868" s="586" t="s">
        <v>1029</v>
      </c>
      <c r="F3868" s="586"/>
      <c r="G3868" s="383" t="s">
        <v>416</v>
      </c>
      <c r="H3868" s="312" t="s">
        <v>1030</v>
      </c>
      <c r="I3868" s="312" t="s">
        <v>3016</v>
      </c>
      <c r="J3868" s="312" t="s">
        <v>1031</v>
      </c>
      <c r="K3868" s="312" t="s">
        <v>1032</v>
      </c>
    </row>
    <row r="3869" spans="1:11" ht="17.399999999999999" customHeight="1" x14ac:dyDescent="0.3">
      <c r="A3869" s="313" t="s">
        <v>1033</v>
      </c>
      <c r="B3869" s="315" t="s">
        <v>2177</v>
      </c>
      <c r="C3869" s="313" t="s">
        <v>575</v>
      </c>
      <c r="D3869" s="313" t="s">
        <v>1878</v>
      </c>
      <c r="E3869" s="603" t="s">
        <v>1496</v>
      </c>
      <c r="F3869" s="603"/>
      <c r="G3869" s="314" t="s">
        <v>4</v>
      </c>
      <c r="H3869" s="399">
        <v>1</v>
      </c>
      <c r="I3869" s="316"/>
      <c r="J3869" s="316">
        <v>804.53</v>
      </c>
      <c r="K3869" s="316">
        <v>804.53</v>
      </c>
    </row>
    <row r="3870" spans="1:11" ht="14.25" customHeight="1" x14ac:dyDescent="0.3">
      <c r="A3870" s="400" t="s">
        <v>1038</v>
      </c>
      <c r="B3870" s="401" t="s">
        <v>1631</v>
      </c>
      <c r="C3870" s="400" t="s">
        <v>5902</v>
      </c>
      <c r="D3870" s="400" t="s">
        <v>1632</v>
      </c>
      <c r="E3870" s="605" t="s">
        <v>1053</v>
      </c>
      <c r="F3870" s="605"/>
      <c r="G3870" s="402" t="s">
        <v>6</v>
      </c>
      <c r="H3870" s="403">
        <v>1.5</v>
      </c>
      <c r="I3870" s="403">
        <v>0</v>
      </c>
      <c r="J3870" s="404">
        <v>22.71</v>
      </c>
      <c r="K3870" s="404">
        <v>34.064999999999998</v>
      </c>
    </row>
    <row r="3871" spans="1:11" ht="26.4" x14ac:dyDescent="0.3">
      <c r="A3871" s="400" t="s">
        <v>1038</v>
      </c>
      <c r="B3871" s="401" t="s">
        <v>1469</v>
      </c>
      <c r="C3871" s="400" t="s">
        <v>5902</v>
      </c>
      <c r="D3871" s="400" t="s">
        <v>1470</v>
      </c>
      <c r="E3871" s="605" t="s">
        <v>1053</v>
      </c>
      <c r="F3871" s="605"/>
      <c r="G3871" s="402" t="s">
        <v>6</v>
      </c>
      <c r="H3871" s="403">
        <v>1.5</v>
      </c>
      <c r="I3871" s="403">
        <v>0</v>
      </c>
      <c r="J3871" s="404">
        <v>27.64</v>
      </c>
      <c r="K3871" s="404">
        <v>41.46</v>
      </c>
    </row>
    <row r="3872" spans="1:11" ht="12.75" customHeight="1" x14ac:dyDescent="0.3">
      <c r="A3872" s="400" t="s">
        <v>1038</v>
      </c>
      <c r="B3872" s="401" t="s">
        <v>1473</v>
      </c>
      <c r="C3872" s="400" t="s">
        <v>5902</v>
      </c>
      <c r="D3872" s="400" t="s">
        <v>1474</v>
      </c>
      <c r="E3872" s="605" t="s">
        <v>1039</v>
      </c>
      <c r="F3872" s="605"/>
      <c r="G3872" s="402" t="s">
        <v>713</v>
      </c>
      <c r="H3872" s="403">
        <v>2.4E-2</v>
      </c>
      <c r="I3872" s="403">
        <v>0</v>
      </c>
      <c r="J3872" s="404">
        <v>170.72</v>
      </c>
      <c r="K3872" s="404">
        <v>4.0972799999999996</v>
      </c>
    </row>
    <row r="3873" spans="1:11" ht="25.5" customHeight="1" x14ac:dyDescent="0.3">
      <c r="A3873" s="400" t="s">
        <v>1038</v>
      </c>
      <c r="B3873" s="401" t="s">
        <v>1471</v>
      </c>
      <c r="C3873" s="400" t="s">
        <v>5902</v>
      </c>
      <c r="D3873" s="400" t="s">
        <v>1472</v>
      </c>
      <c r="E3873" s="605" t="s">
        <v>1039</v>
      </c>
      <c r="F3873" s="605"/>
      <c r="G3873" s="402" t="s">
        <v>3</v>
      </c>
      <c r="H3873" s="403">
        <v>9.7200000000000006</v>
      </c>
      <c r="I3873" s="403">
        <v>0</v>
      </c>
      <c r="J3873" s="404">
        <v>0.67</v>
      </c>
      <c r="K3873" s="404">
        <v>6.5124000000000004</v>
      </c>
    </row>
    <row r="3874" spans="1:11" ht="25.5" customHeight="1" x14ac:dyDescent="0.3">
      <c r="A3874" s="400" t="s">
        <v>1038</v>
      </c>
      <c r="B3874" s="401" t="s">
        <v>2477</v>
      </c>
      <c r="C3874" s="400" t="s">
        <v>5902</v>
      </c>
      <c r="D3874" s="400" t="s">
        <v>2478</v>
      </c>
      <c r="E3874" s="605" t="s">
        <v>1039</v>
      </c>
      <c r="F3874" s="605"/>
      <c r="G3874" s="402" t="s">
        <v>4</v>
      </c>
      <c r="H3874" s="403">
        <v>1.8</v>
      </c>
      <c r="I3874" s="403">
        <v>0</v>
      </c>
      <c r="J3874" s="404">
        <v>399.11</v>
      </c>
      <c r="K3874" s="404">
        <v>718.39800000000002</v>
      </c>
    </row>
    <row r="3875" spans="1:11" ht="15" x14ac:dyDescent="0.3">
      <c r="A3875" s="405"/>
      <c r="B3875" s="405"/>
      <c r="C3875" s="405"/>
      <c r="D3875" s="405"/>
      <c r="E3875" s="405" t="s">
        <v>1046</v>
      </c>
      <c r="F3875" s="406">
        <v>75.53</v>
      </c>
      <c r="G3875" s="405" t="s">
        <v>1047</v>
      </c>
      <c r="H3875" s="406">
        <v>0</v>
      </c>
      <c r="I3875" s="405" t="s">
        <v>1048</v>
      </c>
      <c r="J3875" s="406">
        <v>75.53</v>
      </c>
      <c r="K3875"/>
    </row>
    <row r="3876" spans="1:11" ht="15.6" thickBot="1" x14ac:dyDescent="0.35">
      <c r="A3876" s="405"/>
      <c r="B3876" s="405"/>
      <c r="C3876" s="405"/>
      <c r="D3876" s="405"/>
      <c r="E3876" s="405" t="s">
        <v>1049</v>
      </c>
      <c r="F3876" s="406">
        <v>0</v>
      </c>
      <c r="G3876" s="405"/>
      <c r="H3876" s="606"/>
      <c r="I3876" s="606" t="s">
        <v>1050</v>
      </c>
      <c r="J3876" s="406">
        <v>804.53</v>
      </c>
      <c r="K3876"/>
    </row>
    <row r="3877" spans="1:11" ht="15" customHeight="1" thickTop="1" x14ac:dyDescent="0.3">
      <c r="A3877" s="407"/>
      <c r="B3877" s="407"/>
      <c r="C3877" s="407"/>
      <c r="D3877" s="407"/>
      <c r="E3877" s="407"/>
      <c r="F3877" s="407"/>
      <c r="G3877" s="407"/>
      <c r="H3877" s="407"/>
      <c r="I3877" s="407"/>
      <c r="J3877" s="407"/>
      <c r="K3877" s="407"/>
    </row>
    <row r="3878" spans="1:11" ht="15" x14ac:dyDescent="0.3">
      <c r="A3878" s="382" t="s">
        <v>2885</v>
      </c>
      <c r="B3878" s="312" t="s">
        <v>413</v>
      </c>
      <c r="C3878" s="382" t="s">
        <v>414</v>
      </c>
      <c r="D3878" s="382" t="s">
        <v>415</v>
      </c>
      <c r="E3878" s="586" t="s">
        <v>1029</v>
      </c>
      <c r="F3878" s="586"/>
      <c r="G3878" s="383" t="s">
        <v>416</v>
      </c>
      <c r="H3878" s="312" t="s">
        <v>1030</v>
      </c>
      <c r="I3878" s="312" t="s">
        <v>3016</v>
      </c>
      <c r="J3878" s="312" t="s">
        <v>1031</v>
      </c>
      <c r="K3878" s="312" t="s">
        <v>1032</v>
      </c>
    </row>
    <row r="3879" spans="1:11" ht="14.25" customHeight="1" x14ac:dyDescent="0.3">
      <c r="A3879" s="313" t="s">
        <v>1033</v>
      </c>
      <c r="B3879" s="315" t="s">
        <v>2245</v>
      </c>
      <c r="C3879" s="313" t="s">
        <v>575</v>
      </c>
      <c r="D3879" s="313" t="s">
        <v>2090</v>
      </c>
      <c r="E3879" s="603" t="s">
        <v>1309</v>
      </c>
      <c r="F3879" s="603"/>
      <c r="G3879" s="314" t="s">
        <v>4</v>
      </c>
      <c r="H3879" s="399">
        <v>1</v>
      </c>
      <c r="I3879" s="316"/>
      <c r="J3879" s="316">
        <v>1613.35</v>
      </c>
      <c r="K3879" s="316">
        <v>1613.35</v>
      </c>
    </row>
    <row r="3880" spans="1:11" ht="17.399999999999999" customHeight="1" x14ac:dyDescent="0.3">
      <c r="A3880" s="408" t="s">
        <v>1034</v>
      </c>
      <c r="B3880" s="409" t="s">
        <v>2584</v>
      </c>
      <c r="C3880" s="408" t="s">
        <v>395</v>
      </c>
      <c r="D3880" s="408" t="s">
        <v>130</v>
      </c>
      <c r="E3880" s="604" t="s">
        <v>7768</v>
      </c>
      <c r="F3880" s="604"/>
      <c r="G3880" s="410" t="s">
        <v>6</v>
      </c>
      <c r="H3880" s="412">
        <v>8.5039999999999996</v>
      </c>
      <c r="I3880" s="412">
        <v>0</v>
      </c>
      <c r="J3880" s="411">
        <v>32.53</v>
      </c>
      <c r="K3880" s="411">
        <v>276.63511999999997</v>
      </c>
    </row>
    <row r="3881" spans="1:11" ht="25.5" customHeight="1" x14ac:dyDescent="0.3">
      <c r="A3881" s="408" t="s">
        <v>1034</v>
      </c>
      <c r="B3881" s="409" t="s">
        <v>2585</v>
      </c>
      <c r="C3881" s="408" t="s">
        <v>395</v>
      </c>
      <c r="D3881" s="408" t="s">
        <v>139</v>
      </c>
      <c r="E3881" s="604" t="s">
        <v>7768</v>
      </c>
      <c r="F3881" s="604"/>
      <c r="G3881" s="410" t="s">
        <v>6</v>
      </c>
      <c r="H3881" s="412">
        <v>5.3150000000000004</v>
      </c>
      <c r="I3881" s="412">
        <v>0</v>
      </c>
      <c r="J3881" s="411">
        <v>44.82</v>
      </c>
      <c r="K3881" s="411">
        <v>238.2183</v>
      </c>
    </row>
    <row r="3882" spans="1:11" ht="25.5" customHeight="1" x14ac:dyDescent="0.3">
      <c r="A3882" s="400" t="s">
        <v>1038</v>
      </c>
      <c r="B3882" s="401" t="s">
        <v>2586</v>
      </c>
      <c r="C3882" s="400" t="s">
        <v>575</v>
      </c>
      <c r="D3882" s="400" t="s">
        <v>2090</v>
      </c>
      <c r="E3882" s="605" t="s">
        <v>1039</v>
      </c>
      <c r="F3882" s="605"/>
      <c r="G3882" s="402" t="s">
        <v>422</v>
      </c>
      <c r="H3882" s="403">
        <v>1</v>
      </c>
      <c r="I3882" s="403">
        <v>0</v>
      </c>
      <c r="J3882" s="404">
        <v>1098.5</v>
      </c>
      <c r="K3882" s="404">
        <v>1098.5</v>
      </c>
    </row>
    <row r="3883" spans="1:11" ht="25.5" customHeight="1" x14ac:dyDescent="0.3">
      <c r="A3883" s="405"/>
      <c r="B3883" s="405"/>
      <c r="C3883" s="405"/>
      <c r="D3883" s="405"/>
      <c r="E3883" s="405" t="s">
        <v>1046</v>
      </c>
      <c r="F3883" s="406">
        <v>391.17</v>
      </c>
      <c r="G3883" s="405" t="s">
        <v>1047</v>
      </c>
      <c r="H3883" s="406">
        <v>0</v>
      </c>
      <c r="I3883" s="405" t="s">
        <v>1048</v>
      </c>
      <c r="J3883" s="406">
        <v>391.17</v>
      </c>
      <c r="K3883"/>
    </row>
    <row r="3884" spans="1:11" ht="30" customHeight="1" thickBot="1" x14ac:dyDescent="0.35">
      <c r="A3884" s="405"/>
      <c r="B3884" s="405"/>
      <c r="C3884" s="405"/>
      <c r="D3884" s="405"/>
      <c r="E3884" s="405" t="s">
        <v>1049</v>
      </c>
      <c r="F3884" s="406">
        <v>0</v>
      </c>
      <c r="G3884" s="405"/>
      <c r="H3884" s="606"/>
      <c r="I3884" s="606" t="s">
        <v>1050</v>
      </c>
      <c r="J3884" s="406">
        <v>1613.35</v>
      </c>
      <c r="K3884"/>
    </row>
    <row r="3885" spans="1:11" ht="30" customHeight="1" thickTop="1" x14ac:dyDescent="0.3">
      <c r="A3885" s="407"/>
      <c r="B3885" s="407"/>
      <c r="C3885" s="407"/>
      <c r="D3885" s="407"/>
      <c r="E3885" s="407"/>
      <c r="F3885" s="407"/>
      <c r="G3885" s="407"/>
      <c r="H3885" s="407"/>
      <c r="I3885" s="407"/>
      <c r="J3885" s="407"/>
      <c r="K3885" s="407"/>
    </row>
    <row r="3886" spans="1:11" ht="14.25" customHeight="1" x14ac:dyDescent="0.3">
      <c r="A3886" s="382" t="s">
        <v>2886</v>
      </c>
      <c r="B3886" s="312" t="s">
        <v>413</v>
      </c>
      <c r="C3886" s="382" t="s">
        <v>414</v>
      </c>
      <c r="D3886" s="382" t="s">
        <v>415</v>
      </c>
      <c r="E3886" s="586" t="s">
        <v>1029</v>
      </c>
      <c r="F3886" s="586"/>
      <c r="G3886" s="383" t="s">
        <v>416</v>
      </c>
      <c r="H3886" s="312" t="s">
        <v>1030</v>
      </c>
      <c r="I3886" s="312" t="s">
        <v>3016</v>
      </c>
      <c r="J3886" s="312" t="s">
        <v>1031</v>
      </c>
      <c r="K3886" s="312" t="s">
        <v>1032</v>
      </c>
    </row>
    <row r="3887" spans="1:11" ht="26.4" x14ac:dyDescent="0.3">
      <c r="A3887" s="313" t="s">
        <v>1033</v>
      </c>
      <c r="B3887" s="315" t="s">
        <v>3898</v>
      </c>
      <c r="C3887" s="313" t="s">
        <v>395</v>
      </c>
      <c r="D3887" s="313" t="s">
        <v>6014</v>
      </c>
      <c r="E3887" s="603" t="s">
        <v>7806</v>
      </c>
      <c r="F3887" s="603"/>
      <c r="G3887" s="314" t="s">
        <v>7</v>
      </c>
      <c r="H3887" s="399">
        <v>1</v>
      </c>
      <c r="I3887" s="316"/>
      <c r="J3887" s="316">
        <v>7.99</v>
      </c>
      <c r="K3887" s="316">
        <v>7.99</v>
      </c>
    </row>
    <row r="3888" spans="1:11" ht="15" customHeight="1" x14ac:dyDescent="0.3">
      <c r="A3888" s="408" t="s">
        <v>1034</v>
      </c>
      <c r="B3888" s="409" t="s">
        <v>1113</v>
      </c>
      <c r="C3888" s="408" t="s">
        <v>395</v>
      </c>
      <c r="D3888" s="408" t="s">
        <v>129</v>
      </c>
      <c r="E3888" s="604" t="s">
        <v>7768</v>
      </c>
      <c r="F3888" s="604"/>
      <c r="G3888" s="410" t="s">
        <v>6</v>
      </c>
      <c r="H3888" s="412">
        <v>4.6300000000000001E-2</v>
      </c>
      <c r="I3888" s="412">
        <v>0</v>
      </c>
      <c r="J3888" s="411">
        <v>33.450000000000003</v>
      </c>
      <c r="K3888" s="411">
        <v>1.548735</v>
      </c>
    </row>
    <row r="3889" spans="1:11" ht="26.4" x14ac:dyDescent="0.3">
      <c r="A3889" s="408" t="s">
        <v>1034</v>
      </c>
      <c r="B3889" s="409" t="s">
        <v>1112</v>
      </c>
      <c r="C3889" s="408" t="s">
        <v>395</v>
      </c>
      <c r="D3889" s="408" t="s">
        <v>137</v>
      </c>
      <c r="E3889" s="604" t="s">
        <v>7768</v>
      </c>
      <c r="F3889" s="604"/>
      <c r="G3889" s="410" t="s">
        <v>6</v>
      </c>
      <c r="H3889" s="412">
        <v>4.6300000000000001E-2</v>
      </c>
      <c r="I3889" s="412">
        <v>0</v>
      </c>
      <c r="J3889" s="411">
        <v>40.299999999999997</v>
      </c>
      <c r="K3889" s="411">
        <v>1.86589</v>
      </c>
    </row>
    <row r="3890" spans="1:11" ht="15" x14ac:dyDescent="0.3">
      <c r="A3890" s="400" t="s">
        <v>1038</v>
      </c>
      <c r="B3890" s="401" t="s">
        <v>4244</v>
      </c>
      <c r="C3890" s="400" t="s">
        <v>395</v>
      </c>
      <c r="D3890" s="400" t="s">
        <v>4245</v>
      </c>
      <c r="E3890" s="605" t="s">
        <v>1039</v>
      </c>
      <c r="F3890" s="605"/>
      <c r="G3890" s="402" t="s">
        <v>7</v>
      </c>
      <c r="H3890" s="403">
        <v>1.0492999999999999</v>
      </c>
      <c r="I3890" s="403">
        <v>0</v>
      </c>
      <c r="J3890" s="404">
        <v>4.3499999999999996</v>
      </c>
      <c r="K3890" s="404">
        <v>4.5644549999999997</v>
      </c>
    </row>
    <row r="3891" spans="1:11" ht="17.399999999999999" customHeight="1" x14ac:dyDescent="0.3">
      <c r="A3891" s="400" t="s">
        <v>1038</v>
      </c>
      <c r="B3891" s="401" t="s">
        <v>1372</v>
      </c>
      <c r="C3891" s="400" t="s">
        <v>395</v>
      </c>
      <c r="D3891" s="400" t="s">
        <v>266</v>
      </c>
      <c r="E3891" s="605" t="s">
        <v>1039</v>
      </c>
      <c r="F3891" s="605"/>
      <c r="G3891" s="402" t="s">
        <v>4</v>
      </c>
      <c r="H3891" s="403">
        <v>5.1000000000000004E-3</v>
      </c>
      <c r="I3891" s="403">
        <v>0</v>
      </c>
      <c r="J3891" s="404">
        <v>2.09</v>
      </c>
      <c r="K3891" s="404">
        <v>1.0659E-2</v>
      </c>
    </row>
    <row r="3892" spans="1:11" ht="25.5" customHeight="1" x14ac:dyDescent="0.3">
      <c r="A3892" s="405"/>
      <c r="B3892" s="405"/>
      <c r="C3892" s="405"/>
      <c r="D3892" s="405"/>
      <c r="E3892" s="405" t="s">
        <v>1046</v>
      </c>
      <c r="F3892" s="406">
        <v>2.5099999999999998</v>
      </c>
      <c r="G3892" s="405" t="s">
        <v>1047</v>
      </c>
      <c r="H3892" s="406">
        <v>0.01</v>
      </c>
      <c r="I3892" s="405" t="s">
        <v>1048</v>
      </c>
      <c r="J3892" s="406">
        <v>2.52</v>
      </c>
      <c r="K3892"/>
    </row>
    <row r="3893" spans="1:11" ht="25.5" customHeight="1" thickBot="1" x14ac:dyDescent="0.35">
      <c r="A3893" s="405"/>
      <c r="B3893" s="405"/>
      <c r="C3893" s="405"/>
      <c r="D3893" s="405"/>
      <c r="E3893" s="405" t="s">
        <v>1049</v>
      </c>
      <c r="F3893" s="406">
        <v>0</v>
      </c>
      <c r="G3893" s="405"/>
      <c r="H3893" s="606"/>
      <c r="I3893" s="606" t="s">
        <v>1050</v>
      </c>
      <c r="J3893" s="406">
        <v>7.99</v>
      </c>
      <c r="K3893"/>
    </row>
    <row r="3894" spans="1:11" ht="25.5" customHeight="1" thickTop="1" x14ac:dyDescent="0.3">
      <c r="A3894" s="407"/>
      <c r="B3894" s="407"/>
      <c r="C3894" s="407"/>
      <c r="D3894" s="407"/>
      <c r="E3894" s="407"/>
      <c r="F3894" s="407"/>
      <c r="G3894" s="407"/>
      <c r="H3894" s="407"/>
      <c r="I3894" s="407"/>
      <c r="J3894" s="407"/>
      <c r="K3894" s="407"/>
    </row>
    <row r="3895" spans="1:11" ht="14.25" customHeight="1" x14ac:dyDescent="0.3">
      <c r="A3895" s="382" t="s">
        <v>2887</v>
      </c>
      <c r="B3895" s="312" t="s">
        <v>413</v>
      </c>
      <c r="C3895" s="382" t="s">
        <v>414</v>
      </c>
      <c r="D3895" s="382" t="s">
        <v>415</v>
      </c>
      <c r="E3895" s="586" t="s">
        <v>1029</v>
      </c>
      <c r="F3895" s="586"/>
      <c r="G3895" s="383" t="s">
        <v>416</v>
      </c>
      <c r="H3895" s="312" t="s">
        <v>1030</v>
      </c>
      <c r="I3895" s="312" t="s">
        <v>3016</v>
      </c>
      <c r="J3895" s="312" t="s">
        <v>1031</v>
      </c>
      <c r="K3895" s="312" t="s">
        <v>1032</v>
      </c>
    </row>
    <row r="3896" spans="1:11" ht="30" customHeight="1" x14ac:dyDescent="0.3">
      <c r="A3896" s="313" t="s">
        <v>1033</v>
      </c>
      <c r="B3896" s="315" t="s">
        <v>3899</v>
      </c>
      <c r="C3896" s="313" t="s">
        <v>395</v>
      </c>
      <c r="D3896" s="313" t="s">
        <v>6015</v>
      </c>
      <c r="E3896" s="603" t="s">
        <v>7806</v>
      </c>
      <c r="F3896" s="603"/>
      <c r="G3896" s="314" t="s">
        <v>7</v>
      </c>
      <c r="H3896" s="399">
        <v>1</v>
      </c>
      <c r="I3896" s="316"/>
      <c r="J3896" s="316">
        <v>14.33</v>
      </c>
      <c r="K3896" s="316">
        <v>14.33</v>
      </c>
    </row>
    <row r="3897" spans="1:11" ht="26.4" x14ac:dyDescent="0.3">
      <c r="A3897" s="408" t="s">
        <v>1034</v>
      </c>
      <c r="B3897" s="409" t="s">
        <v>1113</v>
      </c>
      <c r="C3897" s="408" t="s">
        <v>395</v>
      </c>
      <c r="D3897" s="408" t="s">
        <v>129</v>
      </c>
      <c r="E3897" s="604" t="s">
        <v>7768</v>
      </c>
      <c r="F3897" s="604"/>
      <c r="G3897" s="410" t="s">
        <v>6</v>
      </c>
      <c r="H3897" s="412">
        <v>6.0499999999999998E-2</v>
      </c>
      <c r="I3897" s="412">
        <v>0</v>
      </c>
      <c r="J3897" s="411">
        <v>33.450000000000003</v>
      </c>
      <c r="K3897" s="411">
        <v>2.0237250000000002</v>
      </c>
    </row>
    <row r="3898" spans="1:11" ht="26.4" x14ac:dyDescent="0.3">
      <c r="A3898" s="408" t="s">
        <v>1034</v>
      </c>
      <c r="B3898" s="409" t="s">
        <v>1112</v>
      </c>
      <c r="C3898" s="408" t="s">
        <v>395</v>
      </c>
      <c r="D3898" s="408" t="s">
        <v>137</v>
      </c>
      <c r="E3898" s="604" t="s">
        <v>7768</v>
      </c>
      <c r="F3898" s="604"/>
      <c r="G3898" s="410" t="s">
        <v>6</v>
      </c>
      <c r="H3898" s="412">
        <v>6.0499999999999998E-2</v>
      </c>
      <c r="I3898" s="412">
        <v>0</v>
      </c>
      <c r="J3898" s="411">
        <v>40.299999999999997</v>
      </c>
      <c r="K3898" s="411">
        <v>2.4381499999999998</v>
      </c>
    </row>
    <row r="3899" spans="1:11" ht="15" customHeight="1" x14ac:dyDescent="0.3">
      <c r="A3899" s="400" t="s">
        <v>1038</v>
      </c>
      <c r="B3899" s="401" t="s">
        <v>4713</v>
      </c>
      <c r="C3899" s="400" t="s">
        <v>395</v>
      </c>
      <c r="D3899" s="400" t="s">
        <v>4714</v>
      </c>
      <c r="E3899" s="605" t="s">
        <v>1039</v>
      </c>
      <c r="F3899" s="605"/>
      <c r="G3899" s="402" t="s">
        <v>7</v>
      </c>
      <c r="H3899" s="403">
        <v>1.0492999999999999</v>
      </c>
      <c r="I3899" s="403">
        <v>0</v>
      </c>
      <c r="J3899" s="404">
        <v>9.39</v>
      </c>
      <c r="K3899" s="404">
        <v>9.8529269999999993</v>
      </c>
    </row>
    <row r="3900" spans="1:11" ht="15" x14ac:dyDescent="0.3">
      <c r="A3900" s="400" t="s">
        <v>1038</v>
      </c>
      <c r="B3900" s="401" t="s">
        <v>1372</v>
      </c>
      <c r="C3900" s="400" t="s">
        <v>395</v>
      </c>
      <c r="D3900" s="400" t="s">
        <v>266</v>
      </c>
      <c r="E3900" s="605" t="s">
        <v>1039</v>
      </c>
      <c r="F3900" s="605"/>
      <c r="G3900" s="402" t="s">
        <v>4</v>
      </c>
      <c r="H3900" s="403">
        <v>6.7000000000000002E-3</v>
      </c>
      <c r="I3900" s="403">
        <v>0</v>
      </c>
      <c r="J3900" s="404">
        <v>2.09</v>
      </c>
      <c r="K3900" s="404">
        <v>1.4003E-2</v>
      </c>
    </row>
    <row r="3901" spans="1:11" ht="15" x14ac:dyDescent="0.3">
      <c r="A3901" s="405"/>
      <c r="B3901" s="405"/>
      <c r="C3901" s="405"/>
      <c r="D3901" s="405"/>
      <c r="E3901" s="405" t="s">
        <v>1046</v>
      </c>
      <c r="F3901" s="406">
        <v>3.29</v>
      </c>
      <c r="G3901" s="405" t="s">
        <v>1047</v>
      </c>
      <c r="H3901" s="406">
        <v>0</v>
      </c>
      <c r="I3901" s="405" t="s">
        <v>1048</v>
      </c>
      <c r="J3901" s="406">
        <v>3.29</v>
      </c>
      <c r="K3901"/>
    </row>
    <row r="3902" spans="1:11" ht="15.6" thickBot="1" x14ac:dyDescent="0.35">
      <c r="A3902" s="405"/>
      <c r="B3902" s="405"/>
      <c r="C3902" s="405"/>
      <c r="D3902" s="405"/>
      <c r="E3902" s="405" t="s">
        <v>1049</v>
      </c>
      <c r="F3902" s="406">
        <v>0</v>
      </c>
      <c r="G3902" s="405"/>
      <c r="H3902" s="606"/>
      <c r="I3902" s="606" t="s">
        <v>1050</v>
      </c>
      <c r="J3902" s="406">
        <v>14.33</v>
      </c>
      <c r="K3902"/>
    </row>
    <row r="3903" spans="1:11" ht="17.399999999999999" customHeight="1" thickTop="1" x14ac:dyDescent="0.3">
      <c r="A3903" s="407"/>
      <c r="B3903" s="407"/>
      <c r="C3903" s="407"/>
      <c r="D3903" s="407"/>
      <c r="E3903" s="407"/>
      <c r="F3903" s="407"/>
      <c r="G3903" s="407"/>
      <c r="H3903" s="407"/>
      <c r="I3903" s="407"/>
      <c r="J3903" s="407"/>
      <c r="K3903" s="407"/>
    </row>
    <row r="3904" spans="1:11" ht="14.25" customHeight="1" x14ac:dyDescent="0.3">
      <c r="A3904" s="382" t="s">
        <v>2888</v>
      </c>
      <c r="B3904" s="312" t="s">
        <v>413</v>
      </c>
      <c r="C3904" s="382" t="s">
        <v>414</v>
      </c>
      <c r="D3904" s="382" t="s">
        <v>415</v>
      </c>
      <c r="E3904" s="586" t="s">
        <v>1029</v>
      </c>
      <c r="F3904" s="586"/>
      <c r="G3904" s="383" t="s">
        <v>416</v>
      </c>
      <c r="H3904" s="312" t="s">
        <v>1030</v>
      </c>
      <c r="I3904" s="312" t="s">
        <v>3016</v>
      </c>
      <c r="J3904" s="312" t="s">
        <v>1031</v>
      </c>
      <c r="K3904" s="312" t="s">
        <v>1032</v>
      </c>
    </row>
    <row r="3905" spans="1:11" ht="26.4" x14ac:dyDescent="0.3">
      <c r="A3905" s="313" t="s">
        <v>1033</v>
      </c>
      <c r="B3905" s="315" t="s">
        <v>3900</v>
      </c>
      <c r="C3905" s="313" t="s">
        <v>395</v>
      </c>
      <c r="D3905" s="313" t="s">
        <v>6016</v>
      </c>
      <c r="E3905" s="603" t="s">
        <v>7806</v>
      </c>
      <c r="F3905" s="603"/>
      <c r="G3905" s="314" t="s">
        <v>7</v>
      </c>
      <c r="H3905" s="399">
        <v>1</v>
      </c>
      <c r="I3905" s="316"/>
      <c r="J3905" s="316">
        <v>21.45</v>
      </c>
      <c r="K3905" s="316">
        <v>21.45</v>
      </c>
    </row>
    <row r="3906" spans="1:11" ht="26.4" x14ac:dyDescent="0.3">
      <c r="A3906" s="408" t="s">
        <v>1034</v>
      </c>
      <c r="B3906" s="409" t="s">
        <v>1113</v>
      </c>
      <c r="C3906" s="408" t="s">
        <v>395</v>
      </c>
      <c r="D3906" s="408" t="s">
        <v>129</v>
      </c>
      <c r="E3906" s="604" t="s">
        <v>7768</v>
      </c>
      <c r="F3906" s="604"/>
      <c r="G3906" s="410" t="s">
        <v>6</v>
      </c>
      <c r="H3906" s="412">
        <v>8.09E-2</v>
      </c>
      <c r="I3906" s="412">
        <v>0</v>
      </c>
      <c r="J3906" s="411">
        <v>33.450000000000003</v>
      </c>
      <c r="K3906" s="411">
        <v>2.706105</v>
      </c>
    </row>
    <row r="3907" spans="1:11" ht="30" customHeight="1" x14ac:dyDescent="0.3">
      <c r="A3907" s="408" t="s">
        <v>1034</v>
      </c>
      <c r="B3907" s="409" t="s">
        <v>1112</v>
      </c>
      <c r="C3907" s="408" t="s">
        <v>395</v>
      </c>
      <c r="D3907" s="408" t="s">
        <v>137</v>
      </c>
      <c r="E3907" s="604" t="s">
        <v>7768</v>
      </c>
      <c r="F3907" s="604"/>
      <c r="G3907" s="410" t="s">
        <v>6</v>
      </c>
      <c r="H3907" s="412">
        <v>8.09E-2</v>
      </c>
      <c r="I3907" s="412">
        <v>0</v>
      </c>
      <c r="J3907" s="411">
        <v>40.299999999999997</v>
      </c>
      <c r="K3907" s="411">
        <v>3.2602699999999998</v>
      </c>
    </row>
    <row r="3908" spans="1:11" ht="25.5" customHeight="1" x14ac:dyDescent="0.3">
      <c r="A3908" s="400" t="s">
        <v>1038</v>
      </c>
      <c r="B3908" s="401" t="s">
        <v>4661</v>
      </c>
      <c r="C3908" s="400" t="s">
        <v>395</v>
      </c>
      <c r="D3908" s="400" t="s">
        <v>4662</v>
      </c>
      <c r="E3908" s="605" t="s">
        <v>1039</v>
      </c>
      <c r="F3908" s="605"/>
      <c r="G3908" s="402" t="s">
        <v>7</v>
      </c>
      <c r="H3908" s="403">
        <v>1.0492999999999999</v>
      </c>
      <c r="I3908" s="403">
        <v>0</v>
      </c>
      <c r="J3908" s="404">
        <v>14.74</v>
      </c>
      <c r="K3908" s="404">
        <v>15.466682</v>
      </c>
    </row>
    <row r="3909" spans="1:11" ht="15" x14ac:dyDescent="0.3">
      <c r="A3909" s="400" t="s">
        <v>1038</v>
      </c>
      <c r="B3909" s="401" t="s">
        <v>1372</v>
      </c>
      <c r="C3909" s="400" t="s">
        <v>395</v>
      </c>
      <c r="D3909" s="400" t="s">
        <v>266</v>
      </c>
      <c r="E3909" s="605" t="s">
        <v>1039</v>
      </c>
      <c r="F3909" s="605"/>
      <c r="G3909" s="402" t="s">
        <v>4</v>
      </c>
      <c r="H3909" s="403">
        <v>8.9999999999999993E-3</v>
      </c>
      <c r="I3909" s="403">
        <v>0</v>
      </c>
      <c r="J3909" s="404">
        <v>2.09</v>
      </c>
      <c r="K3909" s="404">
        <v>1.881E-2</v>
      </c>
    </row>
    <row r="3910" spans="1:11" ht="15" x14ac:dyDescent="0.3">
      <c r="A3910" s="405"/>
      <c r="B3910" s="405"/>
      <c r="C3910" s="405"/>
      <c r="D3910" s="405"/>
      <c r="E3910" s="405" t="s">
        <v>1046</v>
      </c>
      <c r="F3910" s="406">
        <v>4.3899999999999997</v>
      </c>
      <c r="G3910" s="405" t="s">
        <v>1047</v>
      </c>
      <c r="H3910" s="406">
        <v>0</v>
      </c>
      <c r="I3910" s="405" t="s">
        <v>1048</v>
      </c>
      <c r="J3910" s="406">
        <v>4.3899999999999997</v>
      </c>
      <c r="K3910"/>
    </row>
    <row r="3911" spans="1:11" ht="15" customHeight="1" thickBot="1" x14ac:dyDescent="0.35">
      <c r="A3911" s="405"/>
      <c r="B3911" s="405"/>
      <c r="C3911" s="405"/>
      <c r="D3911" s="405"/>
      <c r="E3911" s="405" t="s">
        <v>1049</v>
      </c>
      <c r="F3911" s="406">
        <v>0</v>
      </c>
      <c r="G3911" s="405"/>
      <c r="H3911" s="606"/>
      <c r="I3911" s="606" t="s">
        <v>1050</v>
      </c>
      <c r="J3911" s="406">
        <v>21.45</v>
      </c>
      <c r="K3911"/>
    </row>
    <row r="3912" spans="1:11" ht="15.6" thickTop="1" x14ac:dyDescent="0.3">
      <c r="A3912" s="407"/>
      <c r="B3912" s="407"/>
      <c r="C3912" s="407"/>
      <c r="D3912" s="407"/>
      <c r="E3912" s="407"/>
      <c r="F3912" s="407"/>
      <c r="G3912" s="407"/>
      <c r="H3912" s="407"/>
      <c r="I3912" s="407"/>
      <c r="J3912" s="407"/>
      <c r="K3912" s="407"/>
    </row>
    <row r="3913" spans="1:11" ht="15" x14ac:dyDescent="0.3">
      <c r="A3913" s="382" t="s">
        <v>2889</v>
      </c>
      <c r="B3913" s="312" t="s">
        <v>413</v>
      </c>
      <c r="C3913" s="382" t="s">
        <v>414</v>
      </c>
      <c r="D3913" s="382" t="s">
        <v>415</v>
      </c>
      <c r="E3913" s="586" t="s">
        <v>1029</v>
      </c>
      <c r="F3913" s="586"/>
      <c r="G3913" s="383" t="s">
        <v>416</v>
      </c>
      <c r="H3913" s="312" t="s">
        <v>1030</v>
      </c>
      <c r="I3913" s="312" t="s">
        <v>3016</v>
      </c>
      <c r="J3913" s="312" t="s">
        <v>1031</v>
      </c>
      <c r="K3913" s="312" t="s">
        <v>1032</v>
      </c>
    </row>
    <row r="3914" spans="1:11" ht="17.399999999999999" customHeight="1" x14ac:dyDescent="0.3">
      <c r="A3914" s="313" t="s">
        <v>1033</v>
      </c>
      <c r="B3914" s="315" t="s">
        <v>3901</v>
      </c>
      <c r="C3914" s="313" t="s">
        <v>395</v>
      </c>
      <c r="D3914" s="313" t="s">
        <v>6017</v>
      </c>
      <c r="E3914" s="603" t="s">
        <v>7806</v>
      </c>
      <c r="F3914" s="603"/>
      <c r="G3914" s="314" t="s">
        <v>7</v>
      </c>
      <c r="H3914" s="399">
        <v>1</v>
      </c>
      <c r="I3914" s="316"/>
      <c r="J3914" s="316">
        <v>25.31</v>
      </c>
      <c r="K3914" s="316">
        <v>25.31</v>
      </c>
    </row>
    <row r="3915" spans="1:11" ht="25.5" customHeight="1" x14ac:dyDescent="0.3">
      <c r="A3915" s="408" t="s">
        <v>1034</v>
      </c>
      <c r="B3915" s="409" t="s">
        <v>1113</v>
      </c>
      <c r="C3915" s="408" t="s">
        <v>395</v>
      </c>
      <c r="D3915" s="408" t="s">
        <v>129</v>
      </c>
      <c r="E3915" s="604" t="s">
        <v>7768</v>
      </c>
      <c r="F3915" s="604"/>
      <c r="G3915" s="410" t="s">
        <v>6</v>
      </c>
      <c r="H3915" s="412">
        <v>0.1128</v>
      </c>
      <c r="I3915" s="412">
        <v>0</v>
      </c>
      <c r="J3915" s="411">
        <v>33.450000000000003</v>
      </c>
      <c r="K3915" s="411">
        <v>3.7731599999999998</v>
      </c>
    </row>
    <row r="3916" spans="1:11" ht="25.5" customHeight="1" x14ac:dyDescent="0.3">
      <c r="A3916" s="408" t="s">
        <v>1034</v>
      </c>
      <c r="B3916" s="409" t="s">
        <v>1112</v>
      </c>
      <c r="C3916" s="408" t="s">
        <v>395</v>
      </c>
      <c r="D3916" s="408" t="s">
        <v>137</v>
      </c>
      <c r="E3916" s="604" t="s">
        <v>7768</v>
      </c>
      <c r="F3916" s="604"/>
      <c r="G3916" s="410" t="s">
        <v>6</v>
      </c>
      <c r="H3916" s="412">
        <v>0.1128</v>
      </c>
      <c r="I3916" s="412">
        <v>0</v>
      </c>
      <c r="J3916" s="411">
        <v>40.299999999999997</v>
      </c>
      <c r="K3916" s="411">
        <v>4.5458400000000001</v>
      </c>
    </row>
    <row r="3917" spans="1:11" ht="25.5" customHeight="1" x14ac:dyDescent="0.3">
      <c r="A3917" s="400" t="s">
        <v>1038</v>
      </c>
      <c r="B3917" s="401" t="s">
        <v>4626</v>
      </c>
      <c r="C3917" s="400" t="s">
        <v>395</v>
      </c>
      <c r="D3917" s="400" t="s">
        <v>4627</v>
      </c>
      <c r="E3917" s="605" t="s">
        <v>1039</v>
      </c>
      <c r="F3917" s="605"/>
      <c r="G3917" s="402" t="s">
        <v>7</v>
      </c>
      <c r="H3917" s="403">
        <v>1.0492999999999999</v>
      </c>
      <c r="I3917" s="403">
        <v>0</v>
      </c>
      <c r="J3917" s="404">
        <v>16.170000000000002</v>
      </c>
      <c r="K3917" s="404">
        <v>16.967181</v>
      </c>
    </row>
    <row r="3918" spans="1:11" ht="30" customHeight="1" x14ac:dyDescent="0.3">
      <c r="A3918" s="400" t="s">
        <v>1038</v>
      </c>
      <c r="B3918" s="401" t="s">
        <v>1372</v>
      </c>
      <c r="C3918" s="400" t="s">
        <v>395</v>
      </c>
      <c r="D3918" s="400" t="s">
        <v>266</v>
      </c>
      <c r="E3918" s="605" t="s">
        <v>1039</v>
      </c>
      <c r="F3918" s="605"/>
      <c r="G3918" s="402" t="s">
        <v>4</v>
      </c>
      <c r="H3918" s="403">
        <v>1.2500000000000001E-2</v>
      </c>
      <c r="I3918" s="403">
        <v>0</v>
      </c>
      <c r="J3918" s="404">
        <v>2.09</v>
      </c>
      <c r="K3918" s="404">
        <v>2.6124999999999999E-2</v>
      </c>
    </row>
    <row r="3919" spans="1:11" ht="30" customHeight="1" x14ac:dyDescent="0.3">
      <c r="A3919" s="405"/>
      <c r="B3919" s="405"/>
      <c r="C3919" s="405"/>
      <c r="D3919" s="405"/>
      <c r="E3919" s="405" t="s">
        <v>1046</v>
      </c>
      <c r="F3919" s="406">
        <v>6.13</v>
      </c>
      <c r="G3919" s="405" t="s">
        <v>1047</v>
      </c>
      <c r="H3919" s="406">
        <v>0</v>
      </c>
      <c r="I3919" s="405" t="s">
        <v>1048</v>
      </c>
      <c r="J3919" s="406">
        <v>6.13</v>
      </c>
      <c r="K3919"/>
    </row>
    <row r="3920" spans="1:11" ht="15.6" thickBot="1" x14ac:dyDescent="0.35">
      <c r="A3920" s="405"/>
      <c r="B3920" s="405"/>
      <c r="C3920" s="405"/>
      <c r="D3920" s="405"/>
      <c r="E3920" s="405" t="s">
        <v>1049</v>
      </c>
      <c r="F3920" s="406">
        <v>0</v>
      </c>
      <c r="G3920" s="405"/>
      <c r="H3920" s="606"/>
      <c r="I3920" s="606" t="s">
        <v>1050</v>
      </c>
      <c r="J3920" s="406">
        <v>25.31</v>
      </c>
      <c r="K3920"/>
    </row>
    <row r="3921" spans="1:11" ht="15.6" thickTop="1" x14ac:dyDescent="0.3">
      <c r="A3921" s="407"/>
      <c r="B3921" s="407"/>
      <c r="C3921" s="407"/>
      <c r="D3921" s="407"/>
      <c r="E3921" s="407"/>
      <c r="F3921" s="407"/>
      <c r="G3921" s="407"/>
      <c r="H3921" s="407"/>
      <c r="I3921" s="407"/>
      <c r="J3921" s="407"/>
      <c r="K3921" s="407"/>
    </row>
    <row r="3922" spans="1:11" ht="15" x14ac:dyDescent="0.3">
      <c r="A3922" s="382" t="s">
        <v>2890</v>
      </c>
      <c r="B3922" s="312" t="s">
        <v>413</v>
      </c>
      <c r="C3922" s="382" t="s">
        <v>414</v>
      </c>
      <c r="D3922" s="382" t="s">
        <v>415</v>
      </c>
      <c r="E3922" s="586" t="s">
        <v>1029</v>
      </c>
      <c r="F3922" s="586"/>
      <c r="G3922" s="383" t="s">
        <v>416</v>
      </c>
      <c r="H3922" s="312" t="s">
        <v>1030</v>
      </c>
      <c r="I3922" s="312" t="s">
        <v>3016</v>
      </c>
      <c r="J3922" s="312" t="s">
        <v>1031</v>
      </c>
      <c r="K3922" s="312" t="s">
        <v>1032</v>
      </c>
    </row>
    <row r="3923" spans="1:11" ht="26.4" x14ac:dyDescent="0.3">
      <c r="A3923" s="313" t="s">
        <v>1033</v>
      </c>
      <c r="B3923" s="315" t="s">
        <v>3902</v>
      </c>
      <c r="C3923" s="313" t="s">
        <v>395</v>
      </c>
      <c r="D3923" s="313" t="s">
        <v>6018</v>
      </c>
      <c r="E3923" s="603" t="s">
        <v>7806</v>
      </c>
      <c r="F3923" s="603"/>
      <c r="G3923" s="314" t="s">
        <v>7</v>
      </c>
      <c r="H3923" s="399">
        <v>1</v>
      </c>
      <c r="I3923" s="316"/>
      <c r="J3923" s="316">
        <v>39.130000000000003</v>
      </c>
      <c r="K3923" s="316">
        <v>39.130000000000003</v>
      </c>
    </row>
    <row r="3924" spans="1:11" ht="14.25" customHeight="1" x14ac:dyDescent="0.3">
      <c r="A3924" s="408" t="s">
        <v>1034</v>
      </c>
      <c r="B3924" s="409" t="s">
        <v>1113</v>
      </c>
      <c r="C3924" s="408" t="s">
        <v>395</v>
      </c>
      <c r="D3924" s="408" t="s">
        <v>129</v>
      </c>
      <c r="E3924" s="604" t="s">
        <v>7768</v>
      </c>
      <c r="F3924" s="604"/>
      <c r="G3924" s="410" t="s">
        <v>6</v>
      </c>
      <c r="H3924" s="412">
        <v>0.1517</v>
      </c>
      <c r="I3924" s="412">
        <v>0</v>
      </c>
      <c r="J3924" s="411">
        <v>33.450000000000003</v>
      </c>
      <c r="K3924" s="411">
        <v>5.0743650000000002</v>
      </c>
    </row>
    <row r="3925" spans="1:11" ht="17.399999999999999" customHeight="1" x14ac:dyDescent="0.3">
      <c r="A3925" s="408" t="s">
        <v>1034</v>
      </c>
      <c r="B3925" s="409" t="s">
        <v>1112</v>
      </c>
      <c r="C3925" s="408" t="s">
        <v>395</v>
      </c>
      <c r="D3925" s="408" t="s">
        <v>137</v>
      </c>
      <c r="E3925" s="604" t="s">
        <v>7768</v>
      </c>
      <c r="F3925" s="604"/>
      <c r="G3925" s="410" t="s">
        <v>6</v>
      </c>
      <c r="H3925" s="412">
        <v>0.1517</v>
      </c>
      <c r="I3925" s="412">
        <v>0</v>
      </c>
      <c r="J3925" s="411">
        <v>40.299999999999997</v>
      </c>
      <c r="K3925" s="411">
        <v>6.1135099999999998</v>
      </c>
    </row>
    <row r="3926" spans="1:11" ht="14.25" customHeight="1" x14ac:dyDescent="0.3">
      <c r="A3926" s="400" t="s">
        <v>1038</v>
      </c>
      <c r="B3926" s="401" t="s">
        <v>4522</v>
      </c>
      <c r="C3926" s="400" t="s">
        <v>395</v>
      </c>
      <c r="D3926" s="400" t="s">
        <v>4523</v>
      </c>
      <c r="E3926" s="605" t="s">
        <v>1039</v>
      </c>
      <c r="F3926" s="605"/>
      <c r="G3926" s="402" t="s">
        <v>7</v>
      </c>
      <c r="H3926" s="403">
        <v>1.0492999999999999</v>
      </c>
      <c r="I3926" s="403">
        <v>0</v>
      </c>
      <c r="J3926" s="404">
        <v>26.6</v>
      </c>
      <c r="K3926" s="404">
        <v>27.911380000000001</v>
      </c>
    </row>
    <row r="3927" spans="1:11" ht="15" x14ac:dyDescent="0.3">
      <c r="A3927" s="400" t="s">
        <v>1038</v>
      </c>
      <c r="B3927" s="401" t="s">
        <v>1372</v>
      </c>
      <c r="C3927" s="400" t="s">
        <v>395</v>
      </c>
      <c r="D3927" s="400" t="s">
        <v>266</v>
      </c>
      <c r="E3927" s="605" t="s">
        <v>1039</v>
      </c>
      <c r="F3927" s="605"/>
      <c r="G3927" s="402" t="s">
        <v>4</v>
      </c>
      <c r="H3927" s="403">
        <v>1.6899999999999998E-2</v>
      </c>
      <c r="I3927" s="403">
        <v>0</v>
      </c>
      <c r="J3927" s="404">
        <v>2.09</v>
      </c>
      <c r="K3927" s="404">
        <v>3.5320999999999998E-2</v>
      </c>
    </row>
    <row r="3928" spans="1:11" ht="12.75" customHeight="1" x14ac:dyDescent="0.3">
      <c r="A3928" s="405"/>
      <c r="B3928" s="405"/>
      <c r="C3928" s="405"/>
      <c r="D3928" s="405"/>
      <c r="E3928" s="405" t="s">
        <v>1046</v>
      </c>
      <c r="F3928" s="406">
        <v>8.24</v>
      </c>
      <c r="G3928" s="405" t="s">
        <v>1047</v>
      </c>
      <c r="H3928" s="406">
        <v>0</v>
      </c>
      <c r="I3928" s="405" t="s">
        <v>1048</v>
      </c>
      <c r="J3928" s="406">
        <v>8.24</v>
      </c>
      <c r="K3928"/>
    </row>
    <row r="3929" spans="1:11" ht="15" customHeight="1" thickBot="1" x14ac:dyDescent="0.35">
      <c r="A3929" s="405"/>
      <c r="B3929" s="405"/>
      <c r="C3929" s="405"/>
      <c r="D3929" s="405"/>
      <c r="E3929" s="405" t="s">
        <v>1049</v>
      </c>
      <c r="F3929" s="406">
        <v>0</v>
      </c>
      <c r="G3929" s="405"/>
      <c r="H3929" s="606"/>
      <c r="I3929" s="606" t="s">
        <v>1050</v>
      </c>
      <c r="J3929" s="406">
        <v>39.130000000000003</v>
      </c>
      <c r="K3929"/>
    </row>
    <row r="3930" spans="1:11" ht="25.5" customHeight="1" thickTop="1" x14ac:dyDescent="0.3">
      <c r="A3930" s="407"/>
      <c r="B3930" s="407"/>
      <c r="C3930" s="407"/>
      <c r="D3930" s="407"/>
      <c r="E3930" s="407"/>
      <c r="F3930" s="407"/>
      <c r="G3930" s="407"/>
      <c r="H3930" s="407"/>
      <c r="I3930" s="407"/>
      <c r="J3930" s="407"/>
      <c r="K3930" s="407"/>
    </row>
    <row r="3931" spans="1:11" ht="25.5" customHeight="1" x14ac:dyDescent="0.3">
      <c r="A3931" s="382" t="s">
        <v>2892</v>
      </c>
      <c r="B3931" s="312" t="s">
        <v>413</v>
      </c>
      <c r="C3931" s="382" t="s">
        <v>414</v>
      </c>
      <c r="D3931" s="382" t="s">
        <v>415</v>
      </c>
      <c r="E3931" s="586" t="s">
        <v>1029</v>
      </c>
      <c r="F3931" s="586"/>
      <c r="G3931" s="383" t="s">
        <v>416</v>
      </c>
      <c r="H3931" s="312" t="s">
        <v>1030</v>
      </c>
      <c r="I3931" s="312" t="s">
        <v>3016</v>
      </c>
      <c r="J3931" s="312" t="s">
        <v>1031</v>
      </c>
      <c r="K3931" s="312" t="s">
        <v>1032</v>
      </c>
    </row>
    <row r="3932" spans="1:11" ht="25.5" customHeight="1" x14ac:dyDescent="0.3">
      <c r="A3932" s="313" t="s">
        <v>1033</v>
      </c>
      <c r="B3932" s="315" t="s">
        <v>3903</v>
      </c>
      <c r="C3932" s="313" t="s">
        <v>395</v>
      </c>
      <c r="D3932" s="313" t="s">
        <v>6019</v>
      </c>
      <c r="E3932" s="603" t="s">
        <v>7806</v>
      </c>
      <c r="F3932" s="603"/>
      <c r="G3932" s="314" t="s">
        <v>7</v>
      </c>
      <c r="H3932" s="399">
        <v>1</v>
      </c>
      <c r="I3932" s="316"/>
      <c r="J3932" s="316">
        <v>85.07</v>
      </c>
      <c r="K3932" s="316">
        <v>85.07</v>
      </c>
    </row>
    <row r="3933" spans="1:11" ht="25.5" customHeight="1" x14ac:dyDescent="0.3">
      <c r="A3933" s="408" t="s">
        <v>1034</v>
      </c>
      <c r="B3933" s="409" t="s">
        <v>1113</v>
      </c>
      <c r="C3933" s="408" t="s">
        <v>395</v>
      </c>
      <c r="D3933" s="408" t="s">
        <v>129</v>
      </c>
      <c r="E3933" s="604" t="s">
        <v>7768</v>
      </c>
      <c r="F3933" s="604"/>
      <c r="G3933" s="410" t="s">
        <v>6</v>
      </c>
      <c r="H3933" s="412">
        <v>0.28010000000000002</v>
      </c>
      <c r="I3933" s="412">
        <v>0</v>
      </c>
      <c r="J3933" s="411">
        <v>33.450000000000003</v>
      </c>
      <c r="K3933" s="411">
        <v>9.3693449999999991</v>
      </c>
    </row>
    <row r="3934" spans="1:11" ht="25.5" customHeight="1" x14ac:dyDescent="0.3">
      <c r="A3934" s="408" t="s">
        <v>1034</v>
      </c>
      <c r="B3934" s="409" t="s">
        <v>1112</v>
      </c>
      <c r="C3934" s="408" t="s">
        <v>395</v>
      </c>
      <c r="D3934" s="408" t="s">
        <v>137</v>
      </c>
      <c r="E3934" s="604" t="s">
        <v>7768</v>
      </c>
      <c r="F3934" s="604"/>
      <c r="G3934" s="410" t="s">
        <v>6</v>
      </c>
      <c r="H3934" s="412">
        <v>0.28010000000000002</v>
      </c>
      <c r="I3934" s="412">
        <v>0</v>
      </c>
      <c r="J3934" s="411">
        <v>40.299999999999997</v>
      </c>
      <c r="K3934" s="411">
        <v>11.288029999999999</v>
      </c>
    </row>
    <row r="3935" spans="1:11" ht="25.5" customHeight="1" x14ac:dyDescent="0.3">
      <c r="A3935" s="400" t="s">
        <v>1038</v>
      </c>
      <c r="B3935" s="401" t="s">
        <v>4340</v>
      </c>
      <c r="C3935" s="400" t="s">
        <v>395</v>
      </c>
      <c r="D3935" s="400" t="s">
        <v>4341</v>
      </c>
      <c r="E3935" s="605" t="s">
        <v>1039</v>
      </c>
      <c r="F3935" s="605"/>
      <c r="G3935" s="402" t="s">
        <v>7</v>
      </c>
      <c r="H3935" s="403">
        <v>1.0492999999999999</v>
      </c>
      <c r="I3935" s="403">
        <v>0</v>
      </c>
      <c r="J3935" s="404">
        <v>61.32</v>
      </c>
      <c r="K3935" s="404">
        <v>64.343075999999996</v>
      </c>
    </row>
    <row r="3936" spans="1:11" ht="17.399999999999999" customHeight="1" x14ac:dyDescent="0.3">
      <c r="A3936" s="400" t="s">
        <v>1038</v>
      </c>
      <c r="B3936" s="401" t="s">
        <v>1372</v>
      </c>
      <c r="C3936" s="400" t="s">
        <v>395</v>
      </c>
      <c r="D3936" s="400" t="s">
        <v>266</v>
      </c>
      <c r="E3936" s="605" t="s">
        <v>1039</v>
      </c>
      <c r="F3936" s="605"/>
      <c r="G3936" s="402" t="s">
        <v>4</v>
      </c>
      <c r="H3936" s="403">
        <v>3.1099999999999999E-2</v>
      </c>
      <c r="I3936" s="403">
        <v>0</v>
      </c>
      <c r="J3936" s="404">
        <v>2.09</v>
      </c>
      <c r="K3936" s="404">
        <v>6.4999000000000001E-2</v>
      </c>
    </row>
    <row r="3937" spans="1:11" ht="15" x14ac:dyDescent="0.3">
      <c r="A3937" s="405"/>
      <c r="B3937" s="405"/>
      <c r="C3937" s="405"/>
      <c r="D3937" s="405"/>
      <c r="E3937" s="405" t="s">
        <v>1046</v>
      </c>
      <c r="F3937" s="406">
        <v>15.21</v>
      </c>
      <c r="G3937" s="405" t="s">
        <v>1047</v>
      </c>
      <c r="H3937" s="406">
        <v>0.01</v>
      </c>
      <c r="I3937" s="405" t="s">
        <v>1048</v>
      </c>
      <c r="J3937" s="406">
        <v>15.22</v>
      </c>
      <c r="K3937"/>
    </row>
    <row r="3938" spans="1:11" ht="12.75" customHeight="1" thickBot="1" x14ac:dyDescent="0.35">
      <c r="A3938" s="405"/>
      <c r="B3938" s="405"/>
      <c r="C3938" s="405"/>
      <c r="D3938" s="405"/>
      <c r="E3938" s="405" t="s">
        <v>1049</v>
      </c>
      <c r="F3938" s="406">
        <v>0</v>
      </c>
      <c r="G3938" s="405"/>
      <c r="H3938" s="606"/>
      <c r="I3938" s="606" t="s">
        <v>1050</v>
      </c>
      <c r="J3938" s="406">
        <v>85.07</v>
      </c>
      <c r="K3938"/>
    </row>
    <row r="3939" spans="1:11" ht="25.5" customHeight="1" thickTop="1" x14ac:dyDescent="0.3">
      <c r="A3939" s="407"/>
      <c r="B3939" s="407"/>
      <c r="C3939" s="407"/>
      <c r="D3939" s="407"/>
      <c r="E3939" s="407"/>
      <c r="F3939" s="407"/>
      <c r="G3939" s="407"/>
      <c r="H3939" s="407"/>
      <c r="I3939" s="407"/>
      <c r="J3939" s="407"/>
      <c r="K3939" s="407"/>
    </row>
    <row r="3940" spans="1:11" ht="25.5" customHeight="1" x14ac:dyDescent="0.3">
      <c r="A3940" s="382" t="s">
        <v>2895</v>
      </c>
      <c r="B3940" s="312" t="s">
        <v>413</v>
      </c>
      <c r="C3940" s="382" t="s">
        <v>414</v>
      </c>
      <c r="D3940" s="382" t="s">
        <v>415</v>
      </c>
      <c r="E3940" s="586" t="s">
        <v>1029</v>
      </c>
      <c r="F3940" s="586"/>
      <c r="G3940" s="383" t="s">
        <v>416</v>
      </c>
      <c r="H3940" s="312" t="s">
        <v>1030</v>
      </c>
      <c r="I3940" s="312" t="s">
        <v>3016</v>
      </c>
      <c r="J3940" s="312" t="s">
        <v>1031</v>
      </c>
      <c r="K3940" s="312" t="s">
        <v>1032</v>
      </c>
    </row>
    <row r="3941" spans="1:11" ht="30" customHeight="1" x14ac:dyDescent="0.3">
      <c r="A3941" s="313" t="s">
        <v>1033</v>
      </c>
      <c r="B3941" s="315" t="s">
        <v>3904</v>
      </c>
      <c r="C3941" s="313" t="s">
        <v>395</v>
      </c>
      <c r="D3941" s="313" t="s">
        <v>6020</v>
      </c>
      <c r="E3941" s="603" t="s">
        <v>7808</v>
      </c>
      <c r="F3941" s="603"/>
      <c r="G3941" s="314" t="s">
        <v>4</v>
      </c>
      <c r="H3941" s="399">
        <v>1</v>
      </c>
      <c r="I3941" s="316"/>
      <c r="J3941" s="316">
        <v>7.27</v>
      </c>
      <c r="K3941" s="316">
        <v>7.27</v>
      </c>
    </row>
    <row r="3942" spans="1:11" ht="26.4" x14ac:dyDescent="0.3">
      <c r="A3942" s="408" t="s">
        <v>1034</v>
      </c>
      <c r="B3942" s="409" t="s">
        <v>1113</v>
      </c>
      <c r="C3942" s="408" t="s">
        <v>395</v>
      </c>
      <c r="D3942" s="408" t="s">
        <v>129</v>
      </c>
      <c r="E3942" s="604" t="s">
        <v>7768</v>
      </c>
      <c r="F3942" s="604"/>
      <c r="G3942" s="410" t="s">
        <v>6</v>
      </c>
      <c r="H3942" s="412">
        <v>7.0599999999999996E-2</v>
      </c>
      <c r="I3942" s="412">
        <v>0</v>
      </c>
      <c r="J3942" s="411">
        <v>33.450000000000003</v>
      </c>
      <c r="K3942" s="411">
        <v>2.3615699999999999</v>
      </c>
    </row>
    <row r="3943" spans="1:11" ht="26.4" x14ac:dyDescent="0.3">
      <c r="A3943" s="408" t="s">
        <v>1034</v>
      </c>
      <c r="B3943" s="409" t="s">
        <v>1112</v>
      </c>
      <c r="C3943" s="408" t="s">
        <v>395</v>
      </c>
      <c r="D3943" s="408" t="s">
        <v>137</v>
      </c>
      <c r="E3943" s="604" t="s">
        <v>7768</v>
      </c>
      <c r="F3943" s="604"/>
      <c r="G3943" s="410" t="s">
        <v>6</v>
      </c>
      <c r="H3943" s="412">
        <v>7.0599999999999996E-2</v>
      </c>
      <c r="I3943" s="412">
        <v>0</v>
      </c>
      <c r="J3943" s="411">
        <v>40.299999999999997</v>
      </c>
      <c r="K3943" s="411">
        <v>2.84518</v>
      </c>
    </row>
    <row r="3944" spans="1:11" ht="14.25" customHeight="1" x14ac:dyDescent="0.3">
      <c r="A3944" s="400" t="s">
        <v>1038</v>
      </c>
      <c r="B3944" s="401" t="s">
        <v>2587</v>
      </c>
      <c r="C3944" s="400" t="s">
        <v>395</v>
      </c>
      <c r="D3944" s="400" t="s">
        <v>349</v>
      </c>
      <c r="E3944" s="605" t="s">
        <v>1039</v>
      </c>
      <c r="F3944" s="605"/>
      <c r="G3944" s="402" t="s">
        <v>4</v>
      </c>
      <c r="H3944" s="403">
        <v>7.1000000000000004E-3</v>
      </c>
      <c r="I3944" s="403">
        <v>0</v>
      </c>
      <c r="J3944" s="404">
        <v>79.17</v>
      </c>
      <c r="K3944" s="404">
        <v>0.56210700000000002</v>
      </c>
    </row>
    <row r="3945" spans="1:11" ht="15" x14ac:dyDescent="0.3">
      <c r="A3945" s="400" t="s">
        <v>1038</v>
      </c>
      <c r="B3945" s="401" t="s">
        <v>4854</v>
      </c>
      <c r="C3945" s="400" t="s">
        <v>395</v>
      </c>
      <c r="D3945" s="400" t="s">
        <v>4855</v>
      </c>
      <c r="E3945" s="605" t="s">
        <v>1039</v>
      </c>
      <c r="F3945" s="605"/>
      <c r="G3945" s="402" t="s">
        <v>4</v>
      </c>
      <c r="H3945" s="403">
        <v>1</v>
      </c>
      <c r="I3945" s="403">
        <v>0</v>
      </c>
      <c r="J3945" s="404">
        <v>0.76</v>
      </c>
      <c r="K3945" s="404">
        <v>0.76</v>
      </c>
    </row>
    <row r="3946" spans="1:11" ht="15" customHeight="1" x14ac:dyDescent="0.3">
      <c r="A3946" s="400" t="s">
        <v>1038</v>
      </c>
      <c r="B3946" s="401" t="s">
        <v>2588</v>
      </c>
      <c r="C3946" s="400" t="s">
        <v>395</v>
      </c>
      <c r="D3946" s="400" t="s">
        <v>350</v>
      </c>
      <c r="E3946" s="605" t="s">
        <v>1039</v>
      </c>
      <c r="F3946" s="605"/>
      <c r="G3946" s="402" t="s">
        <v>4</v>
      </c>
      <c r="H3946" s="403">
        <v>8.0000000000000002E-3</v>
      </c>
      <c r="I3946" s="403">
        <v>0</v>
      </c>
      <c r="J3946" s="404">
        <v>89.7</v>
      </c>
      <c r="K3946" s="404">
        <v>0.71760000000000002</v>
      </c>
    </row>
    <row r="3947" spans="1:11" ht="17.399999999999999" customHeight="1" x14ac:dyDescent="0.3">
      <c r="A3947" s="400" t="s">
        <v>1038</v>
      </c>
      <c r="B3947" s="401" t="s">
        <v>1372</v>
      </c>
      <c r="C3947" s="400" t="s">
        <v>395</v>
      </c>
      <c r="D3947" s="400" t="s">
        <v>266</v>
      </c>
      <c r="E3947" s="605" t="s">
        <v>1039</v>
      </c>
      <c r="F3947" s="605"/>
      <c r="G3947" s="402" t="s">
        <v>4</v>
      </c>
      <c r="H3947" s="403">
        <v>1.0800000000000001E-2</v>
      </c>
      <c r="I3947" s="403">
        <v>0</v>
      </c>
      <c r="J3947" s="404">
        <v>2.09</v>
      </c>
      <c r="K3947" s="404">
        <v>2.2571999999999998E-2</v>
      </c>
    </row>
    <row r="3948" spans="1:11" ht="12.75" customHeight="1" x14ac:dyDescent="0.3">
      <c r="A3948" s="405"/>
      <c r="B3948" s="405"/>
      <c r="C3948" s="405"/>
      <c r="D3948" s="405"/>
      <c r="E3948" s="405" t="s">
        <v>1046</v>
      </c>
      <c r="F3948" s="406">
        <v>3.83</v>
      </c>
      <c r="G3948" s="405" t="s">
        <v>1047</v>
      </c>
      <c r="H3948" s="406">
        <v>0.01</v>
      </c>
      <c r="I3948" s="405" t="s">
        <v>1048</v>
      </c>
      <c r="J3948" s="406">
        <v>3.84</v>
      </c>
      <c r="K3948"/>
    </row>
    <row r="3949" spans="1:11" ht="25.5" customHeight="1" thickBot="1" x14ac:dyDescent="0.35">
      <c r="A3949" s="405"/>
      <c r="B3949" s="405"/>
      <c r="C3949" s="405"/>
      <c r="D3949" s="405"/>
      <c r="E3949" s="405" t="s">
        <v>1049</v>
      </c>
      <c r="F3949" s="406">
        <v>0</v>
      </c>
      <c r="G3949" s="405"/>
      <c r="H3949" s="606"/>
      <c r="I3949" s="606" t="s">
        <v>1050</v>
      </c>
      <c r="J3949" s="406">
        <v>7.27</v>
      </c>
      <c r="K3949"/>
    </row>
    <row r="3950" spans="1:11" ht="25.5" customHeight="1" thickTop="1" x14ac:dyDescent="0.3">
      <c r="A3950" s="407"/>
      <c r="B3950" s="407"/>
      <c r="C3950" s="407"/>
      <c r="D3950" s="407"/>
      <c r="E3950" s="407"/>
      <c r="F3950" s="407"/>
      <c r="G3950" s="407"/>
      <c r="H3950" s="407"/>
      <c r="I3950" s="407"/>
      <c r="J3950" s="407"/>
      <c r="K3950" s="407"/>
    </row>
    <row r="3951" spans="1:11" ht="25.5" customHeight="1" x14ac:dyDescent="0.3">
      <c r="A3951" s="382" t="s">
        <v>2896</v>
      </c>
      <c r="B3951" s="312" t="s">
        <v>413</v>
      </c>
      <c r="C3951" s="382" t="s">
        <v>414</v>
      </c>
      <c r="D3951" s="382" t="s">
        <v>415</v>
      </c>
      <c r="E3951" s="586" t="s">
        <v>1029</v>
      </c>
      <c r="F3951" s="586"/>
      <c r="G3951" s="383" t="s">
        <v>416</v>
      </c>
      <c r="H3951" s="312" t="s">
        <v>1030</v>
      </c>
      <c r="I3951" s="312" t="s">
        <v>3016</v>
      </c>
      <c r="J3951" s="312" t="s">
        <v>1031</v>
      </c>
      <c r="K3951" s="312" t="s">
        <v>1032</v>
      </c>
    </row>
    <row r="3952" spans="1:11" ht="25.5" customHeight="1" x14ac:dyDescent="0.3">
      <c r="A3952" s="313" t="s">
        <v>1033</v>
      </c>
      <c r="B3952" s="315" t="s">
        <v>3905</v>
      </c>
      <c r="C3952" s="313" t="s">
        <v>395</v>
      </c>
      <c r="D3952" s="313" t="s">
        <v>6021</v>
      </c>
      <c r="E3952" s="603" t="s">
        <v>7808</v>
      </c>
      <c r="F3952" s="603"/>
      <c r="G3952" s="314" t="s">
        <v>4</v>
      </c>
      <c r="H3952" s="399">
        <v>1</v>
      </c>
      <c r="I3952" s="316"/>
      <c r="J3952" s="316">
        <v>16.3</v>
      </c>
      <c r="K3952" s="316">
        <v>16.3</v>
      </c>
    </row>
    <row r="3953" spans="1:11" ht="26.4" x14ac:dyDescent="0.3">
      <c r="A3953" s="408" t="s">
        <v>1034</v>
      </c>
      <c r="B3953" s="409" t="s">
        <v>1113</v>
      </c>
      <c r="C3953" s="408" t="s">
        <v>395</v>
      </c>
      <c r="D3953" s="408" t="s">
        <v>129</v>
      </c>
      <c r="E3953" s="604" t="s">
        <v>7768</v>
      </c>
      <c r="F3953" s="604"/>
      <c r="G3953" s="410" t="s">
        <v>6</v>
      </c>
      <c r="H3953" s="412">
        <v>0.16209999999999999</v>
      </c>
      <c r="I3953" s="412">
        <v>0</v>
      </c>
      <c r="J3953" s="411">
        <v>33.450000000000003</v>
      </c>
      <c r="K3953" s="411">
        <v>5.4222450000000002</v>
      </c>
    </row>
    <row r="3954" spans="1:11" ht="14.25" customHeight="1" x14ac:dyDescent="0.3">
      <c r="A3954" s="408" t="s">
        <v>1034</v>
      </c>
      <c r="B3954" s="409" t="s">
        <v>1112</v>
      </c>
      <c r="C3954" s="408" t="s">
        <v>395</v>
      </c>
      <c r="D3954" s="408" t="s">
        <v>137</v>
      </c>
      <c r="E3954" s="604" t="s">
        <v>7768</v>
      </c>
      <c r="F3954" s="604"/>
      <c r="G3954" s="410" t="s">
        <v>6</v>
      </c>
      <c r="H3954" s="412">
        <v>0.16209999999999999</v>
      </c>
      <c r="I3954" s="412">
        <v>0</v>
      </c>
      <c r="J3954" s="411">
        <v>40.299999999999997</v>
      </c>
      <c r="K3954" s="411">
        <v>6.5326300000000002</v>
      </c>
    </row>
    <row r="3955" spans="1:11" ht="14.25" customHeight="1" x14ac:dyDescent="0.3">
      <c r="A3955" s="400" t="s">
        <v>1038</v>
      </c>
      <c r="B3955" s="401" t="s">
        <v>2587</v>
      </c>
      <c r="C3955" s="400" t="s">
        <v>395</v>
      </c>
      <c r="D3955" s="400" t="s">
        <v>349</v>
      </c>
      <c r="E3955" s="605" t="s">
        <v>1039</v>
      </c>
      <c r="F3955" s="605"/>
      <c r="G3955" s="402" t="s">
        <v>4</v>
      </c>
      <c r="H3955" s="403">
        <v>9.4000000000000004E-3</v>
      </c>
      <c r="I3955" s="403">
        <v>0</v>
      </c>
      <c r="J3955" s="404">
        <v>79.17</v>
      </c>
      <c r="K3955" s="404">
        <v>0.74419800000000003</v>
      </c>
    </row>
    <row r="3956" spans="1:11" ht="15" x14ac:dyDescent="0.3">
      <c r="A3956" s="400" t="s">
        <v>1038</v>
      </c>
      <c r="B3956" s="401" t="s">
        <v>4891</v>
      </c>
      <c r="C3956" s="400" t="s">
        <v>395</v>
      </c>
      <c r="D3956" s="400" t="s">
        <v>4892</v>
      </c>
      <c r="E3956" s="605" t="s">
        <v>1039</v>
      </c>
      <c r="F3956" s="605"/>
      <c r="G3956" s="402" t="s">
        <v>4</v>
      </c>
      <c r="H3956" s="403">
        <v>1</v>
      </c>
      <c r="I3956" s="403">
        <v>0</v>
      </c>
      <c r="J3956" s="404">
        <v>2.54</v>
      </c>
      <c r="K3956" s="404">
        <v>2.54</v>
      </c>
    </row>
    <row r="3957" spans="1:11" ht="26.4" x14ac:dyDescent="0.3">
      <c r="A3957" s="400" t="s">
        <v>1038</v>
      </c>
      <c r="B3957" s="401" t="s">
        <v>2588</v>
      </c>
      <c r="C3957" s="400" t="s">
        <v>395</v>
      </c>
      <c r="D3957" s="400" t="s">
        <v>350</v>
      </c>
      <c r="E3957" s="605" t="s">
        <v>1039</v>
      </c>
      <c r="F3957" s="605"/>
      <c r="G3957" s="402" t="s">
        <v>4</v>
      </c>
      <c r="H3957" s="403">
        <v>1.0999999999999999E-2</v>
      </c>
      <c r="I3957" s="403">
        <v>0</v>
      </c>
      <c r="J3957" s="404">
        <v>89.7</v>
      </c>
      <c r="K3957" s="404">
        <v>0.98670000000000002</v>
      </c>
    </row>
    <row r="3958" spans="1:11" ht="25.5" customHeight="1" x14ac:dyDescent="0.3">
      <c r="A3958" s="400" t="s">
        <v>1038</v>
      </c>
      <c r="B3958" s="401" t="s">
        <v>1372</v>
      </c>
      <c r="C3958" s="400" t="s">
        <v>395</v>
      </c>
      <c r="D3958" s="400" t="s">
        <v>266</v>
      </c>
      <c r="E3958" s="605" t="s">
        <v>1039</v>
      </c>
      <c r="F3958" s="605"/>
      <c r="G3958" s="402" t="s">
        <v>4</v>
      </c>
      <c r="H3958" s="403">
        <v>3.5999999999999997E-2</v>
      </c>
      <c r="I3958" s="403">
        <v>0</v>
      </c>
      <c r="J3958" s="404">
        <v>2.09</v>
      </c>
      <c r="K3958" s="404">
        <v>7.5240000000000001E-2</v>
      </c>
    </row>
    <row r="3959" spans="1:11" ht="12.75" customHeight="1" x14ac:dyDescent="0.3">
      <c r="A3959" s="405"/>
      <c r="B3959" s="405"/>
      <c r="C3959" s="405"/>
      <c r="D3959" s="405"/>
      <c r="E3959" s="405" t="s">
        <v>1046</v>
      </c>
      <c r="F3959" s="406">
        <v>8.8000000000000007</v>
      </c>
      <c r="G3959" s="405" t="s">
        <v>1047</v>
      </c>
      <c r="H3959" s="406">
        <v>0.01</v>
      </c>
      <c r="I3959" s="405" t="s">
        <v>1048</v>
      </c>
      <c r="J3959" s="406">
        <v>8.81</v>
      </c>
      <c r="K3959"/>
    </row>
    <row r="3960" spans="1:11" ht="25.5" customHeight="1" thickBot="1" x14ac:dyDescent="0.35">
      <c r="A3960" s="405"/>
      <c r="B3960" s="405"/>
      <c r="C3960" s="405"/>
      <c r="D3960" s="405"/>
      <c r="E3960" s="405" t="s">
        <v>1049</v>
      </c>
      <c r="F3960" s="406">
        <v>0</v>
      </c>
      <c r="G3960" s="405"/>
      <c r="H3960" s="606"/>
      <c r="I3960" s="606" t="s">
        <v>1050</v>
      </c>
      <c r="J3960" s="406">
        <v>16.3</v>
      </c>
      <c r="K3960"/>
    </row>
    <row r="3961" spans="1:11" ht="12.75" customHeight="1" thickTop="1" x14ac:dyDescent="0.3">
      <c r="A3961" s="407"/>
      <c r="B3961" s="407"/>
      <c r="C3961" s="407"/>
      <c r="D3961" s="407"/>
      <c r="E3961" s="407"/>
      <c r="F3961" s="407"/>
      <c r="G3961" s="407"/>
      <c r="H3961" s="407"/>
      <c r="I3961" s="407"/>
      <c r="J3961" s="407"/>
      <c r="K3961" s="407"/>
    </row>
    <row r="3962" spans="1:11" ht="30" customHeight="1" x14ac:dyDescent="0.3">
      <c r="A3962" s="382" t="s">
        <v>2897</v>
      </c>
      <c r="B3962" s="312" t="s">
        <v>413</v>
      </c>
      <c r="C3962" s="382" t="s">
        <v>414</v>
      </c>
      <c r="D3962" s="382" t="s">
        <v>415</v>
      </c>
      <c r="E3962" s="586" t="s">
        <v>1029</v>
      </c>
      <c r="F3962" s="586"/>
      <c r="G3962" s="383" t="s">
        <v>416</v>
      </c>
      <c r="H3962" s="312" t="s">
        <v>1030</v>
      </c>
      <c r="I3962" s="312" t="s">
        <v>3016</v>
      </c>
      <c r="J3962" s="312" t="s">
        <v>1031</v>
      </c>
      <c r="K3962" s="312" t="s">
        <v>1032</v>
      </c>
    </row>
    <row r="3963" spans="1:11" ht="14.25" customHeight="1" x14ac:dyDescent="0.3">
      <c r="A3963" s="313" t="s">
        <v>1033</v>
      </c>
      <c r="B3963" s="315" t="s">
        <v>3906</v>
      </c>
      <c r="C3963" s="313" t="s">
        <v>395</v>
      </c>
      <c r="D3963" s="313" t="s">
        <v>6022</v>
      </c>
      <c r="E3963" s="603" t="s">
        <v>7808</v>
      </c>
      <c r="F3963" s="603"/>
      <c r="G3963" s="314" t="s">
        <v>4</v>
      </c>
      <c r="H3963" s="399">
        <v>1</v>
      </c>
      <c r="I3963" s="316"/>
      <c r="J3963" s="316">
        <v>16.12</v>
      </c>
      <c r="K3963" s="316">
        <v>16.12</v>
      </c>
    </row>
    <row r="3964" spans="1:11" ht="15" customHeight="1" x14ac:dyDescent="0.3">
      <c r="A3964" s="408" t="s">
        <v>1034</v>
      </c>
      <c r="B3964" s="409" t="s">
        <v>1113</v>
      </c>
      <c r="C3964" s="408" t="s">
        <v>395</v>
      </c>
      <c r="D3964" s="408" t="s">
        <v>129</v>
      </c>
      <c r="E3964" s="604" t="s">
        <v>7768</v>
      </c>
      <c r="F3964" s="604"/>
      <c r="G3964" s="410" t="s">
        <v>6</v>
      </c>
      <c r="H3964" s="412">
        <v>0.1047</v>
      </c>
      <c r="I3964" s="412">
        <v>0</v>
      </c>
      <c r="J3964" s="411">
        <v>33.450000000000003</v>
      </c>
      <c r="K3964" s="411">
        <v>3.5022150000000001</v>
      </c>
    </row>
    <row r="3965" spans="1:11" ht="26.4" x14ac:dyDescent="0.3">
      <c r="A3965" s="408" t="s">
        <v>1034</v>
      </c>
      <c r="B3965" s="409" t="s">
        <v>1112</v>
      </c>
      <c r="C3965" s="408" t="s">
        <v>395</v>
      </c>
      <c r="D3965" s="408" t="s">
        <v>137</v>
      </c>
      <c r="E3965" s="604" t="s">
        <v>7768</v>
      </c>
      <c r="F3965" s="604"/>
      <c r="G3965" s="410" t="s">
        <v>6</v>
      </c>
      <c r="H3965" s="412">
        <v>0.1047</v>
      </c>
      <c r="I3965" s="412">
        <v>0</v>
      </c>
      <c r="J3965" s="411">
        <v>40.299999999999997</v>
      </c>
      <c r="K3965" s="411">
        <v>4.2194099999999999</v>
      </c>
    </row>
    <row r="3966" spans="1:11" ht="15" x14ac:dyDescent="0.3">
      <c r="A3966" s="400" t="s">
        <v>1038</v>
      </c>
      <c r="B3966" s="401" t="s">
        <v>2587</v>
      </c>
      <c r="C3966" s="400" t="s">
        <v>395</v>
      </c>
      <c r="D3966" s="400" t="s">
        <v>349</v>
      </c>
      <c r="E3966" s="605" t="s">
        <v>1039</v>
      </c>
      <c r="F3966" s="605"/>
      <c r="G3966" s="402" t="s">
        <v>4</v>
      </c>
      <c r="H3966" s="403">
        <v>1.18E-2</v>
      </c>
      <c r="I3966" s="403">
        <v>0</v>
      </c>
      <c r="J3966" s="404">
        <v>79.17</v>
      </c>
      <c r="K3966" s="404">
        <v>0.93420599999999998</v>
      </c>
    </row>
    <row r="3967" spans="1:11" ht="15" x14ac:dyDescent="0.3">
      <c r="A3967" s="400" t="s">
        <v>1038</v>
      </c>
      <c r="B3967" s="401" t="s">
        <v>4786</v>
      </c>
      <c r="C3967" s="400" t="s">
        <v>395</v>
      </c>
      <c r="D3967" s="400" t="s">
        <v>4787</v>
      </c>
      <c r="E3967" s="605" t="s">
        <v>1039</v>
      </c>
      <c r="F3967" s="605"/>
      <c r="G3967" s="402" t="s">
        <v>4</v>
      </c>
      <c r="H3967" s="403">
        <v>1</v>
      </c>
      <c r="I3967" s="403">
        <v>0</v>
      </c>
      <c r="J3967" s="404">
        <v>6.18</v>
      </c>
      <c r="K3967" s="404">
        <v>6.18</v>
      </c>
    </row>
    <row r="3968" spans="1:11" ht="25.5" customHeight="1" x14ac:dyDescent="0.3">
      <c r="A3968" s="400" t="s">
        <v>1038</v>
      </c>
      <c r="B3968" s="401" t="s">
        <v>2588</v>
      </c>
      <c r="C3968" s="400" t="s">
        <v>395</v>
      </c>
      <c r="D3968" s="400" t="s">
        <v>350</v>
      </c>
      <c r="E3968" s="605" t="s">
        <v>1039</v>
      </c>
      <c r="F3968" s="605"/>
      <c r="G3968" s="402" t="s">
        <v>4</v>
      </c>
      <c r="H3968" s="403">
        <v>1.4E-2</v>
      </c>
      <c r="I3968" s="403">
        <v>0</v>
      </c>
      <c r="J3968" s="404">
        <v>89.7</v>
      </c>
      <c r="K3968" s="404">
        <v>1.2558</v>
      </c>
    </row>
    <row r="3969" spans="1:11" ht="25.5" customHeight="1" x14ac:dyDescent="0.3">
      <c r="A3969" s="400" t="s">
        <v>1038</v>
      </c>
      <c r="B3969" s="401" t="s">
        <v>1372</v>
      </c>
      <c r="C3969" s="400" t="s">
        <v>395</v>
      </c>
      <c r="D3969" s="400" t="s">
        <v>266</v>
      </c>
      <c r="E3969" s="605" t="s">
        <v>1039</v>
      </c>
      <c r="F3969" s="605"/>
      <c r="G3969" s="402" t="s">
        <v>4</v>
      </c>
      <c r="H3969" s="403">
        <v>1.5699999999999999E-2</v>
      </c>
      <c r="I3969" s="403">
        <v>0</v>
      </c>
      <c r="J3969" s="404">
        <v>2.09</v>
      </c>
      <c r="K3969" s="404">
        <v>3.2813000000000002E-2</v>
      </c>
    </row>
    <row r="3970" spans="1:11" ht="25.5" customHeight="1" x14ac:dyDescent="0.3">
      <c r="A3970" s="405"/>
      <c r="B3970" s="405"/>
      <c r="C3970" s="405"/>
      <c r="D3970" s="405"/>
      <c r="E3970" s="405" t="s">
        <v>1046</v>
      </c>
      <c r="F3970" s="406">
        <v>5.68</v>
      </c>
      <c r="G3970" s="405" t="s">
        <v>1047</v>
      </c>
      <c r="H3970" s="406">
        <v>0</v>
      </c>
      <c r="I3970" s="405" t="s">
        <v>1048</v>
      </c>
      <c r="J3970" s="406">
        <v>5.68</v>
      </c>
      <c r="K3970"/>
    </row>
    <row r="3971" spans="1:11" ht="15.6" thickBot="1" x14ac:dyDescent="0.35">
      <c r="A3971" s="405"/>
      <c r="B3971" s="405"/>
      <c r="C3971" s="405"/>
      <c r="D3971" s="405"/>
      <c r="E3971" s="405" t="s">
        <v>1049</v>
      </c>
      <c r="F3971" s="406">
        <v>0</v>
      </c>
      <c r="G3971" s="405"/>
      <c r="H3971" s="606"/>
      <c r="I3971" s="606" t="s">
        <v>1050</v>
      </c>
      <c r="J3971" s="406">
        <v>16.12</v>
      </c>
      <c r="K3971"/>
    </row>
    <row r="3972" spans="1:11" ht="14.25" customHeight="1" thickTop="1" x14ac:dyDescent="0.3">
      <c r="A3972" s="407"/>
      <c r="B3972" s="407"/>
      <c r="C3972" s="407"/>
      <c r="D3972" s="407"/>
      <c r="E3972" s="407"/>
      <c r="F3972" s="407"/>
      <c r="G3972" s="407"/>
      <c r="H3972" s="407"/>
      <c r="I3972" s="407"/>
      <c r="J3972" s="407"/>
      <c r="K3972" s="407"/>
    </row>
    <row r="3973" spans="1:11" ht="30" customHeight="1" x14ac:dyDescent="0.3">
      <c r="A3973" s="382" t="s">
        <v>2898</v>
      </c>
      <c r="B3973" s="312" t="s">
        <v>413</v>
      </c>
      <c r="C3973" s="382" t="s">
        <v>414</v>
      </c>
      <c r="D3973" s="382" t="s">
        <v>415</v>
      </c>
      <c r="E3973" s="586" t="s">
        <v>1029</v>
      </c>
      <c r="F3973" s="586"/>
      <c r="G3973" s="383" t="s">
        <v>416</v>
      </c>
      <c r="H3973" s="312" t="s">
        <v>1030</v>
      </c>
      <c r="I3973" s="312" t="s">
        <v>3016</v>
      </c>
      <c r="J3973" s="312" t="s">
        <v>1031</v>
      </c>
      <c r="K3973" s="312" t="s">
        <v>1032</v>
      </c>
    </row>
    <row r="3974" spans="1:11" ht="14.25" customHeight="1" x14ac:dyDescent="0.3">
      <c r="A3974" s="313" t="s">
        <v>1033</v>
      </c>
      <c r="B3974" s="315" t="s">
        <v>3907</v>
      </c>
      <c r="C3974" s="313" t="s">
        <v>395</v>
      </c>
      <c r="D3974" s="313" t="s">
        <v>6023</v>
      </c>
      <c r="E3974" s="603" t="s">
        <v>7808</v>
      </c>
      <c r="F3974" s="603"/>
      <c r="G3974" s="314" t="s">
        <v>4</v>
      </c>
      <c r="H3974" s="399">
        <v>1</v>
      </c>
      <c r="I3974" s="316"/>
      <c r="J3974" s="316">
        <v>17.920000000000002</v>
      </c>
      <c r="K3974" s="316">
        <v>17.920000000000002</v>
      </c>
    </row>
    <row r="3975" spans="1:11" ht="30" customHeight="1" x14ac:dyDescent="0.3">
      <c r="A3975" s="408" t="s">
        <v>1034</v>
      </c>
      <c r="B3975" s="409" t="s">
        <v>1113</v>
      </c>
      <c r="C3975" s="408" t="s">
        <v>395</v>
      </c>
      <c r="D3975" s="408" t="s">
        <v>129</v>
      </c>
      <c r="E3975" s="604" t="s">
        <v>7768</v>
      </c>
      <c r="F3975" s="604"/>
      <c r="G3975" s="410" t="s">
        <v>6</v>
      </c>
      <c r="H3975" s="412">
        <v>0.12709999999999999</v>
      </c>
      <c r="I3975" s="412">
        <v>0</v>
      </c>
      <c r="J3975" s="411">
        <v>33.450000000000003</v>
      </c>
      <c r="K3975" s="411">
        <v>4.2514950000000002</v>
      </c>
    </row>
    <row r="3976" spans="1:11" ht="12.75" customHeight="1" x14ac:dyDescent="0.3">
      <c r="A3976" s="408" t="s">
        <v>1034</v>
      </c>
      <c r="B3976" s="409" t="s">
        <v>1112</v>
      </c>
      <c r="C3976" s="408" t="s">
        <v>395</v>
      </c>
      <c r="D3976" s="408" t="s">
        <v>137</v>
      </c>
      <c r="E3976" s="604" t="s">
        <v>7768</v>
      </c>
      <c r="F3976" s="604"/>
      <c r="G3976" s="410" t="s">
        <v>6</v>
      </c>
      <c r="H3976" s="412">
        <v>0.12709999999999999</v>
      </c>
      <c r="I3976" s="412">
        <v>0</v>
      </c>
      <c r="J3976" s="411">
        <v>40.299999999999997</v>
      </c>
      <c r="K3976" s="411">
        <v>5.1221300000000003</v>
      </c>
    </row>
    <row r="3977" spans="1:11" ht="25.5" customHeight="1" x14ac:dyDescent="0.3">
      <c r="A3977" s="400" t="s">
        <v>1038</v>
      </c>
      <c r="B3977" s="401" t="s">
        <v>2587</v>
      </c>
      <c r="C3977" s="400" t="s">
        <v>395</v>
      </c>
      <c r="D3977" s="400" t="s">
        <v>349</v>
      </c>
      <c r="E3977" s="605" t="s">
        <v>1039</v>
      </c>
      <c r="F3977" s="605"/>
      <c r="G3977" s="402" t="s">
        <v>4</v>
      </c>
      <c r="H3977" s="403">
        <v>1.6500000000000001E-2</v>
      </c>
      <c r="I3977" s="403">
        <v>0</v>
      </c>
      <c r="J3977" s="404">
        <v>79.17</v>
      </c>
      <c r="K3977" s="404">
        <v>1.306305</v>
      </c>
    </row>
    <row r="3978" spans="1:11" ht="25.5" customHeight="1" x14ac:dyDescent="0.3">
      <c r="A3978" s="400" t="s">
        <v>1038</v>
      </c>
      <c r="B3978" s="401" t="s">
        <v>4772</v>
      </c>
      <c r="C3978" s="400" t="s">
        <v>395</v>
      </c>
      <c r="D3978" s="400" t="s">
        <v>4773</v>
      </c>
      <c r="E3978" s="605" t="s">
        <v>1039</v>
      </c>
      <c r="F3978" s="605"/>
      <c r="G3978" s="402" t="s">
        <v>4</v>
      </c>
      <c r="H3978" s="403">
        <v>1</v>
      </c>
      <c r="I3978" s="403">
        <v>0</v>
      </c>
      <c r="J3978" s="404">
        <v>5.23</v>
      </c>
      <c r="K3978" s="404">
        <v>5.23</v>
      </c>
    </row>
    <row r="3979" spans="1:11" ht="25.5" customHeight="1" x14ac:dyDescent="0.3">
      <c r="A3979" s="400" t="s">
        <v>1038</v>
      </c>
      <c r="B3979" s="401" t="s">
        <v>2588</v>
      </c>
      <c r="C3979" s="400" t="s">
        <v>395</v>
      </c>
      <c r="D3979" s="400" t="s">
        <v>350</v>
      </c>
      <c r="E3979" s="605" t="s">
        <v>1039</v>
      </c>
      <c r="F3979" s="605"/>
      <c r="G3979" s="402" t="s">
        <v>4</v>
      </c>
      <c r="H3979" s="403">
        <v>2.1999999999999999E-2</v>
      </c>
      <c r="I3979" s="403">
        <v>0</v>
      </c>
      <c r="J3979" s="404">
        <v>89.7</v>
      </c>
      <c r="K3979" s="404">
        <v>1.9734</v>
      </c>
    </row>
    <row r="3980" spans="1:11" ht="25.5" customHeight="1" x14ac:dyDescent="0.3">
      <c r="A3980" s="400" t="s">
        <v>1038</v>
      </c>
      <c r="B3980" s="401" t="s">
        <v>1372</v>
      </c>
      <c r="C3980" s="400" t="s">
        <v>395</v>
      </c>
      <c r="D3980" s="400" t="s">
        <v>266</v>
      </c>
      <c r="E3980" s="605" t="s">
        <v>1039</v>
      </c>
      <c r="F3980" s="605"/>
      <c r="G3980" s="402" t="s">
        <v>4</v>
      </c>
      <c r="H3980" s="403">
        <v>1.9E-2</v>
      </c>
      <c r="I3980" s="403">
        <v>0</v>
      </c>
      <c r="J3980" s="404">
        <v>2.09</v>
      </c>
      <c r="K3980" s="404">
        <v>3.9710000000000002E-2</v>
      </c>
    </row>
    <row r="3981" spans="1:11" ht="15" customHeight="1" x14ac:dyDescent="0.3">
      <c r="A3981" s="405"/>
      <c r="B3981" s="405"/>
      <c r="C3981" s="405"/>
      <c r="D3981" s="405"/>
      <c r="E3981" s="405" t="s">
        <v>1046</v>
      </c>
      <c r="F3981" s="406">
        <v>6.9</v>
      </c>
      <c r="G3981" s="405" t="s">
        <v>1047</v>
      </c>
      <c r="H3981" s="406">
        <v>0.01</v>
      </c>
      <c r="I3981" s="405" t="s">
        <v>1048</v>
      </c>
      <c r="J3981" s="406">
        <v>6.91</v>
      </c>
      <c r="K3981"/>
    </row>
    <row r="3982" spans="1:11" ht="30" customHeight="1" thickBot="1" x14ac:dyDescent="0.35">
      <c r="A3982" s="405"/>
      <c r="B3982" s="405"/>
      <c r="C3982" s="405"/>
      <c r="D3982" s="405"/>
      <c r="E3982" s="405" t="s">
        <v>1049</v>
      </c>
      <c r="F3982" s="406">
        <v>0</v>
      </c>
      <c r="G3982" s="405"/>
      <c r="H3982" s="606"/>
      <c r="I3982" s="606" t="s">
        <v>1050</v>
      </c>
      <c r="J3982" s="406">
        <v>17.920000000000002</v>
      </c>
      <c r="K3982"/>
    </row>
    <row r="3983" spans="1:11" ht="30" customHeight="1" thickTop="1" x14ac:dyDescent="0.3">
      <c r="A3983" s="407"/>
      <c r="B3983" s="407"/>
      <c r="C3983" s="407"/>
      <c r="D3983" s="407"/>
      <c r="E3983" s="407"/>
      <c r="F3983" s="407"/>
      <c r="G3983" s="407"/>
      <c r="H3983" s="407"/>
      <c r="I3983" s="407"/>
      <c r="J3983" s="407"/>
      <c r="K3983" s="407"/>
    </row>
    <row r="3984" spans="1:11" ht="12.75" customHeight="1" x14ac:dyDescent="0.3">
      <c r="A3984" s="382" t="s">
        <v>2899</v>
      </c>
      <c r="B3984" s="312" t="s">
        <v>413</v>
      </c>
      <c r="C3984" s="382" t="s">
        <v>414</v>
      </c>
      <c r="D3984" s="382" t="s">
        <v>415</v>
      </c>
      <c r="E3984" s="586" t="s">
        <v>1029</v>
      </c>
      <c r="F3984" s="586"/>
      <c r="G3984" s="383" t="s">
        <v>416</v>
      </c>
      <c r="H3984" s="312" t="s">
        <v>1030</v>
      </c>
      <c r="I3984" s="312" t="s">
        <v>3016</v>
      </c>
      <c r="J3984" s="312" t="s">
        <v>1031</v>
      </c>
      <c r="K3984" s="312" t="s">
        <v>1032</v>
      </c>
    </row>
    <row r="3985" spans="1:11" ht="25.5" customHeight="1" x14ac:dyDescent="0.3">
      <c r="A3985" s="313" t="s">
        <v>1033</v>
      </c>
      <c r="B3985" s="315" t="s">
        <v>3908</v>
      </c>
      <c r="C3985" s="313" t="s">
        <v>395</v>
      </c>
      <c r="D3985" s="313" t="s">
        <v>6024</v>
      </c>
      <c r="E3985" s="603" t="s">
        <v>7808</v>
      </c>
      <c r="F3985" s="603"/>
      <c r="G3985" s="314" t="s">
        <v>4</v>
      </c>
      <c r="H3985" s="399">
        <v>1</v>
      </c>
      <c r="I3985" s="316"/>
      <c r="J3985" s="316">
        <v>45.84</v>
      </c>
      <c r="K3985" s="316">
        <v>45.84</v>
      </c>
    </row>
    <row r="3986" spans="1:11" ht="25.5" customHeight="1" x14ac:dyDescent="0.3">
      <c r="A3986" s="408" t="s">
        <v>1034</v>
      </c>
      <c r="B3986" s="409" t="s">
        <v>1113</v>
      </c>
      <c r="C3986" s="408" t="s">
        <v>395</v>
      </c>
      <c r="D3986" s="408" t="s">
        <v>129</v>
      </c>
      <c r="E3986" s="604" t="s">
        <v>7768</v>
      </c>
      <c r="F3986" s="604"/>
      <c r="G3986" s="410" t="s">
        <v>6</v>
      </c>
      <c r="H3986" s="412">
        <v>0.15060000000000001</v>
      </c>
      <c r="I3986" s="412">
        <v>0</v>
      </c>
      <c r="J3986" s="411">
        <v>33.450000000000003</v>
      </c>
      <c r="K3986" s="411">
        <v>5.0375699999999997</v>
      </c>
    </row>
    <row r="3987" spans="1:11" ht="25.5" customHeight="1" x14ac:dyDescent="0.3">
      <c r="A3987" s="408" t="s">
        <v>1034</v>
      </c>
      <c r="B3987" s="409" t="s">
        <v>1112</v>
      </c>
      <c r="C3987" s="408" t="s">
        <v>395</v>
      </c>
      <c r="D3987" s="408" t="s">
        <v>137</v>
      </c>
      <c r="E3987" s="604" t="s">
        <v>7768</v>
      </c>
      <c r="F3987" s="604"/>
      <c r="G3987" s="410" t="s">
        <v>6</v>
      </c>
      <c r="H3987" s="412">
        <v>0.15060000000000001</v>
      </c>
      <c r="I3987" s="412">
        <v>0</v>
      </c>
      <c r="J3987" s="411">
        <v>40.299999999999997</v>
      </c>
      <c r="K3987" s="411">
        <v>6.0691800000000002</v>
      </c>
    </row>
    <row r="3988" spans="1:11" ht="25.5" customHeight="1" x14ac:dyDescent="0.3">
      <c r="A3988" s="400" t="s">
        <v>1038</v>
      </c>
      <c r="B3988" s="401" t="s">
        <v>2587</v>
      </c>
      <c r="C3988" s="400" t="s">
        <v>395</v>
      </c>
      <c r="D3988" s="400" t="s">
        <v>349</v>
      </c>
      <c r="E3988" s="605" t="s">
        <v>1039</v>
      </c>
      <c r="F3988" s="605"/>
      <c r="G3988" s="402" t="s">
        <v>4</v>
      </c>
      <c r="H3988" s="403">
        <v>2.12E-2</v>
      </c>
      <c r="I3988" s="403">
        <v>0</v>
      </c>
      <c r="J3988" s="404">
        <v>79.17</v>
      </c>
      <c r="K3988" s="404">
        <v>1.678404</v>
      </c>
    </row>
    <row r="3989" spans="1:11" ht="25.5" customHeight="1" x14ac:dyDescent="0.3">
      <c r="A3989" s="400" t="s">
        <v>1038</v>
      </c>
      <c r="B3989" s="401" t="s">
        <v>4512</v>
      </c>
      <c r="C3989" s="400" t="s">
        <v>395</v>
      </c>
      <c r="D3989" s="400" t="s">
        <v>4513</v>
      </c>
      <c r="E3989" s="605" t="s">
        <v>1039</v>
      </c>
      <c r="F3989" s="605"/>
      <c r="G3989" s="402" t="s">
        <v>4</v>
      </c>
      <c r="H3989" s="403">
        <v>1</v>
      </c>
      <c r="I3989" s="403">
        <v>0</v>
      </c>
      <c r="J3989" s="404">
        <v>30.32</v>
      </c>
      <c r="K3989" s="404">
        <v>30.32</v>
      </c>
    </row>
    <row r="3990" spans="1:11" ht="25.5" customHeight="1" x14ac:dyDescent="0.3">
      <c r="A3990" s="400" t="s">
        <v>1038</v>
      </c>
      <c r="B3990" s="401" t="s">
        <v>2588</v>
      </c>
      <c r="C3990" s="400" t="s">
        <v>395</v>
      </c>
      <c r="D3990" s="400" t="s">
        <v>350</v>
      </c>
      <c r="E3990" s="605" t="s">
        <v>1039</v>
      </c>
      <c r="F3990" s="605"/>
      <c r="G3990" s="402" t="s">
        <v>4</v>
      </c>
      <c r="H3990" s="403">
        <v>0.03</v>
      </c>
      <c r="I3990" s="403">
        <v>0</v>
      </c>
      <c r="J3990" s="404">
        <v>89.7</v>
      </c>
      <c r="K3990" s="404">
        <v>2.6909999999999998</v>
      </c>
    </row>
    <row r="3991" spans="1:11" ht="15" x14ac:dyDescent="0.3">
      <c r="A3991" s="400" t="s">
        <v>1038</v>
      </c>
      <c r="B3991" s="401" t="s">
        <v>1372</v>
      </c>
      <c r="C3991" s="400" t="s">
        <v>395</v>
      </c>
      <c r="D3991" s="400" t="s">
        <v>266</v>
      </c>
      <c r="E3991" s="605" t="s">
        <v>1039</v>
      </c>
      <c r="F3991" s="605"/>
      <c r="G3991" s="402" t="s">
        <v>4</v>
      </c>
      <c r="H3991" s="403">
        <v>2.2200000000000001E-2</v>
      </c>
      <c r="I3991" s="403">
        <v>0</v>
      </c>
      <c r="J3991" s="404">
        <v>2.09</v>
      </c>
      <c r="K3991" s="404">
        <v>4.6398000000000002E-2</v>
      </c>
    </row>
    <row r="3992" spans="1:11" ht="15" x14ac:dyDescent="0.3">
      <c r="A3992" s="405"/>
      <c r="B3992" s="405"/>
      <c r="C3992" s="405"/>
      <c r="D3992" s="405"/>
      <c r="E3992" s="405" t="s">
        <v>1046</v>
      </c>
      <c r="F3992" s="406">
        <v>8.18</v>
      </c>
      <c r="G3992" s="405" t="s">
        <v>1047</v>
      </c>
      <c r="H3992" s="406">
        <v>0</v>
      </c>
      <c r="I3992" s="405" t="s">
        <v>1048</v>
      </c>
      <c r="J3992" s="406">
        <v>8.18</v>
      </c>
      <c r="K3992"/>
    </row>
    <row r="3993" spans="1:11" ht="14.25" customHeight="1" thickBot="1" x14ac:dyDescent="0.35">
      <c r="A3993" s="405"/>
      <c r="B3993" s="405"/>
      <c r="C3993" s="405"/>
      <c r="D3993" s="405"/>
      <c r="E3993" s="405" t="s">
        <v>1049</v>
      </c>
      <c r="F3993" s="406">
        <v>0</v>
      </c>
      <c r="G3993" s="405"/>
      <c r="H3993" s="606"/>
      <c r="I3993" s="606" t="s">
        <v>1050</v>
      </c>
      <c r="J3993" s="406">
        <v>45.84</v>
      </c>
      <c r="K3993"/>
    </row>
    <row r="3994" spans="1:11" ht="14.25" customHeight="1" thickTop="1" x14ac:dyDescent="0.3">
      <c r="A3994" s="407"/>
      <c r="B3994" s="407"/>
      <c r="C3994" s="407"/>
      <c r="D3994" s="407"/>
      <c r="E3994" s="407"/>
      <c r="F3994" s="407"/>
      <c r="G3994" s="407"/>
      <c r="H3994" s="407"/>
      <c r="I3994" s="407"/>
      <c r="J3994" s="407"/>
      <c r="K3994" s="407"/>
    </row>
    <row r="3995" spans="1:11" ht="15" x14ac:dyDescent="0.3">
      <c r="A3995" s="382" t="s">
        <v>2901</v>
      </c>
      <c r="B3995" s="312" t="s">
        <v>413</v>
      </c>
      <c r="C3995" s="382" t="s">
        <v>414</v>
      </c>
      <c r="D3995" s="382" t="s">
        <v>415</v>
      </c>
      <c r="E3995" s="586" t="s">
        <v>1029</v>
      </c>
      <c r="F3995" s="586"/>
      <c r="G3995" s="383" t="s">
        <v>416</v>
      </c>
      <c r="H3995" s="312" t="s">
        <v>1030</v>
      </c>
      <c r="I3995" s="312" t="s">
        <v>3016</v>
      </c>
      <c r="J3995" s="312" t="s">
        <v>1031</v>
      </c>
      <c r="K3995" s="312" t="s">
        <v>1032</v>
      </c>
    </row>
    <row r="3996" spans="1:11" ht="26.4" x14ac:dyDescent="0.3">
      <c r="A3996" s="313" t="s">
        <v>1033</v>
      </c>
      <c r="B3996" s="315" t="s">
        <v>3909</v>
      </c>
      <c r="C3996" s="313" t="s">
        <v>395</v>
      </c>
      <c r="D3996" s="313" t="s">
        <v>6025</v>
      </c>
      <c r="E3996" s="603" t="s">
        <v>7808</v>
      </c>
      <c r="F3996" s="603"/>
      <c r="G3996" s="314" t="s">
        <v>4</v>
      </c>
      <c r="H3996" s="399">
        <v>1</v>
      </c>
      <c r="I3996" s="316"/>
      <c r="J3996" s="316">
        <v>130.41999999999999</v>
      </c>
      <c r="K3996" s="316">
        <v>130.41999999999999</v>
      </c>
    </row>
    <row r="3997" spans="1:11" ht="17.399999999999999" customHeight="1" x14ac:dyDescent="0.3">
      <c r="A3997" s="408" t="s">
        <v>1034</v>
      </c>
      <c r="B3997" s="409" t="s">
        <v>1113</v>
      </c>
      <c r="C3997" s="408" t="s">
        <v>395</v>
      </c>
      <c r="D3997" s="408" t="s">
        <v>129</v>
      </c>
      <c r="E3997" s="604" t="s">
        <v>7768</v>
      </c>
      <c r="F3997" s="604"/>
      <c r="G3997" s="410" t="s">
        <v>6</v>
      </c>
      <c r="H3997" s="412">
        <v>0.20710000000000001</v>
      </c>
      <c r="I3997" s="412">
        <v>0</v>
      </c>
      <c r="J3997" s="411">
        <v>33.450000000000003</v>
      </c>
      <c r="K3997" s="411">
        <v>6.9274950000000004</v>
      </c>
    </row>
    <row r="3998" spans="1:11" ht="25.5" customHeight="1" x14ac:dyDescent="0.3">
      <c r="A3998" s="408" t="s">
        <v>1034</v>
      </c>
      <c r="B3998" s="409" t="s">
        <v>1112</v>
      </c>
      <c r="C3998" s="408" t="s">
        <v>395</v>
      </c>
      <c r="D3998" s="408" t="s">
        <v>137</v>
      </c>
      <c r="E3998" s="604" t="s">
        <v>7768</v>
      </c>
      <c r="F3998" s="604"/>
      <c r="G3998" s="410" t="s">
        <v>6</v>
      </c>
      <c r="H3998" s="412">
        <v>0.20710000000000001</v>
      </c>
      <c r="I3998" s="412">
        <v>0</v>
      </c>
      <c r="J3998" s="411">
        <v>40.299999999999997</v>
      </c>
      <c r="K3998" s="411">
        <v>8.3461300000000005</v>
      </c>
    </row>
    <row r="3999" spans="1:11" ht="25.5" customHeight="1" x14ac:dyDescent="0.3">
      <c r="A3999" s="400" t="s">
        <v>1038</v>
      </c>
      <c r="B3999" s="401" t="s">
        <v>2587</v>
      </c>
      <c r="C3999" s="400" t="s">
        <v>395</v>
      </c>
      <c r="D3999" s="400" t="s">
        <v>349</v>
      </c>
      <c r="E3999" s="605" t="s">
        <v>1039</v>
      </c>
      <c r="F3999" s="605"/>
      <c r="G3999" s="402" t="s">
        <v>4</v>
      </c>
      <c r="H3999" s="403">
        <v>3.5299999999999998E-2</v>
      </c>
      <c r="I3999" s="403">
        <v>0</v>
      </c>
      <c r="J3999" s="404">
        <v>79.17</v>
      </c>
      <c r="K3999" s="404">
        <v>2.7947009999999999</v>
      </c>
    </row>
    <row r="4000" spans="1:11" ht="15" customHeight="1" x14ac:dyDescent="0.3">
      <c r="A4000" s="400" t="s">
        <v>1038</v>
      </c>
      <c r="B4000" s="401" t="s">
        <v>4210</v>
      </c>
      <c r="C4000" s="400" t="s">
        <v>395</v>
      </c>
      <c r="D4000" s="400" t="s">
        <v>4211</v>
      </c>
      <c r="E4000" s="605" t="s">
        <v>1039</v>
      </c>
      <c r="F4000" s="605"/>
      <c r="G4000" s="402" t="s">
        <v>4</v>
      </c>
      <c r="H4000" s="403">
        <v>1</v>
      </c>
      <c r="I4000" s="403">
        <v>0</v>
      </c>
      <c r="J4000" s="404">
        <v>106.91</v>
      </c>
      <c r="K4000" s="404">
        <v>106.91</v>
      </c>
    </row>
    <row r="4001" spans="1:11" ht="26.4" x14ac:dyDescent="0.3">
      <c r="A4001" s="400" t="s">
        <v>1038</v>
      </c>
      <c r="B4001" s="401" t="s">
        <v>2588</v>
      </c>
      <c r="C4001" s="400" t="s">
        <v>395</v>
      </c>
      <c r="D4001" s="400" t="s">
        <v>350</v>
      </c>
      <c r="E4001" s="605" t="s">
        <v>1039</v>
      </c>
      <c r="F4001" s="605"/>
      <c r="G4001" s="402" t="s">
        <v>4</v>
      </c>
      <c r="H4001" s="403">
        <v>0.06</v>
      </c>
      <c r="I4001" s="403">
        <v>0</v>
      </c>
      <c r="J4001" s="404">
        <v>89.7</v>
      </c>
      <c r="K4001" s="404">
        <v>5.3819999999999997</v>
      </c>
    </row>
    <row r="4002" spans="1:11" ht="14.25" customHeight="1" x14ac:dyDescent="0.3">
      <c r="A4002" s="400" t="s">
        <v>1038</v>
      </c>
      <c r="B4002" s="401" t="s">
        <v>1372</v>
      </c>
      <c r="C4002" s="400" t="s">
        <v>395</v>
      </c>
      <c r="D4002" s="400" t="s">
        <v>266</v>
      </c>
      <c r="E4002" s="605" t="s">
        <v>1039</v>
      </c>
      <c r="F4002" s="605"/>
      <c r="G4002" s="402" t="s">
        <v>4</v>
      </c>
      <c r="H4002" s="403">
        <v>3.0700000000000002E-2</v>
      </c>
      <c r="I4002" s="403">
        <v>0</v>
      </c>
      <c r="J4002" s="404">
        <v>2.09</v>
      </c>
      <c r="K4002" s="404">
        <v>6.4162999999999998E-2</v>
      </c>
    </row>
    <row r="4003" spans="1:11" ht="15" x14ac:dyDescent="0.3">
      <c r="A4003" s="405"/>
      <c r="B4003" s="405"/>
      <c r="C4003" s="405"/>
      <c r="D4003" s="405"/>
      <c r="E4003" s="405" t="s">
        <v>1046</v>
      </c>
      <c r="F4003" s="406">
        <v>11.24</v>
      </c>
      <c r="G4003" s="405" t="s">
        <v>1047</v>
      </c>
      <c r="H4003" s="406">
        <v>0</v>
      </c>
      <c r="I4003" s="405" t="s">
        <v>1048</v>
      </c>
      <c r="J4003" s="406">
        <v>11.24</v>
      </c>
      <c r="K4003"/>
    </row>
    <row r="4004" spans="1:11" ht="14.25" customHeight="1" thickBot="1" x14ac:dyDescent="0.35">
      <c r="A4004" s="405"/>
      <c r="B4004" s="405"/>
      <c r="C4004" s="405"/>
      <c r="D4004" s="405"/>
      <c r="E4004" s="405" t="s">
        <v>1049</v>
      </c>
      <c r="F4004" s="406">
        <v>0</v>
      </c>
      <c r="G4004" s="405"/>
      <c r="H4004" s="606"/>
      <c r="I4004" s="606" t="s">
        <v>1050</v>
      </c>
      <c r="J4004" s="406">
        <v>130.41999999999999</v>
      </c>
      <c r="K4004"/>
    </row>
    <row r="4005" spans="1:11" ht="25.5" customHeight="1" thickTop="1" x14ac:dyDescent="0.3">
      <c r="A4005" s="407"/>
      <c r="B4005" s="407"/>
      <c r="C4005" s="407"/>
      <c r="D4005" s="407"/>
      <c r="E4005" s="407"/>
      <c r="F4005" s="407"/>
      <c r="G4005" s="407"/>
      <c r="H4005" s="407"/>
      <c r="I4005" s="407"/>
      <c r="J4005" s="407"/>
      <c r="K4005" s="407"/>
    </row>
    <row r="4006" spans="1:11" ht="25.5" customHeight="1" x14ac:dyDescent="0.3">
      <c r="A4006" s="382" t="s">
        <v>2905</v>
      </c>
      <c r="B4006" s="312" t="s">
        <v>413</v>
      </c>
      <c r="C4006" s="382" t="s">
        <v>414</v>
      </c>
      <c r="D4006" s="382" t="s">
        <v>415</v>
      </c>
      <c r="E4006" s="586" t="s">
        <v>1029</v>
      </c>
      <c r="F4006" s="586"/>
      <c r="G4006" s="383" t="s">
        <v>416</v>
      </c>
      <c r="H4006" s="312" t="s">
        <v>1030</v>
      </c>
      <c r="I4006" s="312" t="s">
        <v>3016</v>
      </c>
      <c r="J4006" s="312" t="s">
        <v>1031</v>
      </c>
      <c r="K4006" s="312" t="s">
        <v>1032</v>
      </c>
    </row>
    <row r="4007" spans="1:11" ht="25.5" customHeight="1" x14ac:dyDescent="0.3">
      <c r="A4007" s="313" t="s">
        <v>1033</v>
      </c>
      <c r="B4007" s="315" t="s">
        <v>3910</v>
      </c>
      <c r="C4007" s="313" t="s">
        <v>395</v>
      </c>
      <c r="D4007" s="313" t="s">
        <v>6026</v>
      </c>
      <c r="E4007" s="603" t="s">
        <v>7808</v>
      </c>
      <c r="F4007" s="603"/>
      <c r="G4007" s="314" t="s">
        <v>4</v>
      </c>
      <c r="H4007" s="399">
        <v>1</v>
      </c>
      <c r="I4007" s="316"/>
      <c r="J4007" s="316">
        <v>20.05</v>
      </c>
      <c r="K4007" s="316">
        <v>20.05</v>
      </c>
    </row>
    <row r="4008" spans="1:11" ht="25.5" customHeight="1" x14ac:dyDescent="0.3">
      <c r="A4008" s="408" t="s">
        <v>1034</v>
      </c>
      <c r="B4008" s="409" t="s">
        <v>1113</v>
      </c>
      <c r="C4008" s="408" t="s">
        <v>395</v>
      </c>
      <c r="D4008" s="408" t="s">
        <v>129</v>
      </c>
      <c r="E4008" s="604" t="s">
        <v>7768</v>
      </c>
      <c r="F4008" s="604"/>
      <c r="G4008" s="410" t="s">
        <v>6</v>
      </c>
      <c r="H4008" s="412">
        <v>0.1416</v>
      </c>
      <c r="I4008" s="412">
        <v>0</v>
      </c>
      <c r="J4008" s="411">
        <v>33.450000000000003</v>
      </c>
      <c r="K4008" s="411">
        <v>4.7365199999999996</v>
      </c>
    </row>
    <row r="4009" spans="1:11" ht="17.399999999999999" customHeight="1" x14ac:dyDescent="0.3">
      <c r="A4009" s="408" t="s">
        <v>1034</v>
      </c>
      <c r="B4009" s="409" t="s">
        <v>1112</v>
      </c>
      <c r="C4009" s="408" t="s">
        <v>395</v>
      </c>
      <c r="D4009" s="408" t="s">
        <v>137</v>
      </c>
      <c r="E4009" s="604" t="s">
        <v>7768</v>
      </c>
      <c r="F4009" s="604"/>
      <c r="G4009" s="410" t="s">
        <v>6</v>
      </c>
      <c r="H4009" s="412">
        <v>0.1416</v>
      </c>
      <c r="I4009" s="412">
        <v>0</v>
      </c>
      <c r="J4009" s="411">
        <v>40.299999999999997</v>
      </c>
      <c r="K4009" s="411">
        <v>5.70648</v>
      </c>
    </row>
    <row r="4010" spans="1:11" ht="15" x14ac:dyDescent="0.3">
      <c r="A4010" s="400" t="s">
        <v>1038</v>
      </c>
      <c r="B4010" s="401" t="s">
        <v>2587</v>
      </c>
      <c r="C4010" s="400" t="s">
        <v>395</v>
      </c>
      <c r="D4010" s="400" t="s">
        <v>349</v>
      </c>
      <c r="E4010" s="605" t="s">
        <v>1039</v>
      </c>
      <c r="F4010" s="605"/>
      <c r="G4010" s="402" t="s">
        <v>4</v>
      </c>
      <c r="H4010" s="403">
        <v>5.8999999999999999E-3</v>
      </c>
      <c r="I4010" s="403">
        <v>0</v>
      </c>
      <c r="J4010" s="404">
        <v>79.17</v>
      </c>
      <c r="K4010" s="404">
        <v>0.46710299999999999</v>
      </c>
    </row>
    <row r="4011" spans="1:11" ht="25.5" customHeight="1" x14ac:dyDescent="0.3">
      <c r="A4011" s="400" t="s">
        <v>1038</v>
      </c>
      <c r="B4011" s="401" t="s">
        <v>4736</v>
      </c>
      <c r="C4011" s="400" t="s">
        <v>395</v>
      </c>
      <c r="D4011" s="400" t="s">
        <v>4737</v>
      </c>
      <c r="E4011" s="605" t="s">
        <v>1039</v>
      </c>
      <c r="F4011" s="605"/>
      <c r="G4011" s="402" t="s">
        <v>4</v>
      </c>
      <c r="H4011" s="403">
        <v>1</v>
      </c>
      <c r="I4011" s="403">
        <v>0</v>
      </c>
      <c r="J4011" s="404">
        <v>8.44</v>
      </c>
      <c r="K4011" s="404">
        <v>8.44</v>
      </c>
    </row>
    <row r="4012" spans="1:11" ht="14.25" customHeight="1" x14ac:dyDescent="0.3">
      <c r="A4012" s="400" t="s">
        <v>1038</v>
      </c>
      <c r="B4012" s="401" t="s">
        <v>2588</v>
      </c>
      <c r="C4012" s="400" t="s">
        <v>395</v>
      </c>
      <c r="D4012" s="400" t="s">
        <v>350</v>
      </c>
      <c r="E4012" s="605" t="s">
        <v>1039</v>
      </c>
      <c r="F4012" s="605"/>
      <c r="G4012" s="402" t="s">
        <v>4</v>
      </c>
      <c r="H4012" s="403">
        <v>7.0000000000000001E-3</v>
      </c>
      <c r="I4012" s="403">
        <v>0</v>
      </c>
      <c r="J4012" s="404">
        <v>89.7</v>
      </c>
      <c r="K4012" s="404">
        <v>0.62790000000000001</v>
      </c>
    </row>
    <row r="4013" spans="1:11" ht="14.25" customHeight="1" x14ac:dyDescent="0.3">
      <c r="A4013" s="400" t="s">
        <v>1038</v>
      </c>
      <c r="B4013" s="401" t="s">
        <v>1372</v>
      </c>
      <c r="C4013" s="400" t="s">
        <v>395</v>
      </c>
      <c r="D4013" s="400" t="s">
        <v>266</v>
      </c>
      <c r="E4013" s="605" t="s">
        <v>1039</v>
      </c>
      <c r="F4013" s="605"/>
      <c r="G4013" s="402" t="s">
        <v>4</v>
      </c>
      <c r="H4013" s="403">
        <v>3.3799999999999997E-2</v>
      </c>
      <c r="I4013" s="403">
        <v>0</v>
      </c>
      <c r="J4013" s="404">
        <v>2.09</v>
      </c>
      <c r="K4013" s="404">
        <v>7.0641999999999996E-2</v>
      </c>
    </row>
    <row r="4014" spans="1:11" ht="15" x14ac:dyDescent="0.3">
      <c r="A4014" s="405"/>
      <c r="B4014" s="405"/>
      <c r="C4014" s="405"/>
      <c r="D4014" s="405"/>
      <c r="E4014" s="405" t="s">
        <v>1046</v>
      </c>
      <c r="F4014" s="406">
        <v>7.69</v>
      </c>
      <c r="G4014" s="405" t="s">
        <v>1047</v>
      </c>
      <c r="H4014" s="406">
        <v>0</v>
      </c>
      <c r="I4014" s="405" t="s">
        <v>1048</v>
      </c>
      <c r="J4014" s="406">
        <v>7.69</v>
      </c>
      <c r="K4014"/>
    </row>
    <row r="4015" spans="1:11" ht="15.6" thickBot="1" x14ac:dyDescent="0.35">
      <c r="A4015" s="405"/>
      <c r="B4015" s="405"/>
      <c r="C4015" s="405"/>
      <c r="D4015" s="405"/>
      <c r="E4015" s="405" t="s">
        <v>1049</v>
      </c>
      <c r="F4015" s="406">
        <v>0</v>
      </c>
      <c r="G4015" s="405"/>
      <c r="H4015" s="606"/>
      <c r="I4015" s="606" t="s">
        <v>1050</v>
      </c>
      <c r="J4015" s="406">
        <v>20.05</v>
      </c>
      <c r="K4015"/>
    </row>
    <row r="4016" spans="1:11" ht="15" customHeight="1" thickTop="1" x14ac:dyDescent="0.3">
      <c r="A4016" s="407"/>
      <c r="B4016" s="407"/>
      <c r="C4016" s="407"/>
      <c r="D4016" s="407"/>
      <c r="E4016" s="407"/>
      <c r="F4016" s="407"/>
      <c r="G4016" s="407"/>
      <c r="H4016" s="407"/>
      <c r="I4016" s="407"/>
      <c r="J4016" s="407"/>
      <c r="K4016" s="407"/>
    </row>
    <row r="4017" spans="1:11" ht="25.5" customHeight="1" x14ac:dyDescent="0.3">
      <c r="A4017" s="382" t="s">
        <v>2907</v>
      </c>
      <c r="B4017" s="312" t="s">
        <v>413</v>
      </c>
      <c r="C4017" s="382" t="s">
        <v>414</v>
      </c>
      <c r="D4017" s="382" t="s">
        <v>415</v>
      </c>
      <c r="E4017" s="586" t="s">
        <v>1029</v>
      </c>
      <c r="F4017" s="586"/>
      <c r="G4017" s="383" t="s">
        <v>416</v>
      </c>
      <c r="H4017" s="312" t="s">
        <v>1030</v>
      </c>
      <c r="I4017" s="312" t="s">
        <v>3016</v>
      </c>
      <c r="J4017" s="312" t="s">
        <v>1031</v>
      </c>
      <c r="K4017" s="312" t="s">
        <v>1032</v>
      </c>
    </row>
    <row r="4018" spans="1:11" ht="25.5" customHeight="1" x14ac:dyDescent="0.3">
      <c r="A4018" s="313" t="s">
        <v>1033</v>
      </c>
      <c r="B4018" s="315" t="s">
        <v>2186</v>
      </c>
      <c r="C4018" s="313" t="s">
        <v>420</v>
      </c>
      <c r="D4018" s="313" t="s">
        <v>1926</v>
      </c>
      <c r="E4018" s="603" t="s">
        <v>1318</v>
      </c>
      <c r="F4018" s="603"/>
      <c r="G4018" s="314" t="s">
        <v>422</v>
      </c>
      <c r="H4018" s="399">
        <v>1</v>
      </c>
      <c r="I4018" s="316"/>
      <c r="J4018" s="316">
        <v>11.2</v>
      </c>
      <c r="K4018" s="316">
        <v>11.2</v>
      </c>
    </row>
    <row r="4019" spans="1:11" ht="26.4" x14ac:dyDescent="0.3">
      <c r="A4019" s="408" t="s">
        <v>1034</v>
      </c>
      <c r="B4019" s="409" t="s">
        <v>1071</v>
      </c>
      <c r="C4019" s="408" t="s">
        <v>420</v>
      </c>
      <c r="D4019" s="408" t="s">
        <v>1072</v>
      </c>
      <c r="E4019" s="604" t="s">
        <v>1069</v>
      </c>
      <c r="F4019" s="604"/>
      <c r="G4019" s="410" t="s">
        <v>1070</v>
      </c>
      <c r="H4019" s="412">
        <v>0.18</v>
      </c>
      <c r="I4019" s="412">
        <v>0</v>
      </c>
      <c r="J4019" s="411">
        <v>3.95</v>
      </c>
      <c r="K4019" s="411">
        <v>0.71099999999999997</v>
      </c>
    </row>
    <row r="4020" spans="1:11" ht="25.5" customHeight="1" x14ac:dyDescent="0.3">
      <c r="A4020" s="408" t="s">
        <v>1034</v>
      </c>
      <c r="B4020" s="409" t="s">
        <v>1180</v>
      </c>
      <c r="C4020" s="408" t="s">
        <v>420</v>
      </c>
      <c r="D4020" s="408" t="s">
        <v>1181</v>
      </c>
      <c r="E4020" s="604" t="s">
        <v>1069</v>
      </c>
      <c r="F4020" s="604"/>
      <c r="G4020" s="410" t="s">
        <v>1070</v>
      </c>
      <c r="H4020" s="412">
        <v>0.18</v>
      </c>
      <c r="I4020" s="412">
        <v>0</v>
      </c>
      <c r="J4020" s="411">
        <v>3.91</v>
      </c>
      <c r="K4020" s="411">
        <v>0.70379999999999998</v>
      </c>
    </row>
    <row r="4021" spans="1:11" ht="25.5" customHeight="1" x14ac:dyDescent="0.3">
      <c r="A4021" s="400" t="s">
        <v>1038</v>
      </c>
      <c r="B4021" s="401" t="s">
        <v>768</v>
      </c>
      <c r="C4021" s="400" t="s">
        <v>420</v>
      </c>
      <c r="D4021" s="400" t="s">
        <v>1245</v>
      </c>
      <c r="E4021" s="605" t="s">
        <v>1039</v>
      </c>
      <c r="F4021" s="605"/>
      <c r="G4021" s="402" t="s">
        <v>1246</v>
      </c>
      <c r="H4021" s="403">
        <v>4.0000000000000001E-3</v>
      </c>
      <c r="I4021" s="403">
        <v>0</v>
      </c>
      <c r="J4021" s="404">
        <v>72.41</v>
      </c>
      <c r="K4021" s="404">
        <v>0.28964000000000001</v>
      </c>
    </row>
    <row r="4022" spans="1:11" ht="25.5" customHeight="1" x14ac:dyDescent="0.3">
      <c r="A4022" s="400" t="s">
        <v>1038</v>
      </c>
      <c r="B4022" s="401" t="s">
        <v>1247</v>
      </c>
      <c r="C4022" s="400" t="s">
        <v>420</v>
      </c>
      <c r="D4022" s="400" t="s">
        <v>1248</v>
      </c>
      <c r="E4022" s="605" t="s">
        <v>1039</v>
      </c>
      <c r="F4022" s="605"/>
      <c r="G4022" s="402" t="s">
        <v>1249</v>
      </c>
      <c r="H4022" s="403">
        <v>7.0000000000000001E-3</v>
      </c>
      <c r="I4022" s="403">
        <v>0</v>
      </c>
      <c r="J4022" s="404">
        <v>69.739999999999995</v>
      </c>
      <c r="K4022" s="404">
        <v>0.48818</v>
      </c>
    </row>
    <row r="4023" spans="1:11" ht="15" x14ac:dyDescent="0.3">
      <c r="A4023" s="400" t="s">
        <v>1038</v>
      </c>
      <c r="B4023" s="401" t="s">
        <v>6480</v>
      </c>
      <c r="C4023" s="400" t="s">
        <v>420</v>
      </c>
      <c r="D4023" s="400" t="s">
        <v>6481</v>
      </c>
      <c r="E4023" s="605" t="s">
        <v>1053</v>
      </c>
      <c r="F4023" s="605"/>
      <c r="G4023" s="402" t="s">
        <v>1070</v>
      </c>
      <c r="H4023" s="403">
        <v>0.18</v>
      </c>
      <c r="I4023" s="403">
        <v>0</v>
      </c>
      <c r="J4023" s="404">
        <v>20.45</v>
      </c>
      <c r="K4023" s="404">
        <v>3.681</v>
      </c>
    </row>
    <row r="4024" spans="1:11" ht="30" customHeight="1" x14ac:dyDescent="0.3">
      <c r="A4024" s="400" t="s">
        <v>1038</v>
      </c>
      <c r="B4024" s="401" t="s">
        <v>7539</v>
      </c>
      <c r="C4024" s="400" t="s">
        <v>420</v>
      </c>
      <c r="D4024" s="400" t="s">
        <v>7540</v>
      </c>
      <c r="E4024" s="605" t="s">
        <v>1039</v>
      </c>
      <c r="F4024" s="605"/>
      <c r="G4024" s="402" t="s">
        <v>422</v>
      </c>
      <c r="H4024" s="403">
        <v>1</v>
      </c>
      <c r="I4024" s="403">
        <v>0</v>
      </c>
      <c r="J4024" s="404">
        <v>2.52</v>
      </c>
      <c r="K4024" s="404">
        <v>2.52</v>
      </c>
    </row>
    <row r="4025" spans="1:11" ht="30" customHeight="1" x14ac:dyDescent="0.3">
      <c r="A4025" s="400" t="s">
        <v>1038</v>
      </c>
      <c r="B4025" s="401" t="s">
        <v>6251</v>
      </c>
      <c r="C4025" s="400" t="s">
        <v>420</v>
      </c>
      <c r="D4025" s="400" t="s">
        <v>6252</v>
      </c>
      <c r="E4025" s="605" t="s">
        <v>1053</v>
      </c>
      <c r="F4025" s="605"/>
      <c r="G4025" s="402" t="s">
        <v>1070</v>
      </c>
      <c r="H4025" s="403">
        <v>0.18</v>
      </c>
      <c r="I4025" s="403">
        <v>0</v>
      </c>
      <c r="J4025" s="404">
        <v>15.59</v>
      </c>
      <c r="K4025" s="404">
        <v>2.8062</v>
      </c>
    </row>
    <row r="4026" spans="1:11" ht="25.5" customHeight="1" x14ac:dyDescent="0.3">
      <c r="A4026" s="405"/>
      <c r="B4026" s="405"/>
      <c r="C4026" s="405"/>
      <c r="D4026" s="405"/>
      <c r="E4026" s="405" t="s">
        <v>1046</v>
      </c>
      <c r="F4026" s="406">
        <v>6.49</v>
      </c>
      <c r="G4026" s="405" t="s">
        <v>1047</v>
      </c>
      <c r="H4026" s="406">
        <v>0</v>
      </c>
      <c r="I4026" s="405" t="s">
        <v>1048</v>
      </c>
      <c r="J4026" s="406">
        <v>6.49</v>
      </c>
      <c r="K4026"/>
    </row>
    <row r="4027" spans="1:11" ht="25.5" customHeight="1" thickBot="1" x14ac:dyDescent="0.35">
      <c r="A4027" s="405"/>
      <c r="B4027" s="405"/>
      <c r="C4027" s="405"/>
      <c r="D4027" s="405"/>
      <c r="E4027" s="405" t="s">
        <v>1049</v>
      </c>
      <c r="F4027" s="406">
        <v>0</v>
      </c>
      <c r="G4027" s="405"/>
      <c r="H4027" s="606"/>
      <c r="I4027" s="606" t="s">
        <v>1050</v>
      </c>
      <c r="J4027" s="406">
        <v>11.2</v>
      </c>
      <c r="K4027"/>
    </row>
    <row r="4028" spans="1:11" ht="25.5" customHeight="1" thickTop="1" x14ac:dyDescent="0.3">
      <c r="A4028" s="407"/>
      <c r="B4028" s="407"/>
      <c r="C4028" s="407"/>
      <c r="D4028" s="407"/>
      <c r="E4028" s="407"/>
      <c r="F4028" s="407"/>
      <c r="G4028" s="407"/>
      <c r="H4028" s="407"/>
      <c r="I4028" s="407"/>
      <c r="J4028" s="407"/>
      <c r="K4028" s="407"/>
    </row>
    <row r="4029" spans="1:11" ht="25.5" customHeight="1" x14ac:dyDescent="0.3">
      <c r="A4029" s="382" t="s">
        <v>2911</v>
      </c>
      <c r="B4029" s="312" t="s">
        <v>413</v>
      </c>
      <c r="C4029" s="382" t="s">
        <v>414</v>
      </c>
      <c r="D4029" s="382" t="s">
        <v>415</v>
      </c>
      <c r="E4029" s="586" t="s">
        <v>1029</v>
      </c>
      <c r="F4029" s="586"/>
      <c r="G4029" s="383" t="s">
        <v>416</v>
      </c>
      <c r="H4029" s="312" t="s">
        <v>1030</v>
      </c>
      <c r="I4029" s="312" t="s">
        <v>3016</v>
      </c>
      <c r="J4029" s="312" t="s">
        <v>1031</v>
      </c>
      <c r="K4029" s="312" t="s">
        <v>1032</v>
      </c>
    </row>
    <row r="4030" spans="1:11" ht="25.5" customHeight="1" x14ac:dyDescent="0.3">
      <c r="A4030" s="313" t="s">
        <v>1033</v>
      </c>
      <c r="B4030" s="315" t="s">
        <v>3911</v>
      </c>
      <c r="C4030" s="313" t="s">
        <v>395</v>
      </c>
      <c r="D4030" s="313" t="s">
        <v>6027</v>
      </c>
      <c r="E4030" s="603" t="s">
        <v>7808</v>
      </c>
      <c r="F4030" s="603"/>
      <c r="G4030" s="314" t="s">
        <v>4</v>
      </c>
      <c r="H4030" s="399">
        <v>1</v>
      </c>
      <c r="I4030" s="316"/>
      <c r="J4030" s="316">
        <v>16.63</v>
      </c>
      <c r="K4030" s="316">
        <v>16.63</v>
      </c>
    </row>
    <row r="4031" spans="1:11" ht="26.4" x14ac:dyDescent="0.3">
      <c r="A4031" s="408" t="s">
        <v>1034</v>
      </c>
      <c r="B4031" s="409" t="s">
        <v>1113</v>
      </c>
      <c r="C4031" s="408" t="s">
        <v>395</v>
      </c>
      <c r="D4031" s="408" t="s">
        <v>129</v>
      </c>
      <c r="E4031" s="604" t="s">
        <v>7768</v>
      </c>
      <c r="F4031" s="604"/>
      <c r="G4031" s="410" t="s">
        <v>6</v>
      </c>
      <c r="H4031" s="412">
        <v>0.1812</v>
      </c>
      <c r="I4031" s="412">
        <v>0</v>
      </c>
      <c r="J4031" s="411">
        <v>33.450000000000003</v>
      </c>
      <c r="K4031" s="411">
        <v>6.06114</v>
      </c>
    </row>
    <row r="4032" spans="1:11" ht="14.25" customHeight="1" x14ac:dyDescent="0.3">
      <c r="A4032" s="408" t="s">
        <v>1034</v>
      </c>
      <c r="B4032" s="409" t="s">
        <v>1112</v>
      </c>
      <c r="C4032" s="408" t="s">
        <v>395</v>
      </c>
      <c r="D4032" s="408" t="s">
        <v>137</v>
      </c>
      <c r="E4032" s="604" t="s">
        <v>7768</v>
      </c>
      <c r="F4032" s="604"/>
      <c r="G4032" s="410" t="s">
        <v>6</v>
      </c>
      <c r="H4032" s="412">
        <v>0.1812</v>
      </c>
      <c r="I4032" s="412">
        <v>0</v>
      </c>
      <c r="J4032" s="411">
        <v>40.299999999999997</v>
      </c>
      <c r="K4032" s="411">
        <v>7.3023600000000002</v>
      </c>
    </row>
    <row r="4033" spans="1:11" ht="15" x14ac:dyDescent="0.3">
      <c r="A4033" s="400" t="s">
        <v>1038</v>
      </c>
      <c r="B4033" s="401" t="s">
        <v>2587</v>
      </c>
      <c r="C4033" s="400" t="s">
        <v>395</v>
      </c>
      <c r="D4033" s="400" t="s">
        <v>349</v>
      </c>
      <c r="E4033" s="605" t="s">
        <v>1039</v>
      </c>
      <c r="F4033" s="605"/>
      <c r="G4033" s="402" t="s">
        <v>4</v>
      </c>
      <c r="H4033" s="403">
        <v>1.06E-2</v>
      </c>
      <c r="I4033" s="403">
        <v>0</v>
      </c>
      <c r="J4033" s="404">
        <v>79.17</v>
      </c>
      <c r="K4033" s="404">
        <v>0.839202</v>
      </c>
    </row>
    <row r="4034" spans="1:11" ht="15" customHeight="1" x14ac:dyDescent="0.3">
      <c r="A4034" s="400" t="s">
        <v>1038</v>
      </c>
      <c r="B4034" s="401" t="s">
        <v>4826</v>
      </c>
      <c r="C4034" s="400" t="s">
        <v>395</v>
      </c>
      <c r="D4034" s="400" t="s">
        <v>4827</v>
      </c>
      <c r="E4034" s="605" t="s">
        <v>1039</v>
      </c>
      <c r="F4034" s="605"/>
      <c r="G4034" s="402" t="s">
        <v>4</v>
      </c>
      <c r="H4034" s="403">
        <v>1</v>
      </c>
      <c r="I4034" s="403">
        <v>0</v>
      </c>
      <c r="J4034" s="404">
        <v>1.26</v>
      </c>
      <c r="K4034" s="404">
        <v>1.26</v>
      </c>
    </row>
    <row r="4035" spans="1:11" ht="30" customHeight="1" x14ac:dyDescent="0.3">
      <c r="A4035" s="400" t="s">
        <v>1038</v>
      </c>
      <c r="B4035" s="401" t="s">
        <v>2588</v>
      </c>
      <c r="C4035" s="400" t="s">
        <v>395</v>
      </c>
      <c r="D4035" s="400" t="s">
        <v>350</v>
      </c>
      <c r="E4035" s="605" t="s">
        <v>1039</v>
      </c>
      <c r="F4035" s="605"/>
      <c r="G4035" s="402" t="s">
        <v>4</v>
      </c>
      <c r="H4035" s="403">
        <v>1.2E-2</v>
      </c>
      <c r="I4035" s="403">
        <v>0</v>
      </c>
      <c r="J4035" s="404">
        <v>89.7</v>
      </c>
      <c r="K4035" s="404">
        <v>1.0764</v>
      </c>
    </row>
    <row r="4036" spans="1:11" ht="25.5" customHeight="1" x14ac:dyDescent="0.3">
      <c r="A4036" s="400" t="s">
        <v>1038</v>
      </c>
      <c r="B4036" s="401" t="s">
        <v>1372</v>
      </c>
      <c r="C4036" s="400" t="s">
        <v>395</v>
      </c>
      <c r="D4036" s="400" t="s">
        <v>266</v>
      </c>
      <c r="E4036" s="605" t="s">
        <v>1039</v>
      </c>
      <c r="F4036" s="605"/>
      <c r="G4036" s="402" t="s">
        <v>4</v>
      </c>
      <c r="H4036" s="403">
        <v>4.53E-2</v>
      </c>
      <c r="I4036" s="403">
        <v>0</v>
      </c>
      <c r="J4036" s="404">
        <v>2.09</v>
      </c>
      <c r="K4036" s="404">
        <v>9.4676999999999997E-2</v>
      </c>
    </row>
    <row r="4037" spans="1:11" ht="25.5" customHeight="1" x14ac:dyDescent="0.3">
      <c r="A4037" s="405"/>
      <c r="B4037" s="405"/>
      <c r="C4037" s="405"/>
      <c r="D4037" s="405"/>
      <c r="E4037" s="405" t="s">
        <v>1046</v>
      </c>
      <c r="F4037" s="406">
        <v>9.84</v>
      </c>
      <c r="G4037" s="405" t="s">
        <v>1047</v>
      </c>
      <c r="H4037" s="406">
        <v>0</v>
      </c>
      <c r="I4037" s="405" t="s">
        <v>1048</v>
      </c>
      <c r="J4037" s="406">
        <v>9.84</v>
      </c>
      <c r="K4037"/>
    </row>
    <row r="4038" spans="1:11" ht="15" customHeight="1" thickBot="1" x14ac:dyDescent="0.35">
      <c r="A4038" s="405"/>
      <c r="B4038" s="405"/>
      <c r="C4038" s="405"/>
      <c r="D4038" s="405"/>
      <c r="E4038" s="405" t="s">
        <v>1049</v>
      </c>
      <c r="F4038" s="406">
        <v>0</v>
      </c>
      <c r="G4038" s="405"/>
      <c r="H4038" s="606"/>
      <c r="I4038" s="606" t="s">
        <v>1050</v>
      </c>
      <c r="J4038" s="406">
        <v>16.63</v>
      </c>
      <c r="K4038"/>
    </row>
    <row r="4039" spans="1:11" ht="25.5" customHeight="1" thickTop="1" x14ac:dyDescent="0.3">
      <c r="A4039" s="407"/>
      <c r="B4039" s="407"/>
      <c r="C4039" s="407"/>
      <c r="D4039" s="407"/>
      <c r="E4039" s="407"/>
      <c r="F4039" s="407"/>
      <c r="G4039" s="407"/>
      <c r="H4039" s="407"/>
      <c r="I4039" s="407"/>
      <c r="J4039" s="407"/>
      <c r="K4039" s="407"/>
    </row>
    <row r="4040" spans="1:11" ht="25.5" customHeight="1" x14ac:dyDescent="0.3">
      <c r="A4040" s="382" t="s">
        <v>2913</v>
      </c>
      <c r="B4040" s="312" t="s">
        <v>413</v>
      </c>
      <c r="C4040" s="382" t="s">
        <v>414</v>
      </c>
      <c r="D4040" s="382" t="s">
        <v>415</v>
      </c>
      <c r="E4040" s="586" t="s">
        <v>1029</v>
      </c>
      <c r="F4040" s="586"/>
      <c r="G4040" s="383" t="s">
        <v>416</v>
      </c>
      <c r="H4040" s="312" t="s">
        <v>1030</v>
      </c>
      <c r="I4040" s="312" t="s">
        <v>3016</v>
      </c>
      <c r="J4040" s="312" t="s">
        <v>1031</v>
      </c>
      <c r="K4040" s="312" t="s">
        <v>1032</v>
      </c>
    </row>
    <row r="4041" spans="1:11" ht="26.4" x14ac:dyDescent="0.3">
      <c r="A4041" s="313" t="s">
        <v>1033</v>
      </c>
      <c r="B4041" s="315" t="s">
        <v>3912</v>
      </c>
      <c r="C4041" s="313" t="s">
        <v>395</v>
      </c>
      <c r="D4041" s="313" t="s">
        <v>6028</v>
      </c>
      <c r="E4041" s="603" t="s">
        <v>7808</v>
      </c>
      <c r="F4041" s="603"/>
      <c r="G4041" s="314" t="s">
        <v>4</v>
      </c>
      <c r="H4041" s="399">
        <v>1</v>
      </c>
      <c r="I4041" s="316"/>
      <c r="J4041" s="316">
        <v>22.6</v>
      </c>
      <c r="K4041" s="316">
        <v>22.6</v>
      </c>
    </row>
    <row r="4042" spans="1:11" ht="14.25" customHeight="1" x14ac:dyDescent="0.3">
      <c r="A4042" s="408" t="s">
        <v>1034</v>
      </c>
      <c r="B4042" s="409" t="s">
        <v>1113</v>
      </c>
      <c r="C4042" s="408" t="s">
        <v>395</v>
      </c>
      <c r="D4042" s="408" t="s">
        <v>129</v>
      </c>
      <c r="E4042" s="604" t="s">
        <v>7768</v>
      </c>
      <c r="F4042" s="604"/>
      <c r="G4042" s="410" t="s">
        <v>6</v>
      </c>
      <c r="H4042" s="412">
        <v>0.21609999999999999</v>
      </c>
      <c r="I4042" s="412">
        <v>0</v>
      </c>
      <c r="J4042" s="411">
        <v>33.450000000000003</v>
      </c>
      <c r="K4042" s="411">
        <v>7.2285450000000004</v>
      </c>
    </row>
    <row r="4043" spans="1:11" ht="15" customHeight="1" x14ac:dyDescent="0.3">
      <c r="A4043" s="408" t="s">
        <v>1034</v>
      </c>
      <c r="B4043" s="409" t="s">
        <v>1112</v>
      </c>
      <c r="C4043" s="408" t="s">
        <v>395</v>
      </c>
      <c r="D4043" s="408" t="s">
        <v>137</v>
      </c>
      <c r="E4043" s="604" t="s">
        <v>7768</v>
      </c>
      <c r="F4043" s="604"/>
      <c r="G4043" s="410" t="s">
        <v>6</v>
      </c>
      <c r="H4043" s="412">
        <v>0.21609999999999999</v>
      </c>
      <c r="I4043" s="412">
        <v>0</v>
      </c>
      <c r="J4043" s="411">
        <v>40.299999999999997</v>
      </c>
      <c r="K4043" s="411">
        <v>8.7088300000000007</v>
      </c>
    </row>
    <row r="4044" spans="1:11" ht="15" x14ac:dyDescent="0.3">
      <c r="A4044" s="400" t="s">
        <v>1038</v>
      </c>
      <c r="B4044" s="401" t="s">
        <v>2587</v>
      </c>
      <c r="C4044" s="400" t="s">
        <v>395</v>
      </c>
      <c r="D4044" s="400" t="s">
        <v>349</v>
      </c>
      <c r="E4044" s="605" t="s">
        <v>1039</v>
      </c>
      <c r="F4044" s="605"/>
      <c r="G4044" s="402" t="s">
        <v>4</v>
      </c>
      <c r="H4044" s="403">
        <v>1.41E-2</v>
      </c>
      <c r="I4044" s="403">
        <v>0</v>
      </c>
      <c r="J4044" s="404">
        <v>79.17</v>
      </c>
      <c r="K4044" s="404">
        <v>1.1162970000000001</v>
      </c>
    </row>
    <row r="4045" spans="1:11" ht="26.4" x14ac:dyDescent="0.3">
      <c r="A4045" s="400" t="s">
        <v>1038</v>
      </c>
      <c r="B4045" s="401" t="s">
        <v>4823</v>
      </c>
      <c r="C4045" s="400" t="s">
        <v>395</v>
      </c>
      <c r="D4045" s="400" t="s">
        <v>4824</v>
      </c>
      <c r="E4045" s="605" t="s">
        <v>1039</v>
      </c>
      <c r="F4045" s="605"/>
      <c r="G4045" s="402" t="s">
        <v>4</v>
      </c>
      <c r="H4045" s="403">
        <v>1</v>
      </c>
      <c r="I4045" s="403">
        <v>0</v>
      </c>
      <c r="J4045" s="404">
        <v>3.95</v>
      </c>
      <c r="K4045" s="404">
        <v>3.95</v>
      </c>
    </row>
    <row r="4046" spans="1:11" ht="25.5" customHeight="1" x14ac:dyDescent="0.3">
      <c r="A4046" s="400" t="s">
        <v>1038</v>
      </c>
      <c r="B4046" s="401" t="s">
        <v>2588</v>
      </c>
      <c r="C4046" s="400" t="s">
        <v>395</v>
      </c>
      <c r="D4046" s="400" t="s">
        <v>350</v>
      </c>
      <c r="E4046" s="605" t="s">
        <v>1039</v>
      </c>
      <c r="F4046" s="605"/>
      <c r="G4046" s="402" t="s">
        <v>4</v>
      </c>
      <c r="H4046" s="403">
        <v>1.6500000000000001E-2</v>
      </c>
      <c r="I4046" s="403">
        <v>0</v>
      </c>
      <c r="J4046" s="404">
        <v>89.7</v>
      </c>
      <c r="K4046" s="404">
        <v>1.4800500000000001</v>
      </c>
    </row>
    <row r="4047" spans="1:11" ht="15" customHeight="1" x14ac:dyDescent="0.3">
      <c r="A4047" s="400" t="s">
        <v>1038</v>
      </c>
      <c r="B4047" s="401" t="s">
        <v>1372</v>
      </c>
      <c r="C4047" s="400" t="s">
        <v>395</v>
      </c>
      <c r="D4047" s="400" t="s">
        <v>266</v>
      </c>
      <c r="E4047" s="605" t="s">
        <v>1039</v>
      </c>
      <c r="F4047" s="605"/>
      <c r="G4047" s="402" t="s">
        <v>4</v>
      </c>
      <c r="H4047" s="403">
        <v>5.3999999999999999E-2</v>
      </c>
      <c r="I4047" s="403">
        <v>0</v>
      </c>
      <c r="J4047" s="404">
        <v>2.09</v>
      </c>
      <c r="K4047" s="404">
        <v>0.11286</v>
      </c>
    </row>
    <row r="4048" spans="1:11" ht="25.5" customHeight="1" x14ac:dyDescent="0.3">
      <c r="A4048" s="405"/>
      <c r="B4048" s="405"/>
      <c r="C4048" s="405"/>
      <c r="D4048" s="405"/>
      <c r="E4048" s="405" t="s">
        <v>1046</v>
      </c>
      <c r="F4048" s="406">
        <v>11.74</v>
      </c>
      <c r="G4048" s="405" t="s">
        <v>1047</v>
      </c>
      <c r="H4048" s="406">
        <v>0</v>
      </c>
      <c r="I4048" s="405" t="s">
        <v>1048</v>
      </c>
      <c r="J4048" s="406">
        <v>11.74</v>
      </c>
      <c r="K4048"/>
    </row>
    <row r="4049" spans="1:11" ht="25.5" customHeight="1" thickBot="1" x14ac:dyDescent="0.35">
      <c r="A4049" s="405"/>
      <c r="B4049" s="405"/>
      <c r="C4049" s="405"/>
      <c r="D4049" s="405"/>
      <c r="E4049" s="405" t="s">
        <v>1049</v>
      </c>
      <c r="F4049" s="406">
        <v>0</v>
      </c>
      <c r="G4049" s="405"/>
      <c r="H4049" s="606"/>
      <c r="I4049" s="606" t="s">
        <v>1050</v>
      </c>
      <c r="J4049" s="406">
        <v>22.6</v>
      </c>
      <c r="K4049"/>
    </row>
    <row r="4050" spans="1:11" ht="15.6" thickTop="1" x14ac:dyDescent="0.3">
      <c r="A4050" s="407"/>
      <c r="B4050" s="407"/>
      <c r="C4050" s="407"/>
      <c r="D4050" s="407"/>
      <c r="E4050" s="407"/>
      <c r="F4050" s="407"/>
      <c r="G4050" s="407"/>
      <c r="H4050" s="407"/>
      <c r="I4050" s="407"/>
      <c r="J4050" s="407"/>
      <c r="K4050" s="407"/>
    </row>
    <row r="4051" spans="1:11" ht="17.399999999999999" customHeight="1" x14ac:dyDescent="0.3">
      <c r="A4051" s="382" t="s">
        <v>2918</v>
      </c>
      <c r="B4051" s="312" t="s">
        <v>413</v>
      </c>
      <c r="C4051" s="382" t="s">
        <v>414</v>
      </c>
      <c r="D4051" s="382" t="s">
        <v>415</v>
      </c>
      <c r="E4051" s="586" t="s">
        <v>1029</v>
      </c>
      <c r="F4051" s="586"/>
      <c r="G4051" s="383" t="s">
        <v>416</v>
      </c>
      <c r="H4051" s="312" t="s">
        <v>1030</v>
      </c>
      <c r="I4051" s="312" t="s">
        <v>3016</v>
      </c>
      <c r="J4051" s="312" t="s">
        <v>1031</v>
      </c>
      <c r="K4051" s="312" t="s">
        <v>1032</v>
      </c>
    </row>
    <row r="4052" spans="1:11" ht="15" customHeight="1" x14ac:dyDescent="0.3">
      <c r="A4052" s="313" t="s">
        <v>1033</v>
      </c>
      <c r="B4052" s="315" t="s">
        <v>3913</v>
      </c>
      <c r="C4052" s="313" t="s">
        <v>395</v>
      </c>
      <c r="D4052" s="313" t="s">
        <v>6029</v>
      </c>
      <c r="E4052" s="603" t="s">
        <v>7808</v>
      </c>
      <c r="F4052" s="603"/>
      <c r="G4052" s="314" t="s">
        <v>4</v>
      </c>
      <c r="H4052" s="399">
        <v>1</v>
      </c>
      <c r="I4052" s="316"/>
      <c r="J4052" s="316">
        <v>27.57</v>
      </c>
      <c r="K4052" s="316">
        <v>27.57</v>
      </c>
    </row>
    <row r="4053" spans="1:11" ht="26.4" x14ac:dyDescent="0.3">
      <c r="A4053" s="408" t="s">
        <v>1034</v>
      </c>
      <c r="B4053" s="409" t="s">
        <v>1113</v>
      </c>
      <c r="C4053" s="408" t="s">
        <v>395</v>
      </c>
      <c r="D4053" s="408" t="s">
        <v>129</v>
      </c>
      <c r="E4053" s="604" t="s">
        <v>7768</v>
      </c>
      <c r="F4053" s="604"/>
      <c r="G4053" s="410" t="s">
        <v>6</v>
      </c>
      <c r="H4053" s="412">
        <v>0.1694</v>
      </c>
      <c r="I4053" s="412">
        <v>0</v>
      </c>
      <c r="J4053" s="411">
        <v>33.450000000000003</v>
      </c>
      <c r="K4053" s="411">
        <v>5.6664300000000001</v>
      </c>
    </row>
    <row r="4054" spans="1:11" ht="26.4" x14ac:dyDescent="0.3">
      <c r="A4054" s="408" t="s">
        <v>1034</v>
      </c>
      <c r="B4054" s="409" t="s">
        <v>1112</v>
      </c>
      <c r="C4054" s="408" t="s">
        <v>395</v>
      </c>
      <c r="D4054" s="408" t="s">
        <v>137</v>
      </c>
      <c r="E4054" s="604" t="s">
        <v>7768</v>
      </c>
      <c r="F4054" s="604"/>
      <c r="G4054" s="410" t="s">
        <v>6</v>
      </c>
      <c r="H4054" s="412">
        <v>0.1694</v>
      </c>
      <c r="I4054" s="412">
        <v>0</v>
      </c>
      <c r="J4054" s="411">
        <v>40.299999999999997</v>
      </c>
      <c r="K4054" s="411">
        <v>6.8268199999999997</v>
      </c>
    </row>
    <row r="4055" spans="1:11" ht="30" customHeight="1" x14ac:dyDescent="0.3">
      <c r="A4055" s="400" t="s">
        <v>1038</v>
      </c>
      <c r="B4055" s="401" t="s">
        <v>2587</v>
      </c>
      <c r="C4055" s="400" t="s">
        <v>395</v>
      </c>
      <c r="D4055" s="400" t="s">
        <v>349</v>
      </c>
      <c r="E4055" s="605" t="s">
        <v>1039</v>
      </c>
      <c r="F4055" s="605"/>
      <c r="G4055" s="402" t="s">
        <v>4</v>
      </c>
      <c r="H4055" s="403">
        <v>2.47E-2</v>
      </c>
      <c r="I4055" s="403">
        <v>0</v>
      </c>
      <c r="J4055" s="404">
        <v>79.17</v>
      </c>
      <c r="K4055" s="404">
        <v>1.9554990000000001</v>
      </c>
    </row>
    <row r="4056" spans="1:11" ht="25.5" customHeight="1" x14ac:dyDescent="0.3">
      <c r="A4056" s="400" t="s">
        <v>1038</v>
      </c>
      <c r="B4056" s="401" t="s">
        <v>4695</v>
      </c>
      <c r="C4056" s="400" t="s">
        <v>395</v>
      </c>
      <c r="D4056" s="400" t="s">
        <v>4696</v>
      </c>
      <c r="E4056" s="605" t="s">
        <v>1039</v>
      </c>
      <c r="F4056" s="605"/>
      <c r="G4056" s="402" t="s">
        <v>4</v>
      </c>
      <c r="H4056" s="403">
        <v>1</v>
      </c>
      <c r="I4056" s="403">
        <v>0</v>
      </c>
      <c r="J4056" s="404">
        <v>10.1</v>
      </c>
      <c r="K4056" s="404">
        <v>10.1</v>
      </c>
    </row>
    <row r="4057" spans="1:11" ht="25.5" customHeight="1" x14ac:dyDescent="0.3">
      <c r="A4057" s="400" t="s">
        <v>1038</v>
      </c>
      <c r="B4057" s="401" t="s">
        <v>2588</v>
      </c>
      <c r="C4057" s="400" t="s">
        <v>395</v>
      </c>
      <c r="D4057" s="400" t="s">
        <v>350</v>
      </c>
      <c r="E4057" s="605" t="s">
        <v>1039</v>
      </c>
      <c r="F4057" s="605"/>
      <c r="G4057" s="402" t="s">
        <v>4</v>
      </c>
      <c r="H4057" s="403">
        <v>3.3000000000000002E-2</v>
      </c>
      <c r="I4057" s="403">
        <v>0</v>
      </c>
      <c r="J4057" s="404">
        <v>89.7</v>
      </c>
      <c r="K4057" s="404">
        <v>2.9601000000000002</v>
      </c>
    </row>
    <row r="4058" spans="1:11" ht="25.5" customHeight="1" x14ac:dyDescent="0.3">
      <c r="A4058" s="400" t="s">
        <v>1038</v>
      </c>
      <c r="B4058" s="401" t="s">
        <v>1372</v>
      </c>
      <c r="C4058" s="400" t="s">
        <v>395</v>
      </c>
      <c r="D4058" s="400" t="s">
        <v>266</v>
      </c>
      <c r="E4058" s="605" t="s">
        <v>1039</v>
      </c>
      <c r="F4058" s="605"/>
      <c r="G4058" s="402" t="s">
        <v>4</v>
      </c>
      <c r="H4058" s="403">
        <v>2.8500000000000001E-2</v>
      </c>
      <c r="I4058" s="403">
        <v>0</v>
      </c>
      <c r="J4058" s="404">
        <v>2.09</v>
      </c>
      <c r="K4058" s="404">
        <v>5.9565E-2</v>
      </c>
    </row>
    <row r="4059" spans="1:11" ht="17.399999999999999" customHeight="1" x14ac:dyDescent="0.3">
      <c r="A4059" s="405"/>
      <c r="B4059" s="405"/>
      <c r="C4059" s="405"/>
      <c r="D4059" s="405"/>
      <c r="E4059" s="405" t="s">
        <v>1046</v>
      </c>
      <c r="F4059" s="406">
        <v>9.1999999999999993</v>
      </c>
      <c r="G4059" s="405" t="s">
        <v>1047</v>
      </c>
      <c r="H4059" s="406">
        <v>0</v>
      </c>
      <c r="I4059" s="405" t="s">
        <v>1048</v>
      </c>
      <c r="J4059" s="406">
        <v>9.1999999999999993</v>
      </c>
      <c r="K4059"/>
    </row>
    <row r="4060" spans="1:11" ht="15.6" thickBot="1" x14ac:dyDescent="0.35">
      <c r="A4060" s="405"/>
      <c r="B4060" s="405"/>
      <c r="C4060" s="405"/>
      <c r="D4060" s="405"/>
      <c r="E4060" s="405" t="s">
        <v>1049</v>
      </c>
      <c r="F4060" s="406">
        <v>0</v>
      </c>
      <c r="G4060" s="405"/>
      <c r="H4060" s="606"/>
      <c r="I4060" s="606" t="s">
        <v>1050</v>
      </c>
      <c r="J4060" s="406">
        <v>27.57</v>
      </c>
      <c r="K4060"/>
    </row>
    <row r="4061" spans="1:11" ht="15" customHeight="1" thickTop="1" x14ac:dyDescent="0.3">
      <c r="A4061" s="407"/>
      <c r="B4061" s="407"/>
      <c r="C4061" s="407"/>
      <c r="D4061" s="407"/>
      <c r="E4061" s="407"/>
      <c r="F4061" s="407"/>
      <c r="G4061" s="407"/>
      <c r="H4061" s="407"/>
      <c r="I4061" s="407"/>
      <c r="J4061" s="407"/>
      <c r="K4061" s="407"/>
    </row>
    <row r="4062" spans="1:11" ht="14.25" customHeight="1" x14ac:dyDescent="0.3">
      <c r="A4062" s="382" t="s">
        <v>2921</v>
      </c>
      <c r="B4062" s="312" t="s">
        <v>413</v>
      </c>
      <c r="C4062" s="382" t="s">
        <v>414</v>
      </c>
      <c r="D4062" s="382" t="s">
        <v>415</v>
      </c>
      <c r="E4062" s="586" t="s">
        <v>1029</v>
      </c>
      <c r="F4062" s="586"/>
      <c r="G4062" s="383" t="s">
        <v>416</v>
      </c>
      <c r="H4062" s="312" t="s">
        <v>1030</v>
      </c>
      <c r="I4062" s="312" t="s">
        <v>3016</v>
      </c>
      <c r="J4062" s="312" t="s">
        <v>1031</v>
      </c>
      <c r="K4062" s="312" t="s">
        <v>1032</v>
      </c>
    </row>
    <row r="4063" spans="1:11" ht="30" customHeight="1" x14ac:dyDescent="0.3">
      <c r="A4063" s="313" t="s">
        <v>1033</v>
      </c>
      <c r="B4063" s="315" t="s">
        <v>3914</v>
      </c>
      <c r="C4063" s="313" t="s">
        <v>395</v>
      </c>
      <c r="D4063" s="313" t="s">
        <v>6030</v>
      </c>
      <c r="E4063" s="603" t="s">
        <v>7808</v>
      </c>
      <c r="F4063" s="603"/>
      <c r="G4063" s="314" t="s">
        <v>4</v>
      </c>
      <c r="H4063" s="399">
        <v>1</v>
      </c>
      <c r="I4063" s="316"/>
      <c r="J4063" s="316">
        <v>53.79</v>
      </c>
      <c r="K4063" s="316">
        <v>53.79</v>
      </c>
    </row>
    <row r="4064" spans="1:11" ht="30" customHeight="1" x14ac:dyDescent="0.3">
      <c r="A4064" s="408" t="s">
        <v>1034</v>
      </c>
      <c r="B4064" s="409" t="s">
        <v>1113</v>
      </c>
      <c r="C4064" s="408" t="s">
        <v>395</v>
      </c>
      <c r="D4064" s="408" t="s">
        <v>129</v>
      </c>
      <c r="E4064" s="604" t="s">
        <v>7768</v>
      </c>
      <c r="F4064" s="604"/>
      <c r="G4064" s="410" t="s">
        <v>6</v>
      </c>
      <c r="H4064" s="412">
        <v>0.2</v>
      </c>
      <c r="I4064" s="412">
        <v>0</v>
      </c>
      <c r="J4064" s="411">
        <v>33.450000000000003</v>
      </c>
      <c r="K4064" s="411">
        <v>6.69</v>
      </c>
    </row>
    <row r="4065" spans="1:11" ht="26.4" x14ac:dyDescent="0.3">
      <c r="A4065" s="408" t="s">
        <v>1034</v>
      </c>
      <c r="B4065" s="409" t="s">
        <v>1112</v>
      </c>
      <c r="C4065" s="408" t="s">
        <v>395</v>
      </c>
      <c r="D4065" s="408" t="s">
        <v>137</v>
      </c>
      <c r="E4065" s="604" t="s">
        <v>7768</v>
      </c>
      <c r="F4065" s="604"/>
      <c r="G4065" s="410" t="s">
        <v>6</v>
      </c>
      <c r="H4065" s="412">
        <v>0.2</v>
      </c>
      <c r="I4065" s="412">
        <v>0</v>
      </c>
      <c r="J4065" s="411">
        <v>40.299999999999997</v>
      </c>
      <c r="K4065" s="411">
        <v>8.06</v>
      </c>
    </row>
    <row r="4066" spans="1:11" ht="25.5" customHeight="1" x14ac:dyDescent="0.3">
      <c r="A4066" s="400" t="s">
        <v>1038</v>
      </c>
      <c r="B4066" s="401" t="s">
        <v>2587</v>
      </c>
      <c r="C4066" s="400" t="s">
        <v>395</v>
      </c>
      <c r="D4066" s="400" t="s">
        <v>349</v>
      </c>
      <c r="E4066" s="605" t="s">
        <v>1039</v>
      </c>
      <c r="F4066" s="605"/>
      <c r="G4066" s="402" t="s">
        <v>4</v>
      </c>
      <c r="H4066" s="403">
        <v>3.1800000000000002E-2</v>
      </c>
      <c r="I4066" s="403">
        <v>0</v>
      </c>
      <c r="J4066" s="404">
        <v>79.17</v>
      </c>
      <c r="K4066" s="404">
        <v>2.5176059999999998</v>
      </c>
    </row>
    <row r="4067" spans="1:11" ht="25.5" customHeight="1" x14ac:dyDescent="0.3">
      <c r="A4067" s="400" t="s">
        <v>1038</v>
      </c>
      <c r="B4067" s="401" t="s">
        <v>4435</v>
      </c>
      <c r="C4067" s="400" t="s">
        <v>395</v>
      </c>
      <c r="D4067" s="400" t="s">
        <v>4436</v>
      </c>
      <c r="E4067" s="605" t="s">
        <v>1039</v>
      </c>
      <c r="F4067" s="605"/>
      <c r="G4067" s="402" t="s">
        <v>4</v>
      </c>
      <c r="H4067" s="403">
        <v>1</v>
      </c>
      <c r="I4067" s="403">
        <v>0</v>
      </c>
      <c r="J4067" s="404">
        <v>32.42</v>
      </c>
      <c r="K4067" s="404">
        <v>32.42</v>
      </c>
    </row>
    <row r="4068" spans="1:11" ht="25.5" customHeight="1" x14ac:dyDescent="0.3">
      <c r="A4068" s="400" t="s">
        <v>1038</v>
      </c>
      <c r="B4068" s="401" t="s">
        <v>2588</v>
      </c>
      <c r="C4068" s="400" t="s">
        <v>395</v>
      </c>
      <c r="D4068" s="400" t="s">
        <v>350</v>
      </c>
      <c r="E4068" s="605" t="s">
        <v>1039</v>
      </c>
      <c r="F4068" s="605"/>
      <c r="G4068" s="402" t="s">
        <v>4</v>
      </c>
      <c r="H4068" s="403">
        <v>4.4999999999999998E-2</v>
      </c>
      <c r="I4068" s="403">
        <v>0</v>
      </c>
      <c r="J4068" s="404">
        <v>89.7</v>
      </c>
      <c r="K4068" s="404">
        <v>4.0365000000000002</v>
      </c>
    </row>
    <row r="4069" spans="1:11" ht="15" x14ac:dyDescent="0.3">
      <c r="A4069" s="400" t="s">
        <v>1038</v>
      </c>
      <c r="B4069" s="401" t="s">
        <v>1372</v>
      </c>
      <c r="C4069" s="400" t="s">
        <v>395</v>
      </c>
      <c r="D4069" s="400" t="s">
        <v>266</v>
      </c>
      <c r="E4069" s="605" t="s">
        <v>1039</v>
      </c>
      <c r="F4069" s="605"/>
      <c r="G4069" s="402" t="s">
        <v>4</v>
      </c>
      <c r="H4069" s="403">
        <v>3.3300000000000003E-2</v>
      </c>
      <c r="I4069" s="403">
        <v>0</v>
      </c>
      <c r="J4069" s="404">
        <v>2.09</v>
      </c>
      <c r="K4069" s="404">
        <v>6.9597000000000006E-2</v>
      </c>
    </row>
    <row r="4070" spans="1:11" ht="17.399999999999999" customHeight="1" x14ac:dyDescent="0.3">
      <c r="A4070" s="405"/>
      <c r="B4070" s="405"/>
      <c r="C4070" s="405"/>
      <c r="D4070" s="405"/>
      <c r="E4070" s="405" t="s">
        <v>1046</v>
      </c>
      <c r="F4070" s="406">
        <v>10.86</v>
      </c>
      <c r="G4070" s="405" t="s">
        <v>1047</v>
      </c>
      <c r="H4070" s="406">
        <v>0.01</v>
      </c>
      <c r="I4070" s="405" t="s">
        <v>1048</v>
      </c>
      <c r="J4070" s="406">
        <v>10.87</v>
      </c>
      <c r="K4070"/>
    </row>
    <row r="4071" spans="1:11" ht="15.6" thickBot="1" x14ac:dyDescent="0.35">
      <c r="A4071" s="405"/>
      <c r="B4071" s="405"/>
      <c r="C4071" s="405"/>
      <c r="D4071" s="405"/>
      <c r="E4071" s="405" t="s">
        <v>1049</v>
      </c>
      <c r="F4071" s="406">
        <v>0</v>
      </c>
      <c r="G4071" s="405"/>
      <c r="H4071" s="606"/>
      <c r="I4071" s="606" t="s">
        <v>1050</v>
      </c>
      <c r="J4071" s="406">
        <v>53.79</v>
      </c>
      <c r="K4071"/>
    </row>
    <row r="4072" spans="1:11" ht="15" customHeight="1" thickTop="1" x14ac:dyDescent="0.3">
      <c r="A4072" s="407"/>
      <c r="B4072" s="407"/>
      <c r="C4072" s="407"/>
      <c r="D4072" s="407"/>
      <c r="E4072" s="407"/>
      <c r="F4072" s="407"/>
      <c r="G4072" s="407"/>
      <c r="H4072" s="407"/>
      <c r="I4072" s="407"/>
      <c r="J4072" s="407"/>
      <c r="K4072" s="407"/>
    </row>
    <row r="4073" spans="1:11" ht="15" x14ac:dyDescent="0.3">
      <c r="A4073" s="382" t="s">
        <v>2922</v>
      </c>
      <c r="B4073" s="312" t="s">
        <v>413</v>
      </c>
      <c r="C4073" s="382" t="s">
        <v>414</v>
      </c>
      <c r="D4073" s="382" t="s">
        <v>415</v>
      </c>
      <c r="E4073" s="586" t="s">
        <v>1029</v>
      </c>
      <c r="F4073" s="586"/>
      <c r="G4073" s="383" t="s">
        <v>416</v>
      </c>
      <c r="H4073" s="312" t="s">
        <v>1030</v>
      </c>
      <c r="I4073" s="312" t="s">
        <v>3016</v>
      </c>
      <c r="J4073" s="312" t="s">
        <v>1031</v>
      </c>
      <c r="K4073" s="312" t="s">
        <v>1032</v>
      </c>
    </row>
    <row r="4074" spans="1:11" ht="30" customHeight="1" x14ac:dyDescent="0.3">
      <c r="A4074" s="313" t="s">
        <v>1033</v>
      </c>
      <c r="B4074" s="315" t="s">
        <v>3915</v>
      </c>
      <c r="C4074" s="313" t="s">
        <v>395</v>
      </c>
      <c r="D4074" s="313" t="s">
        <v>6031</v>
      </c>
      <c r="E4074" s="603" t="s">
        <v>7808</v>
      </c>
      <c r="F4074" s="603"/>
      <c r="G4074" s="314" t="s">
        <v>4</v>
      </c>
      <c r="H4074" s="399">
        <v>1</v>
      </c>
      <c r="I4074" s="316"/>
      <c r="J4074" s="316">
        <v>88.17</v>
      </c>
      <c r="K4074" s="316">
        <v>88.17</v>
      </c>
    </row>
    <row r="4075" spans="1:11" ht="30" customHeight="1" x14ac:dyDescent="0.3">
      <c r="A4075" s="408" t="s">
        <v>1034</v>
      </c>
      <c r="B4075" s="409" t="s">
        <v>1113</v>
      </c>
      <c r="C4075" s="408" t="s">
        <v>395</v>
      </c>
      <c r="D4075" s="408" t="s">
        <v>129</v>
      </c>
      <c r="E4075" s="604" t="s">
        <v>7768</v>
      </c>
      <c r="F4075" s="604"/>
      <c r="G4075" s="410" t="s">
        <v>6</v>
      </c>
      <c r="H4075" s="412">
        <v>0.24590000000000001</v>
      </c>
      <c r="I4075" s="412">
        <v>0</v>
      </c>
      <c r="J4075" s="411">
        <v>33.450000000000003</v>
      </c>
      <c r="K4075" s="411">
        <v>8.2253550000000004</v>
      </c>
    </row>
    <row r="4076" spans="1:11" ht="25.5" customHeight="1" x14ac:dyDescent="0.3">
      <c r="A4076" s="408" t="s">
        <v>1034</v>
      </c>
      <c r="B4076" s="409" t="s">
        <v>1112</v>
      </c>
      <c r="C4076" s="408" t="s">
        <v>395</v>
      </c>
      <c r="D4076" s="408" t="s">
        <v>137</v>
      </c>
      <c r="E4076" s="604" t="s">
        <v>7768</v>
      </c>
      <c r="F4076" s="604"/>
      <c r="G4076" s="410" t="s">
        <v>6</v>
      </c>
      <c r="H4076" s="412">
        <v>0.24590000000000001</v>
      </c>
      <c r="I4076" s="412">
        <v>0</v>
      </c>
      <c r="J4076" s="411">
        <v>40.299999999999997</v>
      </c>
      <c r="K4076" s="411">
        <v>9.90977</v>
      </c>
    </row>
    <row r="4077" spans="1:11" ht="25.5" customHeight="1" x14ac:dyDescent="0.3">
      <c r="A4077" s="400" t="s">
        <v>1038</v>
      </c>
      <c r="B4077" s="401" t="s">
        <v>2587</v>
      </c>
      <c r="C4077" s="400" t="s">
        <v>395</v>
      </c>
      <c r="D4077" s="400" t="s">
        <v>349</v>
      </c>
      <c r="E4077" s="605" t="s">
        <v>1039</v>
      </c>
      <c r="F4077" s="605"/>
      <c r="G4077" s="402" t="s">
        <v>4</v>
      </c>
      <c r="H4077" s="403">
        <v>3.8800000000000001E-2</v>
      </c>
      <c r="I4077" s="403">
        <v>0</v>
      </c>
      <c r="J4077" s="404">
        <v>79.17</v>
      </c>
      <c r="K4077" s="404">
        <v>3.071796</v>
      </c>
    </row>
    <row r="4078" spans="1:11" ht="25.5" customHeight="1" x14ac:dyDescent="0.3">
      <c r="A4078" s="400" t="s">
        <v>1038</v>
      </c>
      <c r="B4078" s="401" t="s">
        <v>4289</v>
      </c>
      <c r="C4078" s="400" t="s">
        <v>395</v>
      </c>
      <c r="D4078" s="400" t="s">
        <v>4290</v>
      </c>
      <c r="E4078" s="605" t="s">
        <v>1039</v>
      </c>
      <c r="F4078" s="605"/>
      <c r="G4078" s="402" t="s">
        <v>4</v>
      </c>
      <c r="H4078" s="403">
        <v>1</v>
      </c>
      <c r="I4078" s="403">
        <v>0</v>
      </c>
      <c r="J4078" s="404">
        <v>60.15</v>
      </c>
      <c r="K4078" s="404">
        <v>60.15</v>
      </c>
    </row>
    <row r="4079" spans="1:11" ht="26.4" x14ac:dyDescent="0.3">
      <c r="A4079" s="400" t="s">
        <v>1038</v>
      </c>
      <c r="B4079" s="401" t="s">
        <v>2588</v>
      </c>
      <c r="C4079" s="400" t="s">
        <v>395</v>
      </c>
      <c r="D4079" s="400" t="s">
        <v>350</v>
      </c>
      <c r="E4079" s="605" t="s">
        <v>1039</v>
      </c>
      <c r="F4079" s="605"/>
      <c r="G4079" s="402" t="s">
        <v>4</v>
      </c>
      <c r="H4079" s="403">
        <v>7.4999999999999997E-2</v>
      </c>
      <c r="I4079" s="403">
        <v>0</v>
      </c>
      <c r="J4079" s="404">
        <v>89.7</v>
      </c>
      <c r="K4079" s="404">
        <v>6.7275</v>
      </c>
    </row>
    <row r="4080" spans="1:11" ht="15" x14ac:dyDescent="0.3">
      <c r="A4080" s="400" t="s">
        <v>1038</v>
      </c>
      <c r="B4080" s="401" t="s">
        <v>1372</v>
      </c>
      <c r="C4080" s="400" t="s">
        <v>395</v>
      </c>
      <c r="D4080" s="400" t="s">
        <v>266</v>
      </c>
      <c r="E4080" s="605" t="s">
        <v>1039</v>
      </c>
      <c r="F4080" s="605"/>
      <c r="G4080" s="402" t="s">
        <v>4</v>
      </c>
      <c r="H4080" s="403">
        <v>4.1300000000000003E-2</v>
      </c>
      <c r="I4080" s="403">
        <v>0</v>
      </c>
      <c r="J4080" s="404">
        <v>2.09</v>
      </c>
      <c r="K4080" s="404">
        <v>8.6317000000000005E-2</v>
      </c>
    </row>
    <row r="4081" spans="1:11" ht="17.399999999999999" customHeight="1" x14ac:dyDescent="0.3">
      <c r="A4081" s="405"/>
      <c r="B4081" s="405"/>
      <c r="C4081" s="405"/>
      <c r="D4081" s="405"/>
      <c r="E4081" s="405" t="s">
        <v>1046</v>
      </c>
      <c r="F4081" s="406">
        <v>13.35</v>
      </c>
      <c r="G4081" s="405" t="s">
        <v>1047</v>
      </c>
      <c r="H4081" s="406">
        <v>0.01</v>
      </c>
      <c r="I4081" s="405" t="s">
        <v>1048</v>
      </c>
      <c r="J4081" s="406">
        <v>13.36</v>
      </c>
      <c r="K4081"/>
    </row>
    <row r="4082" spans="1:11" ht="14.25" customHeight="1" thickBot="1" x14ac:dyDescent="0.35">
      <c r="A4082" s="405"/>
      <c r="B4082" s="405"/>
      <c r="C4082" s="405"/>
      <c r="D4082" s="405"/>
      <c r="E4082" s="405" t="s">
        <v>1049</v>
      </c>
      <c r="F4082" s="406">
        <v>0</v>
      </c>
      <c r="G4082" s="405"/>
      <c r="H4082" s="606"/>
      <c r="I4082" s="606" t="s">
        <v>1050</v>
      </c>
      <c r="J4082" s="406">
        <v>88.17</v>
      </c>
      <c r="K4082"/>
    </row>
    <row r="4083" spans="1:11" ht="15" customHeight="1" thickTop="1" x14ac:dyDescent="0.3">
      <c r="A4083" s="407"/>
      <c r="B4083" s="407"/>
      <c r="C4083" s="407"/>
      <c r="D4083" s="407"/>
      <c r="E4083" s="407"/>
      <c r="F4083" s="407"/>
      <c r="G4083" s="407"/>
      <c r="H4083" s="407"/>
      <c r="I4083" s="407"/>
      <c r="J4083" s="407"/>
      <c r="K4083" s="407"/>
    </row>
    <row r="4084" spans="1:11" ht="15" x14ac:dyDescent="0.3">
      <c r="A4084" s="382" t="s">
        <v>3007</v>
      </c>
      <c r="B4084" s="312" t="s">
        <v>413</v>
      </c>
      <c r="C4084" s="382" t="s">
        <v>414</v>
      </c>
      <c r="D4084" s="382" t="s">
        <v>415</v>
      </c>
      <c r="E4084" s="586" t="s">
        <v>1029</v>
      </c>
      <c r="F4084" s="586"/>
      <c r="G4084" s="383" t="s">
        <v>416</v>
      </c>
      <c r="H4084" s="312" t="s">
        <v>1030</v>
      </c>
      <c r="I4084" s="312" t="s">
        <v>3016</v>
      </c>
      <c r="J4084" s="312" t="s">
        <v>1031</v>
      </c>
      <c r="K4084" s="312" t="s">
        <v>1032</v>
      </c>
    </row>
    <row r="4085" spans="1:11" ht="30" customHeight="1" x14ac:dyDescent="0.3">
      <c r="A4085" s="313" t="s">
        <v>1033</v>
      </c>
      <c r="B4085" s="315" t="s">
        <v>3916</v>
      </c>
      <c r="C4085" s="313" t="s">
        <v>395</v>
      </c>
      <c r="D4085" s="313" t="s">
        <v>6032</v>
      </c>
      <c r="E4085" s="603" t="s">
        <v>7806</v>
      </c>
      <c r="F4085" s="603"/>
      <c r="G4085" s="314" t="s">
        <v>4</v>
      </c>
      <c r="H4085" s="399">
        <v>1</v>
      </c>
      <c r="I4085" s="316"/>
      <c r="J4085" s="316">
        <v>21.11</v>
      </c>
      <c r="K4085" s="316">
        <v>21.11</v>
      </c>
    </row>
    <row r="4086" spans="1:11" ht="25.5" customHeight="1" x14ac:dyDescent="0.3">
      <c r="A4086" s="408" t="s">
        <v>1034</v>
      </c>
      <c r="B4086" s="409" t="s">
        <v>1113</v>
      </c>
      <c r="C4086" s="408" t="s">
        <v>395</v>
      </c>
      <c r="D4086" s="408" t="s">
        <v>129</v>
      </c>
      <c r="E4086" s="604" t="s">
        <v>7768</v>
      </c>
      <c r="F4086" s="604"/>
      <c r="G4086" s="410" t="s">
        <v>6</v>
      </c>
      <c r="H4086" s="412">
        <v>0.1227</v>
      </c>
      <c r="I4086" s="412">
        <v>0</v>
      </c>
      <c r="J4086" s="411">
        <v>33.450000000000003</v>
      </c>
      <c r="K4086" s="411">
        <v>4.1043149999999997</v>
      </c>
    </row>
    <row r="4087" spans="1:11" ht="25.5" customHeight="1" x14ac:dyDescent="0.3">
      <c r="A4087" s="408" t="s">
        <v>1034</v>
      </c>
      <c r="B4087" s="409" t="s">
        <v>1112</v>
      </c>
      <c r="C4087" s="408" t="s">
        <v>395</v>
      </c>
      <c r="D4087" s="408" t="s">
        <v>137</v>
      </c>
      <c r="E4087" s="604" t="s">
        <v>7768</v>
      </c>
      <c r="F4087" s="604"/>
      <c r="G4087" s="410" t="s">
        <v>6</v>
      </c>
      <c r="H4087" s="412">
        <v>0.1227</v>
      </c>
      <c r="I4087" s="412">
        <v>0</v>
      </c>
      <c r="J4087" s="411">
        <v>40.299999999999997</v>
      </c>
      <c r="K4087" s="411">
        <v>4.9448100000000004</v>
      </c>
    </row>
    <row r="4088" spans="1:11" ht="25.5" customHeight="1" x14ac:dyDescent="0.3">
      <c r="A4088" s="400" t="s">
        <v>1038</v>
      </c>
      <c r="B4088" s="401" t="s">
        <v>2587</v>
      </c>
      <c r="C4088" s="400" t="s">
        <v>395</v>
      </c>
      <c r="D4088" s="400" t="s">
        <v>349</v>
      </c>
      <c r="E4088" s="605" t="s">
        <v>1039</v>
      </c>
      <c r="F4088" s="605"/>
      <c r="G4088" s="402" t="s">
        <v>4</v>
      </c>
      <c r="H4088" s="403">
        <v>1.5900000000000001E-2</v>
      </c>
      <c r="I4088" s="403">
        <v>0</v>
      </c>
      <c r="J4088" s="404">
        <v>79.17</v>
      </c>
      <c r="K4088" s="404">
        <v>1.2588029999999999</v>
      </c>
    </row>
    <row r="4089" spans="1:11" ht="26.4" x14ac:dyDescent="0.3">
      <c r="A4089" s="400" t="s">
        <v>1038</v>
      </c>
      <c r="B4089" s="401" t="s">
        <v>4548</v>
      </c>
      <c r="C4089" s="400" t="s">
        <v>395</v>
      </c>
      <c r="D4089" s="400" t="s">
        <v>4549</v>
      </c>
      <c r="E4089" s="605" t="s">
        <v>1039</v>
      </c>
      <c r="F4089" s="605"/>
      <c r="G4089" s="402" t="s">
        <v>4</v>
      </c>
      <c r="H4089" s="403">
        <v>1</v>
      </c>
      <c r="I4089" s="403">
        <v>0</v>
      </c>
      <c r="J4089" s="404">
        <v>9.08</v>
      </c>
      <c r="K4089" s="404">
        <v>9.08</v>
      </c>
    </row>
    <row r="4090" spans="1:11" ht="26.4" x14ac:dyDescent="0.3">
      <c r="A4090" s="400" t="s">
        <v>1038</v>
      </c>
      <c r="B4090" s="401" t="s">
        <v>2588</v>
      </c>
      <c r="C4090" s="400" t="s">
        <v>395</v>
      </c>
      <c r="D4090" s="400" t="s">
        <v>350</v>
      </c>
      <c r="E4090" s="605" t="s">
        <v>1039</v>
      </c>
      <c r="F4090" s="605"/>
      <c r="G4090" s="402" t="s">
        <v>4</v>
      </c>
      <c r="H4090" s="403">
        <v>1.8800000000000001E-2</v>
      </c>
      <c r="I4090" s="403">
        <v>0</v>
      </c>
      <c r="J4090" s="404">
        <v>89.7</v>
      </c>
      <c r="K4090" s="404">
        <v>1.6863600000000001</v>
      </c>
    </row>
    <row r="4091" spans="1:11" ht="15" x14ac:dyDescent="0.3">
      <c r="A4091" s="400" t="s">
        <v>1038</v>
      </c>
      <c r="B4091" s="401" t="s">
        <v>1372</v>
      </c>
      <c r="C4091" s="400" t="s">
        <v>395</v>
      </c>
      <c r="D4091" s="400" t="s">
        <v>266</v>
      </c>
      <c r="E4091" s="605" t="s">
        <v>1039</v>
      </c>
      <c r="F4091" s="605"/>
      <c r="G4091" s="402" t="s">
        <v>4</v>
      </c>
      <c r="H4091" s="403">
        <v>1.54E-2</v>
      </c>
      <c r="I4091" s="403">
        <v>0</v>
      </c>
      <c r="J4091" s="404">
        <v>2.09</v>
      </c>
      <c r="K4091" s="404">
        <v>3.2185999999999999E-2</v>
      </c>
    </row>
    <row r="4092" spans="1:11" ht="12.75" customHeight="1" x14ac:dyDescent="0.3">
      <c r="A4092" s="405"/>
      <c r="B4092" s="405"/>
      <c r="C4092" s="405"/>
      <c r="D4092" s="405"/>
      <c r="E4092" s="405" t="s">
        <v>1046</v>
      </c>
      <c r="F4092" s="406">
        <v>6.66</v>
      </c>
      <c r="G4092" s="405" t="s">
        <v>1047</v>
      </c>
      <c r="H4092" s="406">
        <v>0</v>
      </c>
      <c r="I4092" s="405" t="s">
        <v>1048</v>
      </c>
      <c r="J4092" s="406">
        <v>6.66</v>
      </c>
      <c r="K4092"/>
    </row>
    <row r="4093" spans="1:11" ht="15" customHeight="1" thickBot="1" x14ac:dyDescent="0.35">
      <c r="A4093" s="405"/>
      <c r="B4093" s="405"/>
      <c r="C4093" s="405"/>
      <c r="D4093" s="405"/>
      <c r="E4093" s="405" t="s">
        <v>1049</v>
      </c>
      <c r="F4093" s="406">
        <v>0</v>
      </c>
      <c r="G4093" s="405"/>
      <c r="H4093" s="606"/>
      <c r="I4093" s="606" t="s">
        <v>1050</v>
      </c>
      <c r="J4093" s="406">
        <v>21.11</v>
      </c>
      <c r="K4093"/>
    </row>
    <row r="4094" spans="1:11" ht="15.6" thickTop="1" x14ac:dyDescent="0.3">
      <c r="A4094" s="407"/>
      <c r="B4094" s="407"/>
      <c r="C4094" s="407"/>
      <c r="D4094" s="407"/>
      <c r="E4094" s="407"/>
      <c r="F4094" s="407"/>
      <c r="G4094" s="407"/>
      <c r="H4094" s="407"/>
      <c r="I4094" s="407"/>
      <c r="J4094" s="407"/>
      <c r="K4094" s="407"/>
    </row>
    <row r="4095" spans="1:11" ht="15" x14ac:dyDescent="0.3">
      <c r="A4095" s="382" t="s">
        <v>3010</v>
      </c>
      <c r="B4095" s="312" t="s">
        <v>413</v>
      </c>
      <c r="C4095" s="382" t="s">
        <v>414</v>
      </c>
      <c r="D4095" s="382" t="s">
        <v>415</v>
      </c>
      <c r="E4095" s="586" t="s">
        <v>1029</v>
      </c>
      <c r="F4095" s="586"/>
      <c r="G4095" s="383" t="s">
        <v>416</v>
      </c>
      <c r="H4095" s="312" t="s">
        <v>1030</v>
      </c>
      <c r="I4095" s="312" t="s">
        <v>3016</v>
      </c>
      <c r="J4095" s="312" t="s">
        <v>1031</v>
      </c>
      <c r="K4095" s="312" t="s">
        <v>1032</v>
      </c>
    </row>
    <row r="4096" spans="1:11" ht="14.25" customHeight="1" x14ac:dyDescent="0.3">
      <c r="A4096" s="313" t="s">
        <v>1033</v>
      </c>
      <c r="B4096" s="315" t="s">
        <v>3917</v>
      </c>
      <c r="C4096" s="313" t="s">
        <v>395</v>
      </c>
      <c r="D4096" s="313" t="s">
        <v>6033</v>
      </c>
      <c r="E4096" s="603" t="s">
        <v>7808</v>
      </c>
      <c r="F4096" s="603"/>
      <c r="G4096" s="314" t="s">
        <v>4</v>
      </c>
      <c r="H4096" s="399">
        <v>1</v>
      </c>
      <c r="I4096" s="316"/>
      <c r="J4096" s="316">
        <v>21.49</v>
      </c>
      <c r="K4096" s="316">
        <v>21.49</v>
      </c>
    </row>
    <row r="4097" spans="1:11" ht="25.5" customHeight="1" x14ac:dyDescent="0.3">
      <c r="A4097" s="408" t="s">
        <v>1034</v>
      </c>
      <c r="B4097" s="409" t="s">
        <v>1113</v>
      </c>
      <c r="C4097" s="408" t="s">
        <v>395</v>
      </c>
      <c r="D4097" s="408" t="s">
        <v>129</v>
      </c>
      <c r="E4097" s="604" t="s">
        <v>7768</v>
      </c>
      <c r="F4097" s="604"/>
      <c r="G4097" s="410" t="s">
        <v>6</v>
      </c>
      <c r="H4097" s="412">
        <v>0.12770000000000001</v>
      </c>
      <c r="I4097" s="412">
        <v>0</v>
      </c>
      <c r="J4097" s="411">
        <v>33.450000000000003</v>
      </c>
      <c r="K4097" s="411">
        <v>4.2715649999999998</v>
      </c>
    </row>
    <row r="4098" spans="1:11" ht="25.5" customHeight="1" x14ac:dyDescent="0.3">
      <c r="A4098" s="408" t="s">
        <v>1034</v>
      </c>
      <c r="B4098" s="409" t="s">
        <v>1112</v>
      </c>
      <c r="C4098" s="408" t="s">
        <v>395</v>
      </c>
      <c r="D4098" s="408" t="s">
        <v>137</v>
      </c>
      <c r="E4098" s="604" t="s">
        <v>7768</v>
      </c>
      <c r="F4098" s="604"/>
      <c r="G4098" s="410" t="s">
        <v>6</v>
      </c>
      <c r="H4098" s="412">
        <v>0.12770000000000001</v>
      </c>
      <c r="I4098" s="412">
        <v>0</v>
      </c>
      <c r="J4098" s="411">
        <v>40.299999999999997</v>
      </c>
      <c r="K4098" s="411">
        <v>5.1463099999999997</v>
      </c>
    </row>
    <row r="4099" spans="1:11" ht="15" x14ac:dyDescent="0.3">
      <c r="A4099" s="400" t="s">
        <v>1038</v>
      </c>
      <c r="B4099" s="401" t="s">
        <v>2587</v>
      </c>
      <c r="C4099" s="400" t="s">
        <v>395</v>
      </c>
      <c r="D4099" s="400" t="s">
        <v>349</v>
      </c>
      <c r="E4099" s="605" t="s">
        <v>1039</v>
      </c>
      <c r="F4099" s="605"/>
      <c r="G4099" s="402" t="s">
        <v>4</v>
      </c>
      <c r="H4099" s="403">
        <v>1.5900000000000001E-2</v>
      </c>
      <c r="I4099" s="403">
        <v>0</v>
      </c>
      <c r="J4099" s="404">
        <v>79.17</v>
      </c>
      <c r="K4099" s="404">
        <v>1.2588029999999999</v>
      </c>
    </row>
    <row r="4100" spans="1:11" ht="15" customHeight="1" x14ac:dyDescent="0.3">
      <c r="A4100" s="400" t="s">
        <v>1038</v>
      </c>
      <c r="B4100" s="401" t="s">
        <v>4548</v>
      </c>
      <c r="C4100" s="400" t="s">
        <v>395</v>
      </c>
      <c r="D4100" s="400" t="s">
        <v>4549</v>
      </c>
      <c r="E4100" s="605" t="s">
        <v>1039</v>
      </c>
      <c r="F4100" s="605"/>
      <c r="G4100" s="402" t="s">
        <v>4</v>
      </c>
      <c r="H4100" s="403">
        <v>1</v>
      </c>
      <c r="I4100" s="403">
        <v>0</v>
      </c>
      <c r="J4100" s="404">
        <v>9.08</v>
      </c>
      <c r="K4100" s="404">
        <v>9.08</v>
      </c>
    </row>
    <row r="4101" spans="1:11" ht="25.5" customHeight="1" x14ac:dyDescent="0.3">
      <c r="A4101" s="400" t="s">
        <v>1038</v>
      </c>
      <c r="B4101" s="401" t="s">
        <v>2588</v>
      </c>
      <c r="C4101" s="400" t="s">
        <v>395</v>
      </c>
      <c r="D4101" s="400" t="s">
        <v>350</v>
      </c>
      <c r="E4101" s="605" t="s">
        <v>1039</v>
      </c>
      <c r="F4101" s="605"/>
      <c r="G4101" s="402" t="s">
        <v>4</v>
      </c>
      <c r="H4101" s="403">
        <v>1.8800000000000001E-2</v>
      </c>
      <c r="I4101" s="403">
        <v>0</v>
      </c>
      <c r="J4101" s="404">
        <v>89.7</v>
      </c>
      <c r="K4101" s="404">
        <v>1.6863600000000001</v>
      </c>
    </row>
    <row r="4102" spans="1:11" ht="25.5" customHeight="1" x14ac:dyDescent="0.3">
      <c r="A4102" s="400" t="s">
        <v>1038</v>
      </c>
      <c r="B4102" s="401" t="s">
        <v>1372</v>
      </c>
      <c r="C4102" s="400" t="s">
        <v>395</v>
      </c>
      <c r="D4102" s="400" t="s">
        <v>266</v>
      </c>
      <c r="E4102" s="605" t="s">
        <v>1039</v>
      </c>
      <c r="F4102" s="605"/>
      <c r="G4102" s="402" t="s">
        <v>4</v>
      </c>
      <c r="H4102" s="403">
        <v>2.23E-2</v>
      </c>
      <c r="I4102" s="403">
        <v>0</v>
      </c>
      <c r="J4102" s="404">
        <v>2.09</v>
      </c>
      <c r="K4102" s="404">
        <v>4.6607000000000003E-2</v>
      </c>
    </row>
    <row r="4103" spans="1:11" ht="15" x14ac:dyDescent="0.3">
      <c r="A4103" s="405"/>
      <c r="B4103" s="405"/>
      <c r="C4103" s="405"/>
      <c r="D4103" s="405"/>
      <c r="E4103" s="405" t="s">
        <v>1046</v>
      </c>
      <c r="F4103" s="406">
        <v>6.94</v>
      </c>
      <c r="G4103" s="405" t="s">
        <v>1047</v>
      </c>
      <c r="H4103" s="406">
        <v>0</v>
      </c>
      <c r="I4103" s="405" t="s">
        <v>1048</v>
      </c>
      <c r="J4103" s="406">
        <v>6.94</v>
      </c>
      <c r="K4103"/>
    </row>
    <row r="4104" spans="1:11" ht="25.5" customHeight="1" thickBot="1" x14ac:dyDescent="0.35">
      <c r="A4104" s="405"/>
      <c r="B4104" s="405"/>
      <c r="C4104" s="405"/>
      <c r="D4104" s="405"/>
      <c r="E4104" s="405" t="s">
        <v>1049</v>
      </c>
      <c r="F4104" s="406">
        <v>0</v>
      </c>
      <c r="G4104" s="405"/>
      <c r="H4104" s="606"/>
      <c r="I4104" s="606" t="s">
        <v>1050</v>
      </c>
      <c r="J4104" s="406">
        <v>21.49</v>
      </c>
      <c r="K4104"/>
    </row>
    <row r="4105" spans="1:11" ht="25.5" customHeight="1" thickTop="1" x14ac:dyDescent="0.3">
      <c r="A4105" s="407"/>
      <c r="B4105" s="407"/>
      <c r="C4105" s="407"/>
      <c r="D4105" s="407"/>
      <c r="E4105" s="407"/>
      <c r="F4105" s="407"/>
      <c r="G4105" s="407"/>
      <c r="H4105" s="407"/>
      <c r="I4105" s="407"/>
      <c r="J4105" s="407"/>
      <c r="K4105" s="407"/>
    </row>
    <row r="4106" spans="1:11" ht="25.5" customHeight="1" x14ac:dyDescent="0.3">
      <c r="A4106" s="382" t="s">
        <v>2138</v>
      </c>
      <c r="B4106" s="312" t="s">
        <v>413</v>
      </c>
      <c r="C4106" s="382" t="s">
        <v>414</v>
      </c>
      <c r="D4106" s="382" t="s">
        <v>415</v>
      </c>
      <c r="E4106" s="586" t="s">
        <v>1029</v>
      </c>
      <c r="F4106" s="586"/>
      <c r="G4106" s="383" t="s">
        <v>416</v>
      </c>
      <c r="H4106" s="312" t="s">
        <v>1030</v>
      </c>
      <c r="I4106" s="312" t="s">
        <v>3016</v>
      </c>
      <c r="J4106" s="312" t="s">
        <v>1031</v>
      </c>
      <c r="K4106" s="312" t="s">
        <v>1032</v>
      </c>
    </row>
    <row r="4107" spans="1:11" ht="25.5" customHeight="1" x14ac:dyDescent="0.3">
      <c r="A4107" s="313" t="s">
        <v>1033</v>
      </c>
      <c r="B4107" s="315" t="s">
        <v>3918</v>
      </c>
      <c r="C4107" s="313" t="s">
        <v>395</v>
      </c>
      <c r="D4107" s="313" t="s">
        <v>6034</v>
      </c>
      <c r="E4107" s="603" t="s">
        <v>7808</v>
      </c>
      <c r="F4107" s="603"/>
      <c r="G4107" s="314" t="s">
        <v>4</v>
      </c>
      <c r="H4107" s="399">
        <v>1</v>
      </c>
      <c r="I4107" s="316"/>
      <c r="J4107" s="316">
        <v>23.84</v>
      </c>
      <c r="K4107" s="316">
        <v>23.84</v>
      </c>
    </row>
    <row r="4108" spans="1:11" ht="25.5" customHeight="1" x14ac:dyDescent="0.3">
      <c r="A4108" s="408" t="s">
        <v>1034</v>
      </c>
      <c r="B4108" s="409" t="s">
        <v>1113</v>
      </c>
      <c r="C4108" s="408" t="s">
        <v>395</v>
      </c>
      <c r="D4108" s="408" t="s">
        <v>129</v>
      </c>
      <c r="E4108" s="604" t="s">
        <v>7768</v>
      </c>
      <c r="F4108" s="604"/>
      <c r="G4108" s="410" t="s">
        <v>6</v>
      </c>
      <c r="H4108" s="412">
        <v>0.1318</v>
      </c>
      <c r="I4108" s="412">
        <v>0</v>
      </c>
      <c r="J4108" s="411">
        <v>33.450000000000003</v>
      </c>
      <c r="K4108" s="411">
        <v>4.4087100000000001</v>
      </c>
    </row>
    <row r="4109" spans="1:11" ht="15" customHeight="1" x14ac:dyDescent="0.3">
      <c r="A4109" s="408" t="s">
        <v>1034</v>
      </c>
      <c r="B4109" s="409" t="s">
        <v>1112</v>
      </c>
      <c r="C4109" s="408" t="s">
        <v>395</v>
      </c>
      <c r="D4109" s="408" t="s">
        <v>137</v>
      </c>
      <c r="E4109" s="604" t="s">
        <v>7768</v>
      </c>
      <c r="F4109" s="604"/>
      <c r="G4109" s="410" t="s">
        <v>6</v>
      </c>
      <c r="H4109" s="412">
        <v>0.1318</v>
      </c>
      <c r="I4109" s="412">
        <v>0</v>
      </c>
      <c r="J4109" s="411">
        <v>40.299999999999997</v>
      </c>
      <c r="K4109" s="411">
        <v>5.3115399999999999</v>
      </c>
    </row>
    <row r="4110" spans="1:11" ht="25.5" customHeight="1" x14ac:dyDescent="0.3">
      <c r="A4110" s="400" t="s">
        <v>1038</v>
      </c>
      <c r="B4110" s="401" t="s">
        <v>2587</v>
      </c>
      <c r="C4110" s="400" t="s">
        <v>395</v>
      </c>
      <c r="D4110" s="400" t="s">
        <v>349</v>
      </c>
      <c r="E4110" s="605" t="s">
        <v>1039</v>
      </c>
      <c r="F4110" s="605"/>
      <c r="G4110" s="402" t="s">
        <v>4</v>
      </c>
      <c r="H4110" s="403">
        <v>1.7600000000000001E-2</v>
      </c>
      <c r="I4110" s="403">
        <v>0</v>
      </c>
      <c r="J4110" s="404">
        <v>79.17</v>
      </c>
      <c r="K4110" s="404">
        <v>1.393392</v>
      </c>
    </row>
    <row r="4111" spans="1:11" ht="26.4" x14ac:dyDescent="0.3">
      <c r="A4111" s="400" t="s">
        <v>1038</v>
      </c>
      <c r="B4111" s="401" t="s">
        <v>4709</v>
      </c>
      <c r="C4111" s="400" t="s">
        <v>395</v>
      </c>
      <c r="D4111" s="400" t="s">
        <v>282</v>
      </c>
      <c r="E4111" s="605" t="s">
        <v>1039</v>
      </c>
      <c r="F4111" s="605"/>
      <c r="G4111" s="402" t="s">
        <v>4</v>
      </c>
      <c r="H4111" s="403">
        <v>1</v>
      </c>
      <c r="I4111" s="403">
        <v>0</v>
      </c>
      <c r="J4111" s="404">
        <v>10.66</v>
      </c>
      <c r="K4111" s="404">
        <v>10.66</v>
      </c>
    </row>
    <row r="4112" spans="1:11" ht="12.75" customHeight="1" x14ac:dyDescent="0.3">
      <c r="A4112" s="400" t="s">
        <v>1038</v>
      </c>
      <c r="B4112" s="401" t="s">
        <v>2588</v>
      </c>
      <c r="C4112" s="400" t="s">
        <v>395</v>
      </c>
      <c r="D4112" s="400" t="s">
        <v>350</v>
      </c>
      <c r="E4112" s="605" t="s">
        <v>1039</v>
      </c>
      <c r="F4112" s="605"/>
      <c r="G4112" s="402" t="s">
        <v>4</v>
      </c>
      <c r="H4112" s="403">
        <v>2.2499999999999999E-2</v>
      </c>
      <c r="I4112" s="403">
        <v>0</v>
      </c>
      <c r="J4112" s="404">
        <v>89.7</v>
      </c>
      <c r="K4112" s="404">
        <v>2.0182500000000001</v>
      </c>
    </row>
    <row r="4113" spans="1:11" ht="15" customHeight="1" x14ac:dyDescent="0.3">
      <c r="A4113" s="400" t="s">
        <v>1038</v>
      </c>
      <c r="B4113" s="401" t="s">
        <v>1372</v>
      </c>
      <c r="C4113" s="400" t="s">
        <v>395</v>
      </c>
      <c r="D4113" s="400" t="s">
        <v>266</v>
      </c>
      <c r="E4113" s="605" t="s">
        <v>1039</v>
      </c>
      <c r="F4113" s="605"/>
      <c r="G4113" s="402" t="s">
        <v>4</v>
      </c>
      <c r="H4113" s="403">
        <v>2.4400000000000002E-2</v>
      </c>
      <c r="I4113" s="403">
        <v>0</v>
      </c>
      <c r="J4113" s="404">
        <v>2.09</v>
      </c>
      <c r="K4113" s="404">
        <v>5.0996E-2</v>
      </c>
    </row>
    <row r="4114" spans="1:11" ht="17.399999999999999" customHeight="1" x14ac:dyDescent="0.3">
      <c r="A4114" s="405"/>
      <c r="B4114" s="405"/>
      <c r="C4114" s="405"/>
      <c r="D4114" s="405"/>
      <c r="E4114" s="405" t="s">
        <v>1046</v>
      </c>
      <c r="F4114" s="406">
        <v>7.16</v>
      </c>
      <c r="G4114" s="405" t="s">
        <v>1047</v>
      </c>
      <c r="H4114" s="406">
        <v>0</v>
      </c>
      <c r="I4114" s="405" t="s">
        <v>1048</v>
      </c>
      <c r="J4114" s="406">
        <v>7.16</v>
      </c>
      <c r="K4114"/>
    </row>
    <row r="4115" spans="1:11" ht="14.25" customHeight="1" thickBot="1" x14ac:dyDescent="0.35">
      <c r="A4115" s="405"/>
      <c r="B4115" s="405"/>
      <c r="C4115" s="405"/>
      <c r="D4115" s="405"/>
      <c r="E4115" s="405" t="s">
        <v>1049</v>
      </c>
      <c r="F4115" s="406">
        <v>0</v>
      </c>
      <c r="G4115" s="405"/>
      <c r="H4115" s="606"/>
      <c r="I4115" s="606" t="s">
        <v>1050</v>
      </c>
      <c r="J4115" s="406">
        <v>23.84</v>
      </c>
      <c r="K4115"/>
    </row>
    <row r="4116" spans="1:11" ht="15.6" thickTop="1" x14ac:dyDescent="0.3">
      <c r="A4116" s="407"/>
      <c r="B4116" s="407"/>
      <c r="C4116" s="407"/>
      <c r="D4116" s="407"/>
      <c r="E4116" s="407"/>
      <c r="F4116" s="407"/>
      <c r="G4116" s="407"/>
      <c r="H4116" s="407"/>
      <c r="I4116" s="407"/>
      <c r="J4116" s="407"/>
      <c r="K4116" s="407"/>
    </row>
    <row r="4117" spans="1:11" ht="30" customHeight="1" x14ac:dyDescent="0.3">
      <c r="A4117" s="382" t="s">
        <v>2139</v>
      </c>
      <c r="B4117" s="312" t="s">
        <v>413</v>
      </c>
      <c r="C4117" s="382" t="s">
        <v>414</v>
      </c>
      <c r="D4117" s="382" t="s">
        <v>415</v>
      </c>
      <c r="E4117" s="586" t="s">
        <v>1029</v>
      </c>
      <c r="F4117" s="586"/>
      <c r="G4117" s="383" t="s">
        <v>416</v>
      </c>
      <c r="H4117" s="312" t="s">
        <v>1030</v>
      </c>
      <c r="I4117" s="312" t="s">
        <v>3016</v>
      </c>
      <c r="J4117" s="312" t="s">
        <v>1031</v>
      </c>
      <c r="K4117" s="312" t="s">
        <v>1032</v>
      </c>
    </row>
    <row r="4118" spans="1:11" ht="26.4" x14ac:dyDescent="0.3">
      <c r="A4118" s="313" t="s">
        <v>1033</v>
      </c>
      <c r="B4118" s="315" t="s">
        <v>2246</v>
      </c>
      <c r="C4118" s="313" t="s">
        <v>575</v>
      </c>
      <c r="D4118" s="313" t="s">
        <v>2092</v>
      </c>
      <c r="E4118" s="603" t="s">
        <v>1319</v>
      </c>
      <c r="F4118" s="603"/>
      <c r="G4118" s="314" t="s">
        <v>4</v>
      </c>
      <c r="H4118" s="399">
        <v>1</v>
      </c>
      <c r="I4118" s="316"/>
      <c r="J4118" s="316">
        <v>32.61</v>
      </c>
      <c r="K4118" s="316">
        <v>32.61</v>
      </c>
    </row>
    <row r="4119" spans="1:11" ht="25.5" customHeight="1" x14ac:dyDescent="0.3">
      <c r="A4119" s="408" t="s">
        <v>1034</v>
      </c>
      <c r="B4119" s="409" t="s">
        <v>1113</v>
      </c>
      <c r="C4119" s="408" t="s">
        <v>395</v>
      </c>
      <c r="D4119" s="408" t="s">
        <v>129</v>
      </c>
      <c r="E4119" s="604" t="s">
        <v>7768</v>
      </c>
      <c r="F4119" s="604"/>
      <c r="G4119" s="410" t="s">
        <v>6</v>
      </c>
      <c r="H4119" s="412">
        <v>0.14399999999999999</v>
      </c>
      <c r="I4119" s="412">
        <v>0</v>
      </c>
      <c r="J4119" s="411">
        <v>33.450000000000003</v>
      </c>
      <c r="K4119" s="411">
        <v>4.8167999999999997</v>
      </c>
    </row>
    <row r="4120" spans="1:11" ht="25.5" customHeight="1" x14ac:dyDescent="0.3">
      <c r="A4120" s="408" t="s">
        <v>1034</v>
      </c>
      <c r="B4120" s="409" t="s">
        <v>1112</v>
      </c>
      <c r="C4120" s="408" t="s">
        <v>395</v>
      </c>
      <c r="D4120" s="408" t="s">
        <v>137</v>
      </c>
      <c r="E4120" s="604" t="s">
        <v>7768</v>
      </c>
      <c r="F4120" s="604"/>
      <c r="G4120" s="410" t="s">
        <v>6</v>
      </c>
      <c r="H4120" s="412">
        <v>0.14399999999999999</v>
      </c>
      <c r="I4120" s="412">
        <v>0</v>
      </c>
      <c r="J4120" s="411">
        <v>40.299999999999997</v>
      </c>
      <c r="K4120" s="411">
        <v>5.8032000000000004</v>
      </c>
    </row>
    <row r="4121" spans="1:11" ht="25.5" customHeight="1" x14ac:dyDescent="0.3">
      <c r="A4121" s="400" t="s">
        <v>1038</v>
      </c>
      <c r="B4121" s="401" t="s">
        <v>2587</v>
      </c>
      <c r="C4121" s="400" t="s">
        <v>395</v>
      </c>
      <c r="D4121" s="400" t="s">
        <v>349</v>
      </c>
      <c r="E4121" s="605" t="s">
        <v>1039</v>
      </c>
      <c r="F4121" s="605"/>
      <c r="G4121" s="402" t="s">
        <v>4</v>
      </c>
      <c r="H4121" s="403">
        <v>2.5999999999999999E-2</v>
      </c>
      <c r="I4121" s="403">
        <v>0</v>
      </c>
      <c r="J4121" s="404">
        <v>79.17</v>
      </c>
      <c r="K4121" s="404">
        <v>2.0584199999999999</v>
      </c>
    </row>
    <row r="4122" spans="1:11" ht="15" customHeight="1" x14ac:dyDescent="0.3">
      <c r="A4122" s="400" t="s">
        <v>1038</v>
      </c>
      <c r="B4122" s="401" t="s">
        <v>2588</v>
      </c>
      <c r="C4122" s="400" t="s">
        <v>395</v>
      </c>
      <c r="D4122" s="400" t="s">
        <v>350</v>
      </c>
      <c r="E4122" s="605" t="s">
        <v>1039</v>
      </c>
      <c r="F4122" s="605"/>
      <c r="G4122" s="402" t="s">
        <v>4</v>
      </c>
      <c r="H4122" s="403">
        <v>3.3000000000000002E-2</v>
      </c>
      <c r="I4122" s="403">
        <v>0</v>
      </c>
      <c r="J4122" s="404">
        <v>89.7</v>
      </c>
      <c r="K4122" s="404">
        <v>2.9601000000000002</v>
      </c>
    </row>
    <row r="4123" spans="1:11" ht="15" x14ac:dyDescent="0.3">
      <c r="A4123" s="400" t="s">
        <v>1038</v>
      </c>
      <c r="B4123" s="401" t="s">
        <v>1372</v>
      </c>
      <c r="C4123" s="400" t="s">
        <v>395</v>
      </c>
      <c r="D4123" s="400" t="s">
        <v>266</v>
      </c>
      <c r="E4123" s="605" t="s">
        <v>1039</v>
      </c>
      <c r="F4123" s="605"/>
      <c r="G4123" s="402" t="s">
        <v>4</v>
      </c>
      <c r="H4123" s="403">
        <v>3.5999999999999997E-2</v>
      </c>
      <c r="I4123" s="403">
        <v>0</v>
      </c>
      <c r="J4123" s="404">
        <v>2.09</v>
      </c>
      <c r="K4123" s="404">
        <v>7.5240000000000001E-2</v>
      </c>
    </row>
    <row r="4124" spans="1:11" ht="17.399999999999999" customHeight="1" x14ac:dyDescent="0.3">
      <c r="A4124" s="400" t="s">
        <v>1038</v>
      </c>
      <c r="B4124" s="401" t="s">
        <v>2589</v>
      </c>
      <c r="C4124" s="400" t="s">
        <v>575</v>
      </c>
      <c r="D4124" s="400" t="s">
        <v>282</v>
      </c>
      <c r="E4124" s="605" t="s">
        <v>1039</v>
      </c>
      <c r="F4124" s="605"/>
      <c r="G4124" s="402" t="s">
        <v>422</v>
      </c>
      <c r="H4124" s="403">
        <v>1</v>
      </c>
      <c r="I4124" s="403">
        <v>0</v>
      </c>
      <c r="J4124" s="404">
        <v>16.899999999999999</v>
      </c>
      <c r="K4124" s="404">
        <v>16.899999999999999</v>
      </c>
    </row>
    <row r="4125" spans="1:11" ht="14.25" customHeight="1" x14ac:dyDescent="0.3">
      <c r="A4125" s="405"/>
      <c r="B4125" s="405"/>
      <c r="C4125" s="405"/>
      <c r="D4125" s="405"/>
      <c r="E4125" s="405" t="s">
        <v>1046</v>
      </c>
      <c r="F4125" s="406">
        <v>7.82</v>
      </c>
      <c r="G4125" s="405" t="s">
        <v>1047</v>
      </c>
      <c r="H4125" s="406">
        <v>0</v>
      </c>
      <c r="I4125" s="405" t="s">
        <v>1048</v>
      </c>
      <c r="J4125" s="406">
        <v>7.82</v>
      </c>
      <c r="K4125"/>
    </row>
    <row r="4126" spans="1:11" ht="15" customHeight="1" thickBot="1" x14ac:dyDescent="0.35">
      <c r="A4126" s="405"/>
      <c r="B4126" s="405"/>
      <c r="C4126" s="405"/>
      <c r="D4126" s="405"/>
      <c r="E4126" s="405" t="s">
        <v>1049</v>
      </c>
      <c r="F4126" s="406">
        <v>0</v>
      </c>
      <c r="G4126" s="405"/>
      <c r="H4126" s="606"/>
      <c r="I4126" s="606" t="s">
        <v>1050</v>
      </c>
      <c r="J4126" s="406">
        <v>32.61</v>
      </c>
      <c r="K4126"/>
    </row>
    <row r="4127" spans="1:11" ht="15" customHeight="1" thickTop="1" x14ac:dyDescent="0.3">
      <c r="A4127" s="407"/>
      <c r="B4127" s="407"/>
      <c r="C4127" s="407"/>
      <c r="D4127" s="407"/>
      <c r="E4127" s="407"/>
      <c r="F4127" s="407"/>
      <c r="G4127" s="407"/>
      <c r="H4127" s="407"/>
      <c r="I4127" s="407"/>
      <c r="J4127" s="407"/>
      <c r="K4127" s="407"/>
    </row>
    <row r="4128" spans="1:11" ht="25.5" customHeight="1" x14ac:dyDescent="0.3">
      <c r="A4128" s="382" t="s">
        <v>2140</v>
      </c>
      <c r="B4128" s="312" t="s">
        <v>413</v>
      </c>
      <c r="C4128" s="382" t="s">
        <v>414</v>
      </c>
      <c r="D4128" s="382" t="s">
        <v>415</v>
      </c>
      <c r="E4128" s="586" t="s">
        <v>1029</v>
      </c>
      <c r="F4128" s="586"/>
      <c r="G4128" s="383" t="s">
        <v>416</v>
      </c>
      <c r="H4128" s="312" t="s">
        <v>1030</v>
      </c>
      <c r="I4128" s="312" t="s">
        <v>3016</v>
      </c>
      <c r="J4128" s="312" t="s">
        <v>1031</v>
      </c>
      <c r="K4128" s="312" t="s">
        <v>1032</v>
      </c>
    </row>
    <row r="4129" spans="1:11" ht="25.5" customHeight="1" x14ac:dyDescent="0.3">
      <c r="A4129" s="313" t="s">
        <v>1033</v>
      </c>
      <c r="B4129" s="315" t="s">
        <v>3919</v>
      </c>
      <c r="C4129" s="313" t="s">
        <v>395</v>
      </c>
      <c r="D4129" s="313" t="s">
        <v>6035</v>
      </c>
      <c r="E4129" s="603" t="s">
        <v>7808</v>
      </c>
      <c r="F4129" s="603"/>
      <c r="G4129" s="314" t="s">
        <v>4</v>
      </c>
      <c r="H4129" s="399">
        <v>1</v>
      </c>
      <c r="I4129" s="316"/>
      <c r="J4129" s="316">
        <v>34.520000000000003</v>
      </c>
      <c r="K4129" s="316">
        <v>34.520000000000003</v>
      </c>
    </row>
    <row r="4130" spans="1:11" ht="25.5" customHeight="1" x14ac:dyDescent="0.3">
      <c r="A4130" s="408" t="s">
        <v>1034</v>
      </c>
      <c r="B4130" s="409" t="s">
        <v>1113</v>
      </c>
      <c r="C4130" s="408" t="s">
        <v>395</v>
      </c>
      <c r="D4130" s="408" t="s">
        <v>129</v>
      </c>
      <c r="E4130" s="604" t="s">
        <v>7768</v>
      </c>
      <c r="F4130" s="604"/>
      <c r="G4130" s="410" t="s">
        <v>6</v>
      </c>
      <c r="H4130" s="412">
        <v>0.1547</v>
      </c>
      <c r="I4130" s="412">
        <v>0</v>
      </c>
      <c r="J4130" s="411">
        <v>33.450000000000003</v>
      </c>
      <c r="K4130" s="411">
        <v>5.174715</v>
      </c>
    </row>
    <row r="4131" spans="1:11" ht="15" customHeight="1" x14ac:dyDescent="0.3">
      <c r="A4131" s="408" t="s">
        <v>1034</v>
      </c>
      <c r="B4131" s="409" t="s">
        <v>1112</v>
      </c>
      <c r="C4131" s="408" t="s">
        <v>395</v>
      </c>
      <c r="D4131" s="408" t="s">
        <v>137</v>
      </c>
      <c r="E4131" s="604" t="s">
        <v>7768</v>
      </c>
      <c r="F4131" s="604"/>
      <c r="G4131" s="410" t="s">
        <v>6</v>
      </c>
      <c r="H4131" s="412">
        <v>0.1547</v>
      </c>
      <c r="I4131" s="412">
        <v>0</v>
      </c>
      <c r="J4131" s="411">
        <v>40.299999999999997</v>
      </c>
      <c r="K4131" s="411">
        <v>6.2344099999999996</v>
      </c>
    </row>
    <row r="4132" spans="1:11" ht="25.5" customHeight="1" x14ac:dyDescent="0.3">
      <c r="A4132" s="400" t="s">
        <v>1038</v>
      </c>
      <c r="B4132" s="401" t="s">
        <v>2587</v>
      </c>
      <c r="C4132" s="400" t="s">
        <v>395</v>
      </c>
      <c r="D4132" s="400" t="s">
        <v>349</v>
      </c>
      <c r="E4132" s="605" t="s">
        <v>1039</v>
      </c>
      <c r="F4132" s="605"/>
      <c r="G4132" s="402" t="s">
        <v>4</v>
      </c>
      <c r="H4132" s="403">
        <v>2.12E-2</v>
      </c>
      <c r="I4132" s="403">
        <v>0</v>
      </c>
      <c r="J4132" s="404">
        <v>79.17</v>
      </c>
      <c r="K4132" s="404">
        <v>1.678404</v>
      </c>
    </row>
    <row r="4133" spans="1:11" ht="26.4" x14ac:dyDescent="0.3">
      <c r="A4133" s="400" t="s">
        <v>1038</v>
      </c>
      <c r="B4133" s="401" t="s">
        <v>4591</v>
      </c>
      <c r="C4133" s="400" t="s">
        <v>395</v>
      </c>
      <c r="D4133" s="400" t="s">
        <v>4592</v>
      </c>
      <c r="E4133" s="605" t="s">
        <v>1039</v>
      </c>
      <c r="F4133" s="605"/>
      <c r="G4133" s="402" t="s">
        <v>4</v>
      </c>
      <c r="H4133" s="403">
        <v>1</v>
      </c>
      <c r="I4133" s="403">
        <v>0</v>
      </c>
      <c r="J4133" s="404">
        <v>18.95</v>
      </c>
      <c r="K4133" s="404">
        <v>18.95</v>
      </c>
    </row>
    <row r="4134" spans="1:11" ht="26.4" x14ac:dyDescent="0.3">
      <c r="A4134" s="400" t="s">
        <v>1038</v>
      </c>
      <c r="B4134" s="401" t="s">
        <v>2588</v>
      </c>
      <c r="C4134" s="400" t="s">
        <v>395</v>
      </c>
      <c r="D4134" s="400" t="s">
        <v>350</v>
      </c>
      <c r="E4134" s="605" t="s">
        <v>1039</v>
      </c>
      <c r="F4134" s="605"/>
      <c r="G4134" s="402" t="s">
        <v>4</v>
      </c>
      <c r="H4134" s="403">
        <v>2.7E-2</v>
      </c>
      <c r="I4134" s="403">
        <v>0</v>
      </c>
      <c r="J4134" s="404">
        <v>89.7</v>
      </c>
      <c r="K4134" s="404">
        <v>2.4218999999999999</v>
      </c>
    </row>
    <row r="4135" spans="1:11" ht="15" customHeight="1" x14ac:dyDescent="0.3">
      <c r="A4135" s="400" t="s">
        <v>1038</v>
      </c>
      <c r="B4135" s="401" t="s">
        <v>1372</v>
      </c>
      <c r="C4135" s="400" t="s">
        <v>395</v>
      </c>
      <c r="D4135" s="400" t="s">
        <v>266</v>
      </c>
      <c r="E4135" s="605" t="s">
        <v>1039</v>
      </c>
      <c r="F4135" s="605"/>
      <c r="G4135" s="402" t="s">
        <v>4</v>
      </c>
      <c r="H4135" s="403">
        <v>2.69E-2</v>
      </c>
      <c r="I4135" s="403">
        <v>0</v>
      </c>
      <c r="J4135" s="404">
        <v>2.09</v>
      </c>
      <c r="K4135" s="404">
        <v>5.6221E-2</v>
      </c>
    </row>
    <row r="4136" spans="1:11" ht="14.25" customHeight="1" x14ac:dyDescent="0.3">
      <c r="A4136" s="405"/>
      <c r="B4136" s="405"/>
      <c r="C4136" s="405"/>
      <c r="D4136" s="405"/>
      <c r="E4136" s="405" t="s">
        <v>1046</v>
      </c>
      <c r="F4136" s="406">
        <v>8.4</v>
      </c>
      <c r="G4136" s="405" t="s">
        <v>1047</v>
      </c>
      <c r="H4136" s="406">
        <v>0</v>
      </c>
      <c r="I4136" s="405" t="s">
        <v>1048</v>
      </c>
      <c r="J4136" s="406">
        <v>8.4</v>
      </c>
      <c r="K4136"/>
    </row>
    <row r="4137" spans="1:11" ht="15.6" thickBot="1" x14ac:dyDescent="0.35">
      <c r="A4137" s="405"/>
      <c r="B4137" s="405"/>
      <c r="C4137" s="405"/>
      <c r="D4137" s="405"/>
      <c r="E4137" s="405" t="s">
        <v>1049</v>
      </c>
      <c r="F4137" s="406">
        <v>0</v>
      </c>
      <c r="G4137" s="405"/>
      <c r="H4137" s="606"/>
      <c r="I4137" s="606" t="s">
        <v>1050</v>
      </c>
      <c r="J4137" s="406">
        <v>34.520000000000003</v>
      </c>
      <c r="K4137"/>
    </row>
    <row r="4138" spans="1:11" ht="15" customHeight="1" thickTop="1" x14ac:dyDescent="0.3">
      <c r="A4138" s="407"/>
      <c r="B4138" s="407"/>
      <c r="C4138" s="407"/>
      <c r="D4138" s="407"/>
      <c r="E4138" s="407"/>
      <c r="F4138" s="407"/>
      <c r="G4138" s="407"/>
      <c r="H4138" s="407"/>
      <c r="I4138" s="407"/>
      <c r="J4138" s="407"/>
      <c r="K4138" s="407"/>
    </row>
    <row r="4139" spans="1:11" ht="25.5" customHeight="1" x14ac:dyDescent="0.3">
      <c r="A4139" s="382" t="s">
        <v>2141</v>
      </c>
      <c r="B4139" s="312" t="s">
        <v>413</v>
      </c>
      <c r="C4139" s="382" t="s">
        <v>414</v>
      </c>
      <c r="D4139" s="382" t="s">
        <v>415</v>
      </c>
      <c r="E4139" s="586" t="s">
        <v>1029</v>
      </c>
      <c r="F4139" s="586"/>
      <c r="G4139" s="383" t="s">
        <v>416</v>
      </c>
      <c r="H4139" s="312" t="s">
        <v>1030</v>
      </c>
      <c r="I4139" s="312" t="s">
        <v>3016</v>
      </c>
      <c r="J4139" s="312" t="s">
        <v>1031</v>
      </c>
      <c r="K4139" s="312" t="s">
        <v>1032</v>
      </c>
    </row>
    <row r="4140" spans="1:11" ht="25.5" customHeight="1" x14ac:dyDescent="0.3">
      <c r="A4140" s="313" t="s">
        <v>1033</v>
      </c>
      <c r="B4140" s="315" t="s">
        <v>3920</v>
      </c>
      <c r="C4140" s="313" t="s">
        <v>395</v>
      </c>
      <c r="D4140" s="313" t="s">
        <v>6036</v>
      </c>
      <c r="E4140" s="603" t="s">
        <v>7808</v>
      </c>
      <c r="F4140" s="603"/>
      <c r="G4140" s="314" t="s">
        <v>4</v>
      </c>
      <c r="H4140" s="399">
        <v>1</v>
      </c>
      <c r="I4140" s="316"/>
      <c r="J4140" s="316">
        <v>8.31</v>
      </c>
      <c r="K4140" s="316">
        <v>8.31</v>
      </c>
    </row>
    <row r="4141" spans="1:11" ht="25.5" customHeight="1" x14ac:dyDescent="0.3">
      <c r="A4141" s="408" t="s">
        <v>1034</v>
      </c>
      <c r="B4141" s="409" t="s">
        <v>1113</v>
      </c>
      <c r="C4141" s="408" t="s">
        <v>395</v>
      </c>
      <c r="D4141" s="408" t="s">
        <v>129</v>
      </c>
      <c r="E4141" s="604" t="s">
        <v>7768</v>
      </c>
      <c r="F4141" s="604"/>
      <c r="G4141" s="410" t="s">
        <v>6</v>
      </c>
      <c r="H4141" s="412">
        <v>8.4400000000000003E-2</v>
      </c>
      <c r="I4141" s="412">
        <v>0</v>
      </c>
      <c r="J4141" s="411">
        <v>33.450000000000003</v>
      </c>
      <c r="K4141" s="411">
        <v>2.8231799999999998</v>
      </c>
    </row>
    <row r="4142" spans="1:11" ht="25.5" customHeight="1" x14ac:dyDescent="0.3">
      <c r="A4142" s="408" t="s">
        <v>1034</v>
      </c>
      <c r="B4142" s="409" t="s">
        <v>1112</v>
      </c>
      <c r="C4142" s="408" t="s">
        <v>395</v>
      </c>
      <c r="D4142" s="408" t="s">
        <v>137</v>
      </c>
      <c r="E4142" s="604" t="s">
        <v>7768</v>
      </c>
      <c r="F4142" s="604"/>
      <c r="G4142" s="410" t="s">
        <v>6</v>
      </c>
      <c r="H4142" s="412">
        <v>8.4400000000000003E-2</v>
      </c>
      <c r="I4142" s="412">
        <v>0</v>
      </c>
      <c r="J4142" s="411">
        <v>40.299999999999997</v>
      </c>
      <c r="K4142" s="411">
        <v>3.4013200000000001</v>
      </c>
    </row>
    <row r="4143" spans="1:11" ht="26.4" x14ac:dyDescent="0.3">
      <c r="A4143" s="400" t="s">
        <v>1038</v>
      </c>
      <c r="B4143" s="401" t="s">
        <v>4870</v>
      </c>
      <c r="C4143" s="400" t="s">
        <v>395</v>
      </c>
      <c r="D4143" s="400" t="s">
        <v>4871</v>
      </c>
      <c r="E4143" s="605" t="s">
        <v>1039</v>
      </c>
      <c r="F4143" s="605"/>
      <c r="G4143" s="402" t="s">
        <v>4</v>
      </c>
      <c r="H4143" s="403">
        <v>1</v>
      </c>
      <c r="I4143" s="403">
        <v>0</v>
      </c>
      <c r="J4143" s="404">
        <v>0.93</v>
      </c>
      <c r="K4143" s="404">
        <v>0.93</v>
      </c>
    </row>
    <row r="4144" spans="1:11" ht="15" x14ac:dyDescent="0.3">
      <c r="A4144" s="400" t="s">
        <v>1038</v>
      </c>
      <c r="B4144" s="401" t="s">
        <v>2587</v>
      </c>
      <c r="C4144" s="400" t="s">
        <v>395</v>
      </c>
      <c r="D4144" s="400" t="s">
        <v>349</v>
      </c>
      <c r="E4144" s="605" t="s">
        <v>1039</v>
      </c>
      <c r="F4144" s="605"/>
      <c r="G4144" s="402" t="s">
        <v>4</v>
      </c>
      <c r="H4144" s="403">
        <v>5.8999999999999999E-3</v>
      </c>
      <c r="I4144" s="403">
        <v>0</v>
      </c>
      <c r="J4144" s="404">
        <v>79.17</v>
      </c>
      <c r="K4144" s="404">
        <v>0.46710299999999999</v>
      </c>
    </row>
    <row r="4145" spans="1:11" ht="14.25" customHeight="1" x14ac:dyDescent="0.3">
      <c r="A4145" s="400" t="s">
        <v>1038</v>
      </c>
      <c r="B4145" s="401" t="s">
        <v>2588</v>
      </c>
      <c r="C4145" s="400" t="s">
        <v>395</v>
      </c>
      <c r="D4145" s="400" t="s">
        <v>350</v>
      </c>
      <c r="E4145" s="605" t="s">
        <v>1039</v>
      </c>
      <c r="F4145" s="605"/>
      <c r="G4145" s="402" t="s">
        <v>4</v>
      </c>
      <c r="H4145" s="403">
        <v>7.0000000000000001E-3</v>
      </c>
      <c r="I4145" s="403">
        <v>0</v>
      </c>
      <c r="J4145" s="404">
        <v>89.7</v>
      </c>
      <c r="K4145" s="404">
        <v>0.62790000000000001</v>
      </c>
    </row>
    <row r="4146" spans="1:11" ht="14.25" customHeight="1" x14ac:dyDescent="0.3">
      <c r="A4146" s="400" t="s">
        <v>1038</v>
      </c>
      <c r="B4146" s="401" t="s">
        <v>1372</v>
      </c>
      <c r="C4146" s="400" t="s">
        <v>395</v>
      </c>
      <c r="D4146" s="400" t="s">
        <v>266</v>
      </c>
      <c r="E4146" s="605" t="s">
        <v>1039</v>
      </c>
      <c r="F4146" s="605"/>
      <c r="G4146" s="402" t="s">
        <v>4</v>
      </c>
      <c r="H4146" s="403">
        <v>2.81E-2</v>
      </c>
      <c r="I4146" s="403">
        <v>0</v>
      </c>
      <c r="J4146" s="404">
        <v>2.09</v>
      </c>
      <c r="K4146" s="404">
        <v>5.8729000000000003E-2</v>
      </c>
    </row>
    <row r="4147" spans="1:11" ht="15" x14ac:dyDescent="0.3">
      <c r="A4147" s="405"/>
      <c r="B4147" s="405"/>
      <c r="C4147" s="405"/>
      <c r="D4147" s="405"/>
      <c r="E4147" s="405" t="s">
        <v>1046</v>
      </c>
      <c r="F4147" s="406">
        <v>4.58</v>
      </c>
      <c r="G4147" s="405" t="s">
        <v>1047</v>
      </c>
      <c r="H4147" s="406">
        <v>0</v>
      </c>
      <c r="I4147" s="405" t="s">
        <v>1048</v>
      </c>
      <c r="J4147" s="406">
        <v>4.58</v>
      </c>
      <c r="K4147"/>
    </row>
    <row r="4148" spans="1:11" ht="17.399999999999999" customHeight="1" thickBot="1" x14ac:dyDescent="0.35">
      <c r="A4148" s="405"/>
      <c r="B4148" s="405"/>
      <c r="C4148" s="405"/>
      <c r="D4148" s="405"/>
      <c r="E4148" s="405" t="s">
        <v>1049</v>
      </c>
      <c r="F4148" s="406">
        <v>0</v>
      </c>
      <c r="G4148" s="405"/>
      <c r="H4148" s="606"/>
      <c r="I4148" s="606" t="s">
        <v>1050</v>
      </c>
      <c r="J4148" s="406">
        <v>8.31</v>
      </c>
      <c r="K4148"/>
    </row>
    <row r="4149" spans="1:11" ht="25.5" customHeight="1" thickTop="1" x14ac:dyDescent="0.3">
      <c r="A4149" s="407"/>
      <c r="B4149" s="407"/>
      <c r="C4149" s="407"/>
      <c r="D4149" s="407"/>
      <c r="E4149" s="407"/>
      <c r="F4149" s="407"/>
      <c r="G4149" s="407"/>
      <c r="H4149" s="407"/>
      <c r="I4149" s="407"/>
      <c r="J4149" s="407"/>
      <c r="K4149" s="407"/>
    </row>
    <row r="4150" spans="1:11" ht="25.5" customHeight="1" x14ac:dyDescent="0.3">
      <c r="A4150" s="382" t="s">
        <v>3322</v>
      </c>
      <c r="B4150" s="312" t="s">
        <v>413</v>
      </c>
      <c r="C4150" s="382" t="s">
        <v>414</v>
      </c>
      <c r="D4150" s="382" t="s">
        <v>415</v>
      </c>
      <c r="E4150" s="586" t="s">
        <v>1029</v>
      </c>
      <c r="F4150" s="586"/>
      <c r="G4150" s="383" t="s">
        <v>416</v>
      </c>
      <c r="H4150" s="312" t="s">
        <v>1030</v>
      </c>
      <c r="I4150" s="312" t="s">
        <v>3016</v>
      </c>
      <c r="J4150" s="312" t="s">
        <v>1031</v>
      </c>
      <c r="K4150" s="312" t="s">
        <v>1032</v>
      </c>
    </row>
    <row r="4151" spans="1:11" ht="15" customHeight="1" x14ac:dyDescent="0.3">
      <c r="A4151" s="313" t="s">
        <v>1033</v>
      </c>
      <c r="B4151" s="315" t="s">
        <v>3921</v>
      </c>
      <c r="C4151" s="313" t="s">
        <v>395</v>
      </c>
      <c r="D4151" s="313" t="s">
        <v>6037</v>
      </c>
      <c r="E4151" s="603" t="s">
        <v>7808</v>
      </c>
      <c r="F4151" s="603"/>
      <c r="G4151" s="314" t="s">
        <v>4</v>
      </c>
      <c r="H4151" s="399">
        <v>1</v>
      </c>
      <c r="I4151" s="316"/>
      <c r="J4151" s="316">
        <v>11.65</v>
      </c>
      <c r="K4151" s="316">
        <v>11.65</v>
      </c>
    </row>
    <row r="4152" spans="1:11" ht="30" customHeight="1" x14ac:dyDescent="0.3">
      <c r="A4152" s="408" t="s">
        <v>1034</v>
      </c>
      <c r="B4152" s="409" t="s">
        <v>1113</v>
      </c>
      <c r="C4152" s="408" t="s">
        <v>395</v>
      </c>
      <c r="D4152" s="408" t="s">
        <v>129</v>
      </c>
      <c r="E4152" s="604" t="s">
        <v>7768</v>
      </c>
      <c r="F4152" s="604"/>
      <c r="G4152" s="410" t="s">
        <v>6</v>
      </c>
      <c r="H4152" s="412">
        <v>0.1111</v>
      </c>
      <c r="I4152" s="412">
        <v>0</v>
      </c>
      <c r="J4152" s="411">
        <v>33.450000000000003</v>
      </c>
      <c r="K4152" s="411">
        <v>3.7162950000000001</v>
      </c>
    </row>
    <row r="4153" spans="1:11" ht="30" customHeight="1" x14ac:dyDescent="0.3">
      <c r="A4153" s="408" t="s">
        <v>1034</v>
      </c>
      <c r="B4153" s="409" t="s">
        <v>1112</v>
      </c>
      <c r="C4153" s="408" t="s">
        <v>395</v>
      </c>
      <c r="D4153" s="408" t="s">
        <v>137</v>
      </c>
      <c r="E4153" s="604" t="s">
        <v>7768</v>
      </c>
      <c r="F4153" s="604"/>
      <c r="G4153" s="410" t="s">
        <v>6</v>
      </c>
      <c r="H4153" s="412">
        <v>0.1111</v>
      </c>
      <c r="I4153" s="412">
        <v>0</v>
      </c>
      <c r="J4153" s="411">
        <v>40.299999999999997</v>
      </c>
      <c r="K4153" s="411">
        <v>4.4773300000000003</v>
      </c>
    </row>
    <row r="4154" spans="1:11" ht="26.4" x14ac:dyDescent="0.3">
      <c r="A4154" s="400" t="s">
        <v>1038</v>
      </c>
      <c r="B4154" s="401" t="s">
        <v>4906</v>
      </c>
      <c r="C4154" s="400" t="s">
        <v>395</v>
      </c>
      <c r="D4154" s="400" t="s">
        <v>4907</v>
      </c>
      <c r="E4154" s="605" t="s">
        <v>1039</v>
      </c>
      <c r="F4154" s="605"/>
      <c r="G4154" s="402" t="s">
        <v>4</v>
      </c>
      <c r="H4154" s="403">
        <v>1</v>
      </c>
      <c r="I4154" s="403">
        <v>0</v>
      </c>
      <c r="J4154" s="404">
        <v>1.88</v>
      </c>
      <c r="K4154" s="404">
        <v>1.88</v>
      </c>
    </row>
    <row r="4155" spans="1:11" ht="25.5" customHeight="1" x14ac:dyDescent="0.3">
      <c r="A4155" s="400" t="s">
        <v>1038</v>
      </c>
      <c r="B4155" s="401" t="s">
        <v>2587</v>
      </c>
      <c r="C4155" s="400" t="s">
        <v>395</v>
      </c>
      <c r="D4155" s="400" t="s">
        <v>349</v>
      </c>
      <c r="E4155" s="605" t="s">
        <v>1039</v>
      </c>
      <c r="F4155" s="605"/>
      <c r="G4155" s="402" t="s">
        <v>4</v>
      </c>
      <c r="H4155" s="403">
        <v>8.2000000000000007E-3</v>
      </c>
      <c r="I4155" s="403">
        <v>0</v>
      </c>
      <c r="J4155" s="404">
        <v>79.17</v>
      </c>
      <c r="K4155" s="404">
        <v>0.64919400000000005</v>
      </c>
    </row>
    <row r="4156" spans="1:11" ht="14.25" customHeight="1" x14ac:dyDescent="0.3">
      <c r="A4156" s="400" t="s">
        <v>1038</v>
      </c>
      <c r="B4156" s="401" t="s">
        <v>2588</v>
      </c>
      <c r="C4156" s="400" t="s">
        <v>395</v>
      </c>
      <c r="D4156" s="400" t="s">
        <v>350</v>
      </c>
      <c r="E4156" s="605" t="s">
        <v>1039</v>
      </c>
      <c r="F4156" s="605"/>
      <c r="G4156" s="402" t="s">
        <v>4</v>
      </c>
      <c r="H4156" s="403">
        <v>9.4999999999999998E-3</v>
      </c>
      <c r="I4156" s="403">
        <v>0</v>
      </c>
      <c r="J4156" s="404">
        <v>89.7</v>
      </c>
      <c r="K4156" s="404">
        <v>0.85214999999999996</v>
      </c>
    </row>
    <row r="4157" spans="1:11" ht="15" x14ac:dyDescent="0.3">
      <c r="A4157" s="400" t="s">
        <v>1038</v>
      </c>
      <c r="B4157" s="401" t="s">
        <v>1372</v>
      </c>
      <c r="C4157" s="400" t="s">
        <v>395</v>
      </c>
      <c r="D4157" s="400" t="s">
        <v>266</v>
      </c>
      <c r="E4157" s="605" t="s">
        <v>1039</v>
      </c>
      <c r="F4157" s="605"/>
      <c r="G4157" s="402" t="s">
        <v>4</v>
      </c>
      <c r="H4157" s="403">
        <v>3.7100000000000001E-2</v>
      </c>
      <c r="I4157" s="403">
        <v>0</v>
      </c>
      <c r="J4157" s="404">
        <v>2.09</v>
      </c>
      <c r="K4157" s="404">
        <v>7.7538999999999997E-2</v>
      </c>
    </row>
    <row r="4158" spans="1:11" ht="15" x14ac:dyDescent="0.3">
      <c r="A4158" s="405"/>
      <c r="B4158" s="405"/>
      <c r="C4158" s="405"/>
      <c r="D4158" s="405"/>
      <c r="E4158" s="405" t="s">
        <v>1046</v>
      </c>
      <c r="F4158" s="406">
        <v>6.03</v>
      </c>
      <c r="G4158" s="405" t="s">
        <v>1047</v>
      </c>
      <c r="H4158" s="406">
        <v>0.01</v>
      </c>
      <c r="I4158" s="405" t="s">
        <v>1048</v>
      </c>
      <c r="J4158" s="406">
        <v>6.04</v>
      </c>
      <c r="K4158"/>
    </row>
    <row r="4159" spans="1:11" ht="25.5" customHeight="1" thickBot="1" x14ac:dyDescent="0.35">
      <c r="A4159" s="405"/>
      <c r="B4159" s="405"/>
      <c r="C4159" s="405"/>
      <c r="D4159" s="405"/>
      <c r="E4159" s="405" t="s">
        <v>1049</v>
      </c>
      <c r="F4159" s="406">
        <v>0</v>
      </c>
      <c r="G4159" s="405"/>
      <c r="H4159" s="606"/>
      <c r="I4159" s="606" t="s">
        <v>1050</v>
      </c>
      <c r="J4159" s="406">
        <v>11.65</v>
      </c>
      <c r="K4159"/>
    </row>
    <row r="4160" spans="1:11" ht="25.5" customHeight="1" thickTop="1" x14ac:dyDescent="0.3">
      <c r="A4160" s="407"/>
      <c r="B4160" s="407"/>
      <c r="C4160" s="407"/>
      <c r="D4160" s="407"/>
      <c r="E4160" s="407"/>
      <c r="F4160" s="407"/>
      <c r="G4160" s="407"/>
      <c r="H4160" s="407"/>
      <c r="I4160" s="407"/>
      <c r="J4160" s="407"/>
      <c r="K4160" s="407"/>
    </row>
    <row r="4161" spans="1:11" ht="25.5" customHeight="1" x14ac:dyDescent="0.3">
      <c r="A4161" s="382" t="s">
        <v>2163</v>
      </c>
      <c r="B4161" s="312" t="s">
        <v>413</v>
      </c>
      <c r="C4161" s="382" t="s">
        <v>414</v>
      </c>
      <c r="D4161" s="382" t="s">
        <v>415</v>
      </c>
      <c r="E4161" s="586" t="s">
        <v>1029</v>
      </c>
      <c r="F4161" s="586"/>
      <c r="G4161" s="383" t="s">
        <v>416</v>
      </c>
      <c r="H4161" s="312" t="s">
        <v>1030</v>
      </c>
      <c r="I4161" s="312" t="s">
        <v>3016</v>
      </c>
      <c r="J4161" s="312" t="s">
        <v>1031</v>
      </c>
      <c r="K4161" s="312" t="s">
        <v>1032</v>
      </c>
    </row>
    <row r="4162" spans="1:11" ht="39.6" x14ac:dyDescent="0.3">
      <c r="A4162" s="313" t="s">
        <v>1033</v>
      </c>
      <c r="B4162" s="315" t="s">
        <v>3922</v>
      </c>
      <c r="C4162" s="313" t="s">
        <v>395</v>
      </c>
      <c r="D4162" s="313" t="s">
        <v>6038</v>
      </c>
      <c r="E4162" s="603" t="s">
        <v>7808</v>
      </c>
      <c r="F4162" s="603"/>
      <c r="G4162" s="314" t="s">
        <v>4</v>
      </c>
      <c r="H4162" s="399">
        <v>1</v>
      </c>
      <c r="I4162" s="316"/>
      <c r="J4162" s="316">
        <v>13.37</v>
      </c>
      <c r="K4162" s="316">
        <v>13.37</v>
      </c>
    </row>
    <row r="4163" spans="1:11" ht="17.399999999999999" customHeight="1" x14ac:dyDescent="0.3">
      <c r="A4163" s="408" t="s">
        <v>1034</v>
      </c>
      <c r="B4163" s="409" t="s">
        <v>1113</v>
      </c>
      <c r="C4163" s="408" t="s">
        <v>395</v>
      </c>
      <c r="D4163" s="408" t="s">
        <v>129</v>
      </c>
      <c r="E4163" s="604" t="s">
        <v>7768</v>
      </c>
      <c r="F4163" s="604"/>
      <c r="G4163" s="410" t="s">
        <v>6</v>
      </c>
      <c r="H4163" s="412">
        <v>6.59E-2</v>
      </c>
      <c r="I4163" s="412">
        <v>0</v>
      </c>
      <c r="J4163" s="411">
        <v>33.450000000000003</v>
      </c>
      <c r="K4163" s="411">
        <v>2.2043550000000001</v>
      </c>
    </row>
    <row r="4164" spans="1:11" ht="15" customHeight="1" x14ac:dyDescent="0.3">
      <c r="A4164" s="408" t="s">
        <v>1034</v>
      </c>
      <c r="B4164" s="409" t="s">
        <v>1112</v>
      </c>
      <c r="C4164" s="408" t="s">
        <v>395</v>
      </c>
      <c r="D4164" s="408" t="s">
        <v>137</v>
      </c>
      <c r="E4164" s="604" t="s">
        <v>7768</v>
      </c>
      <c r="F4164" s="604"/>
      <c r="G4164" s="410" t="s">
        <v>6</v>
      </c>
      <c r="H4164" s="412">
        <v>6.59E-2</v>
      </c>
      <c r="I4164" s="412">
        <v>0</v>
      </c>
      <c r="J4164" s="411">
        <v>40.299999999999997</v>
      </c>
      <c r="K4164" s="411">
        <v>2.65577</v>
      </c>
    </row>
    <row r="4165" spans="1:11" ht="14.25" customHeight="1" x14ac:dyDescent="0.3">
      <c r="A4165" s="400" t="s">
        <v>1038</v>
      </c>
      <c r="B4165" s="401" t="s">
        <v>4746</v>
      </c>
      <c r="C4165" s="400" t="s">
        <v>395</v>
      </c>
      <c r="D4165" s="400" t="s">
        <v>4747</v>
      </c>
      <c r="E4165" s="605" t="s">
        <v>1039</v>
      </c>
      <c r="F4165" s="605"/>
      <c r="G4165" s="402" t="s">
        <v>4</v>
      </c>
      <c r="H4165" s="403">
        <v>1</v>
      </c>
      <c r="I4165" s="403">
        <v>0</v>
      </c>
      <c r="J4165" s="404">
        <v>6.52</v>
      </c>
      <c r="K4165" s="404">
        <v>6.52</v>
      </c>
    </row>
    <row r="4166" spans="1:11" ht="30" customHeight="1" x14ac:dyDescent="0.3">
      <c r="A4166" s="400" t="s">
        <v>1038</v>
      </c>
      <c r="B4166" s="401" t="s">
        <v>2587</v>
      </c>
      <c r="C4166" s="400" t="s">
        <v>395</v>
      </c>
      <c r="D4166" s="400" t="s">
        <v>349</v>
      </c>
      <c r="E4166" s="605" t="s">
        <v>1039</v>
      </c>
      <c r="F4166" s="605"/>
      <c r="G4166" s="402" t="s">
        <v>4</v>
      </c>
      <c r="H4166" s="403">
        <v>1.06E-2</v>
      </c>
      <c r="I4166" s="403">
        <v>0</v>
      </c>
      <c r="J4166" s="404">
        <v>79.17</v>
      </c>
      <c r="K4166" s="404">
        <v>0.839202</v>
      </c>
    </row>
    <row r="4167" spans="1:11" ht="30" customHeight="1" x14ac:dyDescent="0.3">
      <c r="A4167" s="400" t="s">
        <v>1038</v>
      </c>
      <c r="B4167" s="401" t="s">
        <v>2588</v>
      </c>
      <c r="C4167" s="400" t="s">
        <v>395</v>
      </c>
      <c r="D4167" s="400" t="s">
        <v>350</v>
      </c>
      <c r="E4167" s="605" t="s">
        <v>1039</v>
      </c>
      <c r="F4167" s="605"/>
      <c r="G4167" s="402" t="s">
        <v>4</v>
      </c>
      <c r="H4167" s="403">
        <v>1.2500000000000001E-2</v>
      </c>
      <c r="I4167" s="403">
        <v>0</v>
      </c>
      <c r="J4167" s="404">
        <v>89.7</v>
      </c>
      <c r="K4167" s="404">
        <v>1.1212500000000001</v>
      </c>
    </row>
    <row r="4168" spans="1:11" ht="30" customHeight="1" x14ac:dyDescent="0.3">
      <c r="A4168" s="400" t="s">
        <v>1038</v>
      </c>
      <c r="B4168" s="401" t="s">
        <v>1372</v>
      </c>
      <c r="C4168" s="400" t="s">
        <v>395</v>
      </c>
      <c r="D4168" s="400" t="s">
        <v>266</v>
      </c>
      <c r="E4168" s="605" t="s">
        <v>1039</v>
      </c>
      <c r="F4168" s="605"/>
      <c r="G4168" s="402" t="s">
        <v>4</v>
      </c>
      <c r="H4168" s="403">
        <v>1.5699999999999999E-2</v>
      </c>
      <c r="I4168" s="403">
        <v>0</v>
      </c>
      <c r="J4168" s="404">
        <v>2.09</v>
      </c>
      <c r="K4168" s="404">
        <v>3.2813000000000002E-2</v>
      </c>
    </row>
    <row r="4169" spans="1:11" ht="25.5" customHeight="1" x14ac:dyDescent="0.3">
      <c r="A4169" s="405"/>
      <c r="B4169" s="405"/>
      <c r="C4169" s="405"/>
      <c r="D4169" s="405"/>
      <c r="E4169" s="405" t="s">
        <v>1046</v>
      </c>
      <c r="F4169" s="406">
        <v>3.58</v>
      </c>
      <c r="G4169" s="405" t="s">
        <v>1047</v>
      </c>
      <c r="H4169" s="406">
        <v>0</v>
      </c>
      <c r="I4169" s="405" t="s">
        <v>1048</v>
      </c>
      <c r="J4169" s="406">
        <v>3.58</v>
      </c>
      <c r="K4169"/>
    </row>
    <row r="4170" spans="1:11" ht="25.5" customHeight="1" thickBot="1" x14ac:dyDescent="0.35">
      <c r="A4170" s="405"/>
      <c r="B4170" s="405"/>
      <c r="C4170" s="405"/>
      <c r="D4170" s="405"/>
      <c r="E4170" s="405" t="s">
        <v>1049</v>
      </c>
      <c r="F4170" s="406">
        <v>0</v>
      </c>
      <c r="G4170" s="405"/>
      <c r="H4170" s="606"/>
      <c r="I4170" s="606" t="s">
        <v>1050</v>
      </c>
      <c r="J4170" s="406">
        <v>13.37</v>
      </c>
      <c r="K4170"/>
    </row>
    <row r="4171" spans="1:11" ht="25.5" customHeight="1" thickTop="1" x14ac:dyDescent="0.3">
      <c r="A4171" s="407"/>
      <c r="B4171" s="407"/>
      <c r="C4171" s="407"/>
      <c r="D4171" s="407"/>
      <c r="E4171" s="407"/>
      <c r="F4171" s="407"/>
      <c r="G4171" s="407"/>
      <c r="H4171" s="407"/>
      <c r="I4171" s="407"/>
      <c r="J4171" s="407"/>
      <c r="K4171" s="407"/>
    </row>
    <row r="4172" spans="1:11" ht="17.399999999999999" customHeight="1" x14ac:dyDescent="0.3">
      <c r="A4172" s="382" t="s">
        <v>3323</v>
      </c>
      <c r="B4172" s="312" t="s">
        <v>413</v>
      </c>
      <c r="C4172" s="382" t="s">
        <v>414</v>
      </c>
      <c r="D4172" s="382" t="s">
        <v>415</v>
      </c>
      <c r="E4172" s="586" t="s">
        <v>1029</v>
      </c>
      <c r="F4172" s="586"/>
      <c r="G4172" s="383" t="s">
        <v>416</v>
      </c>
      <c r="H4172" s="312" t="s">
        <v>1030</v>
      </c>
      <c r="I4172" s="312" t="s">
        <v>3016</v>
      </c>
      <c r="J4172" s="312" t="s">
        <v>1031</v>
      </c>
      <c r="K4172" s="312" t="s">
        <v>1032</v>
      </c>
    </row>
    <row r="4173" spans="1:11" ht="39.6" x14ac:dyDescent="0.3">
      <c r="A4173" s="313" t="s">
        <v>1033</v>
      </c>
      <c r="B4173" s="315" t="s">
        <v>3923</v>
      </c>
      <c r="C4173" s="313" t="s">
        <v>395</v>
      </c>
      <c r="D4173" s="313" t="s">
        <v>6039</v>
      </c>
      <c r="E4173" s="603" t="s">
        <v>7808</v>
      </c>
      <c r="F4173" s="603"/>
      <c r="G4173" s="314" t="s">
        <v>4</v>
      </c>
      <c r="H4173" s="399">
        <v>1</v>
      </c>
      <c r="I4173" s="316"/>
      <c r="J4173" s="316">
        <v>12.63</v>
      </c>
      <c r="K4173" s="316">
        <v>12.63</v>
      </c>
    </row>
    <row r="4174" spans="1:11" ht="26.4" x14ac:dyDescent="0.3">
      <c r="A4174" s="408" t="s">
        <v>1034</v>
      </c>
      <c r="B4174" s="409" t="s">
        <v>1113</v>
      </c>
      <c r="C4174" s="408" t="s">
        <v>395</v>
      </c>
      <c r="D4174" s="408" t="s">
        <v>129</v>
      </c>
      <c r="E4174" s="604" t="s">
        <v>7768</v>
      </c>
      <c r="F4174" s="604"/>
      <c r="G4174" s="410" t="s">
        <v>6</v>
      </c>
      <c r="H4174" s="412">
        <v>7.3499999999999996E-2</v>
      </c>
      <c r="I4174" s="412">
        <v>0</v>
      </c>
      <c r="J4174" s="411">
        <v>33.450000000000003</v>
      </c>
      <c r="K4174" s="411">
        <v>2.4585750000000002</v>
      </c>
    </row>
    <row r="4175" spans="1:11" ht="12.75" customHeight="1" x14ac:dyDescent="0.3">
      <c r="A4175" s="408" t="s">
        <v>1034</v>
      </c>
      <c r="B4175" s="409" t="s">
        <v>1112</v>
      </c>
      <c r="C4175" s="408" t="s">
        <v>395</v>
      </c>
      <c r="D4175" s="408" t="s">
        <v>137</v>
      </c>
      <c r="E4175" s="604" t="s">
        <v>7768</v>
      </c>
      <c r="F4175" s="604"/>
      <c r="G4175" s="410" t="s">
        <v>6</v>
      </c>
      <c r="H4175" s="412">
        <v>7.3499999999999996E-2</v>
      </c>
      <c r="I4175" s="412">
        <v>0</v>
      </c>
      <c r="J4175" s="411">
        <v>40.299999999999997</v>
      </c>
      <c r="K4175" s="411">
        <v>2.9620500000000001</v>
      </c>
    </row>
    <row r="4176" spans="1:11" ht="26.4" x14ac:dyDescent="0.3">
      <c r="A4176" s="400" t="s">
        <v>1038</v>
      </c>
      <c r="B4176" s="401" t="s">
        <v>4818</v>
      </c>
      <c r="C4176" s="400" t="s">
        <v>395</v>
      </c>
      <c r="D4176" s="400" t="s">
        <v>4819</v>
      </c>
      <c r="E4176" s="605" t="s">
        <v>1039</v>
      </c>
      <c r="F4176" s="605"/>
      <c r="G4176" s="402" t="s">
        <v>4</v>
      </c>
      <c r="H4176" s="403">
        <v>1</v>
      </c>
      <c r="I4176" s="403">
        <v>0</v>
      </c>
      <c r="J4176" s="404">
        <v>4.67</v>
      </c>
      <c r="K4176" s="404">
        <v>4.67</v>
      </c>
    </row>
    <row r="4177" spans="1:11" ht="15" customHeight="1" x14ac:dyDescent="0.3">
      <c r="A4177" s="400" t="s">
        <v>1038</v>
      </c>
      <c r="B4177" s="401" t="s">
        <v>2587</v>
      </c>
      <c r="C4177" s="400" t="s">
        <v>395</v>
      </c>
      <c r="D4177" s="400" t="s">
        <v>349</v>
      </c>
      <c r="E4177" s="605" t="s">
        <v>1039</v>
      </c>
      <c r="F4177" s="605"/>
      <c r="G4177" s="402" t="s">
        <v>4</v>
      </c>
      <c r="H4177" s="403">
        <v>1.29E-2</v>
      </c>
      <c r="I4177" s="403">
        <v>0</v>
      </c>
      <c r="J4177" s="404">
        <v>79.17</v>
      </c>
      <c r="K4177" s="404">
        <v>1.021293</v>
      </c>
    </row>
    <row r="4178" spans="1:11" ht="26.4" x14ac:dyDescent="0.3">
      <c r="A4178" s="400" t="s">
        <v>1038</v>
      </c>
      <c r="B4178" s="401" t="s">
        <v>2588</v>
      </c>
      <c r="C4178" s="400" t="s">
        <v>395</v>
      </c>
      <c r="D4178" s="400" t="s">
        <v>350</v>
      </c>
      <c r="E4178" s="605" t="s">
        <v>1039</v>
      </c>
      <c r="F4178" s="605"/>
      <c r="G4178" s="402" t="s">
        <v>4</v>
      </c>
      <c r="H4178" s="403">
        <v>1.6500000000000001E-2</v>
      </c>
      <c r="I4178" s="403">
        <v>0</v>
      </c>
      <c r="J4178" s="404">
        <v>89.7</v>
      </c>
      <c r="K4178" s="404">
        <v>1.4800500000000001</v>
      </c>
    </row>
    <row r="4179" spans="1:11" ht="14.25" customHeight="1" x14ac:dyDescent="0.3">
      <c r="A4179" s="400" t="s">
        <v>1038</v>
      </c>
      <c r="B4179" s="401" t="s">
        <v>1372</v>
      </c>
      <c r="C4179" s="400" t="s">
        <v>395</v>
      </c>
      <c r="D4179" s="400" t="s">
        <v>266</v>
      </c>
      <c r="E4179" s="605" t="s">
        <v>1039</v>
      </c>
      <c r="F4179" s="605"/>
      <c r="G4179" s="402" t="s">
        <v>4</v>
      </c>
      <c r="H4179" s="403">
        <v>1.61E-2</v>
      </c>
      <c r="I4179" s="403">
        <v>0</v>
      </c>
      <c r="J4179" s="404">
        <v>2.09</v>
      </c>
      <c r="K4179" s="404">
        <v>3.3648999999999998E-2</v>
      </c>
    </row>
    <row r="4180" spans="1:11" ht="15" x14ac:dyDescent="0.3">
      <c r="A4180" s="405"/>
      <c r="B4180" s="405"/>
      <c r="C4180" s="405"/>
      <c r="D4180" s="405"/>
      <c r="E4180" s="405" t="s">
        <v>1046</v>
      </c>
      <c r="F4180" s="406">
        <v>3.99</v>
      </c>
      <c r="G4180" s="405" t="s">
        <v>1047</v>
      </c>
      <c r="H4180" s="406">
        <v>0</v>
      </c>
      <c r="I4180" s="405" t="s">
        <v>1048</v>
      </c>
      <c r="J4180" s="406">
        <v>3.99</v>
      </c>
      <c r="K4180"/>
    </row>
    <row r="4181" spans="1:11" ht="15.6" thickBot="1" x14ac:dyDescent="0.35">
      <c r="A4181" s="405"/>
      <c r="B4181" s="405"/>
      <c r="C4181" s="405"/>
      <c r="D4181" s="405"/>
      <c r="E4181" s="405" t="s">
        <v>1049</v>
      </c>
      <c r="F4181" s="406">
        <v>0</v>
      </c>
      <c r="G4181" s="405"/>
      <c r="H4181" s="606"/>
      <c r="I4181" s="606" t="s">
        <v>1050</v>
      </c>
      <c r="J4181" s="406">
        <v>12.63</v>
      </c>
      <c r="K4181"/>
    </row>
    <row r="4182" spans="1:11" ht="25.5" customHeight="1" thickTop="1" x14ac:dyDescent="0.3">
      <c r="A4182" s="407"/>
      <c r="B4182" s="407"/>
      <c r="C4182" s="407"/>
      <c r="D4182" s="407"/>
      <c r="E4182" s="407"/>
      <c r="F4182" s="407"/>
      <c r="G4182" s="407"/>
      <c r="H4182" s="407"/>
      <c r="I4182" s="407"/>
      <c r="J4182" s="407"/>
      <c r="K4182" s="407"/>
    </row>
    <row r="4183" spans="1:11" ht="25.5" customHeight="1" x14ac:dyDescent="0.3">
      <c r="A4183" s="382" t="s">
        <v>2177</v>
      </c>
      <c r="B4183" s="312" t="s">
        <v>413</v>
      </c>
      <c r="C4183" s="382" t="s">
        <v>414</v>
      </c>
      <c r="D4183" s="382" t="s">
        <v>415</v>
      </c>
      <c r="E4183" s="586" t="s">
        <v>1029</v>
      </c>
      <c r="F4183" s="586"/>
      <c r="G4183" s="383" t="s">
        <v>416</v>
      </c>
      <c r="H4183" s="312" t="s">
        <v>1030</v>
      </c>
      <c r="I4183" s="312" t="s">
        <v>3016</v>
      </c>
      <c r="J4183" s="312" t="s">
        <v>1031</v>
      </c>
      <c r="K4183" s="312" t="s">
        <v>1032</v>
      </c>
    </row>
    <row r="4184" spans="1:11" ht="25.5" customHeight="1" x14ac:dyDescent="0.3">
      <c r="A4184" s="313" t="s">
        <v>1033</v>
      </c>
      <c r="B4184" s="315" t="s">
        <v>3924</v>
      </c>
      <c r="C4184" s="313" t="s">
        <v>395</v>
      </c>
      <c r="D4184" s="313" t="s">
        <v>6040</v>
      </c>
      <c r="E4184" s="603" t="s">
        <v>7806</v>
      </c>
      <c r="F4184" s="603"/>
      <c r="G4184" s="314" t="s">
        <v>4</v>
      </c>
      <c r="H4184" s="399">
        <v>1</v>
      </c>
      <c r="I4184" s="316"/>
      <c r="J4184" s="316">
        <v>23.37</v>
      </c>
      <c r="K4184" s="316">
        <v>23.37</v>
      </c>
    </row>
    <row r="4185" spans="1:11" ht="15" customHeight="1" x14ac:dyDescent="0.3">
      <c r="A4185" s="408" t="s">
        <v>1034</v>
      </c>
      <c r="B4185" s="409" t="s">
        <v>1113</v>
      </c>
      <c r="C4185" s="408" t="s">
        <v>395</v>
      </c>
      <c r="D4185" s="408" t="s">
        <v>129</v>
      </c>
      <c r="E4185" s="604" t="s">
        <v>7768</v>
      </c>
      <c r="F4185" s="604"/>
      <c r="G4185" s="410" t="s">
        <v>6</v>
      </c>
      <c r="H4185" s="412">
        <v>0.12559999999999999</v>
      </c>
      <c r="I4185" s="412">
        <v>0</v>
      </c>
      <c r="J4185" s="411">
        <v>33.450000000000003</v>
      </c>
      <c r="K4185" s="411">
        <v>4.2013199999999999</v>
      </c>
    </row>
    <row r="4186" spans="1:11" ht="12.75" customHeight="1" x14ac:dyDescent="0.3">
      <c r="A4186" s="408" t="s">
        <v>1034</v>
      </c>
      <c r="B4186" s="409" t="s">
        <v>1112</v>
      </c>
      <c r="C4186" s="408" t="s">
        <v>395</v>
      </c>
      <c r="D4186" s="408" t="s">
        <v>137</v>
      </c>
      <c r="E4186" s="604" t="s">
        <v>7768</v>
      </c>
      <c r="F4186" s="604"/>
      <c r="G4186" s="410" t="s">
        <v>6</v>
      </c>
      <c r="H4186" s="412">
        <v>0.12559999999999999</v>
      </c>
      <c r="I4186" s="412">
        <v>0</v>
      </c>
      <c r="J4186" s="411">
        <v>40.299999999999997</v>
      </c>
      <c r="K4186" s="411">
        <v>5.06168</v>
      </c>
    </row>
    <row r="4187" spans="1:11" ht="30" customHeight="1" x14ac:dyDescent="0.3">
      <c r="A4187" s="400" t="s">
        <v>1038</v>
      </c>
      <c r="B4187" s="401" t="s">
        <v>4670</v>
      </c>
      <c r="C4187" s="400" t="s">
        <v>395</v>
      </c>
      <c r="D4187" s="400" t="s">
        <v>4671</v>
      </c>
      <c r="E4187" s="605" t="s">
        <v>1039</v>
      </c>
      <c r="F4187" s="605"/>
      <c r="G4187" s="402" t="s">
        <v>4</v>
      </c>
      <c r="H4187" s="403">
        <v>1</v>
      </c>
      <c r="I4187" s="403">
        <v>0</v>
      </c>
      <c r="J4187" s="404">
        <v>11.7</v>
      </c>
      <c r="K4187" s="404">
        <v>11.7</v>
      </c>
    </row>
    <row r="4188" spans="1:11" ht="30" customHeight="1" x14ac:dyDescent="0.3">
      <c r="A4188" s="400" t="s">
        <v>1038</v>
      </c>
      <c r="B4188" s="401" t="s">
        <v>2587</v>
      </c>
      <c r="C4188" s="400" t="s">
        <v>395</v>
      </c>
      <c r="D4188" s="400" t="s">
        <v>349</v>
      </c>
      <c r="E4188" s="605" t="s">
        <v>1039</v>
      </c>
      <c r="F4188" s="605"/>
      <c r="G4188" s="402" t="s">
        <v>4</v>
      </c>
      <c r="H4188" s="403">
        <v>1.06E-2</v>
      </c>
      <c r="I4188" s="403">
        <v>0</v>
      </c>
      <c r="J4188" s="404">
        <v>79.17</v>
      </c>
      <c r="K4188" s="404">
        <v>0.839202</v>
      </c>
    </row>
    <row r="4189" spans="1:11" ht="14.25" customHeight="1" x14ac:dyDescent="0.3">
      <c r="A4189" s="400" t="s">
        <v>1038</v>
      </c>
      <c r="B4189" s="401" t="s">
        <v>2535</v>
      </c>
      <c r="C4189" s="400" t="s">
        <v>395</v>
      </c>
      <c r="D4189" s="400" t="s">
        <v>262</v>
      </c>
      <c r="E4189" s="605" t="s">
        <v>1039</v>
      </c>
      <c r="F4189" s="605"/>
      <c r="G4189" s="402" t="s">
        <v>4</v>
      </c>
      <c r="H4189" s="403">
        <v>1.2E-2</v>
      </c>
      <c r="I4189" s="403">
        <v>0</v>
      </c>
      <c r="J4189" s="404">
        <v>16.45</v>
      </c>
      <c r="K4189" s="404">
        <v>0.19739999999999999</v>
      </c>
    </row>
    <row r="4190" spans="1:11" ht="25.5" customHeight="1" x14ac:dyDescent="0.3">
      <c r="A4190" s="400" t="s">
        <v>1038</v>
      </c>
      <c r="B4190" s="401" t="s">
        <v>2588</v>
      </c>
      <c r="C4190" s="400" t="s">
        <v>395</v>
      </c>
      <c r="D4190" s="400" t="s">
        <v>350</v>
      </c>
      <c r="E4190" s="605" t="s">
        <v>1039</v>
      </c>
      <c r="F4190" s="605"/>
      <c r="G4190" s="402" t="s">
        <v>4</v>
      </c>
      <c r="H4190" s="403">
        <v>1.4999999999999999E-2</v>
      </c>
      <c r="I4190" s="403">
        <v>0</v>
      </c>
      <c r="J4190" s="404">
        <v>89.7</v>
      </c>
      <c r="K4190" s="404">
        <v>1.3454999999999999</v>
      </c>
    </row>
    <row r="4191" spans="1:11" ht="25.5" customHeight="1" x14ac:dyDescent="0.3">
      <c r="A4191" s="400" t="s">
        <v>1038</v>
      </c>
      <c r="B4191" s="401" t="s">
        <v>1372</v>
      </c>
      <c r="C4191" s="400" t="s">
        <v>395</v>
      </c>
      <c r="D4191" s="400" t="s">
        <v>266</v>
      </c>
      <c r="E4191" s="605" t="s">
        <v>1039</v>
      </c>
      <c r="F4191" s="605"/>
      <c r="G4191" s="402" t="s">
        <v>4</v>
      </c>
      <c r="H4191" s="403">
        <v>1.0500000000000001E-2</v>
      </c>
      <c r="I4191" s="403">
        <v>0</v>
      </c>
      <c r="J4191" s="404">
        <v>2.09</v>
      </c>
      <c r="K4191" s="404">
        <v>2.1944999999999999E-2</v>
      </c>
    </row>
    <row r="4192" spans="1:11" ht="17.399999999999999" customHeight="1" x14ac:dyDescent="0.3">
      <c r="A4192" s="405"/>
      <c r="B4192" s="405"/>
      <c r="C4192" s="405"/>
      <c r="D4192" s="405"/>
      <c r="E4192" s="405" t="s">
        <v>1046</v>
      </c>
      <c r="F4192" s="406">
        <v>6.82</v>
      </c>
      <c r="G4192" s="405" t="s">
        <v>1047</v>
      </c>
      <c r="H4192" s="406">
        <v>0</v>
      </c>
      <c r="I4192" s="405" t="s">
        <v>1048</v>
      </c>
      <c r="J4192" s="406">
        <v>6.82</v>
      </c>
      <c r="K4192"/>
    </row>
    <row r="4193" spans="1:11" ht="25.5" customHeight="1" thickBot="1" x14ac:dyDescent="0.35">
      <c r="A4193" s="405"/>
      <c r="B4193" s="405"/>
      <c r="C4193" s="405"/>
      <c r="D4193" s="405"/>
      <c r="E4193" s="405" t="s">
        <v>1049</v>
      </c>
      <c r="F4193" s="406">
        <v>0</v>
      </c>
      <c r="G4193" s="405"/>
      <c r="H4193" s="606"/>
      <c r="I4193" s="606" t="s">
        <v>1050</v>
      </c>
      <c r="J4193" s="406">
        <v>23.37</v>
      </c>
      <c r="K4193"/>
    </row>
    <row r="4194" spans="1:11" ht="15.6" thickTop="1" x14ac:dyDescent="0.3">
      <c r="A4194" s="407"/>
      <c r="B4194" s="407"/>
      <c r="C4194" s="407"/>
      <c r="D4194" s="407"/>
      <c r="E4194" s="407"/>
      <c r="F4194" s="407"/>
      <c r="G4194" s="407"/>
      <c r="H4194" s="407"/>
      <c r="I4194" s="407"/>
      <c r="J4194" s="407"/>
      <c r="K4194" s="407"/>
    </row>
    <row r="4195" spans="1:11" ht="15" customHeight="1" x14ac:dyDescent="0.3">
      <c r="A4195" s="382" t="s">
        <v>3324</v>
      </c>
      <c r="B4195" s="312" t="s">
        <v>413</v>
      </c>
      <c r="C4195" s="382" t="s">
        <v>414</v>
      </c>
      <c r="D4195" s="382" t="s">
        <v>415</v>
      </c>
      <c r="E4195" s="586" t="s">
        <v>1029</v>
      </c>
      <c r="F4195" s="586"/>
      <c r="G4195" s="383" t="s">
        <v>416</v>
      </c>
      <c r="H4195" s="312" t="s">
        <v>1030</v>
      </c>
      <c r="I4195" s="312" t="s">
        <v>3016</v>
      </c>
      <c r="J4195" s="312" t="s">
        <v>1031</v>
      </c>
      <c r="K4195" s="312" t="s">
        <v>1032</v>
      </c>
    </row>
    <row r="4196" spans="1:11" ht="30" customHeight="1" x14ac:dyDescent="0.3">
      <c r="A4196" s="313" t="s">
        <v>1033</v>
      </c>
      <c r="B4196" s="315" t="s">
        <v>3925</v>
      </c>
      <c r="C4196" s="313" t="s">
        <v>395</v>
      </c>
      <c r="D4196" s="313" t="s">
        <v>112</v>
      </c>
      <c r="E4196" s="603" t="s">
        <v>1319</v>
      </c>
      <c r="F4196" s="603"/>
      <c r="G4196" s="314" t="s">
        <v>4</v>
      </c>
      <c r="H4196" s="399">
        <v>1</v>
      </c>
      <c r="I4196" s="316"/>
      <c r="J4196" s="316">
        <v>30.62</v>
      </c>
      <c r="K4196" s="316">
        <v>30.62</v>
      </c>
    </row>
    <row r="4197" spans="1:11" ht="30" customHeight="1" x14ac:dyDescent="0.3">
      <c r="A4197" s="408" t="s">
        <v>1034</v>
      </c>
      <c r="B4197" s="409" t="s">
        <v>1113</v>
      </c>
      <c r="C4197" s="408" t="s">
        <v>395</v>
      </c>
      <c r="D4197" s="408" t="s">
        <v>129</v>
      </c>
      <c r="E4197" s="604" t="s">
        <v>7768</v>
      </c>
      <c r="F4197" s="604"/>
      <c r="G4197" s="410" t="s">
        <v>6</v>
      </c>
      <c r="H4197" s="412">
        <v>0.23100000000000001</v>
      </c>
      <c r="I4197" s="412">
        <v>0</v>
      </c>
      <c r="J4197" s="411">
        <v>33.450000000000003</v>
      </c>
      <c r="K4197" s="411">
        <v>7.7269500000000004</v>
      </c>
    </row>
    <row r="4198" spans="1:11" ht="14.25" customHeight="1" x14ac:dyDescent="0.3">
      <c r="A4198" s="408" t="s">
        <v>1034</v>
      </c>
      <c r="B4198" s="409" t="s">
        <v>1112</v>
      </c>
      <c r="C4198" s="408" t="s">
        <v>395</v>
      </c>
      <c r="D4198" s="408" t="s">
        <v>137</v>
      </c>
      <c r="E4198" s="604" t="s">
        <v>7768</v>
      </c>
      <c r="F4198" s="604"/>
      <c r="G4198" s="410" t="s">
        <v>6</v>
      </c>
      <c r="H4198" s="412">
        <v>0.23100000000000001</v>
      </c>
      <c r="I4198" s="412">
        <v>0</v>
      </c>
      <c r="J4198" s="411">
        <v>40.299999999999997</v>
      </c>
      <c r="K4198" s="411">
        <v>9.3093000000000004</v>
      </c>
    </row>
    <row r="4199" spans="1:11" ht="15" customHeight="1" x14ac:dyDescent="0.3">
      <c r="A4199" s="400" t="s">
        <v>1038</v>
      </c>
      <c r="B4199" s="401" t="s">
        <v>4561</v>
      </c>
      <c r="C4199" s="400" t="s">
        <v>395</v>
      </c>
      <c r="D4199" s="400" t="s">
        <v>4562</v>
      </c>
      <c r="E4199" s="605" t="s">
        <v>1039</v>
      </c>
      <c r="F4199" s="605"/>
      <c r="G4199" s="402" t="s">
        <v>4</v>
      </c>
      <c r="H4199" s="403">
        <v>1</v>
      </c>
      <c r="I4199" s="403">
        <v>0</v>
      </c>
      <c r="J4199" s="404">
        <v>11.36</v>
      </c>
      <c r="K4199" s="404">
        <v>11.36</v>
      </c>
    </row>
    <row r="4200" spans="1:11" ht="25.5" customHeight="1" x14ac:dyDescent="0.3">
      <c r="A4200" s="400" t="s">
        <v>1038</v>
      </c>
      <c r="B4200" s="401" t="s">
        <v>4410</v>
      </c>
      <c r="C4200" s="400" t="s">
        <v>395</v>
      </c>
      <c r="D4200" s="400" t="s">
        <v>4411</v>
      </c>
      <c r="E4200" s="605" t="s">
        <v>1039</v>
      </c>
      <c r="F4200" s="605"/>
      <c r="G4200" s="402" t="s">
        <v>4</v>
      </c>
      <c r="H4200" s="403">
        <v>4.5999999999999999E-2</v>
      </c>
      <c r="I4200" s="403">
        <v>0</v>
      </c>
      <c r="J4200" s="404">
        <v>25.84</v>
      </c>
      <c r="K4200" s="404">
        <v>1.1886399999999999</v>
      </c>
    </row>
    <row r="4201" spans="1:11" ht="25.5" customHeight="1" x14ac:dyDescent="0.3">
      <c r="A4201" s="400" t="s">
        <v>1038</v>
      </c>
      <c r="B4201" s="401" t="s">
        <v>1372</v>
      </c>
      <c r="C4201" s="400" t="s">
        <v>395</v>
      </c>
      <c r="D4201" s="400" t="s">
        <v>266</v>
      </c>
      <c r="E4201" s="605" t="s">
        <v>1039</v>
      </c>
      <c r="F4201" s="605"/>
      <c r="G4201" s="402" t="s">
        <v>4</v>
      </c>
      <c r="H4201" s="403">
        <v>2.3E-2</v>
      </c>
      <c r="I4201" s="403">
        <v>0</v>
      </c>
      <c r="J4201" s="404">
        <v>2.09</v>
      </c>
      <c r="K4201" s="404">
        <v>4.8070000000000002E-2</v>
      </c>
    </row>
    <row r="4202" spans="1:11" ht="25.5" customHeight="1" x14ac:dyDescent="0.3">
      <c r="A4202" s="400" t="s">
        <v>1038</v>
      </c>
      <c r="B4202" s="401" t="s">
        <v>2588</v>
      </c>
      <c r="C4202" s="400" t="s">
        <v>395</v>
      </c>
      <c r="D4202" s="400" t="s">
        <v>350</v>
      </c>
      <c r="E4202" s="605" t="s">
        <v>1039</v>
      </c>
      <c r="F4202" s="605"/>
      <c r="G4202" s="402" t="s">
        <v>4</v>
      </c>
      <c r="H4202" s="403">
        <v>1.0999999999999999E-2</v>
      </c>
      <c r="I4202" s="403">
        <v>0</v>
      </c>
      <c r="J4202" s="404">
        <v>89.7</v>
      </c>
      <c r="K4202" s="404">
        <v>0.98670000000000002</v>
      </c>
    </row>
    <row r="4203" spans="1:11" ht="25.5" customHeight="1" x14ac:dyDescent="0.3">
      <c r="A4203" s="405"/>
      <c r="B4203" s="405"/>
      <c r="C4203" s="405"/>
      <c r="D4203" s="405"/>
      <c r="E4203" s="405" t="s">
        <v>1046</v>
      </c>
      <c r="F4203" s="406">
        <v>12.54</v>
      </c>
      <c r="G4203" s="405" t="s">
        <v>1047</v>
      </c>
      <c r="H4203" s="406">
        <v>0</v>
      </c>
      <c r="I4203" s="405" t="s">
        <v>1048</v>
      </c>
      <c r="J4203" s="406">
        <v>12.54</v>
      </c>
      <c r="K4203"/>
    </row>
    <row r="4204" spans="1:11" ht="25.5" customHeight="1" thickBot="1" x14ac:dyDescent="0.35">
      <c r="A4204" s="405"/>
      <c r="B4204" s="405"/>
      <c r="C4204" s="405"/>
      <c r="D4204" s="405"/>
      <c r="E4204" s="405" t="s">
        <v>1049</v>
      </c>
      <c r="F4204" s="406">
        <v>0</v>
      </c>
      <c r="G4204" s="405"/>
      <c r="H4204" s="606"/>
      <c r="I4204" s="606" t="s">
        <v>1050</v>
      </c>
      <c r="J4204" s="406">
        <v>30.62</v>
      </c>
      <c r="K4204"/>
    </row>
    <row r="4205" spans="1:11" ht="30" customHeight="1" thickTop="1" x14ac:dyDescent="0.3">
      <c r="A4205" s="407"/>
      <c r="B4205" s="407"/>
      <c r="C4205" s="407"/>
      <c r="D4205" s="407"/>
      <c r="E4205" s="407"/>
      <c r="F4205" s="407"/>
      <c r="G4205" s="407"/>
      <c r="H4205" s="407"/>
      <c r="I4205" s="407"/>
      <c r="J4205" s="407"/>
      <c r="K4205" s="407"/>
    </row>
    <row r="4206" spans="1:11" ht="15" customHeight="1" x14ac:dyDescent="0.3">
      <c r="A4206" s="382" t="s">
        <v>2203</v>
      </c>
      <c r="B4206" s="312" t="s">
        <v>413</v>
      </c>
      <c r="C4206" s="382" t="s">
        <v>414</v>
      </c>
      <c r="D4206" s="382" t="s">
        <v>415</v>
      </c>
      <c r="E4206" s="586" t="s">
        <v>1029</v>
      </c>
      <c r="F4206" s="586"/>
      <c r="G4206" s="383" t="s">
        <v>416</v>
      </c>
      <c r="H4206" s="312" t="s">
        <v>1030</v>
      </c>
      <c r="I4206" s="312" t="s">
        <v>3016</v>
      </c>
      <c r="J4206" s="312" t="s">
        <v>1031</v>
      </c>
      <c r="K4206" s="312" t="s">
        <v>1032</v>
      </c>
    </row>
    <row r="4207" spans="1:11" ht="14.25" customHeight="1" x14ac:dyDescent="0.3">
      <c r="A4207" s="313" t="s">
        <v>1033</v>
      </c>
      <c r="B4207" s="315" t="s">
        <v>3926</v>
      </c>
      <c r="C4207" s="313" t="s">
        <v>395</v>
      </c>
      <c r="D4207" s="313" t="s">
        <v>113</v>
      </c>
      <c r="E4207" s="603" t="s">
        <v>1319</v>
      </c>
      <c r="F4207" s="603"/>
      <c r="G4207" s="314" t="s">
        <v>4</v>
      </c>
      <c r="H4207" s="399">
        <v>1</v>
      </c>
      <c r="I4207" s="316"/>
      <c r="J4207" s="316">
        <v>67.36</v>
      </c>
      <c r="K4207" s="316">
        <v>67.36</v>
      </c>
    </row>
    <row r="4208" spans="1:11" ht="14.25" customHeight="1" x14ac:dyDescent="0.3">
      <c r="A4208" s="408" t="s">
        <v>1034</v>
      </c>
      <c r="B4208" s="409" t="s">
        <v>1113</v>
      </c>
      <c r="C4208" s="408" t="s">
        <v>395</v>
      </c>
      <c r="D4208" s="408" t="s">
        <v>129</v>
      </c>
      <c r="E4208" s="604" t="s">
        <v>7768</v>
      </c>
      <c r="F4208" s="604"/>
      <c r="G4208" s="410" t="s">
        <v>6</v>
      </c>
      <c r="H4208" s="412">
        <v>0.23100000000000001</v>
      </c>
      <c r="I4208" s="412">
        <v>0</v>
      </c>
      <c r="J4208" s="411">
        <v>33.450000000000003</v>
      </c>
      <c r="K4208" s="411">
        <v>7.7269500000000004</v>
      </c>
    </row>
    <row r="4209" spans="1:11" ht="26.4" x14ac:dyDescent="0.3">
      <c r="A4209" s="408" t="s">
        <v>1034</v>
      </c>
      <c r="B4209" s="409" t="s">
        <v>1112</v>
      </c>
      <c r="C4209" s="408" t="s">
        <v>395</v>
      </c>
      <c r="D4209" s="408" t="s">
        <v>137</v>
      </c>
      <c r="E4209" s="604" t="s">
        <v>7768</v>
      </c>
      <c r="F4209" s="604"/>
      <c r="G4209" s="410" t="s">
        <v>6</v>
      </c>
      <c r="H4209" s="412">
        <v>0.23100000000000001</v>
      </c>
      <c r="I4209" s="412">
        <v>0</v>
      </c>
      <c r="J4209" s="411">
        <v>40.299999999999997</v>
      </c>
      <c r="K4209" s="411">
        <v>9.3093000000000004</v>
      </c>
    </row>
    <row r="4210" spans="1:11" ht="15" customHeight="1" x14ac:dyDescent="0.3">
      <c r="A4210" s="400" t="s">
        <v>1038</v>
      </c>
      <c r="B4210" s="401" t="s">
        <v>4443</v>
      </c>
      <c r="C4210" s="400" t="s">
        <v>395</v>
      </c>
      <c r="D4210" s="400" t="s">
        <v>4444</v>
      </c>
      <c r="E4210" s="605" t="s">
        <v>1039</v>
      </c>
      <c r="F4210" s="605"/>
      <c r="G4210" s="402" t="s">
        <v>4</v>
      </c>
      <c r="H4210" s="403">
        <v>1</v>
      </c>
      <c r="I4210" s="403">
        <v>0</v>
      </c>
      <c r="J4210" s="404">
        <v>48.1</v>
      </c>
      <c r="K4210" s="404">
        <v>48.1</v>
      </c>
    </row>
    <row r="4211" spans="1:11" ht="25.5" customHeight="1" x14ac:dyDescent="0.3">
      <c r="A4211" s="400" t="s">
        <v>1038</v>
      </c>
      <c r="B4211" s="401" t="s">
        <v>4410</v>
      </c>
      <c r="C4211" s="400" t="s">
        <v>395</v>
      </c>
      <c r="D4211" s="400" t="s">
        <v>4411</v>
      </c>
      <c r="E4211" s="605" t="s">
        <v>1039</v>
      </c>
      <c r="F4211" s="605"/>
      <c r="G4211" s="402" t="s">
        <v>4</v>
      </c>
      <c r="H4211" s="403">
        <v>4.5999999999999999E-2</v>
      </c>
      <c r="I4211" s="403">
        <v>0</v>
      </c>
      <c r="J4211" s="404">
        <v>25.84</v>
      </c>
      <c r="K4211" s="404">
        <v>1.1886399999999999</v>
      </c>
    </row>
    <row r="4212" spans="1:11" ht="25.5" customHeight="1" x14ac:dyDescent="0.3">
      <c r="A4212" s="400" t="s">
        <v>1038</v>
      </c>
      <c r="B4212" s="401" t="s">
        <v>1372</v>
      </c>
      <c r="C4212" s="400" t="s">
        <v>395</v>
      </c>
      <c r="D4212" s="400" t="s">
        <v>266</v>
      </c>
      <c r="E4212" s="605" t="s">
        <v>1039</v>
      </c>
      <c r="F4212" s="605"/>
      <c r="G4212" s="402" t="s">
        <v>4</v>
      </c>
      <c r="H4212" s="403">
        <v>2.3E-2</v>
      </c>
      <c r="I4212" s="403">
        <v>0</v>
      </c>
      <c r="J4212" s="404">
        <v>2.09</v>
      </c>
      <c r="K4212" s="404">
        <v>4.8070000000000002E-2</v>
      </c>
    </row>
    <row r="4213" spans="1:11" ht="25.5" customHeight="1" x14ac:dyDescent="0.3">
      <c r="A4213" s="400" t="s">
        <v>1038</v>
      </c>
      <c r="B4213" s="401" t="s">
        <v>2588</v>
      </c>
      <c r="C4213" s="400" t="s">
        <v>395</v>
      </c>
      <c r="D4213" s="400" t="s">
        <v>350</v>
      </c>
      <c r="E4213" s="605" t="s">
        <v>1039</v>
      </c>
      <c r="F4213" s="605"/>
      <c r="G4213" s="402" t="s">
        <v>4</v>
      </c>
      <c r="H4213" s="403">
        <v>1.0999999999999999E-2</v>
      </c>
      <c r="I4213" s="403">
        <v>0</v>
      </c>
      <c r="J4213" s="404">
        <v>89.7</v>
      </c>
      <c r="K4213" s="404">
        <v>0.98670000000000002</v>
      </c>
    </row>
    <row r="4214" spans="1:11" ht="25.5" customHeight="1" x14ac:dyDescent="0.3">
      <c r="A4214" s="405"/>
      <c r="B4214" s="405"/>
      <c r="C4214" s="405"/>
      <c r="D4214" s="405"/>
      <c r="E4214" s="405" t="s">
        <v>1046</v>
      </c>
      <c r="F4214" s="406">
        <v>12.54</v>
      </c>
      <c r="G4214" s="405" t="s">
        <v>1047</v>
      </c>
      <c r="H4214" s="406">
        <v>0</v>
      </c>
      <c r="I4214" s="405" t="s">
        <v>1048</v>
      </c>
      <c r="J4214" s="406">
        <v>12.54</v>
      </c>
      <c r="K4214"/>
    </row>
    <row r="4215" spans="1:11" ht="30" customHeight="1" thickBot="1" x14ac:dyDescent="0.35">
      <c r="A4215" s="405"/>
      <c r="B4215" s="405"/>
      <c r="C4215" s="405"/>
      <c r="D4215" s="405"/>
      <c r="E4215" s="405" t="s">
        <v>1049</v>
      </c>
      <c r="F4215" s="406">
        <v>0</v>
      </c>
      <c r="G4215" s="405"/>
      <c r="H4215" s="606"/>
      <c r="I4215" s="606" t="s">
        <v>1050</v>
      </c>
      <c r="J4215" s="406">
        <v>67.36</v>
      </c>
      <c r="K4215"/>
    </row>
    <row r="4216" spans="1:11" ht="15" customHeight="1" thickTop="1" x14ac:dyDescent="0.3">
      <c r="A4216" s="407"/>
      <c r="B4216" s="407"/>
      <c r="C4216" s="407"/>
      <c r="D4216" s="407"/>
      <c r="E4216" s="407"/>
      <c r="F4216" s="407"/>
      <c r="G4216" s="407"/>
      <c r="H4216" s="407"/>
      <c r="I4216" s="407"/>
      <c r="J4216" s="407"/>
      <c r="K4216" s="407"/>
    </row>
    <row r="4217" spans="1:11" ht="15" x14ac:dyDescent="0.3">
      <c r="A4217" s="382" t="s">
        <v>2202</v>
      </c>
      <c r="B4217" s="312" t="s">
        <v>413</v>
      </c>
      <c r="C4217" s="382" t="s">
        <v>414</v>
      </c>
      <c r="D4217" s="382" t="s">
        <v>415</v>
      </c>
      <c r="E4217" s="586" t="s">
        <v>1029</v>
      </c>
      <c r="F4217" s="586"/>
      <c r="G4217" s="383" t="s">
        <v>416</v>
      </c>
      <c r="H4217" s="312" t="s">
        <v>1030</v>
      </c>
      <c r="I4217" s="312" t="s">
        <v>3016</v>
      </c>
      <c r="J4217" s="312" t="s">
        <v>1031</v>
      </c>
      <c r="K4217" s="312" t="s">
        <v>1032</v>
      </c>
    </row>
    <row r="4218" spans="1:11" ht="14.25" customHeight="1" x14ac:dyDescent="0.3">
      <c r="A4218" s="313" t="s">
        <v>1033</v>
      </c>
      <c r="B4218" s="315" t="s">
        <v>3927</v>
      </c>
      <c r="C4218" s="313" t="s">
        <v>395</v>
      </c>
      <c r="D4218" s="313" t="s">
        <v>114</v>
      </c>
      <c r="E4218" s="603" t="s">
        <v>1319</v>
      </c>
      <c r="F4218" s="603"/>
      <c r="G4218" s="314" t="s">
        <v>4</v>
      </c>
      <c r="H4218" s="399">
        <v>1</v>
      </c>
      <c r="I4218" s="316"/>
      <c r="J4218" s="316">
        <v>87.57</v>
      </c>
      <c r="K4218" s="316">
        <v>87.57</v>
      </c>
    </row>
    <row r="4219" spans="1:11" ht="17.399999999999999" customHeight="1" x14ac:dyDescent="0.3">
      <c r="A4219" s="408" t="s">
        <v>1034</v>
      </c>
      <c r="B4219" s="409" t="s">
        <v>1113</v>
      </c>
      <c r="C4219" s="408" t="s">
        <v>395</v>
      </c>
      <c r="D4219" s="408" t="s">
        <v>129</v>
      </c>
      <c r="E4219" s="604" t="s">
        <v>7768</v>
      </c>
      <c r="F4219" s="604"/>
      <c r="G4219" s="410" t="s">
        <v>6</v>
      </c>
      <c r="H4219" s="412">
        <v>0.308</v>
      </c>
      <c r="I4219" s="412">
        <v>0</v>
      </c>
      <c r="J4219" s="411">
        <v>33.450000000000003</v>
      </c>
      <c r="K4219" s="411">
        <v>10.3026</v>
      </c>
    </row>
    <row r="4220" spans="1:11" ht="15" customHeight="1" x14ac:dyDescent="0.3">
      <c r="A4220" s="408" t="s">
        <v>1034</v>
      </c>
      <c r="B4220" s="409" t="s">
        <v>1112</v>
      </c>
      <c r="C4220" s="408" t="s">
        <v>395</v>
      </c>
      <c r="D4220" s="408" t="s">
        <v>137</v>
      </c>
      <c r="E4220" s="604" t="s">
        <v>7768</v>
      </c>
      <c r="F4220" s="604"/>
      <c r="G4220" s="410" t="s">
        <v>6</v>
      </c>
      <c r="H4220" s="412">
        <v>0.308</v>
      </c>
      <c r="I4220" s="412">
        <v>0</v>
      </c>
      <c r="J4220" s="411">
        <v>40.299999999999997</v>
      </c>
      <c r="K4220" s="411">
        <v>12.4124</v>
      </c>
    </row>
    <row r="4221" spans="1:11" ht="25.5" customHeight="1" x14ac:dyDescent="0.3">
      <c r="A4221" s="400" t="s">
        <v>1038</v>
      </c>
      <c r="B4221" s="401" t="s">
        <v>4407</v>
      </c>
      <c r="C4221" s="400" t="s">
        <v>395</v>
      </c>
      <c r="D4221" s="400" t="s">
        <v>4408</v>
      </c>
      <c r="E4221" s="605" t="s">
        <v>1039</v>
      </c>
      <c r="F4221" s="605"/>
      <c r="G4221" s="402" t="s">
        <v>4</v>
      </c>
      <c r="H4221" s="403">
        <v>1</v>
      </c>
      <c r="I4221" s="403">
        <v>0</v>
      </c>
      <c r="J4221" s="404">
        <v>55.11</v>
      </c>
      <c r="K4221" s="404">
        <v>55.11</v>
      </c>
    </row>
    <row r="4222" spans="1:11" ht="25.5" customHeight="1" x14ac:dyDescent="0.3">
      <c r="A4222" s="400" t="s">
        <v>1038</v>
      </c>
      <c r="B4222" s="401" t="s">
        <v>4410</v>
      </c>
      <c r="C4222" s="400" t="s">
        <v>395</v>
      </c>
      <c r="D4222" s="400" t="s">
        <v>4411</v>
      </c>
      <c r="E4222" s="605" t="s">
        <v>1039</v>
      </c>
      <c r="F4222" s="605"/>
      <c r="G4222" s="402" t="s">
        <v>4</v>
      </c>
      <c r="H4222" s="403">
        <v>0.19400000000000001</v>
      </c>
      <c r="I4222" s="403">
        <v>0</v>
      </c>
      <c r="J4222" s="404">
        <v>25.84</v>
      </c>
      <c r="K4222" s="404">
        <v>5.0129599999999996</v>
      </c>
    </row>
    <row r="4223" spans="1:11" ht="25.5" customHeight="1" x14ac:dyDescent="0.3">
      <c r="A4223" s="400" t="s">
        <v>1038</v>
      </c>
      <c r="B4223" s="401" t="s">
        <v>1372</v>
      </c>
      <c r="C4223" s="400" t="s">
        <v>395</v>
      </c>
      <c r="D4223" s="400" t="s">
        <v>266</v>
      </c>
      <c r="E4223" s="605" t="s">
        <v>1039</v>
      </c>
      <c r="F4223" s="605"/>
      <c r="G4223" s="402" t="s">
        <v>4</v>
      </c>
      <c r="H4223" s="403">
        <v>3.1E-2</v>
      </c>
      <c r="I4223" s="403">
        <v>0</v>
      </c>
      <c r="J4223" s="404">
        <v>2.09</v>
      </c>
      <c r="K4223" s="404">
        <v>6.479E-2</v>
      </c>
    </row>
    <row r="4224" spans="1:11" ht="25.5" customHeight="1" x14ac:dyDescent="0.3">
      <c r="A4224" s="400" t="s">
        <v>1038</v>
      </c>
      <c r="B4224" s="401" t="s">
        <v>2588</v>
      </c>
      <c r="C4224" s="400" t="s">
        <v>395</v>
      </c>
      <c r="D4224" s="400" t="s">
        <v>350</v>
      </c>
      <c r="E4224" s="605" t="s">
        <v>1039</v>
      </c>
      <c r="F4224" s="605"/>
      <c r="G4224" s="402" t="s">
        <v>4</v>
      </c>
      <c r="H4224" s="403">
        <v>5.1999999999999998E-2</v>
      </c>
      <c r="I4224" s="403">
        <v>0</v>
      </c>
      <c r="J4224" s="404">
        <v>89.7</v>
      </c>
      <c r="K4224" s="404">
        <v>4.6643999999999997</v>
      </c>
    </row>
    <row r="4225" spans="1:11" ht="15" x14ac:dyDescent="0.3">
      <c r="A4225" s="405"/>
      <c r="B4225" s="405"/>
      <c r="C4225" s="405"/>
      <c r="D4225" s="405"/>
      <c r="E4225" s="405" t="s">
        <v>1046</v>
      </c>
      <c r="F4225" s="406">
        <v>16.73</v>
      </c>
      <c r="G4225" s="405" t="s">
        <v>1047</v>
      </c>
      <c r="H4225" s="406">
        <v>0</v>
      </c>
      <c r="I4225" s="405" t="s">
        <v>1048</v>
      </c>
      <c r="J4225" s="406">
        <v>16.73</v>
      </c>
      <c r="K4225"/>
    </row>
    <row r="4226" spans="1:11" ht="15.6" thickBot="1" x14ac:dyDescent="0.35">
      <c r="A4226" s="405"/>
      <c r="B4226" s="405"/>
      <c r="C4226" s="405"/>
      <c r="D4226" s="405"/>
      <c r="E4226" s="405" t="s">
        <v>1049</v>
      </c>
      <c r="F4226" s="406">
        <v>0</v>
      </c>
      <c r="G4226" s="405"/>
      <c r="H4226" s="606"/>
      <c r="I4226" s="606" t="s">
        <v>1050</v>
      </c>
      <c r="J4226" s="406">
        <v>87.57</v>
      </c>
      <c r="K4226"/>
    </row>
    <row r="4227" spans="1:11" ht="15" customHeight="1" thickTop="1" x14ac:dyDescent="0.3">
      <c r="A4227" s="407"/>
      <c r="B4227" s="407"/>
      <c r="C4227" s="407"/>
      <c r="D4227" s="407"/>
      <c r="E4227" s="407"/>
      <c r="F4227" s="407"/>
      <c r="G4227" s="407"/>
      <c r="H4227" s="407"/>
      <c r="I4227" s="407"/>
      <c r="J4227" s="407"/>
      <c r="K4227" s="407"/>
    </row>
    <row r="4228" spans="1:11" ht="14.25" customHeight="1" x14ac:dyDescent="0.3">
      <c r="A4228" s="382" t="s">
        <v>3325</v>
      </c>
      <c r="B4228" s="312" t="s">
        <v>413</v>
      </c>
      <c r="C4228" s="382" t="s">
        <v>414</v>
      </c>
      <c r="D4228" s="382" t="s">
        <v>415</v>
      </c>
      <c r="E4228" s="586" t="s">
        <v>1029</v>
      </c>
      <c r="F4228" s="586"/>
      <c r="G4228" s="383" t="s">
        <v>416</v>
      </c>
      <c r="H4228" s="312" t="s">
        <v>1030</v>
      </c>
      <c r="I4228" s="312" t="s">
        <v>3016</v>
      </c>
      <c r="J4228" s="312" t="s">
        <v>1031</v>
      </c>
      <c r="K4228" s="312" t="s">
        <v>1032</v>
      </c>
    </row>
    <row r="4229" spans="1:11" ht="25.5" customHeight="1" x14ac:dyDescent="0.3">
      <c r="A4229" s="313" t="s">
        <v>1033</v>
      </c>
      <c r="B4229" s="315" t="s">
        <v>3928</v>
      </c>
      <c r="C4229" s="313" t="s">
        <v>395</v>
      </c>
      <c r="D4229" s="313" t="s">
        <v>115</v>
      </c>
      <c r="E4229" s="603" t="s">
        <v>1319</v>
      </c>
      <c r="F4229" s="603"/>
      <c r="G4229" s="314" t="s">
        <v>4</v>
      </c>
      <c r="H4229" s="399">
        <v>1</v>
      </c>
      <c r="I4229" s="316"/>
      <c r="J4229" s="316">
        <v>126.72</v>
      </c>
      <c r="K4229" s="316">
        <v>126.72</v>
      </c>
    </row>
    <row r="4230" spans="1:11" ht="26.4" x14ac:dyDescent="0.3">
      <c r="A4230" s="408" t="s">
        <v>1034</v>
      </c>
      <c r="B4230" s="409" t="s">
        <v>1113</v>
      </c>
      <c r="C4230" s="408" t="s">
        <v>395</v>
      </c>
      <c r="D4230" s="408" t="s">
        <v>129</v>
      </c>
      <c r="E4230" s="604" t="s">
        <v>7768</v>
      </c>
      <c r="F4230" s="604"/>
      <c r="G4230" s="410" t="s">
        <v>6</v>
      </c>
      <c r="H4230" s="412">
        <v>0.308</v>
      </c>
      <c r="I4230" s="412">
        <v>0</v>
      </c>
      <c r="J4230" s="411">
        <v>33.450000000000003</v>
      </c>
      <c r="K4230" s="411">
        <v>10.3026</v>
      </c>
    </row>
    <row r="4231" spans="1:11" ht="38.25" customHeight="1" x14ac:dyDescent="0.3">
      <c r="A4231" s="408" t="s">
        <v>1034</v>
      </c>
      <c r="B4231" s="409" t="s">
        <v>1112</v>
      </c>
      <c r="C4231" s="408" t="s">
        <v>395</v>
      </c>
      <c r="D4231" s="408" t="s">
        <v>137</v>
      </c>
      <c r="E4231" s="604" t="s">
        <v>7768</v>
      </c>
      <c r="F4231" s="604"/>
      <c r="G4231" s="410" t="s">
        <v>6</v>
      </c>
      <c r="H4231" s="412">
        <v>0.308</v>
      </c>
      <c r="I4231" s="412">
        <v>0</v>
      </c>
      <c r="J4231" s="411">
        <v>40.299999999999997</v>
      </c>
      <c r="K4231" s="411">
        <v>12.4124</v>
      </c>
    </row>
    <row r="4232" spans="1:11" ht="25.5" customHeight="1" x14ac:dyDescent="0.3">
      <c r="A4232" s="400" t="s">
        <v>1038</v>
      </c>
      <c r="B4232" s="401" t="s">
        <v>4293</v>
      </c>
      <c r="C4232" s="400" t="s">
        <v>395</v>
      </c>
      <c r="D4232" s="400" t="s">
        <v>4294</v>
      </c>
      <c r="E4232" s="605" t="s">
        <v>1039</v>
      </c>
      <c r="F4232" s="605"/>
      <c r="G4232" s="402" t="s">
        <v>4</v>
      </c>
      <c r="H4232" s="403">
        <v>1</v>
      </c>
      <c r="I4232" s="403">
        <v>0</v>
      </c>
      <c r="J4232" s="404">
        <v>94.26</v>
      </c>
      <c r="K4232" s="404">
        <v>94.26</v>
      </c>
    </row>
    <row r="4233" spans="1:11" ht="25.5" customHeight="1" x14ac:dyDescent="0.3">
      <c r="A4233" s="400" t="s">
        <v>1038</v>
      </c>
      <c r="B4233" s="401" t="s">
        <v>4410</v>
      </c>
      <c r="C4233" s="400" t="s">
        <v>395</v>
      </c>
      <c r="D4233" s="400" t="s">
        <v>4411</v>
      </c>
      <c r="E4233" s="605" t="s">
        <v>1039</v>
      </c>
      <c r="F4233" s="605"/>
      <c r="G4233" s="402" t="s">
        <v>4</v>
      </c>
      <c r="H4233" s="403">
        <v>0.19400000000000001</v>
      </c>
      <c r="I4233" s="403">
        <v>0</v>
      </c>
      <c r="J4233" s="404">
        <v>25.84</v>
      </c>
      <c r="K4233" s="404">
        <v>5.0129599999999996</v>
      </c>
    </row>
    <row r="4234" spans="1:11" ht="25.5" customHeight="1" x14ac:dyDescent="0.3">
      <c r="A4234" s="400" t="s">
        <v>1038</v>
      </c>
      <c r="B4234" s="401" t="s">
        <v>1372</v>
      </c>
      <c r="C4234" s="400" t="s">
        <v>395</v>
      </c>
      <c r="D4234" s="400" t="s">
        <v>266</v>
      </c>
      <c r="E4234" s="605" t="s">
        <v>1039</v>
      </c>
      <c r="F4234" s="605"/>
      <c r="G4234" s="402" t="s">
        <v>4</v>
      </c>
      <c r="H4234" s="403">
        <v>3.1E-2</v>
      </c>
      <c r="I4234" s="403">
        <v>0</v>
      </c>
      <c r="J4234" s="404">
        <v>2.09</v>
      </c>
      <c r="K4234" s="404">
        <v>6.479E-2</v>
      </c>
    </row>
    <row r="4235" spans="1:11" ht="26.4" x14ac:dyDescent="0.3">
      <c r="A4235" s="400" t="s">
        <v>1038</v>
      </c>
      <c r="B4235" s="401" t="s">
        <v>2588</v>
      </c>
      <c r="C4235" s="400" t="s">
        <v>395</v>
      </c>
      <c r="D4235" s="400" t="s">
        <v>350</v>
      </c>
      <c r="E4235" s="605" t="s">
        <v>1039</v>
      </c>
      <c r="F4235" s="605"/>
      <c r="G4235" s="402" t="s">
        <v>4</v>
      </c>
      <c r="H4235" s="403">
        <v>5.1999999999999998E-2</v>
      </c>
      <c r="I4235" s="403">
        <v>0</v>
      </c>
      <c r="J4235" s="404">
        <v>89.7</v>
      </c>
      <c r="K4235" s="404">
        <v>4.6643999999999997</v>
      </c>
    </row>
    <row r="4236" spans="1:11" ht="38.25" customHeight="1" x14ac:dyDescent="0.3">
      <c r="A4236" s="405"/>
      <c r="B4236" s="405"/>
      <c r="C4236" s="405"/>
      <c r="D4236" s="405"/>
      <c r="E4236" s="405" t="s">
        <v>1046</v>
      </c>
      <c r="F4236" s="406">
        <v>16.73</v>
      </c>
      <c r="G4236" s="405" t="s">
        <v>1047</v>
      </c>
      <c r="H4236" s="406">
        <v>0</v>
      </c>
      <c r="I4236" s="405" t="s">
        <v>1048</v>
      </c>
      <c r="J4236" s="406">
        <v>16.73</v>
      </c>
      <c r="K4236"/>
    </row>
    <row r="4237" spans="1:11" ht="17.399999999999999" customHeight="1" thickBot="1" x14ac:dyDescent="0.35">
      <c r="A4237" s="405"/>
      <c r="B4237" s="405"/>
      <c r="C4237" s="405"/>
      <c r="D4237" s="405"/>
      <c r="E4237" s="405" t="s">
        <v>1049</v>
      </c>
      <c r="F4237" s="406">
        <v>0</v>
      </c>
      <c r="G4237" s="405"/>
      <c r="H4237" s="606"/>
      <c r="I4237" s="606" t="s">
        <v>1050</v>
      </c>
      <c r="J4237" s="406">
        <v>126.72</v>
      </c>
      <c r="K4237"/>
    </row>
    <row r="4238" spans="1:11" ht="14.25" customHeight="1" thickTop="1" x14ac:dyDescent="0.3">
      <c r="A4238" s="407"/>
      <c r="B4238" s="407"/>
      <c r="C4238" s="407"/>
      <c r="D4238" s="407"/>
      <c r="E4238" s="407"/>
      <c r="F4238" s="407"/>
      <c r="G4238" s="407"/>
      <c r="H4238" s="407"/>
      <c r="I4238" s="407"/>
      <c r="J4238" s="407"/>
      <c r="K4238" s="407"/>
    </row>
    <row r="4239" spans="1:11" ht="25.5" customHeight="1" x14ac:dyDescent="0.3">
      <c r="A4239" s="382" t="s">
        <v>3326</v>
      </c>
      <c r="B4239" s="312" t="s">
        <v>413</v>
      </c>
      <c r="C4239" s="382" t="s">
        <v>414</v>
      </c>
      <c r="D4239" s="382" t="s">
        <v>415</v>
      </c>
      <c r="E4239" s="586" t="s">
        <v>1029</v>
      </c>
      <c r="F4239" s="586"/>
      <c r="G4239" s="383" t="s">
        <v>416</v>
      </c>
      <c r="H4239" s="312" t="s">
        <v>1030</v>
      </c>
      <c r="I4239" s="312" t="s">
        <v>3016</v>
      </c>
      <c r="J4239" s="312" t="s">
        <v>1031</v>
      </c>
      <c r="K4239" s="312" t="s">
        <v>1032</v>
      </c>
    </row>
    <row r="4240" spans="1:11" ht="15" customHeight="1" x14ac:dyDescent="0.3">
      <c r="A4240" s="313" t="s">
        <v>1033</v>
      </c>
      <c r="B4240" s="315" t="s">
        <v>3929</v>
      </c>
      <c r="C4240" s="313" t="s">
        <v>395</v>
      </c>
      <c r="D4240" s="313" t="s">
        <v>116</v>
      </c>
      <c r="E4240" s="603" t="s">
        <v>1319</v>
      </c>
      <c r="F4240" s="603"/>
      <c r="G4240" s="314" t="s">
        <v>4</v>
      </c>
      <c r="H4240" s="399">
        <v>1</v>
      </c>
      <c r="I4240" s="316"/>
      <c r="J4240" s="316">
        <v>334.02</v>
      </c>
      <c r="K4240" s="316">
        <v>334.02</v>
      </c>
    </row>
    <row r="4241" spans="1:11" ht="30" customHeight="1" x14ac:dyDescent="0.3">
      <c r="A4241" s="408" t="s">
        <v>1034</v>
      </c>
      <c r="B4241" s="409" t="s">
        <v>1113</v>
      </c>
      <c r="C4241" s="408" t="s">
        <v>395</v>
      </c>
      <c r="D4241" s="408" t="s">
        <v>129</v>
      </c>
      <c r="E4241" s="604" t="s">
        <v>7768</v>
      </c>
      <c r="F4241" s="604"/>
      <c r="G4241" s="410" t="s">
        <v>6</v>
      </c>
      <c r="H4241" s="412">
        <v>0.308</v>
      </c>
      <c r="I4241" s="412">
        <v>0</v>
      </c>
      <c r="J4241" s="411">
        <v>33.450000000000003</v>
      </c>
      <c r="K4241" s="411">
        <v>10.3026</v>
      </c>
    </row>
    <row r="4242" spans="1:11" ht="25.5" customHeight="1" x14ac:dyDescent="0.3">
      <c r="A4242" s="408" t="s">
        <v>1034</v>
      </c>
      <c r="B4242" s="409" t="s">
        <v>1112</v>
      </c>
      <c r="C4242" s="408" t="s">
        <v>395</v>
      </c>
      <c r="D4242" s="408" t="s">
        <v>137</v>
      </c>
      <c r="E4242" s="604" t="s">
        <v>7768</v>
      </c>
      <c r="F4242" s="604"/>
      <c r="G4242" s="410" t="s">
        <v>6</v>
      </c>
      <c r="H4242" s="412">
        <v>0.308</v>
      </c>
      <c r="I4242" s="412">
        <v>0</v>
      </c>
      <c r="J4242" s="411">
        <v>40.299999999999997</v>
      </c>
      <c r="K4242" s="411">
        <v>12.4124</v>
      </c>
    </row>
    <row r="4243" spans="1:11" ht="25.5" customHeight="1" x14ac:dyDescent="0.3">
      <c r="A4243" s="400" t="s">
        <v>1038</v>
      </c>
      <c r="B4243" s="401" t="s">
        <v>4143</v>
      </c>
      <c r="C4243" s="400" t="s">
        <v>395</v>
      </c>
      <c r="D4243" s="400" t="s">
        <v>4144</v>
      </c>
      <c r="E4243" s="605" t="s">
        <v>1039</v>
      </c>
      <c r="F4243" s="605"/>
      <c r="G4243" s="402" t="s">
        <v>4</v>
      </c>
      <c r="H4243" s="403">
        <v>1</v>
      </c>
      <c r="I4243" s="403">
        <v>0</v>
      </c>
      <c r="J4243" s="404">
        <v>301.56</v>
      </c>
      <c r="K4243" s="404">
        <v>301.56</v>
      </c>
    </row>
    <row r="4244" spans="1:11" ht="38.25" customHeight="1" x14ac:dyDescent="0.3">
      <c r="A4244" s="400" t="s">
        <v>1038</v>
      </c>
      <c r="B4244" s="401" t="s">
        <v>4410</v>
      </c>
      <c r="C4244" s="400" t="s">
        <v>395</v>
      </c>
      <c r="D4244" s="400" t="s">
        <v>4411</v>
      </c>
      <c r="E4244" s="605" t="s">
        <v>1039</v>
      </c>
      <c r="F4244" s="605"/>
      <c r="G4244" s="402" t="s">
        <v>4</v>
      </c>
      <c r="H4244" s="403">
        <v>0.19400000000000001</v>
      </c>
      <c r="I4244" s="403">
        <v>0</v>
      </c>
      <c r="J4244" s="404">
        <v>25.84</v>
      </c>
      <c r="K4244" s="404">
        <v>5.0129599999999996</v>
      </c>
    </row>
    <row r="4245" spans="1:11" ht="25.5" customHeight="1" x14ac:dyDescent="0.3">
      <c r="A4245" s="400" t="s">
        <v>1038</v>
      </c>
      <c r="B4245" s="401" t="s">
        <v>1372</v>
      </c>
      <c r="C4245" s="400" t="s">
        <v>395</v>
      </c>
      <c r="D4245" s="400" t="s">
        <v>266</v>
      </c>
      <c r="E4245" s="605" t="s">
        <v>1039</v>
      </c>
      <c r="F4245" s="605"/>
      <c r="G4245" s="402" t="s">
        <v>4</v>
      </c>
      <c r="H4245" s="403">
        <v>3.1E-2</v>
      </c>
      <c r="I4245" s="403">
        <v>0</v>
      </c>
      <c r="J4245" s="404">
        <v>2.09</v>
      </c>
      <c r="K4245" s="404">
        <v>6.479E-2</v>
      </c>
    </row>
    <row r="4246" spans="1:11" ht="25.5" customHeight="1" x14ac:dyDescent="0.3">
      <c r="A4246" s="400" t="s">
        <v>1038</v>
      </c>
      <c r="B4246" s="401" t="s">
        <v>2588</v>
      </c>
      <c r="C4246" s="400" t="s">
        <v>395</v>
      </c>
      <c r="D4246" s="400" t="s">
        <v>350</v>
      </c>
      <c r="E4246" s="605" t="s">
        <v>1039</v>
      </c>
      <c r="F4246" s="605"/>
      <c r="G4246" s="402" t="s">
        <v>4</v>
      </c>
      <c r="H4246" s="403">
        <v>5.1999999999999998E-2</v>
      </c>
      <c r="I4246" s="403">
        <v>0</v>
      </c>
      <c r="J4246" s="404">
        <v>89.7</v>
      </c>
      <c r="K4246" s="404">
        <v>4.6643999999999997</v>
      </c>
    </row>
    <row r="4247" spans="1:11" ht="25.5" customHeight="1" x14ac:dyDescent="0.3">
      <c r="A4247" s="405"/>
      <c r="B4247" s="405"/>
      <c r="C4247" s="405"/>
      <c r="D4247" s="405"/>
      <c r="E4247" s="405" t="s">
        <v>1046</v>
      </c>
      <c r="F4247" s="406">
        <v>16.73</v>
      </c>
      <c r="G4247" s="405" t="s">
        <v>1047</v>
      </c>
      <c r="H4247" s="406">
        <v>0</v>
      </c>
      <c r="I4247" s="405" t="s">
        <v>1048</v>
      </c>
      <c r="J4247" s="406">
        <v>16.73</v>
      </c>
      <c r="K4247"/>
    </row>
    <row r="4248" spans="1:11" ht="14.25" customHeight="1" thickBot="1" x14ac:dyDescent="0.35">
      <c r="A4248" s="405"/>
      <c r="B4248" s="405"/>
      <c r="C4248" s="405"/>
      <c r="D4248" s="405"/>
      <c r="E4248" s="405" t="s">
        <v>1049</v>
      </c>
      <c r="F4248" s="406">
        <v>0</v>
      </c>
      <c r="G4248" s="405"/>
      <c r="H4248" s="606"/>
      <c r="I4248" s="606" t="s">
        <v>1050</v>
      </c>
      <c r="J4248" s="406">
        <v>334.02</v>
      </c>
      <c r="K4248"/>
    </row>
    <row r="4249" spans="1:11" ht="30" customHeight="1" thickTop="1" x14ac:dyDescent="0.3">
      <c r="A4249" s="407"/>
      <c r="B4249" s="407"/>
      <c r="C4249" s="407"/>
      <c r="D4249" s="407"/>
      <c r="E4249" s="407"/>
      <c r="F4249" s="407"/>
      <c r="G4249" s="407"/>
      <c r="H4249" s="407"/>
      <c r="I4249" s="407"/>
      <c r="J4249" s="407"/>
      <c r="K4249" s="407"/>
    </row>
    <row r="4250" spans="1:11" ht="30" customHeight="1" x14ac:dyDescent="0.3">
      <c r="A4250" s="382" t="s">
        <v>2195</v>
      </c>
      <c r="B4250" s="312" t="s">
        <v>413</v>
      </c>
      <c r="C4250" s="382" t="s">
        <v>414</v>
      </c>
      <c r="D4250" s="382" t="s">
        <v>415</v>
      </c>
      <c r="E4250" s="586" t="s">
        <v>1029</v>
      </c>
      <c r="F4250" s="586"/>
      <c r="G4250" s="383" t="s">
        <v>416</v>
      </c>
      <c r="H4250" s="312" t="s">
        <v>1030</v>
      </c>
      <c r="I4250" s="312" t="s">
        <v>3016</v>
      </c>
      <c r="J4250" s="312" t="s">
        <v>1031</v>
      </c>
      <c r="K4250" s="312" t="s">
        <v>1032</v>
      </c>
    </row>
    <row r="4251" spans="1:11" ht="30" customHeight="1" x14ac:dyDescent="0.3">
      <c r="A4251" s="313" t="s">
        <v>1033</v>
      </c>
      <c r="B4251" s="315" t="s">
        <v>3930</v>
      </c>
      <c r="C4251" s="313" t="s">
        <v>395</v>
      </c>
      <c r="D4251" s="313" t="s">
        <v>6041</v>
      </c>
      <c r="E4251" s="603" t="s">
        <v>7808</v>
      </c>
      <c r="F4251" s="603"/>
      <c r="G4251" s="314" t="s">
        <v>4</v>
      </c>
      <c r="H4251" s="399">
        <v>1</v>
      </c>
      <c r="I4251" s="316"/>
      <c r="J4251" s="316">
        <v>9.7100000000000009</v>
      </c>
      <c r="K4251" s="316">
        <v>9.7100000000000009</v>
      </c>
    </row>
    <row r="4252" spans="1:11" ht="25.5" customHeight="1" x14ac:dyDescent="0.3">
      <c r="A4252" s="408" t="s">
        <v>1034</v>
      </c>
      <c r="B4252" s="409" t="s">
        <v>1113</v>
      </c>
      <c r="C4252" s="408" t="s">
        <v>395</v>
      </c>
      <c r="D4252" s="408" t="s">
        <v>129</v>
      </c>
      <c r="E4252" s="604" t="s">
        <v>7768</v>
      </c>
      <c r="F4252" s="604"/>
      <c r="G4252" s="410" t="s">
        <v>6</v>
      </c>
      <c r="H4252" s="412">
        <v>9.4399999999999998E-2</v>
      </c>
      <c r="I4252" s="412">
        <v>0</v>
      </c>
      <c r="J4252" s="411">
        <v>33.450000000000003</v>
      </c>
      <c r="K4252" s="411">
        <v>3.15768</v>
      </c>
    </row>
    <row r="4253" spans="1:11" ht="15" customHeight="1" x14ac:dyDescent="0.3">
      <c r="A4253" s="408" t="s">
        <v>1034</v>
      </c>
      <c r="B4253" s="409" t="s">
        <v>1112</v>
      </c>
      <c r="C4253" s="408" t="s">
        <v>395</v>
      </c>
      <c r="D4253" s="408" t="s">
        <v>137</v>
      </c>
      <c r="E4253" s="604" t="s">
        <v>7768</v>
      </c>
      <c r="F4253" s="604"/>
      <c r="G4253" s="410" t="s">
        <v>6</v>
      </c>
      <c r="H4253" s="412">
        <v>9.4399999999999998E-2</v>
      </c>
      <c r="I4253" s="412">
        <v>0</v>
      </c>
      <c r="J4253" s="411">
        <v>40.299999999999997</v>
      </c>
      <c r="K4253" s="411">
        <v>3.8043200000000001</v>
      </c>
    </row>
    <row r="4254" spans="1:11" ht="25.5" customHeight="1" x14ac:dyDescent="0.3">
      <c r="A4254" s="400" t="s">
        <v>1038</v>
      </c>
      <c r="B4254" s="401" t="s">
        <v>2587</v>
      </c>
      <c r="C4254" s="400" t="s">
        <v>395</v>
      </c>
      <c r="D4254" s="400" t="s">
        <v>349</v>
      </c>
      <c r="E4254" s="605" t="s">
        <v>1039</v>
      </c>
      <c r="F4254" s="605"/>
      <c r="G4254" s="402" t="s">
        <v>4</v>
      </c>
      <c r="H4254" s="403">
        <v>5.8999999999999999E-3</v>
      </c>
      <c r="I4254" s="403">
        <v>0</v>
      </c>
      <c r="J4254" s="404">
        <v>79.17</v>
      </c>
      <c r="K4254" s="404">
        <v>0.46710299999999999</v>
      </c>
    </row>
    <row r="4255" spans="1:11" ht="17.399999999999999" customHeight="1" x14ac:dyDescent="0.3">
      <c r="A4255" s="400" t="s">
        <v>1038</v>
      </c>
      <c r="B4255" s="401" t="s">
        <v>4918</v>
      </c>
      <c r="C4255" s="400" t="s">
        <v>395</v>
      </c>
      <c r="D4255" s="400" t="s">
        <v>4919</v>
      </c>
      <c r="E4255" s="605" t="s">
        <v>1039</v>
      </c>
      <c r="F4255" s="605"/>
      <c r="G4255" s="402" t="s">
        <v>4</v>
      </c>
      <c r="H4255" s="403">
        <v>1</v>
      </c>
      <c r="I4255" s="403">
        <v>0</v>
      </c>
      <c r="J4255" s="404">
        <v>1.59</v>
      </c>
      <c r="K4255" s="404">
        <v>1.59</v>
      </c>
    </row>
    <row r="4256" spans="1:11" ht="25.5" customHeight="1" x14ac:dyDescent="0.3">
      <c r="A4256" s="400" t="s">
        <v>1038</v>
      </c>
      <c r="B4256" s="401" t="s">
        <v>2588</v>
      </c>
      <c r="C4256" s="400" t="s">
        <v>395</v>
      </c>
      <c r="D4256" s="400" t="s">
        <v>350</v>
      </c>
      <c r="E4256" s="605" t="s">
        <v>1039</v>
      </c>
      <c r="F4256" s="605"/>
      <c r="G4256" s="402" t="s">
        <v>4</v>
      </c>
      <c r="H4256" s="403">
        <v>7.0000000000000001E-3</v>
      </c>
      <c r="I4256" s="403">
        <v>0</v>
      </c>
      <c r="J4256" s="404">
        <v>89.7</v>
      </c>
      <c r="K4256" s="404">
        <v>0.62790000000000001</v>
      </c>
    </row>
    <row r="4257" spans="1:11" ht="38.25" customHeight="1" x14ac:dyDescent="0.3">
      <c r="A4257" s="400" t="s">
        <v>1038</v>
      </c>
      <c r="B4257" s="401" t="s">
        <v>1372</v>
      </c>
      <c r="C4257" s="400" t="s">
        <v>395</v>
      </c>
      <c r="D4257" s="400" t="s">
        <v>266</v>
      </c>
      <c r="E4257" s="605" t="s">
        <v>1039</v>
      </c>
      <c r="F4257" s="605"/>
      <c r="G4257" s="402" t="s">
        <v>4</v>
      </c>
      <c r="H4257" s="403">
        <v>3.15E-2</v>
      </c>
      <c r="I4257" s="403">
        <v>0</v>
      </c>
      <c r="J4257" s="404">
        <v>2.09</v>
      </c>
      <c r="K4257" s="404">
        <v>6.5835000000000005E-2</v>
      </c>
    </row>
    <row r="4258" spans="1:11" ht="25.5" customHeight="1" x14ac:dyDescent="0.3">
      <c r="A4258" s="405"/>
      <c r="B4258" s="405"/>
      <c r="C4258" s="405"/>
      <c r="D4258" s="405"/>
      <c r="E4258" s="405" t="s">
        <v>1046</v>
      </c>
      <c r="F4258" s="406">
        <v>5.13</v>
      </c>
      <c r="G4258" s="405" t="s">
        <v>1047</v>
      </c>
      <c r="H4258" s="406">
        <v>0</v>
      </c>
      <c r="I4258" s="405" t="s">
        <v>1048</v>
      </c>
      <c r="J4258" s="406">
        <v>5.13</v>
      </c>
      <c r="K4258"/>
    </row>
    <row r="4259" spans="1:11" ht="25.5" customHeight="1" thickBot="1" x14ac:dyDescent="0.35">
      <c r="A4259" s="405"/>
      <c r="B4259" s="405"/>
      <c r="C4259" s="405"/>
      <c r="D4259" s="405"/>
      <c r="E4259" s="405" t="s">
        <v>1049</v>
      </c>
      <c r="F4259" s="406">
        <v>0</v>
      </c>
      <c r="G4259" s="405"/>
      <c r="H4259" s="606"/>
      <c r="I4259" s="606" t="s">
        <v>1050</v>
      </c>
      <c r="J4259" s="406">
        <v>9.7100000000000009</v>
      </c>
      <c r="K4259"/>
    </row>
    <row r="4260" spans="1:11" ht="15.6" thickTop="1" x14ac:dyDescent="0.3">
      <c r="A4260" s="407"/>
      <c r="B4260" s="407"/>
      <c r="C4260" s="407"/>
      <c r="D4260" s="407"/>
      <c r="E4260" s="407"/>
      <c r="F4260" s="407"/>
      <c r="G4260" s="407"/>
      <c r="H4260" s="407"/>
      <c r="I4260" s="407"/>
      <c r="J4260" s="407"/>
      <c r="K4260" s="407"/>
    </row>
    <row r="4261" spans="1:11" ht="15" x14ac:dyDescent="0.3">
      <c r="A4261" s="382" t="s">
        <v>2222</v>
      </c>
      <c r="B4261" s="312" t="s">
        <v>413</v>
      </c>
      <c r="C4261" s="382" t="s">
        <v>414</v>
      </c>
      <c r="D4261" s="382" t="s">
        <v>415</v>
      </c>
      <c r="E4261" s="586" t="s">
        <v>1029</v>
      </c>
      <c r="F4261" s="586"/>
      <c r="G4261" s="383" t="s">
        <v>416</v>
      </c>
      <c r="H4261" s="312" t="s">
        <v>1030</v>
      </c>
      <c r="I4261" s="312" t="s">
        <v>3016</v>
      </c>
      <c r="J4261" s="312" t="s">
        <v>1031</v>
      </c>
      <c r="K4261" s="312" t="s">
        <v>1032</v>
      </c>
    </row>
    <row r="4262" spans="1:11" ht="25.5" customHeight="1" x14ac:dyDescent="0.3">
      <c r="A4262" s="313" t="s">
        <v>1033</v>
      </c>
      <c r="B4262" s="315" t="s">
        <v>3931</v>
      </c>
      <c r="C4262" s="313" t="s">
        <v>395</v>
      </c>
      <c r="D4262" s="313" t="s">
        <v>6042</v>
      </c>
      <c r="E4262" s="603" t="s">
        <v>7874</v>
      </c>
      <c r="F4262" s="603"/>
      <c r="G4262" s="314" t="s">
        <v>4</v>
      </c>
      <c r="H4262" s="399">
        <v>1</v>
      </c>
      <c r="I4262" s="316"/>
      <c r="J4262" s="316">
        <v>15.1</v>
      </c>
      <c r="K4262" s="316">
        <v>15.1</v>
      </c>
    </row>
    <row r="4263" spans="1:11" ht="25.5" customHeight="1" x14ac:dyDescent="0.3">
      <c r="A4263" s="408" t="s">
        <v>1034</v>
      </c>
      <c r="B4263" s="409" t="s">
        <v>7879</v>
      </c>
      <c r="C4263" s="408" t="s">
        <v>395</v>
      </c>
      <c r="D4263" s="408" t="s">
        <v>7880</v>
      </c>
      <c r="E4263" s="604" t="s">
        <v>7772</v>
      </c>
      <c r="F4263" s="604"/>
      <c r="G4263" s="410" t="s">
        <v>15</v>
      </c>
      <c r="H4263" s="412">
        <v>8.7800000000000003E-2</v>
      </c>
      <c r="I4263" s="412">
        <v>0</v>
      </c>
      <c r="J4263" s="411">
        <v>0.97</v>
      </c>
      <c r="K4263" s="411">
        <v>8.5166000000000006E-2</v>
      </c>
    </row>
    <row r="4264" spans="1:11" ht="25.5" customHeight="1" x14ac:dyDescent="0.3">
      <c r="A4264" s="408" t="s">
        <v>1034</v>
      </c>
      <c r="B4264" s="409" t="s">
        <v>1113</v>
      </c>
      <c r="C4264" s="408" t="s">
        <v>395</v>
      </c>
      <c r="D4264" s="408" t="s">
        <v>129</v>
      </c>
      <c r="E4264" s="604" t="s">
        <v>7768</v>
      </c>
      <c r="F4264" s="604"/>
      <c r="G4264" s="410" t="s">
        <v>6</v>
      </c>
      <c r="H4264" s="412">
        <v>0.12820000000000001</v>
      </c>
      <c r="I4264" s="412">
        <v>0</v>
      </c>
      <c r="J4264" s="411">
        <v>33.450000000000003</v>
      </c>
      <c r="K4264" s="411">
        <v>4.2882899999999999</v>
      </c>
    </row>
    <row r="4265" spans="1:11" ht="26.4" x14ac:dyDescent="0.3">
      <c r="A4265" s="408" t="s">
        <v>1034</v>
      </c>
      <c r="B4265" s="409" t="s">
        <v>1112</v>
      </c>
      <c r="C4265" s="408" t="s">
        <v>395</v>
      </c>
      <c r="D4265" s="408" t="s">
        <v>137</v>
      </c>
      <c r="E4265" s="604" t="s">
        <v>7768</v>
      </c>
      <c r="F4265" s="604"/>
      <c r="G4265" s="410" t="s">
        <v>6</v>
      </c>
      <c r="H4265" s="412">
        <v>0.12820000000000001</v>
      </c>
      <c r="I4265" s="412">
        <v>0</v>
      </c>
      <c r="J4265" s="411">
        <v>40.299999999999997</v>
      </c>
      <c r="K4265" s="411">
        <v>5.1664599999999998</v>
      </c>
    </row>
    <row r="4266" spans="1:11" ht="15" customHeight="1" x14ac:dyDescent="0.3">
      <c r="A4266" s="400" t="s">
        <v>1038</v>
      </c>
      <c r="B4266" s="401" t="s">
        <v>4839</v>
      </c>
      <c r="C4266" s="400" t="s">
        <v>395</v>
      </c>
      <c r="D4266" s="400" t="s">
        <v>4840</v>
      </c>
      <c r="E4266" s="605" t="s">
        <v>1039</v>
      </c>
      <c r="F4266" s="605"/>
      <c r="G4266" s="402" t="s">
        <v>4</v>
      </c>
      <c r="H4266" s="403">
        <v>1</v>
      </c>
      <c r="I4266" s="403">
        <v>0</v>
      </c>
      <c r="J4266" s="404">
        <v>5.56</v>
      </c>
      <c r="K4266" s="404">
        <v>5.56</v>
      </c>
    </row>
    <row r="4267" spans="1:11" ht="15" x14ac:dyDescent="0.3">
      <c r="A4267" s="405"/>
      <c r="B4267" s="405"/>
      <c r="C4267" s="405"/>
      <c r="D4267" s="405"/>
      <c r="E4267" s="405" t="s">
        <v>1046</v>
      </c>
      <c r="F4267" s="406">
        <v>6.96</v>
      </c>
      <c r="G4267" s="405" t="s">
        <v>1047</v>
      </c>
      <c r="H4267" s="406">
        <v>0</v>
      </c>
      <c r="I4267" s="405" t="s">
        <v>1048</v>
      </c>
      <c r="J4267" s="406">
        <v>6.96</v>
      </c>
      <c r="K4267"/>
    </row>
    <row r="4268" spans="1:11" ht="14.25" customHeight="1" thickBot="1" x14ac:dyDescent="0.35">
      <c r="A4268" s="405"/>
      <c r="B4268" s="405"/>
      <c r="C4268" s="405"/>
      <c r="D4268" s="405"/>
      <c r="E4268" s="405" t="s">
        <v>1049</v>
      </c>
      <c r="F4268" s="406">
        <v>0</v>
      </c>
      <c r="G4268" s="405"/>
      <c r="H4268" s="606"/>
      <c r="I4268" s="606" t="s">
        <v>1050</v>
      </c>
      <c r="J4268" s="406">
        <v>15.1</v>
      </c>
      <c r="K4268"/>
    </row>
    <row r="4269" spans="1:11" ht="15.6" thickTop="1" x14ac:dyDescent="0.3">
      <c r="A4269" s="407"/>
      <c r="B4269" s="407"/>
      <c r="C4269" s="407"/>
      <c r="D4269" s="407"/>
      <c r="E4269" s="407"/>
      <c r="F4269" s="407"/>
      <c r="G4269" s="407"/>
      <c r="H4269" s="407"/>
      <c r="I4269" s="407"/>
      <c r="J4269" s="407"/>
      <c r="K4269" s="407"/>
    </row>
    <row r="4270" spans="1:11" ht="25.5" customHeight="1" x14ac:dyDescent="0.3">
      <c r="A4270" s="382" t="s">
        <v>2221</v>
      </c>
      <c r="B4270" s="312" t="s">
        <v>413</v>
      </c>
      <c r="C4270" s="382" t="s">
        <v>414</v>
      </c>
      <c r="D4270" s="382" t="s">
        <v>415</v>
      </c>
      <c r="E4270" s="586" t="s">
        <v>1029</v>
      </c>
      <c r="F4270" s="586"/>
      <c r="G4270" s="383" t="s">
        <v>416</v>
      </c>
      <c r="H4270" s="312" t="s">
        <v>1030</v>
      </c>
      <c r="I4270" s="312" t="s">
        <v>3016</v>
      </c>
      <c r="J4270" s="312" t="s">
        <v>1031</v>
      </c>
      <c r="K4270" s="312" t="s">
        <v>1032</v>
      </c>
    </row>
    <row r="4271" spans="1:11" ht="15" customHeight="1" x14ac:dyDescent="0.3">
      <c r="A4271" s="313" t="s">
        <v>1033</v>
      </c>
      <c r="B4271" s="315" t="s">
        <v>3932</v>
      </c>
      <c r="C4271" s="313" t="s">
        <v>395</v>
      </c>
      <c r="D4271" s="313" t="s">
        <v>311</v>
      </c>
      <c r="E4271" s="603" t="s">
        <v>7881</v>
      </c>
      <c r="F4271" s="603"/>
      <c r="G4271" s="314" t="s">
        <v>7</v>
      </c>
      <c r="H4271" s="399">
        <v>1</v>
      </c>
      <c r="I4271" s="316"/>
      <c r="J4271" s="316">
        <v>7.2</v>
      </c>
      <c r="K4271" s="316">
        <v>7.2</v>
      </c>
    </row>
    <row r="4272" spans="1:11" ht="26.4" x14ac:dyDescent="0.3">
      <c r="A4272" s="408" t="s">
        <v>1034</v>
      </c>
      <c r="B4272" s="409" t="s">
        <v>2481</v>
      </c>
      <c r="C4272" s="408" t="s">
        <v>395</v>
      </c>
      <c r="D4272" s="408" t="s">
        <v>127</v>
      </c>
      <c r="E4272" s="604" t="s">
        <v>7768</v>
      </c>
      <c r="F4272" s="604"/>
      <c r="G4272" s="410" t="s">
        <v>6</v>
      </c>
      <c r="H4272" s="412">
        <v>0.10299999999999999</v>
      </c>
      <c r="I4272" s="412">
        <v>0</v>
      </c>
      <c r="J4272" s="411">
        <v>37.06</v>
      </c>
      <c r="K4272" s="411">
        <v>3.81718</v>
      </c>
    </row>
    <row r="4273" spans="1:11" ht="26.4" x14ac:dyDescent="0.3">
      <c r="A4273" s="408" t="s">
        <v>1034</v>
      </c>
      <c r="B4273" s="409" t="s">
        <v>1290</v>
      </c>
      <c r="C4273" s="408" t="s">
        <v>395</v>
      </c>
      <c r="D4273" s="408" t="s">
        <v>147</v>
      </c>
      <c r="E4273" s="604" t="s">
        <v>7768</v>
      </c>
      <c r="F4273" s="604"/>
      <c r="G4273" s="410" t="s">
        <v>6</v>
      </c>
      <c r="H4273" s="412">
        <v>0.10299999999999999</v>
      </c>
      <c r="I4273" s="412">
        <v>0</v>
      </c>
      <c r="J4273" s="411">
        <v>32.82</v>
      </c>
      <c r="K4273" s="411">
        <v>3.3804599999999998</v>
      </c>
    </row>
    <row r="4274" spans="1:11" ht="15" customHeight="1" x14ac:dyDescent="0.3">
      <c r="A4274" s="405"/>
      <c r="B4274" s="405"/>
      <c r="C4274" s="405"/>
      <c r="D4274" s="405"/>
      <c r="E4274" s="405" t="s">
        <v>1046</v>
      </c>
      <c r="F4274" s="406">
        <v>5.22</v>
      </c>
      <c r="G4274" s="405" t="s">
        <v>1047</v>
      </c>
      <c r="H4274" s="406">
        <v>0.01</v>
      </c>
      <c r="I4274" s="405" t="s">
        <v>1048</v>
      </c>
      <c r="J4274" s="406">
        <v>5.23</v>
      </c>
      <c r="K4274"/>
    </row>
    <row r="4275" spans="1:11" ht="25.5" customHeight="1" thickBot="1" x14ac:dyDescent="0.35">
      <c r="A4275" s="405"/>
      <c r="B4275" s="405"/>
      <c r="C4275" s="405"/>
      <c r="D4275" s="405"/>
      <c r="E4275" s="405" t="s">
        <v>1049</v>
      </c>
      <c r="F4275" s="406">
        <v>0</v>
      </c>
      <c r="G4275" s="405"/>
      <c r="H4275" s="606"/>
      <c r="I4275" s="606" t="s">
        <v>1050</v>
      </c>
      <c r="J4275" s="406">
        <v>7.2</v>
      </c>
      <c r="K4275"/>
    </row>
    <row r="4276" spans="1:11" ht="25.5" customHeight="1" thickTop="1" x14ac:dyDescent="0.3">
      <c r="A4276" s="407"/>
      <c r="B4276" s="407"/>
      <c r="C4276" s="407"/>
      <c r="D4276" s="407"/>
      <c r="E4276" s="407"/>
      <c r="F4276" s="407"/>
      <c r="G4276" s="407"/>
      <c r="H4276" s="407"/>
      <c r="I4276" s="407"/>
      <c r="J4276" s="407"/>
      <c r="K4276" s="407"/>
    </row>
    <row r="4277" spans="1:11" ht="14.25" customHeight="1" x14ac:dyDescent="0.3">
      <c r="A4277" s="382" t="s">
        <v>2105</v>
      </c>
      <c r="B4277" s="312" t="s">
        <v>413</v>
      </c>
      <c r="C4277" s="382" t="s">
        <v>414</v>
      </c>
      <c r="D4277" s="382" t="s">
        <v>415</v>
      </c>
      <c r="E4277" s="586" t="s">
        <v>1029</v>
      </c>
      <c r="F4277" s="586"/>
      <c r="G4277" s="383" t="s">
        <v>416</v>
      </c>
      <c r="H4277" s="312" t="s">
        <v>1030</v>
      </c>
      <c r="I4277" s="312" t="s">
        <v>3016</v>
      </c>
      <c r="J4277" s="312" t="s">
        <v>1031</v>
      </c>
      <c r="K4277" s="312" t="s">
        <v>1032</v>
      </c>
    </row>
    <row r="4278" spans="1:11" ht="25.5" customHeight="1" x14ac:dyDescent="0.3">
      <c r="A4278" s="313" t="s">
        <v>1033</v>
      </c>
      <c r="B4278" s="315" t="s">
        <v>958</v>
      </c>
      <c r="C4278" s="313" t="s">
        <v>420</v>
      </c>
      <c r="D4278" s="313" t="s">
        <v>579</v>
      </c>
      <c r="E4278" s="603" t="s">
        <v>1318</v>
      </c>
      <c r="F4278" s="603"/>
      <c r="G4278" s="314" t="s">
        <v>422</v>
      </c>
      <c r="H4278" s="399">
        <v>1</v>
      </c>
      <c r="I4278" s="316"/>
      <c r="J4278" s="316">
        <v>15.53</v>
      </c>
      <c r="K4278" s="316">
        <v>15.53</v>
      </c>
    </row>
    <row r="4279" spans="1:11" ht="26.4" x14ac:dyDescent="0.3">
      <c r="A4279" s="408" t="s">
        <v>1034</v>
      </c>
      <c r="B4279" s="409" t="s">
        <v>1071</v>
      </c>
      <c r="C4279" s="408" t="s">
        <v>420</v>
      </c>
      <c r="D4279" s="408" t="s">
        <v>1072</v>
      </c>
      <c r="E4279" s="604" t="s">
        <v>1069</v>
      </c>
      <c r="F4279" s="604"/>
      <c r="G4279" s="410" t="s">
        <v>1070</v>
      </c>
      <c r="H4279" s="412">
        <v>0.22</v>
      </c>
      <c r="I4279" s="412">
        <v>0</v>
      </c>
      <c r="J4279" s="411">
        <v>3.95</v>
      </c>
      <c r="K4279" s="411">
        <v>0.86899999999999999</v>
      </c>
    </row>
    <row r="4280" spans="1:11" ht="26.4" x14ac:dyDescent="0.3">
      <c r="A4280" s="408" t="s">
        <v>1034</v>
      </c>
      <c r="B4280" s="409" t="s">
        <v>1180</v>
      </c>
      <c r="C4280" s="408" t="s">
        <v>420</v>
      </c>
      <c r="D4280" s="408" t="s">
        <v>1181</v>
      </c>
      <c r="E4280" s="604" t="s">
        <v>1069</v>
      </c>
      <c r="F4280" s="604"/>
      <c r="G4280" s="410" t="s">
        <v>1070</v>
      </c>
      <c r="H4280" s="412">
        <v>0.22</v>
      </c>
      <c r="I4280" s="412">
        <v>0</v>
      </c>
      <c r="J4280" s="411">
        <v>3.91</v>
      </c>
      <c r="K4280" s="411">
        <v>0.86019999999999996</v>
      </c>
    </row>
    <row r="4281" spans="1:11" ht="12.75" customHeight="1" x14ac:dyDescent="0.3">
      <c r="A4281" s="400" t="s">
        <v>1038</v>
      </c>
      <c r="B4281" s="401" t="s">
        <v>768</v>
      </c>
      <c r="C4281" s="400" t="s">
        <v>420</v>
      </c>
      <c r="D4281" s="400" t="s">
        <v>1245</v>
      </c>
      <c r="E4281" s="605" t="s">
        <v>1039</v>
      </c>
      <c r="F4281" s="605"/>
      <c r="G4281" s="402" t="s">
        <v>1246</v>
      </c>
      <c r="H4281" s="403">
        <v>2E-3</v>
      </c>
      <c r="I4281" s="403">
        <v>0</v>
      </c>
      <c r="J4281" s="404">
        <v>72.41</v>
      </c>
      <c r="K4281" s="404">
        <v>0.14482</v>
      </c>
    </row>
    <row r="4282" spans="1:11" ht="15" customHeight="1" x14ac:dyDescent="0.3">
      <c r="A4282" s="400" t="s">
        <v>1038</v>
      </c>
      <c r="B4282" s="401" t="s">
        <v>1247</v>
      </c>
      <c r="C4282" s="400" t="s">
        <v>420</v>
      </c>
      <c r="D4282" s="400" t="s">
        <v>1248</v>
      </c>
      <c r="E4282" s="605" t="s">
        <v>1039</v>
      </c>
      <c r="F4282" s="605"/>
      <c r="G4282" s="402" t="s">
        <v>1249</v>
      </c>
      <c r="H4282" s="403">
        <v>3.4000000000000002E-2</v>
      </c>
      <c r="I4282" s="403">
        <v>0</v>
      </c>
      <c r="J4282" s="404">
        <v>69.739999999999995</v>
      </c>
      <c r="K4282" s="404">
        <v>2.3711600000000002</v>
      </c>
    </row>
    <row r="4283" spans="1:11" ht="26.4" x14ac:dyDescent="0.3">
      <c r="A4283" s="400" t="s">
        <v>1038</v>
      </c>
      <c r="B4283" s="401" t="s">
        <v>7512</v>
      </c>
      <c r="C4283" s="400" t="s">
        <v>420</v>
      </c>
      <c r="D4283" s="400" t="s">
        <v>7513</v>
      </c>
      <c r="E4283" s="605" t="s">
        <v>1039</v>
      </c>
      <c r="F4283" s="605"/>
      <c r="G4283" s="402" t="s">
        <v>422</v>
      </c>
      <c r="H4283" s="403">
        <v>1</v>
      </c>
      <c r="I4283" s="403">
        <v>0</v>
      </c>
      <c r="J4283" s="404">
        <v>3.36</v>
      </c>
      <c r="K4283" s="404">
        <v>3.36</v>
      </c>
    </row>
    <row r="4284" spans="1:11" ht="15" x14ac:dyDescent="0.3">
      <c r="A4284" s="400" t="s">
        <v>1038</v>
      </c>
      <c r="B4284" s="401" t="s">
        <v>6480</v>
      </c>
      <c r="C4284" s="400" t="s">
        <v>420</v>
      </c>
      <c r="D4284" s="400" t="s">
        <v>6481</v>
      </c>
      <c r="E4284" s="605" t="s">
        <v>1053</v>
      </c>
      <c r="F4284" s="605"/>
      <c r="G4284" s="402" t="s">
        <v>1070</v>
      </c>
      <c r="H4284" s="403">
        <v>0.22</v>
      </c>
      <c r="I4284" s="403">
        <v>0</v>
      </c>
      <c r="J4284" s="404">
        <v>20.45</v>
      </c>
      <c r="K4284" s="404">
        <v>4.4989999999999997</v>
      </c>
    </row>
    <row r="4285" spans="1:11" ht="25.5" customHeight="1" x14ac:dyDescent="0.3">
      <c r="A4285" s="400" t="s">
        <v>1038</v>
      </c>
      <c r="B4285" s="401" t="s">
        <v>6251</v>
      </c>
      <c r="C4285" s="400" t="s">
        <v>420</v>
      </c>
      <c r="D4285" s="400" t="s">
        <v>6252</v>
      </c>
      <c r="E4285" s="605" t="s">
        <v>1053</v>
      </c>
      <c r="F4285" s="605"/>
      <c r="G4285" s="402" t="s">
        <v>1070</v>
      </c>
      <c r="H4285" s="403">
        <v>0.22</v>
      </c>
      <c r="I4285" s="403">
        <v>0</v>
      </c>
      <c r="J4285" s="404">
        <v>15.59</v>
      </c>
      <c r="K4285" s="404">
        <v>3.4298000000000002</v>
      </c>
    </row>
    <row r="4286" spans="1:11" ht="25.5" customHeight="1" x14ac:dyDescent="0.3">
      <c r="A4286" s="405"/>
      <c r="B4286" s="405"/>
      <c r="C4286" s="405"/>
      <c r="D4286" s="405"/>
      <c r="E4286" s="405" t="s">
        <v>1046</v>
      </c>
      <c r="F4286" s="406">
        <v>7.93</v>
      </c>
      <c r="G4286" s="405" t="s">
        <v>1047</v>
      </c>
      <c r="H4286" s="406">
        <v>0</v>
      </c>
      <c r="I4286" s="405" t="s">
        <v>1048</v>
      </c>
      <c r="J4286" s="406">
        <v>7.93</v>
      </c>
      <c r="K4286"/>
    </row>
    <row r="4287" spans="1:11" ht="25.5" customHeight="1" thickBot="1" x14ac:dyDescent="0.35">
      <c r="A4287" s="405"/>
      <c r="B4287" s="405"/>
      <c r="C4287" s="405"/>
      <c r="D4287" s="405"/>
      <c r="E4287" s="405" t="s">
        <v>1049</v>
      </c>
      <c r="F4287" s="406">
        <v>0</v>
      </c>
      <c r="G4287" s="405"/>
      <c r="H4287" s="606"/>
      <c r="I4287" s="606" t="s">
        <v>1050</v>
      </c>
      <c r="J4287" s="406">
        <v>15.53</v>
      </c>
      <c r="K4287"/>
    </row>
    <row r="4288" spans="1:11" ht="45" customHeight="1" thickTop="1" x14ac:dyDescent="0.3">
      <c r="A4288" s="407"/>
      <c r="B4288" s="407"/>
      <c r="C4288" s="407"/>
      <c r="D4288" s="407"/>
      <c r="E4288" s="407"/>
      <c r="F4288" s="407"/>
      <c r="G4288" s="407"/>
      <c r="H4288" s="407"/>
      <c r="I4288" s="407"/>
      <c r="J4288" s="407"/>
      <c r="K4288" s="407"/>
    </row>
    <row r="4289" spans="1:11" ht="30" customHeight="1" x14ac:dyDescent="0.3">
      <c r="A4289" s="382" t="s">
        <v>2106</v>
      </c>
      <c r="B4289" s="312" t="s">
        <v>413</v>
      </c>
      <c r="C4289" s="382" t="s">
        <v>414</v>
      </c>
      <c r="D4289" s="382" t="s">
        <v>415</v>
      </c>
      <c r="E4289" s="586" t="s">
        <v>1029</v>
      </c>
      <c r="F4289" s="586"/>
      <c r="G4289" s="383" t="s">
        <v>416</v>
      </c>
      <c r="H4289" s="312" t="s">
        <v>1030</v>
      </c>
      <c r="I4289" s="312" t="s">
        <v>3016</v>
      </c>
      <c r="J4289" s="312" t="s">
        <v>1031</v>
      </c>
      <c r="K4289" s="312" t="s">
        <v>1032</v>
      </c>
    </row>
    <row r="4290" spans="1:11" ht="30" customHeight="1" x14ac:dyDescent="0.3">
      <c r="A4290" s="313" t="s">
        <v>1033</v>
      </c>
      <c r="B4290" s="315" t="s">
        <v>2187</v>
      </c>
      <c r="C4290" s="313" t="s">
        <v>420</v>
      </c>
      <c r="D4290" s="313" t="s">
        <v>1930</v>
      </c>
      <c r="E4290" s="603" t="s">
        <v>1318</v>
      </c>
      <c r="F4290" s="603"/>
      <c r="G4290" s="314" t="s">
        <v>422</v>
      </c>
      <c r="H4290" s="399">
        <v>1</v>
      </c>
      <c r="I4290" s="316"/>
      <c r="J4290" s="316">
        <v>20.09</v>
      </c>
      <c r="K4290" s="316">
        <v>20.09</v>
      </c>
    </row>
    <row r="4291" spans="1:11" ht="15" customHeight="1" x14ac:dyDescent="0.3">
      <c r="A4291" s="408" t="s">
        <v>1034</v>
      </c>
      <c r="B4291" s="409" t="s">
        <v>1071</v>
      </c>
      <c r="C4291" s="408" t="s">
        <v>420</v>
      </c>
      <c r="D4291" s="408" t="s">
        <v>1072</v>
      </c>
      <c r="E4291" s="604" t="s">
        <v>1069</v>
      </c>
      <c r="F4291" s="604"/>
      <c r="G4291" s="410" t="s">
        <v>1070</v>
      </c>
      <c r="H4291" s="412">
        <v>0.25</v>
      </c>
      <c r="I4291" s="412">
        <v>0</v>
      </c>
      <c r="J4291" s="411">
        <v>3.95</v>
      </c>
      <c r="K4291" s="411">
        <v>0.98750000000000004</v>
      </c>
    </row>
    <row r="4292" spans="1:11" ht="26.4" x14ac:dyDescent="0.3">
      <c r="A4292" s="408" t="s">
        <v>1034</v>
      </c>
      <c r="B4292" s="409" t="s">
        <v>1180</v>
      </c>
      <c r="C4292" s="408" t="s">
        <v>420</v>
      </c>
      <c r="D4292" s="408" t="s">
        <v>1181</v>
      </c>
      <c r="E4292" s="604" t="s">
        <v>1069</v>
      </c>
      <c r="F4292" s="604"/>
      <c r="G4292" s="410" t="s">
        <v>1070</v>
      </c>
      <c r="H4292" s="412">
        <v>0.25</v>
      </c>
      <c r="I4292" s="412">
        <v>0</v>
      </c>
      <c r="J4292" s="411">
        <v>3.91</v>
      </c>
      <c r="K4292" s="411">
        <v>0.97750000000000004</v>
      </c>
    </row>
    <row r="4293" spans="1:11" ht="15" x14ac:dyDescent="0.3">
      <c r="A4293" s="400" t="s">
        <v>1038</v>
      </c>
      <c r="B4293" s="401" t="s">
        <v>768</v>
      </c>
      <c r="C4293" s="400" t="s">
        <v>420</v>
      </c>
      <c r="D4293" s="400" t="s">
        <v>1245</v>
      </c>
      <c r="E4293" s="605" t="s">
        <v>1039</v>
      </c>
      <c r="F4293" s="605"/>
      <c r="G4293" s="402" t="s">
        <v>1246</v>
      </c>
      <c r="H4293" s="403">
        <v>4.0000000000000001E-3</v>
      </c>
      <c r="I4293" s="403">
        <v>0</v>
      </c>
      <c r="J4293" s="404">
        <v>72.41</v>
      </c>
      <c r="K4293" s="404">
        <v>0.28964000000000001</v>
      </c>
    </row>
    <row r="4294" spans="1:11" ht="15" x14ac:dyDescent="0.3">
      <c r="A4294" s="400" t="s">
        <v>1038</v>
      </c>
      <c r="B4294" s="401" t="s">
        <v>1247</v>
      </c>
      <c r="C4294" s="400" t="s">
        <v>420</v>
      </c>
      <c r="D4294" s="400" t="s">
        <v>1248</v>
      </c>
      <c r="E4294" s="605" t="s">
        <v>1039</v>
      </c>
      <c r="F4294" s="605"/>
      <c r="G4294" s="402" t="s">
        <v>1249</v>
      </c>
      <c r="H4294" s="403">
        <v>5.0999999999999997E-2</v>
      </c>
      <c r="I4294" s="403">
        <v>0</v>
      </c>
      <c r="J4294" s="404">
        <v>69.739999999999995</v>
      </c>
      <c r="K4294" s="404">
        <v>3.55674</v>
      </c>
    </row>
    <row r="4295" spans="1:11" ht="25.5" customHeight="1" x14ac:dyDescent="0.3">
      <c r="A4295" s="400" t="s">
        <v>1038</v>
      </c>
      <c r="B4295" s="401" t="s">
        <v>7422</v>
      </c>
      <c r="C4295" s="400" t="s">
        <v>420</v>
      </c>
      <c r="D4295" s="400" t="s">
        <v>7423</v>
      </c>
      <c r="E4295" s="605" t="s">
        <v>1039</v>
      </c>
      <c r="F4295" s="605"/>
      <c r="G4295" s="402" t="s">
        <v>422</v>
      </c>
      <c r="H4295" s="403">
        <v>1</v>
      </c>
      <c r="I4295" s="403">
        <v>0</v>
      </c>
      <c r="J4295" s="404">
        <v>5.27</v>
      </c>
      <c r="K4295" s="404">
        <v>5.27</v>
      </c>
    </row>
    <row r="4296" spans="1:11" ht="15" x14ac:dyDescent="0.3">
      <c r="A4296" s="400" t="s">
        <v>1038</v>
      </c>
      <c r="B4296" s="401" t="s">
        <v>6480</v>
      </c>
      <c r="C4296" s="400" t="s">
        <v>420</v>
      </c>
      <c r="D4296" s="400" t="s">
        <v>6481</v>
      </c>
      <c r="E4296" s="605" t="s">
        <v>1053</v>
      </c>
      <c r="F4296" s="605"/>
      <c r="G4296" s="402" t="s">
        <v>1070</v>
      </c>
      <c r="H4296" s="403">
        <v>0.25</v>
      </c>
      <c r="I4296" s="403">
        <v>0</v>
      </c>
      <c r="J4296" s="404">
        <v>20.45</v>
      </c>
      <c r="K4296" s="404">
        <v>5.1124999999999998</v>
      </c>
    </row>
    <row r="4297" spans="1:11" ht="15" x14ac:dyDescent="0.3">
      <c r="A4297" s="400" t="s">
        <v>1038</v>
      </c>
      <c r="B4297" s="401" t="s">
        <v>6251</v>
      </c>
      <c r="C4297" s="400" t="s">
        <v>420</v>
      </c>
      <c r="D4297" s="400" t="s">
        <v>6252</v>
      </c>
      <c r="E4297" s="605" t="s">
        <v>1053</v>
      </c>
      <c r="F4297" s="605"/>
      <c r="G4297" s="402" t="s">
        <v>1070</v>
      </c>
      <c r="H4297" s="403">
        <v>0.25</v>
      </c>
      <c r="I4297" s="403">
        <v>0</v>
      </c>
      <c r="J4297" s="404">
        <v>15.59</v>
      </c>
      <c r="K4297" s="404">
        <v>3.8975</v>
      </c>
    </row>
    <row r="4298" spans="1:11" ht="30" customHeight="1" x14ac:dyDescent="0.3">
      <c r="A4298" s="405"/>
      <c r="B4298" s="405"/>
      <c r="C4298" s="405"/>
      <c r="D4298" s="405"/>
      <c r="E4298" s="405" t="s">
        <v>1046</v>
      </c>
      <c r="F4298" s="406">
        <v>9.01</v>
      </c>
      <c r="G4298" s="405" t="s">
        <v>1047</v>
      </c>
      <c r="H4298" s="406">
        <v>0</v>
      </c>
      <c r="I4298" s="405" t="s">
        <v>1048</v>
      </c>
      <c r="J4298" s="406">
        <v>9.01</v>
      </c>
      <c r="K4298"/>
    </row>
    <row r="4299" spans="1:11" ht="15" customHeight="1" thickBot="1" x14ac:dyDescent="0.35">
      <c r="A4299" s="405"/>
      <c r="B4299" s="405"/>
      <c r="C4299" s="405"/>
      <c r="D4299" s="405"/>
      <c r="E4299" s="405" t="s">
        <v>1049</v>
      </c>
      <c r="F4299" s="406">
        <v>0</v>
      </c>
      <c r="G4299" s="405"/>
      <c r="H4299" s="606"/>
      <c r="I4299" s="606" t="s">
        <v>1050</v>
      </c>
      <c r="J4299" s="406">
        <v>20.09</v>
      </c>
      <c r="K4299"/>
    </row>
    <row r="4300" spans="1:11" ht="14.25" customHeight="1" thickTop="1" x14ac:dyDescent="0.3">
      <c r="A4300" s="407"/>
      <c r="B4300" s="407"/>
      <c r="C4300" s="407"/>
      <c r="D4300" s="407"/>
      <c r="E4300" s="407"/>
      <c r="F4300" s="407"/>
      <c r="G4300" s="407"/>
      <c r="H4300" s="407"/>
      <c r="I4300" s="407"/>
      <c r="J4300" s="407"/>
      <c r="K4300" s="407"/>
    </row>
    <row r="4301" spans="1:11" ht="30" customHeight="1" x14ac:dyDescent="0.3">
      <c r="A4301" s="382" t="s">
        <v>2107</v>
      </c>
      <c r="B4301" s="312" t="s">
        <v>413</v>
      </c>
      <c r="C4301" s="382" t="s">
        <v>414</v>
      </c>
      <c r="D4301" s="382" t="s">
        <v>415</v>
      </c>
      <c r="E4301" s="586" t="s">
        <v>1029</v>
      </c>
      <c r="F4301" s="586"/>
      <c r="G4301" s="383" t="s">
        <v>416</v>
      </c>
      <c r="H4301" s="312" t="s">
        <v>1030</v>
      </c>
      <c r="I4301" s="312" t="s">
        <v>3016</v>
      </c>
      <c r="J4301" s="312" t="s">
        <v>1031</v>
      </c>
      <c r="K4301" s="312" t="s">
        <v>1032</v>
      </c>
    </row>
    <row r="4302" spans="1:11" ht="14.25" customHeight="1" x14ac:dyDescent="0.3">
      <c r="A4302" s="313" t="s">
        <v>1033</v>
      </c>
      <c r="B4302" s="315" t="s">
        <v>2188</v>
      </c>
      <c r="C4302" s="313" t="s">
        <v>420</v>
      </c>
      <c r="D4302" s="313" t="s">
        <v>6043</v>
      </c>
      <c r="E4302" s="603" t="s">
        <v>1318</v>
      </c>
      <c r="F4302" s="603"/>
      <c r="G4302" s="314" t="s">
        <v>422</v>
      </c>
      <c r="H4302" s="399">
        <v>1</v>
      </c>
      <c r="I4302" s="316"/>
      <c r="J4302" s="316">
        <v>31.68</v>
      </c>
      <c r="K4302" s="316">
        <v>31.68</v>
      </c>
    </row>
    <row r="4303" spans="1:11" ht="26.4" x14ac:dyDescent="0.3">
      <c r="A4303" s="408" t="s">
        <v>1034</v>
      </c>
      <c r="B4303" s="409" t="s">
        <v>1071</v>
      </c>
      <c r="C4303" s="408" t="s">
        <v>420</v>
      </c>
      <c r="D4303" s="408" t="s">
        <v>1072</v>
      </c>
      <c r="E4303" s="604" t="s">
        <v>1069</v>
      </c>
      <c r="F4303" s="604"/>
      <c r="G4303" s="410" t="s">
        <v>1070</v>
      </c>
      <c r="H4303" s="412">
        <v>0.28000000000000003</v>
      </c>
      <c r="I4303" s="412">
        <v>0</v>
      </c>
      <c r="J4303" s="411">
        <v>3.95</v>
      </c>
      <c r="K4303" s="411">
        <v>1.1060000000000001</v>
      </c>
    </row>
    <row r="4304" spans="1:11" ht="25.5" customHeight="1" x14ac:dyDescent="0.3">
      <c r="A4304" s="408" t="s">
        <v>1034</v>
      </c>
      <c r="B4304" s="409" t="s">
        <v>1180</v>
      </c>
      <c r="C4304" s="408" t="s">
        <v>420</v>
      </c>
      <c r="D4304" s="408" t="s">
        <v>1181</v>
      </c>
      <c r="E4304" s="604" t="s">
        <v>1069</v>
      </c>
      <c r="F4304" s="604"/>
      <c r="G4304" s="410" t="s">
        <v>1070</v>
      </c>
      <c r="H4304" s="412">
        <v>0.28000000000000003</v>
      </c>
      <c r="I4304" s="412">
        <v>0</v>
      </c>
      <c r="J4304" s="411">
        <v>3.91</v>
      </c>
      <c r="K4304" s="411">
        <v>1.0948</v>
      </c>
    </row>
    <row r="4305" spans="1:11" ht="15" x14ac:dyDescent="0.3">
      <c r="A4305" s="400" t="s">
        <v>1038</v>
      </c>
      <c r="B4305" s="401" t="s">
        <v>768</v>
      </c>
      <c r="C4305" s="400" t="s">
        <v>420</v>
      </c>
      <c r="D4305" s="400" t="s">
        <v>1245</v>
      </c>
      <c r="E4305" s="605" t="s">
        <v>1039</v>
      </c>
      <c r="F4305" s="605"/>
      <c r="G4305" s="402" t="s">
        <v>1246</v>
      </c>
      <c r="H4305" s="403">
        <v>5.0000000000000001E-3</v>
      </c>
      <c r="I4305" s="403">
        <v>0</v>
      </c>
      <c r="J4305" s="404">
        <v>72.41</v>
      </c>
      <c r="K4305" s="404">
        <v>0.36204999999999998</v>
      </c>
    </row>
    <row r="4306" spans="1:11" ht="25.5" customHeight="1" x14ac:dyDescent="0.3">
      <c r="A4306" s="400" t="s">
        <v>1038</v>
      </c>
      <c r="B4306" s="401" t="s">
        <v>1927</v>
      </c>
      <c r="C4306" s="400" t="s">
        <v>420</v>
      </c>
      <c r="D4306" s="400" t="s">
        <v>7204</v>
      </c>
      <c r="E4306" s="605" t="s">
        <v>1039</v>
      </c>
      <c r="F4306" s="605"/>
      <c r="G4306" s="402" t="s">
        <v>422</v>
      </c>
      <c r="H4306" s="403">
        <v>1</v>
      </c>
      <c r="I4306" s="403">
        <v>0</v>
      </c>
      <c r="J4306" s="404">
        <v>14.07</v>
      </c>
      <c r="K4306" s="404">
        <v>14.07</v>
      </c>
    </row>
    <row r="4307" spans="1:11" ht="15" x14ac:dyDescent="0.3">
      <c r="A4307" s="400" t="s">
        <v>1038</v>
      </c>
      <c r="B4307" s="401" t="s">
        <v>1247</v>
      </c>
      <c r="C4307" s="400" t="s">
        <v>420</v>
      </c>
      <c r="D4307" s="400" t="s">
        <v>1248</v>
      </c>
      <c r="E4307" s="605" t="s">
        <v>1039</v>
      </c>
      <c r="F4307" s="605"/>
      <c r="G4307" s="402" t="s">
        <v>1249</v>
      </c>
      <c r="H4307" s="403">
        <v>7.0999999999999994E-2</v>
      </c>
      <c r="I4307" s="403">
        <v>0</v>
      </c>
      <c r="J4307" s="404">
        <v>69.739999999999995</v>
      </c>
      <c r="K4307" s="404">
        <v>4.9515399999999996</v>
      </c>
    </row>
    <row r="4308" spans="1:11" ht="17.399999999999999" customHeight="1" x14ac:dyDescent="0.3">
      <c r="A4308" s="400" t="s">
        <v>1038</v>
      </c>
      <c r="B4308" s="401" t="s">
        <v>6480</v>
      </c>
      <c r="C4308" s="400" t="s">
        <v>420</v>
      </c>
      <c r="D4308" s="400" t="s">
        <v>6481</v>
      </c>
      <c r="E4308" s="605" t="s">
        <v>1053</v>
      </c>
      <c r="F4308" s="605"/>
      <c r="G4308" s="402" t="s">
        <v>1070</v>
      </c>
      <c r="H4308" s="403">
        <v>0.28000000000000003</v>
      </c>
      <c r="I4308" s="403">
        <v>0</v>
      </c>
      <c r="J4308" s="404">
        <v>20.45</v>
      </c>
      <c r="K4308" s="404">
        <v>5.726</v>
      </c>
    </row>
    <row r="4309" spans="1:11" ht="15" customHeight="1" x14ac:dyDescent="0.3">
      <c r="A4309" s="400" t="s">
        <v>1038</v>
      </c>
      <c r="B4309" s="401" t="s">
        <v>6251</v>
      </c>
      <c r="C4309" s="400" t="s">
        <v>420</v>
      </c>
      <c r="D4309" s="400" t="s">
        <v>6252</v>
      </c>
      <c r="E4309" s="605" t="s">
        <v>1053</v>
      </c>
      <c r="F4309" s="605"/>
      <c r="G4309" s="402" t="s">
        <v>1070</v>
      </c>
      <c r="H4309" s="403">
        <v>0.28000000000000003</v>
      </c>
      <c r="I4309" s="403">
        <v>0</v>
      </c>
      <c r="J4309" s="404">
        <v>15.59</v>
      </c>
      <c r="K4309" s="404">
        <v>4.3651999999999997</v>
      </c>
    </row>
    <row r="4310" spans="1:11" ht="15" x14ac:dyDescent="0.3">
      <c r="A4310" s="405"/>
      <c r="B4310" s="405"/>
      <c r="C4310" s="405"/>
      <c r="D4310" s="405"/>
      <c r="E4310" s="405" t="s">
        <v>1046</v>
      </c>
      <c r="F4310" s="406">
        <v>10.1</v>
      </c>
      <c r="G4310" s="405" t="s">
        <v>1047</v>
      </c>
      <c r="H4310" s="406">
        <v>0</v>
      </c>
      <c r="I4310" s="405" t="s">
        <v>1048</v>
      </c>
      <c r="J4310" s="406">
        <v>10.1</v>
      </c>
      <c r="K4310"/>
    </row>
    <row r="4311" spans="1:11" ht="14.25" customHeight="1" thickBot="1" x14ac:dyDescent="0.35">
      <c r="A4311" s="405"/>
      <c r="B4311" s="405"/>
      <c r="C4311" s="405"/>
      <c r="D4311" s="405"/>
      <c r="E4311" s="405" t="s">
        <v>1049</v>
      </c>
      <c r="F4311" s="406">
        <v>0</v>
      </c>
      <c r="G4311" s="405"/>
      <c r="H4311" s="606"/>
      <c r="I4311" s="606" t="s">
        <v>1050</v>
      </c>
      <c r="J4311" s="406">
        <v>31.68</v>
      </c>
      <c r="K4311"/>
    </row>
    <row r="4312" spans="1:11" ht="30" customHeight="1" thickTop="1" x14ac:dyDescent="0.3">
      <c r="A4312" s="407"/>
      <c r="B4312" s="407"/>
      <c r="C4312" s="407"/>
      <c r="D4312" s="407"/>
      <c r="E4312" s="407"/>
      <c r="F4312" s="407"/>
      <c r="G4312" s="407"/>
      <c r="H4312" s="407"/>
      <c r="I4312" s="407"/>
      <c r="J4312" s="407"/>
      <c r="K4312" s="407"/>
    </row>
    <row r="4313" spans="1:11" ht="15" customHeight="1" x14ac:dyDescent="0.3">
      <c r="A4313" s="382" t="s">
        <v>2108</v>
      </c>
      <c r="B4313" s="312" t="s">
        <v>413</v>
      </c>
      <c r="C4313" s="382" t="s">
        <v>414</v>
      </c>
      <c r="D4313" s="382" t="s">
        <v>415</v>
      </c>
      <c r="E4313" s="586" t="s">
        <v>1029</v>
      </c>
      <c r="F4313" s="586"/>
      <c r="G4313" s="383" t="s">
        <v>416</v>
      </c>
      <c r="H4313" s="312" t="s">
        <v>1030</v>
      </c>
      <c r="I4313" s="312" t="s">
        <v>3016</v>
      </c>
      <c r="J4313" s="312" t="s">
        <v>1031</v>
      </c>
      <c r="K4313" s="312" t="s">
        <v>1032</v>
      </c>
    </row>
    <row r="4314" spans="1:11" ht="30" customHeight="1" x14ac:dyDescent="0.3">
      <c r="A4314" s="313" t="s">
        <v>1033</v>
      </c>
      <c r="B4314" s="315" t="s">
        <v>3933</v>
      </c>
      <c r="C4314" s="313" t="s">
        <v>395</v>
      </c>
      <c r="D4314" s="313" t="s">
        <v>6044</v>
      </c>
      <c r="E4314" s="603" t="s">
        <v>7808</v>
      </c>
      <c r="F4314" s="603"/>
      <c r="G4314" s="314" t="s">
        <v>4</v>
      </c>
      <c r="H4314" s="399">
        <v>1</v>
      </c>
      <c r="I4314" s="316"/>
      <c r="J4314" s="316">
        <v>34.450000000000003</v>
      </c>
      <c r="K4314" s="316">
        <v>34.450000000000003</v>
      </c>
    </row>
    <row r="4315" spans="1:11" ht="25.5" customHeight="1" x14ac:dyDescent="0.3">
      <c r="A4315" s="408" t="s">
        <v>1034</v>
      </c>
      <c r="B4315" s="409" t="s">
        <v>1113</v>
      </c>
      <c r="C4315" s="408" t="s">
        <v>395</v>
      </c>
      <c r="D4315" s="408" t="s">
        <v>129</v>
      </c>
      <c r="E4315" s="604" t="s">
        <v>7768</v>
      </c>
      <c r="F4315" s="604"/>
      <c r="G4315" s="410" t="s">
        <v>6</v>
      </c>
      <c r="H4315" s="412">
        <v>6.9400000000000003E-2</v>
      </c>
      <c r="I4315" s="412">
        <v>0</v>
      </c>
      <c r="J4315" s="411">
        <v>33.450000000000003</v>
      </c>
      <c r="K4315" s="411">
        <v>2.3214299999999999</v>
      </c>
    </row>
    <row r="4316" spans="1:11" ht="25.5" customHeight="1" x14ac:dyDescent="0.3">
      <c r="A4316" s="408" t="s">
        <v>1034</v>
      </c>
      <c r="B4316" s="409" t="s">
        <v>1112</v>
      </c>
      <c r="C4316" s="408" t="s">
        <v>395</v>
      </c>
      <c r="D4316" s="408" t="s">
        <v>137</v>
      </c>
      <c r="E4316" s="604" t="s">
        <v>7768</v>
      </c>
      <c r="F4316" s="604"/>
      <c r="G4316" s="410" t="s">
        <v>6</v>
      </c>
      <c r="H4316" s="412">
        <v>6.9400000000000003E-2</v>
      </c>
      <c r="I4316" s="412">
        <v>0</v>
      </c>
      <c r="J4316" s="411">
        <v>40.299999999999997</v>
      </c>
      <c r="K4316" s="411">
        <v>2.7968199999999999</v>
      </c>
    </row>
    <row r="4317" spans="1:11" ht="25.5" customHeight="1" x14ac:dyDescent="0.3">
      <c r="A4317" s="400" t="s">
        <v>1038</v>
      </c>
      <c r="B4317" s="401" t="s">
        <v>2587</v>
      </c>
      <c r="C4317" s="400" t="s">
        <v>395</v>
      </c>
      <c r="D4317" s="400" t="s">
        <v>349</v>
      </c>
      <c r="E4317" s="605" t="s">
        <v>1039</v>
      </c>
      <c r="F4317" s="605"/>
      <c r="G4317" s="402" t="s">
        <v>4</v>
      </c>
      <c r="H4317" s="403">
        <v>1.18E-2</v>
      </c>
      <c r="I4317" s="403">
        <v>0</v>
      </c>
      <c r="J4317" s="404">
        <v>79.17</v>
      </c>
      <c r="K4317" s="404">
        <v>0.93420599999999998</v>
      </c>
    </row>
    <row r="4318" spans="1:11" ht="15" customHeight="1" x14ac:dyDescent="0.3">
      <c r="A4318" s="400" t="s">
        <v>1038</v>
      </c>
      <c r="B4318" s="401" t="s">
        <v>4450</v>
      </c>
      <c r="C4318" s="400" t="s">
        <v>395</v>
      </c>
      <c r="D4318" s="400" t="s">
        <v>4451</v>
      </c>
      <c r="E4318" s="605" t="s">
        <v>1039</v>
      </c>
      <c r="F4318" s="605"/>
      <c r="G4318" s="402" t="s">
        <v>4</v>
      </c>
      <c r="H4318" s="403">
        <v>1</v>
      </c>
      <c r="I4318" s="403">
        <v>0</v>
      </c>
      <c r="J4318" s="404">
        <v>27.11</v>
      </c>
      <c r="K4318" s="404">
        <v>27.11</v>
      </c>
    </row>
    <row r="4319" spans="1:11" ht="25.5" customHeight="1" x14ac:dyDescent="0.3">
      <c r="A4319" s="400" t="s">
        <v>1038</v>
      </c>
      <c r="B4319" s="401" t="s">
        <v>2588</v>
      </c>
      <c r="C4319" s="400" t="s">
        <v>395</v>
      </c>
      <c r="D4319" s="400" t="s">
        <v>350</v>
      </c>
      <c r="E4319" s="605" t="s">
        <v>1039</v>
      </c>
      <c r="F4319" s="605"/>
      <c r="G4319" s="402" t="s">
        <v>4</v>
      </c>
      <c r="H4319" s="403">
        <v>1.4E-2</v>
      </c>
      <c r="I4319" s="403">
        <v>0</v>
      </c>
      <c r="J4319" s="404">
        <v>89.7</v>
      </c>
      <c r="K4319" s="404">
        <v>1.2558</v>
      </c>
    </row>
    <row r="4320" spans="1:11" ht="25.5" customHeight="1" x14ac:dyDescent="0.3">
      <c r="A4320" s="400" t="s">
        <v>1038</v>
      </c>
      <c r="B4320" s="401" t="s">
        <v>1372</v>
      </c>
      <c r="C4320" s="400" t="s">
        <v>395</v>
      </c>
      <c r="D4320" s="400" t="s">
        <v>266</v>
      </c>
      <c r="E4320" s="605" t="s">
        <v>1039</v>
      </c>
      <c r="F4320" s="605"/>
      <c r="G4320" s="402" t="s">
        <v>4</v>
      </c>
      <c r="H4320" s="403">
        <v>1.5699999999999999E-2</v>
      </c>
      <c r="I4320" s="403">
        <v>0</v>
      </c>
      <c r="J4320" s="404">
        <v>2.09</v>
      </c>
      <c r="K4320" s="404">
        <v>3.2813000000000002E-2</v>
      </c>
    </row>
    <row r="4321" spans="1:11" ht="14.25" customHeight="1" x14ac:dyDescent="0.3">
      <c r="A4321" s="405"/>
      <c r="B4321" s="405"/>
      <c r="C4321" s="405"/>
      <c r="D4321" s="405"/>
      <c r="E4321" s="405" t="s">
        <v>1046</v>
      </c>
      <c r="F4321" s="406">
        <v>3.77</v>
      </c>
      <c r="G4321" s="405" t="s">
        <v>1047</v>
      </c>
      <c r="H4321" s="406">
        <v>0</v>
      </c>
      <c r="I4321" s="405" t="s">
        <v>1048</v>
      </c>
      <c r="J4321" s="406">
        <v>3.77</v>
      </c>
      <c r="K4321"/>
    </row>
    <row r="4322" spans="1:11" ht="15.6" thickBot="1" x14ac:dyDescent="0.35">
      <c r="A4322" s="405"/>
      <c r="B4322" s="405"/>
      <c r="C4322" s="405"/>
      <c r="D4322" s="405"/>
      <c r="E4322" s="405" t="s">
        <v>1049</v>
      </c>
      <c r="F4322" s="406">
        <v>0</v>
      </c>
      <c r="G4322" s="405"/>
      <c r="H4322" s="606"/>
      <c r="I4322" s="606" t="s">
        <v>1050</v>
      </c>
      <c r="J4322" s="406">
        <v>34.450000000000003</v>
      </c>
      <c r="K4322"/>
    </row>
    <row r="4323" spans="1:11" ht="14.25" customHeight="1" thickTop="1" x14ac:dyDescent="0.3">
      <c r="A4323" s="407"/>
      <c r="B4323" s="407"/>
      <c r="C4323" s="407"/>
      <c r="D4323" s="407"/>
      <c r="E4323" s="407"/>
      <c r="F4323" s="407"/>
      <c r="G4323" s="407"/>
      <c r="H4323" s="407"/>
      <c r="I4323" s="407"/>
      <c r="J4323" s="407"/>
      <c r="K4323" s="407"/>
    </row>
    <row r="4324" spans="1:11" ht="30" customHeight="1" x14ac:dyDescent="0.3">
      <c r="A4324" s="382" t="s">
        <v>2109</v>
      </c>
      <c r="B4324" s="312" t="s">
        <v>413</v>
      </c>
      <c r="C4324" s="382" t="s">
        <v>414</v>
      </c>
      <c r="D4324" s="382" t="s">
        <v>415</v>
      </c>
      <c r="E4324" s="586" t="s">
        <v>1029</v>
      </c>
      <c r="F4324" s="586"/>
      <c r="G4324" s="383" t="s">
        <v>416</v>
      </c>
      <c r="H4324" s="312" t="s">
        <v>1030</v>
      </c>
      <c r="I4324" s="312" t="s">
        <v>3016</v>
      </c>
      <c r="J4324" s="312" t="s">
        <v>1031</v>
      </c>
      <c r="K4324" s="312" t="s">
        <v>1032</v>
      </c>
    </row>
    <row r="4325" spans="1:11" ht="15" customHeight="1" x14ac:dyDescent="0.3">
      <c r="A4325" s="313" t="s">
        <v>1033</v>
      </c>
      <c r="B4325" s="315" t="s">
        <v>3934</v>
      </c>
      <c r="C4325" s="313" t="s">
        <v>395</v>
      </c>
      <c r="D4325" s="313" t="s">
        <v>6045</v>
      </c>
      <c r="E4325" s="603" t="s">
        <v>7808</v>
      </c>
      <c r="F4325" s="603"/>
      <c r="G4325" s="314" t="s">
        <v>4</v>
      </c>
      <c r="H4325" s="399">
        <v>1</v>
      </c>
      <c r="I4325" s="316"/>
      <c r="J4325" s="316">
        <v>38.51</v>
      </c>
      <c r="K4325" s="316">
        <v>38.51</v>
      </c>
    </row>
    <row r="4326" spans="1:11" ht="30" customHeight="1" x14ac:dyDescent="0.3">
      <c r="A4326" s="408" t="s">
        <v>1034</v>
      </c>
      <c r="B4326" s="409" t="s">
        <v>1113</v>
      </c>
      <c r="C4326" s="408" t="s">
        <v>395</v>
      </c>
      <c r="D4326" s="408" t="s">
        <v>129</v>
      </c>
      <c r="E4326" s="604" t="s">
        <v>7768</v>
      </c>
      <c r="F4326" s="604"/>
      <c r="G4326" s="410" t="s">
        <v>6</v>
      </c>
      <c r="H4326" s="412">
        <v>8.4699999999999998E-2</v>
      </c>
      <c r="I4326" s="412">
        <v>0</v>
      </c>
      <c r="J4326" s="411">
        <v>33.450000000000003</v>
      </c>
      <c r="K4326" s="411">
        <v>2.833215</v>
      </c>
    </row>
    <row r="4327" spans="1:11" ht="25.5" customHeight="1" x14ac:dyDescent="0.3">
      <c r="A4327" s="408" t="s">
        <v>1034</v>
      </c>
      <c r="B4327" s="409" t="s">
        <v>1112</v>
      </c>
      <c r="C4327" s="408" t="s">
        <v>395</v>
      </c>
      <c r="D4327" s="408" t="s">
        <v>137</v>
      </c>
      <c r="E4327" s="604" t="s">
        <v>7768</v>
      </c>
      <c r="F4327" s="604"/>
      <c r="G4327" s="410" t="s">
        <v>6</v>
      </c>
      <c r="H4327" s="412">
        <v>8.4699999999999998E-2</v>
      </c>
      <c r="I4327" s="412">
        <v>0</v>
      </c>
      <c r="J4327" s="411">
        <v>40.299999999999997</v>
      </c>
      <c r="K4327" s="411">
        <v>3.4134099999999998</v>
      </c>
    </row>
    <row r="4328" spans="1:11" ht="25.5" customHeight="1" x14ac:dyDescent="0.3">
      <c r="A4328" s="400" t="s">
        <v>1038</v>
      </c>
      <c r="B4328" s="401" t="s">
        <v>2587</v>
      </c>
      <c r="C4328" s="400" t="s">
        <v>395</v>
      </c>
      <c r="D4328" s="400" t="s">
        <v>349</v>
      </c>
      <c r="E4328" s="605" t="s">
        <v>1039</v>
      </c>
      <c r="F4328" s="605"/>
      <c r="G4328" s="402" t="s">
        <v>4</v>
      </c>
      <c r="H4328" s="403">
        <v>1.6500000000000001E-2</v>
      </c>
      <c r="I4328" s="403">
        <v>0</v>
      </c>
      <c r="J4328" s="404">
        <v>79.17</v>
      </c>
      <c r="K4328" s="404">
        <v>1.306305</v>
      </c>
    </row>
    <row r="4329" spans="1:11" ht="25.5" customHeight="1" x14ac:dyDescent="0.3">
      <c r="A4329" s="400" t="s">
        <v>1038</v>
      </c>
      <c r="B4329" s="401" t="s">
        <v>4432</v>
      </c>
      <c r="C4329" s="400" t="s">
        <v>395</v>
      </c>
      <c r="D4329" s="400" t="s">
        <v>4433</v>
      </c>
      <c r="E4329" s="605" t="s">
        <v>1039</v>
      </c>
      <c r="F4329" s="605"/>
      <c r="G4329" s="402" t="s">
        <v>4</v>
      </c>
      <c r="H4329" s="403">
        <v>1</v>
      </c>
      <c r="I4329" s="403">
        <v>0</v>
      </c>
      <c r="J4329" s="404">
        <v>28.94</v>
      </c>
      <c r="K4329" s="404">
        <v>28.94</v>
      </c>
    </row>
    <row r="4330" spans="1:11" ht="25.5" customHeight="1" x14ac:dyDescent="0.3">
      <c r="A4330" s="400" t="s">
        <v>1038</v>
      </c>
      <c r="B4330" s="401" t="s">
        <v>2588</v>
      </c>
      <c r="C4330" s="400" t="s">
        <v>395</v>
      </c>
      <c r="D4330" s="400" t="s">
        <v>350</v>
      </c>
      <c r="E4330" s="605" t="s">
        <v>1039</v>
      </c>
      <c r="F4330" s="605"/>
      <c r="G4330" s="402" t="s">
        <v>4</v>
      </c>
      <c r="H4330" s="403">
        <v>2.1999999999999999E-2</v>
      </c>
      <c r="I4330" s="403">
        <v>0</v>
      </c>
      <c r="J4330" s="404">
        <v>89.7</v>
      </c>
      <c r="K4330" s="404">
        <v>1.9734</v>
      </c>
    </row>
    <row r="4331" spans="1:11" ht="25.5" customHeight="1" x14ac:dyDescent="0.3">
      <c r="A4331" s="400" t="s">
        <v>1038</v>
      </c>
      <c r="B4331" s="401" t="s">
        <v>1372</v>
      </c>
      <c r="C4331" s="400" t="s">
        <v>395</v>
      </c>
      <c r="D4331" s="400" t="s">
        <v>266</v>
      </c>
      <c r="E4331" s="605" t="s">
        <v>1039</v>
      </c>
      <c r="F4331" s="605"/>
      <c r="G4331" s="402" t="s">
        <v>4</v>
      </c>
      <c r="H4331" s="403">
        <v>1.9E-2</v>
      </c>
      <c r="I4331" s="403">
        <v>0</v>
      </c>
      <c r="J4331" s="404">
        <v>2.09</v>
      </c>
      <c r="K4331" s="404">
        <v>3.9710000000000002E-2</v>
      </c>
    </row>
    <row r="4332" spans="1:11" ht="17.399999999999999" customHeight="1" x14ac:dyDescent="0.3">
      <c r="A4332" s="405"/>
      <c r="B4332" s="405"/>
      <c r="C4332" s="405"/>
      <c r="D4332" s="405"/>
      <c r="E4332" s="405" t="s">
        <v>1046</v>
      </c>
      <c r="F4332" s="406">
        <v>4.5999999999999996</v>
      </c>
      <c r="G4332" s="405" t="s">
        <v>1047</v>
      </c>
      <c r="H4332" s="406">
        <v>0</v>
      </c>
      <c r="I4332" s="405" t="s">
        <v>1048</v>
      </c>
      <c r="J4332" s="406">
        <v>4.5999999999999996</v>
      </c>
      <c r="K4332"/>
    </row>
    <row r="4333" spans="1:11" ht="15" customHeight="1" thickBot="1" x14ac:dyDescent="0.35">
      <c r="A4333" s="405"/>
      <c r="B4333" s="405"/>
      <c r="C4333" s="405"/>
      <c r="D4333" s="405"/>
      <c r="E4333" s="405" t="s">
        <v>1049</v>
      </c>
      <c r="F4333" s="406">
        <v>0</v>
      </c>
      <c r="G4333" s="405"/>
      <c r="H4333" s="606"/>
      <c r="I4333" s="606" t="s">
        <v>1050</v>
      </c>
      <c r="J4333" s="406">
        <v>38.51</v>
      </c>
      <c r="K4333"/>
    </row>
    <row r="4334" spans="1:11" ht="25.5" customHeight="1" thickTop="1" x14ac:dyDescent="0.3">
      <c r="A4334" s="407"/>
      <c r="B4334" s="407"/>
      <c r="C4334" s="407"/>
      <c r="D4334" s="407"/>
      <c r="E4334" s="407"/>
      <c r="F4334" s="407"/>
      <c r="G4334" s="407"/>
      <c r="H4334" s="407"/>
      <c r="I4334" s="407"/>
      <c r="J4334" s="407"/>
      <c r="K4334" s="407"/>
    </row>
    <row r="4335" spans="1:11" ht="15" customHeight="1" x14ac:dyDescent="0.3">
      <c r="A4335" s="382" t="s">
        <v>2110</v>
      </c>
      <c r="B4335" s="312" t="s">
        <v>413</v>
      </c>
      <c r="C4335" s="382" t="s">
        <v>414</v>
      </c>
      <c r="D4335" s="382" t="s">
        <v>415</v>
      </c>
      <c r="E4335" s="586" t="s">
        <v>1029</v>
      </c>
      <c r="F4335" s="586"/>
      <c r="G4335" s="383" t="s">
        <v>416</v>
      </c>
      <c r="H4335" s="312" t="s">
        <v>1030</v>
      </c>
      <c r="I4335" s="312" t="s">
        <v>3016</v>
      </c>
      <c r="J4335" s="312" t="s">
        <v>1031</v>
      </c>
      <c r="K4335" s="312" t="s">
        <v>1032</v>
      </c>
    </row>
    <row r="4336" spans="1:11" ht="25.5" customHeight="1" x14ac:dyDescent="0.3">
      <c r="A4336" s="313" t="s">
        <v>1033</v>
      </c>
      <c r="B4336" s="315" t="s">
        <v>3935</v>
      </c>
      <c r="C4336" s="313" t="s">
        <v>395</v>
      </c>
      <c r="D4336" s="313" t="s">
        <v>2596</v>
      </c>
      <c r="E4336" s="603" t="s">
        <v>7882</v>
      </c>
      <c r="F4336" s="603"/>
      <c r="G4336" s="314" t="s">
        <v>7</v>
      </c>
      <c r="H4336" s="399">
        <v>1</v>
      </c>
      <c r="I4336" s="316"/>
      <c r="J4336" s="316">
        <v>110.6</v>
      </c>
      <c r="K4336" s="316">
        <v>110.6</v>
      </c>
    </row>
    <row r="4337" spans="1:11" ht="25.5" customHeight="1" x14ac:dyDescent="0.3">
      <c r="A4337" s="408" t="s">
        <v>1034</v>
      </c>
      <c r="B4337" s="409" t="s">
        <v>1113</v>
      </c>
      <c r="C4337" s="408" t="s">
        <v>395</v>
      </c>
      <c r="D4337" s="408" t="s">
        <v>129</v>
      </c>
      <c r="E4337" s="604" t="s">
        <v>7768</v>
      </c>
      <c r="F4337" s="604"/>
      <c r="G4337" s="410" t="s">
        <v>6</v>
      </c>
      <c r="H4337" s="412">
        <v>5.67E-2</v>
      </c>
      <c r="I4337" s="412">
        <v>0</v>
      </c>
      <c r="J4337" s="411">
        <v>33.450000000000003</v>
      </c>
      <c r="K4337" s="411">
        <v>1.8966149999999999</v>
      </c>
    </row>
    <row r="4338" spans="1:11" ht="25.5" customHeight="1" x14ac:dyDescent="0.3">
      <c r="A4338" s="408" t="s">
        <v>1034</v>
      </c>
      <c r="B4338" s="409" t="s">
        <v>1112</v>
      </c>
      <c r="C4338" s="408" t="s">
        <v>395</v>
      </c>
      <c r="D4338" s="408" t="s">
        <v>137</v>
      </c>
      <c r="E4338" s="604" t="s">
        <v>7768</v>
      </c>
      <c r="F4338" s="604"/>
      <c r="G4338" s="410" t="s">
        <v>6</v>
      </c>
      <c r="H4338" s="412">
        <v>5.67E-2</v>
      </c>
      <c r="I4338" s="412">
        <v>0</v>
      </c>
      <c r="J4338" s="411">
        <v>40.299999999999997</v>
      </c>
      <c r="K4338" s="411">
        <v>2.2850100000000002</v>
      </c>
    </row>
    <row r="4339" spans="1:11" ht="25.5" customHeight="1" x14ac:dyDescent="0.3">
      <c r="A4339" s="400" t="s">
        <v>1038</v>
      </c>
      <c r="B4339" s="401" t="s">
        <v>3021</v>
      </c>
      <c r="C4339" s="400" t="s">
        <v>395</v>
      </c>
      <c r="D4339" s="400" t="s">
        <v>3022</v>
      </c>
      <c r="E4339" s="605" t="s">
        <v>1039</v>
      </c>
      <c r="F4339" s="605"/>
      <c r="G4339" s="402" t="s">
        <v>7</v>
      </c>
      <c r="H4339" s="403">
        <v>1.0225</v>
      </c>
      <c r="I4339" s="403">
        <v>0</v>
      </c>
      <c r="J4339" s="404">
        <v>104.08</v>
      </c>
      <c r="K4339" s="404">
        <v>106.4218</v>
      </c>
    </row>
    <row r="4340" spans="1:11" ht="14.25" customHeight="1" x14ac:dyDescent="0.3">
      <c r="A4340" s="405"/>
      <c r="B4340" s="405"/>
      <c r="C4340" s="405"/>
      <c r="D4340" s="405"/>
      <c r="E4340" s="405" t="s">
        <v>1046</v>
      </c>
      <c r="F4340" s="406">
        <v>3.08</v>
      </c>
      <c r="G4340" s="405" t="s">
        <v>1047</v>
      </c>
      <c r="H4340" s="406">
        <v>0</v>
      </c>
      <c r="I4340" s="405" t="s">
        <v>1048</v>
      </c>
      <c r="J4340" s="406">
        <v>3.08</v>
      </c>
      <c r="K4340"/>
    </row>
    <row r="4341" spans="1:11" ht="15" customHeight="1" thickBot="1" x14ac:dyDescent="0.35">
      <c r="A4341" s="405"/>
      <c r="B4341" s="405"/>
      <c r="C4341" s="405"/>
      <c r="D4341" s="405"/>
      <c r="E4341" s="405" t="s">
        <v>1049</v>
      </c>
      <c r="F4341" s="406">
        <v>0</v>
      </c>
      <c r="G4341" s="405"/>
      <c r="H4341" s="606"/>
      <c r="I4341" s="606" t="s">
        <v>1050</v>
      </c>
      <c r="J4341" s="406">
        <v>110.6</v>
      </c>
      <c r="K4341"/>
    </row>
    <row r="4342" spans="1:11" ht="15.6" thickTop="1" x14ac:dyDescent="0.3">
      <c r="A4342" s="407"/>
      <c r="B4342" s="407"/>
      <c r="C4342" s="407"/>
      <c r="D4342" s="407"/>
      <c r="E4342" s="407"/>
      <c r="F4342" s="407"/>
      <c r="G4342" s="407"/>
      <c r="H4342" s="407"/>
      <c r="I4342" s="407"/>
      <c r="J4342" s="407"/>
      <c r="K4342" s="407"/>
    </row>
    <row r="4343" spans="1:11" ht="15" customHeight="1" x14ac:dyDescent="0.3">
      <c r="A4343" s="382" t="s">
        <v>2112</v>
      </c>
      <c r="B4343" s="312" t="s">
        <v>413</v>
      </c>
      <c r="C4343" s="382" t="s">
        <v>414</v>
      </c>
      <c r="D4343" s="382" t="s">
        <v>415</v>
      </c>
      <c r="E4343" s="586" t="s">
        <v>1029</v>
      </c>
      <c r="F4343" s="586"/>
      <c r="G4343" s="383" t="s">
        <v>416</v>
      </c>
      <c r="H4343" s="312" t="s">
        <v>1030</v>
      </c>
      <c r="I4343" s="312" t="s">
        <v>3016</v>
      </c>
      <c r="J4343" s="312" t="s">
        <v>1031</v>
      </c>
      <c r="K4343" s="312" t="s">
        <v>1032</v>
      </c>
    </row>
    <row r="4344" spans="1:11" ht="15" customHeight="1" x14ac:dyDescent="0.3">
      <c r="A4344" s="313" t="s">
        <v>1033</v>
      </c>
      <c r="B4344" s="315" t="s">
        <v>3936</v>
      </c>
      <c r="C4344" s="313" t="s">
        <v>395</v>
      </c>
      <c r="D4344" s="313" t="s">
        <v>2597</v>
      </c>
      <c r="E4344" s="603" t="s">
        <v>7882</v>
      </c>
      <c r="F4344" s="603"/>
      <c r="G4344" s="314" t="s">
        <v>7</v>
      </c>
      <c r="H4344" s="399">
        <v>1</v>
      </c>
      <c r="I4344" s="316"/>
      <c r="J4344" s="316">
        <v>166.01</v>
      </c>
      <c r="K4344" s="316">
        <v>166.01</v>
      </c>
    </row>
    <row r="4345" spans="1:11" ht="25.5" customHeight="1" x14ac:dyDescent="0.3">
      <c r="A4345" s="408" t="s">
        <v>1034</v>
      </c>
      <c r="B4345" s="409" t="s">
        <v>1113</v>
      </c>
      <c r="C4345" s="408" t="s">
        <v>395</v>
      </c>
      <c r="D4345" s="408" t="s">
        <v>129</v>
      </c>
      <c r="E4345" s="604" t="s">
        <v>7768</v>
      </c>
      <c r="F4345" s="604"/>
      <c r="G4345" s="410" t="s">
        <v>6</v>
      </c>
      <c r="H4345" s="412">
        <v>7.1499999999999994E-2</v>
      </c>
      <c r="I4345" s="412">
        <v>0</v>
      </c>
      <c r="J4345" s="411">
        <v>33.450000000000003</v>
      </c>
      <c r="K4345" s="411">
        <v>2.3916750000000002</v>
      </c>
    </row>
    <row r="4346" spans="1:11" ht="25.5" customHeight="1" x14ac:dyDescent="0.3">
      <c r="A4346" s="408" t="s">
        <v>1034</v>
      </c>
      <c r="B4346" s="409" t="s">
        <v>1112</v>
      </c>
      <c r="C4346" s="408" t="s">
        <v>395</v>
      </c>
      <c r="D4346" s="408" t="s">
        <v>137</v>
      </c>
      <c r="E4346" s="604" t="s">
        <v>7768</v>
      </c>
      <c r="F4346" s="604"/>
      <c r="G4346" s="410" t="s">
        <v>6</v>
      </c>
      <c r="H4346" s="412">
        <v>7.1499999999999994E-2</v>
      </c>
      <c r="I4346" s="412">
        <v>0</v>
      </c>
      <c r="J4346" s="411">
        <v>40.299999999999997</v>
      </c>
      <c r="K4346" s="411">
        <v>2.8814500000000001</v>
      </c>
    </row>
    <row r="4347" spans="1:11" ht="25.5" customHeight="1" x14ac:dyDescent="0.3">
      <c r="A4347" s="400" t="s">
        <v>1038</v>
      </c>
      <c r="B4347" s="401" t="s">
        <v>4139</v>
      </c>
      <c r="C4347" s="400" t="s">
        <v>395</v>
      </c>
      <c r="D4347" s="400" t="s">
        <v>4140</v>
      </c>
      <c r="E4347" s="605" t="s">
        <v>1039</v>
      </c>
      <c r="F4347" s="605"/>
      <c r="G4347" s="402" t="s">
        <v>7</v>
      </c>
      <c r="H4347" s="403">
        <v>1.0225</v>
      </c>
      <c r="I4347" s="403">
        <v>0</v>
      </c>
      <c r="J4347" s="404">
        <v>157.19999999999999</v>
      </c>
      <c r="K4347" s="404">
        <v>160.73699999999999</v>
      </c>
    </row>
    <row r="4348" spans="1:11" ht="30" customHeight="1" x14ac:dyDescent="0.3">
      <c r="A4348" s="405"/>
      <c r="B4348" s="405"/>
      <c r="C4348" s="405"/>
      <c r="D4348" s="405"/>
      <c r="E4348" s="405" t="s">
        <v>1046</v>
      </c>
      <c r="F4348" s="406">
        <v>3.88</v>
      </c>
      <c r="G4348" s="405" t="s">
        <v>1047</v>
      </c>
      <c r="H4348" s="406">
        <v>0.01</v>
      </c>
      <c r="I4348" s="405" t="s">
        <v>1048</v>
      </c>
      <c r="J4348" s="406">
        <v>3.89</v>
      </c>
      <c r="K4348"/>
    </row>
    <row r="4349" spans="1:11" ht="25.5" customHeight="1" thickBot="1" x14ac:dyDescent="0.35">
      <c r="A4349" s="405"/>
      <c r="B4349" s="405"/>
      <c r="C4349" s="405"/>
      <c r="D4349" s="405"/>
      <c r="E4349" s="405" t="s">
        <v>1049</v>
      </c>
      <c r="F4349" s="406">
        <v>0</v>
      </c>
      <c r="G4349" s="405"/>
      <c r="H4349" s="606"/>
      <c r="I4349" s="606" t="s">
        <v>1050</v>
      </c>
      <c r="J4349" s="406">
        <v>166.01</v>
      </c>
      <c r="K4349"/>
    </row>
    <row r="4350" spans="1:11" ht="14.25" customHeight="1" thickTop="1" x14ac:dyDescent="0.3">
      <c r="A4350" s="407"/>
      <c r="B4350" s="407"/>
      <c r="C4350" s="407"/>
      <c r="D4350" s="407"/>
      <c r="E4350" s="407"/>
      <c r="F4350" s="407"/>
      <c r="G4350" s="407"/>
      <c r="H4350" s="407"/>
      <c r="I4350" s="407"/>
      <c r="J4350" s="407"/>
      <c r="K4350" s="407"/>
    </row>
    <row r="4351" spans="1:11" ht="17.399999999999999" customHeight="1" x14ac:dyDescent="0.3">
      <c r="A4351" s="382" t="s">
        <v>2223</v>
      </c>
      <c r="B4351" s="312" t="s">
        <v>413</v>
      </c>
      <c r="C4351" s="382" t="s">
        <v>414</v>
      </c>
      <c r="D4351" s="382" t="s">
        <v>415</v>
      </c>
      <c r="E4351" s="586" t="s">
        <v>1029</v>
      </c>
      <c r="F4351" s="586"/>
      <c r="G4351" s="383" t="s">
        <v>416</v>
      </c>
      <c r="H4351" s="312" t="s">
        <v>1030</v>
      </c>
      <c r="I4351" s="312" t="s">
        <v>3016</v>
      </c>
      <c r="J4351" s="312" t="s">
        <v>1031</v>
      </c>
      <c r="K4351" s="312" t="s">
        <v>1032</v>
      </c>
    </row>
    <row r="4352" spans="1:11" ht="15" customHeight="1" x14ac:dyDescent="0.3">
      <c r="A4352" s="313" t="s">
        <v>1033</v>
      </c>
      <c r="B4352" s="315" t="s">
        <v>2201</v>
      </c>
      <c r="C4352" s="313" t="s">
        <v>395</v>
      </c>
      <c r="D4352" s="313" t="s">
        <v>2598</v>
      </c>
      <c r="E4352" s="603" t="s">
        <v>7882</v>
      </c>
      <c r="F4352" s="603"/>
      <c r="G4352" s="314" t="s">
        <v>4</v>
      </c>
      <c r="H4352" s="399">
        <v>1</v>
      </c>
      <c r="I4352" s="316"/>
      <c r="J4352" s="316">
        <v>31.91</v>
      </c>
      <c r="K4352" s="316">
        <v>31.91</v>
      </c>
    </row>
    <row r="4353" spans="1:11" ht="26.4" x14ac:dyDescent="0.3">
      <c r="A4353" s="408" t="s">
        <v>1034</v>
      </c>
      <c r="B4353" s="409" t="s">
        <v>1113</v>
      </c>
      <c r="C4353" s="408" t="s">
        <v>395</v>
      </c>
      <c r="D4353" s="408" t="s">
        <v>129</v>
      </c>
      <c r="E4353" s="604" t="s">
        <v>7768</v>
      </c>
      <c r="F4353" s="604"/>
      <c r="G4353" s="410" t="s">
        <v>6</v>
      </c>
      <c r="H4353" s="412">
        <v>0.1148</v>
      </c>
      <c r="I4353" s="412">
        <v>0</v>
      </c>
      <c r="J4353" s="411">
        <v>33.450000000000003</v>
      </c>
      <c r="K4353" s="411">
        <v>3.8400599999999998</v>
      </c>
    </row>
    <row r="4354" spans="1:11" ht="25.5" customHeight="1" x14ac:dyDescent="0.3">
      <c r="A4354" s="408" t="s">
        <v>1034</v>
      </c>
      <c r="B4354" s="409" t="s">
        <v>1112</v>
      </c>
      <c r="C4354" s="408" t="s">
        <v>395</v>
      </c>
      <c r="D4354" s="408" t="s">
        <v>137</v>
      </c>
      <c r="E4354" s="604" t="s">
        <v>7768</v>
      </c>
      <c r="F4354" s="604"/>
      <c r="G4354" s="410" t="s">
        <v>6</v>
      </c>
      <c r="H4354" s="412">
        <v>0.1148</v>
      </c>
      <c r="I4354" s="412">
        <v>0</v>
      </c>
      <c r="J4354" s="411">
        <v>40.299999999999997</v>
      </c>
      <c r="K4354" s="411">
        <v>4.6264399999999997</v>
      </c>
    </row>
    <row r="4355" spans="1:11" ht="25.5" customHeight="1" x14ac:dyDescent="0.3">
      <c r="A4355" s="400" t="s">
        <v>1038</v>
      </c>
      <c r="B4355" s="401" t="s">
        <v>2534</v>
      </c>
      <c r="C4355" s="400" t="s">
        <v>395</v>
      </c>
      <c r="D4355" s="400" t="s">
        <v>256</v>
      </c>
      <c r="E4355" s="605" t="s">
        <v>1039</v>
      </c>
      <c r="F4355" s="605"/>
      <c r="G4355" s="402" t="s">
        <v>4</v>
      </c>
      <c r="H4355" s="403">
        <v>1</v>
      </c>
      <c r="I4355" s="403">
        <v>0</v>
      </c>
      <c r="J4355" s="404">
        <v>21.27</v>
      </c>
      <c r="K4355" s="404">
        <v>21.27</v>
      </c>
    </row>
    <row r="4356" spans="1:11" ht="25.5" customHeight="1" x14ac:dyDescent="0.3">
      <c r="A4356" s="400" t="s">
        <v>1038</v>
      </c>
      <c r="B4356" s="401" t="s">
        <v>2499</v>
      </c>
      <c r="C4356" s="400" t="s">
        <v>395</v>
      </c>
      <c r="D4356" s="400" t="s">
        <v>280</v>
      </c>
      <c r="E4356" s="605" t="s">
        <v>1039</v>
      </c>
      <c r="F4356" s="605"/>
      <c r="G4356" s="402" t="s">
        <v>4</v>
      </c>
      <c r="H4356" s="403">
        <v>6.4000000000000003E-3</v>
      </c>
      <c r="I4356" s="403">
        <v>0</v>
      </c>
      <c r="J4356" s="404">
        <v>308.79000000000002</v>
      </c>
      <c r="K4356" s="404">
        <v>1.976256</v>
      </c>
    </row>
    <row r="4357" spans="1:11" ht="25.5" customHeight="1" x14ac:dyDescent="0.3">
      <c r="A4357" s="400" t="s">
        <v>1038</v>
      </c>
      <c r="B4357" s="401" t="s">
        <v>1372</v>
      </c>
      <c r="C4357" s="400" t="s">
        <v>395</v>
      </c>
      <c r="D4357" s="400" t="s">
        <v>266</v>
      </c>
      <c r="E4357" s="605" t="s">
        <v>1039</v>
      </c>
      <c r="F4357" s="605"/>
      <c r="G4357" s="402" t="s">
        <v>4</v>
      </c>
      <c r="H4357" s="403">
        <v>5.0999999999999997E-2</v>
      </c>
      <c r="I4357" s="403">
        <v>0</v>
      </c>
      <c r="J4357" s="404">
        <v>2.09</v>
      </c>
      <c r="K4357" s="404">
        <v>0.10659</v>
      </c>
    </row>
    <row r="4358" spans="1:11" ht="25.5" customHeight="1" x14ac:dyDescent="0.3">
      <c r="A4358" s="400" t="s">
        <v>1038</v>
      </c>
      <c r="B4358" s="401" t="s">
        <v>2498</v>
      </c>
      <c r="C4358" s="400" t="s">
        <v>395</v>
      </c>
      <c r="D4358" s="400" t="s">
        <v>269</v>
      </c>
      <c r="E4358" s="605" t="s">
        <v>1039</v>
      </c>
      <c r="F4358" s="605"/>
      <c r="G4358" s="402" t="s">
        <v>4</v>
      </c>
      <c r="H4358" s="403">
        <v>1.6000000000000001E-3</v>
      </c>
      <c r="I4358" s="403">
        <v>0</v>
      </c>
      <c r="J4358" s="404">
        <v>56.61</v>
      </c>
      <c r="K4358" s="404">
        <v>9.0576000000000004E-2</v>
      </c>
    </row>
    <row r="4359" spans="1:11" ht="15" x14ac:dyDescent="0.3">
      <c r="A4359" s="405"/>
      <c r="B4359" s="405"/>
      <c r="C4359" s="405"/>
      <c r="D4359" s="405"/>
      <c r="E4359" s="405" t="s">
        <v>1046</v>
      </c>
      <c r="F4359" s="406">
        <v>6.23</v>
      </c>
      <c r="G4359" s="405" t="s">
        <v>1047</v>
      </c>
      <c r="H4359" s="406">
        <v>0</v>
      </c>
      <c r="I4359" s="405" t="s">
        <v>1048</v>
      </c>
      <c r="J4359" s="406">
        <v>6.23</v>
      </c>
      <c r="K4359"/>
    </row>
    <row r="4360" spans="1:11" ht="14.25" customHeight="1" thickBot="1" x14ac:dyDescent="0.35">
      <c r="A4360" s="405"/>
      <c r="B4360" s="405"/>
      <c r="C4360" s="405"/>
      <c r="D4360" s="405"/>
      <c r="E4360" s="405" t="s">
        <v>1049</v>
      </c>
      <c r="F4360" s="406">
        <v>0</v>
      </c>
      <c r="G4360" s="405"/>
      <c r="H4360" s="606"/>
      <c r="I4360" s="606" t="s">
        <v>1050</v>
      </c>
      <c r="J4360" s="406">
        <v>31.91</v>
      </c>
      <c r="K4360"/>
    </row>
    <row r="4361" spans="1:11" ht="17.399999999999999" customHeight="1" thickTop="1" x14ac:dyDescent="0.3">
      <c r="A4361" s="407"/>
      <c r="B4361" s="407"/>
      <c r="C4361" s="407"/>
      <c r="D4361" s="407"/>
      <c r="E4361" s="407"/>
      <c r="F4361" s="407"/>
      <c r="G4361" s="407"/>
      <c r="H4361" s="407"/>
      <c r="I4361" s="407"/>
      <c r="J4361" s="407"/>
      <c r="K4361" s="407"/>
    </row>
    <row r="4362" spans="1:11" ht="15" customHeight="1" x14ac:dyDescent="0.3">
      <c r="A4362" s="382" t="s">
        <v>2226</v>
      </c>
      <c r="B4362" s="312" t="s">
        <v>413</v>
      </c>
      <c r="C4362" s="382" t="s">
        <v>414</v>
      </c>
      <c r="D4362" s="382" t="s">
        <v>415</v>
      </c>
      <c r="E4362" s="586" t="s">
        <v>1029</v>
      </c>
      <c r="F4362" s="586"/>
      <c r="G4362" s="383" t="s">
        <v>416</v>
      </c>
      <c r="H4362" s="312" t="s">
        <v>1030</v>
      </c>
      <c r="I4362" s="312" t="s">
        <v>3016</v>
      </c>
      <c r="J4362" s="312" t="s">
        <v>1031</v>
      </c>
      <c r="K4362" s="312" t="s">
        <v>1032</v>
      </c>
    </row>
    <row r="4363" spans="1:11" ht="39.6" x14ac:dyDescent="0.3">
      <c r="A4363" s="313" t="s">
        <v>1033</v>
      </c>
      <c r="B4363" s="315" t="s">
        <v>3937</v>
      </c>
      <c r="C4363" s="313" t="s">
        <v>395</v>
      </c>
      <c r="D4363" s="313" t="s">
        <v>2599</v>
      </c>
      <c r="E4363" s="603" t="s">
        <v>7882</v>
      </c>
      <c r="F4363" s="603"/>
      <c r="G4363" s="314" t="s">
        <v>4</v>
      </c>
      <c r="H4363" s="399">
        <v>1</v>
      </c>
      <c r="I4363" s="316"/>
      <c r="J4363" s="316">
        <v>55.33</v>
      </c>
      <c r="K4363" s="316">
        <v>55.33</v>
      </c>
    </row>
    <row r="4364" spans="1:11" ht="25.5" customHeight="1" x14ac:dyDescent="0.3">
      <c r="A4364" s="408" t="s">
        <v>1034</v>
      </c>
      <c r="B4364" s="409" t="s">
        <v>1113</v>
      </c>
      <c r="C4364" s="408" t="s">
        <v>395</v>
      </c>
      <c r="D4364" s="408" t="s">
        <v>129</v>
      </c>
      <c r="E4364" s="604" t="s">
        <v>7768</v>
      </c>
      <c r="F4364" s="604"/>
      <c r="G4364" s="410" t="s">
        <v>6</v>
      </c>
      <c r="H4364" s="412">
        <v>0.14480000000000001</v>
      </c>
      <c r="I4364" s="412">
        <v>0</v>
      </c>
      <c r="J4364" s="411">
        <v>33.450000000000003</v>
      </c>
      <c r="K4364" s="411">
        <v>4.8435600000000001</v>
      </c>
    </row>
    <row r="4365" spans="1:11" ht="25.5" customHeight="1" x14ac:dyDescent="0.3">
      <c r="A4365" s="408" t="s">
        <v>1034</v>
      </c>
      <c r="B4365" s="409" t="s">
        <v>1112</v>
      </c>
      <c r="C4365" s="408" t="s">
        <v>395</v>
      </c>
      <c r="D4365" s="408" t="s">
        <v>137</v>
      </c>
      <c r="E4365" s="604" t="s">
        <v>7768</v>
      </c>
      <c r="F4365" s="604"/>
      <c r="G4365" s="410" t="s">
        <v>6</v>
      </c>
      <c r="H4365" s="412">
        <v>0.14480000000000001</v>
      </c>
      <c r="I4365" s="412">
        <v>0</v>
      </c>
      <c r="J4365" s="411">
        <v>40.299999999999997</v>
      </c>
      <c r="K4365" s="411">
        <v>5.8354400000000002</v>
      </c>
    </row>
    <row r="4366" spans="1:11" ht="25.5" customHeight="1" x14ac:dyDescent="0.3">
      <c r="A4366" s="400" t="s">
        <v>1038</v>
      </c>
      <c r="B4366" s="401" t="s">
        <v>4264</v>
      </c>
      <c r="C4366" s="400" t="s">
        <v>395</v>
      </c>
      <c r="D4366" s="400" t="s">
        <v>4265</v>
      </c>
      <c r="E4366" s="605" t="s">
        <v>1039</v>
      </c>
      <c r="F4366" s="605"/>
      <c r="G4366" s="402" t="s">
        <v>4</v>
      </c>
      <c r="H4366" s="403">
        <v>1</v>
      </c>
      <c r="I4366" s="403">
        <v>0</v>
      </c>
      <c r="J4366" s="404">
        <v>41.8</v>
      </c>
      <c r="K4366" s="404">
        <v>41.8</v>
      </c>
    </row>
    <row r="4367" spans="1:11" ht="26.4" x14ac:dyDescent="0.3">
      <c r="A4367" s="400" t="s">
        <v>1038</v>
      </c>
      <c r="B4367" s="401" t="s">
        <v>2499</v>
      </c>
      <c r="C4367" s="400" t="s">
        <v>395</v>
      </c>
      <c r="D4367" s="400" t="s">
        <v>280</v>
      </c>
      <c r="E4367" s="605" t="s">
        <v>1039</v>
      </c>
      <c r="F4367" s="605"/>
      <c r="G4367" s="402" t="s">
        <v>4</v>
      </c>
      <c r="H4367" s="403">
        <v>8.3999999999999995E-3</v>
      </c>
      <c r="I4367" s="403">
        <v>0</v>
      </c>
      <c r="J4367" s="404">
        <v>308.79000000000002</v>
      </c>
      <c r="K4367" s="404">
        <v>2.593836</v>
      </c>
    </row>
    <row r="4368" spans="1:11" ht="15" x14ac:dyDescent="0.3">
      <c r="A4368" s="400" t="s">
        <v>1038</v>
      </c>
      <c r="B4368" s="401" t="s">
        <v>1372</v>
      </c>
      <c r="C4368" s="400" t="s">
        <v>395</v>
      </c>
      <c r="D4368" s="400" t="s">
        <v>266</v>
      </c>
      <c r="E4368" s="605" t="s">
        <v>1039</v>
      </c>
      <c r="F4368" s="605"/>
      <c r="G4368" s="402" t="s">
        <v>4</v>
      </c>
      <c r="H4368" s="403">
        <v>6.4399999999999999E-2</v>
      </c>
      <c r="I4368" s="403">
        <v>0</v>
      </c>
      <c r="J4368" s="404">
        <v>2.09</v>
      </c>
      <c r="K4368" s="404">
        <v>0.13459599999999999</v>
      </c>
    </row>
    <row r="4369" spans="1:11" ht="26.4" x14ac:dyDescent="0.3">
      <c r="A4369" s="400" t="s">
        <v>1038</v>
      </c>
      <c r="B4369" s="401" t="s">
        <v>2498</v>
      </c>
      <c r="C4369" s="400" t="s">
        <v>395</v>
      </c>
      <c r="D4369" s="400" t="s">
        <v>269</v>
      </c>
      <c r="E4369" s="605" t="s">
        <v>1039</v>
      </c>
      <c r="F4369" s="605"/>
      <c r="G4369" s="402" t="s">
        <v>4</v>
      </c>
      <c r="H4369" s="403">
        <v>2.0999999999999999E-3</v>
      </c>
      <c r="I4369" s="403">
        <v>0</v>
      </c>
      <c r="J4369" s="404">
        <v>56.61</v>
      </c>
      <c r="K4369" s="404">
        <v>0.118881</v>
      </c>
    </row>
    <row r="4370" spans="1:11" ht="14.25" customHeight="1" x14ac:dyDescent="0.3">
      <c r="A4370" s="405"/>
      <c r="B4370" s="405"/>
      <c r="C4370" s="405"/>
      <c r="D4370" s="405"/>
      <c r="E4370" s="405" t="s">
        <v>1046</v>
      </c>
      <c r="F4370" s="406">
        <v>7.86</v>
      </c>
      <c r="G4370" s="405" t="s">
        <v>1047</v>
      </c>
      <c r="H4370" s="406">
        <v>0.01</v>
      </c>
      <c r="I4370" s="405" t="s">
        <v>1048</v>
      </c>
      <c r="J4370" s="406">
        <v>7.87</v>
      </c>
      <c r="K4370"/>
    </row>
    <row r="4371" spans="1:11" ht="15" customHeight="1" thickBot="1" x14ac:dyDescent="0.35">
      <c r="A4371" s="405"/>
      <c r="B4371" s="405"/>
      <c r="C4371" s="405"/>
      <c r="D4371" s="405"/>
      <c r="E4371" s="405" t="s">
        <v>1049</v>
      </c>
      <c r="F4371" s="406">
        <v>0</v>
      </c>
      <c r="G4371" s="405"/>
      <c r="H4371" s="606"/>
      <c r="I4371" s="606" t="s">
        <v>1050</v>
      </c>
      <c r="J4371" s="406">
        <v>55.33</v>
      </c>
      <c r="K4371"/>
    </row>
    <row r="4372" spans="1:11" ht="15.6" thickTop="1" x14ac:dyDescent="0.3">
      <c r="A4372" s="407"/>
      <c r="B4372" s="407"/>
      <c r="C4372" s="407"/>
      <c r="D4372" s="407"/>
      <c r="E4372" s="407"/>
      <c r="F4372" s="407"/>
      <c r="G4372" s="407"/>
      <c r="H4372" s="407"/>
      <c r="I4372" s="407"/>
      <c r="J4372" s="407"/>
      <c r="K4372" s="407"/>
    </row>
    <row r="4373" spans="1:11" ht="15" x14ac:dyDescent="0.3">
      <c r="A4373" s="382" t="s">
        <v>2227</v>
      </c>
      <c r="B4373" s="312" t="s">
        <v>413</v>
      </c>
      <c r="C4373" s="382" t="s">
        <v>414</v>
      </c>
      <c r="D4373" s="382" t="s">
        <v>415</v>
      </c>
      <c r="E4373" s="586" t="s">
        <v>1029</v>
      </c>
      <c r="F4373" s="586"/>
      <c r="G4373" s="383" t="s">
        <v>416</v>
      </c>
      <c r="H4373" s="312" t="s">
        <v>1030</v>
      </c>
      <c r="I4373" s="312" t="s">
        <v>3016</v>
      </c>
      <c r="J4373" s="312" t="s">
        <v>1031</v>
      </c>
      <c r="K4373" s="312" t="s">
        <v>1032</v>
      </c>
    </row>
    <row r="4374" spans="1:11" ht="30" customHeight="1" x14ac:dyDescent="0.3">
      <c r="A4374" s="313" t="s">
        <v>1033</v>
      </c>
      <c r="B4374" s="315" t="s">
        <v>3938</v>
      </c>
      <c r="C4374" s="313" t="s">
        <v>395</v>
      </c>
      <c r="D4374" s="313" t="s">
        <v>6046</v>
      </c>
      <c r="E4374" s="603" t="s">
        <v>7882</v>
      </c>
      <c r="F4374" s="603"/>
      <c r="G4374" s="314" t="s">
        <v>4</v>
      </c>
      <c r="H4374" s="399">
        <v>1</v>
      </c>
      <c r="I4374" s="316"/>
      <c r="J4374" s="316">
        <v>64.58</v>
      </c>
      <c r="K4374" s="316">
        <v>64.58</v>
      </c>
    </row>
    <row r="4375" spans="1:11" ht="38.25" customHeight="1" x14ac:dyDescent="0.3">
      <c r="A4375" s="408" t="s">
        <v>1034</v>
      </c>
      <c r="B4375" s="409" t="s">
        <v>1113</v>
      </c>
      <c r="C4375" s="408" t="s">
        <v>395</v>
      </c>
      <c r="D4375" s="408" t="s">
        <v>129</v>
      </c>
      <c r="E4375" s="604" t="s">
        <v>7768</v>
      </c>
      <c r="F4375" s="604"/>
      <c r="G4375" s="410" t="s">
        <v>6</v>
      </c>
      <c r="H4375" s="412">
        <v>0.14480000000000001</v>
      </c>
      <c r="I4375" s="412">
        <v>0</v>
      </c>
      <c r="J4375" s="411">
        <v>33.450000000000003</v>
      </c>
      <c r="K4375" s="411">
        <v>4.8435600000000001</v>
      </c>
    </row>
    <row r="4376" spans="1:11" ht="25.5" customHeight="1" x14ac:dyDescent="0.3">
      <c r="A4376" s="408" t="s">
        <v>1034</v>
      </c>
      <c r="B4376" s="409" t="s">
        <v>1112</v>
      </c>
      <c r="C4376" s="408" t="s">
        <v>395</v>
      </c>
      <c r="D4376" s="408" t="s">
        <v>137</v>
      </c>
      <c r="E4376" s="604" t="s">
        <v>7768</v>
      </c>
      <c r="F4376" s="604"/>
      <c r="G4376" s="410" t="s">
        <v>6</v>
      </c>
      <c r="H4376" s="412">
        <v>0.14480000000000001</v>
      </c>
      <c r="I4376" s="412">
        <v>0</v>
      </c>
      <c r="J4376" s="411">
        <v>40.299999999999997</v>
      </c>
      <c r="K4376" s="411">
        <v>5.8354400000000002</v>
      </c>
    </row>
    <row r="4377" spans="1:11" ht="25.5" customHeight="1" x14ac:dyDescent="0.3">
      <c r="A4377" s="400" t="s">
        <v>1038</v>
      </c>
      <c r="B4377" s="401" t="s">
        <v>2499</v>
      </c>
      <c r="C4377" s="400" t="s">
        <v>395</v>
      </c>
      <c r="D4377" s="400" t="s">
        <v>280</v>
      </c>
      <c r="E4377" s="605" t="s">
        <v>1039</v>
      </c>
      <c r="F4377" s="605"/>
      <c r="G4377" s="402" t="s">
        <v>4</v>
      </c>
      <c r="H4377" s="403">
        <v>8.3999999999999995E-3</v>
      </c>
      <c r="I4377" s="403">
        <v>0</v>
      </c>
      <c r="J4377" s="404">
        <v>308.79000000000002</v>
      </c>
      <c r="K4377" s="404">
        <v>2.593836</v>
      </c>
    </row>
    <row r="4378" spans="1:11" ht="25.5" customHeight="1" x14ac:dyDescent="0.3">
      <c r="A4378" s="400" t="s">
        <v>1038</v>
      </c>
      <c r="B4378" s="401" t="s">
        <v>1372</v>
      </c>
      <c r="C4378" s="400" t="s">
        <v>395</v>
      </c>
      <c r="D4378" s="400" t="s">
        <v>266</v>
      </c>
      <c r="E4378" s="605" t="s">
        <v>1039</v>
      </c>
      <c r="F4378" s="605"/>
      <c r="G4378" s="402" t="s">
        <v>4</v>
      </c>
      <c r="H4378" s="403">
        <v>6.4399999999999999E-2</v>
      </c>
      <c r="I4378" s="403">
        <v>0</v>
      </c>
      <c r="J4378" s="404">
        <v>2.09</v>
      </c>
      <c r="K4378" s="404">
        <v>0.13459599999999999</v>
      </c>
    </row>
    <row r="4379" spans="1:11" ht="14.25" customHeight="1" x14ac:dyDescent="0.3">
      <c r="A4379" s="400" t="s">
        <v>1038</v>
      </c>
      <c r="B4379" s="401" t="s">
        <v>4359</v>
      </c>
      <c r="C4379" s="400" t="s">
        <v>395</v>
      </c>
      <c r="D4379" s="400" t="s">
        <v>4360</v>
      </c>
      <c r="E4379" s="605" t="s">
        <v>1039</v>
      </c>
      <c r="F4379" s="605"/>
      <c r="G4379" s="402" t="s">
        <v>4</v>
      </c>
      <c r="H4379" s="403">
        <v>1</v>
      </c>
      <c r="I4379" s="403">
        <v>0</v>
      </c>
      <c r="J4379" s="404">
        <v>51.05</v>
      </c>
      <c r="K4379" s="404">
        <v>51.05</v>
      </c>
    </row>
    <row r="4380" spans="1:11" ht="26.4" x14ac:dyDescent="0.3">
      <c r="A4380" s="400" t="s">
        <v>1038</v>
      </c>
      <c r="B4380" s="401" t="s">
        <v>2498</v>
      </c>
      <c r="C4380" s="400" t="s">
        <v>395</v>
      </c>
      <c r="D4380" s="400" t="s">
        <v>269</v>
      </c>
      <c r="E4380" s="605" t="s">
        <v>1039</v>
      </c>
      <c r="F4380" s="605"/>
      <c r="G4380" s="402" t="s">
        <v>4</v>
      </c>
      <c r="H4380" s="403">
        <v>2.0999999999999999E-3</v>
      </c>
      <c r="I4380" s="403">
        <v>0</v>
      </c>
      <c r="J4380" s="404">
        <v>56.61</v>
      </c>
      <c r="K4380" s="404">
        <v>0.118881</v>
      </c>
    </row>
    <row r="4381" spans="1:11" ht="14.25" customHeight="1" x14ac:dyDescent="0.3">
      <c r="A4381" s="405"/>
      <c r="B4381" s="405"/>
      <c r="C4381" s="405"/>
      <c r="D4381" s="405"/>
      <c r="E4381" s="405" t="s">
        <v>1046</v>
      </c>
      <c r="F4381" s="406">
        <v>7.86</v>
      </c>
      <c r="G4381" s="405" t="s">
        <v>1047</v>
      </c>
      <c r="H4381" s="406">
        <v>0.01</v>
      </c>
      <c r="I4381" s="405" t="s">
        <v>1048</v>
      </c>
      <c r="J4381" s="406">
        <v>7.87</v>
      </c>
      <c r="K4381"/>
    </row>
    <row r="4382" spans="1:11" ht="15.6" thickBot="1" x14ac:dyDescent="0.35">
      <c r="A4382" s="405"/>
      <c r="B4382" s="405"/>
      <c r="C4382" s="405"/>
      <c r="D4382" s="405"/>
      <c r="E4382" s="405" t="s">
        <v>1049</v>
      </c>
      <c r="F4382" s="406">
        <v>0</v>
      </c>
      <c r="G4382" s="405"/>
      <c r="H4382" s="606"/>
      <c r="I4382" s="606" t="s">
        <v>1050</v>
      </c>
      <c r="J4382" s="406">
        <v>64.58</v>
      </c>
      <c r="K4382"/>
    </row>
    <row r="4383" spans="1:11" ht="15" customHeight="1" thickTop="1" x14ac:dyDescent="0.3">
      <c r="A4383" s="407"/>
      <c r="B4383" s="407"/>
      <c r="C4383" s="407"/>
      <c r="D4383" s="407"/>
      <c r="E4383" s="407"/>
      <c r="F4383" s="407"/>
      <c r="G4383" s="407"/>
      <c r="H4383" s="407"/>
      <c r="I4383" s="407"/>
      <c r="J4383" s="407"/>
      <c r="K4383" s="407"/>
    </row>
    <row r="4384" spans="1:11" ht="30" customHeight="1" x14ac:dyDescent="0.3">
      <c r="A4384" s="382" t="s">
        <v>3327</v>
      </c>
      <c r="B4384" s="312" t="s">
        <v>413</v>
      </c>
      <c r="C4384" s="382" t="s">
        <v>414</v>
      </c>
      <c r="D4384" s="382" t="s">
        <v>415</v>
      </c>
      <c r="E4384" s="586" t="s">
        <v>1029</v>
      </c>
      <c r="F4384" s="586"/>
      <c r="G4384" s="383" t="s">
        <v>416</v>
      </c>
      <c r="H4384" s="312" t="s">
        <v>1030</v>
      </c>
      <c r="I4384" s="312" t="s">
        <v>3016</v>
      </c>
      <c r="J4384" s="312" t="s">
        <v>1031</v>
      </c>
      <c r="K4384" s="312" t="s">
        <v>1032</v>
      </c>
    </row>
    <row r="4385" spans="1:11" ht="25.5" customHeight="1" x14ac:dyDescent="0.3">
      <c r="A4385" s="313" t="s">
        <v>1033</v>
      </c>
      <c r="B4385" s="315" t="s">
        <v>3939</v>
      </c>
      <c r="C4385" s="313" t="s">
        <v>395</v>
      </c>
      <c r="D4385" s="313" t="s">
        <v>6047</v>
      </c>
      <c r="E4385" s="603" t="s">
        <v>7882</v>
      </c>
      <c r="F4385" s="603"/>
      <c r="G4385" s="314" t="s">
        <v>4</v>
      </c>
      <c r="H4385" s="399">
        <v>1</v>
      </c>
      <c r="I4385" s="316"/>
      <c r="J4385" s="316">
        <v>95.76</v>
      </c>
      <c r="K4385" s="316">
        <v>95.76</v>
      </c>
    </row>
    <row r="4386" spans="1:11" ht="25.5" customHeight="1" x14ac:dyDescent="0.3">
      <c r="A4386" s="408" t="s">
        <v>1034</v>
      </c>
      <c r="B4386" s="409" t="s">
        <v>1113</v>
      </c>
      <c r="C4386" s="408" t="s">
        <v>395</v>
      </c>
      <c r="D4386" s="408" t="s">
        <v>129</v>
      </c>
      <c r="E4386" s="604" t="s">
        <v>7768</v>
      </c>
      <c r="F4386" s="604"/>
      <c r="G4386" s="410" t="s">
        <v>6</v>
      </c>
      <c r="H4386" s="412">
        <v>0.21410000000000001</v>
      </c>
      <c r="I4386" s="412">
        <v>0</v>
      </c>
      <c r="J4386" s="411">
        <v>33.450000000000003</v>
      </c>
      <c r="K4386" s="411">
        <v>7.161645</v>
      </c>
    </row>
    <row r="4387" spans="1:11" ht="25.5" customHeight="1" x14ac:dyDescent="0.3">
      <c r="A4387" s="408" t="s">
        <v>1034</v>
      </c>
      <c r="B4387" s="409" t="s">
        <v>1112</v>
      </c>
      <c r="C4387" s="408" t="s">
        <v>395</v>
      </c>
      <c r="D4387" s="408" t="s">
        <v>137</v>
      </c>
      <c r="E4387" s="604" t="s">
        <v>7768</v>
      </c>
      <c r="F4387" s="604"/>
      <c r="G4387" s="410" t="s">
        <v>6</v>
      </c>
      <c r="H4387" s="412">
        <v>0.21410000000000001</v>
      </c>
      <c r="I4387" s="412">
        <v>0</v>
      </c>
      <c r="J4387" s="411">
        <v>40.299999999999997</v>
      </c>
      <c r="K4387" s="411">
        <v>8.6282300000000003</v>
      </c>
    </row>
    <row r="4388" spans="1:11" ht="17.399999999999999" customHeight="1" x14ac:dyDescent="0.3">
      <c r="A4388" s="400" t="s">
        <v>1038</v>
      </c>
      <c r="B4388" s="401" t="s">
        <v>2535</v>
      </c>
      <c r="C4388" s="400" t="s">
        <v>395</v>
      </c>
      <c r="D4388" s="400" t="s">
        <v>262</v>
      </c>
      <c r="E4388" s="605" t="s">
        <v>1039</v>
      </c>
      <c r="F4388" s="605"/>
      <c r="G4388" s="402" t="s">
        <v>4</v>
      </c>
      <c r="H4388" s="403">
        <v>1.06E-2</v>
      </c>
      <c r="I4388" s="403">
        <v>0</v>
      </c>
      <c r="J4388" s="404">
        <v>16.45</v>
      </c>
      <c r="K4388" s="404">
        <v>0.17437</v>
      </c>
    </row>
    <row r="4389" spans="1:11" ht="26.4" x14ac:dyDescent="0.3">
      <c r="A4389" s="400" t="s">
        <v>1038</v>
      </c>
      <c r="B4389" s="401" t="s">
        <v>2499</v>
      </c>
      <c r="C4389" s="400" t="s">
        <v>395</v>
      </c>
      <c r="D4389" s="400" t="s">
        <v>280</v>
      </c>
      <c r="E4389" s="605" t="s">
        <v>1039</v>
      </c>
      <c r="F4389" s="605"/>
      <c r="G4389" s="402" t="s">
        <v>4</v>
      </c>
      <c r="H4389" s="403">
        <v>2.3999999999999998E-3</v>
      </c>
      <c r="I4389" s="403">
        <v>0</v>
      </c>
      <c r="J4389" s="404">
        <v>308.79000000000002</v>
      </c>
      <c r="K4389" s="404">
        <v>0.74109599999999998</v>
      </c>
    </row>
    <row r="4390" spans="1:11" ht="15" x14ac:dyDescent="0.3">
      <c r="A4390" s="400" t="s">
        <v>1038</v>
      </c>
      <c r="B4390" s="401" t="s">
        <v>1372</v>
      </c>
      <c r="C4390" s="400" t="s">
        <v>395</v>
      </c>
      <c r="D4390" s="400" t="s">
        <v>266</v>
      </c>
      <c r="E4390" s="605" t="s">
        <v>1039</v>
      </c>
      <c r="F4390" s="605"/>
      <c r="G4390" s="402" t="s">
        <v>4</v>
      </c>
      <c r="H4390" s="403">
        <v>3.9E-2</v>
      </c>
      <c r="I4390" s="403">
        <v>0</v>
      </c>
      <c r="J4390" s="404">
        <v>2.09</v>
      </c>
      <c r="K4390" s="404">
        <v>8.1509999999999999E-2</v>
      </c>
    </row>
    <row r="4391" spans="1:11" ht="12.75" customHeight="1" x14ac:dyDescent="0.3">
      <c r="A4391" s="400" t="s">
        <v>1038</v>
      </c>
      <c r="B4391" s="401" t="s">
        <v>4276</v>
      </c>
      <c r="C4391" s="400" t="s">
        <v>395</v>
      </c>
      <c r="D4391" s="400" t="s">
        <v>4277</v>
      </c>
      <c r="E4391" s="605" t="s">
        <v>1039</v>
      </c>
      <c r="F4391" s="605"/>
      <c r="G4391" s="402" t="s">
        <v>4</v>
      </c>
      <c r="H4391" s="403">
        <v>1</v>
      </c>
      <c r="I4391" s="403">
        <v>0</v>
      </c>
      <c r="J4391" s="404">
        <v>78.94</v>
      </c>
      <c r="K4391" s="404">
        <v>78.94</v>
      </c>
    </row>
    <row r="4392" spans="1:11" ht="30" customHeight="1" x14ac:dyDescent="0.3">
      <c r="A4392" s="400" t="s">
        <v>1038</v>
      </c>
      <c r="B4392" s="401" t="s">
        <v>2498</v>
      </c>
      <c r="C4392" s="400" t="s">
        <v>395</v>
      </c>
      <c r="D4392" s="400" t="s">
        <v>269</v>
      </c>
      <c r="E4392" s="605" t="s">
        <v>1039</v>
      </c>
      <c r="F4392" s="605"/>
      <c r="G4392" s="402" t="s">
        <v>4</v>
      </c>
      <c r="H4392" s="403">
        <v>5.9999999999999995E-4</v>
      </c>
      <c r="I4392" s="403">
        <v>0</v>
      </c>
      <c r="J4392" s="404">
        <v>56.61</v>
      </c>
      <c r="K4392" s="404">
        <v>3.3966000000000003E-2</v>
      </c>
    </row>
    <row r="4393" spans="1:11" ht="14.25" customHeight="1" x14ac:dyDescent="0.3">
      <c r="A4393" s="405"/>
      <c r="B4393" s="405"/>
      <c r="C4393" s="405"/>
      <c r="D4393" s="405"/>
      <c r="E4393" s="405" t="s">
        <v>1046</v>
      </c>
      <c r="F4393" s="406">
        <v>11.63</v>
      </c>
      <c r="G4393" s="405" t="s">
        <v>1047</v>
      </c>
      <c r="H4393" s="406">
        <v>0</v>
      </c>
      <c r="I4393" s="405" t="s">
        <v>1048</v>
      </c>
      <c r="J4393" s="406">
        <v>11.63</v>
      </c>
      <c r="K4393"/>
    </row>
    <row r="4394" spans="1:11" ht="15" customHeight="1" thickBot="1" x14ac:dyDescent="0.35">
      <c r="A4394" s="405"/>
      <c r="B4394" s="405"/>
      <c r="C4394" s="405"/>
      <c r="D4394" s="405"/>
      <c r="E4394" s="405" t="s">
        <v>1049</v>
      </c>
      <c r="F4394" s="406">
        <v>0</v>
      </c>
      <c r="G4394" s="405"/>
      <c r="H4394" s="606"/>
      <c r="I4394" s="606" t="s">
        <v>1050</v>
      </c>
      <c r="J4394" s="406">
        <v>95.76</v>
      </c>
      <c r="K4394"/>
    </row>
    <row r="4395" spans="1:11" ht="25.5" customHeight="1" thickTop="1" x14ac:dyDescent="0.3">
      <c r="A4395" s="407"/>
      <c r="B4395" s="407"/>
      <c r="C4395" s="407"/>
      <c r="D4395" s="407"/>
      <c r="E4395" s="407"/>
      <c r="F4395" s="407"/>
      <c r="G4395" s="407"/>
      <c r="H4395" s="407"/>
      <c r="I4395" s="407"/>
      <c r="J4395" s="407"/>
      <c r="K4395" s="407"/>
    </row>
    <row r="4396" spans="1:11" ht="25.5" customHeight="1" x14ac:dyDescent="0.3">
      <c r="A4396" s="382" t="s">
        <v>2228</v>
      </c>
      <c r="B4396" s="312" t="s">
        <v>413</v>
      </c>
      <c r="C4396" s="382" t="s">
        <v>414</v>
      </c>
      <c r="D4396" s="382" t="s">
        <v>415</v>
      </c>
      <c r="E4396" s="586" t="s">
        <v>1029</v>
      </c>
      <c r="F4396" s="586"/>
      <c r="G4396" s="383" t="s">
        <v>416</v>
      </c>
      <c r="H4396" s="312" t="s">
        <v>1030</v>
      </c>
      <c r="I4396" s="312" t="s">
        <v>3016</v>
      </c>
      <c r="J4396" s="312" t="s">
        <v>1031</v>
      </c>
      <c r="K4396" s="312" t="s">
        <v>1032</v>
      </c>
    </row>
    <row r="4397" spans="1:11" ht="25.5" customHeight="1" x14ac:dyDescent="0.3">
      <c r="A4397" s="313" t="s">
        <v>1033</v>
      </c>
      <c r="B4397" s="315" t="s">
        <v>2189</v>
      </c>
      <c r="C4397" s="313" t="s">
        <v>420</v>
      </c>
      <c r="D4397" s="313" t="s">
        <v>6048</v>
      </c>
      <c r="E4397" s="603" t="s">
        <v>1353</v>
      </c>
      <c r="F4397" s="603"/>
      <c r="G4397" s="314" t="s">
        <v>422</v>
      </c>
      <c r="H4397" s="399">
        <v>1</v>
      </c>
      <c r="I4397" s="316"/>
      <c r="J4397" s="316">
        <v>93.86</v>
      </c>
      <c r="K4397" s="316">
        <v>93.86</v>
      </c>
    </row>
    <row r="4398" spans="1:11" ht="38.25" customHeight="1" x14ac:dyDescent="0.3">
      <c r="A4398" s="408" t="s">
        <v>1034</v>
      </c>
      <c r="B4398" s="409" t="s">
        <v>1071</v>
      </c>
      <c r="C4398" s="408" t="s">
        <v>420</v>
      </c>
      <c r="D4398" s="408" t="s">
        <v>1072</v>
      </c>
      <c r="E4398" s="604" t="s">
        <v>1069</v>
      </c>
      <c r="F4398" s="604"/>
      <c r="G4398" s="410" t="s">
        <v>1070</v>
      </c>
      <c r="H4398" s="412">
        <v>0.27</v>
      </c>
      <c r="I4398" s="412">
        <v>0</v>
      </c>
      <c r="J4398" s="411">
        <v>3.95</v>
      </c>
      <c r="K4398" s="411">
        <v>1.0665</v>
      </c>
    </row>
    <row r="4399" spans="1:11" ht="25.5" customHeight="1" x14ac:dyDescent="0.3">
      <c r="A4399" s="408" t="s">
        <v>1034</v>
      </c>
      <c r="B4399" s="409" t="s">
        <v>1180</v>
      </c>
      <c r="C4399" s="408" t="s">
        <v>420</v>
      </c>
      <c r="D4399" s="408" t="s">
        <v>1181</v>
      </c>
      <c r="E4399" s="604" t="s">
        <v>1069</v>
      </c>
      <c r="F4399" s="604"/>
      <c r="G4399" s="410" t="s">
        <v>1070</v>
      </c>
      <c r="H4399" s="412">
        <v>0.27</v>
      </c>
      <c r="I4399" s="412">
        <v>0</v>
      </c>
      <c r="J4399" s="411">
        <v>3.91</v>
      </c>
      <c r="K4399" s="411">
        <v>1.0557000000000001</v>
      </c>
    </row>
    <row r="4400" spans="1:11" ht="15" customHeight="1" x14ac:dyDescent="0.3">
      <c r="A4400" s="400" t="s">
        <v>1038</v>
      </c>
      <c r="B4400" s="401" t="s">
        <v>2504</v>
      </c>
      <c r="C4400" s="400" t="s">
        <v>420</v>
      </c>
      <c r="D4400" s="400" t="s">
        <v>2505</v>
      </c>
      <c r="E4400" s="605" t="s">
        <v>1039</v>
      </c>
      <c r="F4400" s="605"/>
      <c r="G4400" s="402" t="s">
        <v>422</v>
      </c>
      <c r="H4400" s="403">
        <v>1</v>
      </c>
      <c r="I4400" s="403">
        <v>0</v>
      </c>
      <c r="J4400" s="404">
        <v>82.01</v>
      </c>
      <c r="K4400" s="404">
        <v>82.01</v>
      </c>
    </row>
    <row r="4401" spans="1:11" ht="12.75" customHeight="1" x14ac:dyDescent="0.3">
      <c r="A4401" s="400" t="s">
        <v>1038</v>
      </c>
      <c r="B4401" s="401" t="s">
        <v>6480</v>
      </c>
      <c r="C4401" s="400" t="s">
        <v>420</v>
      </c>
      <c r="D4401" s="400" t="s">
        <v>6481</v>
      </c>
      <c r="E4401" s="605" t="s">
        <v>1053</v>
      </c>
      <c r="F4401" s="605"/>
      <c r="G4401" s="402" t="s">
        <v>1070</v>
      </c>
      <c r="H4401" s="403">
        <v>0.27</v>
      </c>
      <c r="I4401" s="403">
        <v>0</v>
      </c>
      <c r="J4401" s="404">
        <v>20.45</v>
      </c>
      <c r="K4401" s="404">
        <v>5.5214999999999996</v>
      </c>
    </row>
    <row r="4402" spans="1:11" ht="17.399999999999999" customHeight="1" x14ac:dyDescent="0.3">
      <c r="A4402" s="400" t="s">
        <v>1038</v>
      </c>
      <c r="B4402" s="401" t="s">
        <v>6251</v>
      </c>
      <c r="C4402" s="400" t="s">
        <v>420</v>
      </c>
      <c r="D4402" s="400" t="s">
        <v>6252</v>
      </c>
      <c r="E4402" s="605" t="s">
        <v>1053</v>
      </c>
      <c r="F4402" s="605"/>
      <c r="G4402" s="402" t="s">
        <v>1070</v>
      </c>
      <c r="H4402" s="403">
        <v>0.27</v>
      </c>
      <c r="I4402" s="403">
        <v>0</v>
      </c>
      <c r="J4402" s="404">
        <v>15.59</v>
      </c>
      <c r="K4402" s="404">
        <v>4.2092999999999998</v>
      </c>
    </row>
    <row r="4403" spans="1:11" ht="14.25" customHeight="1" x14ac:dyDescent="0.3">
      <c r="A4403" s="405"/>
      <c r="B4403" s="405"/>
      <c r="C4403" s="405"/>
      <c r="D4403" s="405"/>
      <c r="E4403" s="405" t="s">
        <v>1046</v>
      </c>
      <c r="F4403" s="406">
        <v>9.73</v>
      </c>
      <c r="G4403" s="405" t="s">
        <v>1047</v>
      </c>
      <c r="H4403" s="406">
        <v>0</v>
      </c>
      <c r="I4403" s="405" t="s">
        <v>1048</v>
      </c>
      <c r="J4403" s="406">
        <v>9.73</v>
      </c>
      <c r="K4403"/>
    </row>
    <row r="4404" spans="1:11" ht="15.6" thickBot="1" x14ac:dyDescent="0.35">
      <c r="A4404" s="405"/>
      <c r="B4404" s="405"/>
      <c r="C4404" s="405"/>
      <c r="D4404" s="405"/>
      <c r="E4404" s="405" t="s">
        <v>1049</v>
      </c>
      <c r="F4404" s="406">
        <v>0</v>
      </c>
      <c r="G4404" s="405"/>
      <c r="H4404" s="606"/>
      <c r="I4404" s="606" t="s">
        <v>1050</v>
      </c>
      <c r="J4404" s="406">
        <v>93.86</v>
      </c>
      <c r="K4404"/>
    </row>
    <row r="4405" spans="1:11" ht="25.5" customHeight="1" thickTop="1" x14ac:dyDescent="0.3">
      <c r="A4405" s="407"/>
      <c r="B4405" s="407"/>
      <c r="C4405" s="407"/>
      <c r="D4405" s="407"/>
      <c r="E4405" s="407"/>
      <c r="F4405" s="407"/>
      <c r="G4405" s="407"/>
      <c r="H4405" s="407"/>
      <c r="I4405" s="407"/>
      <c r="J4405" s="407"/>
      <c r="K4405" s="407"/>
    </row>
    <row r="4406" spans="1:11" ht="30" customHeight="1" x14ac:dyDescent="0.3">
      <c r="A4406" s="382" t="s">
        <v>2229</v>
      </c>
      <c r="B4406" s="312" t="s">
        <v>413</v>
      </c>
      <c r="C4406" s="382" t="s">
        <v>414</v>
      </c>
      <c r="D4406" s="382" t="s">
        <v>415</v>
      </c>
      <c r="E4406" s="586" t="s">
        <v>1029</v>
      </c>
      <c r="F4406" s="586"/>
      <c r="G4406" s="383" t="s">
        <v>416</v>
      </c>
      <c r="H4406" s="312" t="s">
        <v>1030</v>
      </c>
      <c r="I4406" s="312" t="s">
        <v>3016</v>
      </c>
      <c r="J4406" s="312" t="s">
        <v>1031</v>
      </c>
      <c r="K4406" s="312" t="s">
        <v>1032</v>
      </c>
    </row>
    <row r="4407" spans="1:11" ht="25.5" customHeight="1" x14ac:dyDescent="0.3">
      <c r="A4407" s="313" t="s">
        <v>1033</v>
      </c>
      <c r="B4407" s="315" t="s">
        <v>2190</v>
      </c>
      <c r="C4407" s="313" t="s">
        <v>420</v>
      </c>
      <c r="D4407" s="313" t="s">
        <v>6049</v>
      </c>
      <c r="E4407" s="603" t="s">
        <v>1353</v>
      </c>
      <c r="F4407" s="603"/>
      <c r="G4407" s="314" t="s">
        <v>422</v>
      </c>
      <c r="H4407" s="399">
        <v>1</v>
      </c>
      <c r="I4407" s="316"/>
      <c r="J4407" s="316">
        <v>113.31</v>
      </c>
      <c r="K4407" s="316">
        <v>113.31</v>
      </c>
    </row>
    <row r="4408" spans="1:11" ht="26.4" x14ac:dyDescent="0.3">
      <c r="A4408" s="408" t="s">
        <v>1034</v>
      </c>
      <c r="B4408" s="409" t="s">
        <v>1071</v>
      </c>
      <c r="C4408" s="408" t="s">
        <v>420</v>
      </c>
      <c r="D4408" s="408" t="s">
        <v>1072</v>
      </c>
      <c r="E4408" s="604" t="s">
        <v>1069</v>
      </c>
      <c r="F4408" s="604"/>
      <c r="G4408" s="410" t="s">
        <v>1070</v>
      </c>
      <c r="H4408" s="412">
        <v>0.3</v>
      </c>
      <c r="I4408" s="412">
        <v>0</v>
      </c>
      <c r="J4408" s="411">
        <v>3.95</v>
      </c>
      <c r="K4408" s="411">
        <v>1.1850000000000001</v>
      </c>
    </row>
    <row r="4409" spans="1:11" ht="26.4" x14ac:dyDescent="0.3">
      <c r="A4409" s="408" t="s">
        <v>1034</v>
      </c>
      <c r="B4409" s="409" t="s">
        <v>1180</v>
      </c>
      <c r="C4409" s="408" t="s">
        <v>420</v>
      </c>
      <c r="D4409" s="408" t="s">
        <v>1181</v>
      </c>
      <c r="E4409" s="604" t="s">
        <v>1069</v>
      </c>
      <c r="F4409" s="604"/>
      <c r="G4409" s="410" t="s">
        <v>1070</v>
      </c>
      <c r="H4409" s="412">
        <v>0.3</v>
      </c>
      <c r="I4409" s="412">
        <v>0</v>
      </c>
      <c r="J4409" s="411">
        <v>3.91</v>
      </c>
      <c r="K4409" s="411">
        <v>1.173</v>
      </c>
    </row>
    <row r="4410" spans="1:11" ht="12.75" customHeight="1" x14ac:dyDescent="0.3">
      <c r="A4410" s="400" t="s">
        <v>1038</v>
      </c>
      <c r="B4410" s="401" t="s">
        <v>6480</v>
      </c>
      <c r="C4410" s="400" t="s">
        <v>420</v>
      </c>
      <c r="D4410" s="400" t="s">
        <v>6481</v>
      </c>
      <c r="E4410" s="605" t="s">
        <v>1053</v>
      </c>
      <c r="F4410" s="605"/>
      <c r="G4410" s="402" t="s">
        <v>1070</v>
      </c>
      <c r="H4410" s="403">
        <v>0.3</v>
      </c>
      <c r="I4410" s="403">
        <v>0</v>
      </c>
      <c r="J4410" s="404">
        <v>20.45</v>
      </c>
      <c r="K4410" s="404">
        <v>6.1349999999999998</v>
      </c>
    </row>
    <row r="4411" spans="1:11" ht="15" x14ac:dyDescent="0.3">
      <c r="A4411" s="400" t="s">
        <v>1038</v>
      </c>
      <c r="B4411" s="401" t="s">
        <v>6251</v>
      </c>
      <c r="C4411" s="400" t="s">
        <v>420</v>
      </c>
      <c r="D4411" s="400" t="s">
        <v>6252</v>
      </c>
      <c r="E4411" s="605" t="s">
        <v>1053</v>
      </c>
      <c r="F4411" s="605"/>
      <c r="G4411" s="402" t="s">
        <v>1070</v>
      </c>
      <c r="H4411" s="403">
        <v>0.3</v>
      </c>
      <c r="I4411" s="403">
        <v>0</v>
      </c>
      <c r="J4411" s="404">
        <v>15.59</v>
      </c>
      <c r="K4411" s="404">
        <v>4.6769999999999996</v>
      </c>
    </row>
    <row r="4412" spans="1:11" ht="15" customHeight="1" x14ac:dyDescent="0.3">
      <c r="A4412" s="400" t="s">
        <v>1038</v>
      </c>
      <c r="B4412" s="401" t="s">
        <v>6668</v>
      </c>
      <c r="C4412" s="400" t="s">
        <v>420</v>
      </c>
      <c r="D4412" s="400" t="s">
        <v>6669</v>
      </c>
      <c r="E4412" s="605" t="s">
        <v>1039</v>
      </c>
      <c r="F4412" s="605"/>
      <c r="G4412" s="402" t="s">
        <v>422</v>
      </c>
      <c r="H4412" s="403">
        <v>1</v>
      </c>
      <c r="I4412" s="403">
        <v>0</v>
      </c>
      <c r="J4412" s="404">
        <v>100.14</v>
      </c>
      <c r="K4412" s="404">
        <v>100.14</v>
      </c>
    </row>
    <row r="4413" spans="1:11" ht="17.399999999999999" customHeight="1" x14ac:dyDescent="0.3">
      <c r="A4413" s="405"/>
      <c r="B4413" s="405"/>
      <c r="C4413" s="405"/>
      <c r="D4413" s="405"/>
      <c r="E4413" s="405" t="s">
        <v>1046</v>
      </c>
      <c r="F4413" s="406">
        <v>10.82</v>
      </c>
      <c r="G4413" s="405" t="s">
        <v>1047</v>
      </c>
      <c r="H4413" s="406">
        <v>0</v>
      </c>
      <c r="I4413" s="405" t="s">
        <v>1048</v>
      </c>
      <c r="J4413" s="406">
        <v>10.82</v>
      </c>
      <c r="K4413"/>
    </row>
    <row r="4414" spans="1:11" ht="25.5" customHeight="1" thickBot="1" x14ac:dyDescent="0.35">
      <c r="A4414" s="405"/>
      <c r="B4414" s="405"/>
      <c r="C4414" s="405"/>
      <c r="D4414" s="405"/>
      <c r="E4414" s="405" t="s">
        <v>1049</v>
      </c>
      <c r="F4414" s="406">
        <v>0</v>
      </c>
      <c r="G4414" s="405"/>
      <c r="H4414" s="606"/>
      <c r="I4414" s="606" t="s">
        <v>1050</v>
      </c>
      <c r="J4414" s="406">
        <v>113.31</v>
      </c>
      <c r="K4414"/>
    </row>
    <row r="4415" spans="1:11" ht="25.5" customHeight="1" thickTop="1" x14ac:dyDescent="0.3">
      <c r="A4415" s="407"/>
      <c r="B4415" s="407"/>
      <c r="C4415" s="407"/>
      <c r="D4415" s="407"/>
      <c r="E4415" s="407"/>
      <c r="F4415" s="407"/>
      <c r="G4415" s="407"/>
      <c r="H4415" s="407"/>
      <c r="I4415" s="407"/>
      <c r="J4415" s="407"/>
      <c r="K4415" s="407"/>
    </row>
    <row r="4416" spans="1:11" ht="15" customHeight="1" x14ac:dyDescent="0.3">
      <c r="A4416" s="382" t="s">
        <v>2230</v>
      </c>
      <c r="B4416" s="312" t="s">
        <v>413</v>
      </c>
      <c r="C4416" s="382" t="s">
        <v>414</v>
      </c>
      <c r="D4416" s="382" t="s">
        <v>415</v>
      </c>
      <c r="E4416" s="586" t="s">
        <v>1029</v>
      </c>
      <c r="F4416" s="586"/>
      <c r="G4416" s="383" t="s">
        <v>416</v>
      </c>
      <c r="H4416" s="312" t="s">
        <v>1030</v>
      </c>
      <c r="I4416" s="312" t="s">
        <v>3016</v>
      </c>
      <c r="J4416" s="312" t="s">
        <v>1031</v>
      </c>
      <c r="K4416" s="312" t="s">
        <v>1032</v>
      </c>
    </row>
    <row r="4417" spans="1:11" ht="25.5" customHeight="1" x14ac:dyDescent="0.3">
      <c r="A4417" s="313" t="s">
        <v>1033</v>
      </c>
      <c r="B4417" s="315" t="s">
        <v>2191</v>
      </c>
      <c r="C4417" s="313" t="s">
        <v>420</v>
      </c>
      <c r="D4417" s="313" t="s">
        <v>1935</v>
      </c>
      <c r="E4417" s="603" t="s">
        <v>2506</v>
      </c>
      <c r="F4417" s="603"/>
      <c r="G4417" s="314" t="s">
        <v>422</v>
      </c>
      <c r="H4417" s="399">
        <v>1</v>
      </c>
      <c r="I4417" s="316"/>
      <c r="J4417" s="316">
        <v>66.959999999999994</v>
      </c>
      <c r="K4417" s="316">
        <v>66.959999999999994</v>
      </c>
    </row>
    <row r="4418" spans="1:11" ht="25.5" customHeight="1" x14ac:dyDescent="0.3">
      <c r="A4418" s="408" t="s">
        <v>1034</v>
      </c>
      <c r="B4418" s="409" t="s">
        <v>1071</v>
      </c>
      <c r="C4418" s="408" t="s">
        <v>420</v>
      </c>
      <c r="D4418" s="408" t="s">
        <v>1072</v>
      </c>
      <c r="E4418" s="604" t="s">
        <v>1069</v>
      </c>
      <c r="F4418" s="604"/>
      <c r="G4418" s="410" t="s">
        <v>1070</v>
      </c>
      <c r="H4418" s="412">
        <v>0.28999999999999998</v>
      </c>
      <c r="I4418" s="412">
        <v>0</v>
      </c>
      <c r="J4418" s="411">
        <v>3.95</v>
      </c>
      <c r="K4418" s="411">
        <v>1.1455</v>
      </c>
    </row>
    <row r="4419" spans="1:11" ht="25.5" customHeight="1" x14ac:dyDescent="0.3">
      <c r="A4419" s="408" t="s">
        <v>1034</v>
      </c>
      <c r="B4419" s="409" t="s">
        <v>1180</v>
      </c>
      <c r="C4419" s="408" t="s">
        <v>420</v>
      </c>
      <c r="D4419" s="408" t="s">
        <v>1181</v>
      </c>
      <c r="E4419" s="604" t="s">
        <v>1069</v>
      </c>
      <c r="F4419" s="604"/>
      <c r="G4419" s="410" t="s">
        <v>1070</v>
      </c>
      <c r="H4419" s="412">
        <v>0.28999999999999998</v>
      </c>
      <c r="I4419" s="412">
        <v>0</v>
      </c>
      <c r="J4419" s="411">
        <v>3.91</v>
      </c>
      <c r="K4419" s="411">
        <v>1.1338999999999999</v>
      </c>
    </row>
    <row r="4420" spans="1:11" ht="12.75" customHeight="1" x14ac:dyDescent="0.3">
      <c r="A4420" s="400" t="s">
        <v>1038</v>
      </c>
      <c r="B4420" s="401" t="s">
        <v>2507</v>
      </c>
      <c r="C4420" s="400" t="s">
        <v>420</v>
      </c>
      <c r="D4420" s="400" t="s">
        <v>2508</v>
      </c>
      <c r="E4420" s="605" t="s">
        <v>1039</v>
      </c>
      <c r="F4420" s="605"/>
      <c r="G4420" s="402" t="s">
        <v>1246</v>
      </c>
      <c r="H4420" s="403">
        <v>1.5E-3</v>
      </c>
      <c r="I4420" s="403">
        <v>0</v>
      </c>
      <c r="J4420" s="404">
        <v>50</v>
      </c>
      <c r="K4420" s="404">
        <v>7.4999999999999997E-2</v>
      </c>
    </row>
    <row r="4421" spans="1:11" ht="15" x14ac:dyDescent="0.3">
      <c r="A4421" s="400" t="s">
        <v>1038</v>
      </c>
      <c r="B4421" s="401" t="s">
        <v>2509</v>
      </c>
      <c r="C4421" s="400" t="s">
        <v>420</v>
      </c>
      <c r="D4421" s="400" t="s">
        <v>2510</v>
      </c>
      <c r="E4421" s="605" t="s">
        <v>1039</v>
      </c>
      <c r="F4421" s="605"/>
      <c r="G4421" s="402" t="s">
        <v>1246</v>
      </c>
      <c r="H4421" s="403">
        <v>0.01</v>
      </c>
      <c r="I4421" s="403">
        <v>0</v>
      </c>
      <c r="J4421" s="404">
        <v>26.37</v>
      </c>
      <c r="K4421" s="404">
        <v>0.26369999999999999</v>
      </c>
    </row>
    <row r="4422" spans="1:11" ht="14.25" customHeight="1" x14ac:dyDescent="0.3">
      <c r="A4422" s="400" t="s">
        <v>1038</v>
      </c>
      <c r="B4422" s="401" t="s">
        <v>2511</v>
      </c>
      <c r="C4422" s="400" t="s">
        <v>420</v>
      </c>
      <c r="D4422" s="400" t="s">
        <v>2512</v>
      </c>
      <c r="E4422" s="605" t="s">
        <v>1039</v>
      </c>
      <c r="F4422" s="605"/>
      <c r="G4422" s="402" t="s">
        <v>422</v>
      </c>
      <c r="H4422" s="403">
        <v>1</v>
      </c>
      <c r="I4422" s="403">
        <v>0</v>
      </c>
      <c r="J4422" s="404">
        <v>53.89</v>
      </c>
      <c r="K4422" s="404">
        <v>53.89</v>
      </c>
    </row>
    <row r="4423" spans="1:11" ht="17.399999999999999" customHeight="1" x14ac:dyDescent="0.3">
      <c r="A4423" s="400" t="s">
        <v>1038</v>
      </c>
      <c r="B4423" s="401" t="s">
        <v>6480</v>
      </c>
      <c r="C4423" s="400" t="s">
        <v>420</v>
      </c>
      <c r="D4423" s="400" t="s">
        <v>6481</v>
      </c>
      <c r="E4423" s="605" t="s">
        <v>1053</v>
      </c>
      <c r="F4423" s="605"/>
      <c r="G4423" s="402" t="s">
        <v>1070</v>
      </c>
      <c r="H4423" s="403">
        <v>0.28999999999999998</v>
      </c>
      <c r="I4423" s="403">
        <v>0</v>
      </c>
      <c r="J4423" s="404">
        <v>20.45</v>
      </c>
      <c r="K4423" s="404">
        <v>5.9305000000000003</v>
      </c>
    </row>
    <row r="4424" spans="1:11" ht="15" customHeight="1" x14ac:dyDescent="0.3">
      <c r="A4424" s="400" t="s">
        <v>1038</v>
      </c>
      <c r="B4424" s="401" t="s">
        <v>6251</v>
      </c>
      <c r="C4424" s="400" t="s">
        <v>420</v>
      </c>
      <c r="D4424" s="400" t="s">
        <v>6252</v>
      </c>
      <c r="E4424" s="605" t="s">
        <v>1053</v>
      </c>
      <c r="F4424" s="605"/>
      <c r="G4424" s="402" t="s">
        <v>1070</v>
      </c>
      <c r="H4424" s="403">
        <v>0.28999999999999998</v>
      </c>
      <c r="I4424" s="403">
        <v>0</v>
      </c>
      <c r="J4424" s="404">
        <v>15.59</v>
      </c>
      <c r="K4424" s="404">
        <v>4.5210999999999997</v>
      </c>
    </row>
    <row r="4425" spans="1:11" ht="25.5" customHeight="1" x14ac:dyDescent="0.3">
      <c r="A4425" s="405"/>
      <c r="B4425" s="405"/>
      <c r="C4425" s="405"/>
      <c r="D4425" s="405"/>
      <c r="E4425" s="405" t="s">
        <v>1046</v>
      </c>
      <c r="F4425" s="406">
        <v>10.45</v>
      </c>
      <c r="G4425" s="405" t="s">
        <v>1047</v>
      </c>
      <c r="H4425" s="406">
        <v>0</v>
      </c>
      <c r="I4425" s="405" t="s">
        <v>1048</v>
      </c>
      <c r="J4425" s="406">
        <v>10.45</v>
      </c>
      <c r="K4425"/>
    </row>
    <row r="4426" spans="1:11" ht="25.5" customHeight="1" thickBot="1" x14ac:dyDescent="0.35">
      <c r="A4426" s="405"/>
      <c r="B4426" s="405"/>
      <c r="C4426" s="405"/>
      <c r="D4426" s="405"/>
      <c r="E4426" s="405" t="s">
        <v>1049</v>
      </c>
      <c r="F4426" s="406">
        <v>0</v>
      </c>
      <c r="G4426" s="405"/>
      <c r="H4426" s="606"/>
      <c r="I4426" s="606" t="s">
        <v>1050</v>
      </c>
      <c r="J4426" s="406">
        <v>66.959999999999994</v>
      </c>
      <c r="K4426"/>
    </row>
    <row r="4427" spans="1:11" ht="25.5" customHeight="1" thickTop="1" x14ac:dyDescent="0.3">
      <c r="A4427" s="407"/>
      <c r="B4427" s="407"/>
      <c r="C4427" s="407"/>
      <c r="D4427" s="407"/>
      <c r="E4427" s="407"/>
      <c r="F4427" s="407"/>
      <c r="G4427" s="407"/>
      <c r="H4427" s="407"/>
      <c r="I4427" s="407"/>
      <c r="J4427" s="407"/>
      <c r="K4427" s="407"/>
    </row>
    <row r="4428" spans="1:11" ht="12.75" customHeight="1" x14ac:dyDescent="0.3">
      <c r="A4428" s="382" t="s">
        <v>2231</v>
      </c>
      <c r="B4428" s="312" t="s">
        <v>413</v>
      </c>
      <c r="C4428" s="382" t="s">
        <v>414</v>
      </c>
      <c r="D4428" s="382" t="s">
        <v>415</v>
      </c>
      <c r="E4428" s="586" t="s">
        <v>1029</v>
      </c>
      <c r="F4428" s="586"/>
      <c r="G4428" s="383" t="s">
        <v>416</v>
      </c>
      <c r="H4428" s="312" t="s">
        <v>1030</v>
      </c>
      <c r="I4428" s="312" t="s">
        <v>3016</v>
      </c>
      <c r="J4428" s="312" t="s">
        <v>1031</v>
      </c>
      <c r="K4428" s="312" t="s">
        <v>1032</v>
      </c>
    </row>
    <row r="4429" spans="1:11" ht="25.5" customHeight="1" x14ac:dyDescent="0.3">
      <c r="A4429" s="313" t="s">
        <v>1033</v>
      </c>
      <c r="B4429" s="315" t="s">
        <v>2203</v>
      </c>
      <c r="C4429" s="313" t="s">
        <v>575</v>
      </c>
      <c r="D4429" s="313" t="s">
        <v>1966</v>
      </c>
      <c r="E4429" s="603" t="s">
        <v>1340</v>
      </c>
      <c r="F4429" s="603"/>
      <c r="G4429" s="314" t="s">
        <v>422</v>
      </c>
      <c r="H4429" s="399">
        <v>1</v>
      </c>
      <c r="I4429" s="316"/>
      <c r="J4429" s="316">
        <v>138.29</v>
      </c>
      <c r="K4429" s="316">
        <v>138.29</v>
      </c>
    </row>
    <row r="4430" spans="1:11" ht="25.5" customHeight="1" x14ac:dyDescent="0.3">
      <c r="A4430" s="408" t="s">
        <v>1034</v>
      </c>
      <c r="B4430" s="409" t="s">
        <v>1071</v>
      </c>
      <c r="C4430" s="408" t="s">
        <v>420</v>
      </c>
      <c r="D4430" s="408" t="s">
        <v>1072</v>
      </c>
      <c r="E4430" s="604" t="s">
        <v>1069</v>
      </c>
      <c r="F4430" s="604"/>
      <c r="G4430" s="410" t="s">
        <v>1070</v>
      </c>
      <c r="H4430" s="412">
        <v>0.28999999999999998</v>
      </c>
      <c r="I4430" s="412">
        <v>0</v>
      </c>
      <c r="J4430" s="411">
        <v>3.95</v>
      </c>
      <c r="K4430" s="411">
        <v>1.1455</v>
      </c>
    </row>
    <row r="4431" spans="1:11" ht="26.4" x14ac:dyDescent="0.3">
      <c r="A4431" s="408" t="s">
        <v>1034</v>
      </c>
      <c r="B4431" s="409" t="s">
        <v>1180</v>
      </c>
      <c r="C4431" s="408" t="s">
        <v>420</v>
      </c>
      <c r="D4431" s="408" t="s">
        <v>1181</v>
      </c>
      <c r="E4431" s="604" t="s">
        <v>1069</v>
      </c>
      <c r="F4431" s="604"/>
      <c r="G4431" s="410" t="s">
        <v>1070</v>
      </c>
      <c r="H4431" s="412">
        <v>0.28999999999999998</v>
      </c>
      <c r="I4431" s="412">
        <v>0</v>
      </c>
      <c r="J4431" s="411">
        <v>3.91</v>
      </c>
      <c r="K4431" s="411">
        <v>1.1338999999999999</v>
      </c>
    </row>
    <row r="4432" spans="1:11" ht="14.25" customHeight="1" x14ac:dyDescent="0.3">
      <c r="A4432" s="400" t="s">
        <v>1038</v>
      </c>
      <c r="B4432" s="401" t="s">
        <v>2507</v>
      </c>
      <c r="C4432" s="400" t="s">
        <v>420</v>
      </c>
      <c r="D4432" s="400" t="s">
        <v>2508</v>
      </c>
      <c r="E4432" s="605" t="s">
        <v>1039</v>
      </c>
      <c r="F4432" s="605"/>
      <c r="G4432" s="402" t="s">
        <v>1246</v>
      </c>
      <c r="H4432" s="403">
        <v>1.5E-3</v>
      </c>
      <c r="I4432" s="403">
        <v>0</v>
      </c>
      <c r="J4432" s="404">
        <v>50</v>
      </c>
      <c r="K4432" s="404">
        <v>7.4999999999999997E-2</v>
      </c>
    </row>
    <row r="4433" spans="1:11" ht="17.399999999999999" customHeight="1" x14ac:dyDescent="0.3">
      <c r="A4433" s="400" t="s">
        <v>1038</v>
      </c>
      <c r="B4433" s="401" t="s">
        <v>2509</v>
      </c>
      <c r="C4433" s="400" t="s">
        <v>420</v>
      </c>
      <c r="D4433" s="400" t="s">
        <v>2510</v>
      </c>
      <c r="E4433" s="605" t="s">
        <v>1039</v>
      </c>
      <c r="F4433" s="605"/>
      <c r="G4433" s="402" t="s">
        <v>1246</v>
      </c>
      <c r="H4433" s="403">
        <v>0.01</v>
      </c>
      <c r="I4433" s="403">
        <v>0</v>
      </c>
      <c r="J4433" s="404">
        <v>26.37</v>
      </c>
      <c r="K4433" s="404">
        <v>0.26369999999999999</v>
      </c>
    </row>
    <row r="4434" spans="1:11" ht="15" customHeight="1" x14ac:dyDescent="0.3">
      <c r="A4434" s="400" t="s">
        <v>1038</v>
      </c>
      <c r="B4434" s="401" t="s">
        <v>1184</v>
      </c>
      <c r="C4434" s="400" t="s">
        <v>395</v>
      </c>
      <c r="D4434" s="400" t="s">
        <v>405</v>
      </c>
      <c r="E4434" s="605" t="s">
        <v>1053</v>
      </c>
      <c r="F4434" s="605"/>
      <c r="G4434" s="402" t="s">
        <v>6</v>
      </c>
      <c r="H4434" s="403">
        <v>0.28999999999999998</v>
      </c>
      <c r="I4434" s="403">
        <v>0</v>
      </c>
      <c r="J4434" s="404">
        <v>30.04</v>
      </c>
      <c r="K4434" s="404">
        <v>8.7116000000000007</v>
      </c>
    </row>
    <row r="4435" spans="1:11" ht="14.25" customHeight="1" x14ac:dyDescent="0.3">
      <c r="A4435" s="400" t="s">
        <v>1038</v>
      </c>
      <c r="B4435" s="401" t="s">
        <v>1075</v>
      </c>
      <c r="C4435" s="400" t="s">
        <v>395</v>
      </c>
      <c r="D4435" s="400" t="s">
        <v>8694</v>
      </c>
      <c r="E4435" s="605" t="s">
        <v>1053</v>
      </c>
      <c r="F4435" s="605"/>
      <c r="G4435" s="402" t="s">
        <v>6</v>
      </c>
      <c r="H4435" s="403">
        <v>0.28999999999999998</v>
      </c>
      <c r="I4435" s="403">
        <v>0</v>
      </c>
      <c r="J4435" s="404">
        <v>22.14</v>
      </c>
      <c r="K4435" s="404">
        <v>6.4206000000000003</v>
      </c>
    </row>
    <row r="4436" spans="1:11" ht="25.5" customHeight="1" x14ac:dyDescent="0.3">
      <c r="A4436" s="400" t="s">
        <v>1038</v>
      </c>
      <c r="B4436" s="401" t="s">
        <v>2538</v>
      </c>
      <c r="C4436" s="400" t="s">
        <v>575</v>
      </c>
      <c r="D4436" s="400" t="s">
        <v>2539</v>
      </c>
      <c r="E4436" s="605" t="s">
        <v>1039</v>
      </c>
      <c r="F4436" s="605"/>
      <c r="G4436" s="402" t="s">
        <v>4</v>
      </c>
      <c r="H4436" s="403">
        <v>1</v>
      </c>
      <c r="I4436" s="403">
        <v>0</v>
      </c>
      <c r="J4436" s="404">
        <v>120.54</v>
      </c>
      <c r="K4436" s="404">
        <v>120.54</v>
      </c>
    </row>
    <row r="4437" spans="1:11" ht="25.5" customHeight="1" x14ac:dyDescent="0.3">
      <c r="A4437" s="405"/>
      <c r="B4437" s="405"/>
      <c r="C4437" s="405"/>
      <c r="D4437" s="405"/>
      <c r="E4437" s="405" t="s">
        <v>1046</v>
      </c>
      <c r="F4437" s="406">
        <v>15.13</v>
      </c>
      <c r="G4437" s="405" t="s">
        <v>1047</v>
      </c>
      <c r="H4437" s="406">
        <v>0</v>
      </c>
      <c r="I4437" s="405" t="s">
        <v>1048</v>
      </c>
      <c r="J4437" s="406">
        <v>15.13</v>
      </c>
      <c r="K4437"/>
    </row>
    <row r="4438" spans="1:11" ht="25.5" customHeight="1" thickBot="1" x14ac:dyDescent="0.35">
      <c r="A4438" s="405"/>
      <c r="B4438" s="405"/>
      <c r="C4438" s="405"/>
      <c r="D4438" s="405"/>
      <c r="E4438" s="405" t="s">
        <v>1049</v>
      </c>
      <c r="F4438" s="406">
        <v>0</v>
      </c>
      <c r="G4438" s="405"/>
      <c r="H4438" s="606"/>
      <c r="I4438" s="606" t="s">
        <v>1050</v>
      </c>
      <c r="J4438" s="406">
        <v>138.29</v>
      </c>
      <c r="K4438"/>
    </row>
    <row r="4439" spans="1:11" ht="12.75" customHeight="1" thickTop="1" x14ac:dyDescent="0.3">
      <c r="A4439" s="407"/>
      <c r="B4439" s="407"/>
      <c r="C4439" s="407"/>
      <c r="D4439" s="407"/>
      <c r="E4439" s="407"/>
      <c r="F4439" s="407"/>
      <c r="G4439" s="407"/>
      <c r="H4439" s="407"/>
      <c r="I4439" s="407"/>
      <c r="J4439" s="407"/>
      <c r="K4439" s="407"/>
    </row>
    <row r="4440" spans="1:11" ht="25.5" customHeight="1" x14ac:dyDescent="0.3">
      <c r="A4440" s="382" t="s">
        <v>2232</v>
      </c>
      <c r="B4440" s="312" t="s">
        <v>413</v>
      </c>
      <c r="C4440" s="382" t="s">
        <v>414</v>
      </c>
      <c r="D4440" s="382" t="s">
        <v>415</v>
      </c>
      <c r="E4440" s="586" t="s">
        <v>1029</v>
      </c>
      <c r="F4440" s="586"/>
      <c r="G4440" s="383" t="s">
        <v>416</v>
      </c>
      <c r="H4440" s="312" t="s">
        <v>1030</v>
      </c>
      <c r="I4440" s="312" t="s">
        <v>3016</v>
      </c>
      <c r="J4440" s="312" t="s">
        <v>1031</v>
      </c>
      <c r="K4440" s="312" t="s">
        <v>1032</v>
      </c>
    </row>
    <row r="4441" spans="1:11" ht="25.5" customHeight="1" x14ac:dyDescent="0.3">
      <c r="A4441" s="313" t="s">
        <v>1033</v>
      </c>
      <c r="B4441" s="315" t="s">
        <v>3940</v>
      </c>
      <c r="C4441" s="313" t="s">
        <v>395</v>
      </c>
      <c r="D4441" s="313" t="s">
        <v>6050</v>
      </c>
      <c r="E4441" s="603" t="s">
        <v>7883</v>
      </c>
      <c r="F4441" s="603"/>
      <c r="G4441" s="314" t="s">
        <v>4</v>
      </c>
      <c r="H4441" s="399">
        <v>1</v>
      </c>
      <c r="I4441" s="316"/>
      <c r="J4441" s="316">
        <v>468.93</v>
      </c>
      <c r="K4441" s="316">
        <v>468.93</v>
      </c>
    </row>
    <row r="4442" spans="1:11" ht="14.25" customHeight="1" x14ac:dyDescent="0.3">
      <c r="A4442" s="408" t="s">
        <v>1034</v>
      </c>
      <c r="B4442" s="409" t="s">
        <v>1113</v>
      </c>
      <c r="C4442" s="408" t="s">
        <v>395</v>
      </c>
      <c r="D4442" s="408" t="s">
        <v>129</v>
      </c>
      <c r="E4442" s="604" t="s">
        <v>7768</v>
      </c>
      <c r="F4442" s="604"/>
      <c r="G4442" s="410" t="s">
        <v>6</v>
      </c>
      <c r="H4442" s="412">
        <v>3.5508000000000002</v>
      </c>
      <c r="I4442" s="412">
        <v>0</v>
      </c>
      <c r="J4442" s="411">
        <v>33.450000000000003</v>
      </c>
      <c r="K4442" s="411">
        <v>118.77426</v>
      </c>
    </row>
    <row r="4443" spans="1:11" ht="26.4" x14ac:dyDescent="0.3">
      <c r="A4443" s="408" t="s">
        <v>1034</v>
      </c>
      <c r="B4443" s="409" t="s">
        <v>1112</v>
      </c>
      <c r="C4443" s="408" t="s">
        <v>395</v>
      </c>
      <c r="D4443" s="408" t="s">
        <v>137</v>
      </c>
      <c r="E4443" s="604" t="s">
        <v>7768</v>
      </c>
      <c r="F4443" s="604"/>
      <c r="G4443" s="410" t="s">
        <v>6</v>
      </c>
      <c r="H4443" s="412">
        <v>3.5508000000000002</v>
      </c>
      <c r="I4443" s="412">
        <v>0</v>
      </c>
      <c r="J4443" s="411">
        <v>40.299999999999997</v>
      </c>
      <c r="K4443" s="411">
        <v>143.09724</v>
      </c>
    </row>
    <row r="4444" spans="1:11" ht="15" customHeight="1" x14ac:dyDescent="0.3">
      <c r="A4444" s="400" t="s">
        <v>1038</v>
      </c>
      <c r="B4444" s="401" t="s">
        <v>2535</v>
      </c>
      <c r="C4444" s="400" t="s">
        <v>395</v>
      </c>
      <c r="D4444" s="400" t="s">
        <v>262</v>
      </c>
      <c r="E4444" s="605" t="s">
        <v>1039</v>
      </c>
      <c r="F4444" s="605"/>
      <c r="G4444" s="402" t="s">
        <v>4</v>
      </c>
      <c r="H4444" s="403">
        <v>0.1188</v>
      </c>
      <c r="I4444" s="403">
        <v>0</v>
      </c>
      <c r="J4444" s="404">
        <v>16.45</v>
      </c>
      <c r="K4444" s="404">
        <v>1.9542600000000001</v>
      </c>
    </row>
    <row r="4445" spans="1:11" ht="14.25" customHeight="1" x14ac:dyDescent="0.3">
      <c r="A4445" s="400" t="s">
        <v>1038</v>
      </c>
      <c r="B4445" s="401" t="s">
        <v>4297</v>
      </c>
      <c r="C4445" s="400" t="s">
        <v>395</v>
      </c>
      <c r="D4445" s="400" t="s">
        <v>4298</v>
      </c>
      <c r="E4445" s="605" t="s">
        <v>1039</v>
      </c>
      <c r="F4445" s="605"/>
      <c r="G4445" s="402" t="s">
        <v>4</v>
      </c>
      <c r="H4445" s="403">
        <v>4</v>
      </c>
      <c r="I4445" s="403">
        <v>0</v>
      </c>
      <c r="J4445" s="404">
        <v>16.66</v>
      </c>
      <c r="K4445" s="404">
        <v>66.64</v>
      </c>
    </row>
    <row r="4446" spans="1:11" ht="25.5" customHeight="1" x14ac:dyDescent="0.3">
      <c r="A4446" s="400" t="s">
        <v>1038</v>
      </c>
      <c r="B4446" s="401" t="s">
        <v>4545</v>
      </c>
      <c r="C4446" s="400" t="s">
        <v>395</v>
      </c>
      <c r="D4446" s="400" t="s">
        <v>4546</v>
      </c>
      <c r="E4446" s="605" t="s">
        <v>1039</v>
      </c>
      <c r="F4446" s="605"/>
      <c r="G4446" s="402" t="s">
        <v>4</v>
      </c>
      <c r="H4446" s="403">
        <v>2</v>
      </c>
      <c r="I4446" s="403">
        <v>0</v>
      </c>
      <c r="J4446" s="404">
        <v>12.36</v>
      </c>
      <c r="K4446" s="404">
        <v>24.72</v>
      </c>
    </row>
    <row r="4447" spans="1:11" ht="25.5" customHeight="1" x14ac:dyDescent="0.3">
      <c r="A4447" s="400" t="s">
        <v>1038</v>
      </c>
      <c r="B4447" s="401" t="s">
        <v>7342</v>
      </c>
      <c r="C4447" s="400" t="s">
        <v>395</v>
      </c>
      <c r="D4447" s="400" t="s">
        <v>7343</v>
      </c>
      <c r="E4447" s="605" t="s">
        <v>1039</v>
      </c>
      <c r="F4447" s="605"/>
      <c r="G4447" s="402" t="s">
        <v>4</v>
      </c>
      <c r="H4447" s="403">
        <v>1</v>
      </c>
      <c r="I4447" s="403">
        <v>0</v>
      </c>
      <c r="J4447" s="404">
        <v>8.2799999999999994</v>
      </c>
      <c r="K4447" s="404">
        <v>8.2799999999999994</v>
      </c>
    </row>
    <row r="4448" spans="1:11" ht="15" customHeight="1" x14ac:dyDescent="0.3">
      <c r="A4448" s="400" t="s">
        <v>1038</v>
      </c>
      <c r="B4448" s="401" t="s">
        <v>4515</v>
      </c>
      <c r="C4448" s="400" t="s">
        <v>395</v>
      </c>
      <c r="D4448" s="400" t="s">
        <v>4516</v>
      </c>
      <c r="E4448" s="605" t="s">
        <v>1039</v>
      </c>
      <c r="F4448" s="605"/>
      <c r="G4448" s="402" t="s">
        <v>4</v>
      </c>
      <c r="H4448" s="403">
        <v>1</v>
      </c>
      <c r="I4448" s="403">
        <v>0</v>
      </c>
      <c r="J4448" s="404">
        <v>40.76</v>
      </c>
      <c r="K4448" s="404">
        <v>40.76</v>
      </c>
    </row>
    <row r="4449" spans="1:11" ht="25.5" customHeight="1" x14ac:dyDescent="0.3">
      <c r="A4449" s="400" t="s">
        <v>1038</v>
      </c>
      <c r="B4449" s="401" t="s">
        <v>4566</v>
      </c>
      <c r="C4449" s="400" t="s">
        <v>395</v>
      </c>
      <c r="D4449" s="400" t="s">
        <v>4567</v>
      </c>
      <c r="E4449" s="605" t="s">
        <v>1039</v>
      </c>
      <c r="F4449" s="605"/>
      <c r="G4449" s="402" t="s">
        <v>4</v>
      </c>
      <c r="H4449" s="403">
        <v>1</v>
      </c>
      <c r="I4449" s="403">
        <v>0</v>
      </c>
      <c r="J4449" s="404">
        <v>23.1</v>
      </c>
      <c r="K4449" s="404">
        <v>23.1</v>
      </c>
    </row>
    <row r="4450" spans="1:11" ht="25.5" customHeight="1" x14ac:dyDescent="0.3">
      <c r="A4450" s="400" t="s">
        <v>1038</v>
      </c>
      <c r="B4450" s="401" t="s">
        <v>4933</v>
      </c>
      <c r="C4450" s="400" t="s">
        <v>395</v>
      </c>
      <c r="D4450" s="400" t="s">
        <v>4934</v>
      </c>
      <c r="E4450" s="605" t="s">
        <v>1039</v>
      </c>
      <c r="F4450" s="605"/>
      <c r="G4450" s="402" t="s">
        <v>8</v>
      </c>
      <c r="H4450" s="403">
        <v>2.8799999999999999E-2</v>
      </c>
      <c r="I4450" s="403">
        <v>0</v>
      </c>
      <c r="J4450" s="404">
        <v>53.91</v>
      </c>
      <c r="K4450" s="404">
        <v>1.552608</v>
      </c>
    </row>
    <row r="4451" spans="1:11" ht="25.5" customHeight="1" x14ac:dyDescent="0.3">
      <c r="A4451" s="400" t="s">
        <v>1038</v>
      </c>
      <c r="B4451" s="401" t="s">
        <v>4368</v>
      </c>
      <c r="C4451" s="400" t="s">
        <v>395</v>
      </c>
      <c r="D4451" s="400" t="s">
        <v>4369</v>
      </c>
      <c r="E4451" s="605" t="s">
        <v>1039</v>
      </c>
      <c r="F4451" s="605"/>
      <c r="G4451" s="402" t="s">
        <v>7</v>
      </c>
      <c r="H4451" s="403">
        <v>1.143</v>
      </c>
      <c r="I4451" s="403">
        <v>0</v>
      </c>
      <c r="J4451" s="404">
        <v>35.04</v>
      </c>
      <c r="K4451" s="404">
        <v>40.050719999999998</v>
      </c>
    </row>
    <row r="4452" spans="1:11" ht="14.25" customHeight="1" x14ac:dyDescent="0.3">
      <c r="A4452" s="405"/>
      <c r="B4452" s="405"/>
      <c r="C4452" s="405"/>
      <c r="D4452" s="405"/>
      <c r="E4452" s="405" t="s">
        <v>1046</v>
      </c>
      <c r="F4452" s="406">
        <v>192.84</v>
      </c>
      <c r="G4452" s="405" t="s">
        <v>1047</v>
      </c>
      <c r="H4452" s="406">
        <v>0</v>
      </c>
      <c r="I4452" s="405" t="s">
        <v>1048</v>
      </c>
      <c r="J4452" s="406">
        <v>192.84</v>
      </c>
      <c r="K4452"/>
    </row>
    <row r="4453" spans="1:11" ht="15.6" thickBot="1" x14ac:dyDescent="0.35">
      <c r="A4453" s="405"/>
      <c r="B4453" s="405"/>
      <c r="C4453" s="405"/>
      <c r="D4453" s="405"/>
      <c r="E4453" s="405" t="s">
        <v>1049</v>
      </c>
      <c r="F4453" s="406">
        <v>0</v>
      </c>
      <c r="G4453" s="405"/>
      <c r="H4453" s="606"/>
      <c r="I4453" s="606" t="s">
        <v>1050</v>
      </c>
      <c r="J4453" s="406">
        <v>468.93</v>
      </c>
      <c r="K4453"/>
    </row>
    <row r="4454" spans="1:11" ht="17.399999999999999" customHeight="1" thickTop="1" x14ac:dyDescent="0.3">
      <c r="A4454" s="407"/>
      <c r="B4454" s="407"/>
      <c r="C4454" s="407"/>
      <c r="D4454" s="407"/>
      <c r="E4454" s="407"/>
      <c r="F4454" s="407"/>
      <c r="G4454" s="407"/>
      <c r="H4454" s="407"/>
      <c r="I4454" s="407"/>
      <c r="J4454" s="407"/>
      <c r="K4454" s="407"/>
    </row>
    <row r="4455" spans="1:11" ht="15" customHeight="1" x14ac:dyDescent="0.3">
      <c r="A4455" s="382" t="s">
        <v>2234</v>
      </c>
      <c r="B4455" s="312" t="s">
        <v>413</v>
      </c>
      <c r="C4455" s="382" t="s">
        <v>414</v>
      </c>
      <c r="D4455" s="382" t="s">
        <v>415</v>
      </c>
      <c r="E4455" s="586" t="s">
        <v>1029</v>
      </c>
      <c r="F4455" s="586"/>
      <c r="G4455" s="383" t="s">
        <v>416</v>
      </c>
      <c r="H4455" s="312" t="s">
        <v>1030</v>
      </c>
      <c r="I4455" s="312" t="s">
        <v>3016</v>
      </c>
      <c r="J4455" s="312" t="s">
        <v>1031</v>
      </c>
      <c r="K4455" s="312" t="s">
        <v>1032</v>
      </c>
    </row>
    <row r="4456" spans="1:11" ht="25.5" customHeight="1" x14ac:dyDescent="0.3">
      <c r="A4456" s="313" t="s">
        <v>1033</v>
      </c>
      <c r="B4456" s="315" t="s">
        <v>3941</v>
      </c>
      <c r="C4456" s="313" t="s">
        <v>395</v>
      </c>
      <c r="D4456" s="313" t="s">
        <v>356</v>
      </c>
      <c r="E4456" s="603" t="s">
        <v>7811</v>
      </c>
      <c r="F4456" s="603"/>
      <c r="G4456" s="314" t="s">
        <v>4</v>
      </c>
      <c r="H4456" s="399">
        <v>1</v>
      </c>
      <c r="I4456" s="316"/>
      <c r="J4456" s="316">
        <v>96.48</v>
      </c>
      <c r="K4456" s="316">
        <v>96.48</v>
      </c>
    </row>
    <row r="4457" spans="1:11" ht="25.5" customHeight="1" x14ac:dyDescent="0.3">
      <c r="A4457" s="408" t="s">
        <v>1034</v>
      </c>
      <c r="B4457" s="409" t="s">
        <v>1113</v>
      </c>
      <c r="C4457" s="408" t="s">
        <v>395</v>
      </c>
      <c r="D4457" s="408" t="s">
        <v>129</v>
      </c>
      <c r="E4457" s="604" t="s">
        <v>7768</v>
      </c>
      <c r="F4457" s="604"/>
      <c r="G4457" s="410" t="s">
        <v>6</v>
      </c>
      <c r="H4457" s="412">
        <v>0.25950000000000001</v>
      </c>
      <c r="I4457" s="412">
        <v>0</v>
      </c>
      <c r="J4457" s="411">
        <v>33.450000000000003</v>
      </c>
      <c r="K4457" s="411">
        <v>8.680275</v>
      </c>
    </row>
    <row r="4458" spans="1:11" ht="25.5" customHeight="1" x14ac:dyDescent="0.3">
      <c r="A4458" s="408" t="s">
        <v>1034</v>
      </c>
      <c r="B4458" s="409" t="s">
        <v>1112</v>
      </c>
      <c r="C4458" s="408" t="s">
        <v>395</v>
      </c>
      <c r="D4458" s="408" t="s">
        <v>137</v>
      </c>
      <c r="E4458" s="604" t="s">
        <v>7768</v>
      </c>
      <c r="F4458" s="604"/>
      <c r="G4458" s="410" t="s">
        <v>6</v>
      </c>
      <c r="H4458" s="412">
        <v>0.25950000000000001</v>
      </c>
      <c r="I4458" s="412">
        <v>0</v>
      </c>
      <c r="J4458" s="411">
        <v>40.299999999999997</v>
      </c>
      <c r="K4458" s="411">
        <v>10.457850000000001</v>
      </c>
    </row>
    <row r="4459" spans="1:11" ht="15" customHeight="1" x14ac:dyDescent="0.3">
      <c r="A4459" s="400" t="s">
        <v>1038</v>
      </c>
      <c r="B4459" s="401" t="s">
        <v>2535</v>
      </c>
      <c r="C4459" s="400" t="s">
        <v>395</v>
      </c>
      <c r="D4459" s="400" t="s">
        <v>262</v>
      </c>
      <c r="E4459" s="605" t="s">
        <v>1039</v>
      </c>
      <c r="F4459" s="605"/>
      <c r="G4459" s="402" t="s">
        <v>4</v>
      </c>
      <c r="H4459" s="403">
        <v>1.32E-2</v>
      </c>
      <c r="I4459" s="403">
        <v>0</v>
      </c>
      <c r="J4459" s="404">
        <v>16.45</v>
      </c>
      <c r="K4459" s="404">
        <v>0.21714</v>
      </c>
    </row>
    <row r="4460" spans="1:11" ht="25.5" customHeight="1" x14ac:dyDescent="0.3">
      <c r="A4460" s="400" t="s">
        <v>1038</v>
      </c>
      <c r="B4460" s="401" t="s">
        <v>4343</v>
      </c>
      <c r="C4460" s="400" t="s">
        <v>395</v>
      </c>
      <c r="D4460" s="400" t="s">
        <v>4344</v>
      </c>
      <c r="E4460" s="605" t="s">
        <v>1039</v>
      </c>
      <c r="F4460" s="605"/>
      <c r="G4460" s="402" t="s">
        <v>4</v>
      </c>
      <c r="H4460" s="403">
        <v>1</v>
      </c>
      <c r="I4460" s="403">
        <v>0</v>
      </c>
      <c r="J4460" s="404">
        <v>77.12</v>
      </c>
      <c r="K4460" s="404">
        <v>77.12</v>
      </c>
    </row>
    <row r="4461" spans="1:11" ht="25.5" customHeight="1" x14ac:dyDescent="0.3">
      <c r="A4461" s="405"/>
      <c r="B4461" s="405"/>
      <c r="C4461" s="405"/>
      <c r="D4461" s="405"/>
      <c r="E4461" s="405" t="s">
        <v>1046</v>
      </c>
      <c r="F4461" s="406">
        <v>14.09</v>
      </c>
      <c r="G4461" s="405" t="s">
        <v>1047</v>
      </c>
      <c r="H4461" s="406">
        <v>0.01</v>
      </c>
      <c r="I4461" s="405" t="s">
        <v>1048</v>
      </c>
      <c r="J4461" s="406">
        <v>14.1</v>
      </c>
      <c r="K4461"/>
    </row>
    <row r="4462" spans="1:11" ht="14.25" customHeight="1" thickBot="1" x14ac:dyDescent="0.35">
      <c r="A4462" s="405"/>
      <c r="B4462" s="405"/>
      <c r="C4462" s="405"/>
      <c r="D4462" s="405"/>
      <c r="E4462" s="405" t="s">
        <v>1049</v>
      </c>
      <c r="F4462" s="406">
        <v>0</v>
      </c>
      <c r="G4462" s="405"/>
      <c r="H4462" s="606"/>
      <c r="I4462" s="606" t="s">
        <v>1050</v>
      </c>
      <c r="J4462" s="406">
        <v>96.48</v>
      </c>
      <c r="K4462"/>
    </row>
    <row r="4463" spans="1:11" ht="15.6" thickTop="1" x14ac:dyDescent="0.3">
      <c r="A4463" s="407"/>
      <c r="B4463" s="407"/>
      <c r="C4463" s="407"/>
      <c r="D4463" s="407"/>
      <c r="E4463" s="407"/>
      <c r="F4463" s="407"/>
      <c r="G4463" s="407"/>
      <c r="H4463" s="407"/>
      <c r="I4463" s="407"/>
      <c r="J4463" s="407"/>
      <c r="K4463" s="407"/>
    </row>
    <row r="4464" spans="1:11" ht="17.399999999999999" customHeight="1" x14ac:dyDescent="0.3">
      <c r="A4464" s="382" t="s">
        <v>2236</v>
      </c>
      <c r="B4464" s="312" t="s">
        <v>413</v>
      </c>
      <c r="C4464" s="382" t="s">
        <v>414</v>
      </c>
      <c r="D4464" s="382" t="s">
        <v>415</v>
      </c>
      <c r="E4464" s="586" t="s">
        <v>1029</v>
      </c>
      <c r="F4464" s="586"/>
      <c r="G4464" s="383" t="s">
        <v>416</v>
      </c>
      <c r="H4464" s="312" t="s">
        <v>1030</v>
      </c>
      <c r="I4464" s="312" t="s">
        <v>3016</v>
      </c>
      <c r="J4464" s="312" t="s">
        <v>1031</v>
      </c>
      <c r="K4464" s="312" t="s">
        <v>1032</v>
      </c>
    </row>
    <row r="4465" spans="1:11" ht="15" customHeight="1" x14ac:dyDescent="0.3">
      <c r="A4465" s="313" t="s">
        <v>1033</v>
      </c>
      <c r="B4465" s="315" t="s">
        <v>2192</v>
      </c>
      <c r="C4465" s="313" t="s">
        <v>420</v>
      </c>
      <c r="D4465" s="313" t="s">
        <v>1937</v>
      </c>
      <c r="E4465" s="603" t="s">
        <v>2513</v>
      </c>
      <c r="F4465" s="603"/>
      <c r="G4465" s="314" t="s">
        <v>422</v>
      </c>
      <c r="H4465" s="399">
        <v>1</v>
      </c>
      <c r="I4465" s="316"/>
      <c r="J4465" s="316">
        <v>110.22</v>
      </c>
      <c r="K4465" s="316">
        <v>110.22</v>
      </c>
    </row>
    <row r="4466" spans="1:11" ht="14.25" customHeight="1" x14ac:dyDescent="0.3">
      <c r="A4466" s="408" t="s">
        <v>1034</v>
      </c>
      <c r="B4466" s="409" t="s">
        <v>1071</v>
      </c>
      <c r="C4466" s="408" t="s">
        <v>420</v>
      </c>
      <c r="D4466" s="408" t="s">
        <v>1072</v>
      </c>
      <c r="E4466" s="604" t="s">
        <v>1069</v>
      </c>
      <c r="F4466" s="604"/>
      <c r="G4466" s="410" t="s">
        <v>1070</v>
      </c>
      <c r="H4466" s="412">
        <v>0.28000000000000003</v>
      </c>
      <c r="I4466" s="412">
        <v>0</v>
      </c>
      <c r="J4466" s="411">
        <v>3.95</v>
      </c>
      <c r="K4466" s="411">
        <v>1.1060000000000001</v>
      </c>
    </row>
    <row r="4467" spans="1:11" ht="26.4" x14ac:dyDescent="0.3">
      <c r="A4467" s="408" t="s">
        <v>1034</v>
      </c>
      <c r="B4467" s="409" t="s">
        <v>1180</v>
      </c>
      <c r="C4467" s="408" t="s">
        <v>420</v>
      </c>
      <c r="D4467" s="408" t="s">
        <v>1181</v>
      </c>
      <c r="E4467" s="604" t="s">
        <v>1069</v>
      </c>
      <c r="F4467" s="604"/>
      <c r="G4467" s="410" t="s">
        <v>1070</v>
      </c>
      <c r="H4467" s="412">
        <v>0.28000000000000003</v>
      </c>
      <c r="I4467" s="412">
        <v>0</v>
      </c>
      <c r="J4467" s="411">
        <v>3.91</v>
      </c>
      <c r="K4467" s="411">
        <v>1.0948</v>
      </c>
    </row>
    <row r="4468" spans="1:11" ht="30" customHeight="1" x14ac:dyDescent="0.3">
      <c r="A4468" s="400" t="s">
        <v>1038</v>
      </c>
      <c r="B4468" s="401" t="s">
        <v>1262</v>
      </c>
      <c r="C4468" s="400" t="s">
        <v>420</v>
      </c>
      <c r="D4468" s="400" t="s">
        <v>1263</v>
      </c>
      <c r="E4468" s="605" t="s">
        <v>1039</v>
      </c>
      <c r="F4468" s="605"/>
      <c r="G4468" s="402" t="s">
        <v>437</v>
      </c>
      <c r="H4468" s="403">
        <v>0.47</v>
      </c>
      <c r="I4468" s="403">
        <v>0</v>
      </c>
      <c r="J4468" s="404">
        <v>0.31</v>
      </c>
      <c r="K4468" s="404">
        <v>0.1457</v>
      </c>
    </row>
    <row r="4469" spans="1:11" ht="15" customHeight="1" x14ac:dyDescent="0.3">
      <c r="A4469" s="400" t="s">
        <v>1038</v>
      </c>
      <c r="B4469" s="401" t="s">
        <v>2514</v>
      </c>
      <c r="C4469" s="400" t="s">
        <v>420</v>
      </c>
      <c r="D4469" s="400" t="s">
        <v>2515</v>
      </c>
      <c r="E4469" s="605" t="s">
        <v>1039</v>
      </c>
      <c r="F4469" s="605"/>
      <c r="G4469" s="402" t="s">
        <v>486</v>
      </c>
      <c r="H4469" s="403">
        <v>1</v>
      </c>
      <c r="I4469" s="403">
        <v>0</v>
      </c>
      <c r="J4469" s="404">
        <v>97.78</v>
      </c>
      <c r="K4469" s="404">
        <v>97.78</v>
      </c>
    </row>
    <row r="4470" spans="1:11" ht="25.5" customHeight="1" x14ac:dyDescent="0.3">
      <c r="A4470" s="400" t="s">
        <v>1038</v>
      </c>
      <c r="B4470" s="401" t="s">
        <v>6480</v>
      </c>
      <c r="C4470" s="400" t="s">
        <v>420</v>
      </c>
      <c r="D4470" s="400" t="s">
        <v>6481</v>
      </c>
      <c r="E4470" s="605" t="s">
        <v>1053</v>
      </c>
      <c r="F4470" s="605"/>
      <c r="G4470" s="402" t="s">
        <v>1070</v>
      </c>
      <c r="H4470" s="403">
        <v>0.28000000000000003</v>
      </c>
      <c r="I4470" s="403">
        <v>0</v>
      </c>
      <c r="J4470" s="404">
        <v>20.45</v>
      </c>
      <c r="K4470" s="404">
        <v>5.726</v>
      </c>
    </row>
    <row r="4471" spans="1:11" ht="25.5" customHeight="1" x14ac:dyDescent="0.3">
      <c r="A4471" s="400" t="s">
        <v>1038</v>
      </c>
      <c r="B4471" s="401" t="s">
        <v>6251</v>
      </c>
      <c r="C4471" s="400" t="s">
        <v>420</v>
      </c>
      <c r="D4471" s="400" t="s">
        <v>6252</v>
      </c>
      <c r="E4471" s="605" t="s">
        <v>1053</v>
      </c>
      <c r="F4471" s="605"/>
      <c r="G4471" s="402" t="s">
        <v>1070</v>
      </c>
      <c r="H4471" s="403">
        <v>0.28000000000000003</v>
      </c>
      <c r="I4471" s="403">
        <v>0</v>
      </c>
      <c r="J4471" s="404">
        <v>15.59</v>
      </c>
      <c r="K4471" s="404">
        <v>4.3651999999999997</v>
      </c>
    </row>
    <row r="4472" spans="1:11" ht="15" x14ac:dyDescent="0.3">
      <c r="A4472" s="405"/>
      <c r="B4472" s="405"/>
      <c r="C4472" s="405"/>
      <c r="D4472" s="405"/>
      <c r="E4472" s="405" t="s">
        <v>1046</v>
      </c>
      <c r="F4472" s="406">
        <v>10.1</v>
      </c>
      <c r="G4472" s="405" t="s">
        <v>1047</v>
      </c>
      <c r="H4472" s="406">
        <v>0</v>
      </c>
      <c r="I4472" s="405" t="s">
        <v>1048</v>
      </c>
      <c r="J4472" s="406">
        <v>10.1</v>
      </c>
      <c r="K4472"/>
    </row>
    <row r="4473" spans="1:11" ht="14.25" customHeight="1" thickBot="1" x14ac:dyDescent="0.35">
      <c r="A4473" s="405"/>
      <c r="B4473" s="405"/>
      <c r="C4473" s="405"/>
      <c r="D4473" s="405"/>
      <c r="E4473" s="405" t="s">
        <v>1049</v>
      </c>
      <c r="F4473" s="406">
        <v>0</v>
      </c>
      <c r="G4473" s="405"/>
      <c r="H4473" s="606"/>
      <c r="I4473" s="606" t="s">
        <v>1050</v>
      </c>
      <c r="J4473" s="406">
        <v>110.22</v>
      </c>
      <c r="K4473"/>
    </row>
    <row r="4474" spans="1:11" ht="17.399999999999999" customHeight="1" thickTop="1" x14ac:dyDescent="0.3">
      <c r="A4474" s="407"/>
      <c r="B4474" s="407"/>
      <c r="C4474" s="407"/>
      <c r="D4474" s="407"/>
      <c r="E4474" s="407"/>
      <c r="F4474" s="407"/>
      <c r="G4474" s="407"/>
      <c r="H4474" s="407"/>
      <c r="I4474" s="407"/>
      <c r="J4474" s="407"/>
      <c r="K4474" s="407"/>
    </row>
    <row r="4475" spans="1:11" ht="15" customHeight="1" x14ac:dyDescent="0.3">
      <c r="A4475" s="382" t="s">
        <v>2237</v>
      </c>
      <c r="B4475" s="312" t="s">
        <v>413</v>
      </c>
      <c r="C4475" s="382" t="s">
        <v>414</v>
      </c>
      <c r="D4475" s="382" t="s">
        <v>415</v>
      </c>
      <c r="E4475" s="586" t="s">
        <v>1029</v>
      </c>
      <c r="F4475" s="586"/>
      <c r="G4475" s="383" t="s">
        <v>416</v>
      </c>
      <c r="H4475" s="312" t="s">
        <v>1030</v>
      </c>
      <c r="I4475" s="312" t="s">
        <v>3016</v>
      </c>
      <c r="J4475" s="312" t="s">
        <v>1031</v>
      </c>
      <c r="K4475" s="312" t="s">
        <v>1032</v>
      </c>
    </row>
    <row r="4476" spans="1:11" ht="26.4" x14ac:dyDescent="0.3">
      <c r="A4476" s="313" t="s">
        <v>1033</v>
      </c>
      <c r="B4476" s="315" t="s">
        <v>3942</v>
      </c>
      <c r="C4476" s="313" t="s">
        <v>395</v>
      </c>
      <c r="D4476" s="313" t="s">
        <v>357</v>
      </c>
      <c r="E4476" s="603" t="s">
        <v>7811</v>
      </c>
      <c r="F4476" s="603"/>
      <c r="G4476" s="314" t="s">
        <v>4</v>
      </c>
      <c r="H4476" s="399">
        <v>1</v>
      </c>
      <c r="I4476" s="316"/>
      <c r="J4476" s="316">
        <v>50.66</v>
      </c>
      <c r="K4476" s="316">
        <v>50.66</v>
      </c>
    </row>
    <row r="4477" spans="1:11" ht="14.25" customHeight="1" x14ac:dyDescent="0.3">
      <c r="A4477" s="408" t="s">
        <v>1034</v>
      </c>
      <c r="B4477" s="409" t="s">
        <v>1113</v>
      </c>
      <c r="C4477" s="408" t="s">
        <v>395</v>
      </c>
      <c r="D4477" s="408" t="s">
        <v>129</v>
      </c>
      <c r="E4477" s="604" t="s">
        <v>7768</v>
      </c>
      <c r="F4477" s="604"/>
      <c r="G4477" s="410" t="s">
        <v>6</v>
      </c>
      <c r="H4477" s="412">
        <v>0.11020000000000001</v>
      </c>
      <c r="I4477" s="412">
        <v>0</v>
      </c>
      <c r="J4477" s="411">
        <v>33.450000000000003</v>
      </c>
      <c r="K4477" s="411">
        <v>3.6861899999999999</v>
      </c>
    </row>
    <row r="4478" spans="1:11" ht="25.5" customHeight="1" x14ac:dyDescent="0.3">
      <c r="A4478" s="408" t="s">
        <v>1034</v>
      </c>
      <c r="B4478" s="409" t="s">
        <v>1112</v>
      </c>
      <c r="C4478" s="408" t="s">
        <v>395</v>
      </c>
      <c r="D4478" s="408" t="s">
        <v>137</v>
      </c>
      <c r="E4478" s="604" t="s">
        <v>7768</v>
      </c>
      <c r="F4478" s="604"/>
      <c r="G4478" s="410" t="s">
        <v>6</v>
      </c>
      <c r="H4478" s="412">
        <v>0.11020000000000001</v>
      </c>
      <c r="I4478" s="412">
        <v>0</v>
      </c>
      <c r="J4478" s="411">
        <v>40.299999999999997</v>
      </c>
      <c r="K4478" s="411">
        <v>4.4410600000000002</v>
      </c>
    </row>
    <row r="4479" spans="1:11" ht="15" customHeight="1" x14ac:dyDescent="0.3">
      <c r="A4479" s="400" t="s">
        <v>1038</v>
      </c>
      <c r="B4479" s="401" t="s">
        <v>2535</v>
      </c>
      <c r="C4479" s="400" t="s">
        <v>395</v>
      </c>
      <c r="D4479" s="400" t="s">
        <v>262</v>
      </c>
      <c r="E4479" s="605" t="s">
        <v>1039</v>
      </c>
      <c r="F4479" s="605"/>
      <c r="G4479" s="402" t="s">
        <v>4</v>
      </c>
      <c r="H4479" s="403">
        <v>1.06E-2</v>
      </c>
      <c r="I4479" s="403">
        <v>0</v>
      </c>
      <c r="J4479" s="404">
        <v>16.45</v>
      </c>
      <c r="K4479" s="404">
        <v>0.17437</v>
      </c>
    </row>
    <row r="4480" spans="1:11" ht="15" x14ac:dyDescent="0.3">
      <c r="A4480" s="400" t="s">
        <v>1038</v>
      </c>
      <c r="B4480" s="401" t="s">
        <v>4499</v>
      </c>
      <c r="C4480" s="400" t="s">
        <v>395</v>
      </c>
      <c r="D4480" s="400" t="s">
        <v>4500</v>
      </c>
      <c r="E4480" s="605" t="s">
        <v>1039</v>
      </c>
      <c r="F4480" s="605"/>
      <c r="G4480" s="402" t="s">
        <v>4</v>
      </c>
      <c r="H4480" s="403">
        <v>1</v>
      </c>
      <c r="I4480" s="403">
        <v>0</v>
      </c>
      <c r="J4480" s="404">
        <v>42.36</v>
      </c>
      <c r="K4480" s="404">
        <v>42.36</v>
      </c>
    </row>
    <row r="4481" spans="1:11" ht="15" x14ac:dyDescent="0.3">
      <c r="A4481" s="405"/>
      <c r="B4481" s="405"/>
      <c r="C4481" s="405"/>
      <c r="D4481" s="405"/>
      <c r="E4481" s="405" t="s">
        <v>1046</v>
      </c>
      <c r="F4481" s="406">
        <v>5.98</v>
      </c>
      <c r="G4481" s="405" t="s">
        <v>1047</v>
      </c>
      <c r="H4481" s="406">
        <v>0.01</v>
      </c>
      <c r="I4481" s="405" t="s">
        <v>1048</v>
      </c>
      <c r="J4481" s="406">
        <v>5.99</v>
      </c>
      <c r="K4481"/>
    </row>
    <row r="4482" spans="1:11" ht="25.5" customHeight="1" thickBot="1" x14ac:dyDescent="0.35">
      <c r="A4482" s="405"/>
      <c r="B4482" s="405"/>
      <c r="C4482" s="405"/>
      <c r="D4482" s="405"/>
      <c r="E4482" s="405" t="s">
        <v>1049</v>
      </c>
      <c r="F4482" s="406">
        <v>0</v>
      </c>
      <c r="G4482" s="405"/>
      <c r="H4482" s="606"/>
      <c r="I4482" s="606" t="s">
        <v>1050</v>
      </c>
      <c r="J4482" s="406">
        <v>50.66</v>
      </c>
      <c r="K4482"/>
    </row>
    <row r="4483" spans="1:11" ht="12.75" customHeight="1" thickTop="1" x14ac:dyDescent="0.3">
      <c r="A4483" s="407"/>
      <c r="B4483" s="407"/>
      <c r="C4483" s="407"/>
      <c r="D4483" s="407"/>
      <c r="E4483" s="407"/>
      <c r="F4483" s="407"/>
      <c r="G4483" s="407"/>
      <c r="H4483" s="407"/>
      <c r="I4483" s="407"/>
      <c r="J4483" s="407"/>
      <c r="K4483" s="407"/>
    </row>
    <row r="4484" spans="1:11" ht="15" x14ac:dyDescent="0.3">
      <c r="A4484" s="382" t="s">
        <v>2238</v>
      </c>
      <c r="B4484" s="312" t="s">
        <v>413</v>
      </c>
      <c r="C4484" s="382" t="s">
        <v>414</v>
      </c>
      <c r="D4484" s="382" t="s">
        <v>415</v>
      </c>
      <c r="E4484" s="586" t="s">
        <v>1029</v>
      </c>
      <c r="F4484" s="586"/>
      <c r="G4484" s="383" t="s">
        <v>416</v>
      </c>
      <c r="H4484" s="312" t="s">
        <v>1030</v>
      </c>
      <c r="I4484" s="312" t="s">
        <v>3016</v>
      </c>
      <c r="J4484" s="312" t="s">
        <v>1031</v>
      </c>
      <c r="K4484" s="312" t="s">
        <v>1032</v>
      </c>
    </row>
    <row r="4485" spans="1:11" ht="14.25" customHeight="1" x14ac:dyDescent="0.3">
      <c r="A4485" s="313" t="s">
        <v>1033</v>
      </c>
      <c r="B4485" s="315" t="s">
        <v>3943</v>
      </c>
      <c r="C4485" s="313" t="s">
        <v>395</v>
      </c>
      <c r="D4485" s="313" t="s">
        <v>358</v>
      </c>
      <c r="E4485" s="603" t="s">
        <v>7811</v>
      </c>
      <c r="F4485" s="603"/>
      <c r="G4485" s="314" t="s">
        <v>4</v>
      </c>
      <c r="H4485" s="399">
        <v>1</v>
      </c>
      <c r="I4485" s="316"/>
      <c r="J4485" s="316">
        <v>68.36</v>
      </c>
      <c r="K4485" s="316">
        <v>68.36</v>
      </c>
    </row>
    <row r="4486" spans="1:11" ht="15" customHeight="1" x14ac:dyDescent="0.3">
      <c r="A4486" s="408" t="s">
        <v>1034</v>
      </c>
      <c r="B4486" s="409" t="s">
        <v>1113</v>
      </c>
      <c r="C4486" s="408" t="s">
        <v>395</v>
      </c>
      <c r="D4486" s="408" t="s">
        <v>129</v>
      </c>
      <c r="E4486" s="604" t="s">
        <v>7768</v>
      </c>
      <c r="F4486" s="604"/>
      <c r="G4486" s="410" t="s">
        <v>6</v>
      </c>
      <c r="H4486" s="412">
        <v>0.14849999999999999</v>
      </c>
      <c r="I4486" s="412">
        <v>0</v>
      </c>
      <c r="J4486" s="411">
        <v>33.450000000000003</v>
      </c>
      <c r="K4486" s="411">
        <v>4.9673249999999998</v>
      </c>
    </row>
    <row r="4487" spans="1:11" ht="25.5" customHeight="1" x14ac:dyDescent="0.3">
      <c r="A4487" s="408" t="s">
        <v>1034</v>
      </c>
      <c r="B4487" s="409" t="s">
        <v>1112</v>
      </c>
      <c r="C4487" s="408" t="s">
        <v>395</v>
      </c>
      <c r="D4487" s="408" t="s">
        <v>137</v>
      </c>
      <c r="E4487" s="604" t="s">
        <v>7768</v>
      </c>
      <c r="F4487" s="604"/>
      <c r="G4487" s="410" t="s">
        <v>6</v>
      </c>
      <c r="H4487" s="412">
        <v>0.14849999999999999</v>
      </c>
      <c r="I4487" s="412">
        <v>0</v>
      </c>
      <c r="J4487" s="411">
        <v>40.299999999999997</v>
      </c>
      <c r="K4487" s="411">
        <v>5.9845499999999996</v>
      </c>
    </row>
    <row r="4488" spans="1:11" ht="14.25" customHeight="1" x14ac:dyDescent="0.3">
      <c r="A4488" s="400" t="s">
        <v>1038</v>
      </c>
      <c r="B4488" s="401" t="s">
        <v>2535</v>
      </c>
      <c r="C4488" s="400" t="s">
        <v>395</v>
      </c>
      <c r="D4488" s="400" t="s">
        <v>262</v>
      </c>
      <c r="E4488" s="605" t="s">
        <v>1039</v>
      </c>
      <c r="F4488" s="605"/>
      <c r="G4488" s="402" t="s">
        <v>4</v>
      </c>
      <c r="H4488" s="403">
        <v>1.32E-2</v>
      </c>
      <c r="I4488" s="403">
        <v>0</v>
      </c>
      <c r="J4488" s="404">
        <v>16.45</v>
      </c>
      <c r="K4488" s="404">
        <v>0.21714</v>
      </c>
    </row>
    <row r="4489" spans="1:11" ht="25.5" customHeight="1" x14ac:dyDescent="0.3">
      <c r="A4489" s="400" t="s">
        <v>1038</v>
      </c>
      <c r="B4489" s="401" t="s">
        <v>4403</v>
      </c>
      <c r="C4489" s="400" t="s">
        <v>395</v>
      </c>
      <c r="D4489" s="400" t="s">
        <v>4404</v>
      </c>
      <c r="E4489" s="605" t="s">
        <v>1039</v>
      </c>
      <c r="F4489" s="605"/>
      <c r="G4489" s="402" t="s">
        <v>4</v>
      </c>
      <c r="H4489" s="403">
        <v>1</v>
      </c>
      <c r="I4489" s="403">
        <v>0</v>
      </c>
      <c r="J4489" s="404">
        <v>57.19</v>
      </c>
      <c r="K4489" s="404">
        <v>57.19</v>
      </c>
    </row>
    <row r="4490" spans="1:11" ht="25.5" customHeight="1" x14ac:dyDescent="0.3">
      <c r="A4490" s="405"/>
      <c r="B4490" s="405"/>
      <c r="C4490" s="405"/>
      <c r="D4490" s="405"/>
      <c r="E4490" s="405" t="s">
        <v>1046</v>
      </c>
      <c r="F4490" s="406">
        <v>8.06</v>
      </c>
      <c r="G4490" s="405" t="s">
        <v>1047</v>
      </c>
      <c r="H4490" s="406">
        <v>0</v>
      </c>
      <c r="I4490" s="405" t="s">
        <v>1048</v>
      </c>
      <c r="J4490" s="406">
        <v>8.06</v>
      </c>
      <c r="K4490"/>
    </row>
    <row r="4491" spans="1:11" ht="25.5" customHeight="1" thickBot="1" x14ac:dyDescent="0.35">
      <c r="A4491" s="405"/>
      <c r="B4491" s="405"/>
      <c r="C4491" s="405"/>
      <c r="D4491" s="405"/>
      <c r="E4491" s="405" t="s">
        <v>1049</v>
      </c>
      <c r="F4491" s="406">
        <v>0</v>
      </c>
      <c r="G4491" s="405"/>
      <c r="H4491" s="606"/>
      <c r="I4491" s="606" t="s">
        <v>1050</v>
      </c>
      <c r="J4491" s="406">
        <v>68.36</v>
      </c>
      <c r="K4491"/>
    </row>
    <row r="4492" spans="1:11" ht="15.6" thickTop="1" x14ac:dyDescent="0.3">
      <c r="A4492" s="407"/>
      <c r="B4492" s="407"/>
      <c r="C4492" s="407"/>
      <c r="D4492" s="407"/>
      <c r="E4492" s="407"/>
      <c r="F4492" s="407"/>
      <c r="G4492" s="407"/>
      <c r="H4492" s="407"/>
      <c r="I4492" s="407"/>
      <c r="J4492" s="407"/>
      <c r="K4492" s="407"/>
    </row>
    <row r="4493" spans="1:11" ht="12.75" customHeight="1" x14ac:dyDescent="0.3">
      <c r="A4493" s="382" t="s">
        <v>2239</v>
      </c>
      <c r="B4493" s="312" t="s">
        <v>413</v>
      </c>
      <c r="C4493" s="382" t="s">
        <v>414</v>
      </c>
      <c r="D4493" s="382" t="s">
        <v>415</v>
      </c>
      <c r="E4493" s="586" t="s">
        <v>1029</v>
      </c>
      <c r="F4493" s="586"/>
      <c r="G4493" s="383" t="s">
        <v>416</v>
      </c>
      <c r="H4493" s="312" t="s">
        <v>1030</v>
      </c>
      <c r="I4493" s="312" t="s">
        <v>3016</v>
      </c>
      <c r="J4493" s="312" t="s">
        <v>1031</v>
      </c>
      <c r="K4493" s="312" t="s">
        <v>1032</v>
      </c>
    </row>
    <row r="4494" spans="1:11" ht="26.4" x14ac:dyDescent="0.3">
      <c r="A4494" s="313" t="s">
        <v>1033</v>
      </c>
      <c r="B4494" s="315" t="s">
        <v>3944</v>
      </c>
      <c r="C4494" s="313" t="s">
        <v>395</v>
      </c>
      <c r="D4494" s="313" t="s">
        <v>359</v>
      </c>
      <c r="E4494" s="603" t="s">
        <v>7811</v>
      </c>
      <c r="F4494" s="603"/>
      <c r="G4494" s="314" t="s">
        <v>4</v>
      </c>
      <c r="H4494" s="399">
        <v>1</v>
      </c>
      <c r="I4494" s="316"/>
      <c r="J4494" s="316">
        <v>100.42</v>
      </c>
      <c r="K4494" s="316">
        <v>100.42</v>
      </c>
    </row>
    <row r="4495" spans="1:11" ht="14.25" customHeight="1" x14ac:dyDescent="0.3">
      <c r="A4495" s="408" t="s">
        <v>1034</v>
      </c>
      <c r="B4495" s="409" t="s">
        <v>1113</v>
      </c>
      <c r="C4495" s="408" t="s">
        <v>395</v>
      </c>
      <c r="D4495" s="408" t="s">
        <v>129</v>
      </c>
      <c r="E4495" s="604" t="s">
        <v>7768</v>
      </c>
      <c r="F4495" s="604"/>
      <c r="G4495" s="410" t="s">
        <v>6</v>
      </c>
      <c r="H4495" s="412">
        <v>0.2021</v>
      </c>
      <c r="I4495" s="412">
        <v>0</v>
      </c>
      <c r="J4495" s="411">
        <v>33.450000000000003</v>
      </c>
      <c r="K4495" s="411">
        <v>6.7602450000000003</v>
      </c>
    </row>
    <row r="4496" spans="1:11" ht="26.4" x14ac:dyDescent="0.3">
      <c r="A4496" s="408" t="s">
        <v>1034</v>
      </c>
      <c r="B4496" s="409" t="s">
        <v>1112</v>
      </c>
      <c r="C4496" s="408" t="s">
        <v>395</v>
      </c>
      <c r="D4496" s="408" t="s">
        <v>137</v>
      </c>
      <c r="E4496" s="604" t="s">
        <v>7768</v>
      </c>
      <c r="F4496" s="604"/>
      <c r="G4496" s="410" t="s">
        <v>6</v>
      </c>
      <c r="H4496" s="412">
        <v>0.2021</v>
      </c>
      <c r="I4496" s="412">
        <v>0</v>
      </c>
      <c r="J4496" s="411">
        <v>40.299999999999997</v>
      </c>
      <c r="K4496" s="411">
        <v>8.1446299999999994</v>
      </c>
    </row>
    <row r="4497" spans="1:11" ht="15" customHeight="1" x14ac:dyDescent="0.3">
      <c r="A4497" s="400" t="s">
        <v>1038</v>
      </c>
      <c r="B4497" s="401" t="s">
        <v>2535</v>
      </c>
      <c r="C4497" s="400" t="s">
        <v>395</v>
      </c>
      <c r="D4497" s="400" t="s">
        <v>262</v>
      </c>
      <c r="E4497" s="605" t="s">
        <v>1039</v>
      </c>
      <c r="F4497" s="605"/>
      <c r="G4497" s="402" t="s">
        <v>4</v>
      </c>
      <c r="H4497" s="403">
        <v>1.6799999999999999E-2</v>
      </c>
      <c r="I4497" s="403">
        <v>0</v>
      </c>
      <c r="J4497" s="404">
        <v>16.45</v>
      </c>
      <c r="K4497" s="404">
        <v>0.27635999999999999</v>
      </c>
    </row>
    <row r="4498" spans="1:11" ht="30" customHeight="1" x14ac:dyDescent="0.3">
      <c r="A4498" s="400" t="s">
        <v>1038</v>
      </c>
      <c r="B4498" s="401" t="s">
        <v>4316</v>
      </c>
      <c r="C4498" s="400" t="s">
        <v>395</v>
      </c>
      <c r="D4498" s="400" t="s">
        <v>4317</v>
      </c>
      <c r="E4498" s="605" t="s">
        <v>1039</v>
      </c>
      <c r="F4498" s="605"/>
      <c r="G4498" s="402" t="s">
        <v>4</v>
      </c>
      <c r="H4498" s="403">
        <v>1</v>
      </c>
      <c r="I4498" s="403">
        <v>0</v>
      </c>
      <c r="J4498" s="404">
        <v>85.24</v>
      </c>
      <c r="K4498" s="404">
        <v>85.24</v>
      </c>
    </row>
    <row r="4499" spans="1:11" ht="25.5" customHeight="1" x14ac:dyDescent="0.3">
      <c r="A4499" s="405"/>
      <c r="B4499" s="405"/>
      <c r="C4499" s="405"/>
      <c r="D4499" s="405"/>
      <c r="E4499" s="405" t="s">
        <v>1046</v>
      </c>
      <c r="F4499" s="406">
        <v>10.98</v>
      </c>
      <c r="G4499" s="405" t="s">
        <v>1047</v>
      </c>
      <c r="H4499" s="406">
        <v>0</v>
      </c>
      <c r="I4499" s="405" t="s">
        <v>1048</v>
      </c>
      <c r="J4499" s="406">
        <v>10.98</v>
      </c>
      <c r="K4499"/>
    </row>
    <row r="4500" spans="1:11" ht="15.6" thickBot="1" x14ac:dyDescent="0.35">
      <c r="A4500" s="405"/>
      <c r="B4500" s="405"/>
      <c r="C4500" s="405"/>
      <c r="D4500" s="405"/>
      <c r="E4500" s="405" t="s">
        <v>1049</v>
      </c>
      <c r="F4500" s="406">
        <v>0</v>
      </c>
      <c r="G4500" s="405"/>
      <c r="H4500" s="606"/>
      <c r="I4500" s="606" t="s">
        <v>1050</v>
      </c>
      <c r="J4500" s="406">
        <v>100.42</v>
      </c>
      <c r="K4500"/>
    </row>
    <row r="4501" spans="1:11" ht="15.6" thickTop="1" x14ac:dyDescent="0.3">
      <c r="A4501" s="407"/>
      <c r="B4501" s="407"/>
      <c r="C4501" s="407"/>
      <c r="D4501" s="407"/>
      <c r="E4501" s="407"/>
      <c r="F4501" s="407"/>
      <c r="G4501" s="407"/>
      <c r="H4501" s="407"/>
      <c r="I4501" s="407"/>
      <c r="J4501" s="407"/>
      <c r="K4501" s="407"/>
    </row>
    <row r="4502" spans="1:11" ht="25.5" customHeight="1" x14ac:dyDescent="0.3">
      <c r="A4502" s="382" t="s">
        <v>2240</v>
      </c>
      <c r="B4502" s="312" t="s">
        <v>413</v>
      </c>
      <c r="C4502" s="382" t="s">
        <v>414</v>
      </c>
      <c r="D4502" s="382" t="s">
        <v>415</v>
      </c>
      <c r="E4502" s="586" t="s">
        <v>1029</v>
      </c>
      <c r="F4502" s="586"/>
      <c r="G4502" s="383" t="s">
        <v>416</v>
      </c>
      <c r="H4502" s="312" t="s">
        <v>1030</v>
      </c>
      <c r="I4502" s="312" t="s">
        <v>3016</v>
      </c>
      <c r="J4502" s="312" t="s">
        <v>1031</v>
      </c>
      <c r="K4502" s="312" t="s">
        <v>1032</v>
      </c>
    </row>
    <row r="4503" spans="1:11" ht="26.4" x14ac:dyDescent="0.3">
      <c r="A4503" s="313" t="s">
        <v>1033</v>
      </c>
      <c r="B4503" s="315" t="s">
        <v>3945</v>
      </c>
      <c r="C4503" s="313" t="s">
        <v>395</v>
      </c>
      <c r="D4503" s="313" t="s">
        <v>360</v>
      </c>
      <c r="E4503" s="603" t="s">
        <v>7811</v>
      </c>
      <c r="F4503" s="603"/>
      <c r="G4503" s="314" t="s">
        <v>4</v>
      </c>
      <c r="H4503" s="399">
        <v>1</v>
      </c>
      <c r="I4503" s="316"/>
      <c r="J4503" s="316">
        <v>122.44</v>
      </c>
      <c r="K4503" s="316">
        <v>122.44</v>
      </c>
    </row>
    <row r="4504" spans="1:11" ht="14.25" customHeight="1" x14ac:dyDescent="0.3">
      <c r="A4504" s="408" t="s">
        <v>1034</v>
      </c>
      <c r="B4504" s="409" t="s">
        <v>1113</v>
      </c>
      <c r="C4504" s="408" t="s">
        <v>395</v>
      </c>
      <c r="D4504" s="408" t="s">
        <v>129</v>
      </c>
      <c r="E4504" s="604" t="s">
        <v>7768</v>
      </c>
      <c r="F4504" s="604"/>
      <c r="G4504" s="410" t="s">
        <v>6</v>
      </c>
      <c r="H4504" s="412">
        <v>0.26329999999999998</v>
      </c>
      <c r="I4504" s="412">
        <v>0</v>
      </c>
      <c r="J4504" s="411">
        <v>33.450000000000003</v>
      </c>
      <c r="K4504" s="411">
        <v>8.807385</v>
      </c>
    </row>
    <row r="4505" spans="1:11" ht="26.4" x14ac:dyDescent="0.3">
      <c r="A4505" s="408" t="s">
        <v>1034</v>
      </c>
      <c r="B4505" s="409" t="s">
        <v>1112</v>
      </c>
      <c r="C4505" s="408" t="s">
        <v>395</v>
      </c>
      <c r="D4505" s="408" t="s">
        <v>137</v>
      </c>
      <c r="E4505" s="604" t="s">
        <v>7768</v>
      </c>
      <c r="F4505" s="604"/>
      <c r="G4505" s="410" t="s">
        <v>6</v>
      </c>
      <c r="H4505" s="412">
        <v>0.26329999999999998</v>
      </c>
      <c r="I4505" s="412">
        <v>0</v>
      </c>
      <c r="J4505" s="411">
        <v>40.299999999999997</v>
      </c>
      <c r="K4505" s="411">
        <v>10.610989999999999</v>
      </c>
    </row>
    <row r="4506" spans="1:11" ht="25.5" customHeight="1" x14ac:dyDescent="0.3">
      <c r="A4506" s="400" t="s">
        <v>1038</v>
      </c>
      <c r="B4506" s="401" t="s">
        <v>2535</v>
      </c>
      <c r="C4506" s="400" t="s">
        <v>395</v>
      </c>
      <c r="D4506" s="400" t="s">
        <v>262</v>
      </c>
      <c r="E4506" s="605" t="s">
        <v>1039</v>
      </c>
      <c r="F4506" s="605"/>
      <c r="G4506" s="402" t="s">
        <v>4</v>
      </c>
      <c r="H4506" s="403">
        <v>1.9199999999999998E-2</v>
      </c>
      <c r="I4506" s="403">
        <v>0</v>
      </c>
      <c r="J4506" s="404">
        <v>16.45</v>
      </c>
      <c r="K4506" s="404">
        <v>0.31584000000000001</v>
      </c>
    </row>
    <row r="4507" spans="1:11" ht="25.5" customHeight="1" x14ac:dyDescent="0.3">
      <c r="A4507" s="400" t="s">
        <v>1038</v>
      </c>
      <c r="B4507" s="401" t="s">
        <v>4287</v>
      </c>
      <c r="C4507" s="400" t="s">
        <v>395</v>
      </c>
      <c r="D4507" s="400" t="s">
        <v>4288</v>
      </c>
      <c r="E4507" s="605" t="s">
        <v>1039</v>
      </c>
      <c r="F4507" s="605"/>
      <c r="G4507" s="402" t="s">
        <v>4</v>
      </c>
      <c r="H4507" s="403">
        <v>1</v>
      </c>
      <c r="I4507" s="403">
        <v>0</v>
      </c>
      <c r="J4507" s="404">
        <v>102.71</v>
      </c>
      <c r="K4507" s="404">
        <v>102.71</v>
      </c>
    </row>
    <row r="4508" spans="1:11" ht="15" customHeight="1" x14ac:dyDescent="0.3">
      <c r="A4508" s="405"/>
      <c r="B4508" s="405"/>
      <c r="C4508" s="405"/>
      <c r="D4508" s="405"/>
      <c r="E4508" s="405" t="s">
        <v>1046</v>
      </c>
      <c r="F4508" s="406">
        <v>14.3</v>
      </c>
      <c r="G4508" s="405" t="s">
        <v>1047</v>
      </c>
      <c r="H4508" s="406">
        <v>0</v>
      </c>
      <c r="I4508" s="405" t="s">
        <v>1048</v>
      </c>
      <c r="J4508" s="406">
        <v>14.3</v>
      </c>
      <c r="K4508"/>
    </row>
    <row r="4509" spans="1:11" ht="25.5" customHeight="1" thickBot="1" x14ac:dyDescent="0.35">
      <c r="A4509" s="405"/>
      <c r="B4509" s="405"/>
      <c r="C4509" s="405"/>
      <c r="D4509" s="405"/>
      <c r="E4509" s="405" t="s">
        <v>1049</v>
      </c>
      <c r="F4509" s="406">
        <v>0</v>
      </c>
      <c r="G4509" s="405"/>
      <c r="H4509" s="606"/>
      <c r="I4509" s="606" t="s">
        <v>1050</v>
      </c>
      <c r="J4509" s="406">
        <v>122.44</v>
      </c>
      <c r="K4509"/>
    </row>
    <row r="4510" spans="1:11" ht="25.5" customHeight="1" thickTop="1" x14ac:dyDescent="0.3">
      <c r="A4510" s="407"/>
      <c r="B4510" s="407"/>
      <c r="C4510" s="407"/>
      <c r="D4510" s="407"/>
      <c r="E4510" s="407"/>
      <c r="F4510" s="407"/>
      <c r="G4510" s="407"/>
      <c r="H4510" s="407"/>
      <c r="I4510" s="407"/>
      <c r="J4510" s="407"/>
      <c r="K4510" s="407"/>
    </row>
    <row r="4511" spans="1:11" ht="14.25" customHeight="1" x14ac:dyDescent="0.3">
      <c r="A4511" s="382" t="s">
        <v>2241</v>
      </c>
      <c r="B4511" s="312" t="s">
        <v>413</v>
      </c>
      <c r="C4511" s="382" t="s">
        <v>414</v>
      </c>
      <c r="D4511" s="382" t="s">
        <v>415</v>
      </c>
      <c r="E4511" s="586" t="s">
        <v>1029</v>
      </c>
      <c r="F4511" s="586"/>
      <c r="G4511" s="383" t="s">
        <v>416</v>
      </c>
      <c r="H4511" s="312" t="s">
        <v>1030</v>
      </c>
      <c r="I4511" s="312" t="s">
        <v>3016</v>
      </c>
      <c r="J4511" s="312" t="s">
        <v>1031</v>
      </c>
      <c r="K4511" s="312" t="s">
        <v>1032</v>
      </c>
    </row>
    <row r="4512" spans="1:11" ht="12.75" customHeight="1" x14ac:dyDescent="0.3">
      <c r="A4512" s="313" t="s">
        <v>1033</v>
      </c>
      <c r="B4512" s="315" t="s">
        <v>3946</v>
      </c>
      <c r="C4512" s="313" t="s">
        <v>395</v>
      </c>
      <c r="D4512" s="313" t="s">
        <v>361</v>
      </c>
      <c r="E4512" s="603" t="s">
        <v>7811</v>
      </c>
      <c r="F4512" s="603"/>
      <c r="G4512" s="314" t="s">
        <v>4</v>
      </c>
      <c r="H4512" s="399">
        <v>1</v>
      </c>
      <c r="I4512" s="316"/>
      <c r="J4512" s="316">
        <v>183.84</v>
      </c>
      <c r="K4512" s="316">
        <v>183.84</v>
      </c>
    </row>
    <row r="4513" spans="1:11" ht="26.4" x14ac:dyDescent="0.3">
      <c r="A4513" s="408" t="s">
        <v>1034</v>
      </c>
      <c r="B4513" s="409" t="s">
        <v>1113</v>
      </c>
      <c r="C4513" s="408" t="s">
        <v>395</v>
      </c>
      <c r="D4513" s="408" t="s">
        <v>129</v>
      </c>
      <c r="E4513" s="604" t="s">
        <v>7768</v>
      </c>
      <c r="F4513" s="604"/>
      <c r="G4513" s="410" t="s">
        <v>6</v>
      </c>
      <c r="H4513" s="412">
        <v>0.33979999999999999</v>
      </c>
      <c r="I4513" s="412">
        <v>0</v>
      </c>
      <c r="J4513" s="411">
        <v>33.450000000000003</v>
      </c>
      <c r="K4513" s="411">
        <v>11.36631</v>
      </c>
    </row>
    <row r="4514" spans="1:11" ht="14.25" customHeight="1" x14ac:dyDescent="0.3">
      <c r="A4514" s="408" t="s">
        <v>1034</v>
      </c>
      <c r="B4514" s="409" t="s">
        <v>1112</v>
      </c>
      <c r="C4514" s="408" t="s">
        <v>395</v>
      </c>
      <c r="D4514" s="408" t="s">
        <v>137</v>
      </c>
      <c r="E4514" s="604" t="s">
        <v>7768</v>
      </c>
      <c r="F4514" s="604"/>
      <c r="G4514" s="410" t="s">
        <v>6</v>
      </c>
      <c r="H4514" s="412">
        <v>0.33979999999999999</v>
      </c>
      <c r="I4514" s="412">
        <v>0</v>
      </c>
      <c r="J4514" s="411">
        <v>40.299999999999997</v>
      </c>
      <c r="K4514" s="411">
        <v>13.69394</v>
      </c>
    </row>
    <row r="4515" spans="1:11" ht="25.5" customHeight="1" x14ac:dyDescent="0.3">
      <c r="A4515" s="400" t="s">
        <v>1038</v>
      </c>
      <c r="B4515" s="401" t="s">
        <v>2535</v>
      </c>
      <c r="C4515" s="400" t="s">
        <v>395</v>
      </c>
      <c r="D4515" s="400" t="s">
        <v>262</v>
      </c>
      <c r="E4515" s="605" t="s">
        <v>1039</v>
      </c>
      <c r="F4515" s="605"/>
      <c r="G4515" s="402" t="s">
        <v>4</v>
      </c>
      <c r="H4515" s="403">
        <v>2.4E-2</v>
      </c>
      <c r="I4515" s="403">
        <v>0</v>
      </c>
      <c r="J4515" s="404">
        <v>16.45</v>
      </c>
      <c r="K4515" s="404">
        <v>0.39479999999999998</v>
      </c>
    </row>
    <row r="4516" spans="1:11" ht="15" x14ac:dyDescent="0.3">
      <c r="A4516" s="400" t="s">
        <v>1038</v>
      </c>
      <c r="B4516" s="401" t="s">
        <v>4226</v>
      </c>
      <c r="C4516" s="400" t="s">
        <v>395</v>
      </c>
      <c r="D4516" s="400" t="s">
        <v>4227</v>
      </c>
      <c r="E4516" s="605" t="s">
        <v>1039</v>
      </c>
      <c r="F4516" s="605"/>
      <c r="G4516" s="402" t="s">
        <v>4</v>
      </c>
      <c r="H4516" s="403">
        <v>1</v>
      </c>
      <c r="I4516" s="403">
        <v>0</v>
      </c>
      <c r="J4516" s="404">
        <v>158.38</v>
      </c>
      <c r="K4516" s="404">
        <v>158.38</v>
      </c>
    </row>
    <row r="4517" spans="1:11" ht="15" x14ac:dyDescent="0.3">
      <c r="A4517" s="405"/>
      <c r="B4517" s="405"/>
      <c r="C4517" s="405"/>
      <c r="D4517" s="405"/>
      <c r="E4517" s="405" t="s">
        <v>1046</v>
      </c>
      <c r="F4517" s="406">
        <v>18.45</v>
      </c>
      <c r="G4517" s="405" t="s">
        <v>1047</v>
      </c>
      <c r="H4517" s="406">
        <v>0</v>
      </c>
      <c r="I4517" s="405" t="s">
        <v>1048</v>
      </c>
      <c r="J4517" s="406">
        <v>18.45</v>
      </c>
      <c r="K4517"/>
    </row>
    <row r="4518" spans="1:11" ht="25.5" customHeight="1" thickBot="1" x14ac:dyDescent="0.35">
      <c r="A4518" s="405"/>
      <c r="B4518" s="405"/>
      <c r="C4518" s="405"/>
      <c r="D4518" s="405"/>
      <c r="E4518" s="405" t="s">
        <v>1049</v>
      </c>
      <c r="F4518" s="406">
        <v>0</v>
      </c>
      <c r="G4518" s="405"/>
      <c r="H4518" s="606"/>
      <c r="I4518" s="606" t="s">
        <v>1050</v>
      </c>
      <c r="J4518" s="406">
        <v>183.84</v>
      </c>
      <c r="K4518"/>
    </row>
    <row r="4519" spans="1:11" ht="25.5" customHeight="1" thickTop="1" x14ac:dyDescent="0.3">
      <c r="A4519" s="407"/>
      <c r="B4519" s="407"/>
      <c r="C4519" s="407"/>
      <c r="D4519" s="407"/>
      <c r="E4519" s="407"/>
      <c r="F4519" s="407"/>
      <c r="G4519" s="407"/>
      <c r="H4519" s="407"/>
      <c r="I4519" s="407"/>
      <c r="J4519" s="407"/>
      <c r="K4519" s="407"/>
    </row>
    <row r="4520" spans="1:11" ht="25.5" customHeight="1" x14ac:dyDescent="0.3">
      <c r="A4520" s="382" t="s">
        <v>2242</v>
      </c>
      <c r="B4520" s="312" t="s">
        <v>413</v>
      </c>
      <c r="C4520" s="382" t="s">
        <v>414</v>
      </c>
      <c r="D4520" s="382" t="s">
        <v>415</v>
      </c>
      <c r="E4520" s="586" t="s">
        <v>1029</v>
      </c>
      <c r="F4520" s="586"/>
      <c r="G4520" s="383" t="s">
        <v>416</v>
      </c>
      <c r="H4520" s="312" t="s">
        <v>1030</v>
      </c>
      <c r="I4520" s="312" t="s">
        <v>3016</v>
      </c>
      <c r="J4520" s="312" t="s">
        <v>1031</v>
      </c>
      <c r="K4520" s="312" t="s">
        <v>1032</v>
      </c>
    </row>
    <row r="4521" spans="1:11" ht="12.75" customHeight="1" x14ac:dyDescent="0.3">
      <c r="A4521" s="313" t="s">
        <v>1033</v>
      </c>
      <c r="B4521" s="315" t="s">
        <v>2202</v>
      </c>
      <c r="C4521" s="313" t="s">
        <v>575</v>
      </c>
      <c r="D4521" s="313" t="s">
        <v>1964</v>
      </c>
      <c r="E4521" s="603" t="s">
        <v>1319</v>
      </c>
      <c r="F4521" s="603"/>
      <c r="G4521" s="314" t="s">
        <v>4</v>
      </c>
      <c r="H4521" s="399">
        <v>1</v>
      </c>
      <c r="I4521" s="316"/>
      <c r="J4521" s="316">
        <v>856.55</v>
      </c>
      <c r="K4521" s="316">
        <v>856.55</v>
      </c>
    </row>
    <row r="4522" spans="1:11" ht="14.25" customHeight="1" x14ac:dyDescent="0.3">
      <c r="A4522" s="408" t="s">
        <v>1034</v>
      </c>
      <c r="B4522" s="409" t="s">
        <v>1113</v>
      </c>
      <c r="C4522" s="408" t="s">
        <v>395</v>
      </c>
      <c r="D4522" s="408" t="s">
        <v>129</v>
      </c>
      <c r="E4522" s="604" t="s">
        <v>7768</v>
      </c>
      <c r="F4522" s="604"/>
      <c r="G4522" s="410" t="s">
        <v>6</v>
      </c>
      <c r="H4522" s="412">
        <v>0.81799999999999995</v>
      </c>
      <c r="I4522" s="412">
        <v>0</v>
      </c>
      <c r="J4522" s="411">
        <v>33.450000000000003</v>
      </c>
      <c r="K4522" s="411">
        <v>27.362100000000002</v>
      </c>
    </row>
    <row r="4523" spans="1:11" ht="26.4" x14ac:dyDescent="0.3">
      <c r="A4523" s="408" t="s">
        <v>1034</v>
      </c>
      <c r="B4523" s="409" t="s">
        <v>1112</v>
      </c>
      <c r="C4523" s="408" t="s">
        <v>395</v>
      </c>
      <c r="D4523" s="408" t="s">
        <v>137</v>
      </c>
      <c r="E4523" s="604" t="s">
        <v>7768</v>
      </c>
      <c r="F4523" s="604"/>
      <c r="G4523" s="410" t="s">
        <v>6</v>
      </c>
      <c r="H4523" s="412">
        <v>0.81799999999999995</v>
      </c>
      <c r="I4523" s="412">
        <v>0</v>
      </c>
      <c r="J4523" s="411">
        <v>40.299999999999997</v>
      </c>
      <c r="K4523" s="411">
        <v>32.965400000000002</v>
      </c>
    </row>
    <row r="4524" spans="1:11" ht="14.25" customHeight="1" x14ac:dyDescent="0.3">
      <c r="A4524" s="400" t="s">
        <v>1038</v>
      </c>
      <c r="B4524" s="401" t="s">
        <v>2535</v>
      </c>
      <c r="C4524" s="400" t="s">
        <v>395</v>
      </c>
      <c r="D4524" s="400" t="s">
        <v>262</v>
      </c>
      <c r="E4524" s="605" t="s">
        <v>1039</v>
      </c>
      <c r="F4524" s="605"/>
      <c r="G4524" s="402" t="s">
        <v>4</v>
      </c>
      <c r="H4524" s="403">
        <v>3.7999999999999999E-2</v>
      </c>
      <c r="I4524" s="403">
        <v>0</v>
      </c>
      <c r="J4524" s="404">
        <v>16.45</v>
      </c>
      <c r="K4524" s="404">
        <v>0.62509999999999999</v>
      </c>
    </row>
    <row r="4525" spans="1:11" ht="25.5" customHeight="1" x14ac:dyDescent="0.3">
      <c r="A4525" s="400" t="s">
        <v>1038</v>
      </c>
      <c r="B4525" s="401" t="s">
        <v>2536</v>
      </c>
      <c r="C4525" s="400" t="s">
        <v>575</v>
      </c>
      <c r="D4525" s="400" t="s">
        <v>2537</v>
      </c>
      <c r="E4525" s="605" t="s">
        <v>1039</v>
      </c>
      <c r="F4525" s="605"/>
      <c r="G4525" s="402" t="s">
        <v>4</v>
      </c>
      <c r="H4525" s="403">
        <v>1</v>
      </c>
      <c r="I4525" s="403">
        <v>0</v>
      </c>
      <c r="J4525" s="404">
        <v>795.6</v>
      </c>
      <c r="K4525" s="404">
        <v>795.6</v>
      </c>
    </row>
    <row r="4526" spans="1:11" ht="25.5" customHeight="1" x14ac:dyDescent="0.3">
      <c r="A4526" s="405"/>
      <c r="B4526" s="405"/>
      <c r="C4526" s="405"/>
      <c r="D4526" s="405"/>
      <c r="E4526" s="405" t="s">
        <v>1046</v>
      </c>
      <c r="F4526" s="406">
        <v>44.42</v>
      </c>
      <c r="G4526" s="405" t="s">
        <v>1047</v>
      </c>
      <c r="H4526" s="406">
        <v>0</v>
      </c>
      <c r="I4526" s="405" t="s">
        <v>1048</v>
      </c>
      <c r="J4526" s="406">
        <v>44.42</v>
      </c>
      <c r="K4526"/>
    </row>
    <row r="4527" spans="1:11" ht="15.6" thickBot="1" x14ac:dyDescent="0.35">
      <c r="A4527" s="405"/>
      <c r="B4527" s="405"/>
      <c r="C4527" s="405"/>
      <c r="D4527" s="405"/>
      <c r="E4527" s="405" t="s">
        <v>1049</v>
      </c>
      <c r="F4527" s="406">
        <v>0</v>
      </c>
      <c r="G4527" s="405"/>
      <c r="H4527" s="606"/>
      <c r="I4527" s="606" t="s">
        <v>1050</v>
      </c>
      <c r="J4527" s="406">
        <v>856.55</v>
      </c>
      <c r="K4527"/>
    </row>
    <row r="4528" spans="1:11" ht="25.5" customHeight="1" thickTop="1" x14ac:dyDescent="0.3">
      <c r="A4528" s="407"/>
      <c r="B4528" s="407"/>
      <c r="C4528" s="407"/>
      <c r="D4528" s="407"/>
      <c r="E4528" s="407"/>
      <c r="F4528" s="407"/>
      <c r="G4528" s="407"/>
      <c r="H4528" s="407"/>
      <c r="I4528" s="407"/>
      <c r="J4528" s="407"/>
      <c r="K4528" s="407"/>
    </row>
    <row r="4529" spans="1:11" ht="15" x14ac:dyDescent="0.3">
      <c r="A4529" s="382" t="s">
        <v>2243</v>
      </c>
      <c r="B4529" s="312" t="s">
        <v>413</v>
      </c>
      <c r="C4529" s="382" t="s">
        <v>414</v>
      </c>
      <c r="D4529" s="382" t="s">
        <v>415</v>
      </c>
      <c r="E4529" s="586" t="s">
        <v>1029</v>
      </c>
      <c r="F4529" s="586"/>
      <c r="G4529" s="383" t="s">
        <v>416</v>
      </c>
      <c r="H4529" s="312" t="s">
        <v>1030</v>
      </c>
      <c r="I4529" s="312" t="s">
        <v>3016</v>
      </c>
      <c r="J4529" s="312" t="s">
        <v>1031</v>
      </c>
      <c r="K4529" s="312" t="s">
        <v>1032</v>
      </c>
    </row>
    <row r="4530" spans="1:11" ht="26.4" x14ac:dyDescent="0.3">
      <c r="A4530" s="313" t="s">
        <v>1033</v>
      </c>
      <c r="B4530" s="315" t="s">
        <v>3947</v>
      </c>
      <c r="C4530" s="313" t="s">
        <v>395</v>
      </c>
      <c r="D4530" s="313" t="s">
        <v>6051</v>
      </c>
      <c r="E4530" s="603" t="s">
        <v>7811</v>
      </c>
      <c r="F4530" s="603"/>
      <c r="G4530" s="314" t="s">
        <v>4</v>
      </c>
      <c r="H4530" s="399">
        <v>1</v>
      </c>
      <c r="I4530" s="316"/>
      <c r="J4530" s="316">
        <v>414.76</v>
      </c>
      <c r="K4530" s="316">
        <v>414.76</v>
      </c>
    </row>
    <row r="4531" spans="1:11" ht="15" customHeight="1" x14ac:dyDescent="0.3">
      <c r="A4531" s="408" t="s">
        <v>1034</v>
      </c>
      <c r="B4531" s="409" t="s">
        <v>1113</v>
      </c>
      <c r="C4531" s="408" t="s">
        <v>395</v>
      </c>
      <c r="D4531" s="408" t="s">
        <v>129</v>
      </c>
      <c r="E4531" s="604" t="s">
        <v>7768</v>
      </c>
      <c r="F4531" s="604"/>
      <c r="G4531" s="410" t="s">
        <v>6</v>
      </c>
      <c r="H4531" s="412">
        <v>0.26329999999999998</v>
      </c>
      <c r="I4531" s="412">
        <v>0</v>
      </c>
      <c r="J4531" s="411">
        <v>33.450000000000003</v>
      </c>
      <c r="K4531" s="411">
        <v>8.807385</v>
      </c>
    </row>
    <row r="4532" spans="1:11" ht="12.75" customHeight="1" x14ac:dyDescent="0.3">
      <c r="A4532" s="408" t="s">
        <v>1034</v>
      </c>
      <c r="B4532" s="409" t="s">
        <v>1112</v>
      </c>
      <c r="C4532" s="408" t="s">
        <v>395</v>
      </c>
      <c r="D4532" s="408" t="s">
        <v>137</v>
      </c>
      <c r="E4532" s="604" t="s">
        <v>7768</v>
      </c>
      <c r="F4532" s="604"/>
      <c r="G4532" s="410" t="s">
        <v>6</v>
      </c>
      <c r="H4532" s="412">
        <v>0.26329999999999998</v>
      </c>
      <c r="I4532" s="412">
        <v>0</v>
      </c>
      <c r="J4532" s="411">
        <v>40.299999999999997</v>
      </c>
      <c r="K4532" s="411">
        <v>10.610989999999999</v>
      </c>
    </row>
    <row r="4533" spans="1:11" ht="15" x14ac:dyDescent="0.3">
      <c r="A4533" s="400" t="s">
        <v>1038</v>
      </c>
      <c r="B4533" s="401" t="s">
        <v>2535</v>
      </c>
      <c r="C4533" s="400" t="s">
        <v>395</v>
      </c>
      <c r="D4533" s="400" t="s">
        <v>262</v>
      </c>
      <c r="E4533" s="605" t="s">
        <v>1039</v>
      </c>
      <c r="F4533" s="605"/>
      <c r="G4533" s="402" t="s">
        <v>4</v>
      </c>
      <c r="H4533" s="403">
        <v>1.9199999999999998E-2</v>
      </c>
      <c r="I4533" s="403">
        <v>0</v>
      </c>
      <c r="J4533" s="404">
        <v>16.45</v>
      </c>
      <c r="K4533" s="404">
        <v>0.31584000000000001</v>
      </c>
    </row>
    <row r="4534" spans="1:11" ht="14.25" customHeight="1" x14ac:dyDescent="0.3">
      <c r="A4534" s="400" t="s">
        <v>1038</v>
      </c>
      <c r="B4534" s="401" t="s">
        <v>4247</v>
      </c>
      <c r="C4534" s="400" t="s">
        <v>395</v>
      </c>
      <c r="D4534" s="400" t="s">
        <v>4248</v>
      </c>
      <c r="E4534" s="605" t="s">
        <v>1039</v>
      </c>
      <c r="F4534" s="605"/>
      <c r="G4534" s="402" t="s">
        <v>4</v>
      </c>
      <c r="H4534" s="403">
        <v>1</v>
      </c>
      <c r="I4534" s="403">
        <v>0</v>
      </c>
      <c r="J4534" s="404">
        <v>395.03</v>
      </c>
      <c r="K4534" s="404">
        <v>395.03</v>
      </c>
    </row>
    <row r="4535" spans="1:11" ht="25.5" customHeight="1" x14ac:dyDescent="0.3">
      <c r="A4535" s="405"/>
      <c r="B4535" s="405"/>
      <c r="C4535" s="405"/>
      <c r="D4535" s="405"/>
      <c r="E4535" s="405" t="s">
        <v>1046</v>
      </c>
      <c r="F4535" s="406">
        <v>14.3</v>
      </c>
      <c r="G4535" s="405" t="s">
        <v>1047</v>
      </c>
      <c r="H4535" s="406">
        <v>0</v>
      </c>
      <c r="I4535" s="405" t="s">
        <v>1048</v>
      </c>
      <c r="J4535" s="406">
        <v>14.3</v>
      </c>
      <c r="K4535"/>
    </row>
    <row r="4536" spans="1:11" ht="38.25" customHeight="1" thickBot="1" x14ac:dyDescent="0.35">
      <c r="A4536" s="405"/>
      <c r="B4536" s="405"/>
      <c r="C4536" s="405"/>
      <c r="D4536" s="405"/>
      <c r="E4536" s="405" t="s">
        <v>1049</v>
      </c>
      <c r="F4536" s="406">
        <v>0</v>
      </c>
      <c r="G4536" s="405"/>
      <c r="H4536" s="606"/>
      <c r="I4536" s="606" t="s">
        <v>1050</v>
      </c>
      <c r="J4536" s="406">
        <v>414.76</v>
      </c>
      <c r="K4536"/>
    </row>
    <row r="4537" spans="1:11" ht="15.6" thickTop="1" x14ac:dyDescent="0.3">
      <c r="A4537" s="407"/>
      <c r="B4537" s="407"/>
      <c r="C4537" s="407"/>
      <c r="D4537" s="407"/>
      <c r="E4537" s="407"/>
      <c r="F4537" s="407"/>
      <c r="G4537" s="407"/>
      <c r="H4537" s="407"/>
      <c r="I4537" s="407"/>
      <c r="J4537" s="407"/>
      <c r="K4537" s="407"/>
    </row>
    <row r="4538" spans="1:11" ht="12.75" customHeight="1" x14ac:dyDescent="0.3">
      <c r="A4538" s="382" t="s">
        <v>3328</v>
      </c>
      <c r="B4538" s="312" t="s">
        <v>413</v>
      </c>
      <c r="C4538" s="382" t="s">
        <v>414</v>
      </c>
      <c r="D4538" s="382" t="s">
        <v>415</v>
      </c>
      <c r="E4538" s="586" t="s">
        <v>1029</v>
      </c>
      <c r="F4538" s="586"/>
      <c r="G4538" s="383" t="s">
        <v>416</v>
      </c>
      <c r="H4538" s="312" t="s">
        <v>1030</v>
      </c>
      <c r="I4538" s="312" t="s">
        <v>3016</v>
      </c>
      <c r="J4538" s="312" t="s">
        <v>1031</v>
      </c>
      <c r="K4538" s="312" t="s">
        <v>1032</v>
      </c>
    </row>
    <row r="4539" spans="1:11" ht="25.5" customHeight="1" x14ac:dyDescent="0.3">
      <c r="A4539" s="313" t="s">
        <v>1033</v>
      </c>
      <c r="B4539" s="315" t="s">
        <v>3948</v>
      </c>
      <c r="C4539" s="313" t="s">
        <v>395</v>
      </c>
      <c r="D4539" s="313" t="s">
        <v>365</v>
      </c>
      <c r="E4539" s="603" t="s">
        <v>7811</v>
      </c>
      <c r="F4539" s="603"/>
      <c r="G4539" s="314" t="s">
        <v>4</v>
      </c>
      <c r="H4539" s="399">
        <v>1</v>
      </c>
      <c r="I4539" s="316"/>
      <c r="J4539" s="316">
        <v>198.38</v>
      </c>
      <c r="K4539" s="316">
        <v>198.38</v>
      </c>
    </row>
    <row r="4540" spans="1:11" ht="25.5" customHeight="1" x14ac:dyDescent="0.3">
      <c r="A4540" s="408" t="s">
        <v>1034</v>
      </c>
      <c r="B4540" s="409" t="s">
        <v>1113</v>
      </c>
      <c r="C4540" s="408" t="s">
        <v>395</v>
      </c>
      <c r="D4540" s="408" t="s">
        <v>129</v>
      </c>
      <c r="E4540" s="604" t="s">
        <v>7768</v>
      </c>
      <c r="F4540" s="604"/>
      <c r="G4540" s="410" t="s">
        <v>6</v>
      </c>
      <c r="H4540" s="412">
        <v>0.10100000000000001</v>
      </c>
      <c r="I4540" s="412">
        <v>0</v>
      </c>
      <c r="J4540" s="411">
        <v>33.450000000000003</v>
      </c>
      <c r="K4540" s="411">
        <v>3.37845</v>
      </c>
    </row>
    <row r="4541" spans="1:11" ht="26.4" x14ac:dyDescent="0.3">
      <c r="A4541" s="408" t="s">
        <v>1034</v>
      </c>
      <c r="B4541" s="409" t="s">
        <v>1112</v>
      </c>
      <c r="C4541" s="408" t="s">
        <v>395</v>
      </c>
      <c r="D4541" s="408" t="s">
        <v>137</v>
      </c>
      <c r="E4541" s="604" t="s">
        <v>7768</v>
      </c>
      <c r="F4541" s="604"/>
      <c r="G4541" s="410" t="s">
        <v>6</v>
      </c>
      <c r="H4541" s="412">
        <v>0.10100000000000001</v>
      </c>
      <c r="I4541" s="412">
        <v>0</v>
      </c>
      <c r="J4541" s="411">
        <v>40.299999999999997</v>
      </c>
      <c r="K4541" s="411">
        <v>4.0702999999999996</v>
      </c>
    </row>
    <row r="4542" spans="1:11" ht="15" customHeight="1" x14ac:dyDescent="0.3">
      <c r="A4542" s="400" t="s">
        <v>1038</v>
      </c>
      <c r="B4542" s="401" t="s">
        <v>2535</v>
      </c>
      <c r="C4542" s="400" t="s">
        <v>395</v>
      </c>
      <c r="D4542" s="400" t="s">
        <v>262</v>
      </c>
      <c r="E4542" s="605" t="s">
        <v>1039</v>
      </c>
      <c r="F4542" s="605"/>
      <c r="G4542" s="402" t="s">
        <v>4</v>
      </c>
      <c r="H4542" s="403">
        <v>8.3999999999999995E-3</v>
      </c>
      <c r="I4542" s="403">
        <v>0</v>
      </c>
      <c r="J4542" s="404">
        <v>16.45</v>
      </c>
      <c r="K4542" s="404">
        <v>0.13818</v>
      </c>
    </row>
    <row r="4543" spans="1:11" ht="26.4" x14ac:dyDescent="0.3">
      <c r="A4543" s="400" t="s">
        <v>1038</v>
      </c>
      <c r="B4543" s="401" t="s">
        <v>4371</v>
      </c>
      <c r="C4543" s="400" t="s">
        <v>395</v>
      </c>
      <c r="D4543" s="400" t="s">
        <v>4372</v>
      </c>
      <c r="E4543" s="605" t="s">
        <v>1039</v>
      </c>
      <c r="F4543" s="605"/>
      <c r="G4543" s="402" t="s">
        <v>4</v>
      </c>
      <c r="H4543" s="403">
        <v>1</v>
      </c>
      <c r="I4543" s="403">
        <v>0</v>
      </c>
      <c r="J4543" s="404">
        <v>190.79</v>
      </c>
      <c r="K4543" s="404">
        <v>190.79</v>
      </c>
    </row>
    <row r="4544" spans="1:11" ht="14.25" customHeight="1" x14ac:dyDescent="0.3">
      <c r="A4544" s="405"/>
      <c r="B4544" s="405"/>
      <c r="C4544" s="405"/>
      <c r="D4544" s="405"/>
      <c r="E4544" s="405" t="s">
        <v>1046</v>
      </c>
      <c r="F4544" s="406">
        <v>5.49</v>
      </c>
      <c r="G4544" s="405" t="s">
        <v>1047</v>
      </c>
      <c r="H4544" s="406">
        <v>0</v>
      </c>
      <c r="I4544" s="405" t="s">
        <v>1048</v>
      </c>
      <c r="J4544" s="406">
        <v>5.49</v>
      </c>
      <c r="K4544"/>
    </row>
    <row r="4545" spans="1:11" ht="14.25" customHeight="1" thickBot="1" x14ac:dyDescent="0.35">
      <c r="A4545" s="405"/>
      <c r="B4545" s="405"/>
      <c r="C4545" s="405"/>
      <c r="D4545" s="405"/>
      <c r="E4545" s="405" t="s">
        <v>1049</v>
      </c>
      <c r="F4545" s="406">
        <v>0</v>
      </c>
      <c r="G4545" s="405"/>
      <c r="H4545" s="606"/>
      <c r="I4545" s="606" t="s">
        <v>1050</v>
      </c>
      <c r="J4545" s="406">
        <v>198.38</v>
      </c>
      <c r="K4545"/>
    </row>
    <row r="4546" spans="1:11" ht="25.5" customHeight="1" thickTop="1" x14ac:dyDescent="0.3">
      <c r="A4546" s="407"/>
      <c r="B4546" s="407"/>
      <c r="C4546" s="407"/>
      <c r="D4546" s="407"/>
      <c r="E4546" s="407"/>
      <c r="F4546" s="407"/>
      <c r="G4546" s="407"/>
      <c r="H4546" s="407"/>
      <c r="I4546" s="407"/>
      <c r="J4546" s="407"/>
      <c r="K4546" s="407"/>
    </row>
    <row r="4547" spans="1:11" ht="25.5" customHeight="1" x14ac:dyDescent="0.3">
      <c r="A4547" s="382" t="s">
        <v>2244</v>
      </c>
      <c r="B4547" s="312" t="s">
        <v>413</v>
      </c>
      <c r="C4547" s="382" t="s">
        <v>414</v>
      </c>
      <c r="D4547" s="382" t="s">
        <v>415</v>
      </c>
      <c r="E4547" s="586" t="s">
        <v>1029</v>
      </c>
      <c r="F4547" s="586"/>
      <c r="G4547" s="383" t="s">
        <v>416</v>
      </c>
      <c r="H4547" s="312" t="s">
        <v>1030</v>
      </c>
      <c r="I4547" s="312" t="s">
        <v>3016</v>
      </c>
      <c r="J4547" s="312" t="s">
        <v>1031</v>
      </c>
      <c r="K4547" s="312" t="s">
        <v>1032</v>
      </c>
    </row>
    <row r="4548" spans="1:11" ht="25.5" customHeight="1" x14ac:dyDescent="0.3">
      <c r="A4548" s="313" t="s">
        <v>1033</v>
      </c>
      <c r="B4548" s="315" t="s">
        <v>2193</v>
      </c>
      <c r="C4548" s="313" t="s">
        <v>439</v>
      </c>
      <c r="D4548" s="313" t="s">
        <v>2059</v>
      </c>
      <c r="E4548" s="603" t="s">
        <v>781</v>
      </c>
      <c r="F4548" s="603"/>
      <c r="G4548" s="314" t="s">
        <v>422</v>
      </c>
      <c r="H4548" s="399">
        <v>1</v>
      </c>
      <c r="I4548" s="316"/>
      <c r="J4548" s="316">
        <v>55.79</v>
      </c>
      <c r="K4548" s="316">
        <v>55.79</v>
      </c>
    </row>
    <row r="4549" spans="1:11" ht="26.4" x14ac:dyDescent="0.3">
      <c r="A4549" s="408" t="s">
        <v>1034</v>
      </c>
      <c r="B4549" s="409" t="s">
        <v>2516</v>
      </c>
      <c r="C4549" s="408" t="s">
        <v>439</v>
      </c>
      <c r="D4549" s="408" t="s">
        <v>2517</v>
      </c>
      <c r="E4549" s="604" t="s">
        <v>781</v>
      </c>
      <c r="F4549" s="604"/>
      <c r="G4549" s="410" t="s">
        <v>1109</v>
      </c>
      <c r="H4549" s="412">
        <v>0.4583333</v>
      </c>
      <c r="I4549" s="412">
        <v>0</v>
      </c>
      <c r="J4549" s="411">
        <v>32.799999999999997</v>
      </c>
      <c r="K4549" s="411">
        <v>15.0333322</v>
      </c>
    </row>
    <row r="4550" spans="1:11" ht="25.5" customHeight="1" x14ac:dyDescent="0.3">
      <c r="A4550" s="400" t="s">
        <v>1038</v>
      </c>
      <c r="B4550" s="401" t="s">
        <v>6498</v>
      </c>
      <c r="C4550" s="400" t="s">
        <v>439</v>
      </c>
      <c r="D4550" s="400" t="s">
        <v>2518</v>
      </c>
      <c r="E4550" s="605" t="s">
        <v>1039</v>
      </c>
      <c r="F4550" s="605"/>
      <c r="G4550" s="402" t="s">
        <v>422</v>
      </c>
      <c r="H4550" s="403">
        <v>1</v>
      </c>
      <c r="I4550" s="403">
        <v>0</v>
      </c>
      <c r="J4550" s="404">
        <v>40.67</v>
      </c>
      <c r="K4550" s="404">
        <v>40.67</v>
      </c>
    </row>
    <row r="4551" spans="1:11" ht="25.5" customHeight="1" x14ac:dyDescent="0.3">
      <c r="A4551" s="400" t="s">
        <v>1038</v>
      </c>
      <c r="B4551" s="401" t="s">
        <v>7691</v>
      </c>
      <c r="C4551" s="400" t="s">
        <v>439</v>
      </c>
      <c r="D4551" s="400" t="s">
        <v>2519</v>
      </c>
      <c r="E4551" s="605" t="s">
        <v>1039</v>
      </c>
      <c r="F4551" s="605"/>
      <c r="G4551" s="402" t="s">
        <v>437</v>
      </c>
      <c r="H4551" s="403">
        <v>0.6283185</v>
      </c>
      <c r="I4551" s="403">
        <v>0</v>
      </c>
      <c r="J4551" s="404">
        <v>0.14000000000000001</v>
      </c>
      <c r="K4551" s="404">
        <v>8.7964600000000004E-2</v>
      </c>
    </row>
    <row r="4552" spans="1:11" ht="14.25" customHeight="1" x14ac:dyDescent="0.3">
      <c r="A4552" s="405"/>
      <c r="B4552" s="405"/>
      <c r="C4552" s="405"/>
      <c r="D4552" s="405"/>
      <c r="E4552" s="405" t="s">
        <v>1046</v>
      </c>
      <c r="F4552" s="406">
        <v>11.85</v>
      </c>
      <c r="G4552" s="405" t="s">
        <v>1047</v>
      </c>
      <c r="H4552" s="406">
        <v>0</v>
      </c>
      <c r="I4552" s="405" t="s">
        <v>1048</v>
      </c>
      <c r="J4552" s="406">
        <v>11.85</v>
      </c>
      <c r="K4552"/>
    </row>
    <row r="4553" spans="1:11" ht="14.25" customHeight="1" thickBot="1" x14ac:dyDescent="0.35">
      <c r="A4553" s="405"/>
      <c r="B4553" s="405"/>
      <c r="C4553" s="405"/>
      <c r="D4553" s="405"/>
      <c r="E4553" s="405" t="s">
        <v>1049</v>
      </c>
      <c r="F4553" s="406">
        <v>0</v>
      </c>
      <c r="G4553" s="405"/>
      <c r="H4553" s="606"/>
      <c r="I4553" s="606" t="s">
        <v>1050</v>
      </c>
      <c r="J4553" s="406">
        <v>55.79</v>
      </c>
      <c r="K4553"/>
    </row>
    <row r="4554" spans="1:11" ht="15" customHeight="1" thickTop="1" x14ac:dyDescent="0.3">
      <c r="A4554" s="407"/>
      <c r="B4554" s="407"/>
      <c r="C4554" s="407"/>
      <c r="D4554" s="407"/>
      <c r="E4554" s="407"/>
      <c r="F4554" s="407"/>
      <c r="G4554" s="407"/>
      <c r="H4554" s="407"/>
      <c r="I4554" s="407"/>
      <c r="J4554" s="407"/>
      <c r="K4554" s="407"/>
    </row>
    <row r="4555" spans="1:11" ht="45" customHeight="1" x14ac:dyDescent="0.3">
      <c r="A4555" s="382" t="s">
        <v>2249</v>
      </c>
      <c r="B4555" s="312" t="s">
        <v>413</v>
      </c>
      <c r="C4555" s="382" t="s">
        <v>414</v>
      </c>
      <c r="D4555" s="382" t="s">
        <v>415</v>
      </c>
      <c r="E4555" s="586" t="s">
        <v>1029</v>
      </c>
      <c r="F4555" s="586"/>
      <c r="G4555" s="383" t="s">
        <v>416</v>
      </c>
      <c r="H4555" s="312" t="s">
        <v>1030</v>
      </c>
      <c r="I4555" s="312" t="s">
        <v>3016</v>
      </c>
      <c r="J4555" s="312" t="s">
        <v>1031</v>
      </c>
      <c r="K4555" s="312" t="s">
        <v>1032</v>
      </c>
    </row>
    <row r="4556" spans="1:11" ht="25.5" customHeight="1" x14ac:dyDescent="0.3">
      <c r="A4556" s="313" t="s">
        <v>1033</v>
      </c>
      <c r="B4556" s="315" t="s">
        <v>2194</v>
      </c>
      <c r="C4556" s="313" t="s">
        <v>420</v>
      </c>
      <c r="D4556" s="313" t="s">
        <v>1940</v>
      </c>
      <c r="E4556" s="603" t="s">
        <v>1261</v>
      </c>
      <c r="F4556" s="603"/>
      <c r="G4556" s="314" t="s">
        <v>422</v>
      </c>
      <c r="H4556" s="399">
        <v>1</v>
      </c>
      <c r="I4556" s="316"/>
      <c r="J4556" s="316">
        <v>82.48</v>
      </c>
      <c r="K4556" s="316">
        <v>82.48</v>
      </c>
    </row>
    <row r="4557" spans="1:11" ht="38.25" customHeight="1" x14ac:dyDescent="0.3">
      <c r="A4557" s="408" t="s">
        <v>1034</v>
      </c>
      <c r="B4557" s="409" t="s">
        <v>1071</v>
      </c>
      <c r="C4557" s="408" t="s">
        <v>420</v>
      </c>
      <c r="D4557" s="408" t="s">
        <v>1072</v>
      </c>
      <c r="E4557" s="604" t="s">
        <v>1069</v>
      </c>
      <c r="F4557" s="604"/>
      <c r="G4557" s="410" t="s">
        <v>1070</v>
      </c>
      <c r="H4557" s="412">
        <v>0.5</v>
      </c>
      <c r="I4557" s="412">
        <v>0</v>
      </c>
      <c r="J4557" s="411">
        <v>3.95</v>
      </c>
      <c r="K4557" s="411">
        <v>1.9750000000000001</v>
      </c>
    </row>
    <row r="4558" spans="1:11" ht="15" customHeight="1" x14ac:dyDescent="0.3">
      <c r="A4558" s="408" t="s">
        <v>1034</v>
      </c>
      <c r="B4558" s="409" t="s">
        <v>1180</v>
      </c>
      <c r="C4558" s="408" t="s">
        <v>420</v>
      </c>
      <c r="D4558" s="408" t="s">
        <v>1181</v>
      </c>
      <c r="E4558" s="604" t="s">
        <v>1069</v>
      </c>
      <c r="F4558" s="604"/>
      <c r="G4558" s="410" t="s">
        <v>1070</v>
      </c>
      <c r="H4558" s="412">
        <v>0.5</v>
      </c>
      <c r="I4558" s="412">
        <v>0</v>
      </c>
      <c r="J4558" s="411">
        <v>3.91</v>
      </c>
      <c r="K4558" s="411">
        <v>1.9550000000000001</v>
      </c>
    </row>
    <row r="4559" spans="1:11" ht="25.5" customHeight="1" x14ac:dyDescent="0.3">
      <c r="A4559" s="400" t="s">
        <v>1038</v>
      </c>
      <c r="B4559" s="401" t="s">
        <v>1262</v>
      </c>
      <c r="C4559" s="400" t="s">
        <v>420</v>
      </c>
      <c r="D4559" s="400" t="s">
        <v>1263</v>
      </c>
      <c r="E4559" s="605" t="s">
        <v>1039</v>
      </c>
      <c r="F4559" s="605"/>
      <c r="G4559" s="402" t="s">
        <v>437</v>
      </c>
      <c r="H4559" s="403">
        <v>0.5</v>
      </c>
      <c r="I4559" s="403">
        <v>0</v>
      </c>
      <c r="J4559" s="404">
        <v>0.31</v>
      </c>
      <c r="K4559" s="404">
        <v>0.155</v>
      </c>
    </row>
    <row r="4560" spans="1:11" ht="25.5" customHeight="1" x14ac:dyDescent="0.3">
      <c r="A4560" s="400" t="s">
        <v>1038</v>
      </c>
      <c r="B4560" s="401" t="s">
        <v>6480</v>
      </c>
      <c r="C4560" s="400" t="s">
        <v>420</v>
      </c>
      <c r="D4560" s="400" t="s">
        <v>6481</v>
      </c>
      <c r="E4560" s="605" t="s">
        <v>1053</v>
      </c>
      <c r="F4560" s="605"/>
      <c r="G4560" s="402" t="s">
        <v>1070</v>
      </c>
      <c r="H4560" s="403">
        <v>0.5</v>
      </c>
      <c r="I4560" s="403">
        <v>0</v>
      </c>
      <c r="J4560" s="404">
        <v>20.45</v>
      </c>
      <c r="K4560" s="404">
        <v>10.225</v>
      </c>
    </row>
    <row r="4561" spans="1:11" ht="15" x14ac:dyDescent="0.3">
      <c r="A4561" s="400" t="s">
        <v>1038</v>
      </c>
      <c r="B4561" s="401" t="s">
        <v>6251</v>
      </c>
      <c r="C4561" s="400" t="s">
        <v>420</v>
      </c>
      <c r="D4561" s="400" t="s">
        <v>6252</v>
      </c>
      <c r="E4561" s="605" t="s">
        <v>1053</v>
      </c>
      <c r="F4561" s="605"/>
      <c r="G4561" s="402" t="s">
        <v>1070</v>
      </c>
      <c r="H4561" s="403">
        <v>0.5</v>
      </c>
      <c r="I4561" s="403">
        <v>0</v>
      </c>
      <c r="J4561" s="404">
        <v>15.59</v>
      </c>
      <c r="K4561" s="404">
        <v>7.7949999999999999</v>
      </c>
    </row>
    <row r="4562" spans="1:11" ht="14.25" customHeight="1" x14ac:dyDescent="0.3">
      <c r="A4562" s="400" t="s">
        <v>1038</v>
      </c>
      <c r="B4562" s="401" t="s">
        <v>6856</v>
      </c>
      <c r="C4562" s="400" t="s">
        <v>420</v>
      </c>
      <c r="D4562" s="400" t="s">
        <v>6857</v>
      </c>
      <c r="E4562" s="605" t="s">
        <v>1039</v>
      </c>
      <c r="F4562" s="605"/>
      <c r="G4562" s="402" t="s">
        <v>422</v>
      </c>
      <c r="H4562" s="403">
        <v>1</v>
      </c>
      <c r="I4562" s="403">
        <v>0</v>
      </c>
      <c r="J4562" s="404">
        <v>60.37</v>
      </c>
      <c r="K4562" s="404">
        <v>60.37</v>
      </c>
    </row>
    <row r="4563" spans="1:11" ht="14.25" customHeight="1" x14ac:dyDescent="0.3">
      <c r="A4563" s="405"/>
      <c r="B4563" s="405"/>
      <c r="C4563" s="405"/>
      <c r="D4563" s="405"/>
      <c r="E4563" s="405" t="s">
        <v>1046</v>
      </c>
      <c r="F4563" s="406">
        <v>18.03</v>
      </c>
      <c r="G4563" s="405" t="s">
        <v>1047</v>
      </c>
      <c r="H4563" s="406">
        <v>0</v>
      </c>
      <c r="I4563" s="405" t="s">
        <v>1048</v>
      </c>
      <c r="J4563" s="406">
        <v>18.03</v>
      </c>
      <c r="K4563"/>
    </row>
    <row r="4564" spans="1:11" ht="15.6" thickBot="1" x14ac:dyDescent="0.35">
      <c r="A4564" s="405"/>
      <c r="B4564" s="405"/>
      <c r="C4564" s="405"/>
      <c r="D4564" s="405"/>
      <c r="E4564" s="405" t="s">
        <v>1049</v>
      </c>
      <c r="F4564" s="406">
        <v>0</v>
      </c>
      <c r="G4564" s="405"/>
      <c r="H4564" s="606"/>
      <c r="I4564" s="606" t="s">
        <v>1050</v>
      </c>
      <c r="J4564" s="406">
        <v>82.48</v>
      </c>
      <c r="K4564"/>
    </row>
    <row r="4565" spans="1:11" ht="15" customHeight="1" thickTop="1" x14ac:dyDescent="0.3">
      <c r="A4565" s="407"/>
      <c r="B4565" s="407"/>
      <c r="C4565" s="407"/>
      <c r="D4565" s="407"/>
      <c r="E4565" s="407"/>
      <c r="F4565" s="407"/>
      <c r="G4565" s="407"/>
      <c r="H4565" s="407"/>
      <c r="I4565" s="407"/>
      <c r="J4565" s="407"/>
      <c r="K4565" s="407"/>
    </row>
    <row r="4566" spans="1:11" ht="25.5" customHeight="1" x14ac:dyDescent="0.3">
      <c r="A4566" s="382" t="s">
        <v>2250</v>
      </c>
      <c r="B4566" s="312" t="s">
        <v>413</v>
      </c>
      <c r="C4566" s="382" t="s">
        <v>414</v>
      </c>
      <c r="D4566" s="382" t="s">
        <v>415</v>
      </c>
      <c r="E4566" s="586" t="s">
        <v>1029</v>
      </c>
      <c r="F4566" s="586"/>
      <c r="G4566" s="383" t="s">
        <v>416</v>
      </c>
      <c r="H4566" s="312" t="s">
        <v>1030</v>
      </c>
      <c r="I4566" s="312" t="s">
        <v>3016</v>
      </c>
      <c r="J4566" s="312" t="s">
        <v>1031</v>
      </c>
      <c r="K4566" s="312" t="s">
        <v>1032</v>
      </c>
    </row>
    <row r="4567" spans="1:11" ht="25.5" customHeight="1" x14ac:dyDescent="0.3">
      <c r="A4567" s="313" t="s">
        <v>1033</v>
      </c>
      <c r="B4567" s="315" t="s">
        <v>2195</v>
      </c>
      <c r="C4567" s="313" t="s">
        <v>575</v>
      </c>
      <c r="D4567" s="313" t="s">
        <v>1942</v>
      </c>
      <c r="E4567" s="603" t="s">
        <v>1319</v>
      </c>
      <c r="F4567" s="603"/>
      <c r="G4567" s="314" t="s">
        <v>422</v>
      </c>
      <c r="H4567" s="399">
        <v>1</v>
      </c>
      <c r="I4567" s="316"/>
      <c r="J4567" s="316">
        <v>72.849999999999994</v>
      </c>
      <c r="K4567" s="316">
        <v>72.849999999999994</v>
      </c>
    </row>
    <row r="4568" spans="1:11" ht="30" customHeight="1" x14ac:dyDescent="0.3">
      <c r="A4568" s="408" t="s">
        <v>1034</v>
      </c>
      <c r="B4568" s="409" t="s">
        <v>1071</v>
      </c>
      <c r="C4568" s="408" t="s">
        <v>420</v>
      </c>
      <c r="D4568" s="408" t="s">
        <v>1072</v>
      </c>
      <c r="E4568" s="604" t="s">
        <v>1069</v>
      </c>
      <c r="F4568" s="604"/>
      <c r="G4568" s="410" t="s">
        <v>1070</v>
      </c>
      <c r="H4568" s="412">
        <v>0.5</v>
      </c>
      <c r="I4568" s="412">
        <v>0</v>
      </c>
      <c r="J4568" s="411">
        <v>3.95</v>
      </c>
      <c r="K4568" s="411">
        <v>1.9750000000000001</v>
      </c>
    </row>
    <row r="4569" spans="1:11" ht="14.25" customHeight="1" x14ac:dyDescent="0.3">
      <c r="A4569" s="408" t="s">
        <v>1034</v>
      </c>
      <c r="B4569" s="409" t="s">
        <v>1180</v>
      </c>
      <c r="C4569" s="408" t="s">
        <v>420</v>
      </c>
      <c r="D4569" s="408" t="s">
        <v>1181</v>
      </c>
      <c r="E4569" s="604" t="s">
        <v>1069</v>
      </c>
      <c r="F4569" s="604"/>
      <c r="G4569" s="410" t="s">
        <v>1070</v>
      </c>
      <c r="H4569" s="412">
        <v>0.5</v>
      </c>
      <c r="I4569" s="412">
        <v>0</v>
      </c>
      <c r="J4569" s="411">
        <v>3.91</v>
      </c>
      <c r="K4569" s="411">
        <v>1.9550000000000001</v>
      </c>
    </row>
    <row r="4570" spans="1:11" ht="25.5" customHeight="1" x14ac:dyDescent="0.3">
      <c r="A4570" s="400" t="s">
        <v>1038</v>
      </c>
      <c r="B4570" s="401" t="s">
        <v>1262</v>
      </c>
      <c r="C4570" s="400" t="s">
        <v>420</v>
      </c>
      <c r="D4570" s="400" t="s">
        <v>1263</v>
      </c>
      <c r="E4570" s="605" t="s">
        <v>1039</v>
      </c>
      <c r="F4570" s="605"/>
      <c r="G4570" s="402" t="s">
        <v>437</v>
      </c>
      <c r="H4570" s="403">
        <v>0.5</v>
      </c>
      <c r="I4570" s="403">
        <v>0</v>
      </c>
      <c r="J4570" s="404">
        <v>0.31</v>
      </c>
      <c r="K4570" s="404">
        <v>0.155</v>
      </c>
    </row>
    <row r="4571" spans="1:11" ht="25.5" customHeight="1" x14ac:dyDescent="0.3">
      <c r="A4571" s="400" t="s">
        <v>1038</v>
      </c>
      <c r="B4571" s="401" t="s">
        <v>1184</v>
      </c>
      <c r="C4571" s="400" t="s">
        <v>395</v>
      </c>
      <c r="D4571" s="400" t="s">
        <v>405</v>
      </c>
      <c r="E4571" s="605" t="s">
        <v>1053</v>
      </c>
      <c r="F4571" s="605"/>
      <c r="G4571" s="402" t="s">
        <v>6</v>
      </c>
      <c r="H4571" s="403">
        <v>0.5</v>
      </c>
      <c r="I4571" s="403">
        <v>0</v>
      </c>
      <c r="J4571" s="404">
        <v>30.04</v>
      </c>
      <c r="K4571" s="404">
        <v>15.02</v>
      </c>
    </row>
    <row r="4572" spans="1:11" ht="15" x14ac:dyDescent="0.3">
      <c r="A4572" s="400" t="s">
        <v>1038</v>
      </c>
      <c r="B4572" s="401" t="s">
        <v>1075</v>
      </c>
      <c r="C4572" s="400" t="s">
        <v>395</v>
      </c>
      <c r="D4572" s="400" t="s">
        <v>8694</v>
      </c>
      <c r="E4572" s="605" t="s">
        <v>1053</v>
      </c>
      <c r="F4572" s="605"/>
      <c r="G4572" s="402" t="s">
        <v>6</v>
      </c>
      <c r="H4572" s="403">
        <v>0.5</v>
      </c>
      <c r="I4572" s="403">
        <v>0</v>
      </c>
      <c r="J4572" s="404">
        <v>22.14</v>
      </c>
      <c r="K4572" s="404">
        <v>11.07</v>
      </c>
    </row>
    <row r="4573" spans="1:11" ht="12.75" customHeight="1" x14ac:dyDescent="0.3">
      <c r="A4573" s="400" t="s">
        <v>1038</v>
      </c>
      <c r="B4573" s="401" t="s">
        <v>2520</v>
      </c>
      <c r="C4573" s="400" t="s">
        <v>575</v>
      </c>
      <c r="D4573" s="400" t="s">
        <v>2521</v>
      </c>
      <c r="E4573" s="605" t="s">
        <v>1039</v>
      </c>
      <c r="F4573" s="605"/>
      <c r="G4573" s="402" t="s">
        <v>4</v>
      </c>
      <c r="H4573" s="403">
        <v>1</v>
      </c>
      <c r="I4573" s="403">
        <v>0</v>
      </c>
      <c r="J4573" s="404">
        <v>42.67</v>
      </c>
      <c r="K4573" s="404">
        <v>42.67</v>
      </c>
    </row>
    <row r="4574" spans="1:11" ht="25.5" customHeight="1" x14ac:dyDescent="0.3">
      <c r="A4574" s="405"/>
      <c r="B4574" s="405"/>
      <c r="C4574" s="405"/>
      <c r="D4574" s="405"/>
      <c r="E4574" s="405" t="s">
        <v>1046</v>
      </c>
      <c r="F4574" s="406">
        <v>26.09</v>
      </c>
      <c r="G4574" s="405" t="s">
        <v>1047</v>
      </c>
      <c r="H4574" s="406">
        <v>0</v>
      </c>
      <c r="I4574" s="405" t="s">
        <v>1048</v>
      </c>
      <c r="J4574" s="406">
        <v>26.09</v>
      </c>
      <c r="K4574"/>
    </row>
    <row r="4575" spans="1:11" ht="25.5" customHeight="1" thickBot="1" x14ac:dyDescent="0.35">
      <c r="A4575" s="405"/>
      <c r="B4575" s="405"/>
      <c r="C4575" s="405"/>
      <c r="D4575" s="405"/>
      <c r="E4575" s="405" t="s">
        <v>1049</v>
      </c>
      <c r="F4575" s="406">
        <v>0</v>
      </c>
      <c r="G4575" s="405"/>
      <c r="H4575" s="606"/>
      <c r="I4575" s="606" t="s">
        <v>1050</v>
      </c>
      <c r="J4575" s="406">
        <v>72.849999999999994</v>
      </c>
      <c r="K4575"/>
    </row>
    <row r="4576" spans="1:11" ht="25.5" customHeight="1" thickTop="1" x14ac:dyDescent="0.3">
      <c r="A4576" s="407"/>
      <c r="B4576" s="407"/>
      <c r="C4576" s="407"/>
      <c r="D4576" s="407"/>
      <c r="E4576" s="407"/>
      <c r="F4576" s="407"/>
      <c r="G4576" s="407"/>
      <c r="H4576" s="407"/>
      <c r="I4576" s="407"/>
      <c r="J4576" s="407"/>
      <c r="K4576" s="407"/>
    </row>
    <row r="4577" spans="1:11" ht="25.5" customHeight="1" x14ac:dyDescent="0.3">
      <c r="A4577" s="382" t="s">
        <v>2251</v>
      </c>
      <c r="B4577" s="312" t="s">
        <v>413</v>
      </c>
      <c r="C4577" s="382" t="s">
        <v>414</v>
      </c>
      <c r="D4577" s="382" t="s">
        <v>415</v>
      </c>
      <c r="E4577" s="586" t="s">
        <v>1029</v>
      </c>
      <c r="F4577" s="586"/>
      <c r="G4577" s="383" t="s">
        <v>416</v>
      </c>
      <c r="H4577" s="312" t="s">
        <v>1030</v>
      </c>
      <c r="I4577" s="312" t="s">
        <v>3016</v>
      </c>
      <c r="J4577" s="312" t="s">
        <v>1031</v>
      </c>
      <c r="K4577" s="312" t="s">
        <v>1032</v>
      </c>
    </row>
    <row r="4578" spans="1:11" ht="14.25" customHeight="1" x14ac:dyDescent="0.3">
      <c r="A4578" s="313" t="s">
        <v>1033</v>
      </c>
      <c r="B4578" s="315" t="s">
        <v>3949</v>
      </c>
      <c r="C4578" s="313" t="s">
        <v>395</v>
      </c>
      <c r="D4578" s="313" t="s">
        <v>6052</v>
      </c>
      <c r="E4578" s="603" t="s">
        <v>7870</v>
      </c>
      <c r="F4578" s="603"/>
      <c r="G4578" s="314" t="s">
        <v>4</v>
      </c>
      <c r="H4578" s="399">
        <v>1</v>
      </c>
      <c r="I4578" s="316"/>
      <c r="J4578" s="316">
        <v>18.309999999999999</v>
      </c>
      <c r="K4578" s="316">
        <v>18.309999999999999</v>
      </c>
    </row>
    <row r="4579" spans="1:11" ht="25.5" customHeight="1" x14ac:dyDescent="0.3">
      <c r="A4579" s="408" t="s">
        <v>1034</v>
      </c>
      <c r="B4579" s="409" t="s">
        <v>1113</v>
      </c>
      <c r="C4579" s="408" t="s">
        <v>395</v>
      </c>
      <c r="D4579" s="408" t="s">
        <v>129</v>
      </c>
      <c r="E4579" s="604" t="s">
        <v>7768</v>
      </c>
      <c r="F4579" s="604"/>
      <c r="G4579" s="410" t="s">
        <v>6</v>
      </c>
      <c r="H4579" s="412">
        <v>0.16301299999999999</v>
      </c>
      <c r="I4579" s="412">
        <v>0</v>
      </c>
      <c r="J4579" s="411">
        <v>33.450000000000003</v>
      </c>
      <c r="K4579" s="411">
        <v>5.4527849000000002</v>
      </c>
    </row>
    <row r="4580" spans="1:11" ht="25.5" customHeight="1" x14ac:dyDescent="0.3">
      <c r="A4580" s="408" t="s">
        <v>1034</v>
      </c>
      <c r="B4580" s="409" t="s">
        <v>1112</v>
      </c>
      <c r="C4580" s="408" t="s">
        <v>395</v>
      </c>
      <c r="D4580" s="408" t="s">
        <v>137</v>
      </c>
      <c r="E4580" s="604" t="s">
        <v>7768</v>
      </c>
      <c r="F4580" s="604"/>
      <c r="G4580" s="410" t="s">
        <v>6</v>
      </c>
      <c r="H4580" s="412">
        <v>0.16301299999999999</v>
      </c>
      <c r="I4580" s="412">
        <v>0</v>
      </c>
      <c r="J4580" s="411">
        <v>40.299999999999997</v>
      </c>
      <c r="K4580" s="411">
        <v>6.5694239000000003</v>
      </c>
    </row>
    <row r="4581" spans="1:11" ht="12.75" customHeight="1" x14ac:dyDescent="0.3">
      <c r="A4581" s="400" t="s">
        <v>1038</v>
      </c>
      <c r="B4581" s="401" t="s">
        <v>2535</v>
      </c>
      <c r="C4581" s="400" t="s">
        <v>395</v>
      </c>
      <c r="D4581" s="400" t="s">
        <v>262</v>
      </c>
      <c r="E4581" s="605" t="s">
        <v>1039</v>
      </c>
      <c r="F4581" s="605"/>
      <c r="G4581" s="402" t="s">
        <v>4</v>
      </c>
      <c r="H4581" s="403">
        <v>8.3999999999999995E-3</v>
      </c>
      <c r="I4581" s="403">
        <v>0</v>
      </c>
      <c r="J4581" s="404">
        <v>16.45</v>
      </c>
      <c r="K4581" s="404">
        <v>0.13818</v>
      </c>
    </row>
    <row r="4582" spans="1:11" ht="12.75" customHeight="1" x14ac:dyDescent="0.3">
      <c r="A4582" s="400" t="s">
        <v>1038</v>
      </c>
      <c r="B4582" s="401" t="s">
        <v>4797</v>
      </c>
      <c r="C4582" s="400" t="s">
        <v>395</v>
      </c>
      <c r="D4582" s="400" t="s">
        <v>4798</v>
      </c>
      <c r="E4582" s="605" t="s">
        <v>1039</v>
      </c>
      <c r="F4582" s="605"/>
      <c r="G4582" s="402" t="s">
        <v>4</v>
      </c>
      <c r="H4582" s="403">
        <v>1</v>
      </c>
      <c r="I4582" s="403">
        <v>0</v>
      </c>
      <c r="J4582" s="404">
        <v>6.04</v>
      </c>
      <c r="K4582" s="404">
        <v>6.04</v>
      </c>
    </row>
    <row r="4583" spans="1:11" ht="15" customHeight="1" x14ac:dyDescent="0.3">
      <c r="A4583" s="400" t="s">
        <v>1038</v>
      </c>
      <c r="B4583" s="401" t="s">
        <v>4933</v>
      </c>
      <c r="C4583" s="400" t="s">
        <v>395</v>
      </c>
      <c r="D4583" s="400" t="s">
        <v>4934</v>
      </c>
      <c r="E4583" s="605" t="s">
        <v>1039</v>
      </c>
      <c r="F4583" s="605"/>
      <c r="G4583" s="402" t="s">
        <v>8</v>
      </c>
      <c r="H4583" s="403">
        <v>2.0079999999999998E-3</v>
      </c>
      <c r="I4583" s="403">
        <v>0</v>
      </c>
      <c r="J4583" s="404">
        <v>53.91</v>
      </c>
      <c r="K4583" s="404">
        <v>0.10825129999999999</v>
      </c>
    </row>
    <row r="4584" spans="1:11" ht="25.5" customHeight="1" x14ac:dyDescent="0.3">
      <c r="A4584" s="405"/>
      <c r="B4584" s="405"/>
      <c r="C4584" s="405"/>
      <c r="D4584" s="405"/>
      <c r="E4584" s="405" t="s">
        <v>1046</v>
      </c>
      <c r="F4584" s="406">
        <v>8.85</v>
      </c>
      <c r="G4584" s="405" t="s">
        <v>1047</v>
      </c>
      <c r="H4584" s="406">
        <v>0</v>
      </c>
      <c r="I4584" s="405" t="s">
        <v>1048</v>
      </c>
      <c r="J4584" s="406">
        <v>8.85</v>
      </c>
      <c r="K4584"/>
    </row>
    <row r="4585" spans="1:11" ht="25.5" customHeight="1" thickBot="1" x14ac:dyDescent="0.35">
      <c r="A4585" s="405"/>
      <c r="B4585" s="405"/>
      <c r="C4585" s="405"/>
      <c r="D4585" s="405"/>
      <c r="E4585" s="405" t="s">
        <v>1049</v>
      </c>
      <c r="F4585" s="406">
        <v>0</v>
      </c>
      <c r="G4585" s="405"/>
      <c r="H4585" s="606"/>
      <c r="I4585" s="606" t="s">
        <v>1050</v>
      </c>
      <c r="J4585" s="406">
        <v>18.309999999999999</v>
      </c>
      <c r="K4585"/>
    </row>
    <row r="4586" spans="1:11" ht="25.5" customHeight="1" thickTop="1" x14ac:dyDescent="0.3">
      <c r="A4586" s="407"/>
      <c r="B4586" s="407"/>
      <c r="C4586" s="407"/>
      <c r="D4586" s="407"/>
      <c r="E4586" s="407"/>
      <c r="F4586" s="407"/>
      <c r="G4586" s="407"/>
      <c r="H4586" s="407"/>
      <c r="I4586" s="407"/>
      <c r="J4586" s="407"/>
      <c r="K4586" s="407"/>
    </row>
    <row r="4587" spans="1:11" ht="14.25" customHeight="1" x14ac:dyDescent="0.3">
      <c r="A4587" s="382" t="s">
        <v>3329</v>
      </c>
      <c r="B4587" s="312" t="s">
        <v>413</v>
      </c>
      <c r="C4587" s="382" t="s">
        <v>414</v>
      </c>
      <c r="D4587" s="382" t="s">
        <v>415</v>
      </c>
      <c r="E4587" s="586" t="s">
        <v>1029</v>
      </c>
      <c r="F4587" s="586"/>
      <c r="G4587" s="383" t="s">
        <v>416</v>
      </c>
      <c r="H4587" s="312" t="s">
        <v>1030</v>
      </c>
      <c r="I4587" s="312" t="s">
        <v>3016</v>
      </c>
      <c r="J4587" s="312" t="s">
        <v>1031</v>
      </c>
      <c r="K4587" s="312" t="s">
        <v>1032</v>
      </c>
    </row>
    <row r="4588" spans="1:11" ht="25.5" customHeight="1" x14ac:dyDescent="0.3">
      <c r="A4588" s="313" t="s">
        <v>1033</v>
      </c>
      <c r="B4588" s="315" t="s">
        <v>2989</v>
      </c>
      <c r="C4588" s="313" t="s">
        <v>575</v>
      </c>
      <c r="D4588" s="313" t="s">
        <v>2878</v>
      </c>
      <c r="E4588" s="603" t="s">
        <v>1319</v>
      </c>
      <c r="F4588" s="603"/>
      <c r="G4588" s="314" t="s">
        <v>4</v>
      </c>
      <c r="H4588" s="399">
        <v>1</v>
      </c>
      <c r="I4588" s="316"/>
      <c r="J4588" s="316">
        <v>1380.93</v>
      </c>
      <c r="K4588" s="316">
        <v>1380.93</v>
      </c>
    </row>
    <row r="4589" spans="1:11" ht="15" customHeight="1" x14ac:dyDescent="0.3">
      <c r="A4589" s="408" t="s">
        <v>1034</v>
      </c>
      <c r="B4589" s="409" t="s">
        <v>1035</v>
      </c>
      <c r="C4589" s="408" t="s">
        <v>395</v>
      </c>
      <c r="D4589" s="408" t="s">
        <v>128</v>
      </c>
      <c r="E4589" s="604" t="s">
        <v>7768</v>
      </c>
      <c r="F4589" s="604"/>
      <c r="G4589" s="410" t="s">
        <v>6</v>
      </c>
      <c r="H4589" s="412">
        <v>0.63300000000000001</v>
      </c>
      <c r="I4589" s="412">
        <v>0</v>
      </c>
      <c r="J4589" s="411">
        <v>34.5</v>
      </c>
      <c r="K4589" s="411">
        <v>21.8385</v>
      </c>
    </row>
    <row r="4590" spans="1:11" ht="30" customHeight="1" x14ac:dyDescent="0.3">
      <c r="A4590" s="408" t="s">
        <v>1034</v>
      </c>
      <c r="B4590" s="409" t="s">
        <v>1113</v>
      </c>
      <c r="C4590" s="408" t="s">
        <v>395</v>
      </c>
      <c r="D4590" s="408" t="s">
        <v>129</v>
      </c>
      <c r="E4590" s="604" t="s">
        <v>7768</v>
      </c>
      <c r="F4590" s="604"/>
      <c r="G4590" s="410" t="s">
        <v>6</v>
      </c>
      <c r="H4590" s="412">
        <v>2.202</v>
      </c>
      <c r="I4590" s="412">
        <v>0</v>
      </c>
      <c r="J4590" s="411">
        <v>33.450000000000003</v>
      </c>
      <c r="K4590" s="411">
        <v>73.656899999999993</v>
      </c>
    </row>
    <row r="4591" spans="1:11" ht="38.25" customHeight="1" x14ac:dyDescent="0.3">
      <c r="A4591" s="408" t="s">
        <v>1034</v>
      </c>
      <c r="B4591" s="409" t="s">
        <v>1037</v>
      </c>
      <c r="C4591" s="408" t="s">
        <v>395</v>
      </c>
      <c r="D4591" s="408" t="s">
        <v>135</v>
      </c>
      <c r="E4591" s="604" t="s">
        <v>7768</v>
      </c>
      <c r="F4591" s="604"/>
      <c r="G4591" s="410" t="s">
        <v>6</v>
      </c>
      <c r="H4591" s="412">
        <v>0.63300000000000001</v>
      </c>
      <c r="I4591" s="412">
        <v>0</v>
      </c>
      <c r="J4591" s="411">
        <v>41.81</v>
      </c>
      <c r="K4591" s="411">
        <v>26.465730000000001</v>
      </c>
    </row>
    <row r="4592" spans="1:11" ht="25.5" customHeight="1" x14ac:dyDescent="0.3">
      <c r="A4592" s="408" t="s">
        <v>1034</v>
      </c>
      <c r="B4592" s="409" t="s">
        <v>1112</v>
      </c>
      <c r="C4592" s="408" t="s">
        <v>395</v>
      </c>
      <c r="D4592" s="408" t="s">
        <v>137</v>
      </c>
      <c r="E4592" s="604" t="s">
        <v>7768</v>
      </c>
      <c r="F4592" s="604"/>
      <c r="G4592" s="410" t="s">
        <v>6</v>
      </c>
      <c r="H4592" s="412">
        <v>2.202</v>
      </c>
      <c r="I4592" s="412">
        <v>0</v>
      </c>
      <c r="J4592" s="411">
        <v>40.299999999999997</v>
      </c>
      <c r="K4592" s="411">
        <v>88.740600000000001</v>
      </c>
    </row>
    <row r="4593" spans="1:11" ht="15" customHeight="1" x14ac:dyDescent="0.3">
      <c r="A4593" s="400" t="s">
        <v>1038</v>
      </c>
      <c r="B4593" s="401" t="s">
        <v>1320</v>
      </c>
      <c r="C4593" s="400" t="s">
        <v>395</v>
      </c>
      <c r="D4593" s="400" t="s">
        <v>304</v>
      </c>
      <c r="E4593" s="605" t="s">
        <v>1039</v>
      </c>
      <c r="F4593" s="605"/>
      <c r="G4593" s="402" t="s">
        <v>4</v>
      </c>
      <c r="H4593" s="403">
        <v>4</v>
      </c>
      <c r="I4593" s="403">
        <v>0</v>
      </c>
      <c r="J4593" s="404">
        <v>1.29</v>
      </c>
      <c r="K4593" s="404">
        <v>5.16</v>
      </c>
    </row>
    <row r="4594" spans="1:11" ht="25.5" customHeight="1" x14ac:dyDescent="0.3">
      <c r="A4594" s="400" t="s">
        <v>1038</v>
      </c>
      <c r="B4594" s="401" t="s">
        <v>1321</v>
      </c>
      <c r="C4594" s="400" t="s">
        <v>395</v>
      </c>
      <c r="D4594" s="400" t="s">
        <v>291</v>
      </c>
      <c r="E4594" s="605" t="s">
        <v>1039</v>
      </c>
      <c r="F4594" s="605"/>
      <c r="G4594" s="402" t="s">
        <v>7</v>
      </c>
      <c r="H4594" s="403">
        <v>0.2</v>
      </c>
      <c r="I4594" s="403">
        <v>0</v>
      </c>
      <c r="J4594" s="404">
        <v>3.35</v>
      </c>
      <c r="K4594" s="404">
        <v>0.67</v>
      </c>
    </row>
    <row r="4595" spans="1:11" ht="25.5" customHeight="1" x14ac:dyDescent="0.3">
      <c r="A4595" s="400" t="s">
        <v>1038</v>
      </c>
      <c r="B4595" s="401" t="s">
        <v>1322</v>
      </c>
      <c r="C4595" s="400" t="s">
        <v>395</v>
      </c>
      <c r="D4595" s="400" t="s">
        <v>273</v>
      </c>
      <c r="E4595" s="605" t="s">
        <v>1039</v>
      </c>
      <c r="F4595" s="605"/>
      <c r="G4595" s="402" t="s">
        <v>4</v>
      </c>
      <c r="H4595" s="403">
        <v>4</v>
      </c>
      <c r="I4595" s="403">
        <v>0</v>
      </c>
      <c r="J4595" s="404">
        <v>0.35</v>
      </c>
      <c r="K4595" s="404">
        <v>1.4</v>
      </c>
    </row>
    <row r="4596" spans="1:11" ht="25.5" customHeight="1" x14ac:dyDescent="0.3">
      <c r="A4596" s="400" t="s">
        <v>1038</v>
      </c>
      <c r="B4596" s="401" t="s">
        <v>3231</v>
      </c>
      <c r="C4596" s="400" t="s">
        <v>575</v>
      </c>
      <c r="D4596" s="400" t="s">
        <v>3232</v>
      </c>
      <c r="E4596" s="605" t="s">
        <v>1323</v>
      </c>
      <c r="F4596" s="605"/>
      <c r="G4596" s="402" t="s">
        <v>4</v>
      </c>
      <c r="H4596" s="403">
        <v>1</v>
      </c>
      <c r="I4596" s="403">
        <v>0</v>
      </c>
      <c r="J4596" s="404">
        <v>1163</v>
      </c>
      <c r="K4596" s="404">
        <v>1163</v>
      </c>
    </row>
    <row r="4597" spans="1:11" ht="25.5" customHeight="1" x14ac:dyDescent="0.3">
      <c r="A4597" s="405"/>
      <c r="B4597" s="405"/>
      <c r="C4597" s="405"/>
      <c r="D4597" s="405"/>
      <c r="E4597" s="405" t="s">
        <v>1046</v>
      </c>
      <c r="F4597" s="406">
        <v>154.83000000000001</v>
      </c>
      <c r="G4597" s="405" t="s">
        <v>1047</v>
      </c>
      <c r="H4597" s="406">
        <v>0</v>
      </c>
      <c r="I4597" s="405" t="s">
        <v>1048</v>
      </c>
      <c r="J4597" s="406">
        <v>154.83000000000001</v>
      </c>
      <c r="K4597"/>
    </row>
    <row r="4598" spans="1:11" ht="15" customHeight="1" thickBot="1" x14ac:dyDescent="0.35">
      <c r="A4598" s="405"/>
      <c r="B4598" s="405"/>
      <c r="C4598" s="405"/>
      <c r="D4598" s="405"/>
      <c r="E4598" s="405" t="s">
        <v>1049</v>
      </c>
      <c r="F4598" s="406">
        <v>0</v>
      </c>
      <c r="G4598" s="405"/>
      <c r="H4598" s="606"/>
      <c r="I4598" s="606" t="s">
        <v>1050</v>
      </c>
      <c r="J4598" s="406">
        <v>1380.93</v>
      </c>
      <c r="K4598"/>
    </row>
    <row r="4599" spans="1:11" ht="25.5" customHeight="1" thickTop="1" x14ac:dyDescent="0.3">
      <c r="A4599" s="407"/>
      <c r="B4599" s="407"/>
      <c r="C4599" s="407"/>
      <c r="D4599" s="407"/>
      <c r="E4599" s="407"/>
      <c r="F4599" s="407"/>
      <c r="G4599" s="407"/>
      <c r="H4599" s="407"/>
      <c r="I4599" s="407"/>
      <c r="J4599" s="407"/>
      <c r="K4599" s="407"/>
    </row>
    <row r="4600" spans="1:11" ht="14.25" customHeight="1" x14ac:dyDescent="0.3">
      <c r="A4600" s="382" t="s">
        <v>3330</v>
      </c>
      <c r="B4600" s="312" t="s">
        <v>413</v>
      </c>
      <c r="C4600" s="382" t="s">
        <v>414</v>
      </c>
      <c r="D4600" s="382" t="s">
        <v>415</v>
      </c>
      <c r="E4600" s="586" t="s">
        <v>1029</v>
      </c>
      <c r="F4600" s="586"/>
      <c r="G4600" s="383" t="s">
        <v>416</v>
      </c>
      <c r="H4600" s="312" t="s">
        <v>1030</v>
      </c>
      <c r="I4600" s="312" t="s">
        <v>3016</v>
      </c>
      <c r="J4600" s="312" t="s">
        <v>1031</v>
      </c>
      <c r="K4600" s="312" t="s">
        <v>1032</v>
      </c>
    </row>
    <row r="4601" spans="1:11" ht="12.75" customHeight="1" x14ac:dyDescent="0.3">
      <c r="A4601" s="313" t="s">
        <v>1033</v>
      </c>
      <c r="B4601" s="315" t="s">
        <v>2985</v>
      </c>
      <c r="C4601" s="313" t="s">
        <v>575</v>
      </c>
      <c r="D4601" s="313" t="s">
        <v>2873</v>
      </c>
      <c r="E4601" s="603" t="s">
        <v>1319</v>
      </c>
      <c r="F4601" s="603"/>
      <c r="G4601" s="314" t="s">
        <v>4</v>
      </c>
      <c r="H4601" s="399">
        <v>1</v>
      </c>
      <c r="I4601" s="316"/>
      <c r="J4601" s="316">
        <v>7962.99</v>
      </c>
      <c r="K4601" s="316">
        <v>7962.99</v>
      </c>
    </row>
    <row r="4602" spans="1:11" ht="15" customHeight="1" x14ac:dyDescent="0.3">
      <c r="A4602" s="408" t="s">
        <v>1034</v>
      </c>
      <c r="B4602" s="409" t="s">
        <v>1035</v>
      </c>
      <c r="C4602" s="408" t="s">
        <v>395</v>
      </c>
      <c r="D4602" s="408" t="s">
        <v>128</v>
      </c>
      <c r="E4602" s="604" t="s">
        <v>7768</v>
      </c>
      <c r="F4602" s="604"/>
      <c r="G4602" s="410" t="s">
        <v>6</v>
      </c>
      <c r="H4602" s="412">
        <v>1.633</v>
      </c>
      <c r="I4602" s="412">
        <v>0</v>
      </c>
      <c r="J4602" s="411">
        <v>34.5</v>
      </c>
      <c r="K4602" s="411">
        <v>56.338500000000003</v>
      </c>
    </row>
    <row r="4603" spans="1:11" ht="25.5" customHeight="1" x14ac:dyDescent="0.3">
      <c r="A4603" s="408" t="s">
        <v>1034</v>
      </c>
      <c r="B4603" s="409" t="s">
        <v>1113</v>
      </c>
      <c r="C4603" s="408" t="s">
        <v>395</v>
      </c>
      <c r="D4603" s="408" t="s">
        <v>129</v>
      </c>
      <c r="E4603" s="604" t="s">
        <v>7768</v>
      </c>
      <c r="F4603" s="604"/>
      <c r="G4603" s="410" t="s">
        <v>6</v>
      </c>
      <c r="H4603" s="412">
        <v>3.202</v>
      </c>
      <c r="I4603" s="412">
        <v>0</v>
      </c>
      <c r="J4603" s="411">
        <v>33.450000000000003</v>
      </c>
      <c r="K4603" s="411">
        <v>107.1069</v>
      </c>
    </row>
    <row r="4604" spans="1:11" ht="25.5" customHeight="1" x14ac:dyDescent="0.3">
      <c r="A4604" s="408" t="s">
        <v>1034</v>
      </c>
      <c r="B4604" s="409" t="s">
        <v>1037</v>
      </c>
      <c r="C4604" s="408" t="s">
        <v>395</v>
      </c>
      <c r="D4604" s="408" t="s">
        <v>135</v>
      </c>
      <c r="E4604" s="604" t="s">
        <v>7768</v>
      </c>
      <c r="F4604" s="604"/>
      <c r="G4604" s="410" t="s">
        <v>6</v>
      </c>
      <c r="H4604" s="412">
        <v>1.633</v>
      </c>
      <c r="I4604" s="412">
        <v>0</v>
      </c>
      <c r="J4604" s="411">
        <v>41.81</v>
      </c>
      <c r="K4604" s="411">
        <v>68.275729999999996</v>
      </c>
    </row>
    <row r="4605" spans="1:11" ht="25.5" customHeight="1" x14ac:dyDescent="0.3">
      <c r="A4605" s="408" t="s">
        <v>1034</v>
      </c>
      <c r="B4605" s="409" t="s">
        <v>1112</v>
      </c>
      <c r="C4605" s="408" t="s">
        <v>395</v>
      </c>
      <c r="D4605" s="408" t="s">
        <v>137</v>
      </c>
      <c r="E4605" s="604" t="s">
        <v>7768</v>
      </c>
      <c r="F4605" s="604"/>
      <c r="G4605" s="410" t="s">
        <v>6</v>
      </c>
      <c r="H4605" s="412">
        <v>3.202</v>
      </c>
      <c r="I4605" s="412">
        <v>0</v>
      </c>
      <c r="J4605" s="411">
        <v>40.299999999999997</v>
      </c>
      <c r="K4605" s="411">
        <v>129.04060000000001</v>
      </c>
    </row>
    <row r="4606" spans="1:11" ht="25.5" customHeight="1" x14ac:dyDescent="0.3">
      <c r="A4606" s="400" t="s">
        <v>1038</v>
      </c>
      <c r="B4606" s="401" t="s">
        <v>1320</v>
      </c>
      <c r="C4606" s="400" t="s">
        <v>395</v>
      </c>
      <c r="D4606" s="400" t="s">
        <v>304</v>
      </c>
      <c r="E4606" s="605" t="s">
        <v>1039</v>
      </c>
      <c r="F4606" s="605"/>
      <c r="G4606" s="402" t="s">
        <v>4</v>
      </c>
      <c r="H4606" s="403">
        <v>4</v>
      </c>
      <c r="I4606" s="403">
        <v>0</v>
      </c>
      <c r="J4606" s="404">
        <v>1.29</v>
      </c>
      <c r="K4606" s="404">
        <v>5.16</v>
      </c>
    </row>
    <row r="4607" spans="1:11" ht="15" customHeight="1" x14ac:dyDescent="0.3">
      <c r="A4607" s="400" t="s">
        <v>1038</v>
      </c>
      <c r="B4607" s="401" t="s">
        <v>1321</v>
      </c>
      <c r="C4607" s="400" t="s">
        <v>395</v>
      </c>
      <c r="D4607" s="400" t="s">
        <v>291</v>
      </c>
      <c r="E4607" s="605" t="s">
        <v>1039</v>
      </c>
      <c r="F4607" s="605"/>
      <c r="G4607" s="402" t="s">
        <v>7</v>
      </c>
      <c r="H4607" s="403">
        <v>0.2</v>
      </c>
      <c r="I4607" s="403">
        <v>0</v>
      </c>
      <c r="J4607" s="404">
        <v>3.35</v>
      </c>
      <c r="K4607" s="404">
        <v>0.67</v>
      </c>
    </row>
    <row r="4608" spans="1:11" ht="25.5" customHeight="1" x14ac:dyDescent="0.3">
      <c r="A4608" s="400" t="s">
        <v>1038</v>
      </c>
      <c r="B4608" s="401" t="s">
        <v>1322</v>
      </c>
      <c r="C4608" s="400" t="s">
        <v>395</v>
      </c>
      <c r="D4608" s="400" t="s">
        <v>273</v>
      </c>
      <c r="E4608" s="605" t="s">
        <v>1039</v>
      </c>
      <c r="F4608" s="605"/>
      <c r="G4608" s="402" t="s">
        <v>4</v>
      </c>
      <c r="H4608" s="403">
        <v>4</v>
      </c>
      <c r="I4608" s="403">
        <v>0</v>
      </c>
      <c r="J4608" s="404">
        <v>0.35</v>
      </c>
      <c r="K4608" s="404">
        <v>1.4</v>
      </c>
    </row>
    <row r="4609" spans="1:11" ht="25.5" customHeight="1" x14ac:dyDescent="0.3">
      <c r="A4609" s="400" t="s">
        <v>1038</v>
      </c>
      <c r="B4609" s="401" t="s">
        <v>3221</v>
      </c>
      <c r="C4609" s="400" t="s">
        <v>575</v>
      </c>
      <c r="D4609" s="400" t="s">
        <v>3222</v>
      </c>
      <c r="E4609" s="605" t="s">
        <v>1323</v>
      </c>
      <c r="F4609" s="605"/>
      <c r="G4609" s="402" t="s">
        <v>4</v>
      </c>
      <c r="H4609" s="403">
        <v>1</v>
      </c>
      <c r="I4609" s="403">
        <v>0</v>
      </c>
      <c r="J4609" s="404">
        <v>7595</v>
      </c>
      <c r="K4609" s="404">
        <v>7595</v>
      </c>
    </row>
    <row r="4610" spans="1:11" ht="15" customHeight="1" x14ac:dyDescent="0.3">
      <c r="A4610" s="405"/>
      <c r="B4610" s="405"/>
      <c r="C4610" s="405"/>
      <c r="D4610" s="405"/>
      <c r="E4610" s="405" t="s">
        <v>1046</v>
      </c>
      <c r="F4610" s="406">
        <v>264.81</v>
      </c>
      <c r="G4610" s="405" t="s">
        <v>1047</v>
      </c>
      <c r="H4610" s="406">
        <v>0</v>
      </c>
      <c r="I4610" s="405" t="s">
        <v>1048</v>
      </c>
      <c r="J4610" s="406">
        <v>264.81</v>
      </c>
      <c r="K4610"/>
    </row>
    <row r="4611" spans="1:11" ht="38.25" customHeight="1" thickBot="1" x14ac:dyDescent="0.35">
      <c r="A4611" s="405"/>
      <c r="B4611" s="405"/>
      <c r="C4611" s="405"/>
      <c r="D4611" s="405"/>
      <c r="E4611" s="405" t="s">
        <v>1049</v>
      </c>
      <c r="F4611" s="406">
        <v>0</v>
      </c>
      <c r="G4611" s="405"/>
      <c r="H4611" s="606"/>
      <c r="I4611" s="606" t="s">
        <v>1050</v>
      </c>
      <c r="J4611" s="406">
        <v>7962.99</v>
      </c>
      <c r="K4611"/>
    </row>
    <row r="4612" spans="1:11" ht="25.5" customHeight="1" thickTop="1" x14ac:dyDescent="0.3">
      <c r="A4612" s="407"/>
      <c r="B4612" s="407"/>
      <c r="C4612" s="407"/>
      <c r="D4612" s="407"/>
      <c r="E4612" s="407"/>
      <c r="F4612" s="407"/>
      <c r="G4612" s="407"/>
      <c r="H4612" s="407"/>
      <c r="I4612" s="407"/>
      <c r="J4612" s="407"/>
      <c r="K4612" s="407"/>
    </row>
    <row r="4613" spans="1:11" ht="25.5" customHeight="1" x14ac:dyDescent="0.3">
      <c r="A4613" s="382" t="s">
        <v>3331</v>
      </c>
      <c r="B4613" s="312" t="s">
        <v>413</v>
      </c>
      <c r="C4613" s="382" t="s">
        <v>414</v>
      </c>
      <c r="D4613" s="382" t="s">
        <v>415</v>
      </c>
      <c r="E4613" s="586" t="s">
        <v>1029</v>
      </c>
      <c r="F4613" s="586"/>
      <c r="G4613" s="383" t="s">
        <v>416</v>
      </c>
      <c r="H4613" s="312" t="s">
        <v>1030</v>
      </c>
      <c r="I4613" s="312" t="s">
        <v>3016</v>
      </c>
      <c r="J4613" s="312" t="s">
        <v>1031</v>
      </c>
      <c r="K4613" s="312" t="s">
        <v>1032</v>
      </c>
    </row>
    <row r="4614" spans="1:11" ht="26.4" x14ac:dyDescent="0.3">
      <c r="A4614" s="313" t="s">
        <v>1033</v>
      </c>
      <c r="B4614" s="315" t="s">
        <v>2987</v>
      </c>
      <c r="C4614" s="313" t="s">
        <v>575</v>
      </c>
      <c r="D4614" s="313" t="s">
        <v>2915</v>
      </c>
      <c r="E4614" s="603" t="s">
        <v>1319</v>
      </c>
      <c r="F4614" s="603"/>
      <c r="G4614" s="314" t="s">
        <v>380</v>
      </c>
      <c r="H4614" s="399">
        <v>1</v>
      </c>
      <c r="I4614" s="316"/>
      <c r="J4614" s="316">
        <v>3376.53</v>
      </c>
      <c r="K4614" s="316">
        <v>3376.53</v>
      </c>
    </row>
    <row r="4615" spans="1:11" ht="25.5" customHeight="1" x14ac:dyDescent="0.3">
      <c r="A4615" s="408" t="s">
        <v>1034</v>
      </c>
      <c r="B4615" s="409" t="s">
        <v>1035</v>
      </c>
      <c r="C4615" s="408" t="s">
        <v>395</v>
      </c>
      <c r="D4615" s="408" t="s">
        <v>128</v>
      </c>
      <c r="E4615" s="604" t="s">
        <v>7768</v>
      </c>
      <c r="F4615" s="604"/>
      <c r="G4615" s="410" t="s">
        <v>6</v>
      </c>
      <c r="H4615" s="412">
        <v>0.73299999999999998</v>
      </c>
      <c r="I4615" s="412">
        <v>0</v>
      </c>
      <c r="J4615" s="411">
        <v>34.5</v>
      </c>
      <c r="K4615" s="411">
        <v>25.288499999999999</v>
      </c>
    </row>
    <row r="4616" spans="1:11" ht="25.5" customHeight="1" x14ac:dyDescent="0.3">
      <c r="A4616" s="408" t="s">
        <v>1034</v>
      </c>
      <c r="B4616" s="409" t="s">
        <v>1113</v>
      </c>
      <c r="C4616" s="408" t="s">
        <v>395</v>
      </c>
      <c r="D4616" s="408" t="s">
        <v>129</v>
      </c>
      <c r="E4616" s="604" t="s">
        <v>7768</v>
      </c>
      <c r="F4616" s="604"/>
      <c r="G4616" s="410" t="s">
        <v>6</v>
      </c>
      <c r="H4616" s="412">
        <v>0.74250000000000005</v>
      </c>
      <c r="I4616" s="412">
        <v>0</v>
      </c>
      <c r="J4616" s="411">
        <v>33.450000000000003</v>
      </c>
      <c r="K4616" s="411">
        <v>24.836625000000002</v>
      </c>
    </row>
    <row r="4617" spans="1:11" ht="25.5" customHeight="1" x14ac:dyDescent="0.3">
      <c r="A4617" s="408" t="s">
        <v>1034</v>
      </c>
      <c r="B4617" s="409" t="s">
        <v>1037</v>
      </c>
      <c r="C4617" s="408" t="s">
        <v>395</v>
      </c>
      <c r="D4617" s="408" t="s">
        <v>135</v>
      </c>
      <c r="E4617" s="604" t="s">
        <v>7768</v>
      </c>
      <c r="F4617" s="604"/>
      <c r="G4617" s="410" t="s">
        <v>6</v>
      </c>
      <c r="H4617" s="412">
        <v>0.73299999999999998</v>
      </c>
      <c r="I4617" s="412">
        <v>0</v>
      </c>
      <c r="J4617" s="411">
        <v>41.81</v>
      </c>
      <c r="K4617" s="411">
        <v>30.646730000000002</v>
      </c>
    </row>
    <row r="4618" spans="1:11" ht="25.5" customHeight="1" x14ac:dyDescent="0.3">
      <c r="A4618" s="408" t="s">
        <v>1034</v>
      </c>
      <c r="B4618" s="409" t="s">
        <v>1112</v>
      </c>
      <c r="C4618" s="408" t="s">
        <v>395</v>
      </c>
      <c r="D4618" s="408" t="s">
        <v>137</v>
      </c>
      <c r="E4618" s="604" t="s">
        <v>7768</v>
      </c>
      <c r="F4618" s="604"/>
      <c r="G4618" s="410" t="s">
        <v>6</v>
      </c>
      <c r="H4618" s="412">
        <v>0.74250000000000005</v>
      </c>
      <c r="I4618" s="412">
        <v>0</v>
      </c>
      <c r="J4618" s="411">
        <v>40.299999999999997</v>
      </c>
      <c r="K4618" s="411">
        <v>29.922750000000001</v>
      </c>
    </row>
    <row r="4619" spans="1:11" ht="25.5" customHeight="1" x14ac:dyDescent="0.3">
      <c r="A4619" s="400" t="s">
        <v>1038</v>
      </c>
      <c r="B4619" s="401" t="s">
        <v>3223</v>
      </c>
      <c r="C4619" s="400" t="s">
        <v>575</v>
      </c>
      <c r="D4619" s="400" t="s">
        <v>3224</v>
      </c>
      <c r="E4619" s="605" t="s">
        <v>1323</v>
      </c>
      <c r="F4619" s="605"/>
      <c r="G4619" s="402" t="s">
        <v>422</v>
      </c>
      <c r="H4619" s="403">
        <v>1</v>
      </c>
      <c r="I4619" s="403">
        <v>0</v>
      </c>
      <c r="J4619" s="404">
        <v>2453.7600000000002</v>
      </c>
      <c r="K4619" s="404">
        <v>2453.7600000000002</v>
      </c>
    </row>
    <row r="4620" spans="1:11" ht="15" customHeight="1" x14ac:dyDescent="0.3">
      <c r="A4620" s="400" t="s">
        <v>1038</v>
      </c>
      <c r="B4620" s="401" t="s">
        <v>3225</v>
      </c>
      <c r="C4620" s="400" t="s">
        <v>575</v>
      </c>
      <c r="D4620" s="400" t="s">
        <v>3226</v>
      </c>
      <c r="E4620" s="605" t="s">
        <v>1323</v>
      </c>
      <c r="F4620" s="605"/>
      <c r="G4620" s="402" t="s">
        <v>4</v>
      </c>
      <c r="H4620" s="403">
        <v>4</v>
      </c>
      <c r="I4620" s="403">
        <v>0</v>
      </c>
      <c r="J4620" s="404">
        <v>203.02</v>
      </c>
      <c r="K4620" s="404">
        <v>812.08</v>
      </c>
    </row>
    <row r="4621" spans="1:11" ht="12.75" customHeight="1" x14ac:dyDescent="0.3">
      <c r="A4621" s="405"/>
      <c r="B4621" s="405"/>
      <c r="C4621" s="405"/>
      <c r="D4621" s="405"/>
      <c r="E4621" s="405" t="s">
        <v>1046</v>
      </c>
      <c r="F4621" s="406">
        <v>81.13</v>
      </c>
      <c r="G4621" s="405" t="s">
        <v>1047</v>
      </c>
      <c r="H4621" s="406">
        <v>0</v>
      </c>
      <c r="I4621" s="405" t="s">
        <v>1048</v>
      </c>
      <c r="J4621" s="406">
        <v>81.13</v>
      </c>
      <c r="K4621"/>
    </row>
    <row r="4622" spans="1:11" ht="30" customHeight="1" thickBot="1" x14ac:dyDescent="0.35">
      <c r="A4622" s="405"/>
      <c r="B4622" s="405"/>
      <c r="C4622" s="405"/>
      <c r="D4622" s="405"/>
      <c r="E4622" s="405" t="s">
        <v>1049</v>
      </c>
      <c r="F4622" s="406">
        <v>0</v>
      </c>
      <c r="G4622" s="405"/>
      <c r="H4622" s="606"/>
      <c r="I4622" s="606" t="s">
        <v>1050</v>
      </c>
      <c r="J4622" s="406">
        <v>3376.53</v>
      </c>
      <c r="K4622"/>
    </row>
    <row r="4623" spans="1:11" ht="14.25" customHeight="1" thickTop="1" x14ac:dyDescent="0.3">
      <c r="A4623" s="407"/>
      <c r="B4623" s="407"/>
      <c r="C4623" s="407"/>
      <c r="D4623" s="407"/>
      <c r="E4623" s="407"/>
      <c r="F4623" s="407"/>
      <c r="G4623" s="407"/>
      <c r="H4623" s="407"/>
      <c r="I4623" s="407"/>
      <c r="J4623" s="407"/>
      <c r="K4623" s="407"/>
    </row>
    <row r="4624" spans="1:11" ht="38.25" customHeight="1" x14ac:dyDescent="0.3">
      <c r="A4624" s="382" t="s">
        <v>3332</v>
      </c>
      <c r="B4624" s="312" t="s">
        <v>413</v>
      </c>
      <c r="C4624" s="382" t="s">
        <v>414</v>
      </c>
      <c r="D4624" s="382" t="s">
        <v>415</v>
      </c>
      <c r="E4624" s="586" t="s">
        <v>1029</v>
      </c>
      <c r="F4624" s="586"/>
      <c r="G4624" s="383" t="s">
        <v>416</v>
      </c>
      <c r="H4624" s="312" t="s">
        <v>1030</v>
      </c>
      <c r="I4624" s="312" t="s">
        <v>3016</v>
      </c>
      <c r="J4624" s="312" t="s">
        <v>1031</v>
      </c>
      <c r="K4624" s="312" t="s">
        <v>1032</v>
      </c>
    </row>
    <row r="4625" spans="1:11" ht="25.5" customHeight="1" x14ac:dyDescent="0.3">
      <c r="A4625" s="313" t="s">
        <v>1033</v>
      </c>
      <c r="B4625" s="315" t="s">
        <v>2988</v>
      </c>
      <c r="C4625" s="313" t="s">
        <v>575</v>
      </c>
      <c r="D4625" s="313" t="s">
        <v>2916</v>
      </c>
      <c r="E4625" s="603" t="s">
        <v>1319</v>
      </c>
      <c r="F4625" s="603"/>
      <c r="G4625" s="314" t="s">
        <v>380</v>
      </c>
      <c r="H4625" s="399">
        <v>1</v>
      </c>
      <c r="I4625" s="316"/>
      <c r="J4625" s="316">
        <v>3632.63</v>
      </c>
      <c r="K4625" s="316">
        <v>3632.63</v>
      </c>
    </row>
    <row r="4626" spans="1:11" ht="25.5" customHeight="1" x14ac:dyDescent="0.3">
      <c r="A4626" s="408" t="s">
        <v>1034</v>
      </c>
      <c r="B4626" s="409" t="s">
        <v>1035</v>
      </c>
      <c r="C4626" s="408" t="s">
        <v>395</v>
      </c>
      <c r="D4626" s="408" t="s">
        <v>128</v>
      </c>
      <c r="E4626" s="604" t="s">
        <v>7768</v>
      </c>
      <c r="F4626" s="604"/>
      <c r="G4626" s="410" t="s">
        <v>6</v>
      </c>
      <c r="H4626" s="412">
        <v>0.93300000000000005</v>
      </c>
      <c r="I4626" s="412">
        <v>0</v>
      </c>
      <c r="J4626" s="411">
        <v>34.5</v>
      </c>
      <c r="K4626" s="411">
        <v>32.188499999999998</v>
      </c>
    </row>
    <row r="4627" spans="1:11" ht="25.5" customHeight="1" x14ac:dyDescent="0.3">
      <c r="A4627" s="408" t="s">
        <v>1034</v>
      </c>
      <c r="B4627" s="409" t="s">
        <v>1113</v>
      </c>
      <c r="C4627" s="408" t="s">
        <v>395</v>
      </c>
      <c r="D4627" s="408" t="s">
        <v>129</v>
      </c>
      <c r="E4627" s="604" t="s">
        <v>7768</v>
      </c>
      <c r="F4627" s="604"/>
      <c r="G4627" s="410" t="s">
        <v>6</v>
      </c>
      <c r="H4627" s="412">
        <v>0.9425</v>
      </c>
      <c r="I4627" s="412">
        <v>0</v>
      </c>
      <c r="J4627" s="411">
        <v>33.450000000000003</v>
      </c>
      <c r="K4627" s="411">
        <v>31.526624999999999</v>
      </c>
    </row>
    <row r="4628" spans="1:11" ht="25.5" customHeight="1" x14ac:dyDescent="0.3">
      <c r="A4628" s="408" t="s">
        <v>1034</v>
      </c>
      <c r="B4628" s="409" t="s">
        <v>1037</v>
      </c>
      <c r="C4628" s="408" t="s">
        <v>395</v>
      </c>
      <c r="D4628" s="408" t="s">
        <v>135</v>
      </c>
      <c r="E4628" s="604" t="s">
        <v>7768</v>
      </c>
      <c r="F4628" s="604"/>
      <c r="G4628" s="410" t="s">
        <v>6</v>
      </c>
      <c r="H4628" s="412">
        <v>0.93300000000000005</v>
      </c>
      <c r="I4628" s="412">
        <v>0</v>
      </c>
      <c r="J4628" s="411">
        <v>41.81</v>
      </c>
      <c r="K4628" s="411">
        <v>39.00873</v>
      </c>
    </row>
    <row r="4629" spans="1:11" ht="25.5" customHeight="1" x14ac:dyDescent="0.3">
      <c r="A4629" s="408" t="s">
        <v>1034</v>
      </c>
      <c r="B4629" s="409" t="s">
        <v>1112</v>
      </c>
      <c r="C4629" s="408" t="s">
        <v>395</v>
      </c>
      <c r="D4629" s="408" t="s">
        <v>137</v>
      </c>
      <c r="E4629" s="604" t="s">
        <v>7768</v>
      </c>
      <c r="F4629" s="604"/>
      <c r="G4629" s="410" t="s">
        <v>6</v>
      </c>
      <c r="H4629" s="412">
        <v>0.9425</v>
      </c>
      <c r="I4629" s="412">
        <v>0</v>
      </c>
      <c r="J4629" s="411">
        <v>40.299999999999997</v>
      </c>
      <c r="K4629" s="411">
        <v>37.982750000000003</v>
      </c>
    </row>
    <row r="4630" spans="1:11" ht="15" x14ac:dyDescent="0.3">
      <c r="A4630" s="400" t="s">
        <v>1038</v>
      </c>
      <c r="B4630" s="401" t="s">
        <v>3227</v>
      </c>
      <c r="C4630" s="400" t="s">
        <v>575</v>
      </c>
      <c r="D4630" s="400" t="s">
        <v>3228</v>
      </c>
      <c r="E4630" s="605" t="s">
        <v>1323</v>
      </c>
      <c r="F4630" s="605"/>
      <c r="G4630" s="402" t="s">
        <v>422</v>
      </c>
      <c r="H4630" s="403">
        <v>1</v>
      </c>
      <c r="I4630" s="403">
        <v>0</v>
      </c>
      <c r="J4630" s="404">
        <v>2580.6799999999998</v>
      </c>
      <c r="K4630" s="404">
        <v>2580.6799999999998</v>
      </c>
    </row>
    <row r="4631" spans="1:11" ht="12.75" customHeight="1" x14ac:dyDescent="0.3">
      <c r="A4631" s="400" t="s">
        <v>1038</v>
      </c>
      <c r="B4631" s="401" t="s">
        <v>3229</v>
      </c>
      <c r="C4631" s="400" t="s">
        <v>575</v>
      </c>
      <c r="D4631" s="400" t="s">
        <v>3230</v>
      </c>
      <c r="E4631" s="605" t="s">
        <v>1323</v>
      </c>
      <c r="F4631" s="605"/>
      <c r="G4631" s="402" t="s">
        <v>4</v>
      </c>
      <c r="H4631" s="403">
        <v>4</v>
      </c>
      <c r="I4631" s="403">
        <v>0</v>
      </c>
      <c r="J4631" s="404">
        <v>227.81</v>
      </c>
      <c r="K4631" s="404">
        <v>911.24</v>
      </c>
    </row>
    <row r="4632" spans="1:11" ht="15" x14ac:dyDescent="0.3">
      <c r="A4632" s="405"/>
      <c r="B4632" s="405"/>
      <c r="C4632" s="405"/>
      <c r="D4632" s="405"/>
      <c r="E4632" s="405" t="s">
        <v>1046</v>
      </c>
      <c r="F4632" s="406">
        <v>103.13</v>
      </c>
      <c r="G4632" s="405" t="s">
        <v>1047</v>
      </c>
      <c r="H4632" s="406">
        <v>0</v>
      </c>
      <c r="I4632" s="405" t="s">
        <v>1048</v>
      </c>
      <c r="J4632" s="406">
        <v>103.13</v>
      </c>
      <c r="K4632"/>
    </row>
    <row r="4633" spans="1:11" ht="15" customHeight="1" thickBot="1" x14ac:dyDescent="0.35">
      <c r="A4633" s="405"/>
      <c r="B4633" s="405"/>
      <c r="C4633" s="405"/>
      <c r="D4633" s="405"/>
      <c r="E4633" s="405" t="s">
        <v>1049</v>
      </c>
      <c r="F4633" s="406">
        <v>0</v>
      </c>
      <c r="G4633" s="405"/>
      <c r="H4633" s="606"/>
      <c r="I4633" s="606" t="s">
        <v>1050</v>
      </c>
      <c r="J4633" s="406">
        <v>3632.63</v>
      </c>
      <c r="K4633"/>
    </row>
    <row r="4634" spans="1:11" ht="30" customHeight="1" thickTop="1" x14ac:dyDescent="0.3">
      <c r="A4634" s="407"/>
      <c r="B4634" s="407"/>
      <c r="C4634" s="407"/>
      <c r="D4634" s="407"/>
      <c r="E4634" s="407"/>
      <c r="F4634" s="407"/>
      <c r="G4634" s="407"/>
      <c r="H4634" s="407"/>
      <c r="I4634" s="407"/>
      <c r="J4634" s="407"/>
      <c r="K4634" s="407"/>
    </row>
    <row r="4635" spans="1:11" ht="25.5" customHeight="1" x14ac:dyDescent="0.3">
      <c r="A4635" s="382" t="s">
        <v>3333</v>
      </c>
      <c r="B4635" s="312" t="s">
        <v>413</v>
      </c>
      <c r="C4635" s="382" t="s">
        <v>414</v>
      </c>
      <c r="D4635" s="382" t="s">
        <v>415</v>
      </c>
      <c r="E4635" s="586" t="s">
        <v>1029</v>
      </c>
      <c r="F4635" s="586"/>
      <c r="G4635" s="383" t="s">
        <v>416</v>
      </c>
      <c r="H4635" s="312" t="s">
        <v>1030</v>
      </c>
      <c r="I4635" s="312" t="s">
        <v>3016</v>
      </c>
      <c r="J4635" s="312" t="s">
        <v>1031</v>
      </c>
      <c r="K4635" s="312" t="s">
        <v>1032</v>
      </c>
    </row>
    <row r="4636" spans="1:11" ht="26.4" x14ac:dyDescent="0.3">
      <c r="A4636" s="313" t="s">
        <v>1033</v>
      </c>
      <c r="B4636" s="315" t="s">
        <v>3950</v>
      </c>
      <c r="C4636" s="313" t="s">
        <v>395</v>
      </c>
      <c r="D4636" s="313" t="s">
        <v>337</v>
      </c>
      <c r="E4636" s="603" t="s">
        <v>7884</v>
      </c>
      <c r="F4636" s="603"/>
      <c r="G4636" s="314" t="s">
        <v>4</v>
      </c>
      <c r="H4636" s="399">
        <v>1</v>
      </c>
      <c r="I4636" s="316"/>
      <c r="J4636" s="316">
        <v>629.53</v>
      </c>
      <c r="K4636" s="316">
        <v>629.53</v>
      </c>
    </row>
    <row r="4637" spans="1:11" ht="25.5" customHeight="1" x14ac:dyDescent="0.3">
      <c r="A4637" s="408" t="s">
        <v>1034</v>
      </c>
      <c r="B4637" s="409" t="s">
        <v>1113</v>
      </c>
      <c r="C4637" s="408" t="s">
        <v>395</v>
      </c>
      <c r="D4637" s="408" t="s">
        <v>129</v>
      </c>
      <c r="E4637" s="604" t="s">
        <v>7768</v>
      </c>
      <c r="F4637" s="604"/>
      <c r="G4637" s="410" t="s">
        <v>6</v>
      </c>
      <c r="H4637" s="412">
        <v>0.1537</v>
      </c>
      <c r="I4637" s="412">
        <v>0</v>
      </c>
      <c r="J4637" s="411">
        <v>33.450000000000003</v>
      </c>
      <c r="K4637" s="411">
        <v>5.1412649999999998</v>
      </c>
    </row>
    <row r="4638" spans="1:11" ht="14.25" customHeight="1" x14ac:dyDescent="0.3">
      <c r="A4638" s="408" t="s">
        <v>1034</v>
      </c>
      <c r="B4638" s="409" t="s">
        <v>1112</v>
      </c>
      <c r="C4638" s="408" t="s">
        <v>395</v>
      </c>
      <c r="D4638" s="408" t="s">
        <v>137</v>
      </c>
      <c r="E4638" s="604" t="s">
        <v>7768</v>
      </c>
      <c r="F4638" s="604"/>
      <c r="G4638" s="410" t="s">
        <v>6</v>
      </c>
      <c r="H4638" s="412">
        <v>0.1537</v>
      </c>
      <c r="I4638" s="412">
        <v>0</v>
      </c>
      <c r="J4638" s="411">
        <v>40.299999999999997</v>
      </c>
      <c r="K4638" s="411">
        <v>6.1941100000000002</v>
      </c>
    </row>
    <row r="4639" spans="1:11" ht="25.5" customHeight="1" x14ac:dyDescent="0.3">
      <c r="A4639" s="400" t="s">
        <v>1038</v>
      </c>
      <c r="B4639" s="401" t="s">
        <v>4106</v>
      </c>
      <c r="C4639" s="400" t="s">
        <v>395</v>
      </c>
      <c r="D4639" s="400" t="s">
        <v>4107</v>
      </c>
      <c r="E4639" s="605" t="s">
        <v>1039</v>
      </c>
      <c r="F4639" s="605"/>
      <c r="G4639" s="402" t="s">
        <v>4</v>
      </c>
      <c r="H4639" s="403">
        <v>1</v>
      </c>
      <c r="I4639" s="403">
        <v>0</v>
      </c>
      <c r="J4639" s="404">
        <v>618.19000000000005</v>
      </c>
      <c r="K4639" s="404">
        <v>618.19000000000005</v>
      </c>
    </row>
    <row r="4640" spans="1:11" ht="12.75" customHeight="1" x14ac:dyDescent="0.3">
      <c r="A4640" s="405"/>
      <c r="B4640" s="405"/>
      <c r="C4640" s="405"/>
      <c r="D4640" s="405"/>
      <c r="E4640" s="405" t="s">
        <v>1046</v>
      </c>
      <c r="F4640" s="406">
        <v>8.35</v>
      </c>
      <c r="G4640" s="405" t="s">
        <v>1047</v>
      </c>
      <c r="H4640" s="406">
        <v>0</v>
      </c>
      <c r="I4640" s="405" t="s">
        <v>1048</v>
      </c>
      <c r="J4640" s="406">
        <v>8.35</v>
      </c>
      <c r="K4640"/>
    </row>
    <row r="4641" spans="1:11" ht="15.6" thickBot="1" x14ac:dyDescent="0.35">
      <c r="A4641" s="405"/>
      <c r="B4641" s="405"/>
      <c r="C4641" s="405"/>
      <c r="D4641" s="405"/>
      <c r="E4641" s="405" t="s">
        <v>1049</v>
      </c>
      <c r="F4641" s="406">
        <v>0</v>
      </c>
      <c r="G4641" s="405"/>
      <c r="H4641" s="606"/>
      <c r="I4641" s="606" t="s">
        <v>1050</v>
      </c>
      <c r="J4641" s="406">
        <v>629.53</v>
      </c>
      <c r="K4641"/>
    </row>
    <row r="4642" spans="1:11" ht="15.6" thickTop="1" x14ac:dyDescent="0.3">
      <c r="A4642" s="407"/>
      <c r="B4642" s="407"/>
      <c r="C4642" s="407"/>
      <c r="D4642" s="407"/>
      <c r="E4642" s="407"/>
      <c r="F4642" s="407"/>
      <c r="G4642" s="407"/>
      <c r="H4642" s="407"/>
      <c r="I4642" s="407"/>
      <c r="J4642" s="407"/>
      <c r="K4642" s="407"/>
    </row>
    <row r="4643" spans="1:11" ht="15" customHeight="1" x14ac:dyDescent="0.3">
      <c r="A4643" s="382" t="s">
        <v>3334</v>
      </c>
      <c r="B4643" s="312" t="s">
        <v>413</v>
      </c>
      <c r="C4643" s="382" t="s">
        <v>414</v>
      </c>
      <c r="D4643" s="382" t="s">
        <v>415</v>
      </c>
      <c r="E4643" s="586" t="s">
        <v>1029</v>
      </c>
      <c r="F4643" s="586"/>
      <c r="G4643" s="383" t="s">
        <v>416</v>
      </c>
      <c r="H4643" s="312" t="s">
        <v>1030</v>
      </c>
      <c r="I4643" s="312" t="s">
        <v>3016</v>
      </c>
      <c r="J4643" s="312" t="s">
        <v>1031</v>
      </c>
      <c r="K4643" s="312" t="s">
        <v>1032</v>
      </c>
    </row>
    <row r="4644" spans="1:11" ht="25.5" customHeight="1" x14ac:dyDescent="0.3">
      <c r="A4644" s="313" t="s">
        <v>1033</v>
      </c>
      <c r="B4644" s="315" t="s">
        <v>3951</v>
      </c>
      <c r="C4644" s="313" t="s">
        <v>395</v>
      </c>
      <c r="D4644" s="313" t="s">
        <v>338</v>
      </c>
      <c r="E4644" s="603" t="s">
        <v>7884</v>
      </c>
      <c r="F4644" s="603"/>
      <c r="G4644" s="314" t="s">
        <v>4</v>
      </c>
      <c r="H4644" s="399">
        <v>1</v>
      </c>
      <c r="I4644" s="316"/>
      <c r="J4644" s="316">
        <v>3396.62</v>
      </c>
      <c r="K4644" s="316">
        <v>3396.62</v>
      </c>
    </row>
    <row r="4645" spans="1:11" ht="25.5" customHeight="1" x14ac:dyDescent="0.3">
      <c r="A4645" s="408" t="s">
        <v>1034</v>
      </c>
      <c r="B4645" s="409" t="s">
        <v>1113</v>
      </c>
      <c r="C4645" s="408" t="s">
        <v>395</v>
      </c>
      <c r="D4645" s="408" t="s">
        <v>129</v>
      </c>
      <c r="E4645" s="604" t="s">
        <v>7768</v>
      </c>
      <c r="F4645" s="604"/>
      <c r="G4645" s="410" t="s">
        <v>6</v>
      </c>
      <c r="H4645" s="412">
        <v>1.4821</v>
      </c>
      <c r="I4645" s="412">
        <v>0</v>
      </c>
      <c r="J4645" s="411">
        <v>33.450000000000003</v>
      </c>
      <c r="K4645" s="411">
        <v>49.576245</v>
      </c>
    </row>
    <row r="4646" spans="1:11" ht="25.5" customHeight="1" x14ac:dyDescent="0.3">
      <c r="A4646" s="408" t="s">
        <v>1034</v>
      </c>
      <c r="B4646" s="409" t="s">
        <v>1112</v>
      </c>
      <c r="C4646" s="408" t="s">
        <v>395</v>
      </c>
      <c r="D4646" s="408" t="s">
        <v>137</v>
      </c>
      <c r="E4646" s="604" t="s">
        <v>7768</v>
      </c>
      <c r="F4646" s="604"/>
      <c r="G4646" s="410" t="s">
        <v>6</v>
      </c>
      <c r="H4646" s="412">
        <v>1.4821</v>
      </c>
      <c r="I4646" s="412">
        <v>0</v>
      </c>
      <c r="J4646" s="411">
        <v>40.299999999999997</v>
      </c>
      <c r="K4646" s="411">
        <v>59.728630000000003</v>
      </c>
    </row>
    <row r="4647" spans="1:11" ht="25.5" customHeight="1" x14ac:dyDescent="0.3">
      <c r="A4647" s="408" t="s">
        <v>1034</v>
      </c>
      <c r="B4647" s="409" t="s">
        <v>5258</v>
      </c>
      <c r="C4647" s="408" t="s">
        <v>395</v>
      </c>
      <c r="D4647" s="408" t="s">
        <v>5259</v>
      </c>
      <c r="E4647" s="604" t="s">
        <v>7772</v>
      </c>
      <c r="F4647" s="604"/>
      <c r="G4647" s="410" t="s">
        <v>15</v>
      </c>
      <c r="H4647" s="412">
        <v>0.26340000000000002</v>
      </c>
      <c r="I4647" s="412">
        <v>0</v>
      </c>
      <c r="J4647" s="411">
        <v>370.74</v>
      </c>
      <c r="K4647" s="411">
        <v>97.652916000000005</v>
      </c>
    </row>
    <row r="4648" spans="1:11" ht="25.5" customHeight="1" x14ac:dyDescent="0.3">
      <c r="A4648" s="408" t="s">
        <v>1034</v>
      </c>
      <c r="B4648" s="409" t="s">
        <v>5256</v>
      </c>
      <c r="C4648" s="408" t="s">
        <v>395</v>
      </c>
      <c r="D4648" s="408" t="s">
        <v>5257</v>
      </c>
      <c r="E4648" s="604" t="s">
        <v>7772</v>
      </c>
      <c r="F4648" s="604"/>
      <c r="G4648" s="410" t="s">
        <v>19</v>
      </c>
      <c r="H4648" s="412">
        <v>2.3611</v>
      </c>
      <c r="I4648" s="412">
        <v>0</v>
      </c>
      <c r="J4648" s="411">
        <v>193.93</v>
      </c>
      <c r="K4648" s="411">
        <v>457.88812300000001</v>
      </c>
    </row>
    <row r="4649" spans="1:11" ht="25.5" customHeight="1" x14ac:dyDescent="0.3">
      <c r="A4649" s="400" t="s">
        <v>1038</v>
      </c>
      <c r="B4649" s="401" t="s">
        <v>4043</v>
      </c>
      <c r="C4649" s="400" t="s">
        <v>395</v>
      </c>
      <c r="D4649" s="400" t="s">
        <v>4044</v>
      </c>
      <c r="E4649" s="605" t="s">
        <v>1039</v>
      </c>
      <c r="F4649" s="605"/>
      <c r="G4649" s="402" t="s">
        <v>4</v>
      </c>
      <c r="H4649" s="403">
        <v>1</v>
      </c>
      <c r="I4649" s="403">
        <v>0</v>
      </c>
      <c r="J4649" s="404">
        <v>2731.77</v>
      </c>
      <c r="K4649" s="404">
        <v>2731.77</v>
      </c>
    </row>
    <row r="4650" spans="1:11" ht="12.75" customHeight="1" x14ac:dyDescent="0.3">
      <c r="A4650" s="405"/>
      <c r="B4650" s="405"/>
      <c r="C4650" s="405"/>
      <c r="D4650" s="405"/>
      <c r="E4650" s="405" t="s">
        <v>1046</v>
      </c>
      <c r="F4650" s="406">
        <v>175.03</v>
      </c>
      <c r="G4650" s="405" t="s">
        <v>1047</v>
      </c>
      <c r="H4650" s="406">
        <v>0</v>
      </c>
      <c r="I4650" s="405" t="s">
        <v>1048</v>
      </c>
      <c r="J4650" s="406">
        <v>175.03</v>
      </c>
      <c r="K4650"/>
    </row>
    <row r="4651" spans="1:11" ht="15.6" thickBot="1" x14ac:dyDescent="0.35">
      <c r="A4651" s="405"/>
      <c r="B4651" s="405"/>
      <c r="C4651" s="405"/>
      <c r="D4651" s="405"/>
      <c r="E4651" s="405" t="s">
        <v>1049</v>
      </c>
      <c r="F4651" s="406">
        <v>0</v>
      </c>
      <c r="G4651" s="405"/>
      <c r="H4651" s="606"/>
      <c r="I4651" s="606" t="s">
        <v>1050</v>
      </c>
      <c r="J4651" s="406">
        <v>3396.62</v>
      </c>
      <c r="K4651"/>
    </row>
    <row r="4652" spans="1:11" ht="14.25" customHeight="1" thickTop="1" x14ac:dyDescent="0.3">
      <c r="A4652" s="407"/>
      <c r="B4652" s="407"/>
      <c r="C4652" s="407"/>
      <c r="D4652" s="407"/>
      <c r="E4652" s="407"/>
      <c r="F4652" s="407"/>
      <c r="G4652" s="407"/>
      <c r="H4652" s="407"/>
      <c r="I4652" s="407"/>
      <c r="J4652" s="407"/>
      <c r="K4652" s="407"/>
    </row>
    <row r="4653" spans="1:11" ht="14.25" customHeight="1" x14ac:dyDescent="0.3">
      <c r="A4653" s="382" t="s">
        <v>3335</v>
      </c>
      <c r="B4653" s="312" t="s">
        <v>413</v>
      </c>
      <c r="C4653" s="382" t="s">
        <v>414</v>
      </c>
      <c r="D4653" s="382" t="s">
        <v>415</v>
      </c>
      <c r="E4653" s="586" t="s">
        <v>1029</v>
      </c>
      <c r="F4653" s="586"/>
      <c r="G4653" s="383" t="s">
        <v>416</v>
      </c>
      <c r="H4653" s="312" t="s">
        <v>1030</v>
      </c>
      <c r="I4653" s="312" t="s">
        <v>3016</v>
      </c>
      <c r="J4653" s="312" t="s">
        <v>1031</v>
      </c>
      <c r="K4653" s="312" t="s">
        <v>1032</v>
      </c>
    </row>
    <row r="4654" spans="1:11" ht="25.5" customHeight="1" x14ac:dyDescent="0.3">
      <c r="A4654" s="313" t="s">
        <v>1033</v>
      </c>
      <c r="B4654" s="315" t="s">
        <v>3952</v>
      </c>
      <c r="C4654" s="313" t="s">
        <v>395</v>
      </c>
      <c r="D4654" s="313" t="s">
        <v>6053</v>
      </c>
      <c r="E4654" s="603" t="s">
        <v>7873</v>
      </c>
      <c r="F4654" s="603"/>
      <c r="G4654" s="314" t="s">
        <v>7</v>
      </c>
      <c r="H4654" s="399">
        <v>1</v>
      </c>
      <c r="I4654" s="316"/>
      <c r="J4654" s="316">
        <v>28.96</v>
      </c>
      <c r="K4654" s="316">
        <v>28.96</v>
      </c>
    </row>
    <row r="4655" spans="1:11" ht="25.5" customHeight="1" x14ac:dyDescent="0.3">
      <c r="A4655" s="408" t="s">
        <v>1034</v>
      </c>
      <c r="B4655" s="409" t="s">
        <v>1113</v>
      </c>
      <c r="C4655" s="408" t="s">
        <v>395</v>
      </c>
      <c r="D4655" s="408" t="s">
        <v>129</v>
      </c>
      <c r="E4655" s="604" t="s">
        <v>7768</v>
      </c>
      <c r="F4655" s="604"/>
      <c r="G4655" s="410" t="s">
        <v>6</v>
      </c>
      <c r="H4655" s="412">
        <v>0.29299999999999998</v>
      </c>
      <c r="I4655" s="412">
        <v>0</v>
      </c>
      <c r="J4655" s="411">
        <v>33.450000000000003</v>
      </c>
      <c r="K4655" s="411">
        <v>9.8008500000000005</v>
      </c>
    </row>
    <row r="4656" spans="1:11" ht="25.5" customHeight="1" x14ac:dyDescent="0.3">
      <c r="A4656" s="408" t="s">
        <v>1034</v>
      </c>
      <c r="B4656" s="409" t="s">
        <v>1112</v>
      </c>
      <c r="C4656" s="408" t="s">
        <v>395</v>
      </c>
      <c r="D4656" s="408" t="s">
        <v>137</v>
      </c>
      <c r="E4656" s="604" t="s">
        <v>7768</v>
      </c>
      <c r="F4656" s="604"/>
      <c r="G4656" s="410" t="s">
        <v>6</v>
      </c>
      <c r="H4656" s="412">
        <v>0.29299999999999998</v>
      </c>
      <c r="I4656" s="412">
        <v>0</v>
      </c>
      <c r="J4656" s="411">
        <v>40.299999999999997</v>
      </c>
      <c r="K4656" s="411">
        <v>11.8079</v>
      </c>
    </row>
    <row r="4657" spans="1:11" ht="26.4" x14ac:dyDescent="0.3">
      <c r="A4657" s="400" t="s">
        <v>1038</v>
      </c>
      <c r="B4657" s="401" t="s">
        <v>4804</v>
      </c>
      <c r="C4657" s="400" t="s">
        <v>395</v>
      </c>
      <c r="D4657" s="400" t="s">
        <v>4805</v>
      </c>
      <c r="E4657" s="605" t="s">
        <v>1039</v>
      </c>
      <c r="F4657" s="605"/>
      <c r="G4657" s="402" t="s">
        <v>7</v>
      </c>
      <c r="H4657" s="403">
        <v>1.0548999999999999</v>
      </c>
      <c r="I4657" s="403">
        <v>0</v>
      </c>
      <c r="J4657" s="404">
        <v>6.94</v>
      </c>
      <c r="K4657" s="404">
        <v>7.3210059999999997</v>
      </c>
    </row>
    <row r="4658" spans="1:11" ht="15" customHeight="1" x14ac:dyDescent="0.3">
      <c r="A4658" s="400" t="s">
        <v>1038</v>
      </c>
      <c r="B4658" s="401" t="s">
        <v>1372</v>
      </c>
      <c r="C4658" s="400" t="s">
        <v>395</v>
      </c>
      <c r="D4658" s="400" t="s">
        <v>266</v>
      </c>
      <c r="E4658" s="605" t="s">
        <v>1039</v>
      </c>
      <c r="F4658" s="605"/>
      <c r="G4658" s="402" t="s">
        <v>4</v>
      </c>
      <c r="H4658" s="403">
        <v>1.6299999999999999E-2</v>
      </c>
      <c r="I4658" s="403">
        <v>0</v>
      </c>
      <c r="J4658" s="404">
        <v>2.09</v>
      </c>
      <c r="K4658" s="404">
        <v>3.4067E-2</v>
      </c>
    </row>
    <row r="4659" spans="1:11" ht="30" customHeight="1" x14ac:dyDescent="0.3">
      <c r="A4659" s="405"/>
      <c r="B4659" s="405"/>
      <c r="C4659" s="405"/>
      <c r="D4659" s="405"/>
      <c r="E4659" s="405" t="s">
        <v>1046</v>
      </c>
      <c r="F4659" s="406">
        <v>15.91</v>
      </c>
      <c r="G4659" s="405" t="s">
        <v>1047</v>
      </c>
      <c r="H4659" s="406">
        <v>0</v>
      </c>
      <c r="I4659" s="405" t="s">
        <v>1048</v>
      </c>
      <c r="J4659" s="406">
        <v>15.91</v>
      </c>
      <c r="K4659"/>
    </row>
    <row r="4660" spans="1:11" ht="12.75" customHeight="1" thickBot="1" x14ac:dyDescent="0.35">
      <c r="A4660" s="405"/>
      <c r="B4660" s="405"/>
      <c r="C4660" s="405"/>
      <c r="D4660" s="405"/>
      <c r="E4660" s="405" t="s">
        <v>1049</v>
      </c>
      <c r="F4660" s="406">
        <v>0</v>
      </c>
      <c r="G4660" s="405"/>
      <c r="H4660" s="606"/>
      <c r="I4660" s="606" t="s">
        <v>1050</v>
      </c>
      <c r="J4660" s="406">
        <v>28.96</v>
      </c>
      <c r="K4660"/>
    </row>
    <row r="4661" spans="1:11" ht="25.5" customHeight="1" thickTop="1" x14ac:dyDescent="0.3">
      <c r="A4661" s="407"/>
      <c r="B4661" s="407"/>
      <c r="C4661" s="407"/>
      <c r="D4661" s="407"/>
      <c r="E4661" s="407"/>
      <c r="F4661" s="407"/>
      <c r="G4661" s="407"/>
      <c r="H4661" s="407"/>
      <c r="I4661" s="407"/>
      <c r="J4661" s="407"/>
      <c r="K4661" s="407"/>
    </row>
    <row r="4662" spans="1:11" ht="14.25" customHeight="1" x14ac:dyDescent="0.3">
      <c r="A4662" s="382" t="s">
        <v>2253</v>
      </c>
      <c r="B4662" s="312" t="s">
        <v>413</v>
      </c>
      <c r="C4662" s="382" t="s">
        <v>414</v>
      </c>
      <c r="D4662" s="382" t="s">
        <v>415</v>
      </c>
      <c r="E4662" s="586" t="s">
        <v>1029</v>
      </c>
      <c r="F4662" s="586"/>
      <c r="G4662" s="383" t="s">
        <v>416</v>
      </c>
      <c r="H4662" s="312" t="s">
        <v>1030</v>
      </c>
      <c r="I4662" s="312" t="s">
        <v>3016</v>
      </c>
      <c r="J4662" s="312" t="s">
        <v>1031</v>
      </c>
      <c r="K4662" s="312" t="s">
        <v>1032</v>
      </c>
    </row>
    <row r="4663" spans="1:11" ht="14.25" customHeight="1" x14ac:dyDescent="0.3">
      <c r="A4663" s="313" t="s">
        <v>1033</v>
      </c>
      <c r="B4663" s="315" t="s">
        <v>3953</v>
      </c>
      <c r="C4663" s="313" t="s">
        <v>395</v>
      </c>
      <c r="D4663" s="313" t="s">
        <v>6054</v>
      </c>
      <c r="E4663" s="603" t="s">
        <v>7873</v>
      </c>
      <c r="F4663" s="603"/>
      <c r="G4663" s="314" t="s">
        <v>7</v>
      </c>
      <c r="H4663" s="399">
        <v>1</v>
      </c>
      <c r="I4663" s="316"/>
      <c r="J4663" s="316">
        <v>35.590000000000003</v>
      </c>
      <c r="K4663" s="316">
        <v>35.590000000000003</v>
      </c>
    </row>
    <row r="4664" spans="1:11" ht="25.5" customHeight="1" x14ac:dyDescent="0.3">
      <c r="A4664" s="408" t="s">
        <v>1034</v>
      </c>
      <c r="B4664" s="409" t="s">
        <v>1113</v>
      </c>
      <c r="C4664" s="408" t="s">
        <v>395</v>
      </c>
      <c r="D4664" s="408" t="s">
        <v>129</v>
      </c>
      <c r="E4664" s="604" t="s">
        <v>7768</v>
      </c>
      <c r="F4664" s="604"/>
      <c r="G4664" s="410" t="s">
        <v>6</v>
      </c>
      <c r="H4664" s="412">
        <v>0.31819999999999998</v>
      </c>
      <c r="I4664" s="412">
        <v>0</v>
      </c>
      <c r="J4664" s="411">
        <v>33.450000000000003</v>
      </c>
      <c r="K4664" s="411">
        <v>10.643789999999999</v>
      </c>
    </row>
    <row r="4665" spans="1:11" ht="25.5" customHeight="1" x14ac:dyDescent="0.3">
      <c r="A4665" s="408" t="s">
        <v>1034</v>
      </c>
      <c r="B4665" s="409" t="s">
        <v>1112</v>
      </c>
      <c r="C4665" s="408" t="s">
        <v>395</v>
      </c>
      <c r="D4665" s="408" t="s">
        <v>137</v>
      </c>
      <c r="E4665" s="604" t="s">
        <v>7768</v>
      </c>
      <c r="F4665" s="604"/>
      <c r="G4665" s="410" t="s">
        <v>6</v>
      </c>
      <c r="H4665" s="412">
        <v>0.31819999999999998</v>
      </c>
      <c r="I4665" s="412">
        <v>0</v>
      </c>
      <c r="J4665" s="411">
        <v>40.299999999999997</v>
      </c>
      <c r="K4665" s="411">
        <v>12.823460000000001</v>
      </c>
    </row>
    <row r="4666" spans="1:11" ht="25.5" customHeight="1" x14ac:dyDescent="0.3">
      <c r="A4666" s="400" t="s">
        <v>1038</v>
      </c>
      <c r="B4666" s="401" t="s">
        <v>4725</v>
      </c>
      <c r="C4666" s="400" t="s">
        <v>395</v>
      </c>
      <c r="D4666" s="400" t="s">
        <v>4726</v>
      </c>
      <c r="E4666" s="605" t="s">
        <v>1039</v>
      </c>
      <c r="F4666" s="605"/>
      <c r="G4666" s="402" t="s">
        <v>7</v>
      </c>
      <c r="H4666" s="403">
        <v>1.0548999999999999</v>
      </c>
      <c r="I4666" s="403">
        <v>0</v>
      </c>
      <c r="J4666" s="404">
        <v>11.46</v>
      </c>
      <c r="K4666" s="404">
        <v>12.089154000000001</v>
      </c>
    </row>
    <row r="4667" spans="1:11" ht="38.25" customHeight="1" x14ac:dyDescent="0.3">
      <c r="A4667" s="400" t="s">
        <v>1038</v>
      </c>
      <c r="B4667" s="401" t="s">
        <v>1372</v>
      </c>
      <c r="C4667" s="400" t="s">
        <v>395</v>
      </c>
      <c r="D4667" s="400" t="s">
        <v>266</v>
      </c>
      <c r="E4667" s="605" t="s">
        <v>1039</v>
      </c>
      <c r="F4667" s="605"/>
      <c r="G4667" s="402" t="s">
        <v>4</v>
      </c>
      <c r="H4667" s="403">
        <v>1.77E-2</v>
      </c>
      <c r="I4667" s="403">
        <v>0</v>
      </c>
      <c r="J4667" s="404">
        <v>2.09</v>
      </c>
      <c r="K4667" s="404">
        <v>3.6992999999999998E-2</v>
      </c>
    </row>
    <row r="4668" spans="1:11" ht="25.5" customHeight="1" x14ac:dyDescent="0.3">
      <c r="A4668" s="405"/>
      <c r="B4668" s="405"/>
      <c r="C4668" s="405"/>
      <c r="D4668" s="405"/>
      <c r="E4668" s="405" t="s">
        <v>1046</v>
      </c>
      <c r="F4668" s="406">
        <v>17.28</v>
      </c>
      <c r="G4668" s="405" t="s">
        <v>1047</v>
      </c>
      <c r="H4668" s="406">
        <v>0</v>
      </c>
      <c r="I4668" s="405" t="s">
        <v>1048</v>
      </c>
      <c r="J4668" s="406">
        <v>17.28</v>
      </c>
      <c r="K4668"/>
    </row>
    <row r="4669" spans="1:11" ht="25.5" customHeight="1" thickBot="1" x14ac:dyDescent="0.35">
      <c r="A4669" s="405"/>
      <c r="B4669" s="405"/>
      <c r="C4669" s="405"/>
      <c r="D4669" s="405"/>
      <c r="E4669" s="405" t="s">
        <v>1049</v>
      </c>
      <c r="F4669" s="406">
        <v>0</v>
      </c>
      <c r="G4669" s="405"/>
      <c r="H4669" s="606"/>
      <c r="I4669" s="606" t="s">
        <v>1050</v>
      </c>
      <c r="J4669" s="406">
        <v>35.590000000000003</v>
      </c>
      <c r="K4669"/>
    </row>
    <row r="4670" spans="1:11" ht="12.75" customHeight="1" thickTop="1" x14ac:dyDescent="0.3">
      <c r="A4670" s="407"/>
      <c r="B4670" s="407"/>
      <c r="C4670" s="407"/>
      <c r="D4670" s="407"/>
      <c r="E4670" s="407"/>
      <c r="F4670" s="407"/>
      <c r="G4670" s="407"/>
      <c r="H4670" s="407"/>
      <c r="I4670" s="407"/>
      <c r="J4670" s="407"/>
      <c r="K4670" s="407"/>
    </row>
    <row r="4671" spans="1:11" ht="15" x14ac:dyDescent="0.3">
      <c r="A4671" s="382" t="s">
        <v>3336</v>
      </c>
      <c r="B4671" s="312" t="s">
        <v>413</v>
      </c>
      <c r="C4671" s="382" t="s">
        <v>414</v>
      </c>
      <c r="D4671" s="382" t="s">
        <v>415</v>
      </c>
      <c r="E4671" s="586" t="s">
        <v>1029</v>
      </c>
      <c r="F4671" s="586"/>
      <c r="G4671" s="383" t="s">
        <v>416</v>
      </c>
      <c r="H4671" s="312" t="s">
        <v>1030</v>
      </c>
      <c r="I4671" s="312" t="s">
        <v>3016</v>
      </c>
      <c r="J4671" s="312" t="s">
        <v>1031</v>
      </c>
      <c r="K4671" s="312" t="s">
        <v>1032</v>
      </c>
    </row>
    <row r="4672" spans="1:11" ht="15" customHeight="1" x14ac:dyDescent="0.3">
      <c r="A4672" s="313" t="s">
        <v>1033</v>
      </c>
      <c r="B4672" s="315" t="s">
        <v>3954</v>
      </c>
      <c r="C4672" s="313" t="s">
        <v>395</v>
      </c>
      <c r="D4672" s="313" t="s">
        <v>6055</v>
      </c>
      <c r="E4672" s="603" t="s">
        <v>7873</v>
      </c>
      <c r="F4672" s="603"/>
      <c r="G4672" s="314" t="s">
        <v>7</v>
      </c>
      <c r="H4672" s="399">
        <v>1</v>
      </c>
      <c r="I4672" s="316"/>
      <c r="J4672" s="316">
        <v>44.03</v>
      </c>
      <c r="K4672" s="316">
        <v>44.03</v>
      </c>
    </row>
    <row r="4673" spans="1:11" ht="14.25" customHeight="1" x14ac:dyDescent="0.3">
      <c r="A4673" s="408" t="s">
        <v>1034</v>
      </c>
      <c r="B4673" s="409" t="s">
        <v>1113</v>
      </c>
      <c r="C4673" s="408" t="s">
        <v>395</v>
      </c>
      <c r="D4673" s="408" t="s">
        <v>129</v>
      </c>
      <c r="E4673" s="604" t="s">
        <v>7768</v>
      </c>
      <c r="F4673" s="604"/>
      <c r="G4673" s="410" t="s">
        <v>6</v>
      </c>
      <c r="H4673" s="412">
        <v>0.38129999999999997</v>
      </c>
      <c r="I4673" s="412">
        <v>0</v>
      </c>
      <c r="J4673" s="411">
        <v>33.450000000000003</v>
      </c>
      <c r="K4673" s="411">
        <v>12.754485000000001</v>
      </c>
    </row>
    <row r="4674" spans="1:11" ht="26.4" x14ac:dyDescent="0.3">
      <c r="A4674" s="408" t="s">
        <v>1034</v>
      </c>
      <c r="B4674" s="409" t="s">
        <v>1112</v>
      </c>
      <c r="C4674" s="408" t="s">
        <v>395</v>
      </c>
      <c r="D4674" s="408" t="s">
        <v>137</v>
      </c>
      <c r="E4674" s="604" t="s">
        <v>7768</v>
      </c>
      <c r="F4674" s="604"/>
      <c r="G4674" s="410" t="s">
        <v>6</v>
      </c>
      <c r="H4674" s="412">
        <v>0.38129999999999997</v>
      </c>
      <c r="I4674" s="412">
        <v>0</v>
      </c>
      <c r="J4674" s="411">
        <v>40.299999999999997</v>
      </c>
      <c r="K4674" s="411">
        <v>15.366390000000001</v>
      </c>
    </row>
    <row r="4675" spans="1:11" ht="15" x14ac:dyDescent="0.3">
      <c r="A4675" s="400" t="s">
        <v>1038</v>
      </c>
      <c r="B4675" s="401" t="s">
        <v>4675</v>
      </c>
      <c r="C4675" s="400" t="s">
        <v>395</v>
      </c>
      <c r="D4675" s="400" t="s">
        <v>4676</v>
      </c>
      <c r="E4675" s="605" t="s">
        <v>1039</v>
      </c>
      <c r="F4675" s="605"/>
      <c r="G4675" s="402" t="s">
        <v>7</v>
      </c>
      <c r="H4675" s="403">
        <v>1.0548999999999999</v>
      </c>
      <c r="I4675" s="403">
        <v>0</v>
      </c>
      <c r="J4675" s="404">
        <v>15.04</v>
      </c>
      <c r="K4675" s="404">
        <v>15.865696</v>
      </c>
    </row>
    <row r="4676" spans="1:11" ht="25.5" customHeight="1" x14ac:dyDescent="0.3">
      <c r="A4676" s="400" t="s">
        <v>1038</v>
      </c>
      <c r="B4676" s="401" t="s">
        <v>1372</v>
      </c>
      <c r="C4676" s="400" t="s">
        <v>395</v>
      </c>
      <c r="D4676" s="400" t="s">
        <v>266</v>
      </c>
      <c r="E4676" s="605" t="s">
        <v>1039</v>
      </c>
      <c r="F4676" s="605"/>
      <c r="G4676" s="402" t="s">
        <v>4</v>
      </c>
      <c r="H4676" s="403">
        <v>2.12E-2</v>
      </c>
      <c r="I4676" s="403">
        <v>0</v>
      </c>
      <c r="J4676" s="404">
        <v>2.09</v>
      </c>
      <c r="K4676" s="404">
        <v>4.4308E-2</v>
      </c>
    </row>
    <row r="4677" spans="1:11" ht="38.25" customHeight="1" x14ac:dyDescent="0.3">
      <c r="A4677" s="405"/>
      <c r="B4677" s="405"/>
      <c r="C4677" s="405"/>
      <c r="D4677" s="405"/>
      <c r="E4677" s="405" t="s">
        <v>1046</v>
      </c>
      <c r="F4677" s="406">
        <v>20.71</v>
      </c>
      <c r="G4677" s="405" t="s">
        <v>1047</v>
      </c>
      <c r="H4677" s="406">
        <v>0</v>
      </c>
      <c r="I4677" s="405" t="s">
        <v>1048</v>
      </c>
      <c r="J4677" s="406">
        <v>20.71</v>
      </c>
      <c r="K4677"/>
    </row>
    <row r="4678" spans="1:11" ht="25.5" customHeight="1" thickBot="1" x14ac:dyDescent="0.35">
      <c r="A4678" s="405"/>
      <c r="B4678" s="405"/>
      <c r="C4678" s="405"/>
      <c r="D4678" s="405"/>
      <c r="E4678" s="405" t="s">
        <v>1049</v>
      </c>
      <c r="F4678" s="406">
        <v>0</v>
      </c>
      <c r="G4678" s="405"/>
      <c r="H4678" s="606"/>
      <c r="I4678" s="606" t="s">
        <v>1050</v>
      </c>
      <c r="J4678" s="406">
        <v>44.03</v>
      </c>
      <c r="K4678"/>
    </row>
    <row r="4679" spans="1:11" ht="25.5" customHeight="1" thickTop="1" x14ac:dyDescent="0.3">
      <c r="A4679" s="407"/>
      <c r="B4679" s="407"/>
      <c r="C4679" s="407"/>
      <c r="D4679" s="407"/>
      <c r="E4679" s="407"/>
      <c r="F4679" s="407"/>
      <c r="G4679" s="407"/>
      <c r="H4679" s="407"/>
      <c r="I4679" s="407"/>
      <c r="J4679" s="407"/>
      <c r="K4679" s="407"/>
    </row>
    <row r="4680" spans="1:11" ht="25.5" customHeight="1" x14ac:dyDescent="0.3">
      <c r="A4680" s="382" t="s">
        <v>3337</v>
      </c>
      <c r="B4680" s="312" t="s">
        <v>413</v>
      </c>
      <c r="C4680" s="382" t="s">
        <v>414</v>
      </c>
      <c r="D4680" s="382" t="s">
        <v>415</v>
      </c>
      <c r="E4680" s="586" t="s">
        <v>1029</v>
      </c>
      <c r="F4680" s="586"/>
      <c r="G4680" s="383" t="s">
        <v>416</v>
      </c>
      <c r="H4680" s="312" t="s">
        <v>1030</v>
      </c>
      <c r="I4680" s="312" t="s">
        <v>3016</v>
      </c>
      <c r="J4680" s="312" t="s">
        <v>1031</v>
      </c>
      <c r="K4680" s="312" t="s">
        <v>1032</v>
      </c>
    </row>
    <row r="4681" spans="1:11" ht="25.5" customHeight="1" x14ac:dyDescent="0.3">
      <c r="A4681" s="313" t="s">
        <v>1033</v>
      </c>
      <c r="B4681" s="315" t="s">
        <v>3955</v>
      </c>
      <c r="C4681" s="313" t="s">
        <v>395</v>
      </c>
      <c r="D4681" s="313" t="s">
        <v>6056</v>
      </c>
      <c r="E4681" s="603" t="s">
        <v>7873</v>
      </c>
      <c r="F4681" s="603"/>
      <c r="G4681" s="314" t="s">
        <v>7</v>
      </c>
      <c r="H4681" s="399">
        <v>1</v>
      </c>
      <c r="I4681" s="316"/>
      <c r="J4681" s="316">
        <v>49.59</v>
      </c>
      <c r="K4681" s="316">
        <v>49.59</v>
      </c>
    </row>
    <row r="4682" spans="1:11" ht="25.5" customHeight="1" x14ac:dyDescent="0.3">
      <c r="A4682" s="408" t="s">
        <v>1034</v>
      </c>
      <c r="B4682" s="409" t="s">
        <v>1113</v>
      </c>
      <c r="C4682" s="408" t="s">
        <v>395</v>
      </c>
      <c r="D4682" s="408" t="s">
        <v>129</v>
      </c>
      <c r="E4682" s="604" t="s">
        <v>7768</v>
      </c>
      <c r="F4682" s="604"/>
      <c r="G4682" s="410" t="s">
        <v>6</v>
      </c>
      <c r="H4682" s="412">
        <v>0.44440000000000002</v>
      </c>
      <c r="I4682" s="412">
        <v>0</v>
      </c>
      <c r="J4682" s="411">
        <v>33.450000000000003</v>
      </c>
      <c r="K4682" s="411">
        <v>14.865180000000001</v>
      </c>
    </row>
    <row r="4683" spans="1:11" ht="15" customHeight="1" x14ac:dyDescent="0.3">
      <c r="A4683" s="408" t="s">
        <v>1034</v>
      </c>
      <c r="B4683" s="409" t="s">
        <v>1112</v>
      </c>
      <c r="C4683" s="408" t="s">
        <v>395</v>
      </c>
      <c r="D4683" s="408" t="s">
        <v>137</v>
      </c>
      <c r="E4683" s="604" t="s">
        <v>7768</v>
      </c>
      <c r="F4683" s="604"/>
      <c r="G4683" s="410" t="s">
        <v>6</v>
      </c>
      <c r="H4683" s="412">
        <v>0.44440000000000002</v>
      </c>
      <c r="I4683" s="412">
        <v>0</v>
      </c>
      <c r="J4683" s="411">
        <v>40.299999999999997</v>
      </c>
      <c r="K4683" s="411">
        <v>17.909320000000001</v>
      </c>
    </row>
    <row r="4684" spans="1:11" ht="26.4" x14ac:dyDescent="0.3">
      <c r="A4684" s="400" t="s">
        <v>1038</v>
      </c>
      <c r="B4684" s="401" t="s">
        <v>4646</v>
      </c>
      <c r="C4684" s="400" t="s">
        <v>395</v>
      </c>
      <c r="D4684" s="400" t="s">
        <v>4647</v>
      </c>
      <c r="E4684" s="605" t="s">
        <v>1039</v>
      </c>
      <c r="F4684" s="605"/>
      <c r="G4684" s="402" t="s">
        <v>7</v>
      </c>
      <c r="H4684" s="403">
        <v>1.0548999999999999</v>
      </c>
      <c r="I4684" s="403">
        <v>0</v>
      </c>
      <c r="J4684" s="404">
        <v>15.89</v>
      </c>
      <c r="K4684" s="404">
        <v>16.762360999999999</v>
      </c>
    </row>
    <row r="4685" spans="1:11" ht="25.5" customHeight="1" x14ac:dyDescent="0.3">
      <c r="A4685" s="400" t="s">
        <v>1038</v>
      </c>
      <c r="B4685" s="401" t="s">
        <v>1372</v>
      </c>
      <c r="C4685" s="400" t="s">
        <v>395</v>
      </c>
      <c r="D4685" s="400" t="s">
        <v>266</v>
      </c>
      <c r="E4685" s="605" t="s">
        <v>1039</v>
      </c>
      <c r="F4685" s="605"/>
      <c r="G4685" s="402" t="s">
        <v>4</v>
      </c>
      <c r="H4685" s="403">
        <v>2.47E-2</v>
      </c>
      <c r="I4685" s="403">
        <v>0</v>
      </c>
      <c r="J4685" s="404">
        <v>2.09</v>
      </c>
      <c r="K4685" s="404">
        <v>5.1623000000000002E-2</v>
      </c>
    </row>
    <row r="4686" spans="1:11" ht="14.25" customHeight="1" x14ac:dyDescent="0.3">
      <c r="A4686" s="405"/>
      <c r="B4686" s="405"/>
      <c r="C4686" s="405"/>
      <c r="D4686" s="405"/>
      <c r="E4686" s="405" t="s">
        <v>1046</v>
      </c>
      <c r="F4686" s="406">
        <v>24.14</v>
      </c>
      <c r="G4686" s="405" t="s">
        <v>1047</v>
      </c>
      <c r="H4686" s="406">
        <v>0</v>
      </c>
      <c r="I4686" s="405" t="s">
        <v>1048</v>
      </c>
      <c r="J4686" s="406">
        <v>24.14</v>
      </c>
      <c r="K4686"/>
    </row>
    <row r="4687" spans="1:11" ht="38.25" customHeight="1" thickBot="1" x14ac:dyDescent="0.35">
      <c r="A4687" s="405"/>
      <c r="B4687" s="405"/>
      <c r="C4687" s="405"/>
      <c r="D4687" s="405"/>
      <c r="E4687" s="405" t="s">
        <v>1049</v>
      </c>
      <c r="F4687" s="406">
        <v>0</v>
      </c>
      <c r="G4687" s="405"/>
      <c r="H4687" s="606"/>
      <c r="I4687" s="606" t="s">
        <v>1050</v>
      </c>
      <c r="J4687" s="406">
        <v>49.59</v>
      </c>
      <c r="K4687"/>
    </row>
    <row r="4688" spans="1:11" ht="25.5" customHeight="1" thickTop="1" x14ac:dyDescent="0.3">
      <c r="A4688" s="407"/>
      <c r="B4688" s="407"/>
      <c r="C4688" s="407"/>
      <c r="D4688" s="407"/>
      <c r="E4688" s="407"/>
      <c r="F4688" s="407"/>
      <c r="G4688" s="407"/>
      <c r="H4688" s="407"/>
      <c r="I4688" s="407"/>
      <c r="J4688" s="407"/>
      <c r="K4688" s="407"/>
    </row>
    <row r="4689" spans="1:11" ht="25.5" customHeight="1" x14ac:dyDescent="0.3">
      <c r="A4689" s="382" t="s">
        <v>3338</v>
      </c>
      <c r="B4689" s="312" t="s">
        <v>413</v>
      </c>
      <c r="C4689" s="382" t="s">
        <v>414</v>
      </c>
      <c r="D4689" s="382" t="s">
        <v>415</v>
      </c>
      <c r="E4689" s="586" t="s">
        <v>1029</v>
      </c>
      <c r="F4689" s="586"/>
      <c r="G4689" s="383" t="s">
        <v>416</v>
      </c>
      <c r="H4689" s="312" t="s">
        <v>1030</v>
      </c>
      <c r="I4689" s="312" t="s">
        <v>3016</v>
      </c>
      <c r="J4689" s="312" t="s">
        <v>1031</v>
      </c>
      <c r="K4689" s="312" t="s">
        <v>1032</v>
      </c>
    </row>
    <row r="4690" spans="1:11" ht="25.5" customHeight="1" x14ac:dyDescent="0.3">
      <c r="A4690" s="313" t="s">
        <v>1033</v>
      </c>
      <c r="B4690" s="315" t="s">
        <v>2206</v>
      </c>
      <c r="C4690" s="313" t="s">
        <v>420</v>
      </c>
      <c r="D4690" s="313" t="s">
        <v>1977</v>
      </c>
      <c r="E4690" s="603" t="s">
        <v>1318</v>
      </c>
      <c r="F4690" s="603"/>
      <c r="G4690" s="314" t="s">
        <v>422</v>
      </c>
      <c r="H4690" s="399">
        <v>1</v>
      </c>
      <c r="I4690" s="316"/>
      <c r="J4690" s="316">
        <v>0</v>
      </c>
      <c r="K4690" s="316">
        <v>0</v>
      </c>
    </row>
    <row r="4691" spans="1:11" ht="14.25" customHeight="1" x14ac:dyDescent="0.3">
      <c r="A4691" s="405"/>
      <c r="B4691" s="405"/>
      <c r="C4691" s="405"/>
      <c r="D4691" s="405"/>
      <c r="E4691" s="405" t="s">
        <v>1046</v>
      </c>
      <c r="F4691" s="406">
        <v>0</v>
      </c>
      <c r="G4691" s="405" t="s">
        <v>1047</v>
      </c>
      <c r="H4691" s="406">
        <v>0</v>
      </c>
      <c r="I4691" s="405" t="s">
        <v>1048</v>
      </c>
      <c r="J4691" s="406">
        <v>0</v>
      </c>
      <c r="K4691"/>
    </row>
    <row r="4692" spans="1:11" ht="25.5" customHeight="1" thickBot="1" x14ac:dyDescent="0.35">
      <c r="A4692" s="405"/>
      <c r="B4692" s="405"/>
      <c r="C4692" s="405"/>
      <c r="D4692" s="405"/>
      <c r="E4692" s="405" t="s">
        <v>1049</v>
      </c>
      <c r="F4692" s="406">
        <v>0</v>
      </c>
      <c r="G4692" s="405"/>
      <c r="H4692" s="606"/>
      <c r="I4692" s="606" t="s">
        <v>1050</v>
      </c>
      <c r="J4692" s="406">
        <v>0</v>
      </c>
      <c r="K4692"/>
    </row>
    <row r="4693" spans="1:11" ht="15" customHeight="1" thickTop="1" x14ac:dyDescent="0.3">
      <c r="A4693" s="407"/>
      <c r="B4693" s="407"/>
      <c r="C4693" s="407"/>
      <c r="D4693" s="407"/>
      <c r="E4693" s="407"/>
      <c r="F4693" s="407"/>
      <c r="G4693" s="407"/>
      <c r="H4693" s="407"/>
      <c r="I4693" s="407"/>
      <c r="J4693" s="407"/>
      <c r="K4693" s="407"/>
    </row>
    <row r="4694" spans="1:11" ht="25.5" customHeight="1" x14ac:dyDescent="0.3">
      <c r="A4694" s="382" t="s">
        <v>3339</v>
      </c>
      <c r="B4694" s="312" t="s">
        <v>413</v>
      </c>
      <c r="C4694" s="382" t="s">
        <v>414</v>
      </c>
      <c r="D4694" s="382" t="s">
        <v>415</v>
      </c>
      <c r="E4694" s="586" t="s">
        <v>1029</v>
      </c>
      <c r="F4694" s="586"/>
      <c r="G4694" s="383" t="s">
        <v>416</v>
      </c>
      <c r="H4694" s="312" t="s">
        <v>1030</v>
      </c>
      <c r="I4694" s="312" t="s">
        <v>3016</v>
      </c>
      <c r="J4694" s="312" t="s">
        <v>1031</v>
      </c>
      <c r="K4694" s="312" t="s">
        <v>1032</v>
      </c>
    </row>
    <row r="4695" spans="1:11" ht="12.75" customHeight="1" x14ac:dyDescent="0.3">
      <c r="A4695" s="313" t="s">
        <v>1033</v>
      </c>
      <c r="B4695" s="315" t="s">
        <v>3956</v>
      </c>
      <c r="C4695" s="313" t="s">
        <v>395</v>
      </c>
      <c r="D4695" s="313" t="s">
        <v>6057</v>
      </c>
      <c r="E4695" s="603" t="s">
        <v>7873</v>
      </c>
      <c r="F4695" s="603"/>
      <c r="G4695" s="314" t="s">
        <v>4</v>
      </c>
      <c r="H4695" s="399">
        <v>1</v>
      </c>
      <c r="I4695" s="316"/>
      <c r="J4695" s="316">
        <v>13.76</v>
      </c>
      <c r="K4695" s="316">
        <v>13.76</v>
      </c>
    </row>
    <row r="4696" spans="1:11" ht="14.25" customHeight="1" x14ac:dyDescent="0.3">
      <c r="A4696" s="408" t="s">
        <v>1034</v>
      </c>
      <c r="B4696" s="409" t="s">
        <v>1113</v>
      </c>
      <c r="C4696" s="408" t="s">
        <v>395</v>
      </c>
      <c r="D4696" s="408" t="s">
        <v>129</v>
      </c>
      <c r="E4696" s="604" t="s">
        <v>7768</v>
      </c>
      <c r="F4696" s="604"/>
      <c r="G4696" s="410" t="s">
        <v>6</v>
      </c>
      <c r="H4696" s="412">
        <v>0.127</v>
      </c>
      <c r="I4696" s="412">
        <v>0</v>
      </c>
      <c r="J4696" s="411">
        <v>33.450000000000003</v>
      </c>
      <c r="K4696" s="411">
        <v>4.2481499999999999</v>
      </c>
    </row>
    <row r="4697" spans="1:11" ht="38.25" customHeight="1" x14ac:dyDescent="0.3">
      <c r="A4697" s="408" t="s">
        <v>1034</v>
      </c>
      <c r="B4697" s="409" t="s">
        <v>1112</v>
      </c>
      <c r="C4697" s="408" t="s">
        <v>395</v>
      </c>
      <c r="D4697" s="408" t="s">
        <v>137</v>
      </c>
      <c r="E4697" s="604" t="s">
        <v>7768</v>
      </c>
      <c r="F4697" s="604"/>
      <c r="G4697" s="410" t="s">
        <v>6</v>
      </c>
      <c r="H4697" s="412">
        <v>0.127</v>
      </c>
      <c r="I4697" s="412">
        <v>0</v>
      </c>
      <c r="J4697" s="411">
        <v>40.299999999999997</v>
      </c>
      <c r="K4697" s="411">
        <v>5.1181000000000001</v>
      </c>
    </row>
    <row r="4698" spans="1:11" ht="25.5" customHeight="1" x14ac:dyDescent="0.3">
      <c r="A4698" s="400" t="s">
        <v>1038</v>
      </c>
      <c r="B4698" s="401" t="s">
        <v>2587</v>
      </c>
      <c r="C4698" s="400" t="s">
        <v>395</v>
      </c>
      <c r="D4698" s="400" t="s">
        <v>349</v>
      </c>
      <c r="E4698" s="605" t="s">
        <v>1039</v>
      </c>
      <c r="F4698" s="605"/>
      <c r="G4698" s="402" t="s">
        <v>4</v>
      </c>
      <c r="H4698" s="403">
        <v>9.9000000000000008E-3</v>
      </c>
      <c r="I4698" s="403">
        <v>0</v>
      </c>
      <c r="J4698" s="404">
        <v>79.17</v>
      </c>
      <c r="K4698" s="404">
        <v>0.78378300000000001</v>
      </c>
    </row>
    <row r="4699" spans="1:11" ht="25.5" customHeight="1" x14ac:dyDescent="0.3">
      <c r="A4699" s="400" t="s">
        <v>1038</v>
      </c>
      <c r="B4699" s="401" t="s">
        <v>4841</v>
      </c>
      <c r="C4699" s="400" t="s">
        <v>395</v>
      </c>
      <c r="D4699" s="400" t="s">
        <v>4842</v>
      </c>
      <c r="E4699" s="605" t="s">
        <v>1039</v>
      </c>
      <c r="F4699" s="605"/>
      <c r="G4699" s="402" t="s">
        <v>4</v>
      </c>
      <c r="H4699" s="403">
        <v>1</v>
      </c>
      <c r="I4699" s="403">
        <v>0</v>
      </c>
      <c r="J4699" s="404">
        <v>2.25</v>
      </c>
      <c r="K4699" s="404">
        <v>2.25</v>
      </c>
    </row>
    <row r="4700" spans="1:11" ht="14.25" customHeight="1" x14ac:dyDescent="0.3">
      <c r="A4700" s="400" t="s">
        <v>1038</v>
      </c>
      <c r="B4700" s="401" t="s">
        <v>2588</v>
      </c>
      <c r="C4700" s="400" t="s">
        <v>395</v>
      </c>
      <c r="D4700" s="400" t="s">
        <v>350</v>
      </c>
      <c r="E4700" s="605" t="s">
        <v>1039</v>
      </c>
      <c r="F4700" s="605"/>
      <c r="G4700" s="402" t="s">
        <v>4</v>
      </c>
      <c r="H4700" s="403">
        <v>1.4999999999999999E-2</v>
      </c>
      <c r="I4700" s="403">
        <v>0</v>
      </c>
      <c r="J4700" s="404">
        <v>89.7</v>
      </c>
      <c r="K4700" s="404">
        <v>1.3454999999999999</v>
      </c>
    </row>
    <row r="4701" spans="1:11" ht="15" x14ac:dyDescent="0.3">
      <c r="A4701" s="400" t="s">
        <v>1038</v>
      </c>
      <c r="B4701" s="401" t="s">
        <v>1372</v>
      </c>
      <c r="C4701" s="400" t="s">
        <v>395</v>
      </c>
      <c r="D4701" s="400" t="s">
        <v>266</v>
      </c>
      <c r="E4701" s="605" t="s">
        <v>1039</v>
      </c>
      <c r="F4701" s="605"/>
      <c r="G4701" s="402" t="s">
        <v>4</v>
      </c>
      <c r="H4701" s="403">
        <v>7.1000000000000004E-3</v>
      </c>
      <c r="I4701" s="403">
        <v>0</v>
      </c>
      <c r="J4701" s="404">
        <v>2.09</v>
      </c>
      <c r="K4701" s="404">
        <v>1.4839E-2</v>
      </c>
    </row>
    <row r="4702" spans="1:11" ht="15" x14ac:dyDescent="0.3">
      <c r="A4702" s="405"/>
      <c r="B4702" s="405"/>
      <c r="C4702" s="405"/>
      <c r="D4702" s="405"/>
      <c r="E4702" s="405" t="s">
        <v>1046</v>
      </c>
      <c r="F4702" s="406">
        <v>6.89</v>
      </c>
      <c r="G4702" s="405" t="s">
        <v>1047</v>
      </c>
      <c r="H4702" s="406">
        <v>0</v>
      </c>
      <c r="I4702" s="405" t="s">
        <v>1048</v>
      </c>
      <c r="J4702" s="406">
        <v>6.89</v>
      </c>
      <c r="K4702"/>
    </row>
    <row r="4703" spans="1:11" ht="15" customHeight="1" thickBot="1" x14ac:dyDescent="0.35">
      <c r="A4703" s="405"/>
      <c r="B4703" s="405"/>
      <c r="C4703" s="405"/>
      <c r="D4703" s="405"/>
      <c r="E4703" s="405" t="s">
        <v>1049</v>
      </c>
      <c r="F4703" s="406">
        <v>0</v>
      </c>
      <c r="G4703" s="405"/>
      <c r="H4703" s="606"/>
      <c r="I4703" s="606" t="s">
        <v>1050</v>
      </c>
      <c r="J4703" s="406">
        <v>13.76</v>
      </c>
      <c r="K4703"/>
    </row>
    <row r="4704" spans="1:11" ht="25.5" customHeight="1" thickTop="1" x14ac:dyDescent="0.3">
      <c r="A4704" s="407"/>
      <c r="B4704" s="407"/>
      <c r="C4704" s="407"/>
      <c r="D4704" s="407"/>
      <c r="E4704" s="407"/>
      <c r="F4704" s="407"/>
      <c r="G4704" s="407"/>
      <c r="H4704" s="407"/>
      <c r="I4704" s="407"/>
      <c r="J4704" s="407"/>
      <c r="K4704" s="407"/>
    </row>
    <row r="4705" spans="1:11" ht="25.5" customHeight="1" x14ac:dyDescent="0.3">
      <c r="A4705" s="382" t="s">
        <v>3340</v>
      </c>
      <c r="B4705" s="312" t="s">
        <v>413</v>
      </c>
      <c r="C4705" s="382" t="s">
        <v>414</v>
      </c>
      <c r="D4705" s="382" t="s">
        <v>415</v>
      </c>
      <c r="E4705" s="586" t="s">
        <v>1029</v>
      </c>
      <c r="F4705" s="586"/>
      <c r="G4705" s="383" t="s">
        <v>416</v>
      </c>
      <c r="H4705" s="312" t="s">
        <v>1030</v>
      </c>
      <c r="I4705" s="312" t="s">
        <v>3016</v>
      </c>
      <c r="J4705" s="312" t="s">
        <v>1031</v>
      </c>
      <c r="K4705" s="312" t="s">
        <v>1032</v>
      </c>
    </row>
    <row r="4706" spans="1:11" ht="25.5" customHeight="1" x14ac:dyDescent="0.3">
      <c r="A4706" s="313" t="s">
        <v>1033</v>
      </c>
      <c r="B4706" s="315" t="s">
        <v>3957</v>
      </c>
      <c r="C4706" s="313" t="s">
        <v>395</v>
      </c>
      <c r="D4706" s="313" t="s">
        <v>6058</v>
      </c>
      <c r="E4706" s="603" t="s">
        <v>7873</v>
      </c>
      <c r="F4706" s="603"/>
      <c r="G4706" s="314" t="s">
        <v>4</v>
      </c>
      <c r="H4706" s="399">
        <v>1</v>
      </c>
      <c r="I4706" s="316"/>
      <c r="J4706" s="316">
        <v>18.440000000000001</v>
      </c>
      <c r="K4706" s="316">
        <v>18.440000000000001</v>
      </c>
    </row>
    <row r="4707" spans="1:11" ht="15" customHeight="1" x14ac:dyDescent="0.3">
      <c r="A4707" s="408" t="s">
        <v>1034</v>
      </c>
      <c r="B4707" s="409" t="s">
        <v>1113</v>
      </c>
      <c r="C4707" s="408" t="s">
        <v>395</v>
      </c>
      <c r="D4707" s="408" t="s">
        <v>129</v>
      </c>
      <c r="E4707" s="604" t="s">
        <v>7768</v>
      </c>
      <c r="F4707" s="604"/>
      <c r="G4707" s="410" t="s">
        <v>6</v>
      </c>
      <c r="H4707" s="412">
        <v>0.13789999999999999</v>
      </c>
      <c r="I4707" s="412">
        <v>0</v>
      </c>
      <c r="J4707" s="411">
        <v>33.450000000000003</v>
      </c>
      <c r="K4707" s="411">
        <v>4.6127549999999999</v>
      </c>
    </row>
    <row r="4708" spans="1:11" ht="25.5" customHeight="1" x14ac:dyDescent="0.3">
      <c r="A4708" s="408" t="s">
        <v>1034</v>
      </c>
      <c r="B4708" s="409" t="s">
        <v>1112</v>
      </c>
      <c r="C4708" s="408" t="s">
        <v>395</v>
      </c>
      <c r="D4708" s="408" t="s">
        <v>137</v>
      </c>
      <c r="E4708" s="604" t="s">
        <v>7768</v>
      </c>
      <c r="F4708" s="604"/>
      <c r="G4708" s="410" t="s">
        <v>6</v>
      </c>
      <c r="H4708" s="412">
        <v>0.13789999999999999</v>
      </c>
      <c r="I4708" s="412">
        <v>0</v>
      </c>
      <c r="J4708" s="411">
        <v>40.299999999999997</v>
      </c>
      <c r="K4708" s="411">
        <v>5.5573699999999997</v>
      </c>
    </row>
    <row r="4709" spans="1:11" ht="14.25" customHeight="1" x14ac:dyDescent="0.3">
      <c r="A4709" s="400" t="s">
        <v>1038</v>
      </c>
      <c r="B4709" s="401" t="s">
        <v>1337</v>
      </c>
      <c r="C4709" s="400" t="s">
        <v>395</v>
      </c>
      <c r="D4709" s="400" t="s">
        <v>382</v>
      </c>
      <c r="E4709" s="605" t="s">
        <v>1039</v>
      </c>
      <c r="F4709" s="605"/>
      <c r="G4709" s="402" t="s">
        <v>4</v>
      </c>
      <c r="H4709" s="403">
        <v>2</v>
      </c>
      <c r="I4709" s="403">
        <v>0</v>
      </c>
      <c r="J4709" s="404">
        <v>1.69</v>
      </c>
      <c r="K4709" s="404">
        <v>3.38</v>
      </c>
    </row>
    <row r="4710" spans="1:11" ht="25.5" customHeight="1" x14ac:dyDescent="0.3">
      <c r="A4710" s="400" t="s">
        <v>1038</v>
      </c>
      <c r="B4710" s="401" t="s">
        <v>4895</v>
      </c>
      <c r="C4710" s="400" t="s">
        <v>395</v>
      </c>
      <c r="D4710" s="400" t="s">
        <v>4896</v>
      </c>
      <c r="E4710" s="605" t="s">
        <v>1039</v>
      </c>
      <c r="F4710" s="605"/>
      <c r="G4710" s="402" t="s">
        <v>4</v>
      </c>
      <c r="H4710" s="403">
        <v>1</v>
      </c>
      <c r="I4710" s="403">
        <v>0</v>
      </c>
      <c r="J4710" s="404">
        <v>3.26</v>
      </c>
      <c r="K4710" s="404">
        <v>3.26</v>
      </c>
    </row>
    <row r="4711" spans="1:11" ht="15" customHeight="1" x14ac:dyDescent="0.3">
      <c r="A4711" s="400" t="s">
        <v>1038</v>
      </c>
      <c r="B4711" s="401" t="s">
        <v>1338</v>
      </c>
      <c r="C4711" s="400" t="s">
        <v>395</v>
      </c>
      <c r="D4711" s="400" t="s">
        <v>345</v>
      </c>
      <c r="E4711" s="605" t="s">
        <v>1039</v>
      </c>
      <c r="F4711" s="605"/>
      <c r="G4711" s="402" t="s">
        <v>4</v>
      </c>
      <c r="H4711" s="403">
        <v>0.05</v>
      </c>
      <c r="I4711" s="403">
        <v>0</v>
      </c>
      <c r="J4711" s="404">
        <v>32.67</v>
      </c>
      <c r="K4711" s="404">
        <v>1.6335</v>
      </c>
    </row>
    <row r="4712" spans="1:11" ht="15" x14ac:dyDescent="0.3">
      <c r="A4712" s="405"/>
      <c r="B4712" s="405"/>
      <c r="C4712" s="405"/>
      <c r="D4712" s="405"/>
      <c r="E4712" s="405" t="s">
        <v>1046</v>
      </c>
      <c r="F4712" s="406">
        <v>7.49</v>
      </c>
      <c r="G4712" s="405" t="s">
        <v>1047</v>
      </c>
      <c r="H4712" s="406">
        <v>0</v>
      </c>
      <c r="I4712" s="405" t="s">
        <v>1048</v>
      </c>
      <c r="J4712" s="406">
        <v>7.49</v>
      </c>
      <c r="K4712"/>
    </row>
    <row r="4713" spans="1:11" ht="25.5" customHeight="1" thickBot="1" x14ac:dyDescent="0.35">
      <c r="A4713" s="405"/>
      <c r="B4713" s="405"/>
      <c r="C4713" s="405"/>
      <c r="D4713" s="405"/>
      <c r="E4713" s="405" t="s">
        <v>1049</v>
      </c>
      <c r="F4713" s="406">
        <v>0</v>
      </c>
      <c r="G4713" s="405"/>
      <c r="H4713" s="606"/>
      <c r="I4713" s="606" t="s">
        <v>1050</v>
      </c>
      <c r="J4713" s="406">
        <v>18.440000000000001</v>
      </c>
      <c r="K4713"/>
    </row>
    <row r="4714" spans="1:11" ht="15.6" thickTop="1" x14ac:dyDescent="0.3">
      <c r="A4714" s="407"/>
      <c r="B4714" s="407"/>
      <c r="C4714" s="407"/>
      <c r="D4714" s="407"/>
      <c r="E4714" s="407"/>
      <c r="F4714" s="407"/>
      <c r="G4714" s="407"/>
      <c r="H4714" s="407"/>
      <c r="I4714" s="407"/>
      <c r="J4714" s="407"/>
      <c r="K4714" s="407"/>
    </row>
    <row r="4715" spans="1:11" ht="15" customHeight="1" x14ac:dyDescent="0.3">
      <c r="A4715" s="382" t="s">
        <v>3341</v>
      </c>
      <c r="B4715" s="312" t="s">
        <v>413</v>
      </c>
      <c r="C4715" s="382" t="s">
        <v>414</v>
      </c>
      <c r="D4715" s="382" t="s">
        <v>415</v>
      </c>
      <c r="E4715" s="586" t="s">
        <v>1029</v>
      </c>
      <c r="F4715" s="586"/>
      <c r="G4715" s="383" t="s">
        <v>416</v>
      </c>
      <c r="H4715" s="312" t="s">
        <v>1030</v>
      </c>
      <c r="I4715" s="312" t="s">
        <v>3016</v>
      </c>
      <c r="J4715" s="312" t="s">
        <v>1031</v>
      </c>
      <c r="K4715" s="312" t="s">
        <v>1032</v>
      </c>
    </row>
    <row r="4716" spans="1:11" ht="39.6" x14ac:dyDescent="0.3">
      <c r="A4716" s="313" t="s">
        <v>1033</v>
      </c>
      <c r="B4716" s="315" t="s">
        <v>3958</v>
      </c>
      <c r="C4716" s="313" t="s">
        <v>395</v>
      </c>
      <c r="D4716" s="313" t="s">
        <v>6059</v>
      </c>
      <c r="E4716" s="603" t="s">
        <v>7873</v>
      </c>
      <c r="F4716" s="603"/>
      <c r="G4716" s="314" t="s">
        <v>4</v>
      </c>
      <c r="H4716" s="399">
        <v>1</v>
      </c>
      <c r="I4716" s="316"/>
      <c r="J4716" s="316">
        <v>32.799999999999997</v>
      </c>
      <c r="K4716" s="316">
        <v>32.799999999999997</v>
      </c>
    </row>
    <row r="4717" spans="1:11" ht="26.4" x14ac:dyDescent="0.3">
      <c r="A4717" s="408" t="s">
        <v>1034</v>
      </c>
      <c r="B4717" s="409" t="s">
        <v>1113</v>
      </c>
      <c r="C4717" s="408" t="s">
        <v>395</v>
      </c>
      <c r="D4717" s="408" t="s">
        <v>129</v>
      </c>
      <c r="E4717" s="604" t="s">
        <v>7768</v>
      </c>
      <c r="F4717" s="604"/>
      <c r="G4717" s="410" t="s">
        <v>6</v>
      </c>
      <c r="H4717" s="412">
        <v>0.19259999999999999</v>
      </c>
      <c r="I4717" s="412">
        <v>0</v>
      </c>
      <c r="J4717" s="411">
        <v>33.450000000000003</v>
      </c>
      <c r="K4717" s="411">
        <v>6.4424700000000001</v>
      </c>
    </row>
    <row r="4718" spans="1:11" ht="15" customHeight="1" x14ac:dyDescent="0.3">
      <c r="A4718" s="408" t="s">
        <v>1034</v>
      </c>
      <c r="B4718" s="409" t="s">
        <v>1112</v>
      </c>
      <c r="C4718" s="408" t="s">
        <v>395</v>
      </c>
      <c r="D4718" s="408" t="s">
        <v>137</v>
      </c>
      <c r="E4718" s="604" t="s">
        <v>7768</v>
      </c>
      <c r="F4718" s="604"/>
      <c r="G4718" s="410" t="s">
        <v>6</v>
      </c>
      <c r="H4718" s="412">
        <v>0.19259999999999999</v>
      </c>
      <c r="I4718" s="412">
        <v>0</v>
      </c>
      <c r="J4718" s="411">
        <v>40.299999999999997</v>
      </c>
      <c r="K4718" s="411">
        <v>7.7617799999999999</v>
      </c>
    </row>
    <row r="4719" spans="1:11" ht="14.25" customHeight="1" x14ac:dyDescent="0.3">
      <c r="A4719" s="400" t="s">
        <v>1038</v>
      </c>
      <c r="B4719" s="401" t="s">
        <v>2590</v>
      </c>
      <c r="C4719" s="400" t="s">
        <v>395</v>
      </c>
      <c r="D4719" s="400" t="s">
        <v>234</v>
      </c>
      <c r="E4719" s="605" t="s">
        <v>1039</v>
      </c>
      <c r="F4719" s="605"/>
      <c r="G4719" s="402" t="s">
        <v>4</v>
      </c>
      <c r="H4719" s="403">
        <v>2</v>
      </c>
      <c r="I4719" s="403">
        <v>0</v>
      </c>
      <c r="J4719" s="404">
        <v>2.99</v>
      </c>
      <c r="K4719" s="404">
        <v>5.98</v>
      </c>
    </row>
    <row r="4720" spans="1:11" ht="15" customHeight="1" x14ac:dyDescent="0.3">
      <c r="A4720" s="400" t="s">
        <v>1038</v>
      </c>
      <c r="B4720" s="401" t="s">
        <v>4739</v>
      </c>
      <c r="C4720" s="400" t="s">
        <v>395</v>
      </c>
      <c r="D4720" s="400" t="s">
        <v>4740</v>
      </c>
      <c r="E4720" s="605" t="s">
        <v>1039</v>
      </c>
      <c r="F4720" s="605"/>
      <c r="G4720" s="402" t="s">
        <v>4</v>
      </c>
      <c r="H4720" s="403">
        <v>1</v>
      </c>
      <c r="I4720" s="403">
        <v>0</v>
      </c>
      <c r="J4720" s="404">
        <v>8.86</v>
      </c>
      <c r="K4720" s="404">
        <v>8.86</v>
      </c>
    </row>
    <row r="4721" spans="1:11" ht="25.5" customHeight="1" x14ac:dyDescent="0.3">
      <c r="A4721" s="400" t="s">
        <v>1038</v>
      </c>
      <c r="B4721" s="401" t="s">
        <v>1338</v>
      </c>
      <c r="C4721" s="400" t="s">
        <v>395</v>
      </c>
      <c r="D4721" s="400" t="s">
        <v>345</v>
      </c>
      <c r="E4721" s="605" t="s">
        <v>1039</v>
      </c>
      <c r="F4721" s="605"/>
      <c r="G4721" s="402" t="s">
        <v>4</v>
      </c>
      <c r="H4721" s="403">
        <v>0.115</v>
      </c>
      <c r="I4721" s="403">
        <v>0</v>
      </c>
      <c r="J4721" s="404">
        <v>32.67</v>
      </c>
      <c r="K4721" s="404">
        <v>3.75705</v>
      </c>
    </row>
    <row r="4722" spans="1:11" ht="25.5" customHeight="1" x14ac:dyDescent="0.3">
      <c r="A4722" s="405"/>
      <c r="B4722" s="405"/>
      <c r="C4722" s="405"/>
      <c r="D4722" s="405"/>
      <c r="E4722" s="405" t="s">
        <v>1046</v>
      </c>
      <c r="F4722" s="406">
        <v>10.46</v>
      </c>
      <c r="G4722" s="405" t="s">
        <v>1047</v>
      </c>
      <c r="H4722" s="406">
        <v>0</v>
      </c>
      <c r="I4722" s="405" t="s">
        <v>1048</v>
      </c>
      <c r="J4722" s="406">
        <v>10.46</v>
      </c>
      <c r="K4722"/>
    </row>
    <row r="4723" spans="1:11" ht="25.5" customHeight="1" thickBot="1" x14ac:dyDescent="0.35">
      <c r="A4723" s="405"/>
      <c r="B4723" s="405"/>
      <c r="C4723" s="405"/>
      <c r="D4723" s="405"/>
      <c r="E4723" s="405" t="s">
        <v>1049</v>
      </c>
      <c r="F4723" s="406">
        <v>0</v>
      </c>
      <c r="G4723" s="405"/>
      <c r="H4723" s="606"/>
      <c r="I4723" s="606" t="s">
        <v>1050</v>
      </c>
      <c r="J4723" s="406">
        <v>32.799999999999997</v>
      </c>
      <c r="K4723"/>
    </row>
    <row r="4724" spans="1:11" ht="25.5" customHeight="1" thickTop="1" x14ac:dyDescent="0.3">
      <c r="A4724" s="407"/>
      <c r="B4724" s="407"/>
      <c r="C4724" s="407"/>
      <c r="D4724" s="407"/>
      <c r="E4724" s="407"/>
      <c r="F4724" s="407"/>
      <c r="G4724" s="407"/>
      <c r="H4724" s="407"/>
      <c r="I4724" s="407"/>
      <c r="J4724" s="407"/>
      <c r="K4724" s="407"/>
    </row>
    <row r="4725" spans="1:11" ht="25.5" customHeight="1" x14ac:dyDescent="0.3">
      <c r="A4725" s="382" t="s">
        <v>3342</v>
      </c>
      <c r="B4725" s="312" t="s">
        <v>413</v>
      </c>
      <c r="C4725" s="382" t="s">
        <v>414</v>
      </c>
      <c r="D4725" s="382" t="s">
        <v>415</v>
      </c>
      <c r="E4725" s="586" t="s">
        <v>1029</v>
      </c>
      <c r="F4725" s="586"/>
      <c r="G4725" s="383" t="s">
        <v>416</v>
      </c>
      <c r="H4725" s="312" t="s">
        <v>1030</v>
      </c>
      <c r="I4725" s="312" t="s">
        <v>3016</v>
      </c>
      <c r="J4725" s="312" t="s">
        <v>1031</v>
      </c>
      <c r="K4725" s="312" t="s">
        <v>1032</v>
      </c>
    </row>
    <row r="4726" spans="1:11" ht="25.5" customHeight="1" x14ac:dyDescent="0.3">
      <c r="A4726" s="313" t="s">
        <v>1033</v>
      </c>
      <c r="B4726" s="315" t="s">
        <v>3959</v>
      </c>
      <c r="C4726" s="313" t="s">
        <v>395</v>
      </c>
      <c r="D4726" s="313" t="s">
        <v>6060</v>
      </c>
      <c r="E4726" s="603" t="s">
        <v>7873</v>
      </c>
      <c r="F4726" s="603"/>
      <c r="G4726" s="314" t="s">
        <v>4</v>
      </c>
      <c r="H4726" s="399">
        <v>1</v>
      </c>
      <c r="I4726" s="316"/>
      <c r="J4726" s="316">
        <v>14</v>
      </c>
      <c r="K4726" s="316">
        <v>14</v>
      </c>
    </row>
    <row r="4727" spans="1:11" ht="26.4" x14ac:dyDescent="0.3">
      <c r="A4727" s="408" t="s">
        <v>1034</v>
      </c>
      <c r="B4727" s="409" t="s">
        <v>1113</v>
      </c>
      <c r="C4727" s="408" t="s">
        <v>395</v>
      </c>
      <c r="D4727" s="408" t="s">
        <v>129</v>
      </c>
      <c r="E4727" s="604" t="s">
        <v>7768</v>
      </c>
      <c r="F4727" s="604"/>
      <c r="G4727" s="410" t="s">
        <v>6</v>
      </c>
      <c r="H4727" s="412">
        <v>0.127</v>
      </c>
      <c r="I4727" s="412">
        <v>0</v>
      </c>
      <c r="J4727" s="411">
        <v>33.450000000000003</v>
      </c>
      <c r="K4727" s="411">
        <v>4.2481499999999999</v>
      </c>
    </row>
    <row r="4728" spans="1:11" ht="14.25" customHeight="1" x14ac:dyDescent="0.3">
      <c r="A4728" s="408" t="s">
        <v>1034</v>
      </c>
      <c r="B4728" s="409" t="s">
        <v>1112</v>
      </c>
      <c r="C4728" s="408" t="s">
        <v>395</v>
      </c>
      <c r="D4728" s="408" t="s">
        <v>137</v>
      </c>
      <c r="E4728" s="604" t="s">
        <v>7768</v>
      </c>
      <c r="F4728" s="604"/>
      <c r="G4728" s="410" t="s">
        <v>6</v>
      </c>
      <c r="H4728" s="412">
        <v>0.127</v>
      </c>
      <c r="I4728" s="412">
        <v>0</v>
      </c>
      <c r="J4728" s="411">
        <v>40.299999999999997</v>
      </c>
      <c r="K4728" s="411">
        <v>5.1181000000000001</v>
      </c>
    </row>
    <row r="4729" spans="1:11" ht="15" customHeight="1" x14ac:dyDescent="0.3">
      <c r="A4729" s="400" t="s">
        <v>1038</v>
      </c>
      <c r="B4729" s="401" t="s">
        <v>2587</v>
      </c>
      <c r="C4729" s="400" t="s">
        <v>395</v>
      </c>
      <c r="D4729" s="400" t="s">
        <v>349</v>
      </c>
      <c r="E4729" s="605" t="s">
        <v>1039</v>
      </c>
      <c r="F4729" s="605"/>
      <c r="G4729" s="402" t="s">
        <v>4</v>
      </c>
      <c r="H4729" s="403">
        <v>9.9000000000000008E-3</v>
      </c>
      <c r="I4729" s="403">
        <v>0</v>
      </c>
      <c r="J4729" s="404">
        <v>79.17</v>
      </c>
      <c r="K4729" s="404">
        <v>0.78378300000000001</v>
      </c>
    </row>
    <row r="4730" spans="1:11" ht="25.5" customHeight="1" x14ac:dyDescent="0.3">
      <c r="A4730" s="400" t="s">
        <v>1038</v>
      </c>
      <c r="B4730" s="401" t="s">
        <v>4951</v>
      </c>
      <c r="C4730" s="400" t="s">
        <v>395</v>
      </c>
      <c r="D4730" s="400" t="s">
        <v>4952</v>
      </c>
      <c r="E4730" s="605" t="s">
        <v>1039</v>
      </c>
      <c r="F4730" s="605"/>
      <c r="G4730" s="402" t="s">
        <v>4</v>
      </c>
      <c r="H4730" s="403">
        <v>1</v>
      </c>
      <c r="I4730" s="403">
        <v>0</v>
      </c>
      <c r="J4730" s="404">
        <v>2.4900000000000002</v>
      </c>
      <c r="K4730" s="404">
        <v>2.4900000000000002</v>
      </c>
    </row>
    <row r="4731" spans="1:11" ht="25.5" customHeight="1" x14ac:dyDescent="0.3">
      <c r="A4731" s="400" t="s">
        <v>1038</v>
      </c>
      <c r="B4731" s="401" t="s">
        <v>2588</v>
      </c>
      <c r="C4731" s="400" t="s">
        <v>395</v>
      </c>
      <c r="D4731" s="400" t="s">
        <v>350</v>
      </c>
      <c r="E4731" s="605" t="s">
        <v>1039</v>
      </c>
      <c r="F4731" s="605"/>
      <c r="G4731" s="402" t="s">
        <v>4</v>
      </c>
      <c r="H4731" s="403">
        <v>1.4999999999999999E-2</v>
      </c>
      <c r="I4731" s="403">
        <v>0</v>
      </c>
      <c r="J4731" s="404">
        <v>89.7</v>
      </c>
      <c r="K4731" s="404">
        <v>1.3454999999999999</v>
      </c>
    </row>
    <row r="4732" spans="1:11" ht="25.5" customHeight="1" x14ac:dyDescent="0.3">
      <c r="A4732" s="400" t="s">
        <v>1038</v>
      </c>
      <c r="B4732" s="401" t="s">
        <v>1372</v>
      </c>
      <c r="C4732" s="400" t="s">
        <v>395</v>
      </c>
      <c r="D4732" s="400" t="s">
        <v>266</v>
      </c>
      <c r="E4732" s="605" t="s">
        <v>1039</v>
      </c>
      <c r="F4732" s="605"/>
      <c r="G4732" s="402" t="s">
        <v>4</v>
      </c>
      <c r="H4732" s="403">
        <v>7.1000000000000004E-3</v>
      </c>
      <c r="I4732" s="403">
        <v>0</v>
      </c>
      <c r="J4732" s="404">
        <v>2.09</v>
      </c>
      <c r="K4732" s="404">
        <v>1.4839E-2</v>
      </c>
    </row>
    <row r="4733" spans="1:11" ht="25.5" customHeight="1" x14ac:dyDescent="0.3">
      <c r="A4733" s="405"/>
      <c r="B4733" s="405"/>
      <c r="C4733" s="405"/>
      <c r="D4733" s="405"/>
      <c r="E4733" s="405" t="s">
        <v>1046</v>
      </c>
      <c r="F4733" s="406">
        <v>6.89</v>
      </c>
      <c r="G4733" s="405" t="s">
        <v>1047</v>
      </c>
      <c r="H4733" s="406">
        <v>0</v>
      </c>
      <c r="I4733" s="405" t="s">
        <v>1048</v>
      </c>
      <c r="J4733" s="406">
        <v>6.89</v>
      </c>
      <c r="K4733"/>
    </row>
    <row r="4734" spans="1:11" ht="25.5" customHeight="1" thickBot="1" x14ac:dyDescent="0.35">
      <c r="A4734" s="405"/>
      <c r="B4734" s="405"/>
      <c r="C4734" s="405"/>
      <c r="D4734" s="405"/>
      <c r="E4734" s="405" t="s">
        <v>1049</v>
      </c>
      <c r="F4734" s="406">
        <v>0</v>
      </c>
      <c r="G4734" s="405"/>
      <c r="H4734" s="606"/>
      <c r="I4734" s="606" t="s">
        <v>1050</v>
      </c>
      <c r="J4734" s="406">
        <v>14</v>
      </c>
      <c r="K4734"/>
    </row>
    <row r="4735" spans="1:11" ht="14.25" customHeight="1" thickTop="1" x14ac:dyDescent="0.3">
      <c r="A4735" s="407"/>
      <c r="B4735" s="407"/>
      <c r="C4735" s="407"/>
      <c r="D4735" s="407"/>
      <c r="E4735" s="407"/>
      <c r="F4735" s="407"/>
      <c r="G4735" s="407"/>
      <c r="H4735" s="407"/>
      <c r="I4735" s="407"/>
      <c r="J4735" s="407"/>
      <c r="K4735" s="407"/>
    </row>
    <row r="4736" spans="1:11" ht="15" x14ac:dyDescent="0.3">
      <c r="A4736" s="382" t="s">
        <v>3343</v>
      </c>
      <c r="B4736" s="312" t="s">
        <v>413</v>
      </c>
      <c r="C4736" s="382" t="s">
        <v>414</v>
      </c>
      <c r="D4736" s="382" t="s">
        <v>415</v>
      </c>
      <c r="E4736" s="586" t="s">
        <v>1029</v>
      </c>
      <c r="F4736" s="586"/>
      <c r="G4736" s="383" t="s">
        <v>416</v>
      </c>
      <c r="H4736" s="312" t="s">
        <v>1030</v>
      </c>
      <c r="I4736" s="312" t="s">
        <v>3016</v>
      </c>
      <c r="J4736" s="312" t="s">
        <v>1031</v>
      </c>
      <c r="K4736" s="312" t="s">
        <v>1032</v>
      </c>
    </row>
    <row r="4737" spans="1:11" ht="14.25" customHeight="1" x14ac:dyDescent="0.3">
      <c r="A4737" s="313" t="s">
        <v>1033</v>
      </c>
      <c r="B4737" s="315" t="s">
        <v>3960</v>
      </c>
      <c r="C4737" s="313" t="s">
        <v>395</v>
      </c>
      <c r="D4737" s="313" t="s">
        <v>6061</v>
      </c>
      <c r="E4737" s="603" t="s">
        <v>7873</v>
      </c>
      <c r="F4737" s="603"/>
      <c r="G4737" s="314" t="s">
        <v>4</v>
      </c>
      <c r="H4737" s="399">
        <v>1</v>
      </c>
      <c r="I4737" s="316"/>
      <c r="J4737" s="316">
        <v>19.22</v>
      </c>
      <c r="K4737" s="316">
        <v>19.22</v>
      </c>
    </row>
    <row r="4738" spans="1:11" ht="15" customHeight="1" x14ac:dyDescent="0.3">
      <c r="A4738" s="408" t="s">
        <v>1034</v>
      </c>
      <c r="B4738" s="409" t="s">
        <v>1113</v>
      </c>
      <c r="C4738" s="408" t="s">
        <v>395</v>
      </c>
      <c r="D4738" s="408" t="s">
        <v>129</v>
      </c>
      <c r="E4738" s="604" t="s">
        <v>7768</v>
      </c>
      <c r="F4738" s="604"/>
      <c r="G4738" s="410" t="s">
        <v>6</v>
      </c>
      <c r="H4738" s="412">
        <v>0.13789999999999999</v>
      </c>
      <c r="I4738" s="412">
        <v>0</v>
      </c>
      <c r="J4738" s="411">
        <v>33.450000000000003</v>
      </c>
      <c r="K4738" s="411">
        <v>4.6127549999999999</v>
      </c>
    </row>
    <row r="4739" spans="1:11" ht="15" customHeight="1" x14ac:dyDescent="0.3">
      <c r="A4739" s="408" t="s">
        <v>1034</v>
      </c>
      <c r="B4739" s="409" t="s">
        <v>1112</v>
      </c>
      <c r="C4739" s="408" t="s">
        <v>395</v>
      </c>
      <c r="D4739" s="408" t="s">
        <v>137</v>
      </c>
      <c r="E4739" s="604" t="s">
        <v>7768</v>
      </c>
      <c r="F4739" s="604"/>
      <c r="G4739" s="410" t="s">
        <v>6</v>
      </c>
      <c r="H4739" s="412">
        <v>0.13789999999999999</v>
      </c>
      <c r="I4739" s="412">
        <v>0</v>
      </c>
      <c r="J4739" s="411">
        <v>40.299999999999997</v>
      </c>
      <c r="K4739" s="411">
        <v>5.5573699999999997</v>
      </c>
    </row>
    <row r="4740" spans="1:11" ht="25.5" customHeight="1" x14ac:dyDescent="0.3">
      <c r="A4740" s="400" t="s">
        <v>1038</v>
      </c>
      <c r="B4740" s="401" t="s">
        <v>1337</v>
      </c>
      <c r="C4740" s="400" t="s">
        <v>395</v>
      </c>
      <c r="D4740" s="400" t="s">
        <v>382</v>
      </c>
      <c r="E4740" s="605" t="s">
        <v>1039</v>
      </c>
      <c r="F4740" s="605"/>
      <c r="G4740" s="402" t="s">
        <v>4</v>
      </c>
      <c r="H4740" s="403">
        <v>2</v>
      </c>
      <c r="I4740" s="403">
        <v>0</v>
      </c>
      <c r="J4740" s="404">
        <v>1.69</v>
      </c>
      <c r="K4740" s="404">
        <v>3.38</v>
      </c>
    </row>
    <row r="4741" spans="1:11" ht="25.5" customHeight="1" x14ac:dyDescent="0.3">
      <c r="A4741" s="400" t="s">
        <v>1038</v>
      </c>
      <c r="B4741" s="401" t="s">
        <v>4864</v>
      </c>
      <c r="C4741" s="400" t="s">
        <v>395</v>
      </c>
      <c r="D4741" s="400" t="s">
        <v>4865</v>
      </c>
      <c r="E4741" s="605" t="s">
        <v>1039</v>
      </c>
      <c r="F4741" s="605"/>
      <c r="G4741" s="402" t="s">
        <v>4</v>
      </c>
      <c r="H4741" s="403">
        <v>1</v>
      </c>
      <c r="I4741" s="403">
        <v>0</v>
      </c>
      <c r="J4741" s="404">
        <v>4.04</v>
      </c>
      <c r="K4741" s="404">
        <v>4.04</v>
      </c>
    </row>
    <row r="4742" spans="1:11" ht="25.5" customHeight="1" x14ac:dyDescent="0.3">
      <c r="A4742" s="400" t="s">
        <v>1038</v>
      </c>
      <c r="B4742" s="401" t="s">
        <v>1338</v>
      </c>
      <c r="C4742" s="400" t="s">
        <v>395</v>
      </c>
      <c r="D4742" s="400" t="s">
        <v>345</v>
      </c>
      <c r="E4742" s="605" t="s">
        <v>1039</v>
      </c>
      <c r="F4742" s="605"/>
      <c r="G4742" s="402" t="s">
        <v>4</v>
      </c>
      <c r="H4742" s="403">
        <v>0.05</v>
      </c>
      <c r="I4742" s="403">
        <v>0</v>
      </c>
      <c r="J4742" s="404">
        <v>32.67</v>
      </c>
      <c r="K4742" s="404">
        <v>1.6335</v>
      </c>
    </row>
    <row r="4743" spans="1:11" ht="25.5" customHeight="1" x14ac:dyDescent="0.3">
      <c r="A4743" s="405"/>
      <c r="B4743" s="405"/>
      <c r="C4743" s="405"/>
      <c r="D4743" s="405"/>
      <c r="E4743" s="405" t="s">
        <v>1046</v>
      </c>
      <c r="F4743" s="406">
        <v>7.49</v>
      </c>
      <c r="G4743" s="405" t="s">
        <v>1047</v>
      </c>
      <c r="H4743" s="406">
        <v>0</v>
      </c>
      <c r="I4743" s="405" t="s">
        <v>1048</v>
      </c>
      <c r="J4743" s="406">
        <v>7.49</v>
      </c>
      <c r="K4743"/>
    </row>
    <row r="4744" spans="1:11" ht="25.5" customHeight="1" thickBot="1" x14ac:dyDescent="0.35">
      <c r="A4744" s="405"/>
      <c r="B4744" s="405"/>
      <c r="C4744" s="405"/>
      <c r="D4744" s="405"/>
      <c r="E4744" s="405" t="s">
        <v>1049</v>
      </c>
      <c r="F4744" s="406">
        <v>0</v>
      </c>
      <c r="G4744" s="405"/>
      <c r="H4744" s="606"/>
      <c r="I4744" s="606" t="s">
        <v>1050</v>
      </c>
      <c r="J4744" s="406">
        <v>19.22</v>
      </c>
      <c r="K4744"/>
    </row>
    <row r="4745" spans="1:11" ht="14.25" customHeight="1" thickTop="1" x14ac:dyDescent="0.3">
      <c r="A4745" s="407"/>
      <c r="B4745" s="407"/>
      <c r="C4745" s="407"/>
      <c r="D4745" s="407"/>
      <c r="E4745" s="407"/>
      <c r="F4745" s="407"/>
      <c r="G4745" s="407"/>
      <c r="H4745" s="407"/>
      <c r="I4745" s="407"/>
      <c r="J4745" s="407"/>
      <c r="K4745" s="407"/>
    </row>
    <row r="4746" spans="1:11" ht="14.25" customHeight="1" x14ac:dyDescent="0.3">
      <c r="A4746" s="382" t="s">
        <v>2162</v>
      </c>
      <c r="B4746" s="312" t="s">
        <v>413</v>
      </c>
      <c r="C4746" s="382" t="s">
        <v>414</v>
      </c>
      <c r="D4746" s="382" t="s">
        <v>415</v>
      </c>
      <c r="E4746" s="586" t="s">
        <v>1029</v>
      </c>
      <c r="F4746" s="586"/>
      <c r="G4746" s="383" t="s">
        <v>416</v>
      </c>
      <c r="H4746" s="312" t="s">
        <v>1030</v>
      </c>
      <c r="I4746" s="312" t="s">
        <v>3016</v>
      </c>
      <c r="J4746" s="312" t="s">
        <v>1031</v>
      </c>
      <c r="K4746" s="312" t="s">
        <v>1032</v>
      </c>
    </row>
    <row r="4747" spans="1:11" ht="39.6" x14ac:dyDescent="0.3">
      <c r="A4747" s="313" t="s">
        <v>1033</v>
      </c>
      <c r="B4747" s="315" t="s">
        <v>3961</v>
      </c>
      <c r="C4747" s="313" t="s">
        <v>395</v>
      </c>
      <c r="D4747" s="313" t="s">
        <v>6062</v>
      </c>
      <c r="E4747" s="603" t="s">
        <v>7873</v>
      </c>
      <c r="F4747" s="603"/>
      <c r="G4747" s="314" t="s">
        <v>4</v>
      </c>
      <c r="H4747" s="399">
        <v>1</v>
      </c>
      <c r="I4747" s="316"/>
      <c r="J4747" s="316">
        <v>28.04</v>
      </c>
      <c r="K4747" s="316">
        <v>28.04</v>
      </c>
    </row>
    <row r="4748" spans="1:11" ht="15" customHeight="1" x14ac:dyDescent="0.3">
      <c r="A4748" s="408" t="s">
        <v>1034</v>
      </c>
      <c r="B4748" s="409" t="s">
        <v>1113</v>
      </c>
      <c r="C4748" s="408" t="s">
        <v>395</v>
      </c>
      <c r="D4748" s="408" t="s">
        <v>129</v>
      </c>
      <c r="E4748" s="604" t="s">
        <v>7768</v>
      </c>
      <c r="F4748" s="604"/>
      <c r="G4748" s="410" t="s">
        <v>6</v>
      </c>
      <c r="H4748" s="412">
        <v>0.16520000000000001</v>
      </c>
      <c r="I4748" s="412">
        <v>0</v>
      </c>
      <c r="J4748" s="411">
        <v>33.450000000000003</v>
      </c>
      <c r="K4748" s="411">
        <v>5.5259400000000003</v>
      </c>
    </row>
    <row r="4749" spans="1:11" ht="38.25" customHeight="1" x14ac:dyDescent="0.3">
      <c r="A4749" s="408" t="s">
        <v>1034</v>
      </c>
      <c r="B4749" s="409" t="s">
        <v>1112</v>
      </c>
      <c r="C4749" s="408" t="s">
        <v>395</v>
      </c>
      <c r="D4749" s="408" t="s">
        <v>137</v>
      </c>
      <c r="E4749" s="604" t="s">
        <v>7768</v>
      </c>
      <c r="F4749" s="604"/>
      <c r="G4749" s="410" t="s">
        <v>6</v>
      </c>
      <c r="H4749" s="412">
        <v>0.16520000000000001</v>
      </c>
      <c r="I4749" s="412">
        <v>0</v>
      </c>
      <c r="J4749" s="411">
        <v>40.299999999999997</v>
      </c>
      <c r="K4749" s="411">
        <v>6.6575600000000001</v>
      </c>
    </row>
    <row r="4750" spans="1:11" ht="15" x14ac:dyDescent="0.3">
      <c r="A4750" s="400" t="s">
        <v>1038</v>
      </c>
      <c r="B4750" s="401" t="s">
        <v>1339</v>
      </c>
      <c r="C4750" s="400" t="s">
        <v>395</v>
      </c>
      <c r="D4750" s="400" t="s">
        <v>383</v>
      </c>
      <c r="E4750" s="605" t="s">
        <v>1039</v>
      </c>
      <c r="F4750" s="605"/>
      <c r="G4750" s="402" t="s">
        <v>4</v>
      </c>
      <c r="H4750" s="403">
        <v>2</v>
      </c>
      <c r="I4750" s="403">
        <v>0</v>
      </c>
      <c r="J4750" s="404">
        <v>2.48</v>
      </c>
      <c r="K4750" s="404">
        <v>4.96</v>
      </c>
    </row>
    <row r="4751" spans="1:11" ht="25.5" customHeight="1" x14ac:dyDescent="0.3">
      <c r="A4751" s="400" t="s">
        <v>1038</v>
      </c>
      <c r="B4751" s="401" t="s">
        <v>4755</v>
      </c>
      <c r="C4751" s="400" t="s">
        <v>395</v>
      </c>
      <c r="D4751" s="400" t="s">
        <v>4756</v>
      </c>
      <c r="E4751" s="605" t="s">
        <v>1039</v>
      </c>
      <c r="F4751" s="605"/>
      <c r="G4751" s="402" t="s">
        <v>4</v>
      </c>
      <c r="H4751" s="403">
        <v>1</v>
      </c>
      <c r="I4751" s="403">
        <v>0</v>
      </c>
      <c r="J4751" s="404">
        <v>8.4499999999999993</v>
      </c>
      <c r="K4751" s="404">
        <v>8.4499999999999993</v>
      </c>
    </row>
    <row r="4752" spans="1:11" ht="25.5" customHeight="1" x14ac:dyDescent="0.3">
      <c r="A4752" s="400" t="s">
        <v>1038</v>
      </c>
      <c r="B4752" s="401" t="s">
        <v>1338</v>
      </c>
      <c r="C4752" s="400" t="s">
        <v>395</v>
      </c>
      <c r="D4752" s="400" t="s">
        <v>345</v>
      </c>
      <c r="E4752" s="605" t="s">
        <v>1039</v>
      </c>
      <c r="F4752" s="605"/>
      <c r="G4752" s="402" t="s">
        <v>4</v>
      </c>
      <c r="H4752" s="403">
        <v>7.4999999999999997E-2</v>
      </c>
      <c r="I4752" s="403">
        <v>0</v>
      </c>
      <c r="J4752" s="404">
        <v>32.67</v>
      </c>
      <c r="K4752" s="404">
        <v>2.45025</v>
      </c>
    </row>
    <row r="4753" spans="1:11" ht="15" x14ac:dyDescent="0.3">
      <c r="A4753" s="405"/>
      <c r="B4753" s="405"/>
      <c r="C4753" s="405"/>
      <c r="D4753" s="405"/>
      <c r="E4753" s="405" t="s">
        <v>1046</v>
      </c>
      <c r="F4753" s="406">
        <v>8.9700000000000006</v>
      </c>
      <c r="G4753" s="405" t="s">
        <v>1047</v>
      </c>
      <c r="H4753" s="406">
        <v>0</v>
      </c>
      <c r="I4753" s="405" t="s">
        <v>1048</v>
      </c>
      <c r="J4753" s="406">
        <v>8.9700000000000006</v>
      </c>
      <c r="K4753"/>
    </row>
    <row r="4754" spans="1:11" ht="14.25" customHeight="1" thickBot="1" x14ac:dyDescent="0.35">
      <c r="A4754" s="405"/>
      <c r="B4754" s="405"/>
      <c r="C4754" s="405"/>
      <c r="D4754" s="405"/>
      <c r="E4754" s="405" t="s">
        <v>1049</v>
      </c>
      <c r="F4754" s="406">
        <v>0</v>
      </c>
      <c r="G4754" s="405"/>
      <c r="H4754" s="606"/>
      <c r="I4754" s="606" t="s">
        <v>1050</v>
      </c>
      <c r="J4754" s="406">
        <v>28.04</v>
      </c>
      <c r="K4754"/>
    </row>
    <row r="4755" spans="1:11" ht="14.25" customHeight="1" thickTop="1" x14ac:dyDescent="0.3">
      <c r="A4755" s="407"/>
      <c r="B4755" s="407"/>
      <c r="C4755" s="407"/>
      <c r="D4755" s="407"/>
      <c r="E4755" s="407"/>
      <c r="F4755" s="407"/>
      <c r="G4755" s="407"/>
      <c r="H4755" s="407"/>
      <c r="I4755" s="407"/>
      <c r="J4755" s="407"/>
      <c r="K4755" s="407"/>
    </row>
    <row r="4756" spans="1:11" ht="15" x14ac:dyDescent="0.3">
      <c r="A4756" s="382" t="s">
        <v>2951</v>
      </c>
      <c r="B4756" s="312" t="s">
        <v>413</v>
      </c>
      <c r="C4756" s="382" t="s">
        <v>414</v>
      </c>
      <c r="D4756" s="382" t="s">
        <v>415</v>
      </c>
      <c r="E4756" s="586" t="s">
        <v>1029</v>
      </c>
      <c r="F4756" s="586"/>
      <c r="G4756" s="383" t="s">
        <v>416</v>
      </c>
      <c r="H4756" s="312" t="s">
        <v>1030</v>
      </c>
      <c r="I4756" s="312" t="s">
        <v>3016</v>
      </c>
      <c r="J4756" s="312" t="s">
        <v>1031</v>
      </c>
      <c r="K4756" s="312" t="s">
        <v>1032</v>
      </c>
    </row>
    <row r="4757" spans="1:11" ht="15" customHeight="1" x14ac:dyDescent="0.3">
      <c r="A4757" s="313" t="s">
        <v>1033</v>
      </c>
      <c r="B4757" s="315" t="s">
        <v>3962</v>
      </c>
      <c r="C4757" s="313" t="s">
        <v>395</v>
      </c>
      <c r="D4757" s="313" t="s">
        <v>6063</v>
      </c>
      <c r="E4757" s="603" t="s">
        <v>7873</v>
      </c>
      <c r="F4757" s="603"/>
      <c r="G4757" s="314" t="s">
        <v>4</v>
      </c>
      <c r="H4757" s="399">
        <v>1</v>
      </c>
      <c r="I4757" s="316"/>
      <c r="J4757" s="316">
        <v>35.51</v>
      </c>
      <c r="K4757" s="316">
        <v>35.51</v>
      </c>
    </row>
    <row r="4758" spans="1:11" ht="26.4" x14ac:dyDescent="0.3">
      <c r="A4758" s="408" t="s">
        <v>1034</v>
      </c>
      <c r="B4758" s="409" t="s">
        <v>1113</v>
      </c>
      <c r="C4758" s="408" t="s">
        <v>395</v>
      </c>
      <c r="D4758" s="408" t="s">
        <v>129</v>
      </c>
      <c r="E4758" s="604" t="s">
        <v>7768</v>
      </c>
      <c r="F4758" s="604"/>
      <c r="G4758" s="410" t="s">
        <v>6</v>
      </c>
      <c r="H4758" s="412">
        <v>0.2172</v>
      </c>
      <c r="I4758" s="412">
        <v>0</v>
      </c>
      <c r="J4758" s="411">
        <v>33.450000000000003</v>
      </c>
      <c r="K4758" s="411">
        <v>7.2653400000000001</v>
      </c>
    </row>
    <row r="4759" spans="1:11" ht="26.4" x14ac:dyDescent="0.3">
      <c r="A4759" s="408" t="s">
        <v>1034</v>
      </c>
      <c r="B4759" s="409" t="s">
        <v>1112</v>
      </c>
      <c r="C4759" s="408" t="s">
        <v>395</v>
      </c>
      <c r="D4759" s="408" t="s">
        <v>137</v>
      </c>
      <c r="E4759" s="604" t="s">
        <v>7768</v>
      </c>
      <c r="F4759" s="604"/>
      <c r="G4759" s="410" t="s">
        <v>6</v>
      </c>
      <c r="H4759" s="412">
        <v>0.2172</v>
      </c>
      <c r="I4759" s="412">
        <v>0</v>
      </c>
      <c r="J4759" s="411">
        <v>40.299999999999997</v>
      </c>
      <c r="K4759" s="411">
        <v>8.7531599999999994</v>
      </c>
    </row>
    <row r="4760" spans="1:11" ht="17.399999999999999" customHeight="1" x14ac:dyDescent="0.3">
      <c r="A4760" s="400" t="s">
        <v>1038</v>
      </c>
      <c r="B4760" s="401" t="s">
        <v>2590</v>
      </c>
      <c r="C4760" s="400" t="s">
        <v>395</v>
      </c>
      <c r="D4760" s="400" t="s">
        <v>234</v>
      </c>
      <c r="E4760" s="605" t="s">
        <v>1039</v>
      </c>
      <c r="F4760" s="605"/>
      <c r="G4760" s="402" t="s">
        <v>4</v>
      </c>
      <c r="H4760" s="403">
        <v>2</v>
      </c>
      <c r="I4760" s="403">
        <v>0</v>
      </c>
      <c r="J4760" s="404">
        <v>2.99</v>
      </c>
      <c r="K4760" s="404">
        <v>5.98</v>
      </c>
    </row>
    <row r="4761" spans="1:11" ht="38.25" customHeight="1" x14ac:dyDescent="0.3">
      <c r="A4761" s="400" t="s">
        <v>1038</v>
      </c>
      <c r="B4761" s="401" t="s">
        <v>4743</v>
      </c>
      <c r="C4761" s="400" t="s">
        <v>395</v>
      </c>
      <c r="D4761" s="400" t="s">
        <v>4744</v>
      </c>
      <c r="E4761" s="605" t="s">
        <v>1039</v>
      </c>
      <c r="F4761" s="605"/>
      <c r="G4761" s="402" t="s">
        <v>4</v>
      </c>
      <c r="H4761" s="403">
        <v>1</v>
      </c>
      <c r="I4761" s="403">
        <v>0</v>
      </c>
      <c r="J4761" s="404">
        <v>9.75</v>
      </c>
      <c r="K4761" s="404">
        <v>9.75</v>
      </c>
    </row>
    <row r="4762" spans="1:11" ht="26.4" x14ac:dyDescent="0.3">
      <c r="A4762" s="400" t="s">
        <v>1038</v>
      </c>
      <c r="B4762" s="401" t="s">
        <v>1338</v>
      </c>
      <c r="C4762" s="400" t="s">
        <v>395</v>
      </c>
      <c r="D4762" s="400" t="s">
        <v>345</v>
      </c>
      <c r="E4762" s="605" t="s">
        <v>1039</v>
      </c>
      <c r="F4762" s="605"/>
      <c r="G4762" s="402" t="s">
        <v>4</v>
      </c>
      <c r="H4762" s="403">
        <v>0.115</v>
      </c>
      <c r="I4762" s="403">
        <v>0</v>
      </c>
      <c r="J4762" s="404">
        <v>32.67</v>
      </c>
      <c r="K4762" s="404">
        <v>3.75705</v>
      </c>
    </row>
    <row r="4763" spans="1:11" ht="14.25" customHeight="1" x14ac:dyDescent="0.3">
      <c r="A4763" s="405"/>
      <c r="B4763" s="405"/>
      <c r="C4763" s="405"/>
      <c r="D4763" s="405"/>
      <c r="E4763" s="405" t="s">
        <v>1046</v>
      </c>
      <c r="F4763" s="406">
        <v>11.79</v>
      </c>
      <c r="G4763" s="405" t="s">
        <v>1047</v>
      </c>
      <c r="H4763" s="406">
        <v>0</v>
      </c>
      <c r="I4763" s="405" t="s">
        <v>1048</v>
      </c>
      <c r="J4763" s="406">
        <v>11.79</v>
      </c>
      <c r="K4763"/>
    </row>
    <row r="4764" spans="1:11" ht="14.25" customHeight="1" thickBot="1" x14ac:dyDescent="0.35">
      <c r="A4764" s="405"/>
      <c r="B4764" s="405"/>
      <c r="C4764" s="405"/>
      <c r="D4764" s="405"/>
      <c r="E4764" s="405" t="s">
        <v>1049</v>
      </c>
      <c r="F4764" s="406">
        <v>0</v>
      </c>
      <c r="G4764" s="405"/>
      <c r="H4764" s="606"/>
      <c r="I4764" s="606" t="s">
        <v>1050</v>
      </c>
      <c r="J4764" s="406">
        <v>35.51</v>
      </c>
      <c r="K4764"/>
    </row>
    <row r="4765" spans="1:11" ht="30" customHeight="1" thickTop="1" x14ac:dyDescent="0.3">
      <c r="A4765" s="407"/>
      <c r="B4765" s="407"/>
      <c r="C4765" s="407"/>
      <c r="D4765" s="407"/>
      <c r="E4765" s="407"/>
      <c r="F4765" s="407"/>
      <c r="G4765" s="407"/>
      <c r="H4765" s="407"/>
      <c r="I4765" s="407"/>
      <c r="J4765" s="407"/>
      <c r="K4765" s="407"/>
    </row>
    <row r="4766" spans="1:11" ht="15" customHeight="1" x14ac:dyDescent="0.3">
      <c r="A4766" s="382" t="s">
        <v>2952</v>
      </c>
      <c r="B4766" s="312" t="s">
        <v>413</v>
      </c>
      <c r="C4766" s="382" t="s">
        <v>414</v>
      </c>
      <c r="D4766" s="382" t="s">
        <v>415</v>
      </c>
      <c r="E4766" s="586" t="s">
        <v>1029</v>
      </c>
      <c r="F4766" s="586"/>
      <c r="G4766" s="383" t="s">
        <v>416</v>
      </c>
      <c r="H4766" s="312" t="s">
        <v>1030</v>
      </c>
      <c r="I4766" s="312" t="s">
        <v>3016</v>
      </c>
      <c r="J4766" s="312" t="s">
        <v>1031</v>
      </c>
      <c r="K4766" s="312" t="s">
        <v>1032</v>
      </c>
    </row>
    <row r="4767" spans="1:11" ht="12.75" customHeight="1" x14ac:dyDescent="0.3">
      <c r="A4767" s="313" t="s">
        <v>1033</v>
      </c>
      <c r="B4767" s="315" t="s">
        <v>3963</v>
      </c>
      <c r="C4767" s="313" t="s">
        <v>395</v>
      </c>
      <c r="D4767" s="313" t="s">
        <v>6064</v>
      </c>
      <c r="E4767" s="603" t="s">
        <v>7872</v>
      </c>
      <c r="F4767" s="603"/>
      <c r="G4767" s="314" t="s">
        <v>4</v>
      </c>
      <c r="H4767" s="399">
        <v>1</v>
      </c>
      <c r="I4767" s="316"/>
      <c r="J4767" s="316">
        <v>17.079999999999998</v>
      </c>
      <c r="K4767" s="316">
        <v>17.079999999999998</v>
      </c>
    </row>
    <row r="4768" spans="1:11" ht="25.5" customHeight="1" x14ac:dyDescent="0.3">
      <c r="A4768" s="408" t="s">
        <v>1034</v>
      </c>
      <c r="B4768" s="409" t="s">
        <v>1113</v>
      </c>
      <c r="C4768" s="408" t="s">
        <v>395</v>
      </c>
      <c r="D4768" s="408" t="s">
        <v>129</v>
      </c>
      <c r="E4768" s="604" t="s">
        <v>7768</v>
      </c>
      <c r="F4768" s="604"/>
      <c r="G4768" s="410" t="s">
        <v>6</v>
      </c>
      <c r="H4768" s="412">
        <v>6.3299999999999995E-2</v>
      </c>
      <c r="I4768" s="412">
        <v>0</v>
      </c>
      <c r="J4768" s="411">
        <v>33.450000000000003</v>
      </c>
      <c r="K4768" s="411">
        <v>2.1173850000000001</v>
      </c>
    </row>
    <row r="4769" spans="1:11" ht="25.5" customHeight="1" x14ac:dyDescent="0.3">
      <c r="A4769" s="408" t="s">
        <v>1034</v>
      </c>
      <c r="B4769" s="409" t="s">
        <v>1112</v>
      </c>
      <c r="C4769" s="408" t="s">
        <v>395</v>
      </c>
      <c r="D4769" s="408" t="s">
        <v>137</v>
      </c>
      <c r="E4769" s="604" t="s">
        <v>7768</v>
      </c>
      <c r="F4769" s="604"/>
      <c r="G4769" s="410" t="s">
        <v>6</v>
      </c>
      <c r="H4769" s="412">
        <v>6.3299999999999995E-2</v>
      </c>
      <c r="I4769" s="412">
        <v>0</v>
      </c>
      <c r="J4769" s="411">
        <v>40.299999999999997</v>
      </c>
      <c r="K4769" s="411">
        <v>2.5509900000000001</v>
      </c>
    </row>
    <row r="4770" spans="1:11" ht="25.5" customHeight="1" x14ac:dyDescent="0.3">
      <c r="A4770" s="400" t="s">
        <v>1038</v>
      </c>
      <c r="B4770" s="401" t="s">
        <v>2587</v>
      </c>
      <c r="C4770" s="400" t="s">
        <v>395</v>
      </c>
      <c r="D4770" s="400" t="s">
        <v>349</v>
      </c>
      <c r="E4770" s="605" t="s">
        <v>1039</v>
      </c>
      <c r="F4770" s="605"/>
      <c r="G4770" s="402" t="s">
        <v>4</v>
      </c>
      <c r="H4770" s="403">
        <v>1.4800000000000001E-2</v>
      </c>
      <c r="I4770" s="403">
        <v>0</v>
      </c>
      <c r="J4770" s="404">
        <v>79.17</v>
      </c>
      <c r="K4770" s="404">
        <v>1.171716</v>
      </c>
    </row>
    <row r="4771" spans="1:11" ht="25.5" customHeight="1" x14ac:dyDescent="0.3">
      <c r="A4771" s="400" t="s">
        <v>1038</v>
      </c>
      <c r="B4771" s="401" t="s">
        <v>2588</v>
      </c>
      <c r="C4771" s="400" t="s">
        <v>395</v>
      </c>
      <c r="D4771" s="400" t="s">
        <v>350</v>
      </c>
      <c r="E4771" s="605" t="s">
        <v>1039</v>
      </c>
      <c r="F4771" s="605"/>
      <c r="G4771" s="402" t="s">
        <v>4</v>
      </c>
      <c r="H4771" s="403">
        <v>2.2499999999999999E-2</v>
      </c>
      <c r="I4771" s="403">
        <v>0</v>
      </c>
      <c r="J4771" s="404">
        <v>89.7</v>
      </c>
      <c r="K4771" s="404">
        <v>2.0182500000000001</v>
      </c>
    </row>
    <row r="4772" spans="1:11" ht="14.25" customHeight="1" x14ac:dyDescent="0.3">
      <c r="A4772" s="400" t="s">
        <v>1038</v>
      </c>
      <c r="B4772" s="401" t="s">
        <v>4763</v>
      </c>
      <c r="C4772" s="400" t="s">
        <v>395</v>
      </c>
      <c r="D4772" s="400" t="s">
        <v>4764</v>
      </c>
      <c r="E4772" s="605" t="s">
        <v>1039</v>
      </c>
      <c r="F4772" s="605"/>
      <c r="G4772" s="402" t="s">
        <v>4</v>
      </c>
      <c r="H4772" s="403">
        <v>1</v>
      </c>
      <c r="I4772" s="403">
        <v>0</v>
      </c>
      <c r="J4772" s="404">
        <v>9.14</v>
      </c>
      <c r="K4772" s="404">
        <v>9.14</v>
      </c>
    </row>
    <row r="4773" spans="1:11" ht="25.5" customHeight="1" x14ac:dyDescent="0.3">
      <c r="A4773" s="400" t="s">
        <v>1038</v>
      </c>
      <c r="B4773" s="401" t="s">
        <v>1372</v>
      </c>
      <c r="C4773" s="400" t="s">
        <v>395</v>
      </c>
      <c r="D4773" s="400" t="s">
        <v>266</v>
      </c>
      <c r="E4773" s="605" t="s">
        <v>1039</v>
      </c>
      <c r="F4773" s="605"/>
      <c r="G4773" s="402" t="s">
        <v>4</v>
      </c>
      <c r="H4773" s="403">
        <v>3.9E-2</v>
      </c>
      <c r="I4773" s="403">
        <v>0</v>
      </c>
      <c r="J4773" s="404">
        <v>2.09</v>
      </c>
      <c r="K4773" s="404">
        <v>8.1509999999999999E-2</v>
      </c>
    </row>
    <row r="4774" spans="1:11" ht="15" customHeight="1" x14ac:dyDescent="0.3">
      <c r="A4774" s="405"/>
      <c r="B4774" s="405"/>
      <c r="C4774" s="405"/>
      <c r="D4774" s="405"/>
      <c r="E4774" s="405" t="s">
        <v>1046</v>
      </c>
      <c r="F4774" s="406">
        <v>3.44</v>
      </c>
      <c r="G4774" s="405" t="s">
        <v>1047</v>
      </c>
      <c r="H4774" s="406">
        <v>0</v>
      </c>
      <c r="I4774" s="405" t="s">
        <v>1048</v>
      </c>
      <c r="J4774" s="406">
        <v>3.44</v>
      </c>
      <c r="K4774"/>
    </row>
    <row r="4775" spans="1:11" ht="15.6" thickBot="1" x14ac:dyDescent="0.35">
      <c r="A4775" s="405"/>
      <c r="B4775" s="405"/>
      <c r="C4775" s="405"/>
      <c r="D4775" s="405"/>
      <c r="E4775" s="405" t="s">
        <v>1049</v>
      </c>
      <c r="F4775" s="406">
        <v>0</v>
      </c>
      <c r="G4775" s="405"/>
      <c r="H4775" s="606"/>
      <c r="I4775" s="606" t="s">
        <v>1050</v>
      </c>
      <c r="J4775" s="406">
        <v>17.079999999999998</v>
      </c>
      <c r="K4775"/>
    </row>
    <row r="4776" spans="1:11" ht="12.75" customHeight="1" thickTop="1" x14ac:dyDescent="0.3">
      <c r="A4776" s="407"/>
      <c r="B4776" s="407"/>
      <c r="C4776" s="407"/>
      <c r="D4776" s="407"/>
      <c r="E4776" s="407"/>
      <c r="F4776" s="407"/>
      <c r="G4776" s="407"/>
      <c r="H4776" s="407"/>
      <c r="I4776" s="407"/>
      <c r="J4776" s="407"/>
      <c r="K4776" s="407"/>
    </row>
    <row r="4777" spans="1:11" ht="25.5" customHeight="1" x14ac:dyDescent="0.3">
      <c r="A4777" s="382" t="s">
        <v>2972</v>
      </c>
      <c r="B4777" s="312" t="s">
        <v>413</v>
      </c>
      <c r="C4777" s="382" t="s">
        <v>414</v>
      </c>
      <c r="D4777" s="382" t="s">
        <v>415</v>
      </c>
      <c r="E4777" s="586" t="s">
        <v>1029</v>
      </c>
      <c r="F4777" s="586"/>
      <c r="G4777" s="383" t="s">
        <v>416</v>
      </c>
      <c r="H4777" s="312" t="s">
        <v>1030</v>
      </c>
      <c r="I4777" s="312" t="s">
        <v>3016</v>
      </c>
      <c r="J4777" s="312" t="s">
        <v>1031</v>
      </c>
      <c r="K4777" s="312" t="s">
        <v>1032</v>
      </c>
    </row>
    <row r="4778" spans="1:11" ht="25.5" customHeight="1" x14ac:dyDescent="0.3">
      <c r="A4778" s="313" t="s">
        <v>1033</v>
      </c>
      <c r="B4778" s="315" t="s">
        <v>3964</v>
      </c>
      <c r="C4778" s="313" t="s">
        <v>395</v>
      </c>
      <c r="D4778" s="313" t="s">
        <v>6065</v>
      </c>
      <c r="E4778" s="603" t="s">
        <v>7873</v>
      </c>
      <c r="F4778" s="603"/>
      <c r="G4778" s="314" t="s">
        <v>4</v>
      </c>
      <c r="H4778" s="399">
        <v>1</v>
      </c>
      <c r="I4778" s="316"/>
      <c r="J4778" s="316">
        <v>31.59</v>
      </c>
      <c r="K4778" s="316">
        <v>31.59</v>
      </c>
    </row>
    <row r="4779" spans="1:11" ht="26.4" x14ac:dyDescent="0.3">
      <c r="A4779" s="408" t="s">
        <v>1034</v>
      </c>
      <c r="B4779" s="409" t="s">
        <v>1113</v>
      </c>
      <c r="C4779" s="408" t="s">
        <v>395</v>
      </c>
      <c r="D4779" s="408" t="s">
        <v>129</v>
      </c>
      <c r="E4779" s="604" t="s">
        <v>7768</v>
      </c>
      <c r="F4779" s="604"/>
      <c r="G4779" s="410" t="s">
        <v>6</v>
      </c>
      <c r="H4779" s="412">
        <v>0.18390000000000001</v>
      </c>
      <c r="I4779" s="412">
        <v>0</v>
      </c>
      <c r="J4779" s="411">
        <v>33.450000000000003</v>
      </c>
      <c r="K4779" s="411">
        <v>6.1514550000000003</v>
      </c>
    </row>
    <row r="4780" spans="1:11" ht="26.4" x14ac:dyDescent="0.3">
      <c r="A4780" s="408" t="s">
        <v>1034</v>
      </c>
      <c r="B4780" s="409" t="s">
        <v>1112</v>
      </c>
      <c r="C4780" s="408" t="s">
        <v>395</v>
      </c>
      <c r="D4780" s="408" t="s">
        <v>137</v>
      </c>
      <c r="E4780" s="604" t="s">
        <v>7768</v>
      </c>
      <c r="F4780" s="604"/>
      <c r="G4780" s="410" t="s">
        <v>6</v>
      </c>
      <c r="H4780" s="412">
        <v>0.18390000000000001</v>
      </c>
      <c r="I4780" s="412">
        <v>0</v>
      </c>
      <c r="J4780" s="411">
        <v>40.299999999999997</v>
      </c>
      <c r="K4780" s="411">
        <v>7.4111700000000003</v>
      </c>
    </row>
    <row r="4781" spans="1:11" ht="25.5" customHeight="1" x14ac:dyDescent="0.3">
      <c r="A4781" s="400" t="s">
        <v>1038</v>
      </c>
      <c r="B4781" s="401" t="s">
        <v>1337</v>
      </c>
      <c r="C4781" s="400" t="s">
        <v>395</v>
      </c>
      <c r="D4781" s="400" t="s">
        <v>382</v>
      </c>
      <c r="E4781" s="605" t="s">
        <v>1039</v>
      </c>
      <c r="F4781" s="605"/>
      <c r="G4781" s="402" t="s">
        <v>4</v>
      </c>
      <c r="H4781" s="403">
        <v>3</v>
      </c>
      <c r="I4781" s="403">
        <v>0</v>
      </c>
      <c r="J4781" s="404">
        <v>1.69</v>
      </c>
      <c r="K4781" s="404">
        <v>5.07</v>
      </c>
    </row>
    <row r="4782" spans="1:11" ht="25.5" customHeight="1" x14ac:dyDescent="0.3">
      <c r="A4782" s="400" t="s">
        <v>1038</v>
      </c>
      <c r="B4782" s="401" t="s">
        <v>4733</v>
      </c>
      <c r="C4782" s="400" t="s">
        <v>395</v>
      </c>
      <c r="D4782" s="400" t="s">
        <v>4734</v>
      </c>
      <c r="E4782" s="605" t="s">
        <v>1039</v>
      </c>
      <c r="F4782" s="605"/>
      <c r="G4782" s="402" t="s">
        <v>4</v>
      </c>
      <c r="H4782" s="403">
        <v>1</v>
      </c>
      <c r="I4782" s="403">
        <v>0</v>
      </c>
      <c r="J4782" s="404">
        <v>10.51</v>
      </c>
      <c r="K4782" s="404">
        <v>10.51</v>
      </c>
    </row>
    <row r="4783" spans="1:11" ht="15" customHeight="1" x14ac:dyDescent="0.3">
      <c r="A4783" s="400" t="s">
        <v>1038</v>
      </c>
      <c r="B4783" s="401" t="s">
        <v>1338</v>
      </c>
      <c r="C4783" s="400" t="s">
        <v>395</v>
      </c>
      <c r="D4783" s="400" t="s">
        <v>345</v>
      </c>
      <c r="E4783" s="605" t="s">
        <v>1039</v>
      </c>
      <c r="F4783" s="605"/>
      <c r="G4783" s="402" t="s">
        <v>4</v>
      </c>
      <c r="H4783" s="403">
        <v>7.4999999999999997E-2</v>
      </c>
      <c r="I4783" s="403">
        <v>0</v>
      </c>
      <c r="J4783" s="404">
        <v>32.67</v>
      </c>
      <c r="K4783" s="404">
        <v>2.45025</v>
      </c>
    </row>
    <row r="4784" spans="1:11" ht="15" x14ac:dyDescent="0.3">
      <c r="A4784" s="405"/>
      <c r="B4784" s="405"/>
      <c r="C4784" s="405"/>
      <c r="D4784" s="405"/>
      <c r="E4784" s="405" t="s">
        <v>1046</v>
      </c>
      <c r="F4784" s="406">
        <v>9.98</v>
      </c>
      <c r="G4784" s="405" t="s">
        <v>1047</v>
      </c>
      <c r="H4784" s="406">
        <v>0</v>
      </c>
      <c r="I4784" s="405" t="s">
        <v>1048</v>
      </c>
      <c r="J4784" s="406">
        <v>9.98</v>
      </c>
      <c r="K4784"/>
    </row>
    <row r="4785" spans="1:11" ht="45" customHeight="1" thickBot="1" x14ac:dyDescent="0.35">
      <c r="A4785" s="405"/>
      <c r="B4785" s="405"/>
      <c r="C4785" s="405"/>
      <c r="D4785" s="405"/>
      <c r="E4785" s="405" t="s">
        <v>1049</v>
      </c>
      <c r="F4785" s="406">
        <v>0</v>
      </c>
      <c r="G4785" s="405"/>
      <c r="H4785" s="606"/>
      <c r="I4785" s="606" t="s">
        <v>1050</v>
      </c>
      <c r="J4785" s="406">
        <v>31.59</v>
      </c>
      <c r="K4785"/>
    </row>
    <row r="4786" spans="1:11" ht="30" customHeight="1" thickTop="1" x14ac:dyDescent="0.3">
      <c r="A4786" s="407"/>
      <c r="B4786" s="407"/>
      <c r="C4786" s="407"/>
      <c r="D4786" s="407"/>
      <c r="E4786" s="407"/>
      <c r="F4786" s="407"/>
      <c r="G4786" s="407"/>
      <c r="H4786" s="407"/>
      <c r="I4786" s="407"/>
      <c r="J4786" s="407"/>
      <c r="K4786" s="407"/>
    </row>
    <row r="4787" spans="1:11" ht="15" customHeight="1" x14ac:dyDescent="0.3">
      <c r="A4787" s="382" t="s">
        <v>2953</v>
      </c>
      <c r="B4787" s="312" t="s">
        <v>413</v>
      </c>
      <c r="C4787" s="382" t="s">
        <v>414</v>
      </c>
      <c r="D4787" s="382" t="s">
        <v>415</v>
      </c>
      <c r="E4787" s="586" t="s">
        <v>1029</v>
      </c>
      <c r="F4787" s="586"/>
      <c r="G4787" s="383" t="s">
        <v>416</v>
      </c>
      <c r="H4787" s="312" t="s">
        <v>1030</v>
      </c>
      <c r="I4787" s="312" t="s">
        <v>3016</v>
      </c>
      <c r="J4787" s="312" t="s">
        <v>1031</v>
      </c>
      <c r="K4787" s="312" t="s">
        <v>1032</v>
      </c>
    </row>
    <row r="4788" spans="1:11" ht="25.5" customHeight="1" x14ac:dyDescent="0.3">
      <c r="A4788" s="313" t="s">
        <v>1033</v>
      </c>
      <c r="B4788" s="315" t="s">
        <v>2207</v>
      </c>
      <c r="C4788" s="313" t="s">
        <v>420</v>
      </c>
      <c r="D4788" s="313" t="s">
        <v>6066</v>
      </c>
      <c r="E4788" s="603" t="s">
        <v>1244</v>
      </c>
      <c r="F4788" s="603"/>
      <c r="G4788" s="314" t="s">
        <v>422</v>
      </c>
      <c r="H4788" s="399">
        <v>1</v>
      </c>
      <c r="I4788" s="316"/>
      <c r="J4788" s="316">
        <v>35.44</v>
      </c>
      <c r="K4788" s="316">
        <v>35.44</v>
      </c>
    </row>
    <row r="4789" spans="1:11" ht="25.5" customHeight="1" x14ac:dyDescent="0.3">
      <c r="A4789" s="408" t="s">
        <v>1034</v>
      </c>
      <c r="B4789" s="409" t="s">
        <v>1071</v>
      </c>
      <c r="C4789" s="408" t="s">
        <v>420</v>
      </c>
      <c r="D4789" s="408" t="s">
        <v>1072</v>
      </c>
      <c r="E4789" s="604" t="s">
        <v>1069</v>
      </c>
      <c r="F4789" s="604"/>
      <c r="G4789" s="410" t="s">
        <v>1070</v>
      </c>
      <c r="H4789" s="412">
        <v>0.37</v>
      </c>
      <c r="I4789" s="412">
        <v>0</v>
      </c>
      <c r="J4789" s="411">
        <v>3.95</v>
      </c>
      <c r="K4789" s="411">
        <v>1.4615</v>
      </c>
    </row>
    <row r="4790" spans="1:11" ht="17.399999999999999" customHeight="1" x14ac:dyDescent="0.3">
      <c r="A4790" s="408" t="s">
        <v>1034</v>
      </c>
      <c r="B4790" s="409" t="s">
        <v>1180</v>
      </c>
      <c r="C4790" s="408" t="s">
        <v>420</v>
      </c>
      <c r="D4790" s="408" t="s">
        <v>1181</v>
      </c>
      <c r="E4790" s="604" t="s">
        <v>1069</v>
      </c>
      <c r="F4790" s="604"/>
      <c r="G4790" s="410" t="s">
        <v>1070</v>
      </c>
      <c r="H4790" s="412">
        <v>0.37</v>
      </c>
      <c r="I4790" s="412">
        <v>0</v>
      </c>
      <c r="J4790" s="411">
        <v>3.91</v>
      </c>
      <c r="K4790" s="411">
        <v>1.4467000000000001</v>
      </c>
    </row>
    <row r="4791" spans="1:11" ht="25.5" customHeight="1" x14ac:dyDescent="0.3">
      <c r="A4791" s="400" t="s">
        <v>1038</v>
      </c>
      <c r="B4791" s="401" t="s">
        <v>768</v>
      </c>
      <c r="C4791" s="400" t="s">
        <v>420</v>
      </c>
      <c r="D4791" s="400" t="s">
        <v>1245</v>
      </c>
      <c r="E4791" s="605" t="s">
        <v>1039</v>
      </c>
      <c r="F4791" s="605"/>
      <c r="G4791" s="402" t="s">
        <v>1246</v>
      </c>
      <c r="H4791" s="403">
        <v>4.2000000000000003E-2</v>
      </c>
      <c r="I4791" s="403">
        <v>0</v>
      </c>
      <c r="J4791" s="404">
        <v>72.41</v>
      </c>
      <c r="K4791" s="404">
        <v>3.04122</v>
      </c>
    </row>
    <row r="4792" spans="1:11" ht="15" customHeight="1" x14ac:dyDescent="0.3">
      <c r="A4792" s="400" t="s">
        <v>1038</v>
      </c>
      <c r="B4792" s="401" t="s">
        <v>7246</v>
      </c>
      <c r="C4792" s="400" t="s">
        <v>420</v>
      </c>
      <c r="D4792" s="400" t="s">
        <v>7247</v>
      </c>
      <c r="E4792" s="605" t="s">
        <v>1039</v>
      </c>
      <c r="F4792" s="605"/>
      <c r="G4792" s="402" t="s">
        <v>422</v>
      </c>
      <c r="H4792" s="403">
        <v>1</v>
      </c>
      <c r="I4792" s="403">
        <v>0</v>
      </c>
      <c r="J4792" s="404">
        <v>11.76</v>
      </c>
      <c r="K4792" s="404">
        <v>11.76</v>
      </c>
    </row>
    <row r="4793" spans="1:11" ht="14.25" customHeight="1" x14ac:dyDescent="0.3">
      <c r="A4793" s="400" t="s">
        <v>1038</v>
      </c>
      <c r="B4793" s="401" t="s">
        <v>1247</v>
      </c>
      <c r="C4793" s="400" t="s">
        <v>420</v>
      </c>
      <c r="D4793" s="400" t="s">
        <v>1248</v>
      </c>
      <c r="E4793" s="605" t="s">
        <v>1039</v>
      </c>
      <c r="F4793" s="605"/>
      <c r="G4793" s="402" t="s">
        <v>1249</v>
      </c>
      <c r="H4793" s="403">
        <v>6.3E-2</v>
      </c>
      <c r="I4793" s="403">
        <v>0</v>
      </c>
      <c r="J4793" s="404">
        <v>69.739999999999995</v>
      </c>
      <c r="K4793" s="404">
        <v>4.3936200000000003</v>
      </c>
    </row>
    <row r="4794" spans="1:11" ht="14.25" customHeight="1" x14ac:dyDescent="0.3">
      <c r="A4794" s="400" t="s">
        <v>1038</v>
      </c>
      <c r="B4794" s="401" t="s">
        <v>6480</v>
      </c>
      <c r="C4794" s="400" t="s">
        <v>420</v>
      </c>
      <c r="D4794" s="400" t="s">
        <v>6481</v>
      </c>
      <c r="E4794" s="605" t="s">
        <v>1053</v>
      </c>
      <c r="F4794" s="605"/>
      <c r="G4794" s="402" t="s">
        <v>1070</v>
      </c>
      <c r="H4794" s="403">
        <v>0.37</v>
      </c>
      <c r="I4794" s="403">
        <v>0</v>
      </c>
      <c r="J4794" s="404">
        <v>20.45</v>
      </c>
      <c r="K4794" s="404">
        <v>7.5664999999999996</v>
      </c>
    </row>
    <row r="4795" spans="1:11" ht="30" customHeight="1" x14ac:dyDescent="0.3">
      <c r="A4795" s="400" t="s">
        <v>1038</v>
      </c>
      <c r="B4795" s="401" t="s">
        <v>6251</v>
      </c>
      <c r="C4795" s="400" t="s">
        <v>420</v>
      </c>
      <c r="D4795" s="400" t="s">
        <v>6252</v>
      </c>
      <c r="E4795" s="605" t="s">
        <v>1053</v>
      </c>
      <c r="F4795" s="605"/>
      <c r="G4795" s="402" t="s">
        <v>1070</v>
      </c>
      <c r="H4795" s="403">
        <v>0.37</v>
      </c>
      <c r="I4795" s="403">
        <v>0</v>
      </c>
      <c r="J4795" s="404">
        <v>15.59</v>
      </c>
      <c r="K4795" s="404">
        <v>5.7683</v>
      </c>
    </row>
    <row r="4796" spans="1:11" ht="15" customHeight="1" x14ac:dyDescent="0.3">
      <c r="A4796" s="405"/>
      <c r="B4796" s="405"/>
      <c r="C4796" s="405"/>
      <c r="D4796" s="405"/>
      <c r="E4796" s="405" t="s">
        <v>1046</v>
      </c>
      <c r="F4796" s="406">
        <v>13.34</v>
      </c>
      <c r="G4796" s="405" t="s">
        <v>1047</v>
      </c>
      <c r="H4796" s="406">
        <v>0</v>
      </c>
      <c r="I4796" s="405" t="s">
        <v>1048</v>
      </c>
      <c r="J4796" s="406">
        <v>13.34</v>
      </c>
      <c r="K4796"/>
    </row>
    <row r="4797" spans="1:11" ht="25.5" customHeight="1" thickBot="1" x14ac:dyDescent="0.35">
      <c r="A4797" s="405"/>
      <c r="B4797" s="405"/>
      <c r="C4797" s="405"/>
      <c r="D4797" s="405"/>
      <c r="E4797" s="405" t="s">
        <v>1049</v>
      </c>
      <c r="F4797" s="406">
        <v>0</v>
      </c>
      <c r="G4797" s="405"/>
      <c r="H4797" s="606"/>
      <c r="I4797" s="606" t="s">
        <v>1050</v>
      </c>
      <c r="J4797" s="406">
        <v>35.44</v>
      </c>
      <c r="K4797"/>
    </row>
    <row r="4798" spans="1:11" ht="25.5" customHeight="1" thickTop="1" x14ac:dyDescent="0.3">
      <c r="A4798" s="407"/>
      <c r="B4798" s="407"/>
      <c r="C4798" s="407"/>
      <c r="D4798" s="407"/>
      <c r="E4798" s="407"/>
      <c r="F4798" s="407"/>
      <c r="G4798" s="407"/>
      <c r="H4798" s="407"/>
      <c r="I4798" s="407"/>
      <c r="J4798" s="407"/>
      <c r="K4798" s="407"/>
    </row>
    <row r="4799" spans="1:11" ht="25.5" customHeight="1" x14ac:dyDescent="0.3">
      <c r="A4799" s="382" t="s">
        <v>2954</v>
      </c>
      <c r="B4799" s="312" t="s">
        <v>413</v>
      </c>
      <c r="C4799" s="382" t="s">
        <v>414</v>
      </c>
      <c r="D4799" s="382" t="s">
        <v>415</v>
      </c>
      <c r="E4799" s="586" t="s">
        <v>1029</v>
      </c>
      <c r="F4799" s="586"/>
      <c r="G4799" s="383" t="s">
        <v>416</v>
      </c>
      <c r="H4799" s="312" t="s">
        <v>1030</v>
      </c>
      <c r="I4799" s="312" t="s">
        <v>3016</v>
      </c>
      <c r="J4799" s="312" t="s">
        <v>1031</v>
      </c>
      <c r="K4799" s="312" t="s">
        <v>1032</v>
      </c>
    </row>
    <row r="4800" spans="1:11" ht="25.5" customHeight="1" x14ac:dyDescent="0.3">
      <c r="A4800" s="313" t="s">
        <v>1033</v>
      </c>
      <c r="B4800" s="315" t="s">
        <v>2208</v>
      </c>
      <c r="C4800" s="313" t="s">
        <v>420</v>
      </c>
      <c r="D4800" s="313" t="s">
        <v>1980</v>
      </c>
      <c r="E4800" s="603" t="s">
        <v>1244</v>
      </c>
      <c r="F4800" s="603"/>
      <c r="G4800" s="314" t="s">
        <v>422</v>
      </c>
      <c r="H4800" s="399">
        <v>1</v>
      </c>
      <c r="I4800" s="316"/>
      <c r="J4800" s="316">
        <v>48.53</v>
      </c>
      <c r="K4800" s="316">
        <v>48.53</v>
      </c>
    </row>
    <row r="4801" spans="1:11" ht="25.5" customHeight="1" x14ac:dyDescent="0.3">
      <c r="A4801" s="408" t="s">
        <v>1034</v>
      </c>
      <c r="B4801" s="409" t="s">
        <v>1071</v>
      </c>
      <c r="C4801" s="408" t="s">
        <v>420</v>
      </c>
      <c r="D4801" s="408" t="s">
        <v>1072</v>
      </c>
      <c r="E4801" s="604" t="s">
        <v>1069</v>
      </c>
      <c r="F4801" s="604"/>
      <c r="G4801" s="410" t="s">
        <v>1070</v>
      </c>
      <c r="H4801" s="412">
        <v>0.46</v>
      </c>
      <c r="I4801" s="412">
        <v>0</v>
      </c>
      <c r="J4801" s="411">
        <v>3.95</v>
      </c>
      <c r="K4801" s="411">
        <v>1.8169999999999999</v>
      </c>
    </row>
    <row r="4802" spans="1:11" ht="14.25" customHeight="1" x14ac:dyDescent="0.3">
      <c r="A4802" s="408" t="s">
        <v>1034</v>
      </c>
      <c r="B4802" s="409" t="s">
        <v>1180</v>
      </c>
      <c r="C4802" s="408" t="s">
        <v>420</v>
      </c>
      <c r="D4802" s="408" t="s">
        <v>1181</v>
      </c>
      <c r="E4802" s="604" t="s">
        <v>1069</v>
      </c>
      <c r="F4802" s="604"/>
      <c r="G4802" s="410" t="s">
        <v>1070</v>
      </c>
      <c r="H4802" s="412">
        <v>0.46</v>
      </c>
      <c r="I4802" s="412">
        <v>0</v>
      </c>
      <c r="J4802" s="411">
        <v>3.91</v>
      </c>
      <c r="K4802" s="411">
        <v>1.7986</v>
      </c>
    </row>
    <row r="4803" spans="1:11" ht="15" customHeight="1" x14ac:dyDescent="0.3">
      <c r="A4803" s="400" t="s">
        <v>1038</v>
      </c>
      <c r="B4803" s="401" t="s">
        <v>768</v>
      </c>
      <c r="C4803" s="400" t="s">
        <v>420</v>
      </c>
      <c r="D4803" s="400" t="s">
        <v>1245</v>
      </c>
      <c r="E4803" s="605" t="s">
        <v>1039</v>
      </c>
      <c r="F4803" s="605"/>
      <c r="G4803" s="402" t="s">
        <v>1246</v>
      </c>
      <c r="H4803" s="403">
        <v>5.8000000000000003E-2</v>
      </c>
      <c r="I4803" s="403">
        <v>0</v>
      </c>
      <c r="J4803" s="404">
        <v>72.41</v>
      </c>
      <c r="K4803" s="404">
        <v>4.1997799999999996</v>
      </c>
    </row>
    <row r="4804" spans="1:11" ht="15" x14ac:dyDescent="0.3">
      <c r="A4804" s="400" t="s">
        <v>1038</v>
      </c>
      <c r="B4804" s="401" t="s">
        <v>2542</v>
      </c>
      <c r="C4804" s="400" t="s">
        <v>420</v>
      </c>
      <c r="D4804" s="400" t="s">
        <v>2543</v>
      </c>
      <c r="E4804" s="605" t="s">
        <v>1039</v>
      </c>
      <c r="F4804" s="605"/>
      <c r="G4804" s="402" t="s">
        <v>422</v>
      </c>
      <c r="H4804" s="403">
        <v>1</v>
      </c>
      <c r="I4804" s="403">
        <v>0</v>
      </c>
      <c r="J4804" s="404">
        <v>17.79</v>
      </c>
      <c r="K4804" s="404">
        <v>17.79</v>
      </c>
    </row>
    <row r="4805" spans="1:11" ht="15" x14ac:dyDescent="0.3">
      <c r="A4805" s="400" t="s">
        <v>1038</v>
      </c>
      <c r="B4805" s="401" t="s">
        <v>1247</v>
      </c>
      <c r="C4805" s="400" t="s">
        <v>420</v>
      </c>
      <c r="D4805" s="400" t="s">
        <v>1248</v>
      </c>
      <c r="E4805" s="605" t="s">
        <v>1039</v>
      </c>
      <c r="F4805" s="605"/>
      <c r="G4805" s="402" t="s">
        <v>1249</v>
      </c>
      <c r="H4805" s="403">
        <v>9.0999999999999998E-2</v>
      </c>
      <c r="I4805" s="403">
        <v>0</v>
      </c>
      <c r="J4805" s="404">
        <v>69.739999999999995</v>
      </c>
      <c r="K4805" s="404">
        <v>6.3463399999999996</v>
      </c>
    </row>
    <row r="4806" spans="1:11" ht="12.75" customHeight="1" x14ac:dyDescent="0.3">
      <c r="A4806" s="400" t="s">
        <v>1038</v>
      </c>
      <c r="B4806" s="401" t="s">
        <v>6480</v>
      </c>
      <c r="C4806" s="400" t="s">
        <v>420</v>
      </c>
      <c r="D4806" s="400" t="s">
        <v>6481</v>
      </c>
      <c r="E4806" s="605" t="s">
        <v>1053</v>
      </c>
      <c r="F4806" s="605"/>
      <c r="G4806" s="402" t="s">
        <v>1070</v>
      </c>
      <c r="H4806" s="403">
        <v>0.46</v>
      </c>
      <c r="I4806" s="403">
        <v>0</v>
      </c>
      <c r="J4806" s="404">
        <v>20.45</v>
      </c>
      <c r="K4806" s="404">
        <v>9.407</v>
      </c>
    </row>
    <row r="4807" spans="1:11" ht="15" customHeight="1" x14ac:dyDescent="0.3">
      <c r="A4807" s="400" t="s">
        <v>1038</v>
      </c>
      <c r="B4807" s="401" t="s">
        <v>6251</v>
      </c>
      <c r="C4807" s="400" t="s">
        <v>420</v>
      </c>
      <c r="D4807" s="400" t="s">
        <v>6252</v>
      </c>
      <c r="E4807" s="605" t="s">
        <v>1053</v>
      </c>
      <c r="F4807" s="605"/>
      <c r="G4807" s="402" t="s">
        <v>1070</v>
      </c>
      <c r="H4807" s="403">
        <v>0.46</v>
      </c>
      <c r="I4807" s="403">
        <v>0</v>
      </c>
      <c r="J4807" s="404">
        <v>15.59</v>
      </c>
      <c r="K4807" s="404">
        <v>7.1714000000000002</v>
      </c>
    </row>
    <row r="4808" spans="1:11" ht="25.5" customHeight="1" x14ac:dyDescent="0.3">
      <c r="A4808" s="405"/>
      <c r="B4808" s="405"/>
      <c r="C4808" s="405"/>
      <c r="D4808" s="405"/>
      <c r="E4808" s="405" t="s">
        <v>1046</v>
      </c>
      <c r="F4808" s="406">
        <v>16.579999999999998</v>
      </c>
      <c r="G4808" s="405" t="s">
        <v>1047</v>
      </c>
      <c r="H4808" s="406">
        <v>0</v>
      </c>
      <c r="I4808" s="405" t="s">
        <v>1048</v>
      </c>
      <c r="J4808" s="406">
        <v>16.579999999999998</v>
      </c>
      <c r="K4808"/>
    </row>
    <row r="4809" spans="1:11" ht="25.5" customHeight="1" thickBot="1" x14ac:dyDescent="0.35">
      <c r="A4809" s="405"/>
      <c r="B4809" s="405"/>
      <c r="C4809" s="405"/>
      <c r="D4809" s="405"/>
      <c r="E4809" s="405" t="s">
        <v>1049</v>
      </c>
      <c r="F4809" s="406">
        <v>0</v>
      </c>
      <c r="G4809" s="405"/>
      <c r="H4809" s="606"/>
      <c r="I4809" s="606" t="s">
        <v>1050</v>
      </c>
      <c r="J4809" s="406">
        <v>48.53</v>
      </c>
      <c r="K4809"/>
    </row>
    <row r="4810" spans="1:11" ht="15.6" thickTop="1" x14ac:dyDescent="0.3">
      <c r="A4810" s="407"/>
      <c r="B4810" s="407"/>
      <c r="C4810" s="407"/>
      <c r="D4810" s="407"/>
      <c r="E4810" s="407"/>
      <c r="F4810" s="407"/>
      <c r="G4810" s="407"/>
      <c r="H4810" s="407"/>
      <c r="I4810" s="407"/>
      <c r="J4810" s="407"/>
      <c r="K4810" s="407"/>
    </row>
    <row r="4811" spans="1:11" ht="14.25" customHeight="1" x14ac:dyDescent="0.3">
      <c r="A4811" s="382" t="s">
        <v>3344</v>
      </c>
      <c r="B4811" s="312" t="s">
        <v>413</v>
      </c>
      <c r="C4811" s="382" t="s">
        <v>414</v>
      </c>
      <c r="D4811" s="382" t="s">
        <v>415</v>
      </c>
      <c r="E4811" s="586" t="s">
        <v>1029</v>
      </c>
      <c r="F4811" s="586"/>
      <c r="G4811" s="383" t="s">
        <v>416</v>
      </c>
      <c r="H4811" s="312" t="s">
        <v>1030</v>
      </c>
      <c r="I4811" s="312" t="s">
        <v>3016</v>
      </c>
      <c r="J4811" s="312" t="s">
        <v>1031</v>
      </c>
      <c r="K4811" s="312" t="s">
        <v>1032</v>
      </c>
    </row>
    <row r="4812" spans="1:11" ht="14.25" customHeight="1" x14ac:dyDescent="0.3">
      <c r="A4812" s="313" t="s">
        <v>1033</v>
      </c>
      <c r="B4812" s="315" t="s">
        <v>2209</v>
      </c>
      <c r="C4812" s="313" t="s">
        <v>420</v>
      </c>
      <c r="D4812" s="313" t="s">
        <v>1982</v>
      </c>
      <c r="E4812" s="603" t="s">
        <v>1244</v>
      </c>
      <c r="F4812" s="603"/>
      <c r="G4812" s="314" t="s">
        <v>422</v>
      </c>
      <c r="H4812" s="399">
        <v>1</v>
      </c>
      <c r="I4812" s="316"/>
      <c r="J4812" s="316">
        <v>55.44</v>
      </c>
      <c r="K4812" s="316">
        <v>55.44</v>
      </c>
    </row>
    <row r="4813" spans="1:11" ht="30" customHeight="1" x14ac:dyDescent="0.3">
      <c r="A4813" s="408" t="s">
        <v>1034</v>
      </c>
      <c r="B4813" s="409" t="s">
        <v>1071</v>
      </c>
      <c r="C4813" s="408" t="s">
        <v>420</v>
      </c>
      <c r="D4813" s="408" t="s">
        <v>1072</v>
      </c>
      <c r="E4813" s="604" t="s">
        <v>1069</v>
      </c>
      <c r="F4813" s="604"/>
      <c r="G4813" s="410" t="s">
        <v>1070</v>
      </c>
      <c r="H4813" s="412">
        <v>0.46</v>
      </c>
      <c r="I4813" s="412">
        <v>0</v>
      </c>
      <c r="J4813" s="411">
        <v>3.95</v>
      </c>
      <c r="K4813" s="411">
        <v>1.8169999999999999</v>
      </c>
    </row>
    <row r="4814" spans="1:11" ht="15" customHeight="1" x14ac:dyDescent="0.3">
      <c r="A4814" s="408" t="s">
        <v>1034</v>
      </c>
      <c r="B4814" s="409" t="s">
        <v>1180</v>
      </c>
      <c r="C4814" s="408" t="s">
        <v>420</v>
      </c>
      <c r="D4814" s="408" t="s">
        <v>1181</v>
      </c>
      <c r="E4814" s="604" t="s">
        <v>1069</v>
      </c>
      <c r="F4814" s="604"/>
      <c r="G4814" s="410" t="s">
        <v>1070</v>
      </c>
      <c r="H4814" s="412">
        <v>0.46</v>
      </c>
      <c r="I4814" s="412">
        <v>0</v>
      </c>
      <c r="J4814" s="411">
        <v>3.91</v>
      </c>
      <c r="K4814" s="411">
        <v>1.7986</v>
      </c>
    </row>
    <row r="4815" spans="1:11" ht="12.75" customHeight="1" x14ac:dyDescent="0.3">
      <c r="A4815" s="400" t="s">
        <v>1038</v>
      </c>
      <c r="B4815" s="401" t="s">
        <v>768</v>
      </c>
      <c r="C4815" s="400" t="s">
        <v>420</v>
      </c>
      <c r="D4815" s="400" t="s">
        <v>1245</v>
      </c>
      <c r="E4815" s="605" t="s">
        <v>1039</v>
      </c>
      <c r="F4815" s="605"/>
      <c r="G4815" s="402" t="s">
        <v>1246</v>
      </c>
      <c r="H4815" s="403">
        <v>6.7000000000000004E-2</v>
      </c>
      <c r="I4815" s="403">
        <v>0</v>
      </c>
      <c r="J4815" s="404">
        <v>72.41</v>
      </c>
      <c r="K4815" s="404">
        <v>4.8514699999999999</v>
      </c>
    </row>
    <row r="4816" spans="1:11" ht="12.75" customHeight="1" x14ac:dyDescent="0.3">
      <c r="A4816" s="400" t="s">
        <v>1038</v>
      </c>
      <c r="B4816" s="401" t="s">
        <v>1247</v>
      </c>
      <c r="C4816" s="400" t="s">
        <v>420</v>
      </c>
      <c r="D4816" s="400" t="s">
        <v>1248</v>
      </c>
      <c r="E4816" s="605" t="s">
        <v>1039</v>
      </c>
      <c r="F4816" s="605"/>
      <c r="G4816" s="402" t="s">
        <v>1249</v>
      </c>
      <c r="H4816" s="403">
        <v>0.106</v>
      </c>
      <c r="I4816" s="403">
        <v>0</v>
      </c>
      <c r="J4816" s="404">
        <v>69.739999999999995</v>
      </c>
      <c r="K4816" s="404">
        <v>7.3924399999999997</v>
      </c>
    </row>
    <row r="4817" spans="1:11" ht="25.5" customHeight="1" x14ac:dyDescent="0.3">
      <c r="A4817" s="400" t="s">
        <v>1038</v>
      </c>
      <c r="B4817" s="401" t="s">
        <v>6480</v>
      </c>
      <c r="C4817" s="400" t="s">
        <v>420</v>
      </c>
      <c r="D4817" s="400" t="s">
        <v>6481</v>
      </c>
      <c r="E4817" s="605" t="s">
        <v>1053</v>
      </c>
      <c r="F4817" s="605"/>
      <c r="G4817" s="402" t="s">
        <v>1070</v>
      </c>
      <c r="H4817" s="403">
        <v>0.46</v>
      </c>
      <c r="I4817" s="403">
        <v>0</v>
      </c>
      <c r="J4817" s="404">
        <v>20.45</v>
      </c>
      <c r="K4817" s="404">
        <v>9.407</v>
      </c>
    </row>
    <row r="4818" spans="1:11" ht="15" customHeight="1" x14ac:dyDescent="0.3">
      <c r="A4818" s="400" t="s">
        <v>1038</v>
      </c>
      <c r="B4818" s="401" t="s">
        <v>7087</v>
      </c>
      <c r="C4818" s="400" t="s">
        <v>420</v>
      </c>
      <c r="D4818" s="400" t="s">
        <v>7088</v>
      </c>
      <c r="E4818" s="605" t="s">
        <v>1039</v>
      </c>
      <c r="F4818" s="605"/>
      <c r="G4818" s="402" t="s">
        <v>422</v>
      </c>
      <c r="H4818" s="403">
        <v>1</v>
      </c>
      <c r="I4818" s="403">
        <v>0</v>
      </c>
      <c r="J4818" s="404">
        <v>23</v>
      </c>
      <c r="K4818" s="404">
        <v>23</v>
      </c>
    </row>
    <row r="4819" spans="1:11" ht="25.5" customHeight="1" x14ac:dyDescent="0.3">
      <c r="A4819" s="400" t="s">
        <v>1038</v>
      </c>
      <c r="B4819" s="401" t="s">
        <v>6251</v>
      </c>
      <c r="C4819" s="400" t="s">
        <v>420</v>
      </c>
      <c r="D4819" s="400" t="s">
        <v>6252</v>
      </c>
      <c r="E4819" s="605" t="s">
        <v>1053</v>
      </c>
      <c r="F4819" s="605"/>
      <c r="G4819" s="402" t="s">
        <v>1070</v>
      </c>
      <c r="H4819" s="403">
        <v>0.46</v>
      </c>
      <c r="I4819" s="403">
        <v>0</v>
      </c>
      <c r="J4819" s="404">
        <v>15.59</v>
      </c>
      <c r="K4819" s="404">
        <v>7.1714000000000002</v>
      </c>
    </row>
    <row r="4820" spans="1:11" ht="25.5" customHeight="1" x14ac:dyDescent="0.3">
      <c r="A4820" s="405"/>
      <c r="B4820" s="405"/>
      <c r="C4820" s="405"/>
      <c r="D4820" s="405"/>
      <c r="E4820" s="405" t="s">
        <v>1046</v>
      </c>
      <c r="F4820" s="406">
        <v>16.579999999999998</v>
      </c>
      <c r="G4820" s="405" t="s">
        <v>1047</v>
      </c>
      <c r="H4820" s="406">
        <v>0</v>
      </c>
      <c r="I4820" s="405" t="s">
        <v>1048</v>
      </c>
      <c r="J4820" s="406">
        <v>16.579999999999998</v>
      </c>
      <c r="K4820"/>
    </row>
    <row r="4821" spans="1:11" ht="14.25" customHeight="1" thickBot="1" x14ac:dyDescent="0.35">
      <c r="A4821" s="405"/>
      <c r="B4821" s="405"/>
      <c r="C4821" s="405"/>
      <c r="D4821" s="405"/>
      <c r="E4821" s="405" t="s">
        <v>1049</v>
      </c>
      <c r="F4821" s="406">
        <v>0</v>
      </c>
      <c r="G4821" s="405"/>
      <c r="H4821" s="606"/>
      <c r="I4821" s="606" t="s">
        <v>1050</v>
      </c>
      <c r="J4821" s="406">
        <v>55.44</v>
      </c>
      <c r="K4821"/>
    </row>
    <row r="4822" spans="1:11" ht="25.5" customHeight="1" thickTop="1" x14ac:dyDescent="0.3">
      <c r="A4822" s="407"/>
      <c r="B4822" s="407"/>
      <c r="C4822" s="407"/>
      <c r="D4822" s="407"/>
      <c r="E4822" s="407"/>
      <c r="F4822" s="407"/>
      <c r="G4822" s="407"/>
      <c r="H4822" s="407"/>
      <c r="I4822" s="407"/>
      <c r="J4822" s="407"/>
      <c r="K4822" s="407"/>
    </row>
    <row r="4823" spans="1:11" ht="15" customHeight="1" x14ac:dyDescent="0.3">
      <c r="A4823" s="382" t="s">
        <v>2955</v>
      </c>
      <c r="B4823" s="312" t="s">
        <v>413</v>
      </c>
      <c r="C4823" s="382" t="s">
        <v>414</v>
      </c>
      <c r="D4823" s="382" t="s">
        <v>415</v>
      </c>
      <c r="E4823" s="586" t="s">
        <v>1029</v>
      </c>
      <c r="F4823" s="586"/>
      <c r="G4823" s="383" t="s">
        <v>416</v>
      </c>
      <c r="H4823" s="312" t="s">
        <v>1030</v>
      </c>
      <c r="I4823" s="312" t="s">
        <v>3016</v>
      </c>
      <c r="J4823" s="312" t="s">
        <v>1031</v>
      </c>
      <c r="K4823" s="312" t="s">
        <v>1032</v>
      </c>
    </row>
    <row r="4824" spans="1:11" ht="12.75" customHeight="1" x14ac:dyDescent="0.3">
      <c r="A4824" s="313" t="s">
        <v>1033</v>
      </c>
      <c r="B4824" s="315" t="s">
        <v>3965</v>
      </c>
      <c r="C4824" s="313" t="s">
        <v>395</v>
      </c>
      <c r="D4824" s="313" t="s">
        <v>6067</v>
      </c>
      <c r="E4824" s="603" t="s">
        <v>7873</v>
      </c>
      <c r="F4824" s="603"/>
      <c r="G4824" s="314" t="s">
        <v>4</v>
      </c>
      <c r="H4824" s="399">
        <v>1</v>
      </c>
      <c r="I4824" s="316"/>
      <c r="J4824" s="316">
        <v>19.62</v>
      </c>
      <c r="K4824" s="316">
        <v>19.62</v>
      </c>
    </row>
    <row r="4825" spans="1:11" ht="12.75" customHeight="1" x14ac:dyDescent="0.3">
      <c r="A4825" s="408" t="s">
        <v>1034</v>
      </c>
      <c r="B4825" s="409" t="s">
        <v>1113</v>
      </c>
      <c r="C4825" s="408" t="s">
        <v>395</v>
      </c>
      <c r="D4825" s="408" t="s">
        <v>129</v>
      </c>
      <c r="E4825" s="604" t="s">
        <v>7768</v>
      </c>
      <c r="F4825" s="604"/>
      <c r="G4825" s="410" t="s">
        <v>6</v>
      </c>
      <c r="H4825" s="412">
        <v>0.16930000000000001</v>
      </c>
      <c r="I4825" s="412">
        <v>0</v>
      </c>
      <c r="J4825" s="411">
        <v>33.450000000000003</v>
      </c>
      <c r="K4825" s="411">
        <v>5.6630849999999997</v>
      </c>
    </row>
    <row r="4826" spans="1:11" ht="25.5" customHeight="1" x14ac:dyDescent="0.3">
      <c r="A4826" s="408" t="s">
        <v>1034</v>
      </c>
      <c r="B4826" s="409" t="s">
        <v>1112</v>
      </c>
      <c r="C4826" s="408" t="s">
        <v>395</v>
      </c>
      <c r="D4826" s="408" t="s">
        <v>137</v>
      </c>
      <c r="E4826" s="604" t="s">
        <v>7768</v>
      </c>
      <c r="F4826" s="604"/>
      <c r="G4826" s="410" t="s">
        <v>6</v>
      </c>
      <c r="H4826" s="412">
        <v>0.16930000000000001</v>
      </c>
      <c r="I4826" s="412">
        <v>0</v>
      </c>
      <c r="J4826" s="411">
        <v>40.299999999999997</v>
      </c>
      <c r="K4826" s="411">
        <v>6.8227900000000004</v>
      </c>
    </row>
    <row r="4827" spans="1:11" ht="15" customHeight="1" x14ac:dyDescent="0.3">
      <c r="A4827" s="400" t="s">
        <v>1038</v>
      </c>
      <c r="B4827" s="401" t="s">
        <v>2587</v>
      </c>
      <c r="C4827" s="400" t="s">
        <v>395</v>
      </c>
      <c r="D4827" s="400" t="s">
        <v>349</v>
      </c>
      <c r="E4827" s="605" t="s">
        <v>1039</v>
      </c>
      <c r="F4827" s="605"/>
      <c r="G4827" s="402" t="s">
        <v>4</v>
      </c>
      <c r="H4827" s="403">
        <v>1.4800000000000001E-2</v>
      </c>
      <c r="I4827" s="403">
        <v>0</v>
      </c>
      <c r="J4827" s="404">
        <v>79.17</v>
      </c>
      <c r="K4827" s="404">
        <v>1.171716</v>
      </c>
    </row>
    <row r="4828" spans="1:11" ht="25.5" customHeight="1" x14ac:dyDescent="0.3">
      <c r="A4828" s="400" t="s">
        <v>1038</v>
      </c>
      <c r="B4828" s="401" t="s">
        <v>4856</v>
      </c>
      <c r="C4828" s="400" t="s">
        <v>395</v>
      </c>
      <c r="D4828" s="400" t="s">
        <v>4857</v>
      </c>
      <c r="E4828" s="605" t="s">
        <v>1039</v>
      </c>
      <c r="F4828" s="605"/>
      <c r="G4828" s="402" t="s">
        <v>4</v>
      </c>
      <c r="H4828" s="403">
        <v>1</v>
      </c>
      <c r="I4828" s="403">
        <v>0</v>
      </c>
      <c r="J4828" s="404">
        <v>3.92</v>
      </c>
      <c r="K4828" s="404">
        <v>3.92</v>
      </c>
    </row>
    <row r="4829" spans="1:11" ht="25.5" customHeight="1" x14ac:dyDescent="0.3">
      <c r="A4829" s="400" t="s">
        <v>1038</v>
      </c>
      <c r="B4829" s="401" t="s">
        <v>2588</v>
      </c>
      <c r="C4829" s="400" t="s">
        <v>395</v>
      </c>
      <c r="D4829" s="400" t="s">
        <v>350</v>
      </c>
      <c r="E4829" s="605" t="s">
        <v>1039</v>
      </c>
      <c r="F4829" s="605"/>
      <c r="G4829" s="402" t="s">
        <v>4</v>
      </c>
      <c r="H4829" s="403">
        <v>2.2499999999999999E-2</v>
      </c>
      <c r="I4829" s="403">
        <v>0</v>
      </c>
      <c r="J4829" s="404">
        <v>89.7</v>
      </c>
      <c r="K4829" s="404">
        <v>2.0182500000000001</v>
      </c>
    </row>
    <row r="4830" spans="1:11" ht="14.25" customHeight="1" x14ac:dyDescent="0.3">
      <c r="A4830" s="400" t="s">
        <v>1038</v>
      </c>
      <c r="B4830" s="401" t="s">
        <v>1372</v>
      </c>
      <c r="C4830" s="400" t="s">
        <v>395</v>
      </c>
      <c r="D4830" s="400" t="s">
        <v>266</v>
      </c>
      <c r="E4830" s="605" t="s">
        <v>1039</v>
      </c>
      <c r="F4830" s="605"/>
      <c r="G4830" s="402" t="s">
        <v>4</v>
      </c>
      <c r="H4830" s="403">
        <v>1.0699999999999999E-2</v>
      </c>
      <c r="I4830" s="403">
        <v>0</v>
      </c>
      <c r="J4830" s="404">
        <v>2.09</v>
      </c>
      <c r="K4830" s="404">
        <v>2.2363000000000001E-2</v>
      </c>
    </row>
    <row r="4831" spans="1:11" ht="25.5" customHeight="1" x14ac:dyDescent="0.3">
      <c r="A4831" s="405"/>
      <c r="B4831" s="405"/>
      <c r="C4831" s="405"/>
      <c r="D4831" s="405"/>
      <c r="E4831" s="405" t="s">
        <v>1046</v>
      </c>
      <c r="F4831" s="406">
        <v>9.19</v>
      </c>
      <c r="G4831" s="405" t="s">
        <v>1047</v>
      </c>
      <c r="H4831" s="406">
        <v>0.01</v>
      </c>
      <c r="I4831" s="405" t="s">
        <v>1048</v>
      </c>
      <c r="J4831" s="406">
        <v>9.1999999999999993</v>
      </c>
      <c r="K4831"/>
    </row>
    <row r="4832" spans="1:11" ht="15" customHeight="1" thickBot="1" x14ac:dyDescent="0.35">
      <c r="A4832" s="405"/>
      <c r="B4832" s="405"/>
      <c r="C4832" s="405"/>
      <c r="D4832" s="405"/>
      <c r="E4832" s="405" t="s">
        <v>1049</v>
      </c>
      <c r="F4832" s="406">
        <v>0</v>
      </c>
      <c r="G4832" s="405"/>
      <c r="H4832" s="606"/>
      <c r="I4832" s="606" t="s">
        <v>1050</v>
      </c>
      <c r="J4832" s="406">
        <v>19.62</v>
      </c>
      <c r="K4832"/>
    </row>
    <row r="4833" spans="1:11" ht="25.5" customHeight="1" thickTop="1" x14ac:dyDescent="0.3">
      <c r="A4833" s="407"/>
      <c r="B4833" s="407"/>
      <c r="C4833" s="407"/>
      <c r="D4833" s="407"/>
      <c r="E4833" s="407"/>
      <c r="F4833" s="407"/>
      <c r="G4833" s="407"/>
      <c r="H4833" s="407"/>
      <c r="I4833" s="407"/>
      <c r="J4833" s="407"/>
      <c r="K4833" s="407"/>
    </row>
    <row r="4834" spans="1:11" ht="15" x14ac:dyDescent="0.3">
      <c r="A4834" s="382" t="s">
        <v>2956</v>
      </c>
      <c r="B4834" s="312" t="s">
        <v>413</v>
      </c>
      <c r="C4834" s="382" t="s">
        <v>414</v>
      </c>
      <c r="D4834" s="382" t="s">
        <v>415</v>
      </c>
      <c r="E4834" s="586" t="s">
        <v>1029</v>
      </c>
      <c r="F4834" s="586"/>
      <c r="G4834" s="383" t="s">
        <v>416</v>
      </c>
      <c r="H4834" s="312" t="s">
        <v>1030</v>
      </c>
      <c r="I4834" s="312" t="s">
        <v>3016</v>
      </c>
      <c r="J4834" s="312" t="s">
        <v>1031</v>
      </c>
      <c r="K4834" s="312" t="s">
        <v>1032</v>
      </c>
    </row>
    <row r="4835" spans="1:11" ht="14.25" customHeight="1" x14ac:dyDescent="0.3">
      <c r="A4835" s="313" t="s">
        <v>1033</v>
      </c>
      <c r="B4835" s="315" t="s">
        <v>3966</v>
      </c>
      <c r="C4835" s="313" t="s">
        <v>395</v>
      </c>
      <c r="D4835" s="313" t="s">
        <v>6068</v>
      </c>
      <c r="E4835" s="603" t="s">
        <v>7873</v>
      </c>
      <c r="F4835" s="603"/>
      <c r="G4835" s="314" t="s">
        <v>4</v>
      </c>
      <c r="H4835" s="399">
        <v>1</v>
      </c>
      <c r="I4835" s="316"/>
      <c r="J4835" s="316">
        <v>29.09</v>
      </c>
      <c r="K4835" s="316">
        <v>29.09</v>
      </c>
    </row>
    <row r="4836" spans="1:11" ht="15" customHeight="1" x14ac:dyDescent="0.3">
      <c r="A4836" s="408" t="s">
        <v>1034</v>
      </c>
      <c r="B4836" s="409" t="s">
        <v>1113</v>
      </c>
      <c r="C4836" s="408" t="s">
        <v>395</v>
      </c>
      <c r="D4836" s="408" t="s">
        <v>129</v>
      </c>
      <c r="E4836" s="604" t="s">
        <v>7768</v>
      </c>
      <c r="F4836" s="604"/>
      <c r="G4836" s="410" t="s">
        <v>6</v>
      </c>
      <c r="H4836" s="412">
        <v>0.18390000000000001</v>
      </c>
      <c r="I4836" s="412">
        <v>0</v>
      </c>
      <c r="J4836" s="411">
        <v>33.450000000000003</v>
      </c>
      <c r="K4836" s="411">
        <v>6.1514550000000003</v>
      </c>
    </row>
    <row r="4837" spans="1:11" ht="25.5" customHeight="1" x14ac:dyDescent="0.3">
      <c r="A4837" s="408" t="s">
        <v>1034</v>
      </c>
      <c r="B4837" s="409" t="s">
        <v>1112</v>
      </c>
      <c r="C4837" s="408" t="s">
        <v>395</v>
      </c>
      <c r="D4837" s="408" t="s">
        <v>137</v>
      </c>
      <c r="E4837" s="604" t="s">
        <v>7768</v>
      </c>
      <c r="F4837" s="604"/>
      <c r="G4837" s="410" t="s">
        <v>6</v>
      </c>
      <c r="H4837" s="412">
        <v>0.18390000000000001</v>
      </c>
      <c r="I4837" s="412">
        <v>0</v>
      </c>
      <c r="J4837" s="411">
        <v>40.299999999999997</v>
      </c>
      <c r="K4837" s="411">
        <v>7.4111700000000003</v>
      </c>
    </row>
    <row r="4838" spans="1:11" ht="25.5" customHeight="1" x14ac:dyDescent="0.3">
      <c r="A4838" s="400" t="s">
        <v>1038</v>
      </c>
      <c r="B4838" s="401" t="s">
        <v>1337</v>
      </c>
      <c r="C4838" s="400" t="s">
        <v>395</v>
      </c>
      <c r="D4838" s="400" t="s">
        <v>382</v>
      </c>
      <c r="E4838" s="605" t="s">
        <v>1039</v>
      </c>
      <c r="F4838" s="605"/>
      <c r="G4838" s="402" t="s">
        <v>4</v>
      </c>
      <c r="H4838" s="403">
        <v>3</v>
      </c>
      <c r="I4838" s="403">
        <v>0</v>
      </c>
      <c r="J4838" s="404">
        <v>1.69</v>
      </c>
      <c r="K4838" s="404">
        <v>5.07</v>
      </c>
    </row>
    <row r="4839" spans="1:11" ht="25.5" customHeight="1" x14ac:dyDescent="0.3">
      <c r="A4839" s="400" t="s">
        <v>1038</v>
      </c>
      <c r="B4839" s="401" t="s">
        <v>4760</v>
      </c>
      <c r="C4839" s="400" t="s">
        <v>395</v>
      </c>
      <c r="D4839" s="400" t="s">
        <v>4761</v>
      </c>
      <c r="E4839" s="605" t="s">
        <v>1039</v>
      </c>
      <c r="F4839" s="605"/>
      <c r="G4839" s="402" t="s">
        <v>4</v>
      </c>
      <c r="H4839" s="403">
        <v>1</v>
      </c>
      <c r="I4839" s="403">
        <v>0</v>
      </c>
      <c r="J4839" s="404">
        <v>8.01</v>
      </c>
      <c r="K4839" s="404">
        <v>8.01</v>
      </c>
    </row>
    <row r="4840" spans="1:11" ht="14.25" customHeight="1" x14ac:dyDescent="0.3">
      <c r="A4840" s="400" t="s">
        <v>1038</v>
      </c>
      <c r="B4840" s="401" t="s">
        <v>1338</v>
      </c>
      <c r="C4840" s="400" t="s">
        <v>395</v>
      </c>
      <c r="D4840" s="400" t="s">
        <v>345</v>
      </c>
      <c r="E4840" s="605" t="s">
        <v>1039</v>
      </c>
      <c r="F4840" s="605"/>
      <c r="G4840" s="402" t="s">
        <v>4</v>
      </c>
      <c r="H4840" s="403">
        <v>7.4999999999999997E-2</v>
      </c>
      <c r="I4840" s="403">
        <v>0</v>
      </c>
      <c r="J4840" s="404">
        <v>32.67</v>
      </c>
      <c r="K4840" s="404">
        <v>2.45025</v>
      </c>
    </row>
    <row r="4841" spans="1:11" ht="15" customHeight="1" x14ac:dyDescent="0.3">
      <c r="A4841" s="405"/>
      <c r="B4841" s="405"/>
      <c r="C4841" s="405"/>
      <c r="D4841" s="405"/>
      <c r="E4841" s="405" t="s">
        <v>1046</v>
      </c>
      <c r="F4841" s="406">
        <v>9.98</v>
      </c>
      <c r="G4841" s="405" t="s">
        <v>1047</v>
      </c>
      <c r="H4841" s="406">
        <v>0</v>
      </c>
      <c r="I4841" s="405" t="s">
        <v>1048</v>
      </c>
      <c r="J4841" s="406">
        <v>9.98</v>
      </c>
      <c r="K4841"/>
    </row>
    <row r="4842" spans="1:11" ht="15.6" thickBot="1" x14ac:dyDescent="0.35">
      <c r="A4842" s="405"/>
      <c r="B4842" s="405"/>
      <c r="C4842" s="405"/>
      <c r="D4842" s="405"/>
      <c r="E4842" s="405" t="s">
        <v>1049</v>
      </c>
      <c r="F4842" s="406">
        <v>0</v>
      </c>
      <c r="G4842" s="405"/>
      <c r="H4842" s="606"/>
      <c r="I4842" s="606" t="s">
        <v>1050</v>
      </c>
      <c r="J4842" s="406">
        <v>29.09</v>
      </c>
      <c r="K4842"/>
    </row>
    <row r="4843" spans="1:11" ht="15.6" thickTop="1" x14ac:dyDescent="0.3">
      <c r="A4843" s="407"/>
      <c r="B4843" s="407"/>
      <c r="C4843" s="407"/>
      <c r="D4843" s="407"/>
      <c r="E4843" s="407"/>
      <c r="F4843" s="407"/>
      <c r="G4843" s="407"/>
      <c r="H4843" s="407"/>
      <c r="I4843" s="407"/>
      <c r="J4843" s="407"/>
      <c r="K4843" s="407"/>
    </row>
    <row r="4844" spans="1:11" ht="14.25" customHeight="1" x14ac:dyDescent="0.3">
      <c r="A4844" s="382" t="s">
        <v>2957</v>
      </c>
      <c r="B4844" s="312" t="s">
        <v>413</v>
      </c>
      <c r="C4844" s="382" t="s">
        <v>414</v>
      </c>
      <c r="D4844" s="382" t="s">
        <v>415</v>
      </c>
      <c r="E4844" s="586" t="s">
        <v>1029</v>
      </c>
      <c r="F4844" s="586"/>
      <c r="G4844" s="383" t="s">
        <v>416</v>
      </c>
      <c r="H4844" s="312" t="s">
        <v>1030</v>
      </c>
      <c r="I4844" s="312" t="s">
        <v>3016</v>
      </c>
      <c r="J4844" s="312" t="s">
        <v>1031</v>
      </c>
      <c r="K4844" s="312" t="s">
        <v>1032</v>
      </c>
    </row>
    <row r="4845" spans="1:11" ht="15" customHeight="1" x14ac:dyDescent="0.3">
      <c r="A4845" s="313" t="s">
        <v>1033</v>
      </c>
      <c r="B4845" s="315" t="s">
        <v>3967</v>
      </c>
      <c r="C4845" s="313" t="s">
        <v>395</v>
      </c>
      <c r="D4845" s="313" t="s">
        <v>6069</v>
      </c>
      <c r="E4845" s="603" t="s">
        <v>7806</v>
      </c>
      <c r="F4845" s="603"/>
      <c r="G4845" s="314" t="s">
        <v>4</v>
      </c>
      <c r="H4845" s="399">
        <v>1</v>
      </c>
      <c r="I4845" s="316"/>
      <c r="J4845" s="316">
        <v>75.650000000000006</v>
      </c>
      <c r="K4845" s="316">
        <v>75.650000000000006</v>
      </c>
    </row>
    <row r="4846" spans="1:11" ht="25.5" customHeight="1" x14ac:dyDescent="0.3">
      <c r="A4846" s="408" t="s">
        <v>1034</v>
      </c>
      <c r="B4846" s="409" t="s">
        <v>1113</v>
      </c>
      <c r="C4846" s="408" t="s">
        <v>395</v>
      </c>
      <c r="D4846" s="408" t="s">
        <v>129</v>
      </c>
      <c r="E4846" s="604" t="s">
        <v>7768</v>
      </c>
      <c r="F4846" s="604"/>
      <c r="G4846" s="410" t="s">
        <v>6</v>
      </c>
      <c r="H4846" s="412">
        <v>0.309</v>
      </c>
      <c r="I4846" s="412">
        <v>0</v>
      </c>
      <c r="J4846" s="411">
        <v>33.450000000000003</v>
      </c>
      <c r="K4846" s="411">
        <v>10.33605</v>
      </c>
    </row>
    <row r="4847" spans="1:11" ht="25.5" customHeight="1" x14ac:dyDescent="0.3">
      <c r="A4847" s="408" t="s">
        <v>1034</v>
      </c>
      <c r="B4847" s="409" t="s">
        <v>1112</v>
      </c>
      <c r="C4847" s="408" t="s">
        <v>395</v>
      </c>
      <c r="D4847" s="408" t="s">
        <v>137</v>
      </c>
      <c r="E4847" s="604" t="s">
        <v>7768</v>
      </c>
      <c r="F4847" s="604"/>
      <c r="G4847" s="410" t="s">
        <v>6</v>
      </c>
      <c r="H4847" s="412">
        <v>0.309</v>
      </c>
      <c r="I4847" s="412">
        <v>0</v>
      </c>
      <c r="J4847" s="411">
        <v>40.299999999999997</v>
      </c>
      <c r="K4847" s="411">
        <v>12.4527</v>
      </c>
    </row>
    <row r="4848" spans="1:11" ht="17.399999999999999" customHeight="1" x14ac:dyDescent="0.3">
      <c r="A4848" s="400" t="s">
        <v>1038</v>
      </c>
      <c r="B4848" s="401" t="s">
        <v>2587</v>
      </c>
      <c r="C4848" s="400" t="s">
        <v>395</v>
      </c>
      <c r="D4848" s="400" t="s">
        <v>349</v>
      </c>
      <c r="E4848" s="605" t="s">
        <v>1039</v>
      </c>
      <c r="F4848" s="605"/>
      <c r="G4848" s="402" t="s">
        <v>4</v>
      </c>
      <c r="H4848" s="403">
        <v>3.4099999999999998E-2</v>
      </c>
      <c r="I4848" s="403">
        <v>0</v>
      </c>
      <c r="J4848" s="404">
        <v>79.17</v>
      </c>
      <c r="K4848" s="404">
        <v>2.699697</v>
      </c>
    </row>
    <row r="4849" spans="1:11" ht="25.5" customHeight="1" x14ac:dyDescent="0.3">
      <c r="A4849" s="400" t="s">
        <v>1038</v>
      </c>
      <c r="B4849" s="401" t="s">
        <v>4318</v>
      </c>
      <c r="C4849" s="400" t="s">
        <v>395</v>
      </c>
      <c r="D4849" s="400" t="s">
        <v>4319</v>
      </c>
      <c r="E4849" s="605" t="s">
        <v>1039</v>
      </c>
      <c r="F4849" s="605"/>
      <c r="G4849" s="402" t="s">
        <v>4</v>
      </c>
      <c r="H4849" s="403">
        <v>1</v>
      </c>
      <c r="I4849" s="403">
        <v>0</v>
      </c>
      <c r="J4849" s="404">
        <v>44.61</v>
      </c>
      <c r="K4849" s="404">
        <v>44.61</v>
      </c>
    </row>
    <row r="4850" spans="1:11" ht="15" customHeight="1" x14ac:dyDescent="0.3">
      <c r="A4850" s="400" t="s">
        <v>1038</v>
      </c>
      <c r="B4850" s="401" t="s">
        <v>2588</v>
      </c>
      <c r="C4850" s="400" t="s">
        <v>395</v>
      </c>
      <c r="D4850" s="400" t="s">
        <v>350</v>
      </c>
      <c r="E4850" s="605" t="s">
        <v>1039</v>
      </c>
      <c r="F4850" s="605"/>
      <c r="G4850" s="402" t="s">
        <v>4</v>
      </c>
      <c r="H4850" s="403">
        <v>6.0999999999999999E-2</v>
      </c>
      <c r="I4850" s="403">
        <v>0</v>
      </c>
      <c r="J4850" s="404">
        <v>89.7</v>
      </c>
      <c r="K4850" s="404">
        <v>5.4717000000000002</v>
      </c>
    </row>
    <row r="4851" spans="1:11" ht="30" customHeight="1" x14ac:dyDescent="0.3">
      <c r="A4851" s="400" t="s">
        <v>1038</v>
      </c>
      <c r="B4851" s="401" t="s">
        <v>1372</v>
      </c>
      <c r="C4851" s="400" t="s">
        <v>395</v>
      </c>
      <c r="D4851" s="400" t="s">
        <v>266</v>
      </c>
      <c r="E4851" s="605" t="s">
        <v>1039</v>
      </c>
      <c r="F4851" s="605"/>
      <c r="G4851" s="402" t="s">
        <v>4</v>
      </c>
      <c r="H4851" s="403">
        <v>3.8600000000000002E-2</v>
      </c>
      <c r="I4851" s="403">
        <v>0</v>
      </c>
      <c r="J4851" s="404">
        <v>2.09</v>
      </c>
      <c r="K4851" s="404">
        <v>8.0673999999999996E-2</v>
      </c>
    </row>
    <row r="4852" spans="1:11" ht="30" customHeight="1" x14ac:dyDescent="0.3">
      <c r="A4852" s="405"/>
      <c r="B4852" s="405"/>
      <c r="C4852" s="405"/>
      <c r="D4852" s="405"/>
      <c r="E4852" s="405" t="s">
        <v>1046</v>
      </c>
      <c r="F4852" s="406">
        <v>16.78</v>
      </c>
      <c r="G4852" s="405" t="s">
        <v>1047</v>
      </c>
      <c r="H4852" s="406">
        <v>0</v>
      </c>
      <c r="I4852" s="405" t="s">
        <v>1048</v>
      </c>
      <c r="J4852" s="406">
        <v>16.78</v>
      </c>
      <c r="K4852"/>
    </row>
    <row r="4853" spans="1:11" ht="14.25" customHeight="1" thickBot="1" x14ac:dyDescent="0.35">
      <c r="A4853" s="405"/>
      <c r="B4853" s="405"/>
      <c r="C4853" s="405"/>
      <c r="D4853" s="405"/>
      <c r="E4853" s="405" t="s">
        <v>1049</v>
      </c>
      <c r="F4853" s="406">
        <v>0</v>
      </c>
      <c r="G4853" s="405"/>
      <c r="H4853" s="606"/>
      <c r="I4853" s="606" t="s">
        <v>1050</v>
      </c>
      <c r="J4853" s="406">
        <v>75.650000000000006</v>
      </c>
      <c r="K4853"/>
    </row>
    <row r="4854" spans="1:11" ht="12.75" customHeight="1" thickTop="1" x14ac:dyDescent="0.3">
      <c r="A4854" s="407"/>
      <c r="B4854" s="407"/>
      <c r="C4854" s="407"/>
      <c r="D4854" s="407"/>
      <c r="E4854" s="407"/>
      <c r="F4854" s="407"/>
      <c r="G4854" s="407"/>
      <c r="H4854" s="407"/>
      <c r="I4854" s="407"/>
      <c r="J4854" s="407"/>
      <c r="K4854" s="407"/>
    </row>
    <row r="4855" spans="1:11" ht="15" x14ac:dyDescent="0.3">
      <c r="A4855" s="382" t="s">
        <v>2958</v>
      </c>
      <c r="B4855" s="312" t="s">
        <v>413</v>
      </c>
      <c r="C4855" s="382" t="s">
        <v>414</v>
      </c>
      <c r="D4855" s="382" t="s">
        <v>415</v>
      </c>
      <c r="E4855" s="586" t="s">
        <v>1029</v>
      </c>
      <c r="F4855" s="586"/>
      <c r="G4855" s="383" t="s">
        <v>416</v>
      </c>
      <c r="H4855" s="312" t="s">
        <v>1030</v>
      </c>
      <c r="I4855" s="312" t="s">
        <v>3016</v>
      </c>
      <c r="J4855" s="312" t="s">
        <v>1031</v>
      </c>
      <c r="K4855" s="312" t="s">
        <v>1032</v>
      </c>
    </row>
    <row r="4856" spans="1:11" ht="39.6" x14ac:dyDescent="0.3">
      <c r="A4856" s="313" t="s">
        <v>1033</v>
      </c>
      <c r="B4856" s="315" t="s">
        <v>3968</v>
      </c>
      <c r="C4856" s="313" t="s">
        <v>395</v>
      </c>
      <c r="D4856" s="313" t="s">
        <v>6070</v>
      </c>
      <c r="E4856" s="603" t="s">
        <v>7806</v>
      </c>
      <c r="F4856" s="603"/>
      <c r="G4856" s="314" t="s">
        <v>4</v>
      </c>
      <c r="H4856" s="399">
        <v>1</v>
      </c>
      <c r="I4856" s="316"/>
      <c r="J4856" s="316">
        <v>205.44</v>
      </c>
      <c r="K4856" s="316">
        <v>205.44</v>
      </c>
    </row>
    <row r="4857" spans="1:11" ht="38.25" customHeight="1" x14ac:dyDescent="0.3">
      <c r="A4857" s="408" t="s">
        <v>1034</v>
      </c>
      <c r="B4857" s="409" t="s">
        <v>1113</v>
      </c>
      <c r="C4857" s="408" t="s">
        <v>395</v>
      </c>
      <c r="D4857" s="408" t="s">
        <v>129</v>
      </c>
      <c r="E4857" s="604" t="s">
        <v>7768</v>
      </c>
      <c r="F4857" s="604"/>
      <c r="G4857" s="410" t="s">
        <v>6</v>
      </c>
      <c r="H4857" s="412">
        <v>0.58379999999999999</v>
      </c>
      <c r="I4857" s="412">
        <v>0</v>
      </c>
      <c r="J4857" s="411">
        <v>33.450000000000003</v>
      </c>
      <c r="K4857" s="411">
        <v>19.528110000000002</v>
      </c>
    </row>
    <row r="4858" spans="1:11" ht="25.5" customHeight="1" x14ac:dyDescent="0.3">
      <c r="A4858" s="408" t="s">
        <v>1034</v>
      </c>
      <c r="B4858" s="409" t="s">
        <v>1112</v>
      </c>
      <c r="C4858" s="408" t="s">
        <v>395</v>
      </c>
      <c r="D4858" s="408" t="s">
        <v>137</v>
      </c>
      <c r="E4858" s="604" t="s">
        <v>7768</v>
      </c>
      <c r="F4858" s="604"/>
      <c r="G4858" s="410" t="s">
        <v>6</v>
      </c>
      <c r="H4858" s="412">
        <v>0.58379999999999999</v>
      </c>
      <c r="I4858" s="412">
        <v>0</v>
      </c>
      <c r="J4858" s="411">
        <v>40.299999999999997</v>
      </c>
      <c r="K4858" s="411">
        <v>23.527139999999999</v>
      </c>
    </row>
    <row r="4859" spans="1:11" ht="25.5" customHeight="1" x14ac:dyDescent="0.3">
      <c r="A4859" s="400" t="s">
        <v>1038</v>
      </c>
      <c r="B4859" s="401" t="s">
        <v>2587</v>
      </c>
      <c r="C4859" s="400" t="s">
        <v>395</v>
      </c>
      <c r="D4859" s="400" t="s">
        <v>349</v>
      </c>
      <c r="E4859" s="605" t="s">
        <v>1039</v>
      </c>
      <c r="F4859" s="605"/>
      <c r="G4859" s="402" t="s">
        <v>4</v>
      </c>
      <c r="H4859" s="403">
        <v>5.7700000000000001E-2</v>
      </c>
      <c r="I4859" s="403">
        <v>0</v>
      </c>
      <c r="J4859" s="404">
        <v>79.17</v>
      </c>
      <c r="K4859" s="404">
        <v>4.5681089999999998</v>
      </c>
    </row>
    <row r="4860" spans="1:11" ht="15" customHeight="1" x14ac:dyDescent="0.3">
      <c r="A4860" s="400" t="s">
        <v>1038</v>
      </c>
      <c r="B4860" s="401" t="s">
        <v>4174</v>
      </c>
      <c r="C4860" s="400" t="s">
        <v>395</v>
      </c>
      <c r="D4860" s="400" t="s">
        <v>4175</v>
      </c>
      <c r="E4860" s="605" t="s">
        <v>1039</v>
      </c>
      <c r="F4860" s="605"/>
      <c r="G4860" s="402" t="s">
        <v>4</v>
      </c>
      <c r="H4860" s="403">
        <v>1</v>
      </c>
      <c r="I4860" s="403">
        <v>0</v>
      </c>
      <c r="J4860" s="404">
        <v>149.13999999999999</v>
      </c>
      <c r="K4860" s="404">
        <v>149.13999999999999</v>
      </c>
    </row>
    <row r="4861" spans="1:11" ht="14.25" customHeight="1" x14ac:dyDescent="0.3">
      <c r="A4861" s="400" t="s">
        <v>1038</v>
      </c>
      <c r="B4861" s="401" t="s">
        <v>2588</v>
      </c>
      <c r="C4861" s="400" t="s">
        <v>395</v>
      </c>
      <c r="D4861" s="400" t="s">
        <v>350</v>
      </c>
      <c r="E4861" s="605" t="s">
        <v>1039</v>
      </c>
      <c r="F4861" s="605"/>
      <c r="G4861" s="402" t="s">
        <v>4</v>
      </c>
      <c r="H4861" s="403">
        <v>9.5000000000000001E-2</v>
      </c>
      <c r="I4861" s="403">
        <v>0</v>
      </c>
      <c r="J4861" s="404">
        <v>89.7</v>
      </c>
      <c r="K4861" s="404">
        <v>8.5214999999999996</v>
      </c>
    </row>
    <row r="4862" spans="1:11" ht="30" customHeight="1" x14ac:dyDescent="0.3">
      <c r="A4862" s="400" t="s">
        <v>1038</v>
      </c>
      <c r="B4862" s="401" t="s">
        <v>1372</v>
      </c>
      <c r="C4862" s="400" t="s">
        <v>395</v>
      </c>
      <c r="D4862" s="400" t="s">
        <v>266</v>
      </c>
      <c r="E4862" s="605" t="s">
        <v>1039</v>
      </c>
      <c r="F4862" s="605"/>
      <c r="G4862" s="402" t="s">
        <v>4</v>
      </c>
      <c r="H4862" s="403">
        <v>7.3099999999999998E-2</v>
      </c>
      <c r="I4862" s="403">
        <v>0</v>
      </c>
      <c r="J4862" s="404">
        <v>2.09</v>
      </c>
      <c r="K4862" s="404">
        <v>0.152779</v>
      </c>
    </row>
    <row r="4863" spans="1:11" ht="14.25" customHeight="1" x14ac:dyDescent="0.3">
      <c r="A4863" s="405"/>
      <c r="B4863" s="405"/>
      <c r="C4863" s="405"/>
      <c r="D4863" s="405"/>
      <c r="E4863" s="405" t="s">
        <v>1046</v>
      </c>
      <c r="F4863" s="406">
        <v>31.7</v>
      </c>
      <c r="G4863" s="405" t="s">
        <v>1047</v>
      </c>
      <c r="H4863" s="406">
        <v>0</v>
      </c>
      <c r="I4863" s="405" t="s">
        <v>1048</v>
      </c>
      <c r="J4863" s="406">
        <v>31.7</v>
      </c>
      <c r="K4863"/>
    </row>
    <row r="4864" spans="1:11" ht="14.25" customHeight="1" thickBot="1" x14ac:dyDescent="0.35">
      <c r="A4864" s="405"/>
      <c r="B4864" s="405"/>
      <c r="C4864" s="405"/>
      <c r="D4864" s="405"/>
      <c r="E4864" s="405" t="s">
        <v>1049</v>
      </c>
      <c r="F4864" s="406">
        <v>0</v>
      </c>
      <c r="G4864" s="405"/>
      <c r="H4864" s="606"/>
      <c r="I4864" s="606" t="s">
        <v>1050</v>
      </c>
      <c r="J4864" s="406">
        <v>205.44</v>
      </c>
      <c r="K4864"/>
    </row>
    <row r="4865" spans="1:11" ht="25.5" customHeight="1" thickTop="1" x14ac:dyDescent="0.3">
      <c r="A4865" s="407"/>
      <c r="B4865" s="407"/>
      <c r="C4865" s="407"/>
      <c r="D4865" s="407"/>
      <c r="E4865" s="407"/>
      <c r="F4865" s="407"/>
      <c r="G4865" s="407"/>
      <c r="H4865" s="407"/>
      <c r="I4865" s="407"/>
      <c r="J4865" s="407"/>
      <c r="K4865" s="407"/>
    </row>
    <row r="4866" spans="1:11" ht="17.399999999999999" customHeight="1" x14ac:dyDescent="0.3">
      <c r="A4866" s="382" t="s">
        <v>2959</v>
      </c>
      <c r="B4866" s="312" t="s">
        <v>413</v>
      </c>
      <c r="C4866" s="382" t="s">
        <v>414</v>
      </c>
      <c r="D4866" s="382" t="s">
        <v>415</v>
      </c>
      <c r="E4866" s="586" t="s">
        <v>1029</v>
      </c>
      <c r="F4866" s="586"/>
      <c r="G4866" s="383" t="s">
        <v>416</v>
      </c>
      <c r="H4866" s="312" t="s">
        <v>1030</v>
      </c>
      <c r="I4866" s="312" t="s">
        <v>3016</v>
      </c>
      <c r="J4866" s="312" t="s">
        <v>1031</v>
      </c>
      <c r="K4866" s="312" t="s">
        <v>1032</v>
      </c>
    </row>
    <row r="4867" spans="1:11" ht="25.5" customHeight="1" x14ac:dyDescent="0.3">
      <c r="A4867" s="313" t="s">
        <v>1033</v>
      </c>
      <c r="B4867" s="315" t="s">
        <v>3969</v>
      </c>
      <c r="C4867" s="313" t="s">
        <v>395</v>
      </c>
      <c r="D4867" s="313" t="s">
        <v>6071</v>
      </c>
      <c r="E4867" s="603" t="s">
        <v>7873</v>
      </c>
      <c r="F4867" s="603"/>
      <c r="G4867" s="314" t="s">
        <v>4</v>
      </c>
      <c r="H4867" s="399">
        <v>1</v>
      </c>
      <c r="I4867" s="316"/>
      <c r="J4867" s="316">
        <v>11.94</v>
      </c>
      <c r="K4867" s="316">
        <v>11.94</v>
      </c>
    </row>
    <row r="4868" spans="1:11" ht="25.5" customHeight="1" x14ac:dyDescent="0.3">
      <c r="A4868" s="408" t="s">
        <v>1034</v>
      </c>
      <c r="B4868" s="409" t="s">
        <v>1113</v>
      </c>
      <c r="C4868" s="408" t="s">
        <v>395</v>
      </c>
      <c r="D4868" s="408" t="s">
        <v>129</v>
      </c>
      <c r="E4868" s="604" t="s">
        <v>7768</v>
      </c>
      <c r="F4868" s="604"/>
      <c r="G4868" s="410" t="s">
        <v>6</v>
      </c>
      <c r="H4868" s="412">
        <v>9.1899999999999996E-2</v>
      </c>
      <c r="I4868" s="412">
        <v>0</v>
      </c>
      <c r="J4868" s="411">
        <v>33.450000000000003</v>
      </c>
      <c r="K4868" s="411">
        <v>3.074055</v>
      </c>
    </row>
    <row r="4869" spans="1:11" ht="25.5" customHeight="1" x14ac:dyDescent="0.3">
      <c r="A4869" s="408" t="s">
        <v>1034</v>
      </c>
      <c r="B4869" s="409" t="s">
        <v>1112</v>
      </c>
      <c r="C4869" s="408" t="s">
        <v>395</v>
      </c>
      <c r="D4869" s="408" t="s">
        <v>137</v>
      </c>
      <c r="E4869" s="604" t="s">
        <v>7768</v>
      </c>
      <c r="F4869" s="604"/>
      <c r="G4869" s="410" t="s">
        <v>6</v>
      </c>
      <c r="H4869" s="412">
        <v>9.1899999999999996E-2</v>
      </c>
      <c r="I4869" s="412">
        <v>0</v>
      </c>
      <c r="J4869" s="411">
        <v>40.299999999999997</v>
      </c>
      <c r="K4869" s="411">
        <v>3.70357</v>
      </c>
    </row>
    <row r="4870" spans="1:11" ht="15" customHeight="1" x14ac:dyDescent="0.3">
      <c r="A4870" s="400" t="s">
        <v>1038</v>
      </c>
      <c r="B4870" s="401" t="s">
        <v>2587</v>
      </c>
      <c r="C4870" s="400" t="s">
        <v>395</v>
      </c>
      <c r="D4870" s="400" t="s">
        <v>349</v>
      </c>
      <c r="E4870" s="605" t="s">
        <v>1039</v>
      </c>
      <c r="F4870" s="605"/>
      <c r="G4870" s="402" t="s">
        <v>4</v>
      </c>
      <c r="H4870" s="403">
        <v>7.3000000000000001E-3</v>
      </c>
      <c r="I4870" s="403">
        <v>0</v>
      </c>
      <c r="J4870" s="404">
        <v>79.17</v>
      </c>
      <c r="K4870" s="404">
        <v>0.57794100000000004</v>
      </c>
    </row>
    <row r="4871" spans="1:11" ht="30" customHeight="1" x14ac:dyDescent="0.3">
      <c r="A4871" s="400" t="s">
        <v>1038</v>
      </c>
      <c r="B4871" s="401" t="s">
        <v>4879</v>
      </c>
      <c r="C4871" s="400" t="s">
        <v>395</v>
      </c>
      <c r="D4871" s="400" t="s">
        <v>4880</v>
      </c>
      <c r="E4871" s="605" t="s">
        <v>1039</v>
      </c>
      <c r="F4871" s="605"/>
      <c r="G4871" s="402" t="s">
        <v>4</v>
      </c>
      <c r="H4871" s="403">
        <v>1</v>
      </c>
      <c r="I4871" s="403">
        <v>0</v>
      </c>
      <c r="J4871" s="404">
        <v>3.52</v>
      </c>
      <c r="K4871" s="404">
        <v>3.52</v>
      </c>
    </row>
    <row r="4872" spans="1:11" ht="14.25" customHeight="1" x14ac:dyDescent="0.3">
      <c r="A4872" s="400" t="s">
        <v>1038</v>
      </c>
      <c r="B4872" s="401" t="s">
        <v>2588</v>
      </c>
      <c r="C4872" s="400" t="s">
        <v>395</v>
      </c>
      <c r="D4872" s="400" t="s">
        <v>350</v>
      </c>
      <c r="E4872" s="605" t="s">
        <v>1039</v>
      </c>
      <c r="F4872" s="605"/>
      <c r="G4872" s="402" t="s">
        <v>4</v>
      </c>
      <c r="H4872" s="403">
        <v>1.0999999999999999E-2</v>
      </c>
      <c r="I4872" s="403">
        <v>0</v>
      </c>
      <c r="J4872" s="404">
        <v>89.7</v>
      </c>
      <c r="K4872" s="404">
        <v>0.98670000000000002</v>
      </c>
    </row>
    <row r="4873" spans="1:11" ht="15" x14ac:dyDescent="0.3">
      <c r="A4873" s="400" t="s">
        <v>1038</v>
      </c>
      <c r="B4873" s="401" t="s">
        <v>1372</v>
      </c>
      <c r="C4873" s="400" t="s">
        <v>395</v>
      </c>
      <c r="D4873" s="400" t="s">
        <v>266</v>
      </c>
      <c r="E4873" s="605" t="s">
        <v>1039</v>
      </c>
      <c r="F4873" s="605"/>
      <c r="G4873" s="402" t="s">
        <v>4</v>
      </c>
      <c r="H4873" s="403">
        <v>3.9E-2</v>
      </c>
      <c r="I4873" s="403">
        <v>0</v>
      </c>
      <c r="J4873" s="404">
        <v>2.09</v>
      </c>
      <c r="K4873" s="404">
        <v>8.1509999999999999E-2</v>
      </c>
    </row>
    <row r="4874" spans="1:11" ht="15" customHeight="1" x14ac:dyDescent="0.3">
      <c r="A4874" s="405"/>
      <c r="B4874" s="405"/>
      <c r="C4874" s="405"/>
      <c r="D4874" s="405"/>
      <c r="E4874" s="405" t="s">
        <v>1046</v>
      </c>
      <c r="F4874" s="406">
        <v>4.99</v>
      </c>
      <c r="G4874" s="405" t="s">
        <v>1047</v>
      </c>
      <c r="H4874" s="406">
        <v>0</v>
      </c>
      <c r="I4874" s="405" t="s">
        <v>1048</v>
      </c>
      <c r="J4874" s="406">
        <v>4.99</v>
      </c>
      <c r="K4874"/>
    </row>
    <row r="4875" spans="1:11" ht="17.399999999999999" customHeight="1" thickBot="1" x14ac:dyDescent="0.35">
      <c r="A4875" s="405"/>
      <c r="B4875" s="405"/>
      <c r="C4875" s="405"/>
      <c r="D4875" s="405"/>
      <c r="E4875" s="405" t="s">
        <v>1049</v>
      </c>
      <c r="F4875" s="406">
        <v>0</v>
      </c>
      <c r="G4875" s="405"/>
      <c r="H4875" s="606"/>
      <c r="I4875" s="606" t="s">
        <v>1050</v>
      </c>
      <c r="J4875" s="406">
        <v>11.94</v>
      </c>
      <c r="K4875"/>
    </row>
    <row r="4876" spans="1:11" ht="12.75" customHeight="1" thickTop="1" x14ac:dyDescent="0.3">
      <c r="A4876" s="407"/>
      <c r="B4876" s="407"/>
      <c r="C4876" s="407"/>
      <c r="D4876" s="407"/>
      <c r="E4876" s="407"/>
      <c r="F4876" s="407"/>
      <c r="G4876" s="407"/>
      <c r="H4876" s="407"/>
      <c r="I4876" s="407"/>
      <c r="J4876" s="407"/>
      <c r="K4876" s="407"/>
    </row>
    <row r="4877" spans="1:11" ht="15" x14ac:dyDescent="0.3">
      <c r="A4877" s="382" t="s">
        <v>2960</v>
      </c>
      <c r="B4877" s="312" t="s">
        <v>413</v>
      </c>
      <c r="C4877" s="382" t="s">
        <v>414</v>
      </c>
      <c r="D4877" s="382" t="s">
        <v>415</v>
      </c>
      <c r="E4877" s="586" t="s">
        <v>1029</v>
      </c>
      <c r="F4877" s="586"/>
      <c r="G4877" s="383" t="s">
        <v>416</v>
      </c>
      <c r="H4877" s="312" t="s">
        <v>1030</v>
      </c>
      <c r="I4877" s="312" t="s">
        <v>3016</v>
      </c>
      <c r="J4877" s="312" t="s">
        <v>1031</v>
      </c>
      <c r="K4877" s="312" t="s">
        <v>1032</v>
      </c>
    </row>
    <row r="4878" spans="1:11" ht="25.5" customHeight="1" x14ac:dyDescent="0.3">
      <c r="A4878" s="313" t="s">
        <v>1033</v>
      </c>
      <c r="B4878" s="315" t="s">
        <v>3970</v>
      </c>
      <c r="C4878" s="313" t="s">
        <v>395</v>
      </c>
      <c r="D4878" s="313" t="s">
        <v>6072</v>
      </c>
      <c r="E4878" s="603" t="s">
        <v>7873</v>
      </c>
      <c r="F4878" s="603"/>
      <c r="G4878" s="314" t="s">
        <v>4</v>
      </c>
      <c r="H4878" s="399">
        <v>1</v>
      </c>
      <c r="I4878" s="316"/>
      <c r="J4878" s="316">
        <v>19.03</v>
      </c>
      <c r="K4878" s="316">
        <v>19.03</v>
      </c>
    </row>
    <row r="4879" spans="1:11" ht="25.5" customHeight="1" x14ac:dyDescent="0.3">
      <c r="A4879" s="408" t="s">
        <v>1034</v>
      </c>
      <c r="B4879" s="409" t="s">
        <v>1113</v>
      </c>
      <c r="C4879" s="408" t="s">
        <v>395</v>
      </c>
      <c r="D4879" s="408" t="s">
        <v>129</v>
      </c>
      <c r="E4879" s="604" t="s">
        <v>7768</v>
      </c>
      <c r="F4879" s="604"/>
      <c r="G4879" s="410" t="s">
        <v>6</v>
      </c>
      <c r="H4879" s="412">
        <v>0.11020000000000001</v>
      </c>
      <c r="I4879" s="412">
        <v>0</v>
      </c>
      <c r="J4879" s="411">
        <v>33.450000000000003</v>
      </c>
      <c r="K4879" s="411">
        <v>3.6861899999999999</v>
      </c>
    </row>
    <row r="4880" spans="1:11" ht="25.5" customHeight="1" x14ac:dyDescent="0.3">
      <c r="A4880" s="408" t="s">
        <v>1034</v>
      </c>
      <c r="B4880" s="409" t="s">
        <v>1112</v>
      </c>
      <c r="C4880" s="408" t="s">
        <v>395</v>
      </c>
      <c r="D4880" s="408" t="s">
        <v>137</v>
      </c>
      <c r="E4880" s="604" t="s">
        <v>7768</v>
      </c>
      <c r="F4880" s="604"/>
      <c r="G4880" s="410" t="s">
        <v>6</v>
      </c>
      <c r="H4880" s="412">
        <v>0.11020000000000001</v>
      </c>
      <c r="I4880" s="412">
        <v>0</v>
      </c>
      <c r="J4880" s="411">
        <v>40.299999999999997</v>
      </c>
      <c r="K4880" s="411">
        <v>4.4410600000000002</v>
      </c>
    </row>
    <row r="4881" spans="1:11" ht="15" customHeight="1" x14ac:dyDescent="0.3">
      <c r="A4881" s="400" t="s">
        <v>1038</v>
      </c>
      <c r="B4881" s="401" t="s">
        <v>2587</v>
      </c>
      <c r="C4881" s="400" t="s">
        <v>395</v>
      </c>
      <c r="D4881" s="400" t="s">
        <v>349</v>
      </c>
      <c r="E4881" s="605" t="s">
        <v>1039</v>
      </c>
      <c r="F4881" s="605"/>
      <c r="G4881" s="402" t="s">
        <v>4</v>
      </c>
      <c r="H4881" s="403">
        <v>1.67E-2</v>
      </c>
      <c r="I4881" s="403">
        <v>0</v>
      </c>
      <c r="J4881" s="404">
        <v>79.17</v>
      </c>
      <c r="K4881" s="404">
        <v>1.322139</v>
      </c>
    </row>
    <row r="4882" spans="1:11" ht="26.4" x14ac:dyDescent="0.3">
      <c r="A4882" s="400" t="s">
        <v>1038</v>
      </c>
      <c r="B4882" s="401" t="s">
        <v>4806</v>
      </c>
      <c r="C4882" s="400" t="s">
        <v>395</v>
      </c>
      <c r="D4882" s="400" t="s">
        <v>4807</v>
      </c>
      <c r="E4882" s="605" t="s">
        <v>1039</v>
      </c>
      <c r="F4882" s="605"/>
      <c r="G4882" s="402" t="s">
        <v>4</v>
      </c>
      <c r="H4882" s="403">
        <v>1</v>
      </c>
      <c r="I4882" s="403">
        <v>0</v>
      </c>
      <c r="J4882" s="404">
        <v>7.15</v>
      </c>
      <c r="K4882" s="404">
        <v>7.15</v>
      </c>
    </row>
    <row r="4883" spans="1:11" ht="14.25" customHeight="1" x14ac:dyDescent="0.3">
      <c r="A4883" s="400" t="s">
        <v>1038</v>
      </c>
      <c r="B4883" s="401" t="s">
        <v>2588</v>
      </c>
      <c r="C4883" s="400" t="s">
        <v>395</v>
      </c>
      <c r="D4883" s="400" t="s">
        <v>350</v>
      </c>
      <c r="E4883" s="605" t="s">
        <v>1039</v>
      </c>
      <c r="F4883" s="605"/>
      <c r="G4883" s="402" t="s">
        <v>4</v>
      </c>
      <c r="H4883" s="403">
        <v>2.5999999999999999E-2</v>
      </c>
      <c r="I4883" s="403">
        <v>0</v>
      </c>
      <c r="J4883" s="404">
        <v>89.7</v>
      </c>
      <c r="K4883" s="404">
        <v>2.3321999999999998</v>
      </c>
    </row>
    <row r="4884" spans="1:11" ht="14.25" customHeight="1" x14ac:dyDescent="0.3">
      <c r="A4884" s="400" t="s">
        <v>1038</v>
      </c>
      <c r="B4884" s="401" t="s">
        <v>1372</v>
      </c>
      <c r="C4884" s="400" t="s">
        <v>395</v>
      </c>
      <c r="D4884" s="400" t="s">
        <v>266</v>
      </c>
      <c r="E4884" s="605" t="s">
        <v>1039</v>
      </c>
      <c r="F4884" s="605"/>
      <c r="G4884" s="402" t="s">
        <v>4</v>
      </c>
      <c r="H4884" s="403">
        <v>4.5999999999999999E-2</v>
      </c>
      <c r="I4884" s="403">
        <v>0</v>
      </c>
      <c r="J4884" s="404">
        <v>2.09</v>
      </c>
      <c r="K4884" s="404">
        <v>9.6140000000000003E-2</v>
      </c>
    </row>
    <row r="4885" spans="1:11" ht="25.5" customHeight="1" x14ac:dyDescent="0.3">
      <c r="A4885" s="405"/>
      <c r="B4885" s="405"/>
      <c r="C4885" s="405"/>
      <c r="D4885" s="405"/>
      <c r="E4885" s="405" t="s">
        <v>1046</v>
      </c>
      <c r="F4885" s="406">
        <v>5.98</v>
      </c>
      <c r="G4885" s="405" t="s">
        <v>1047</v>
      </c>
      <c r="H4885" s="406">
        <v>0.01</v>
      </c>
      <c r="I4885" s="405" t="s">
        <v>1048</v>
      </c>
      <c r="J4885" s="406">
        <v>5.99</v>
      </c>
      <c r="K4885"/>
    </row>
    <row r="4886" spans="1:11" ht="15.6" thickBot="1" x14ac:dyDescent="0.35">
      <c r="A4886" s="405"/>
      <c r="B4886" s="405"/>
      <c r="C4886" s="405"/>
      <c r="D4886" s="405"/>
      <c r="E4886" s="405" t="s">
        <v>1049</v>
      </c>
      <c r="F4886" s="406">
        <v>0</v>
      </c>
      <c r="G4886" s="405"/>
      <c r="H4886" s="606"/>
      <c r="I4886" s="606" t="s">
        <v>1050</v>
      </c>
      <c r="J4886" s="406">
        <v>19.03</v>
      </c>
      <c r="K4886"/>
    </row>
    <row r="4887" spans="1:11" ht="12.75" customHeight="1" thickTop="1" x14ac:dyDescent="0.3">
      <c r="A4887" s="407"/>
      <c r="B4887" s="407"/>
      <c r="C4887" s="407"/>
      <c r="D4887" s="407"/>
      <c r="E4887" s="407"/>
      <c r="F4887" s="407"/>
      <c r="G4887" s="407"/>
      <c r="H4887" s="407"/>
      <c r="I4887" s="407"/>
      <c r="J4887" s="407"/>
      <c r="K4887" s="407"/>
    </row>
    <row r="4888" spans="1:11" ht="25.5" customHeight="1" x14ac:dyDescent="0.3">
      <c r="A4888" s="382" t="s">
        <v>2961</v>
      </c>
      <c r="B4888" s="312" t="s">
        <v>413</v>
      </c>
      <c r="C4888" s="382" t="s">
        <v>414</v>
      </c>
      <c r="D4888" s="382" t="s">
        <v>415</v>
      </c>
      <c r="E4888" s="586" t="s">
        <v>1029</v>
      </c>
      <c r="F4888" s="586"/>
      <c r="G4888" s="383" t="s">
        <v>416</v>
      </c>
      <c r="H4888" s="312" t="s">
        <v>1030</v>
      </c>
      <c r="I4888" s="312" t="s">
        <v>3016</v>
      </c>
      <c r="J4888" s="312" t="s">
        <v>1031</v>
      </c>
      <c r="K4888" s="312" t="s">
        <v>1032</v>
      </c>
    </row>
    <row r="4889" spans="1:11" ht="25.5" customHeight="1" x14ac:dyDescent="0.3">
      <c r="A4889" s="313" t="s">
        <v>1033</v>
      </c>
      <c r="B4889" s="315" t="s">
        <v>3971</v>
      </c>
      <c r="C4889" s="313" t="s">
        <v>395</v>
      </c>
      <c r="D4889" s="313" t="s">
        <v>6073</v>
      </c>
      <c r="E4889" s="603" t="s">
        <v>7873</v>
      </c>
      <c r="F4889" s="603"/>
      <c r="G4889" s="314" t="s">
        <v>4</v>
      </c>
      <c r="H4889" s="399">
        <v>1</v>
      </c>
      <c r="I4889" s="316"/>
      <c r="J4889" s="316">
        <v>26.17</v>
      </c>
      <c r="K4889" s="316">
        <v>26.17</v>
      </c>
    </row>
    <row r="4890" spans="1:11" ht="14.25" customHeight="1" x14ac:dyDescent="0.3">
      <c r="A4890" s="408" t="s">
        <v>1034</v>
      </c>
      <c r="B4890" s="409" t="s">
        <v>1113</v>
      </c>
      <c r="C4890" s="408" t="s">
        <v>395</v>
      </c>
      <c r="D4890" s="408" t="s">
        <v>129</v>
      </c>
      <c r="E4890" s="604" t="s">
        <v>7768</v>
      </c>
      <c r="F4890" s="604"/>
      <c r="G4890" s="410" t="s">
        <v>6</v>
      </c>
      <c r="H4890" s="412">
        <v>0.18490000000000001</v>
      </c>
      <c r="I4890" s="412">
        <v>0</v>
      </c>
      <c r="J4890" s="411">
        <v>33.450000000000003</v>
      </c>
      <c r="K4890" s="411">
        <v>6.1849049999999997</v>
      </c>
    </row>
    <row r="4891" spans="1:11" ht="26.4" x14ac:dyDescent="0.3">
      <c r="A4891" s="408" t="s">
        <v>1034</v>
      </c>
      <c r="B4891" s="409" t="s">
        <v>1112</v>
      </c>
      <c r="C4891" s="408" t="s">
        <v>395</v>
      </c>
      <c r="D4891" s="408" t="s">
        <v>137</v>
      </c>
      <c r="E4891" s="604" t="s">
        <v>7768</v>
      </c>
      <c r="F4891" s="604"/>
      <c r="G4891" s="410" t="s">
        <v>6</v>
      </c>
      <c r="H4891" s="412">
        <v>0.18490000000000001</v>
      </c>
      <c r="I4891" s="412">
        <v>0</v>
      </c>
      <c r="J4891" s="411">
        <v>40.299999999999997</v>
      </c>
      <c r="K4891" s="411">
        <v>7.4514699999999996</v>
      </c>
    </row>
    <row r="4892" spans="1:11" ht="15" customHeight="1" x14ac:dyDescent="0.3">
      <c r="A4892" s="400" t="s">
        <v>1038</v>
      </c>
      <c r="B4892" s="401" t="s">
        <v>2587</v>
      </c>
      <c r="C4892" s="400" t="s">
        <v>395</v>
      </c>
      <c r="D4892" s="400" t="s">
        <v>349</v>
      </c>
      <c r="E4892" s="605" t="s">
        <v>1039</v>
      </c>
      <c r="F4892" s="605"/>
      <c r="G4892" s="402" t="s">
        <v>4</v>
      </c>
      <c r="H4892" s="403">
        <v>2.4500000000000001E-2</v>
      </c>
      <c r="I4892" s="403">
        <v>0</v>
      </c>
      <c r="J4892" s="404">
        <v>79.17</v>
      </c>
      <c r="K4892" s="404">
        <v>1.939665</v>
      </c>
    </row>
    <row r="4893" spans="1:11" ht="14.25" customHeight="1" x14ac:dyDescent="0.3">
      <c r="A4893" s="400" t="s">
        <v>1038</v>
      </c>
      <c r="B4893" s="401" t="s">
        <v>4777</v>
      </c>
      <c r="C4893" s="400" t="s">
        <v>395</v>
      </c>
      <c r="D4893" s="400" t="s">
        <v>4778</v>
      </c>
      <c r="E4893" s="605" t="s">
        <v>1039</v>
      </c>
      <c r="F4893" s="605"/>
      <c r="G4893" s="402" t="s">
        <v>4</v>
      </c>
      <c r="H4893" s="403">
        <v>1</v>
      </c>
      <c r="I4893" s="403">
        <v>0</v>
      </c>
      <c r="J4893" s="404">
        <v>6.99</v>
      </c>
      <c r="K4893" s="404">
        <v>6.99</v>
      </c>
    </row>
    <row r="4894" spans="1:11" ht="14.25" customHeight="1" x14ac:dyDescent="0.3">
      <c r="A4894" s="400" t="s">
        <v>1038</v>
      </c>
      <c r="B4894" s="401" t="s">
        <v>2588</v>
      </c>
      <c r="C4894" s="400" t="s">
        <v>395</v>
      </c>
      <c r="D4894" s="400" t="s">
        <v>350</v>
      </c>
      <c r="E4894" s="605" t="s">
        <v>1039</v>
      </c>
      <c r="F4894" s="605"/>
      <c r="G4894" s="402" t="s">
        <v>4</v>
      </c>
      <c r="H4894" s="403">
        <v>0.04</v>
      </c>
      <c r="I4894" s="403">
        <v>0</v>
      </c>
      <c r="J4894" s="404">
        <v>89.7</v>
      </c>
      <c r="K4894" s="404">
        <v>3.5880000000000001</v>
      </c>
    </row>
    <row r="4895" spans="1:11" ht="15" x14ac:dyDescent="0.3">
      <c r="A4895" s="400" t="s">
        <v>1038</v>
      </c>
      <c r="B4895" s="401" t="s">
        <v>1372</v>
      </c>
      <c r="C4895" s="400" t="s">
        <v>395</v>
      </c>
      <c r="D4895" s="400" t="s">
        <v>266</v>
      </c>
      <c r="E4895" s="605" t="s">
        <v>1039</v>
      </c>
      <c r="F4895" s="605"/>
      <c r="G4895" s="402" t="s">
        <v>4</v>
      </c>
      <c r="H4895" s="403">
        <v>7.7000000000000002E-3</v>
      </c>
      <c r="I4895" s="403">
        <v>0</v>
      </c>
      <c r="J4895" s="404">
        <v>2.09</v>
      </c>
      <c r="K4895" s="404">
        <v>1.6093E-2</v>
      </c>
    </row>
    <row r="4896" spans="1:11" ht="15" customHeight="1" x14ac:dyDescent="0.3">
      <c r="A4896" s="405"/>
      <c r="B4896" s="405"/>
      <c r="C4896" s="405"/>
      <c r="D4896" s="405"/>
      <c r="E4896" s="405" t="s">
        <v>1046</v>
      </c>
      <c r="F4896" s="406">
        <v>10.039999999999999</v>
      </c>
      <c r="G4896" s="405" t="s">
        <v>1047</v>
      </c>
      <c r="H4896" s="406">
        <v>0</v>
      </c>
      <c r="I4896" s="405" t="s">
        <v>1048</v>
      </c>
      <c r="J4896" s="406">
        <v>10.039999999999999</v>
      </c>
      <c r="K4896"/>
    </row>
    <row r="4897" spans="1:11" ht="30" customHeight="1" thickBot="1" x14ac:dyDescent="0.35">
      <c r="A4897" s="405"/>
      <c r="B4897" s="405"/>
      <c r="C4897" s="405"/>
      <c r="D4897" s="405"/>
      <c r="E4897" s="405" t="s">
        <v>1049</v>
      </c>
      <c r="F4897" s="406">
        <v>0</v>
      </c>
      <c r="G4897" s="405"/>
      <c r="H4897" s="606"/>
      <c r="I4897" s="606" t="s">
        <v>1050</v>
      </c>
      <c r="J4897" s="406">
        <v>26.17</v>
      </c>
      <c r="K4897"/>
    </row>
    <row r="4898" spans="1:11" ht="25.5" customHeight="1" thickTop="1" x14ac:dyDescent="0.3">
      <c r="A4898" s="407"/>
      <c r="B4898" s="407"/>
      <c r="C4898" s="407"/>
      <c r="D4898" s="407"/>
      <c r="E4898" s="407"/>
      <c r="F4898" s="407"/>
      <c r="G4898" s="407"/>
      <c r="H4898" s="407"/>
      <c r="I4898" s="407"/>
      <c r="J4898" s="407"/>
      <c r="K4898" s="407"/>
    </row>
    <row r="4899" spans="1:11" ht="14.25" customHeight="1" x14ac:dyDescent="0.3">
      <c r="A4899" s="382" t="s">
        <v>2962</v>
      </c>
      <c r="B4899" s="312" t="s">
        <v>413</v>
      </c>
      <c r="C4899" s="382" t="s">
        <v>414</v>
      </c>
      <c r="D4899" s="382" t="s">
        <v>415</v>
      </c>
      <c r="E4899" s="586" t="s">
        <v>1029</v>
      </c>
      <c r="F4899" s="586"/>
      <c r="G4899" s="383" t="s">
        <v>416</v>
      </c>
      <c r="H4899" s="312" t="s">
        <v>1030</v>
      </c>
      <c r="I4899" s="312" t="s">
        <v>3016</v>
      </c>
      <c r="J4899" s="312" t="s">
        <v>1031</v>
      </c>
      <c r="K4899" s="312" t="s">
        <v>1032</v>
      </c>
    </row>
    <row r="4900" spans="1:11" ht="25.5" customHeight="1" x14ac:dyDescent="0.3">
      <c r="A4900" s="313" t="s">
        <v>1033</v>
      </c>
      <c r="B4900" s="315" t="s">
        <v>2210</v>
      </c>
      <c r="C4900" s="313" t="s">
        <v>420</v>
      </c>
      <c r="D4900" s="313" t="s">
        <v>1984</v>
      </c>
      <c r="E4900" s="603" t="s">
        <v>1244</v>
      </c>
      <c r="F4900" s="603"/>
      <c r="G4900" s="314" t="s">
        <v>422</v>
      </c>
      <c r="H4900" s="399">
        <v>1</v>
      </c>
      <c r="I4900" s="316"/>
      <c r="J4900" s="316">
        <v>16.420000000000002</v>
      </c>
      <c r="K4900" s="316">
        <v>16.420000000000002</v>
      </c>
    </row>
    <row r="4901" spans="1:11" ht="26.4" x14ac:dyDescent="0.3">
      <c r="A4901" s="408" t="s">
        <v>1034</v>
      </c>
      <c r="B4901" s="409" t="s">
        <v>1071</v>
      </c>
      <c r="C4901" s="408" t="s">
        <v>420</v>
      </c>
      <c r="D4901" s="408" t="s">
        <v>1072</v>
      </c>
      <c r="E4901" s="604" t="s">
        <v>1069</v>
      </c>
      <c r="F4901" s="604"/>
      <c r="G4901" s="410" t="s">
        <v>1070</v>
      </c>
      <c r="H4901" s="412">
        <v>0.12</v>
      </c>
      <c r="I4901" s="412">
        <v>0</v>
      </c>
      <c r="J4901" s="411">
        <v>3.95</v>
      </c>
      <c r="K4901" s="411">
        <v>0.47399999999999998</v>
      </c>
    </row>
    <row r="4902" spans="1:11" ht="14.25" customHeight="1" x14ac:dyDescent="0.3">
      <c r="A4902" s="408" t="s">
        <v>1034</v>
      </c>
      <c r="B4902" s="409" t="s">
        <v>1180</v>
      </c>
      <c r="C4902" s="408" t="s">
        <v>420</v>
      </c>
      <c r="D4902" s="408" t="s">
        <v>1181</v>
      </c>
      <c r="E4902" s="604" t="s">
        <v>1069</v>
      </c>
      <c r="F4902" s="604"/>
      <c r="G4902" s="410" t="s">
        <v>1070</v>
      </c>
      <c r="H4902" s="412">
        <v>0.12</v>
      </c>
      <c r="I4902" s="412">
        <v>0</v>
      </c>
      <c r="J4902" s="411">
        <v>3.91</v>
      </c>
      <c r="K4902" s="411">
        <v>0.46920000000000001</v>
      </c>
    </row>
    <row r="4903" spans="1:11" ht="15" customHeight="1" x14ac:dyDescent="0.3">
      <c r="A4903" s="400" t="s">
        <v>1038</v>
      </c>
      <c r="B4903" s="401" t="s">
        <v>768</v>
      </c>
      <c r="C4903" s="400" t="s">
        <v>420</v>
      </c>
      <c r="D4903" s="400" t="s">
        <v>1245</v>
      </c>
      <c r="E4903" s="605" t="s">
        <v>1039</v>
      </c>
      <c r="F4903" s="605"/>
      <c r="G4903" s="402" t="s">
        <v>1246</v>
      </c>
      <c r="H4903" s="403">
        <v>1.6E-2</v>
      </c>
      <c r="I4903" s="403">
        <v>0</v>
      </c>
      <c r="J4903" s="404">
        <v>72.41</v>
      </c>
      <c r="K4903" s="404">
        <v>1.15856</v>
      </c>
    </row>
    <row r="4904" spans="1:11" ht="14.25" customHeight="1" x14ac:dyDescent="0.3">
      <c r="A4904" s="400" t="s">
        <v>1038</v>
      </c>
      <c r="B4904" s="401" t="s">
        <v>2544</v>
      </c>
      <c r="C4904" s="400" t="s">
        <v>420</v>
      </c>
      <c r="D4904" s="400" t="s">
        <v>2545</v>
      </c>
      <c r="E4904" s="605" t="s">
        <v>1039</v>
      </c>
      <c r="F4904" s="605"/>
      <c r="G4904" s="402" t="s">
        <v>422</v>
      </c>
      <c r="H4904" s="403">
        <v>1</v>
      </c>
      <c r="I4904" s="403">
        <v>0</v>
      </c>
      <c r="J4904" s="404">
        <v>8.4600000000000009</v>
      </c>
      <c r="K4904" s="404">
        <v>8.4600000000000009</v>
      </c>
    </row>
    <row r="4905" spans="1:11" ht="15" x14ac:dyDescent="0.3">
      <c r="A4905" s="400" t="s">
        <v>1038</v>
      </c>
      <c r="B4905" s="401" t="s">
        <v>1247</v>
      </c>
      <c r="C4905" s="400" t="s">
        <v>420</v>
      </c>
      <c r="D4905" s="400" t="s">
        <v>1248</v>
      </c>
      <c r="E4905" s="605" t="s">
        <v>1039</v>
      </c>
      <c r="F4905" s="605"/>
      <c r="G4905" s="402" t="s">
        <v>1249</v>
      </c>
      <c r="H4905" s="403">
        <v>2.1999999999999999E-2</v>
      </c>
      <c r="I4905" s="403">
        <v>0</v>
      </c>
      <c r="J4905" s="404">
        <v>69.739999999999995</v>
      </c>
      <c r="K4905" s="404">
        <v>1.5342800000000001</v>
      </c>
    </row>
    <row r="4906" spans="1:11" ht="25.5" customHeight="1" x14ac:dyDescent="0.3">
      <c r="A4906" s="400" t="s">
        <v>1038</v>
      </c>
      <c r="B4906" s="401" t="s">
        <v>6480</v>
      </c>
      <c r="C4906" s="400" t="s">
        <v>420</v>
      </c>
      <c r="D4906" s="400" t="s">
        <v>6481</v>
      </c>
      <c r="E4906" s="605" t="s">
        <v>1053</v>
      </c>
      <c r="F4906" s="605"/>
      <c r="G4906" s="402" t="s">
        <v>1070</v>
      </c>
      <c r="H4906" s="403">
        <v>0.12</v>
      </c>
      <c r="I4906" s="403">
        <v>0</v>
      </c>
      <c r="J4906" s="404">
        <v>20.45</v>
      </c>
      <c r="K4906" s="404">
        <v>2.4540000000000002</v>
      </c>
    </row>
    <row r="4907" spans="1:11" ht="15" customHeight="1" x14ac:dyDescent="0.3">
      <c r="A4907" s="400" t="s">
        <v>1038</v>
      </c>
      <c r="B4907" s="401" t="s">
        <v>6251</v>
      </c>
      <c r="C4907" s="400" t="s">
        <v>420</v>
      </c>
      <c r="D4907" s="400" t="s">
        <v>6252</v>
      </c>
      <c r="E4907" s="605" t="s">
        <v>1053</v>
      </c>
      <c r="F4907" s="605"/>
      <c r="G4907" s="402" t="s">
        <v>1070</v>
      </c>
      <c r="H4907" s="403">
        <v>0.12</v>
      </c>
      <c r="I4907" s="403">
        <v>0</v>
      </c>
      <c r="J4907" s="404">
        <v>15.59</v>
      </c>
      <c r="K4907" s="404">
        <v>1.8708</v>
      </c>
    </row>
    <row r="4908" spans="1:11" ht="25.5" customHeight="1" x14ac:dyDescent="0.3">
      <c r="A4908" s="405"/>
      <c r="B4908" s="405"/>
      <c r="C4908" s="405"/>
      <c r="D4908" s="405"/>
      <c r="E4908" s="405" t="s">
        <v>1046</v>
      </c>
      <c r="F4908" s="406">
        <v>4.32</v>
      </c>
      <c r="G4908" s="405" t="s">
        <v>1047</v>
      </c>
      <c r="H4908" s="406">
        <v>0</v>
      </c>
      <c r="I4908" s="405" t="s">
        <v>1048</v>
      </c>
      <c r="J4908" s="406">
        <v>4.32</v>
      </c>
      <c r="K4908"/>
    </row>
    <row r="4909" spans="1:11" ht="15.6" thickBot="1" x14ac:dyDescent="0.35">
      <c r="A4909" s="405"/>
      <c r="B4909" s="405"/>
      <c r="C4909" s="405"/>
      <c r="D4909" s="405"/>
      <c r="E4909" s="405" t="s">
        <v>1049</v>
      </c>
      <c r="F4909" s="406">
        <v>0</v>
      </c>
      <c r="G4909" s="405"/>
      <c r="H4909" s="606"/>
      <c r="I4909" s="606" t="s">
        <v>1050</v>
      </c>
      <c r="J4909" s="406">
        <v>16.420000000000002</v>
      </c>
      <c r="K4909"/>
    </row>
    <row r="4910" spans="1:11" ht="15" customHeight="1" thickTop="1" x14ac:dyDescent="0.3">
      <c r="A4910" s="407"/>
      <c r="B4910" s="407"/>
      <c r="C4910" s="407"/>
      <c r="D4910" s="407"/>
      <c r="E4910" s="407"/>
      <c r="F4910" s="407"/>
      <c r="G4910" s="407"/>
      <c r="H4910" s="407"/>
      <c r="I4910" s="407"/>
      <c r="J4910" s="407"/>
      <c r="K4910" s="407"/>
    </row>
    <row r="4911" spans="1:11" ht="25.5" customHeight="1" x14ac:dyDescent="0.3">
      <c r="A4911" s="382" t="s">
        <v>2974</v>
      </c>
      <c r="B4911" s="312" t="s">
        <v>413</v>
      </c>
      <c r="C4911" s="382" t="s">
        <v>414</v>
      </c>
      <c r="D4911" s="382" t="s">
        <v>415</v>
      </c>
      <c r="E4911" s="586" t="s">
        <v>1029</v>
      </c>
      <c r="F4911" s="586"/>
      <c r="G4911" s="383" t="s">
        <v>416</v>
      </c>
      <c r="H4911" s="312" t="s">
        <v>1030</v>
      </c>
      <c r="I4911" s="312" t="s">
        <v>3016</v>
      </c>
      <c r="J4911" s="312" t="s">
        <v>1031</v>
      </c>
      <c r="K4911" s="312" t="s">
        <v>1032</v>
      </c>
    </row>
    <row r="4912" spans="1:11" ht="14.25" customHeight="1" x14ac:dyDescent="0.3">
      <c r="A4912" s="313" t="s">
        <v>1033</v>
      </c>
      <c r="B4912" s="315" t="s">
        <v>2211</v>
      </c>
      <c r="C4912" s="313" t="s">
        <v>420</v>
      </c>
      <c r="D4912" s="313" t="s">
        <v>1986</v>
      </c>
      <c r="E4912" s="603" t="s">
        <v>1244</v>
      </c>
      <c r="F4912" s="603"/>
      <c r="G4912" s="314" t="s">
        <v>422</v>
      </c>
      <c r="H4912" s="399">
        <v>1</v>
      </c>
      <c r="I4912" s="316"/>
      <c r="J4912" s="316">
        <v>20.440000000000001</v>
      </c>
      <c r="K4912" s="316">
        <v>20.440000000000001</v>
      </c>
    </row>
    <row r="4913" spans="1:11" ht="26.4" x14ac:dyDescent="0.3">
      <c r="A4913" s="408" t="s">
        <v>1034</v>
      </c>
      <c r="B4913" s="409" t="s">
        <v>1071</v>
      </c>
      <c r="C4913" s="408" t="s">
        <v>420</v>
      </c>
      <c r="D4913" s="408" t="s">
        <v>1072</v>
      </c>
      <c r="E4913" s="604" t="s">
        <v>1069</v>
      </c>
      <c r="F4913" s="604"/>
      <c r="G4913" s="410" t="s">
        <v>1070</v>
      </c>
      <c r="H4913" s="412">
        <v>0.18</v>
      </c>
      <c r="I4913" s="412">
        <v>0</v>
      </c>
      <c r="J4913" s="411">
        <v>3.95</v>
      </c>
      <c r="K4913" s="411">
        <v>0.71099999999999997</v>
      </c>
    </row>
    <row r="4914" spans="1:11" ht="14.25" customHeight="1" x14ac:dyDescent="0.3">
      <c r="A4914" s="408" t="s">
        <v>1034</v>
      </c>
      <c r="B4914" s="409" t="s">
        <v>1180</v>
      </c>
      <c r="C4914" s="408" t="s">
        <v>420</v>
      </c>
      <c r="D4914" s="408" t="s">
        <v>1181</v>
      </c>
      <c r="E4914" s="604" t="s">
        <v>1069</v>
      </c>
      <c r="F4914" s="604"/>
      <c r="G4914" s="410" t="s">
        <v>1070</v>
      </c>
      <c r="H4914" s="412">
        <v>0.18</v>
      </c>
      <c r="I4914" s="412">
        <v>0</v>
      </c>
      <c r="J4914" s="411">
        <v>3.91</v>
      </c>
      <c r="K4914" s="411">
        <v>0.70379999999999998</v>
      </c>
    </row>
    <row r="4915" spans="1:11" ht="15" x14ac:dyDescent="0.3">
      <c r="A4915" s="400" t="s">
        <v>1038</v>
      </c>
      <c r="B4915" s="401" t="s">
        <v>768</v>
      </c>
      <c r="C4915" s="400" t="s">
        <v>420</v>
      </c>
      <c r="D4915" s="400" t="s">
        <v>1245</v>
      </c>
      <c r="E4915" s="605" t="s">
        <v>1039</v>
      </c>
      <c r="F4915" s="605"/>
      <c r="G4915" s="402" t="s">
        <v>1246</v>
      </c>
      <c r="H4915" s="403">
        <v>2.5000000000000001E-2</v>
      </c>
      <c r="I4915" s="403">
        <v>0</v>
      </c>
      <c r="J4915" s="404">
        <v>72.41</v>
      </c>
      <c r="K4915" s="404">
        <v>1.8102499999999999</v>
      </c>
    </row>
    <row r="4916" spans="1:11" ht="12.75" customHeight="1" x14ac:dyDescent="0.3">
      <c r="A4916" s="400" t="s">
        <v>1038</v>
      </c>
      <c r="B4916" s="401" t="s">
        <v>2546</v>
      </c>
      <c r="C4916" s="400" t="s">
        <v>420</v>
      </c>
      <c r="D4916" s="400" t="s">
        <v>2547</v>
      </c>
      <c r="E4916" s="605" t="s">
        <v>1039</v>
      </c>
      <c r="F4916" s="605"/>
      <c r="G4916" s="402" t="s">
        <v>422</v>
      </c>
      <c r="H4916" s="403">
        <v>1</v>
      </c>
      <c r="I4916" s="403">
        <v>0</v>
      </c>
      <c r="J4916" s="404">
        <v>8.15</v>
      </c>
      <c r="K4916" s="404">
        <v>8.15</v>
      </c>
    </row>
    <row r="4917" spans="1:11" ht="15" x14ac:dyDescent="0.3">
      <c r="A4917" s="400" t="s">
        <v>1038</v>
      </c>
      <c r="B4917" s="401" t="s">
        <v>1247</v>
      </c>
      <c r="C4917" s="400" t="s">
        <v>420</v>
      </c>
      <c r="D4917" s="400" t="s">
        <v>1248</v>
      </c>
      <c r="E4917" s="605" t="s">
        <v>1039</v>
      </c>
      <c r="F4917" s="605"/>
      <c r="G4917" s="402" t="s">
        <v>1249</v>
      </c>
      <c r="H4917" s="403">
        <v>3.6999999999999998E-2</v>
      </c>
      <c r="I4917" s="403">
        <v>0</v>
      </c>
      <c r="J4917" s="404">
        <v>69.739999999999995</v>
      </c>
      <c r="K4917" s="404">
        <v>2.5803799999999999</v>
      </c>
    </row>
    <row r="4918" spans="1:11" ht="15" x14ac:dyDescent="0.3">
      <c r="A4918" s="400" t="s">
        <v>1038</v>
      </c>
      <c r="B4918" s="401" t="s">
        <v>6480</v>
      </c>
      <c r="C4918" s="400" t="s">
        <v>420</v>
      </c>
      <c r="D4918" s="400" t="s">
        <v>6481</v>
      </c>
      <c r="E4918" s="605" t="s">
        <v>1053</v>
      </c>
      <c r="F4918" s="605"/>
      <c r="G4918" s="402" t="s">
        <v>1070</v>
      </c>
      <c r="H4918" s="403">
        <v>0.18</v>
      </c>
      <c r="I4918" s="403">
        <v>0</v>
      </c>
      <c r="J4918" s="404">
        <v>20.45</v>
      </c>
      <c r="K4918" s="404">
        <v>3.681</v>
      </c>
    </row>
    <row r="4919" spans="1:11" ht="15" customHeight="1" x14ac:dyDescent="0.3">
      <c r="A4919" s="400" t="s">
        <v>1038</v>
      </c>
      <c r="B4919" s="401" t="s">
        <v>6251</v>
      </c>
      <c r="C4919" s="400" t="s">
        <v>420</v>
      </c>
      <c r="D4919" s="400" t="s">
        <v>6252</v>
      </c>
      <c r="E4919" s="605" t="s">
        <v>1053</v>
      </c>
      <c r="F4919" s="605"/>
      <c r="G4919" s="402" t="s">
        <v>1070</v>
      </c>
      <c r="H4919" s="403">
        <v>0.18</v>
      </c>
      <c r="I4919" s="403">
        <v>0</v>
      </c>
      <c r="J4919" s="404">
        <v>15.59</v>
      </c>
      <c r="K4919" s="404">
        <v>2.8062</v>
      </c>
    </row>
    <row r="4920" spans="1:11" ht="15" x14ac:dyDescent="0.3">
      <c r="A4920" s="405"/>
      <c r="B4920" s="405"/>
      <c r="C4920" s="405"/>
      <c r="D4920" s="405"/>
      <c r="E4920" s="405" t="s">
        <v>1046</v>
      </c>
      <c r="F4920" s="406">
        <v>6.49</v>
      </c>
      <c r="G4920" s="405" t="s">
        <v>1047</v>
      </c>
      <c r="H4920" s="406">
        <v>0</v>
      </c>
      <c r="I4920" s="405" t="s">
        <v>1048</v>
      </c>
      <c r="J4920" s="406">
        <v>6.49</v>
      </c>
      <c r="K4920"/>
    </row>
    <row r="4921" spans="1:11" ht="14.25" customHeight="1" thickBot="1" x14ac:dyDescent="0.35">
      <c r="A4921" s="405"/>
      <c r="B4921" s="405"/>
      <c r="C4921" s="405"/>
      <c r="D4921" s="405"/>
      <c r="E4921" s="405" t="s">
        <v>1049</v>
      </c>
      <c r="F4921" s="406">
        <v>0</v>
      </c>
      <c r="G4921" s="405"/>
      <c r="H4921" s="606"/>
      <c r="I4921" s="606" t="s">
        <v>1050</v>
      </c>
      <c r="J4921" s="406">
        <v>20.440000000000001</v>
      </c>
      <c r="K4921"/>
    </row>
    <row r="4922" spans="1:11" ht="15.6" thickTop="1" x14ac:dyDescent="0.3">
      <c r="A4922" s="407"/>
      <c r="B4922" s="407"/>
      <c r="C4922" s="407"/>
      <c r="D4922" s="407"/>
      <c r="E4922" s="407"/>
      <c r="F4922" s="407"/>
      <c r="G4922" s="407"/>
      <c r="H4922" s="407"/>
      <c r="I4922" s="407"/>
      <c r="J4922" s="407"/>
      <c r="K4922" s="407"/>
    </row>
    <row r="4923" spans="1:11" ht="25.5" customHeight="1" x14ac:dyDescent="0.3">
      <c r="A4923" s="382" t="s">
        <v>2963</v>
      </c>
      <c r="B4923" s="312" t="s">
        <v>413</v>
      </c>
      <c r="C4923" s="382" t="s">
        <v>414</v>
      </c>
      <c r="D4923" s="382" t="s">
        <v>415</v>
      </c>
      <c r="E4923" s="586" t="s">
        <v>1029</v>
      </c>
      <c r="F4923" s="586"/>
      <c r="G4923" s="383" t="s">
        <v>416</v>
      </c>
      <c r="H4923" s="312" t="s">
        <v>1030</v>
      </c>
      <c r="I4923" s="312" t="s">
        <v>3016</v>
      </c>
      <c r="J4923" s="312" t="s">
        <v>1031</v>
      </c>
      <c r="K4923" s="312" t="s">
        <v>1032</v>
      </c>
    </row>
    <row r="4924" spans="1:11" ht="26.4" x14ac:dyDescent="0.3">
      <c r="A4924" s="313" t="s">
        <v>1033</v>
      </c>
      <c r="B4924" s="315" t="s">
        <v>2212</v>
      </c>
      <c r="C4924" s="313" t="s">
        <v>420</v>
      </c>
      <c r="D4924" s="313" t="s">
        <v>6074</v>
      </c>
      <c r="E4924" s="603" t="s">
        <v>1244</v>
      </c>
      <c r="F4924" s="603"/>
      <c r="G4924" s="314" t="s">
        <v>422</v>
      </c>
      <c r="H4924" s="399">
        <v>1</v>
      </c>
      <c r="I4924" s="316"/>
      <c r="J4924" s="316">
        <v>24.72</v>
      </c>
      <c r="K4924" s="316">
        <v>24.72</v>
      </c>
    </row>
    <row r="4925" spans="1:11" ht="12.75" customHeight="1" x14ac:dyDescent="0.3">
      <c r="A4925" s="408" t="s">
        <v>1034</v>
      </c>
      <c r="B4925" s="409" t="s">
        <v>1071</v>
      </c>
      <c r="C4925" s="408" t="s">
        <v>420</v>
      </c>
      <c r="D4925" s="408" t="s">
        <v>1072</v>
      </c>
      <c r="E4925" s="604" t="s">
        <v>1069</v>
      </c>
      <c r="F4925" s="604"/>
      <c r="G4925" s="410" t="s">
        <v>1070</v>
      </c>
      <c r="H4925" s="412">
        <v>0.23</v>
      </c>
      <c r="I4925" s="412">
        <v>0</v>
      </c>
      <c r="J4925" s="411">
        <v>3.95</v>
      </c>
      <c r="K4925" s="411">
        <v>0.90849999999999997</v>
      </c>
    </row>
    <row r="4926" spans="1:11" ht="25.5" customHeight="1" x14ac:dyDescent="0.3">
      <c r="A4926" s="408" t="s">
        <v>1034</v>
      </c>
      <c r="B4926" s="409" t="s">
        <v>1180</v>
      </c>
      <c r="C4926" s="408" t="s">
        <v>420</v>
      </c>
      <c r="D4926" s="408" t="s">
        <v>1181</v>
      </c>
      <c r="E4926" s="604" t="s">
        <v>1069</v>
      </c>
      <c r="F4926" s="604"/>
      <c r="G4926" s="410" t="s">
        <v>1070</v>
      </c>
      <c r="H4926" s="412">
        <v>0.23</v>
      </c>
      <c r="I4926" s="412">
        <v>0</v>
      </c>
      <c r="J4926" s="411">
        <v>3.91</v>
      </c>
      <c r="K4926" s="411">
        <v>0.89929999999999999</v>
      </c>
    </row>
    <row r="4927" spans="1:11" ht="25.5" customHeight="1" x14ac:dyDescent="0.3">
      <c r="A4927" s="400" t="s">
        <v>1038</v>
      </c>
      <c r="B4927" s="401" t="s">
        <v>768</v>
      </c>
      <c r="C4927" s="400" t="s">
        <v>420</v>
      </c>
      <c r="D4927" s="400" t="s">
        <v>1245</v>
      </c>
      <c r="E4927" s="605" t="s">
        <v>1039</v>
      </c>
      <c r="F4927" s="605"/>
      <c r="G4927" s="402" t="s">
        <v>1246</v>
      </c>
      <c r="H4927" s="403">
        <v>3.3000000000000002E-2</v>
      </c>
      <c r="I4927" s="403">
        <v>0</v>
      </c>
      <c r="J4927" s="404">
        <v>72.41</v>
      </c>
      <c r="K4927" s="404">
        <v>2.3895300000000002</v>
      </c>
    </row>
    <row r="4928" spans="1:11" ht="25.5" customHeight="1" x14ac:dyDescent="0.3">
      <c r="A4928" s="400" t="s">
        <v>1038</v>
      </c>
      <c r="B4928" s="401" t="s">
        <v>2548</v>
      </c>
      <c r="C4928" s="400" t="s">
        <v>420</v>
      </c>
      <c r="D4928" s="400" t="s">
        <v>2549</v>
      </c>
      <c r="E4928" s="605" t="s">
        <v>1039</v>
      </c>
      <c r="F4928" s="605"/>
      <c r="G4928" s="402" t="s">
        <v>422</v>
      </c>
      <c r="H4928" s="403">
        <v>1</v>
      </c>
      <c r="I4928" s="403">
        <v>0</v>
      </c>
      <c r="J4928" s="404">
        <v>8.68</v>
      </c>
      <c r="K4928" s="404">
        <v>8.68</v>
      </c>
    </row>
    <row r="4929" spans="1:11" ht="25.5" customHeight="1" x14ac:dyDescent="0.3">
      <c r="A4929" s="400" t="s">
        <v>1038</v>
      </c>
      <c r="B4929" s="401" t="s">
        <v>1247</v>
      </c>
      <c r="C4929" s="400" t="s">
        <v>420</v>
      </c>
      <c r="D4929" s="400" t="s">
        <v>1248</v>
      </c>
      <c r="E4929" s="605" t="s">
        <v>1039</v>
      </c>
      <c r="F4929" s="605"/>
      <c r="G4929" s="402" t="s">
        <v>1249</v>
      </c>
      <c r="H4929" s="403">
        <v>5.0999999999999997E-2</v>
      </c>
      <c r="I4929" s="403">
        <v>0</v>
      </c>
      <c r="J4929" s="404">
        <v>69.739999999999995</v>
      </c>
      <c r="K4929" s="404">
        <v>3.55674</v>
      </c>
    </row>
    <row r="4930" spans="1:11" ht="15" customHeight="1" x14ac:dyDescent="0.3">
      <c r="A4930" s="400" t="s">
        <v>1038</v>
      </c>
      <c r="B4930" s="401" t="s">
        <v>6480</v>
      </c>
      <c r="C4930" s="400" t="s">
        <v>420</v>
      </c>
      <c r="D4930" s="400" t="s">
        <v>6481</v>
      </c>
      <c r="E4930" s="605" t="s">
        <v>1053</v>
      </c>
      <c r="F4930" s="605"/>
      <c r="G4930" s="402" t="s">
        <v>1070</v>
      </c>
      <c r="H4930" s="403">
        <v>0.23</v>
      </c>
      <c r="I4930" s="403">
        <v>0</v>
      </c>
      <c r="J4930" s="404">
        <v>20.45</v>
      </c>
      <c r="K4930" s="404">
        <v>4.7035</v>
      </c>
    </row>
    <row r="4931" spans="1:11" ht="15" x14ac:dyDescent="0.3">
      <c r="A4931" s="400" t="s">
        <v>1038</v>
      </c>
      <c r="B4931" s="401" t="s">
        <v>6251</v>
      </c>
      <c r="C4931" s="400" t="s">
        <v>420</v>
      </c>
      <c r="D4931" s="400" t="s">
        <v>6252</v>
      </c>
      <c r="E4931" s="605" t="s">
        <v>1053</v>
      </c>
      <c r="F4931" s="605"/>
      <c r="G4931" s="402" t="s">
        <v>1070</v>
      </c>
      <c r="H4931" s="403">
        <v>0.23</v>
      </c>
      <c r="I4931" s="403">
        <v>0</v>
      </c>
      <c r="J4931" s="404">
        <v>15.59</v>
      </c>
      <c r="K4931" s="404">
        <v>3.5857000000000001</v>
      </c>
    </row>
    <row r="4932" spans="1:11" ht="15" x14ac:dyDescent="0.3">
      <c r="A4932" s="405"/>
      <c r="B4932" s="405"/>
      <c r="C4932" s="405"/>
      <c r="D4932" s="405"/>
      <c r="E4932" s="405" t="s">
        <v>1046</v>
      </c>
      <c r="F4932" s="406">
        <v>8.2899999999999991</v>
      </c>
      <c r="G4932" s="405" t="s">
        <v>1047</v>
      </c>
      <c r="H4932" s="406">
        <v>0</v>
      </c>
      <c r="I4932" s="405" t="s">
        <v>1048</v>
      </c>
      <c r="J4932" s="406">
        <v>8.2899999999999991</v>
      </c>
      <c r="K4932"/>
    </row>
    <row r="4933" spans="1:11" ht="15" customHeight="1" thickBot="1" x14ac:dyDescent="0.35">
      <c r="A4933" s="405"/>
      <c r="B4933" s="405"/>
      <c r="C4933" s="405"/>
      <c r="D4933" s="405"/>
      <c r="E4933" s="405" t="s">
        <v>1049</v>
      </c>
      <c r="F4933" s="406">
        <v>0</v>
      </c>
      <c r="G4933" s="405"/>
      <c r="H4933" s="606"/>
      <c r="I4933" s="606" t="s">
        <v>1050</v>
      </c>
      <c r="J4933" s="406">
        <v>24.72</v>
      </c>
      <c r="K4933"/>
    </row>
    <row r="4934" spans="1:11" ht="12.75" customHeight="1" thickTop="1" x14ac:dyDescent="0.3">
      <c r="A4934" s="407"/>
      <c r="B4934" s="407"/>
      <c r="C4934" s="407"/>
      <c r="D4934" s="407"/>
      <c r="E4934" s="407"/>
      <c r="F4934" s="407"/>
      <c r="G4934" s="407"/>
      <c r="H4934" s="407"/>
      <c r="I4934" s="407"/>
      <c r="J4934" s="407"/>
      <c r="K4934" s="407"/>
    </row>
    <row r="4935" spans="1:11" ht="14.25" customHeight="1" x14ac:dyDescent="0.3">
      <c r="A4935" s="382" t="s">
        <v>2964</v>
      </c>
      <c r="B4935" s="312" t="s">
        <v>413</v>
      </c>
      <c r="C4935" s="382" t="s">
        <v>414</v>
      </c>
      <c r="D4935" s="382" t="s">
        <v>415</v>
      </c>
      <c r="E4935" s="586" t="s">
        <v>1029</v>
      </c>
      <c r="F4935" s="586"/>
      <c r="G4935" s="383" t="s">
        <v>416</v>
      </c>
      <c r="H4935" s="312" t="s">
        <v>1030</v>
      </c>
      <c r="I4935" s="312" t="s">
        <v>3016</v>
      </c>
      <c r="J4935" s="312" t="s">
        <v>1031</v>
      </c>
      <c r="K4935" s="312" t="s">
        <v>1032</v>
      </c>
    </row>
    <row r="4936" spans="1:11" ht="26.4" x14ac:dyDescent="0.3">
      <c r="A4936" s="313" t="s">
        <v>1033</v>
      </c>
      <c r="B4936" s="315" t="s">
        <v>2213</v>
      </c>
      <c r="C4936" s="313" t="s">
        <v>420</v>
      </c>
      <c r="D4936" s="313" t="s">
        <v>6075</v>
      </c>
      <c r="E4936" s="603" t="s">
        <v>1244</v>
      </c>
      <c r="F4936" s="603"/>
      <c r="G4936" s="314" t="s">
        <v>422</v>
      </c>
      <c r="H4936" s="399">
        <v>1</v>
      </c>
      <c r="I4936" s="316"/>
      <c r="J4936" s="316">
        <v>27.41</v>
      </c>
      <c r="K4936" s="316">
        <v>27.41</v>
      </c>
    </row>
    <row r="4937" spans="1:11" ht="12.75" customHeight="1" x14ac:dyDescent="0.3">
      <c r="A4937" s="408" t="s">
        <v>1034</v>
      </c>
      <c r="B4937" s="409" t="s">
        <v>1071</v>
      </c>
      <c r="C4937" s="408" t="s">
        <v>420</v>
      </c>
      <c r="D4937" s="408" t="s">
        <v>1072</v>
      </c>
      <c r="E4937" s="604" t="s">
        <v>1069</v>
      </c>
      <c r="F4937" s="604"/>
      <c r="G4937" s="410" t="s">
        <v>1070</v>
      </c>
      <c r="H4937" s="412">
        <v>0.23</v>
      </c>
      <c r="I4937" s="412">
        <v>0</v>
      </c>
      <c r="J4937" s="411">
        <v>3.95</v>
      </c>
      <c r="K4937" s="411">
        <v>0.90849999999999997</v>
      </c>
    </row>
    <row r="4938" spans="1:11" ht="17.399999999999999" customHeight="1" x14ac:dyDescent="0.3">
      <c r="A4938" s="408" t="s">
        <v>1034</v>
      </c>
      <c r="B4938" s="409" t="s">
        <v>1180</v>
      </c>
      <c r="C4938" s="408" t="s">
        <v>420</v>
      </c>
      <c r="D4938" s="408" t="s">
        <v>1181</v>
      </c>
      <c r="E4938" s="604" t="s">
        <v>1069</v>
      </c>
      <c r="F4938" s="604"/>
      <c r="G4938" s="410" t="s">
        <v>1070</v>
      </c>
      <c r="H4938" s="412">
        <v>0.23</v>
      </c>
      <c r="I4938" s="412">
        <v>0</v>
      </c>
      <c r="J4938" s="411">
        <v>3.91</v>
      </c>
      <c r="K4938" s="411">
        <v>0.89929999999999999</v>
      </c>
    </row>
    <row r="4939" spans="1:11" ht="15" customHeight="1" x14ac:dyDescent="0.3">
      <c r="A4939" s="400" t="s">
        <v>1038</v>
      </c>
      <c r="B4939" s="401" t="s">
        <v>768</v>
      </c>
      <c r="C4939" s="400" t="s">
        <v>420</v>
      </c>
      <c r="D4939" s="400" t="s">
        <v>1245</v>
      </c>
      <c r="E4939" s="605" t="s">
        <v>1039</v>
      </c>
      <c r="F4939" s="605"/>
      <c r="G4939" s="402" t="s">
        <v>1246</v>
      </c>
      <c r="H4939" s="403">
        <v>4.2000000000000003E-2</v>
      </c>
      <c r="I4939" s="403">
        <v>0</v>
      </c>
      <c r="J4939" s="404">
        <v>72.41</v>
      </c>
      <c r="K4939" s="404">
        <v>3.04122</v>
      </c>
    </row>
    <row r="4940" spans="1:11" ht="15" x14ac:dyDescent="0.3">
      <c r="A4940" s="400" t="s">
        <v>1038</v>
      </c>
      <c r="B4940" s="401" t="s">
        <v>2550</v>
      </c>
      <c r="C4940" s="400" t="s">
        <v>420</v>
      </c>
      <c r="D4940" s="400" t="s">
        <v>2551</v>
      </c>
      <c r="E4940" s="605" t="s">
        <v>1039</v>
      </c>
      <c r="F4940" s="605"/>
      <c r="G4940" s="402" t="s">
        <v>422</v>
      </c>
      <c r="H4940" s="403">
        <v>1</v>
      </c>
      <c r="I4940" s="403">
        <v>0</v>
      </c>
      <c r="J4940" s="404">
        <v>9.67</v>
      </c>
      <c r="K4940" s="404">
        <v>9.67</v>
      </c>
    </row>
    <row r="4941" spans="1:11" ht="15" x14ac:dyDescent="0.3">
      <c r="A4941" s="400" t="s">
        <v>1038</v>
      </c>
      <c r="B4941" s="401" t="s">
        <v>1247</v>
      </c>
      <c r="C4941" s="400" t="s">
        <v>420</v>
      </c>
      <c r="D4941" s="400" t="s">
        <v>1248</v>
      </c>
      <c r="E4941" s="605" t="s">
        <v>1039</v>
      </c>
      <c r="F4941" s="605"/>
      <c r="G4941" s="402" t="s">
        <v>1249</v>
      </c>
      <c r="H4941" s="403">
        <v>6.6000000000000003E-2</v>
      </c>
      <c r="I4941" s="403">
        <v>0</v>
      </c>
      <c r="J4941" s="404">
        <v>69.739999999999995</v>
      </c>
      <c r="K4941" s="404">
        <v>4.6028399999999996</v>
      </c>
    </row>
    <row r="4942" spans="1:11" ht="15" customHeight="1" x14ac:dyDescent="0.3">
      <c r="A4942" s="400" t="s">
        <v>1038</v>
      </c>
      <c r="B4942" s="401" t="s">
        <v>6480</v>
      </c>
      <c r="C4942" s="400" t="s">
        <v>420</v>
      </c>
      <c r="D4942" s="400" t="s">
        <v>6481</v>
      </c>
      <c r="E4942" s="605" t="s">
        <v>1053</v>
      </c>
      <c r="F4942" s="605"/>
      <c r="G4942" s="402" t="s">
        <v>1070</v>
      </c>
      <c r="H4942" s="403">
        <v>0.23</v>
      </c>
      <c r="I4942" s="403">
        <v>0</v>
      </c>
      <c r="J4942" s="404">
        <v>20.45</v>
      </c>
      <c r="K4942" s="404">
        <v>4.7035</v>
      </c>
    </row>
    <row r="4943" spans="1:11" ht="25.5" customHeight="1" x14ac:dyDescent="0.3">
      <c r="A4943" s="400" t="s">
        <v>1038</v>
      </c>
      <c r="B4943" s="401" t="s">
        <v>6251</v>
      </c>
      <c r="C4943" s="400" t="s">
        <v>420</v>
      </c>
      <c r="D4943" s="400" t="s">
        <v>6252</v>
      </c>
      <c r="E4943" s="605" t="s">
        <v>1053</v>
      </c>
      <c r="F4943" s="605"/>
      <c r="G4943" s="402" t="s">
        <v>1070</v>
      </c>
      <c r="H4943" s="403">
        <v>0.23</v>
      </c>
      <c r="I4943" s="403">
        <v>0</v>
      </c>
      <c r="J4943" s="404">
        <v>15.59</v>
      </c>
      <c r="K4943" s="404">
        <v>3.5857000000000001</v>
      </c>
    </row>
    <row r="4944" spans="1:11" ht="14.25" customHeight="1" x14ac:dyDescent="0.3">
      <c r="A4944" s="405"/>
      <c r="B4944" s="405"/>
      <c r="C4944" s="405"/>
      <c r="D4944" s="405"/>
      <c r="E4944" s="405" t="s">
        <v>1046</v>
      </c>
      <c r="F4944" s="406">
        <v>8.2899999999999991</v>
      </c>
      <c r="G4944" s="405" t="s">
        <v>1047</v>
      </c>
      <c r="H4944" s="406">
        <v>0</v>
      </c>
      <c r="I4944" s="405" t="s">
        <v>1048</v>
      </c>
      <c r="J4944" s="406">
        <v>8.2899999999999991</v>
      </c>
      <c r="K4944"/>
    </row>
    <row r="4945" spans="1:11" ht="17.399999999999999" customHeight="1" thickBot="1" x14ac:dyDescent="0.35">
      <c r="A4945" s="405"/>
      <c r="B4945" s="405"/>
      <c r="C4945" s="405"/>
      <c r="D4945" s="405"/>
      <c r="E4945" s="405" t="s">
        <v>1049</v>
      </c>
      <c r="F4945" s="406">
        <v>0</v>
      </c>
      <c r="G4945" s="405"/>
      <c r="H4945" s="606"/>
      <c r="I4945" s="606" t="s">
        <v>1050</v>
      </c>
      <c r="J4945" s="406">
        <v>27.41</v>
      </c>
      <c r="K4945"/>
    </row>
    <row r="4946" spans="1:11" ht="25.5" customHeight="1" thickTop="1" x14ac:dyDescent="0.3">
      <c r="A4946" s="407"/>
      <c r="B4946" s="407"/>
      <c r="C4946" s="407"/>
      <c r="D4946" s="407"/>
      <c r="E4946" s="407"/>
      <c r="F4946" s="407"/>
      <c r="G4946" s="407"/>
      <c r="H4946" s="407"/>
      <c r="I4946" s="407"/>
      <c r="J4946" s="407"/>
      <c r="K4946" s="407"/>
    </row>
    <row r="4947" spans="1:11" ht="25.5" customHeight="1" x14ac:dyDescent="0.3">
      <c r="A4947" s="382" t="s">
        <v>2965</v>
      </c>
      <c r="B4947" s="312" t="s">
        <v>413</v>
      </c>
      <c r="C4947" s="382" t="s">
        <v>414</v>
      </c>
      <c r="D4947" s="382" t="s">
        <v>415</v>
      </c>
      <c r="E4947" s="586" t="s">
        <v>1029</v>
      </c>
      <c r="F4947" s="586"/>
      <c r="G4947" s="383" t="s">
        <v>416</v>
      </c>
      <c r="H4947" s="312" t="s">
        <v>1030</v>
      </c>
      <c r="I4947" s="312" t="s">
        <v>3016</v>
      </c>
      <c r="J4947" s="312" t="s">
        <v>1031</v>
      </c>
      <c r="K4947" s="312" t="s">
        <v>1032</v>
      </c>
    </row>
    <row r="4948" spans="1:11" ht="25.5" customHeight="1" x14ac:dyDescent="0.3">
      <c r="A4948" s="313" t="s">
        <v>1033</v>
      </c>
      <c r="B4948" s="315" t="s">
        <v>3972</v>
      </c>
      <c r="C4948" s="313" t="s">
        <v>395</v>
      </c>
      <c r="D4948" s="313" t="s">
        <v>6076</v>
      </c>
      <c r="E4948" s="603" t="s">
        <v>7808</v>
      </c>
      <c r="F4948" s="603"/>
      <c r="G4948" s="314" t="s">
        <v>7</v>
      </c>
      <c r="H4948" s="399">
        <v>1</v>
      </c>
      <c r="I4948" s="316"/>
      <c r="J4948" s="316">
        <v>16.34</v>
      </c>
      <c r="K4948" s="316">
        <v>16.34</v>
      </c>
    </row>
    <row r="4949" spans="1:11" ht="26.4" x14ac:dyDescent="0.3">
      <c r="A4949" s="408" t="s">
        <v>1034</v>
      </c>
      <c r="B4949" s="409" t="s">
        <v>1113</v>
      </c>
      <c r="C4949" s="408" t="s">
        <v>395</v>
      </c>
      <c r="D4949" s="408" t="s">
        <v>129</v>
      </c>
      <c r="E4949" s="604" t="s">
        <v>7768</v>
      </c>
      <c r="F4949" s="604"/>
      <c r="G4949" s="410" t="s">
        <v>6</v>
      </c>
      <c r="H4949" s="412">
        <v>0.15859999999999999</v>
      </c>
      <c r="I4949" s="412">
        <v>0</v>
      </c>
      <c r="J4949" s="411">
        <v>33.450000000000003</v>
      </c>
      <c r="K4949" s="411">
        <v>5.3051700000000004</v>
      </c>
    </row>
    <row r="4950" spans="1:11" ht="14.25" customHeight="1" x14ac:dyDescent="0.3">
      <c r="A4950" s="408" t="s">
        <v>1034</v>
      </c>
      <c r="B4950" s="409" t="s">
        <v>1112</v>
      </c>
      <c r="C4950" s="408" t="s">
        <v>395</v>
      </c>
      <c r="D4950" s="408" t="s">
        <v>137</v>
      </c>
      <c r="E4950" s="604" t="s">
        <v>7768</v>
      </c>
      <c r="F4950" s="604"/>
      <c r="G4950" s="410" t="s">
        <v>6</v>
      </c>
      <c r="H4950" s="412">
        <v>0.15859999999999999</v>
      </c>
      <c r="I4950" s="412">
        <v>0</v>
      </c>
      <c r="J4950" s="411">
        <v>40.299999999999997</v>
      </c>
      <c r="K4950" s="411">
        <v>6.3915800000000003</v>
      </c>
    </row>
    <row r="4951" spans="1:11" ht="15" x14ac:dyDescent="0.3">
      <c r="A4951" s="400" t="s">
        <v>1038</v>
      </c>
      <c r="B4951" s="401" t="s">
        <v>4244</v>
      </c>
      <c r="C4951" s="400" t="s">
        <v>395</v>
      </c>
      <c r="D4951" s="400" t="s">
        <v>4245</v>
      </c>
      <c r="E4951" s="605" t="s">
        <v>1039</v>
      </c>
      <c r="F4951" s="605"/>
      <c r="G4951" s="402" t="s">
        <v>7</v>
      </c>
      <c r="H4951" s="403">
        <v>1.0492999999999999</v>
      </c>
      <c r="I4951" s="403">
        <v>0</v>
      </c>
      <c r="J4951" s="404">
        <v>4.3499999999999996</v>
      </c>
      <c r="K4951" s="404">
        <v>4.5644549999999997</v>
      </c>
    </row>
    <row r="4952" spans="1:11" ht="14.25" customHeight="1" x14ac:dyDescent="0.3">
      <c r="A4952" s="400" t="s">
        <v>1038</v>
      </c>
      <c r="B4952" s="401" t="s">
        <v>1372</v>
      </c>
      <c r="C4952" s="400" t="s">
        <v>395</v>
      </c>
      <c r="D4952" s="400" t="s">
        <v>266</v>
      </c>
      <c r="E4952" s="605" t="s">
        <v>1039</v>
      </c>
      <c r="F4952" s="605"/>
      <c r="G4952" s="402" t="s">
        <v>4</v>
      </c>
      <c r="H4952" s="403">
        <v>3.6999999999999998E-2</v>
      </c>
      <c r="I4952" s="403">
        <v>0</v>
      </c>
      <c r="J4952" s="404">
        <v>2.09</v>
      </c>
      <c r="K4952" s="404">
        <v>7.7329999999999996E-2</v>
      </c>
    </row>
    <row r="4953" spans="1:11" ht="14.25" customHeight="1" x14ac:dyDescent="0.3">
      <c r="A4953" s="405"/>
      <c r="B4953" s="405"/>
      <c r="C4953" s="405"/>
      <c r="D4953" s="405"/>
      <c r="E4953" s="405" t="s">
        <v>1046</v>
      </c>
      <c r="F4953" s="406">
        <v>8.61</v>
      </c>
      <c r="G4953" s="405" t="s">
        <v>1047</v>
      </c>
      <c r="H4953" s="406">
        <v>0</v>
      </c>
      <c r="I4953" s="405" t="s">
        <v>1048</v>
      </c>
      <c r="J4953" s="406">
        <v>8.61</v>
      </c>
      <c r="K4953"/>
    </row>
    <row r="4954" spans="1:11" ht="15.6" thickBot="1" x14ac:dyDescent="0.35">
      <c r="A4954" s="405"/>
      <c r="B4954" s="405"/>
      <c r="C4954" s="405"/>
      <c r="D4954" s="405"/>
      <c r="E4954" s="405" t="s">
        <v>1049</v>
      </c>
      <c r="F4954" s="406">
        <v>0</v>
      </c>
      <c r="G4954" s="405"/>
      <c r="H4954" s="606"/>
      <c r="I4954" s="606" t="s">
        <v>1050</v>
      </c>
      <c r="J4954" s="406">
        <v>16.34</v>
      </c>
      <c r="K4954"/>
    </row>
    <row r="4955" spans="1:11" ht="15" customHeight="1" thickTop="1" x14ac:dyDescent="0.3">
      <c r="A4955" s="407"/>
      <c r="B4955" s="407"/>
      <c r="C4955" s="407"/>
      <c r="D4955" s="407"/>
      <c r="E4955" s="407"/>
      <c r="F4955" s="407"/>
      <c r="G4955" s="407"/>
      <c r="H4955" s="407"/>
      <c r="I4955" s="407"/>
      <c r="J4955" s="407"/>
      <c r="K4955" s="407"/>
    </row>
    <row r="4956" spans="1:11" ht="12.75" customHeight="1" x14ac:dyDescent="0.3">
      <c r="A4956" s="382" t="s">
        <v>2966</v>
      </c>
      <c r="B4956" s="312" t="s">
        <v>413</v>
      </c>
      <c r="C4956" s="382" t="s">
        <v>414</v>
      </c>
      <c r="D4956" s="382" t="s">
        <v>415</v>
      </c>
      <c r="E4956" s="586" t="s">
        <v>1029</v>
      </c>
      <c r="F4956" s="586"/>
      <c r="G4956" s="383" t="s">
        <v>416</v>
      </c>
      <c r="H4956" s="312" t="s">
        <v>1030</v>
      </c>
      <c r="I4956" s="312" t="s">
        <v>3016</v>
      </c>
      <c r="J4956" s="312" t="s">
        <v>1031</v>
      </c>
      <c r="K4956" s="312" t="s">
        <v>1032</v>
      </c>
    </row>
    <row r="4957" spans="1:11" ht="12.75" customHeight="1" x14ac:dyDescent="0.3">
      <c r="A4957" s="313" t="s">
        <v>1033</v>
      </c>
      <c r="B4957" s="315" t="s">
        <v>3973</v>
      </c>
      <c r="C4957" s="313" t="s">
        <v>395</v>
      </c>
      <c r="D4957" s="313" t="s">
        <v>6077</v>
      </c>
      <c r="E4957" s="603" t="s">
        <v>7874</v>
      </c>
      <c r="F4957" s="603"/>
      <c r="G4957" s="314" t="s">
        <v>4</v>
      </c>
      <c r="H4957" s="399">
        <v>1</v>
      </c>
      <c r="I4957" s="316"/>
      <c r="J4957" s="316">
        <v>20.95</v>
      </c>
      <c r="K4957" s="316">
        <v>20.95</v>
      </c>
    </row>
    <row r="4958" spans="1:11" ht="25.5" customHeight="1" x14ac:dyDescent="0.3">
      <c r="A4958" s="408" t="s">
        <v>1034</v>
      </c>
      <c r="B4958" s="409" t="s">
        <v>7879</v>
      </c>
      <c r="C4958" s="408" t="s">
        <v>395</v>
      </c>
      <c r="D4958" s="408" t="s">
        <v>7880</v>
      </c>
      <c r="E4958" s="604" t="s">
        <v>7772</v>
      </c>
      <c r="F4958" s="604"/>
      <c r="G4958" s="410" t="s">
        <v>15</v>
      </c>
      <c r="H4958" s="412">
        <v>5.9799999999999999E-2</v>
      </c>
      <c r="I4958" s="412">
        <v>0</v>
      </c>
      <c r="J4958" s="411">
        <v>0.97</v>
      </c>
      <c r="K4958" s="411">
        <v>5.8006000000000002E-2</v>
      </c>
    </row>
    <row r="4959" spans="1:11" ht="14.25" customHeight="1" x14ac:dyDescent="0.3">
      <c r="A4959" s="408" t="s">
        <v>1034</v>
      </c>
      <c r="B4959" s="409" t="s">
        <v>1113</v>
      </c>
      <c r="C4959" s="408" t="s">
        <v>395</v>
      </c>
      <c r="D4959" s="408" t="s">
        <v>129</v>
      </c>
      <c r="E4959" s="604" t="s">
        <v>7768</v>
      </c>
      <c r="F4959" s="604"/>
      <c r="G4959" s="410" t="s">
        <v>6</v>
      </c>
      <c r="H4959" s="412">
        <v>8.7300000000000003E-2</v>
      </c>
      <c r="I4959" s="412">
        <v>0</v>
      </c>
      <c r="J4959" s="411">
        <v>33.450000000000003</v>
      </c>
      <c r="K4959" s="411">
        <v>2.920185</v>
      </c>
    </row>
    <row r="4960" spans="1:11" ht="26.4" x14ac:dyDescent="0.3">
      <c r="A4960" s="408" t="s">
        <v>1034</v>
      </c>
      <c r="B4960" s="409" t="s">
        <v>1112</v>
      </c>
      <c r="C4960" s="408" t="s">
        <v>395</v>
      </c>
      <c r="D4960" s="408" t="s">
        <v>137</v>
      </c>
      <c r="E4960" s="604" t="s">
        <v>7768</v>
      </c>
      <c r="F4960" s="604"/>
      <c r="G4960" s="410" t="s">
        <v>6</v>
      </c>
      <c r="H4960" s="412">
        <v>8.7300000000000003E-2</v>
      </c>
      <c r="I4960" s="412">
        <v>0</v>
      </c>
      <c r="J4960" s="411">
        <v>40.299999999999997</v>
      </c>
      <c r="K4960" s="411">
        <v>3.5181900000000002</v>
      </c>
    </row>
    <row r="4961" spans="1:11" ht="14.25" customHeight="1" x14ac:dyDescent="0.3">
      <c r="A4961" s="400" t="s">
        <v>1038</v>
      </c>
      <c r="B4961" s="401" t="s">
        <v>4706</v>
      </c>
      <c r="C4961" s="400" t="s">
        <v>395</v>
      </c>
      <c r="D4961" s="400" t="s">
        <v>4707</v>
      </c>
      <c r="E4961" s="605" t="s">
        <v>1039</v>
      </c>
      <c r="F4961" s="605"/>
      <c r="G4961" s="402" t="s">
        <v>4</v>
      </c>
      <c r="H4961" s="403">
        <v>1</v>
      </c>
      <c r="I4961" s="403">
        <v>0</v>
      </c>
      <c r="J4961" s="404">
        <v>14.45</v>
      </c>
      <c r="K4961" s="404">
        <v>14.45</v>
      </c>
    </row>
    <row r="4962" spans="1:11" ht="15" x14ac:dyDescent="0.3">
      <c r="A4962" s="405"/>
      <c r="B4962" s="405"/>
      <c r="C4962" s="405"/>
      <c r="D4962" s="405"/>
      <c r="E4962" s="405" t="s">
        <v>1046</v>
      </c>
      <c r="F4962" s="406">
        <v>4.74</v>
      </c>
      <c r="G4962" s="405" t="s">
        <v>1047</v>
      </c>
      <c r="H4962" s="406">
        <v>0</v>
      </c>
      <c r="I4962" s="405" t="s">
        <v>1048</v>
      </c>
      <c r="J4962" s="406">
        <v>4.74</v>
      </c>
      <c r="K4962"/>
    </row>
    <row r="4963" spans="1:11" ht="12.75" customHeight="1" thickBot="1" x14ac:dyDescent="0.35">
      <c r="A4963" s="405"/>
      <c r="B4963" s="405"/>
      <c r="C4963" s="405"/>
      <c r="D4963" s="405"/>
      <c r="E4963" s="405" t="s">
        <v>1049</v>
      </c>
      <c r="F4963" s="406">
        <v>0</v>
      </c>
      <c r="G4963" s="405"/>
      <c r="H4963" s="606"/>
      <c r="I4963" s="606" t="s">
        <v>1050</v>
      </c>
      <c r="J4963" s="406">
        <v>20.95</v>
      </c>
      <c r="K4963"/>
    </row>
    <row r="4964" spans="1:11" ht="15" customHeight="1" thickTop="1" x14ac:dyDescent="0.3">
      <c r="A4964" s="407"/>
      <c r="B4964" s="407"/>
      <c r="C4964" s="407"/>
      <c r="D4964" s="407"/>
      <c r="E4964" s="407"/>
      <c r="F4964" s="407"/>
      <c r="G4964" s="407"/>
      <c r="H4964" s="407"/>
      <c r="I4964" s="407"/>
      <c r="J4964" s="407"/>
      <c r="K4964" s="407"/>
    </row>
    <row r="4965" spans="1:11" ht="12.75" customHeight="1" x14ac:dyDescent="0.3">
      <c r="A4965" s="382" t="s">
        <v>2967</v>
      </c>
      <c r="B4965" s="312" t="s">
        <v>413</v>
      </c>
      <c r="C4965" s="382" t="s">
        <v>414</v>
      </c>
      <c r="D4965" s="382" t="s">
        <v>415</v>
      </c>
      <c r="E4965" s="586" t="s">
        <v>1029</v>
      </c>
      <c r="F4965" s="586"/>
      <c r="G4965" s="383" t="s">
        <v>416</v>
      </c>
      <c r="H4965" s="312" t="s">
        <v>1030</v>
      </c>
      <c r="I4965" s="312" t="s">
        <v>3016</v>
      </c>
      <c r="J4965" s="312" t="s">
        <v>1031</v>
      </c>
      <c r="K4965" s="312" t="s">
        <v>1032</v>
      </c>
    </row>
    <row r="4966" spans="1:11" ht="14.25" customHeight="1" x14ac:dyDescent="0.3">
      <c r="A4966" s="313" t="s">
        <v>1033</v>
      </c>
      <c r="B4966" s="315" t="s">
        <v>970</v>
      </c>
      <c r="C4966" s="313" t="s">
        <v>575</v>
      </c>
      <c r="D4966" s="313" t="s">
        <v>581</v>
      </c>
      <c r="E4966" s="603" t="s">
        <v>1340</v>
      </c>
      <c r="F4966" s="603"/>
      <c r="G4966" s="314" t="s">
        <v>582</v>
      </c>
      <c r="H4966" s="399">
        <v>1</v>
      </c>
      <c r="I4966" s="316"/>
      <c r="J4966" s="316">
        <v>39.83</v>
      </c>
      <c r="K4966" s="316">
        <v>39.83</v>
      </c>
    </row>
    <row r="4967" spans="1:11" ht="14.25" customHeight="1" x14ac:dyDescent="0.3">
      <c r="A4967" s="408" t="s">
        <v>1034</v>
      </c>
      <c r="B4967" s="409" t="s">
        <v>1302</v>
      </c>
      <c r="C4967" s="408" t="s">
        <v>395</v>
      </c>
      <c r="D4967" s="408" t="s">
        <v>144</v>
      </c>
      <c r="E4967" s="604" t="s">
        <v>7768</v>
      </c>
      <c r="F4967" s="604"/>
      <c r="G4967" s="410" t="s">
        <v>6</v>
      </c>
      <c r="H4967" s="412">
        <v>0.69020000000000004</v>
      </c>
      <c r="I4967" s="412">
        <v>0</v>
      </c>
      <c r="J4967" s="411">
        <v>42.06</v>
      </c>
      <c r="K4967" s="411">
        <v>29.029812</v>
      </c>
    </row>
    <row r="4968" spans="1:11" ht="30" customHeight="1" x14ac:dyDescent="0.3">
      <c r="A4968" s="408" t="s">
        <v>1034</v>
      </c>
      <c r="B4968" s="409" t="s">
        <v>1290</v>
      </c>
      <c r="C4968" s="408" t="s">
        <v>395</v>
      </c>
      <c r="D4968" s="408" t="s">
        <v>147</v>
      </c>
      <c r="E4968" s="604" t="s">
        <v>7768</v>
      </c>
      <c r="F4968" s="604"/>
      <c r="G4968" s="410" t="s">
        <v>6</v>
      </c>
      <c r="H4968" s="412">
        <v>0.28760000000000002</v>
      </c>
      <c r="I4968" s="412">
        <v>0</v>
      </c>
      <c r="J4968" s="411">
        <v>32.82</v>
      </c>
      <c r="K4968" s="411">
        <v>9.4390319999999992</v>
      </c>
    </row>
    <row r="4969" spans="1:11" ht="15" x14ac:dyDescent="0.3">
      <c r="A4969" s="400" t="s">
        <v>1038</v>
      </c>
      <c r="B4969" s="401" t="s">
        <v>1341</v>
      </c>
      <c r="C4969" s="400" t="s">
        <v>395</v>
      </c>
      <c r="D4969" s="400" t="s">
        <v>240</v>
      </c>
      <c r="E4969" s="605" t="s">
        <v>1039</v>
      </c>
      <c r="F4969" s="605"/>
      <c r="G4969" s="402" t="s">
        <v>3</v>
      </c>
      <c r="H4969" s="403">
        <v>0.6</v>
      </c>
      <c r="I4969" s="403">
        <v>0</v>
      </c>
      <c r="J4969" s="404">
        <v>2.27</v>
      </c>
      <c r="K4969" s="404">
        <v>1.3620000000000001</v>
      </c>
    </row>
    <row r="4970" spans="1:11" ht="25.5" customHeight="1" x14ac:dyDescent="0.3">
      <c r="A4970" s="400" t="s">
        <v>1038</v>
      </c>
      <c r="B4970" s="401" t="s">
        <v>1342</v>
      </c>
      <c r="C4970" s="400" t="s">
        <v>575</v>
      </c>
      <c r="D4970" s="400" t="s">
        <v>581</v>
      </c>
      <c r="E4970" s="605" t="s">
        <v>1317</v>
      </c>
      <c r="F4970" s="605"/>
      <c r="G4970" s="402" t="s">
        <v>1335</v>
      </c>
      <c r="H4970" s="403">
        <v>1</v>
      </c>
      <c r="I4970" s="403">
        <v>0</v>
      </c>
      <c r="J4970" s="404">
        <v>0</v>
      </c>
      <c r="K4970" s="404">
        <v>0</v>
      </c>
    </row>
    <row r="4971" spans="1:11" ht="12.75" customHeight="1" x14ac:dyDescent="0.3">
      <c r="A4971" s="405"/>
      <c r="B4971" s="405"/>
      <c r="C4971" s="405"/>
      <c r="D4971" s="405"/>
      <c r="E4971" s="405" t="s">
        <v>1046</v>
      </c>
      <c r="F4971" s="406">
        <v>28.48</v>
      </c>
      <c r="G4971" s="405" t="s">
        <v>1047</v>
      </c>
      <c r="H4971" s="406">
        <v>0</v>
      </c>
      <c r="I4971" s="405" t="s">
        <v>1048</v>
      </c>
      <c r="J4971" s="406">
        <v>28.48</v>
      </c>
      <c r="K4971"/>
    </row>
    <row r="4972" spans="1:11" ht="15" customHeight="1" thickBot="1" x14ac:dyDescent="0.35">
      <c r="A4972" s="405"/>
      <c r="B4972" s="405"/>
      <c r="C4972" s="405"/>
      <c r="D4972" s="405"/>
      <c r="E4972" s="405" t="s">
        <v>1049</v>
      </c>
      <c r="F4972" s="406">
        <v>0</v>
      </c>
      <c r="G4972" s="405"/>
      <c r="H4972" s="606"/>
      <c r="I4972" s="606" t="s">
        <v>1050</v>
      </c>
      <c r="J4972" s="406">
        <v>39.83</v>
      </c>
      <c r="K4972"/>
    </row>
    <row r="4973" spans="1:11" ht="15" customHeight="1" thickTop="1" x14ac:dyDescent="0.3">
      <c r="A4973" s="407"/>
      <c r="B4973" s="407"/>
      <c r="C4973" s="407"/>
      <c r="D4973" s="407"/>
      <c r="E4973" s="407"/>
      <c r="F4973" s="407"/>
      <c r="G4973" s="407"/>
      <c r="H4973" s="407"/>
      <c r="I4973" s="407"/>
      <c r="J4973" s="407"/>
      <c r="K4973" s="407"/>
    </row>
    <row r="4974" spans="1:11" ht="12.75" customHeight="1" x14ac:dyDescent="0.3">
      <c r="A4974" s="382" t="s">
        <v>2968</v>
      </c>
      <c r="B4974" s="312" t="s">
        <v>413</v>
      </c>
      <c r="C4974" s="382" t="s">
        <v>414</v>
      </c>
      <c r="D4974" s="382" t="s">
        <v>415</v>
      </c>
      <c r="E4974" s="586" t="s">
        <v>1029</v>
      </c>
      <c r="F4974" s="586"/>
      <c r="G4974" s="383" t="s">
        <v>416</v>
      </c>
      <c r="H4974" s="312" t="s">
        <v>1030</v>
      </c>
      <c r="I4974" s="312" t="s">
        <v>3016</v>
      </c>
      <c r="J4974" s="312" t="s">
        <v>1031</v>
      </c>
      <c r="K4974" s="312" t="s">
        <v>1032</v>
      </c>
    </row>
    <row r="4975" spans="1:11" ht="26.4" x14ac:dyDescent="0.3">
      <c r="A4975" s="313" t="s">
        <v>1033</v>
      </c>
      <c r="B4975" s="315" t="s">
        <v>2180</v>
      </c>
      <c r="C4975" s="313" t="s">
        <v>5902</v>
      </c>
      <c r="D4975" s="313" t="s">
        <v>1903</v>
      </c>
      <c r="E4975" s="603">
        <v>46.09</v>
      </c>
      <c r="F4975" s="603"/>
      <c r="G4975" s="314" t="s">
        <v>4</v>
      </c>
      <c r="H4975" s="399">
        <v>1</v>
      </c>
      <c r="I4975" s="316"/>
      <c r="J4975" s="316">
        <v>137</v>
      </c>
      <c r="K4975" s="316">
        <v>137</v>
      </c>
    </row>
    <row r="4976" spans="1:11" ht="26.4" x14ac:dyDescent="0.3">
      <c r="A4976" s="400" t="s">
        <v>1038</v>
      </c>
      <c r="B4976" s="401" t="s">
        <v>1360</v>
      </c>
      <c r="C4976" s="400" t="s">
        <v>5902</v>
      </c>
      <c r="D4976" s="400" t="s">
        <v>1361</v>
      </c>
      <c r="E4976" s="605" t="s">
        <v>1053</v>
      </c>
      <c r="F4976" s="605"/>
      <c r="G4976" s="402" t="s">
        <v>6</v>
      </c>
      <c r="H4976" s="403">
        <v>0.3</v>
      </c>
      <c r="I4976" s="403">
        <v>0</v>
      </c>
      <c r="J4976" s="404">
        <v>33.119999999999997</v>
      </c>
      <c r="K4976" s="404">
        <v>9.9359999999999999</v>
      </c>
    </row>
    <row r="4977" spans="1:11" ht="15" customHeight="1" x14ac:dyDescent="0.3">
      <c r="A4977" s="400" t="s">
        <v>1038</v>
      </c>
      <c r="B4977" s="401" t="s">
        <v>1358</v>
      </c>
      <c r="C4977" s="400" t="s">
        <v>5902</v>
      </c>
      <c r="D4977" s="400" t="s">
        <v>1359</v>
      </c>
      <c r="E4977" s="605" t="s">
        <v>1053</v>
      </c>
      <c r="F4977" s="605"/>
      <c r="G4977" s="402" t="s">
        <v>6</v>
      </c>
      <c r="H4977" s="403">
        <v>0.3</v>
      </c>
      <c r="I4977" s="403">
        <v>0</v>
      </c>
      <c r="J4977" s="404">
        <v>22.71</v>
      </c>
      <c r="K4977" s="404">
        <v>6.8129999999999997</v>
      </c>
    </row>
    <row r="4978" spans="1:11" ht="14.25" customHeight="1" x14ac:dyDescent="0.3">
      <c r="A4978" s="400" t="s">
        <v>1038</v>
      </c>
      <c r="B4978" s="401" t="s">
        <v>2486</v>
      </c>
      <c r="C4978" s="400" t="s">
        <v>5902</v>
      </c>
      <c r="D4978" s="400" t="s">
        <v>2487</v>
      </c>
      <c r="E4978" s="605" t="s">
        <v>1039</v>
      </c>
      <c r="F4978" s="605"/>
      <c r="G4978" s="402" t="s">
        <v>4</v>
      </c>
      <c r="H4978" s="403">
        <v>1</v>
      </c>
      <c r="I4978" s="403">
        <v>0</v>
      </c>
      <c r="J4978" s="404">
        <v>119.89</v>
      </c>
      <c r="K4978" s="404">
        <v>119.89</v>
      </c>
    </row>
    <row r="4979" spans="1:11" ht="14.25" customHeight="1" x14ac:dyDescent="0.3">
      <c r="A4979" s="400" t="s">
        <v>1038</v>
      </c>
      <c r="B4979" s="401" t="s">
        <v>2488</v>
      </c>
      <c r="C4979" s="400" t="s">
        <v>5902</v>
      </c>
      <c r="D4979" s="400" t="s">
        <v>2489</v>
      </c>
      <c r="E4979" s="605" t="s">
        <v>1039</v>
      </c>
      <c r="F4979" s="605"/>
      <c r="G4979" s="402" t="s">
        <v>3</v>
      </c>
      <c r="H4979" s="403">
        <v>0.02</v>
      </c>
      <c r="I4979" s="403">
        <v>0</v>
      </c>
      <c r="J4979" s="404">
        <v>18.04</v>
      </c>
      <c r="K4979" s="404">
        <v>0.36080000000000001</v>
      </c>
    </row>
    <row r="4980" spans="1:11" ht="30" customHeight="1" x14ac:dyDescent="0.3">
      <c r="A4980" s="405"/>
      <c r="B4980" s="405"/>
      <c r="C4980" s="405"/>
      <c r="D4980" s="405"/>
      <c r="E4980" s="405" t="s">
        <v>1046</v>
      </c>
      <c r="F4980" s="406">
        <v>16.75</v>
      </c>
      <c r="G4980" s="405" t="s">
        <v>1047</v>
      </c>
      <c r="H4980" s="406">
        <v>0</v>
      </c>
      <c r="I4980" s="405" t="s">
        <v>1048</v>
      </c>
      <c r="J4980" s="406">
        <v>16.75</v>
      </c>
      <c r="K4980"/>
    </row>
    <row r="4981" spans="1:11" ht="12.75" customHeight="1" thickBot="1" x14ac:dyDescent="0.35">
      <c r="A4981" s="405"/>
      <c r="B4981" s="405"/>
      <c r="C4981" s="405"/>
      <c r="D4981" s="405"/>
      <c r="E4981" s="405" t="s">
        <v>1049</v>
      </c>
      <c r="F4981" s="406">
        <v>0</v>
      </c>
      <c r="G4981" s="405"/>
      <c r="H4981" s="606"/>
      <c r="I4981" s="606" t="s">
        <v>1050</v>
      </c>
      <c r="J4981" s="406">
        <v>137</v>
      </c>
      <c r="K4981"/>
    </row>
    <row r="4982" spans="1:11" ht="17.399999999999999" customHeight="1" thickTop="1" x14ac:dyDescent="0.3">
      <c r="A4982" s="407"/>
      <c r="B4982" s="407"/>
      <c r="C4982" s="407"/>
      <c r="D4982" s="407"/>
      <c r="E4982" s="407"/>
      <c r="F4982" s="407"/>
      <c r="G4982" s="407"/>
      <c r="H4982" s="407"/>
      <c r="I4982" s="407"/>
      <c r="J4982" s="407"/>
      <c r="K4982" s="407"/>
    </row>
    <row r="4983" spans="1:11" ht="25.5" customHeight="1" x14ac:dyDescent="0.3">
      <c r="A4983" s="382" t="s">
        <v>2969</v>
      </c>
      <c r="B4983" s="312" t="s">
        <v>413</v>
      </c>
      <c r="C4983" s="382" t="s">
        <v>414</v>
      </c>
      <c r="D4983" s="382" t="s">
        <v>415</v>
      </c>
      <c r="E4983" s="586" t="s">
        <v>1029</v>
      </c>
      <c r="F4983" s="586"/>
      <c r="G4983" s="383" t="s">
        <v>416</v>
      </c>
      <c r="H4983" s="312" t="s">
        <v>1030</v>
      </c>
      <c r="I4983" s="312" t="s">
        <v>3016</v>
      </c>
      <c r="J4983" s="312" t="s">
        <v>1031</v>
      </c>
      <c r="K4983" s="312" t="s">
        <v>1032</v>
      </c>
    </row>
    <row r="4984" spans="1:11" ht="26.4" x14ac:dyDescent="0.3">
      <c r="A4984" s="313" t="s">
        <v>1033</v>
      </c>
      <c r="B4984" s="315" t="s">
        <v>2181</v>
      </c>
      <c r="C4984" s="313" t="s">
        <v>5902</v>
      </c>
      <c r="D4984" s="313" t="s">
        <v>1905</v>
      </c>
      <c r="E4984" s="603">
        <v>46.09</v>
      </c>
      <c r="F4984" s="603"/>
      <c r="G4984" s="314" t="s">
        <v>4</v>
      </c>
      <c r="H4984" s="399">
        <v>1</v>
      </c>
      <c r="I4984" s="316"/>
      <c r="J4984" s="316">
        <v>255.67</v>
      </c>
      <c r="K4984" s="316">
        <v>255.67</v>
      </c>
    </row>
    <row r="4985" spans="1:11" ht="26.4" x14ac:dyDescent="0.3">
      <c r="A4985" s="400" t="s">
        <v>1038</v>
      </c>
      <c r="B4985" s="401" t="s">
        <v>1358</v>
      </c>
      <c r="C4985" s="400" t="s">
        <v>5902</v>
      </c>
      <c r="D4985" s="400" t="s">
        <v>1359</v>
      </c>
      <c r="E4985" s="605" t="s">
        <v>1053</v>
      </c>
      <c r="F4985" s="605"/>
      <c r="G4985" s="402" t="s">
        <v>6</v>
      </c>
      <c r="H4985" s="403">
        <v>0.4</v>
      </c>
      <c r="I4985" s="403">
        <v>0</v>
      </c>
      <c r="J4985" s="404">
        <v>22.71</v>
      </c>
      <c r="K4985" s="404">
        <v>9.0839999999999996</v>
      </c>
    </row>
    <row r="4986" spans="1:11" ht="15" customHeight="1" x14ac:dyDescent="0.3">
      <c r="A4986" s="400" t="s">
        <v>1038</v>
      </c>
      <c r="B4986" s="401" t="s">
        <v>1360</v>
      </c>
      <c r="C4986" s="400" t="s">
        <v>5902</v>
      </c>
      <c r="D4986" s="400" t="s">
        <v>1361</v>
      </c>
      <c r="E4986" s="605" t="s">
        <v>1053</v>
      </c>
      <c r="F4986" s="605"/>
      <c r="G4986" s="402" t="s">
        <v>6</v>
      </c>
      <c r="H4986" s="403">
        <v>0.4</v>
      </c>
      <c r="I4986" s="403">
        <v>0</v>
      </c>
      <c r="J4986" s="404">
        <v>33.119999999999997</v>
      </c>
      <c r="K4986" s="404">
        <v>13.247999999999999</v>
      </c>
    </row>
    <row r="4987" spans="1:11" ht="14.25" customHeight="1" x14ac:dyDescent="0.3">
      <c r="A4987" s="400" t="s">
        <v>1038</v>
      </c>
      <c r="B4987" s="401" t="s">
        <v>2490</v>
      </c>
      <c r="C4987" s="400" t="s">
        <v>5902</v>
      </c>
      <c r="D4987" s="400" t="s">
        <v>2491</v>
      </c>
      <c r="E4987" s="605" t="s">
        <v>1039</v>
      </c>
      <c r="F4987" s="605"/>
      <c r="G4987" s="402" t="s">
        <v>4</v>
      </c>
      <c r="H4987" s="403">
        <v>1</v>
      </c>
      <c r="I4987" s="403">
        <v>0</v>
      </c>
      <c r="J4987" s="404">
        <v>232.98</v>
      </c>
      <c r="K4987" s="404">
        <v>232.98</v>
      </c>
    </row>
    <row r="4988" spans="1:11" ht="26.4" x14ac:dyDescent="0.3">
      <c r="A4988" s="400" t="s">
        <v>1038</v>
      </c>
      <c r="B4988" s="401" t="s">
        <v>2488</v>
      </c>
      <c r="C4988" s="400" t="s">
        <v>5902</v>
      </c>
      <c r="D4988" s="400" t="s">
        <v>2489</v>
      </c>
      <c r="E4988" s="605" t="s">
        <v>1039</v>
      </c>
      <c r="F4988" s="605"/>
      <c r="G4988" s="402" t="s">
        <v>3</v>
      </c>
      <c r="H4988" s="403">
        <v>0.02</v>
      </c>
      <c r="I4988" s="403">
        <v>0</v>
      </c>
      <c r="J4988" s="404">
        <v>18.04</v>
      </c>
      <c r="K4988" s="404">
        <v>0.36080000000000001</v>
      </c>
    </row>
    <row r="4989" spans="1:11" ht="15" x14ac:dyDescent="0.3">
      <c r="A4989" s="405"/>
      <c r="B4989" s="405"/>
      <c r="C4989" s="405"/>
      <c r="D4989" s="405"/>
      <c r="E4989" s="405" t="s">
        <v>1046</v>
      </c>
      <c r="F4989" s="406">
        <v>22.33</v>
      </c>
      <c r="G4989" s="405" t="s">
        <v>1047</v>
      </c>
      <c r="H4989" s="406">
        <v>0</v>
      </c>
      <c r="I4989" s="405" t="s">
        <v>1048</v>
      </c>
      <c r="J4989" s="406">
        <v>22.33</v>
      </c>
      <c r="K4989"/>
    </row>
    <row r="4990" spans="1:11" ht="25.5" customHeight="1" thickBot="1" x14ac:dyDescent="0.35">
      <c r="A4990" s="405"/>
      <c r="B4990" s="405"/>
      <c r="C4990" s="405"/>
      <c r="D4990" s="405"/>
      <c r="E4990" s="405" t="s">
        <v>1049</v>
      </c>
      <c r="F4990" s="406">
        <v>0</v>
      </c>
      <c r="G4990" s="405"/>
      <c r="H4990" s="606"/>
      <c r="I4990" s="606" t="s">
        <v>1050</v>
      </c>
      <c r="J4990" s="406">
        <v>255.67</v>
      </c>
      <c r="K4990"/>
    </row>
    <row r="4991" spans="1:11" ht="12.75" customHeight="1" thickTop="1" x14ac:dyDescent="0.3">
      <c r="A4991" s="407"/>
      <c r="B4991" s="407"/>
      <c r="C4991" s="407"/>
      <c r="D4991" s="407"/>
      <c r="E4991" s="407"/>
      <c r="F4991" s="407"/>
      <c r="G4991" s="407"/>
      <c r="H4991" s="407"/>
      <c r="I4991" s="407"/>
      <c r="J4991" s="407"/>
      <c r="K4991" s="407"/>
    </row>
    <row r="4992" spans="1:11" ht="25.5" customHeight="1" x14ac:dyDescent="0.3">
      <c r="A4992" s="382" t="s">
        <v>2970</v>
      </c>
      <c r="B4992" s="312" t="s">
        <v>413</v>
      </c>
      <c r="C4992" s="382" t="s">
        <v>414</v>
      </c>
      <c r="D4992" s="382" t="s">
        <v>415</v>
      </c>
      <c r="E4992" s="586" t="s">
        <v>1029</v>
      </c>
      <c r="F4992" s="586"/>
      <c r="G4992" s="383" t="s">
        <v>416</v>
      </c>
      <c r="H4992" s="312" t="s">
        <v>1030</v>
      </c>
      <c r="I4992" s="312" t="s">
        <v>3016</v>
      </c>
      <c r="J4992" s="312" t="s">
        <v>1031</v>
      </c>
      <c r="K4992" s="312" t="s">
        <v>1032</v>
      </c>
    </row>
    <row r="4993" spans="1:11" ht="25.5" customHeight="1" x14ac:dyDescent="0.3">
      <c r="A4993" s="313" t="s">
        <v>1033</v>
      </c>
      <c r="B4993" s="315" t="s">
        <v>3974</v>
      </c>
      <c r="C4993" s="313" t="s">
        <v>395</v>
      </c>
      <c r="D4993" s="313" t="s">
        <v>6078</v>
      </c>
      <c r="E4993" s="603" t="s">
        <v>7862</v>
      </c>
      <c r="F4993" s="603"/>
      <c r="G4993" s="314" t="s">
        <v>4</v>
      </c>
      <c r="H4993" s="399">
        <v>1</v>
      </c>
      <c r="I4993" s="316"/>
      <c r="J4993" s="316">
        <v>233.79</v>
      </c>
      <c r="K4993" s="316">
        <v>233.79</v>
      </c>
    </row>
    <row r="4994" spans="1:11" ht="12.75" customHeight="1" x14ac:dyDescent="0.3">
      <c r="A4994" s="408" t="s">
        <v>1034</v>
      </c>
      <c r="B4994" s="409" t="s">
        <v>1112</v>
      </c>
      <c r="C4994" s="408" t="s">
        <v>395</v>
      </c>
      <c r="D4994" s="408" t="s">
        <v>137</v>
      </c>
      <c r="E4994" s="604" t="s">
        <v>7768</v>
      </c>
      <c r="F4994" s="604"/>
      <c r="G4994" s="410" t="s">
        <v>6</v>
      </c>
      <c r="H4994" s="412">
        <v>0.30426449999999999</v>
      </c>
      <c r="I4994" s="412">
        <v>0</v>
      </c>
      <c r="J4994" s="411">
        <v>40.299999999999997</v>
      </c>
      <c r="K4994" s="411">
        <v>12.261859400000001</v>
      </c>
    </row>
    <row r="4995" spans="1:11" ht="14.25" customHeight="1" x14ac:dyDescent="0.3">
      <c r="A4995" s="408" t="s">
        <v>1034</v>
      </c>
      <c r="B4995" s="409" t="s">
        <v>1290</v>
      </c>
      <c r="C4995" s="408" t="s">
        <v>395</v>
      </c>
      <c r="D4995" s="408" t="s">
        <v>147</v>
      </c>
      <c r="E4995" s="604" t="s">
        <v>7768</v>
      </c>
      <c r="F4995" s="604"/>
      <c r="G4995" s="410" t="s">
        <v>6</v>
      </c>
      <c r="H4995" s="412">
        <v>0.1167884</v>
      </c>
      <c r="I4995" s="412">
        <v>0</v>
      </c>
      <c r="J4995" s="411">
        <v>32.82</v>
      </c>
      <c r="K4995" s="411">
        <v>3.8329952999999999</v>
      </c>
    </row>
    <row r="4996" spans="1:11" ht="14.25" customHeight="1" x14ac:dyDescent="0.3">
      <c r="A4996" s="400" t="s">
        <v>1038</v>
      </c>
      <c r="B4996" s="401" t="s">
        <v>3281</v>
      </c>
      <c r="C4996" s="400" t="s">
        <v>395</v>
      </c>
      <c r="D4996" s="400" t="s">
        <v>3282</v>
      </c>
      <c r="E4996" s="605" t="s">
        <v>1039</v>
      </c>
      <c r="F4996" s="605"/>
      <c r="G4996" s="402" t="s">
        <v>4</v>
      </c>
      <c r="H4996" s="403">
        <v>1</v>
      </c>
      <c r="I4996" s="403">
        <v>0</v>
      </c>
      <c r="J4996" s="404">
        <v>217.7</v>
      </c>
      <c r="K4996" s="404">
        <v>217.7</v>
      </c>
    </row>
    <row r="4997" spans="1:11" ht="15" customHeight="1" x14ac:dyDescent="0.3">
      <c r="A4997" s="405"/>
      <c r="B4997" s="405"/>
      <c r="C4997" s="405"/>
      <c r="D4997" s="405"/>
      <c r="E4997" s="405" t="s">
        <v>1046</v>
      </c>
      <c r="F4997" s="406">
        <v>11.94</v>
      </c>
      <c r="G4997" s="405" t="s">
        <v>1047</v>
      </c>
      <c r="H4997" s="406">
        <v>0</v>
      </c>
      <c r="I4997" s="405" t="s">
        <v>1048</v>
      </c>
      <c r="J4997" s="406">
        <v>11.94</v>
      </c>
      <c r="K4997"/>
    </row>
    <row r="4998" spans="1:11" ht="30" customHeight="1" thickBot="1" x14ac:dyDescent="0.35">
      <c r="A4998" s="405"/>
      <c r="B4998" s="405"/>
      <c r="C4998" s="405"/>
      <c r="D4998" s="405"/>
      <c r="E4998" s="405" t="s">
        <v>1049</v>
      </c>
      <c r="F4998" s="406">
        <v>0</v>
      </c>
      <c r="G4998" s="405"/>
      <c r="H4998" s="606"/>
      <c r="I4998" s="606" t="s">
        <v>1050</v>
      </c>
      <c r="J4998" s="406">
        <v>233.79</v>
      </c>
      <c r="K4998"/>
    </row>
    <row r="4999" spans="1:11" ht="15" customHeight="1" thickTop="1" x14ac:dyDescent="0.3">
      <c r="A4999" s="407"/>
      <c r="B4999" s="407"/>
      <c r="C4999" s="407"/>
      <c r="D4999" s="407"/>
      <c r="E4999" s="407"/>
      <c r="F4999" s="407"/>
      <c r="G4999" s="407"/>
      <c r="H4999" s="407"/>
      <c r="I4999" s="407"/>
      <c r="J4999" s="407"/>
      <c r="K4999" s="407"/>
    </row>
    <row r="5000" spans="1:11" ht="38.25" customHeight="1" x14ac:dyDescent="0.3">
      <c r="A5000" s="382" t="s">
        <v>2971</v>
      </c>
      <c r="B5000" s="312" t="s">
        <v>413</v>
      </c>
      <c r="C5000" s="382" t="s">
        <v>414</v>
      </c>
      <c r="D5000" s="382" t="s">
        <v>415</v>
      </c>
      <c r="E5000" s="586" t="s">
        <v>1029</v>
      </c>
      <c r="F5000" s="586"/>
      <c r="G5000" s="383" t="s">
        <v>416</v>
      </c>
      <c r="H5000" s="312" t="s">
        <v>1030</v>
      </c>
      <c r="I5000" s="312" t="s">
        <v>3016</v>
      </c>
      <c r="J5000" s="312" t="s">
        <v>1031</v>
      </c>
      <c r="K5000" s="312" t="s">
        <v>1032</v>
      </c>
    </row>
    <row r="5001" spans="1:11" ht="15" customHeight="1" x14ac:dyDescent="0.3">
      <c r="A5001" s="313" t="s">
        <v>1033</v>
      </c>
      <c r="B5001" s="315" t="s">
        <v>950</v>
      </c>
      <c r="C5001" s="313" t="s">
        <v>420</v>
      </c>
      <c r="D5001" s="313" t="s">
        <v>568</v>
      </c>
      <c r="E5001" s="603" t="s">
        <v>1261</v>
      </c>
      <c r="F5001" s="603"/>
      <c r="G5001" s="314" t="s">
        <v>422</v>
      </c>
      <c r="H5001" s="399">
        <v>1</v>
      </c>
      <c r="I5001" s="316"/>
      <c r="J5001" s="316">
        <v>378.37</v>
      </c>
      <c r="K5001" s="316">
        <v>378.37</v>
      </c>
    </row>
    <row r="5002" spans="1:11" ht="25.5" customHeight="1" x14ac:dyDescent="0.3">
      <c r="A5002" s="408" t="s">
        <v>1034</v>
      </c>
      <c r="B5002" s="409" t="s">
        <v>1071</v>
      </c>
      <c r="C5002" s="408" t="s">
        <v>420</v>
      </c>
      <c r="D5002" s="408" t="s">
        <v>1072</v>
      </c>
      <c r="E5002" s="604" t="s">
        <v>1069</v>
      </c>
      <c r="F5002" s="604"/>
      <c r="G5002" s="410" t="s">
        <v>1070</v>
      </c>
      <c r="H5002" s="412">
        <v>0.65</v>
      </c>
      <c r="I5002" s="412">
        <v>0</v>
      </c>
      <c r="J5002" s="411">
        <v>3.95</v>
      </c>
      <c r="K5002" s="411">
        <v>2.5674999999999999</v>
      </c>
    </row>
    <row r="5003" spans="1:11" ht="25.5" customHeight="1" x14ac:dyDescent="0.3">
      <c r="A5003" s="408" t="s">
        <v>1034</v>
      </c>
      <c r="B5003" s="409" t="s">
        <v>1180</v>
      </c>
      <c r="C5003" s="408" t="s">
        <v>420</v>
      </c>
      <c r="D5003" s="408" t="s">
        <v>1181</v>
      </c>
      <c r="E5003" s="604" t="s">
        <v>1069</v>
      </c>
      <c r="F5003" s="604"/>
      <c r="G5003" s="410" t="s">
        <v>1070</v>
      </c>
      <c r="H5003" s="412">
        <v>0.65</v>
      </c>
      <c r="I5003" s="412">
        <v>0</v>
      </c>
      <c r="J5003" s="411">
        <v>3.91</v>
      </c>
      <c r="K5003" s="411">
        <v>2.5415000000000001</v>
      </c>
    </row>
    <row r="5004" spans="1:11" ht="17.399999999999999" customHeight="1" x14ac:dyDescent="0.3">
      <c r="A5004" s="400" t="s">
        <v>1038</v>
      </c>
      <c r="B5004" s="401" t="s">
        <v>1262</v>
      </c>
      <c r="C5004" s="400" t="s">
        <v>420</v>
      </c>
      <c r="D5004" s="400" t="s">
        <v>1263</v>
      </c>
      <c r="E5004" s="605" t="s">
        <v>1039</v>
      </c>
      <c r="F5004" s="605"/>
      <c r="G5004" s="402" t="s">
        <v>437</v>
      </c>
      <c r="H5004" s="403">
        <v>0.28000000000000003</v>
      </c>
      <c r="I5004" s="403">
        <v>0</v>
      </c>
      <c r="J5004" s="404">
        <v>0.31</v>
      </c>
      <c r="K5004" s="404">
        <v>8.6800000000000002E-2</v>
      </c>
    </row>
    <row r="5005" spans="1:11" ht="26.4" x14ac:dyDescent="0.3">
      <c r="A5005" s="400" t="s">
        <v>1038</v>
      </c>
      <c r="B5005" s="401" t="s">
        <v>1264</v>
      </c>
      <c r="C5005" s="400" t="s">
        <v>420</v>
      </c>
      <c r="D5005" s="400" t="s">
        <v>1265</v>
      </c>
      <c r="E5005" s="605" t="s">
        <v>1039</v>
      </c>
      <c r="F5005" s="605"/>
      <c r="G5005" s="402" t="s">
        <v>422</v>
      </c>
      <c r="H5005" s="403">
        <v>1</v>
      </c>
      <c r="I5005" s="403">
        <v>0</v>
      </c>
      <c r="J5005" s="404">
        <v>349.75</v>
      </c>
      <c r="K5005" s="404">
        <v>349.75</v>
      </c>
    </row>
    <row r="5006" spans="1:11" ht="14.25" customHeight="1" x14ac:dyDescent="0.3">
      <c r="A5006" s="400" t="s">
        <v>1038</v>
      </c>
      <c r="B5006" s="401" t="s">
        <v>6480</v>
      </c>
      <c r="C5006" s="400" t="s">
        <v>420</v>
      </c>
      <c r="D5006" s="400" t="s">
        <v>6481</v>
      </c>
      <c r="E5006" s="605" t="s">
        <v>1053</v>
      </c>
      <c r="F5006" s="605"/>
      <c r="G5006" s="402" t="s">
        <v>1070</v>
      </c>
      <c r="H5006" s="403">
        <v>0.65</v>
      </c>
      <c r="I5006" s="403">
        <v>0</v>
      </c>
      <c r="J5006" s="404">
        <v>20.45</v>
      </c>
      <c r="K5006" s="404">
        <v>13.2925</v>
      </c>
    </row>
    <row r="5007" spans="1:11" ht="15" x14ac:dyDescent="0.3">
      <c r="A5007" s="400" t="s">
        <v>1038</v>
      </c>
      <c r="B5007" s="401" t="s">
        <v>6251</v>
      </c>
      <c r="C5007" s="400" t="s">
        <v>420</v>
      </c>
      <c r="D5007" s="400" t="s">
        <v>6252</v>
      </c>
      <c r="E5007" s="605" t="s">
        <v>1053</v>
      </c>
      <c r="F5007" s="605"/>
      <c r="G5007" s="402" t="s">
        <v>1070</v>
      </c>
      <c r="H5007" s="403">
        <v>0.65</v>
      </c>
      <c r="I5007" s="403">
        <v>0</v>
      </c>
      <c r="J5007" s="404">
        <v>15.59</v>
      </c>
      <c r="K5007" s="404">
        <v>10.1335</v>
      </c>
    </row>
    <row r="5008" spans="1:11" ht="30" customHeight="1" x14ac:dyDescent="0.3">
      <c r="A5008" s="405"/>
      <c r="B5008" s="405"/>
      <c r="C5008" s="405"/>
      <c r="D5008" s="405"/>
      <c r="E5008" s="405" t="s">
        <v>1046</v>
      </c>
      <c r="F5008" s="406">
        <v>23.42</v>
      </c>
      <c r="G5008" s="405" t="s">
        <v>1047</v>
      </c>
      <c r="H5008" s="406">
        <v>0</v>
      </c>
      <c r="I5008" s="405" t="s">
        <v>1048</v>
      </c>
      <c r="J5008" s="406">
        <v>23.42</v>
      </c>
      <c r="K5008"/>
    </row>
    <row r="5009" spans="1:11" ht="30" customHeight="1" thickBot="1" x14ac:dyDescent="0.35">
      <c r="A5009" s="405"/>
      <c r="B5009" s="405"/>
      <c r="C5009" s="405"/>
      <c r="D5009" s="405"/>
      <c r="E5009" s="405" t="s">
        <v>1049</v>
      </c>
      <c r="F5009" s="406">
        <v>0</v>
      </c>
      <c r="G5009" s="405"/>
      <c r="H5009" s="606"/>
      <c r="I5009" s="606" t="s">
        <v>1050</v>
      </c>
      <c r="J5009" s="406">
        <v>378.37</v>
      </c>
      <c r="K5009"/>
    </row>
    <row r="5010" spans="1:11" ht="15" customHeight="1" thickTop="1" x14ac:dyDescent="0.3">
      <c r="A5010" s="407"/>
      <c r="B5010" s="407"/>
      <c r="C5010" s="407"/>
      <c r="D5010" s="407"/>
      <c r="E5010" s="407"/>
      <c r="F5010" s="407"/>
      <c r="G5010" s="407"/>
      <c r="H5010" s="407"/>
      <c r="I5010" s="407"/>
      <c r="J5010" s="407"/>
      <c r="K5010" s="407"/>
    </row>
    <row r="5011" spans="1:11" ht="25.5" customHeight="1" x14ac:dyDescent="0.3">
      <c r="A5011" s="382" t="s">
        <v>2975</v>
      </c>
      <c r="B5011" s="312" t="s">
        <v>413</v>
      </c>
      <c r="C5011" s="382" t="s">
        <v>414</v>
      </c>
      <c r="D5011" s="382" t="s">
        <v>415</v>
      </c>
      <c r="E5011" s="586" t="s">
        <v>1029</v>
      </c>
      <c r="F5011" s="586"/>
      <c r="G5011" s="383" t="s">
        <v>416</v>
      </c>
      <c r="H5011" s="312" t="s">
        <v>1030</v>
      </c>
      <c r="I5011" s="312" t="s">
        <v>3016</v>
      </c>
      <c r="J5011" s="312" t="s">
        <v>1031</v>
      </c>
      <c r="K5011" s="312" t="s">
        <v>1032</v>
      </c>
    </row>
    <row r="5012" spans="1:11" ht="25.5" customHeight="1" x14ac:dyDescent="0.3">
      <c r="A5012" s="313" t="s">
        <v>1033</v>
      </c>
      <c r="B5012" s="315" t="s">
        <v>951</v>
      </c>
      <c r="C5012" s="313" t="s">
        <v>436</v>
      </c>
      <c r="D5012" s="313" t="s">
        <v>569</v>
      </c>
      <c r="E5012" s="603" t="s">
        <v>1266</v>
      </c>
      <c r="F5012" s="603"/>
      <c r="G5012" s="314" t="s">
        <v>570</v>
      </c>
      <c r="H5012" s="399">
        <v>1</v>
      </c>
      <c r="I5012" s="316"/>
      <c r="J5012" s="316">
        <v>30.63</v>
      </c>
      <c r="K5012" s="316">
        <v>30.63</v>
      </c>
    </row>
    <row r="5013" spans="1:11" ht="15" x14ac:dyDescent="0.3">
      <c r="A5013" s="400" t="s">
        <v>1038</v>
      </c>
      <c r="B5013" s="401" t="s">
        <v>1105</v>
      </c>
      <c r="C5013" s="400" t="s">
        <v>436</v>
      </c>
      <c r="D5013" s="400" t="s">
        <v>1106</v>
      </c>
      <c r="E5013" s="605" t="s">
        <v>1053</v>
      </c>
      <c r="F5013" s="605"/>
      <c r="G5013" s="402" t="s">
        <v>6</v>
      </c>
      <c r="H5013" s="403">
        <v>0.25</v>
      </c>
      <c r="I5013" s="403">
        <v>0</v>
      </c>
      <c r="J5013" s="404">
        <v>21.94</v>
      </c>
      <c r="K5013" s="404">
        <v>5.4850000000000003</v>
      </c>
    </row>
    <row r="5014" spans="1:11" ht="15" customHeight="1" x14ac:dyDescent="0.3">
      <c r="A5014" s="400" t="s">
        <v>1038</v>
      </c>
      <c r="B5014" s="401" t="s">
        <v>1267</v>
      </c>
      <c r="C5014" s="400" t="s">
        <v>436</v>
      </c>
      <c r="D5014" s="400" t="s">
        <v>1268</v>
      </c>
      <c r="E5014" s="605" t="s">
        <v>1053</v>
      </c>
      <c r="F5014" s="605"/>
      <c r="G5014" s="402" t="s">
        <v>6</v>
      </c>
      <c r="H5014" s="403">
        <v>0.25</v>
      </c>
      <c r="I5014" s="403">
        <v>0</v>
      </c>
      <c r="J5014" s="404">
        <v>26.03</v>
      </c>
      <c r="K5014" s="404">
        <v>6.5075000000000003</v>
      </c>
    </row>
    <row r="5015" spans="1:11" ht="14.25" customHeight="1" x14ac:dyDescent="0.3">
      <c r="A5015" s="400" t="s">
        <v>1038</v>
      </c>
      <c r="B5015" s="401" t="s">
        <v>1271</v>
      </c>
      <c r="C5015" s="400" t="s">
        <v>436</v>
      </c>
      <c r="D5015" s="400" t="s">
        <v>1272</v>
      </c>
      <c r="E5015" s="605" t="s">
        <v>1039</v>
      </c>
      <c r="F5015" s="605"/>
      <c r="G5015" s="402" t="s">
        <v>4</v>
      </c>
      <c r="H5015" s="403">
        <v>1</v>
      </c>
      <c r="I5015" s="403">
        <v>0</v>
      </c>
      <c r="J5015" s="404">
        <v>18.39</v>
      </c>
      <c r="K5015" s="404">
        <v>18.39</v>
      </c>
    </row>
    <row r="5016" spans="1:11" ht="14.25" customHeight="1" x14ac:dyDescent="0.3">
      <c r="A5016" s="400" t="s">
        <v>1038</v>
      </c>
      <c r="B5016" s="401" t="s">
        <v>1269</v>
      </c>
      <c r="C5016" s="400" t="s">
        <v>436</v>
      </c>
      <c r="D5016" s="400" t="s">
        <v>1270</v>
      </c>
      <c r="E5016" s="605" t="s">
        <v>1039</v>
      </c>
      <c r="F5016" s="605"/>
      <c r="G5016" s="402" t="s">
        <v>7</v>
      </c>
      <c r="H5016" s="403">
        <v>0.94</v>
      </c>
      <c r="I5016" s="403">
        <v>0</v>
      </c>
      <c r="J5016" s="404">
        <v>0.26</v>
      </c>
      <c r="K5016" s="404">
        <v>0.24440000000000001</v>
      </c>
    </row>
    <row r="5017" spans="1:11" ht="15" customHeight="1" x14ac:dyDescent="0.3">
      <c r="A5017" s="405"/>
      <c r="B5017" s="405"/>
      <c r="C5017" s="405"/>
      <c r="D5017" s="405"/>
      <c r="E5017" s="405" t="s">
        <v>1046</v>
      </c>
      <c r="F5017" s="406">
        <v>12</v>
      </c>
      <c r="G5017" s="405" t="s">
        <v>1047</v>
      </c>
      <c r="H5017" s="406">
        <v>0</v>
      </c>
      <c r="I5017" s="405" t="s">
        <v>1048</v>
      </c>
      <c r="J5017" s="406">
        <v>12</v>
      </c>
      <c r="K5017"/>
    </row>
    <row r="5018" spans="1:11" ht="25.5" customHeight="1" thickBot="1" x14ac:dyDescent="0.35">
      <c r="A5018" s="405"/>
      <c r="B5018" s="405"/>
      <c r="C5018" s="405"/>
      <c r="D5018" s="405"/>
      <c r="E5018" s="405" t="s">
        <v>1049</v>
      </c>
      <c r="F5018" s="406">
        <v>0</v>
      </c>
      <c r="G5018" s="405"/>
      <c r="H5018" s="606"/>
      <c r="I5018" s="606" t="s">
        <v>1050</v>
      </c>
      <c r="J5018" s="406">
        <v>30.63</v>
      </c>
      <c r="K5018"/>
    </row>
    <row r="5019" spans="1:11" ht="12.75" customHeight="1" thickTop="1" x14ac:dyDescent="0.3">
      <c r="A5019" s="407"/>
      <c r="B5019" s="407"/>
      <c r="C5019" s="407"/>
      <c r="D5019" s="407"/>
      <c r="E5019" s="407"/>
      <c r="F5019" s="407"/>
      <c r="G5019" s="407"/>
      <c r="H5019" s="407"/>
      <c r="I5019" s="407"/>
      <c r="J5019" s="407"/>
      <c r="K5019" s="407"/>
    </row>
    <row r="5020" spans="1:11" ht="25.5" customHeight="1" x14ac:dyDescent="0.3">
      <c r="A5020" s="382" t="s">
        <v>2980</v>
      </c>
      <c r="B5020" s="312" t="s">
        <v>413</v>
      </c>
      <c r="C5020" s="382" t="s">
        <v>414</v>
      </c>
      <c r="D5020" s="382" t="s">
        <v>415</v>
      </c>
      <c r="E5020" s="586" t="s">
        <v>1029</v>
      </c>
      <c r="F5020" s="586"/>
      <c r="G5020" s="383" t="s">
        <v>416</v>
      </c>
      <c r="H5020" s="312" t="s">
        <v>1030</v>
      </c>
      <c r="I5020" s="312" t="s">
        <v>3016</v>
      </c>
      <c r="J5020" s="312" t="s">
        <v>1031</v>
      </c>
      <c r="K5020" s="312" t="s">
        <v>1032</v>
      </c>
    </row>
    <row r="5021" spans="1:11" ht="25.5" customHeight="1" x14ac:dyDescent="0.3">
      <c r="A5021" s="313" t="s">
        <v>1033</v>
      </c>
      <c r="B5021" s="315" t="s">
        <v>949</v>
      </c>
      <c r="C5021" s="313" t="s">
        <v>420</v>
      </c>
      <c r="D5021" s="313" t="s">
        <v>567</v>
      </c>
      <c r="E5021" s="603" t="s">
        <v>1244</v>
      </c>
      <c r="F5021" s="603"/>
      <c r="G5021" s="314" t="s">
        <v>422</v>
      </c>
      <c r="H5021" s="399">
        <v>1</v>
      </c>
      <c r="I5021" s="316"/>
      <c r="J5021" s="316">
        <v>23.7</v>
      </c>
      <c r="K5021" s="316">
        <v>23.7</v>
      </c>
    </row>
    <row r="5022" spans="1:11" ht="25.5" customHeight="1" x14ac:dyDescent="0.3">
      <c r="A5022" s="408" t="s">
        <v>1034</v>
      </c>
      <c r="B5022" s="409" t="s">
        <v>1071</v>
      </c>
      <c r="C5022" s="408" t="s">
        <v>420</v>
      </c>
      <c r="D5022" s="408" t="s">
        <v>1072</v>
      </c>
      <c r="E5022" s="604" t="s">
        <v>1069</v>
      </c>
      <c r="F5022" s="604"/>
      <c r="G5022" s="410" t="s">
        <v>1070</v>
      </c>
      <c r="H5022" s="412">
        <v>0.23</v>
      </c>
      <c r="I5022" s="412">
        <v>0</v>
      </c>
      <c r="J5022" s="411">
        <v>3.95</v>
      </c>
      <c r="K5022" s="411">
        <v>0.90849999999999997</v>
      </c>
    </row>
    <row r="5023" spans="1:11" ht="26.4" x14ac:dyDescent="0.3">
      <c r="A5023" s="408" t="s">
        <v>1034</v>
      </c>
      <c r="B5023" s="409" t="s">
        <v>1180</v>
      </c>
      <c r="C5023" s="408" t="s">
        <v>420</v>
      </c>
      <c r="D5023" s="408" t="s">
        <v>1181</v>
      </c>
      <c r="E5023" s="604" t="s">
        <v>1069</v>
      </c>
      <c r="F5023" s="604"/>
      <c r="G5023" s="410" t="s">
        <v>1070</v>
      </c>
      <c r="H5023" s="412">
        <v>0.23</v>
      </c>
      <c r="I5023" s="412">
        <v>0</v>
      </c>
      <c r="J5023" s="411">
        <v>3.91</v>
      </c>
      <c r="K5023" s="411">
        <v>0.89929999999999999</v>
      </c>
    </row>
    <row r="5024" spans="1:11" ht="14.25" customHeight="1" x14ac:dyDescent="0.3">
      <c r="A5024" s="400" t="s">
        <v>1038</v>
      </c>
      <c r="B5024" s="401" t="s">
        <v>768</v>
      </c>
      <c r="C5024" s="400" t="s">
        <v>420</v>
      </c>
      <c r="D5024" s="400" t="s">
        <v>1245</v>
      </c>
      <c r="E5024" s="605" t="s">
        <v>1039</v>
      </c>
      <c r="F5024" s="605"/>
      <c r="G5024" s="402" t="s">
        <v>1246</v>
      </c>
      <c r="H5024" s="403">
        <v>2.5000000000000001E-2</v>
      </c>
      <c r="I5024" s="403">
        <v>0</v>
      </c>
      <c r="J5024" s="404">
        <v>72.41</v>
      </c>
      <c r="K5024" s="404">
        <v>1.8102499999999999</v>
      </c>
    </row>
    <row r="5025" spans="1:11" ht="15" x14ac:dyDescent="0.3">
      <c r="A5025" s="400" t="s">
        <v>1038</v>
      </c>
      <c r="B5025" s="401" t="s">
        <v>1247</v>
      </c>
      <c r="C5025" s="400" t="s">
        <v>420</v>
      </c>
      <c r="D5025" s="400" t="s">
        <v>1248</v>
      </c>
      <c r="E5025" s="605" t="s">
        <v>1039</v>
      </c>
      <c r="F5025" s="605"/>
      <c r="G5025" s="402" t="s">
        <v>1249</v>
      </c>
      <c r="H5025" s="403">
        <v>0.04</v>
      </c>
      <c r="I5025" s="403">
        <v>0</v>
      </c>
      <c r="J5025" s="404">
        <v>69.739999999999995</v>
      </c>
      <c r="K5025" s="404">
        <v>2.7896000000000001</v>
      </c>
    </row>
    <row r="5026" spans="1:11" ht="15" customHeight="1" x14ac:dyDescent="0.3">
      <c r="A5026" s="400" t="s">
        <v>1038</v>
      </c>
      <c r="B5026" s="401" t="s">
        <v>6480</v>
      </c>
      <c r="C5026" s="400" t="s">
        <v>420</v>
      </c>
      <c r="D5026" s="400" t="s">
        <v>6481</v>
      </c>
      <c r="E5026" s="605" t="s">
        <v>1053</v>
      </c>
      <c r="F5026" s="605"/>
      <c r="G5026" s="402" t="s">
        <v>1070</v>
      </c>
      <c r="H5026" s="403">
        <v>0.23</v>
      </c>
      <c r="I5026" s="403">
        <v>0</v>
      </c>
      <c r="J5026" s="404">
        <v>20.45</v>
      </c>
      <c r="K5026" s="404">
        <v>4.7035</v>
      </c>
    </row>
    <row r="5027" spans="1:11" ht="25.5" customHeight="1" x14ac:dyDescent="0.3">
      <c r="A5027" s="400" t="s">
        <v>1038</v>
      </c>
      <c r="B5027" s="401" t="s">
        <v>6251</v>
      </c>
      <c r="C5027" s="400" t="s">
        <v>420</v>
      </c>
      <c r="D5027" s="400" t="s">
        <v>6252</v>
      </c>
      <c r="E5027" s="605" t="s">
        <v>1053</v>
      </c>
      <c r="F5027" s="605"/>
      <c r="G5027" s="402" t="s">
        <v>1070</v>
      </c>
      <c r="H5027" s="403">
        <v>0.23</v>
      </c>
      <c r="I5027" s="403">
        <v>0</v>
      </c>
      <c r="J5027" s="404">
        <v>15.59</v>
      </c>
      <c r="K5027" s="404">
        <v>3.5857000000000001</v>
      </c>
    </row>
    <row r="5028" spans="1:11" ht="12.75" customHeight="1" x14ac:dyDescent="0.3">
      <c r="A5028" s="400" t="s">
        <v>1038</v>
      </c>
      <c r="B5028" s="401" t="s">
        <v>7323</v>
      </c>
      <c r="C5028" s="400" t="s">
        <v>420</v>
      </c>
      <c r="D5028" s="400" t="s">
        <v>7324</v>
      </c>
      <c r="E5028" s="605" t="s">
        <v>1039</v>
      </c>
      <c r="F5028" s="605"/>
      <c r="G5028" s="402" t="s">
        <v>422</v>
      </c>
      <c r="H5028" s="403">
        <v>1</v>
      </c>
      <c r="I5028" s="403">
        <v>0</v>
      </c>
      <c r="J5028" s="404">
        <v>9</v>
      </c>
      <c r="K5028" s="404">
        <v>9</v>
      </c>
    </row>
    <row r="5029" spans="1:11" ht="25.5" customHeight="1" x14ac:dyDescent="0.3">
      <c r="A5029" s="405"/>
      <c r="B5029" s="405"/>
      <c r="C5029" s="405"/>
      <c r="D5029" s="405"/>
      <c r="E5029" s="405" t="s">
        <v>1046</v>
      </c>
      <c r="F5029" s="406">
        <v>8.2899999999999991</v>
      </c>
      <c r="G5029" s="405" t="s">
        <v>1047</v>
      </c>
      <c r="H5029" s="406">
        <v>0</v>
      </c>
      <c r="I5029" s="405" t="s">
        <v>1048</v>
      </c>
      <c r="J5029" s="406">
        <v>8.2899999999999991</v>
      </c>
      <c r="K5029"/>
    </row>
    <row r="5030" spans="1:11" ht="25.5" customHeight="1" thickBot="1" x14ac:dyDescent="0.35">
      <c r="A5030" s="405"/>
      <c r="B5030" s="405"/>
      <c r="C5030" s="405"/>
      <c r="D5030" s="405"/>
      <c r="E5030" s="405" t="s">
        <v>1049</v>
      </c>
      <c r="F5030" s="406">
        <v>0</v>
      </c>
      <c r="G5030" s="405"/>
      <c r="H5030" s="606"/>
      <c r="I5030" s="606" t="s">
        <v>1050</v>
      </c>
      <c r="J5030" s="406">
        <v>23.7</v>
      </c>
      <c r="K5030"/>
    </row>
    <row r="5031" spans="1:11" ht="25.5" customHeight="1" thickTop="1" x14ac:dyDescent="0.3">
      <c r="A5031" s="407"/>
      <c r="B5031" s="407"/>
      <c r="C5031" s="407"/>
      <c r="D5031" s="407"/>
      <c r="E5031" s="407"/>
      <c r="F5031" s="407"/>
      <c r="G5031" s="407"/>
      <c r="H5031" s="407"/>
      <c r="I5031" s="407"/>
      <c r="J5031" s="407"/>
      <c r="K5031" s="407"/>
    </row>
    <row r="5032" spans="1:11" ht="25.5" customHeight="1" x14ac:dyDescent="0.3">
      <c r="A5032" s="382" t="s">
        <v>2981</v>
      </c>
      <c r="B5032" s="312" t="s">
        <v>413</v>
      </c>
      <c r="C5032" s="382" t="s">
        <v>414</v>
      </c>
      <c r="D5032" s="382" t="s">
        <v>415</v>
      </c>
      <c r="E5032" s="586" t="s">
        <v>1029</v>
      </c>
      <c r="F5032" s="586"/>
      <c r="G5032" s="383" t="s">
        <v>416</v>
      </c>
      <c r="H5032" s="312" t="s">
        <v>1030</v>
      </c>
      <c r="I5032" s="312" t="s">
        <v>3016</v>
      </c>
      <c r="J5032" s="312" t="s">
        <v>1031</v>
      </c>
      <c r="K5032" s="312" t="s">
        <v>1032</v>
      </c>
    </row>
    <row r="5033" spans="1:11" ht="14.25" customHeight="1" x14ac:dyDescent="0.3">
      <c r="A5033" s="313" t="s">
        <v>1033</v>
      </c>
      <c r="B5033" s="315" t="s">
        <v>2182</v>
      </c>
      <c r="C5033" s="313" t="s">
        <v>420</v>
      </c>
      <c r="D5033" s="313" t="s">
        <v>1907</v>
      </c>
      <c r="E5033" s="603" t="s">
        <v>1244</v>
      </c>
      <c r="F5033" s="603"/>
      <c r="G5033" s="314" t="s">
        <v>422</v>
      </c>
      <c r="H5033" s="399">
        <v>1</v>
      </c>
      <c r="I5033" s="316"/>
      <c r="J5033" s="316">
        <v>14.31</v>
      </c>
      <c r="K5033" s="316">
        <v>14.31</v>
      </c>
    </row>
    <row r="5034" spans="1:11" ht="26.4" x14ac:dyDescent="0.3">
      <c r="A5034" s="408" t="s">
        <v>1034</v>
      </c>
      <c r="B5034" s="409" t="s">
        <v>1071</v>
      </c>
      <c r="C5034" s="408" t="s">
        <v>420</v>
      </c>
      <c r="D5034" s="408" t="s">
        <v>1072</v>
      </c>
      <c r="E5034" s="604" t="s">
        <v>1069</v>
      </c>
      <c r="F5034" s="604"/>
      <c r="G5034" s="410" t="s">
        <v>1070</v>
      </c>
      <c r="H5034" s="412">
        <v>7.0000000000000007E-2</v>
      </c>
      <c r="I5034" s="412">
        <v>0</v>
      </c>
      <c r="J5034" s="411">
        <v>3.95</v>
      </c>
      <c r="K5034" s="411">
        <v>0.27650000000000002</v>
      </c>
    </row>
    <row r="5035" spans="1:11" ht="15" customHeight="1" x14ac:dyDescent="0.3">
      <c r="A5035" s="408" t="s">
        <v>1034</v>
      </c>
      <c r="B5035" s="409" t="s">
        <v>1180</v>
      </c>
      <c r="C5035" s="408" t="s">
        <v>420</v>
      </c>
      <c r="D5035" s="408" t="s">
        <v>1181</v>
      </c>
      <c r="E5035" s="604" t="s">
        <v>1069</v>
      </c>
      <c r="F5035" s="604"/>
      <c r="G5035" s="410" t="s">
        <v>1070</v>
      </c>
      <c r="H5035" s="412">
        <v>7.0000000000000007E-2</v>
      </c>
      <c r="I5035" s="412">
        <v>0</v>
      </c>
      <c r="J5035" s="411">
        <v>3.91</v>
      </c>
      <c r="K5035" s="411">
        <v>0.2737</v>
      </c>
    </row>
    <row r="5036" spans="1:11" ht="14.25" customHeight="1" x14ac:dyDescent="0.3">
      <c r="A5036" s="400" t="s">
        <v>1038</v>
      </c>
      <c r="B5036" s="401" t="s">
        <v>768</v>
      </c>
      <c r="C5036" s="400" t="s">
        <v>420</v>
      </c>
      <c r="D5036" s="400" t="s">
        <v>1245</v>
      </c>
      <c r="E5036" s="605" t="s">
        <v>1039</v>
      </c>
      <c r="F5036" s="605"/>
      <c r="G5036" s="402" t="s">
        <v>1246</v>
      </c>
      <c r="H5036" s="403">
        <v>8.0000000000000002E-3</v>
      </c>
      <c r="I5036" s="403">
        <v>0</v>
      </c>
      <c r="J5036" s="404">
        <v>72.41</v>
      </c>
      <c r="K5036" s="404">
        <v>0.57928000000000002</v>
      </c>
    </row>
    <row r="5037" spans="1:11" ht="25.5" customHeight="1" x14ac:dyDescent="0.3">
      <c r="A5037" s="400" t="s">
        <v>1038</v>
      </c>
      <c r="B5037" s="401" t="s">
        <v>1247</v>
      </c>
      <c r="C5037" s="400" t="s">
        <v>420</v>
      </c>
      <c r="D5037" s="400" t="s">
        <v>1248</v>
      </c>
      <c r="E5037" s="605" t="s">
        <v>1039</v>
      </c>
      <c r="F5037" s="605"/>
      <c r="G5037" s="402" t="s">
        <v>1249</v>
      </c>
      <c r="H5037" s="403">
        <v>1.0999999999999999E-2</v>
      </c>
      <c r="I5037" s="403">
        <v>0</v>
      </c>
      <c r="J5037" s="404">
        <v>69.739999999999995</v>
      </c>
      <c r="K5037" s="404">
        <v>0.76714000000000004</v>
      </c>
    </row>
    <row r="5038" spans="1:11" ht="25.5" customHeight="1" x14ac:dyDescent="0.3">
      <c r="A5038" s="400" t="s">
        <v>1038</v>
      </c>
      <c r="B5038" s="401" t="s">
        <v>2492</v>
      </c>
      <c r="C5038" s="400" t="s">
        <v>420</v>
      </c>
      <c r="D5038" s="400" t="s">
        <v>2493</v>
      </c>
      <c r="E5038" s="605" t="s">
        <v>1039</v>
      </c>
      <c r="F5038" s="605"/>
      <c r="G5038" s="402" t="s">
        <v>422</v>
      </c>
      <c r="H5038" s="403">
        <v>1</v>
      </c>
      <c r="I5038" s="403">
        <v>0</v>
      </c>
      <c r="J5038" s="404">
        <v>9.89</v>
      </c>
      <c r="K5038" s="404">
        <v>9.89</v>
      </c>
    </row>
    <row r="5039" spans="1:11" ht="15" customHeight="1" x14ac:dyDescent="0.3">
      <c r="A5039" s="400" t="s">
        <v>1038</v>
      </c>
      <c r="B5039" s="401" t="s">
        <v>6480</v>
      </c>
      <c r="C5039" s="400" t="s">
        <v>420</v>
      </c>
      <c r="D5039" s="400" t="s">
        <v>6481</v>
      </c>
      <c r="E5039" s="605" t="s">
        <v>1053</v>
      </c>
      <c r="F5039" s="605"/>
      <c r="G5039" s="402" t="s">
        <v>1070</v>
      </c>
      <c r="H5039" s="403">
        <v>7.0000000000000007E-2</v>
      </c>
      <c r="I5039" s="403">
        <v>0</v>
      </c>
      <c r="J5039" s="404">
        <v>20.45</v>
      </c>
      <c r="K5039" s="404">
        <v>1.4315</v>
      </c>
    </row>
    <row r="5040" spans="1:11" ht="25.5" customHeight="1" x14ac:dyDescent="0.3">
      <c r="A5040" s="400" t="s">
        <v>1038</v>
      </c>
      <c r="B5040" s="401" t="s">
        <v>6251</v>
      </c>
      <c r="C5040" s="400" t="s">
        <v>420</v>
      </c>
      <c r="D5040" s="400" t="s">
        <v>6252</v>
      </c>
      <c r="E5040" s="605" t="s">
        <v>1053</v>
      </c>
      <c r="F5040" s="605"/>
      <c r="G5040" s="402" t="s">
        <v>1070</v>
      </c>
      <c r="H5040" s="403">
        <v>7.0000000000000007E-2</v>
      </c>
      <c r="I5040" s="403">
        <v>0</v>
      </c>
      <c r="J5040" s="404">
        <v>15.59</v>
      </c>
      <c r="K5040" s="404">
        <v>1.0912999999999999</v>
      </c>
    </row>
    <row r="5041" spans="1:11" ht="25.5" customHeight="1" x14ac:dyDescent="0.3">
      <c r="A5041" s="405"/>
      <c r="B5041" s="405"/>
      <c r="C5041" s="405"/>
      <c r="D5041" s="405"/>
      <c r="E5041" s="405" t="s">
        <v>1046</v>
      </c>
      <c r="F5041" s="406">
        <v>2.52</v>
      </c>
      <c r="G5041" s="405" t="s">
        <v>1047</v>
      </c>
      <c r="H5041" s="406">
        <v>0</v>
      </c>
      <c r="I5041" s="405" t="s">
        <v>1048</v>
      </c>
      <c r="J5041" s="406">
        <v>2.52</v>
      </c>
      <c r="K5041"/>
    </row>
    <row r="5042" spans="1:11" ht="14.25" customHeight="1" thickBot="1" x14ac:dyDescent="0.35">
      <c r="A5042" s="405"/>
      <c r="B5042" s="405"/>
      <c r="C5042" s="405"/>
      <c r="D5042" s="405"/>
      <c r="E5042" s="405" t="s">
        <v>1049</v>
      </c>
      <c r="F5042" s="406">
        <v>0</v>
      </c>
      <c r="G5042" s="405"/>
      <c r="H5042" s="606"/>
      <c r="I5042" s="606" t="s">
        <v>1050</v>
      </c>
      <c r="J5042" s="406">
        <v>14.31</v>
      </c>
      <c r="K5042"/>
    </row>
    <row r="5043" spans="1:11" ht="15.6" thickTop="1" x14ac:dyDescent="0.3">
      <c r="A5043" s="407"/>
      <c r="B5043" s="407"/>
      <c r="C5043" s="407"/>
      <c r="D5043" s="407"/>
      <c r="E5043" s="407"/>
      <c r="F5043" s="407"/>
      <c r="G5043" s="407"/>
      <c r="H5043" s="407"/>
      <c r="I5043" s="407"/>
      <c r="J5043" s="407"/>
      <c r="K5043" s="407"/>
    </row>
    <row r="5044" spans="1:11" ht="15" customHeight="1" x14ac:dyDescent="0.3">
      <c r="A5044" s="382" t="s">
        <v>2982</v>
      </c>
      <c r="B5044" s="312" t="s">
        <v>413</v>
      </c>
      <c r="C5044" s="382" t="s">
        <v>414</v>
      </c>
      <c r="D5044" s="382" t="s">
        <v>415</v>
      </c>
      <c r="E5044" s="586" t="s">
        <v>1029</v>
      </c>
      <c r="F5044" s="586"/>
      <c r="G5044" s="383" t="s">
        <v>416</v>
      </c>
      <c r="H5044" s="312" t="s">
        <v>1030</v>
      </c>
      <c r="I5044" s="312" t="s">
        <v>3016</v>
      </c>
      <c r="J5044" s="312" t="s">
        <v>1031</v>
      </c>
      <c r="K5044" s="312" t="s">
        <v>1032</v>
      </c>
    </row>
    <row r="5045" spans="1:11" ht="14.25" customHeight="1" x14ac:dyDescent="0.3">
      <c r="A5045" s="313" t="s">
        <v>1033</v>
      </c>
      <c r="B5045" s="315" t="s">
        <v>2214</v>
      </c>
      <c r="C5045" s="313" t="s">
        <v>431</v>
      </c>
      <c r="D5045" s="313" t="s">
        <v>6079</v>
      </c>
      <c r="E5045" s="603" t="s">
        <v>2552</v>
      </c>
      <c r="F5045" s="603"/>
      <c r="G5045" s="314" t="s">
        <v>4</v>
      </c>
      <c r="H5045" s="399">
        <v>1</v>
      </c>
      <c r="I5045" s="316"/>
      <c r="J5045" s="316">
        <v>50.63</v>
      </c>
      <c r="K5045" s="316">
        <v>50.63</v>
      </c>
    </row>
    <row r="5046" spans="1:11" ht="12.75" customHeight="1" x14ac:dyDescent="0.3">
      <c r="A5046" s="400" t="s">
        <v>1038</v>
      </c>
      <c r="B5046" s="401" t="s">
        <v>1090</v>
      </c>
      <c r="C5046" s="400" t="s">
        <v>431</v>
      </c>
      <c r="D5046" s="400" t="s">
        <v>1091</v>
      </c>
      <c r="E5046" s="605" t="s">
        <v>1053</v>
      </c>
      <c r="F5046" s="605"/>
      <c r="G5046" s="402" t="s">
        <v>6</v>
      </c>
      <c r="H5046" s="403">
        <v>0.5</v>
      </c>
      <c r="I5046" s="403">
        <v>0</v>
      </c>
      <c r="J5046" s="404">
        <v>20.32</v>
      </c>
      <c r="K5046" s="404">
        <v>10.16</v>
      </c>
    </row>
    <row r="5047" spans="1:11" ht="15" x14ac:dyDescent="0.3">
      <c r="A5047" s="400" t="s">
        <v>1038</v>
      </c>
      <c r="B5047" s="401" t="s">
        <v>2553</v>
      </c>
      <c r="C5047" s="400" t="s">
        <v>431</v>
      </c>
      <c r="D5047" s="400" t="s">
        <v>2554</v>
      </c>
      <c r="E5047" s="605" t="s">
        <v>1053</v>
      </c>
      <c r="F5047" s="605"/>
      <c r="G5047" s="402" t="s">
        <v>6</v>
      </c>
      <c r="H5047" s="403">
        <v>0.5</v>
      </c>
      <c r="I5047" s="403">
        <v>0</v>
      </c>
      <c r="J5047" s="404">
        <v>29.39</v>
      </c>
      <c r="K5047" s="404">
        <v>14.695</v>
      </c>
    </row>
    <row r="5048" spans="1:11" ht="15" customHeight="1" x14ac:dyDescent="0.3">
      <c r="A5048" s="400" t="s">
        <v>1038</v>
      </c>
      <c r="B5048" s="401" t="s">
        <v>2555</v>
      </c>
      <c r="C5048" s="400" t="s">
        <v>431</v>
      </c>
      <c r="D5048" s="400" t="s">
        <v>2556</v>
      </c>
      <c r="E5048" s="605" t="s">
        <v>1039</v>
      </c>
      <c r="F5048" s="605"/>
      <c r="G5048" s="402" t="s">
        <v>4</v>
      </c>
      <c r="H5048" s="403">
        <v>1</v>
      </c>
      <c r="I5048" s="403">
        <v>0</v>
      </c>
      <c r="J5048" s="404">
        <v>25.77</v>
      </c>
      <c r="K5048" s="404">
        <v>25.77</v>
      </c>
    </row>
    <row r="5049" spans="1:11" ht="25.5" customHeight="1" x14ac:dyDescent="0.3">
      <c r="A5049" s="405"/>
      <c r="B5049" s="405"/>
      <c r="C5049" s="405"/>
      <c r="D5049" s="405"/>
      <c r="E5049" s="405" t="s">
        <v>1046</v>
      </c>
      <c r="F5049" s="406">
        <v>24.86</v>
      </c>
      <c r="G5049" s="405" t="s">
        <v>1047</v>
      </c>
      <c r="H5049" s="406">
        <v>0</v>
      </c>
      <c r="I5049" s="405" t="s">
        <v>1048</v>
      </c>
      <c r="J5049" s="406">
        <v>24.86</v>
      </c>
      <c r="K5049"/>
    </row>
    <row r="5050" spans="1:11" ht="25.5" customHeight="1" thickBot="1" x14ac:dyDescent="0.35">
      <c r="A5050" s="405"/>
      <c r="B5050" s="405"/>
      <c r="C5050" s="405"/>
      <c r="D5050" s="405"/>
      <c r="E5050" s="405" t="s">
        <v>1049</v>
      </c>
      <c r="F5050" s="406">
        <v>0</v>
      </c>
      <c r="G5050" s="405"/>
      <c r="H5050" s="606"/>
      <c r="I5050" s="606" t="s">
        <v>1050</v>
      </c>
      <c r="J5050" s="406">
        <v>50.63</v>
      </c>
      <c r="K5050"/>
    </row>
    <row r="5051" spans="1:11" ht="12.75" customHeight="1" thickTop="1" x14ac:dyDescent="0.3">
      <c r="A5051" s="407"/>
      <c r="B5051" s="407"/>
      <c r="C5051" s="407"/>
      <c r="D5051" s="407"/>
      <c r="E5051" s="407"/>
      <c r="F5051" s="407"/>
      <c r="G5051" s="407"/>
      <c r="H5051" s="407"/>
      <c r="I5051" s="407"/>
      <c r="J5051" s="407"/>
      <c r="K5051" s="407"/>
    </row>
    <row r="5052" spans="1:11" ht="30" customHeight="1" x14ac:dyDescent="0.3">
      <c r="A5052" s="382" t="s">
        <v>2983</v>
      </c>
      <c r="B5052" s="312" t="s">
        <v>413</v>
      </c>
      <c r="C5052" s="382" t="s">
        <v>414</v>
      </c>
      <c r="D5052" s="382" t="s">
        <v>415</v>
      </c>
      <c r="E5052" s="586" t="s">
        <v>1029</v>
      </c>
      <c r="F5052" s="586"/>
      <c r="G5052" s="383" t="s">
        <v>416</v>
      </c>
      <c r="H5052" s="312" t="s">
        <v>1030</v>
      </c>
      <c r="I5052" s="312" t="s">
        <v>3016</v>
      </c>
      <c r="J5052" s="312" t="s">
        <v>1031</v>
      </c>
      <c r="K5052" s="312" t="s">
        <v>1032</v>
      </c>
    </row>
    <row r="5053" spans="1:11" ht="15" customHeight="1" x14ac:dyDescent="0.3">
      <c r="A5053" s="313" t="s">
        <v>1033</v>
      </c>
      <c r="B5053" s="315" t="s">
        <v>3975</v>
      </c>
      <c r="C5053" s="313" t="s">
        <v>395</v>
      </c>
      <c r="D5053" s="313" t="s">
        <v>6080</v>
      </c>
      <c r="E5053" s="603" t="s">
        <v>7885</v>
      </c>
      <c r="F5053" s="603"/>
      <c r="G5053" s="314" t="s">
        <v>4</v>
      </c>
      <c r="H5053" s="399">
        <v>1</v>
      </c>
      <c r="I5053" s="316"/>
      <c r="J5053" s="316">
        <v>143</v>
      </c>
      <c r="K5053" s="316">
        <v>143</v>
      </c>
    </row>
    <row r="5054" spans="1:11" ht="14.25" customHeight="1" x14ac:dyDescent="0.3">
      <c r="A5054" s="408" t="s">
        <v>1034</v>
      </c>
      <c r="B5054" s="409" t="s">
        <v>1113</v>
      </c>
      <c r="C5054" s="408" t="s">
        <v>395</v>
      </c>
      <c r="D5054" s="408" t="s">
        <v>129</v>
      </c>
      <c r="E5054" s="604" t="s">
        <v>7768</v>
      </c>
      <c r="F5054" s="604"/>
      <c r="G5054" s="410" t="s">
        <v>6</v>
      </c>
      <c r="H5054" s="412">
        <v>0.47770000000000001</v>
      </c>
      <c r="I5054" s="412">
        <v>0</v>
      </c>
      <c r="J5054" s="411">
        <v>33.450000000000003</v>
      </c>
      <c r="K5054" s="411">
        <v>15.979065</v>
      </c>
    </row>
    <row r="5055" spans="1:11" ht="14.25" customHeight="1" x14ac:dyDescent="0.3">
      <c r="A5055" s="408" t="s">
        <v>1034</v>
      </c>
      <c r="B5055" s="409" t="s">
        <v>1112</v>
      </c>
      <c r="C5055" s="408" t="s">
        <v>395</v>
      </c>
      <c r="D5055" s="408" t="s">
        <v>137</v>
      </c>
      <c r="E5055" s="604" t="s">
        <v>7768</v>
      </c>
      <c r="F5055" s="604"/>
      <c r="G5055" s="410" t="s">
        <v>6</v>
      </c>
      <c r="H5055" s="412">
        <v>0.47770000000000001</v>
      </c>
      <c r="I5055" s="412">
        <v>0</v>
      </c>
      <c r="J5055" s="411">
        <v>40.299999999999997</v>
      </c>
      <c r="K5055" s="411">
        <v>19.25131</v>
      </c>
    </row>
    <row r="5056" spans="1:11" ht="15" x14ac:dyDescent="0.3">
      <c r="A5056" s="400" t="s">
        <v>1038</v>
      </c>
      <c r="B5056" s="401" t="s">
        <v>2587</v>
      </c>
      <c r="C5056" s="400" t="s">
        <v>395</v>
      </c>
      <c r="D5056" s="400" t="s">
        <v>349</v>
      </c>
      <c r="E5056" s="605" t="s">
        <v>1039</v>
      </c>
      <c r="F5056" s="605"/>
      <c r="G5056" s="402" t="s">
        <v>4</v>
      </c>
      <c r="H5056" s="403">
        <v>6.6799999999999998E-2</v>
      </c>
      <c r="I5056" s="403">
        <v>0</v>
      </c>
      <c r="J5056" s="404">
        <v>79.17</v>
      </c>
      <c r="K5056" s="404">
        <v>5.2885559999999998</v>
      </c>
    </row>
    <row r="5057" spans="1:11" ht="25.5" customHeight="1" x14ac:dyDescent="0.3">
      <c r="A5057" s="400" t="s">
        <v>1038</v>
      </c>
      <c r="B5057" s="401" t="s">
        <v>4256</v>
      </c>
      <c r="C5057" s="400" t="s">
        <v>395</v>
      </c>
      <c r="D5057" s="400" t="s">
        <v>4257</v>
      </c>
      <c r="E5057" s="605" t="s">
        <v>1039</v>
      </c>
      <c r="F5057" s="605"/>
      <c r="G5057" s="402" t="s">
        <v>4</v>
      </c>
      <c r="H5057" s="403">
        <v>1</v>
      </c>
      <c r="I5057" s="403">
        <v>0</v>
      </c>
      <c r="J5057" s="404">
        <v>93.11</v>
      </c>
      <c r="K5057" s="404">
        <v>93.11</v>
      </c>
    </row>
    <row r="5058" spans="1:11" ht="25.5" customHeight="1" x14ac:dyDescent="0.3">
      <c r="A5058" s="400" t="s">
        <v>1038</v>
      </c>
      <c r="B5058" s="401" t="s">
        <v>2588</v>
      </c>
      <c r="C5058" s="400" t="s">
        <v>395</v>
      </c>
      <c r="D5058" s="400" t="s">
        <v>350</v>
      </c>
      <c r="E5058" s="605" t="s">
        <v>1039</v>
      </c>
      <c r="F5058" s="605"/>
      <c r="G5058" s="402" t="s">
        <v>4</v>
      </c>
      <c r="H5058" s="403">
        <v>0.104</v>
      </c>
      <c r="I5058" s="403">
        <v>0</v>
      </c>
      <c r="J5058" s="404">
        <v>89.7</v>
      </c>
      <c r="K5058" s="404">
        <v>9.3287999999999993</v>
      </c>
    </row>
    <row r="5059" spans="1:11" ht="25.5" customHeight="1" x14ac:dyDescent="0.3">
      <c r="A5059" s="400" t="s">
        <v>1038</v>
      </c>
      <c r="B5059" s="401" t="s">
        <v>1372</v>
      </c>
      <c r="C5059" s="400" t="s">
        <v>395</v>
      </c>
      <c r="D5059" s="400" t="s">
        <v>266</v>
      </c>
      <c r="E5059" s="605" t="s">
        <v>1039</v>
      </c>
      <c r="F5059" s="605"/>
      <c r="G5059" s="402" t="s">
        <v>4</v>
      </c>
      <c r="H5059" s="403">
        <v>1.84E-2</v>
      </c>
      <c r="I5059" s="403">
        <v>0</v>
      </c>
      <c r="J5059" s="404">
        <v>2.09</v>
      </c>
      <c r="K5059" s="404">
        <v>3.8455999999999997E-2</v>
      </c>
    </row>
    <row r="5060" spans="1:11" ht="25.5" customHeight="1" x14ac:dyDescent="0.3">
      <c r="A5060" s="405"/>
      <c r="B5060" s="405"/>
      <c r="C5060" s="405"/>
      <c r="D5060" s="405"/>
      <c r="E5060" s="405" t="s">
        <v>1046</v>
      </c>
      <c r="F5060" s="406">
        <v>25.94</v>
      </c>
      <c r="G5060" s="405" t="s">
        <v>1047</v>
      </c>
      <c r="H5060" s="406">
        <v>0.01</v>
      </c>
      <c r="I5060" s="405" t="s">
        <v>1048</v>
      </c>
      <c r="J5060" s="406">
        <v>25.95</v>
      </c>
      <c r="K5060"/>
    </row>
    <row r="5061" spans="1:11" ht="15.6" thickBot="1" x14ac:dyDescent="0.35">
      <c r="A5061" s="405"/>
      <c r="B5061" s="405"/>
      <c r="C5061" s="405"/>
      <c r="D5061" s="405"/>
      <c r="E5061" s="405" t="s">
        <v>1049</v>
      </c>
      <c r="F5061" s="406">
        <v>0</v>
      </c>
      <c r="G5061" s="405"/>
      <c r="H5061" s="606"/>
      <c r="I5061" s="606" t="s">
        <v>1050</v>
      </c>
      <c r="J5061" s="406">
        <v>143</v>
      </c>
      <c r="K5061"/>
    </row>
    <row r="5062" spans="1:11" ht="15" customHeight="1" thickTop="1" x14ac:dyDescent="0.3">
      <c r="A5062" s="407"/>
      <c r="B5062" s="407"/>
      <c r="C5062" s="407"/>
      <c r="D5062" s="407"/>
      <c r="E5062" s="407"/>
      <c r="F5062" s="407"/>
      <c r="G5062" s="407"/>
      <c r="H5062" s="407"/>
      <c r="I5062" s="407"/>
      <c r="J5062" s="407"/>
      <c r="K5062" s="407"/>
    </row>
    <row r="5063" spans="1:11" ht="30" customHeight="1" x14ac:dyDescent="0.3">
      <c r="A5063" s="382" t="s">
        <v>2990</v>
      </c>
      <c r="B5063" s="312" t="s">
        <v>413</v>
      </c>
      <c r="C5063" s="382" t="s">
        <v>414</v>
      </c>
      <c r="D5063" s="382" t="s">
        <v>415</v>
      </c>
      <c r="E5063" s="586" t="s">
        <v>1029</v>
      </c>
      <c r="F5063" s="586"/>
      <c r="G5063" s="383" t="s">
        <v>416</v>
      </c>
      <c r="H5063" s="312" t="s">
        <v>1030</v>
      </c>
      <c r="I5063" s="312" t="s">
        <v>3016</v>
      </c>
      <c r="J5063" s="312" t="s">
        <v>1031</v>
      </c>
      <c r="K5063" s="312" t="s">
        <v>1032</v>
      </c>
    </row>
    <row r="5064" spans="1:11" ht="14.25" customHeight="1" x14ac:dyDescent="0.3">
      <c r="A5064" s="313" t="s">
        <v>1033</v>
      </c>
      <c r="B5064" s="315" t="s">
        <v>2979</v>
      </c>
      <c r="C5064" s="313" t="s">
        <v>5902</v>
      </c>
      <c r="D5064" s="313" t="s">
        <v>2773</v>
      </c>
      <c r="E5064" s="603">
        <v>9.01</v>
      </c>
      <c r="F5064" s="603"/>
      <c r="G5064" s="314" t="s">
        <v>675</v>
      </c>
      <c r="H5064" s="399">
        <v>1</v>
      </c>
      <c r="I5064" s="316"/>
      <c r="J5064" s="316">
        <v>109.59</v>
      </c>
      <c r="K5064" s="316">
        <v>109.59</v>
      </c>
    </row>
    <row r="5065" spans="1:11" ht="26.4" x14ac:dyDescent="0.3">
      <c r="A5065" s="400" t="s">
        <v>1038</v>
      </c>
      <c r="B5065" s="401" t="s">
        <v>1616</v>
      </c>
      <c r="C5065" s="400" t="s">
        <v>5902</v>
      </c>
      <c r="D5065" s="400" t="s">
        <v>1617</v>
      </c>
      <c r="E5065" s="605" t="s">
        <v>1053</v>
      </c>
      <c r="F5065" s="605"/>
      <c r="G5065" s="402" t="s">
        <v>6</v>
      </c>
      <c r="H5065" s="403">
        <v>1.3</v>
      </c>
      <c r="I5065" s="403">
        <v>0</v>
      </c>
      <c r="J5065" s="404">
        <v>27.64</v>
      </c>
      <c r="K5065" s="404">
        <v>35.932000000000002</v>
      </c>
    </row>
    <row r="5066" spans="1:11" ht="15" customHeight="1" x14ac:dyDescent="0.3">
      <c r="A5066" s="400" t="s">
        <v>1038</v>
      </c>
      <c r="B5066" s="401" t="s">
        <v>1618</v>
      </c>
      <c r="C5066" s="400" t="s">
        <v>5902</v>
      </c>
      <c r="D5066" s="400" t="s">
        <v>1619</v>
      </c>
      <c r="E5066" s="605" t="s">
        <v>1053</v>
      </c>
      <c r="F5066" s="605"/>
      <c r="G5066" s="402" t="s">
        <v>6</v>
      </c>
      <c r="H5066" s="403">
        <v>1.3</v>
      </c>
      <c r="I5066" s="403">
        <v>0</v>
      </c>
      <c r="J5066" s="404">
        <v>22.71</v>
      </c>
      <c r="K5066" s="404">
        <v>29.523</v>
      </c>
    </row>
    <row r="5067" spans="1:11" ht="26.4" x14ac:dyDescent="0.3">
      <c r="A5067" s="400" t="s">
        <v>1038</v>
      </c>
      <c r="B5067" s="401" t="s">
        <v>1623</v>
      </c>
      <c r="C5067" s="400" t="s">
        <v>5902</v>
      </c>
      <c r="D5067" s="400" t="s">
        <v>1624</v>
      </c>
      <c r="E5067" s="605" t="s">
        <v>1039</v>
      </c>
      <c r="F5067" s="605"/>
      <c r="G5067" s="402" t="s">
        <v>7</v>
      </c>
      <c r="H5067" s="403">
        <v>0.5</v>
      </c>
      <c r="I5067" s="403">
        <v>0</v>
      </c>
      <c r="J5067" s="404">
        <v>7.82</v>
      </c>
      <c r="K5067" s="404">
        <v>3.91</v>
      </c>
    </row>
    <row r="5068" spans="1:11" ht="12.75" customHeight="1" x14ac:dyDescent="0.3">
      <c r="A5068" s="400" t="s">
        <v>1038</v>
      </c>
      <c r="B5068" s="401" t="s">
        <v>1625</v>
      </c>
      <c r="C5068" s="400" t="s">
        <v>5902</v>
      </c>
      <c r="D5068" s="400" t="s">
        <v>1626</v>
      </c>
      <c r="E5068" s="605" t="s">
        <v>1039</v>
      </c>
      <c r="F5068" s="605"/>
      <c r="G5068" s="402" t="s">
        <v>675</v>
      </c>
      <c r="H5068" s="403">
        <v>0.3</v>
      </c>
      <c r="I5068" s="403">
        <v>0</v>
      </c>
      <c r="J5068" s="404">
        <v>110.72</v>
      </c>
      <c r="K5068" s="404">
        <v>33.216000000000001</v>
      </c>
    </row>
    <row r="5069" spans="1:11" ht="25.5" customHeight="1" x14ac:dyDescent="0.3">
      <c r="A5069" s="400" t="s">
        <v>1038</v>
      </c>
      <c r="B5069" s="401" t="s">
        <v>1627</v>
      </c>
      <c r="C5069" s="400" t="s">
        <v>5902</v>
      </c>
      <c r="D5069" s="400" t="s">
        <v>1628</v>
      </c>
      <c r="E5069" s="605" t="s">
        <v>1039</v>
      </c>
      <c r="F5069" s="605"/>
      <c r="G5069" s="402" t="s">
        <v>3</v>
      </c>
      <c r="H5069" s="403">
        <v>0.15</v>
      </c>
      <c r="I5069" s="403">
        <v>0</v>
      </c>
      <c r="J5069" s="404">
        <v>9.9</v>
      </c>
      <c r="K5069" s="404">
        <v>1.4850000000000001</v>
      </c>
    </row>
    <row r="5070" spans="1:11" ht="25.5" customHeight="1" x14ac:dyDescent="0.3">
      <c r="A5070" s="400" t="s">
        <v>1038</v>
      </c>
      <c r="B5070" s="401" t="s">
        <v>1629</v>
      </c>
      <c r="C5070" s="400" t="s">
        <v>5902</v>
      </c>
      <c r="D5070" s="400" t="s">
        <v>1630</v>
      </c>
      <c r="E5070" s="605" t="s">
        <v>1039</v>
      </c>
      <c r="F5070" s="605"/>
      <c r="G5070" s="402" t="s">
        <v>8</v>
      </c>
      <c r="H5070" s="403">
        <v>0.4</v>
      </c>
      <c r="I5070" s="403">
        <v>0</v>
      </c>
      <c r="J5070" s="404">
        <v>13.82</v>
      </c>
      <c r="K5070" s="404">
        <v>5.5279999999999996</v>
      </c>
    </row>
    <row r="5071" spans="1:11" ht="12.75" customHeight="1" x14ac:dyDescent="0.3">
      <c r="A5071" s="405"/>
      <c r="B5071" s="405"/>
      <c r="C5071" s="405"/>
      <c r="D5071" s="405"/>
      <c r="E5071" s="405" t="s">
        <v>1046</v>
      </c>
      <c r="F5071" s="406">
        <v>65.45</v>
      </c>
      <c r="G5071" s="405" t="s">
        <v>1047</v>
      </c>
      <c r="H5071" s="406">
        <v>0</v>
      </c>
      <c r="I5071" s="405" t="s">
        <v>1048</v>
      </c>
      <c r="J5071" s="406">
        <v>65.45</v>
      </c>
      <c r="K5071"/>
    </row>
    <row r="5072" spans="1:11" ht="15.6" thickBot="1" x14ac:dyDescent="0.35">
      <c r="A5072" s="405"/>
      <c r="B5072" s="405"/>
      <c r="C5072" s="405"/>
      <c r="D5072" s="405"/>
      <c r="E5072" s="405" t="s">
        <v>1049</v>
      </c>
      <c r="F5072" s="406">
        <v>0</v>
      </c>
      <c r="G5072" s="405"/>
      <c r="H5072" s="606"/>
      <c r="I5072" s="606" t="s">
        <v>1050</v>
      </c>
      <c r="J5072" s="406">
        <v>109.59</v>
      </c>
      <c r="K5072"/>
    </row>
    <row r="5073" spans="1:11" ht="15.6" thickTop="1" x14ac:dyDescent="0.3">
      <c r="A5073" s="407"/>
      <c r="B5073" s="407"/>
      <c r="C5073" s="407"/>
      <c r="D5073" s="407"/>
      <c r="E5073" s="407"/>
      <c r="F5073" s="407"/>
      <c r="G5073" s="407"/>
      <c r="H5073" s="407"/>
      <c r="I5073" s="407"/>
      <c r="J5073" s="407"/>
      <c r="K5073" s="407"/>
    </row>
    <row r="5074" spans="1:11" ht="14.25" customHeight="1" x14ac:dyDescent="0.3">
      <c r="A5074" s="382" t="s">
        <v>2993</v>
      </c>
      <c r="B5074" s="312" t="s">
        <v>413</v>
      </c>
      <c r="C5074" s="382" t="s">
        <v>414</v>
      </c>
      <c r="D5074" s="382" t="s">
        <v>415</v>
      </c>
      <c r="E5074" s="586" t="s">
        <v>1029</v>
      </c>
      <c r="F5074" s="586"/>
      <c r="G5074" s="383" t="s">
        <v>416</v>
      </c>
      <c r="H5074" s="312" t="s">
        <v>1030</v>
      </c>
      <c r="I5074" s="312" t="s">
        <v>3016</v>
      </c>
      <c r="J5074" s="312" t="s">
        <v>1031</v>
      </c>
      <c r="K5074" s="312" t="s">
        <v>1032</v>
      </c>
    </row>
    <row r="5075" spans="1:11" ht="15" customHeight="1" x14ac:dyDescent="0.3">
      <c r="A5075" s="313" t="s">
        <v>1033</v>
      </c>
      <c r="B5075" s="315" t="s">
        <v>3976</v>
      </c>
      <c r="C5075" s="313" t="s">
        <v>395</v>
      </c>
      <c r="D5075" s="313" t="s">
        <v>6081</v>
      </c>
      <c r="E5075" s="603" t="s">
        <v>7870</v>
      </c>
      <c r="F5075" s="603"/>
      <c r="G5075" s="314" t="s">
        <v>7</v>
      </c>
      <c r="H5075" s="399">
        <v>1</v>
      </c>
      <c r="I5075" s="316"/>
      <c r="J5075" s="316">
        <v>116.95</v>
      </c>
      <c r="K5075" s="316">
        <v>116.95</v>
      </c>
    </row>
    <row r="5076" spans="1:11" ht="25.5" customHeight="1" x14ac:dyDescent="0.3">
      <c r="A5076" s="408" t="s">
        <v>1034</v>
      </c>
      <c r="B5076" s="409" t="s">
        <v>1113</v>
      </c>
      <c r="C5076" s="408" t="s">
        <v>395</v>
      </c>
      <c r="D5076" s="408" t="s">
        <v>129</v>
      </c>
      <c r="E5076" s="604" t="s">
        <v>7768</v>
      </c>
      <c r="F5076" s="604"/>
      <c r="G5076" s="410" t="s">
        <v>6</v>
      </c>
      <c r="H5076" s="412">
        <v>0.29563200000000001</v>
      </c>
      <c r="I5076" s="412">
        <v>0</v>
      </c>
      <c r="J5076" s="411">
        <v>33.450000000000003</v>
      </c>
      <c r="K5076" s="411">
        <v>9.8888903999999993</v>
      </c>
    </row>
    <row r="5077" spans="1:11" ht="26.4" x14ac:dyDescent="0.3">
      <c r="A5077" s="408" t="s">
        <v>1034</v>
      </c>
      <c r="B5077" s="409" t="s">
        <v>1112</v>
      </c>
      <c r="C5077" s="408" t="s">
        <v>395</v>
      </c>
      <c r="D5077" s="408" t="s">
        <v>137</v>
      </c>
      <c r="E5077" s="604" t="s">
        <v>7768</v>
      </c>
      <c r="F5077" s="604"/>
      <c r="G5077" s="410" t="s">
        <v>6</v>
      </c>
      <c r="H5077" s="412">
        <v>0.29563200000000001</v>
      </c>
      <c r="I5077" s="412">
        <v>0</v>
      </c>
      <c r="J5077" s="411">
        <v>40.299999999999997</v>
      </c>
      <c r="K5077" s="411">
        <v>11.9139696</v>
      </c>
    </row>
    <row r="5078" spans="1:11" ht="12.75" customHeight="1" x14ac:dyDescent="0.3">
      <c r="A5078" s="400" t="s">
        <v>1038</v>
      </c>
      <c r="B5078" s="401" t="s">
        <v>4220</v>
      </c>
      <c r="C5078" s="400" t="s">
        <v>395</v>
      </c>
      <c r="D5078" s="400" t="s">
        <v>4221</v>
      </c>
      <c r="E5078" s="605" t="s">
        <v>1039</v>
      </c>
      <c r="F5078" s="605"/>
      <c r="G5078" s="402" t="s">
        <v>7</v>
      </c>
      <c r="H5078" s="403">
        <v>1.0357749999999999</v>
      </c>
      <c r="I5078" s="403">
        <v>0</v>
      </c>
      <c r="J5078" s="404">
        <v>91.86</v>
      </c>
      <c r="K5078" s="404">
        <v>95.146291500000004</v>
      </c>
    </row>
    <row r="5079" spans="1:11" ht="12.75" customHeight="1" x14ac:dyDescent="0.3">
      <c r="A5079" s="405"/>
      <c r="B5079" s="405"/>
      <c r="C5079" s="405"/>
      <c r="D5079" s="405"/>
      <c r="E5079" s="405" t="s">
        <v>1046</v>
      </c>
      <c r="F5079" s="406">
        <v>16.059999999999999</v>
      </c>
      <c r="G5079" s="405" t="s">
        <v>1047</v>
      </c>
      <c r="H5079" s="406">
        <v>0</v>
      </c>
      <c r="I5079" s="405" t="s">
        <v>1048</v>
      </c>
      <c r="J5079" s="406">
        <v>16.059999999999999</v>
      </c>
      <c r="K5079"/>
    </row>
    <row r="5080" spans="1:11" ht="15.6" thickBot="1" x14ac:dyDescent="0.35">
      <c r="A5080" s="405"/>
      <c r="B5080" s="405"/>
      <c r="C5080" s="405"/>
      <c r="D5080" s="405"/>
      <c r="E5080" s="405" t="s">
        <v>1049</v>
      </c>
      <c r="F5080" s="406">
        <v>0</v>
      </c>
      <c r="G5080" s="405"/>
      <c r="H5080" s="606"/>
      <c r="I5080" s="606" t="s">
        <v>1050</v>
      </c>
      <c r="J5080" s="406">
        <v>116.95</v>
      </c>
      <c r="K5080"/>
    </row>
    <row r="5081" spans="1:11" ht="17.399999999999999" customHeight="1" thickTop="1" x14ac:dyDescent="0.3">
      <c r="A5081" s="407"/>
      <c r="B5081" s="407"/>
      <c r="C5081" s="407"/>
      <c r="D5081" s="407"/>
      <c r="E5081" s="407"/>
      <c r="F5081" s="407"/>
      <c r="G5081" s="407"/>
      <c r="H5081" s="407"/>
      <c r="I5081" s="407"/>
      <c r="J5081" s="407"/>
      <c r="K5081" s="407"/>
    </row>
    <row r="5082" spans="1:11" ht="15" x14ac:dyDescent="0.3">
      <c r="A5082" s="382" t="s">
        <v>2994</v>
      </c>
      <c r="B5082" s="312" t="s">
        <v>413</v>
      </c>
      <c r="C5082" s="382" t="s">
        <v>414</v>
      </c>
      <c r="D5082" s="382" t="s">
        <v>415</v>
      </c>
      <c r="E5082" s="586" t="s">
        <v>1029</v>
      </c>
      <c r="F5082" s="586"/>
      <c r="G5082" s="383" t="s">
        <v>416</v>
      </c>
      <c r="H5082" s="312" t="s">
        <v>1030</v>
      </c>
      <c r="I5082" s="312" t="s">
        <v>3016</v>
      </c>
      <c r="J5082" s="312" t="s">
        <v>1031</v>
      </c>
      <c r="K5082" s="312" t="s">
        <v>1032</v>
      </c>
    </row>
    <row r="5083" spans="1:11" ht="14.25" customHeight="1" x14ac:dyDescent="0.3">
      <c r="A5083" s="313" t="s">
        <v>1033</v>
      </c>
      <c r="B5083" s="315" t="s">
        <v>3977</v>
      </c>
      <c r="C5083" s="313" t="s">
        <v>395</v>
      </c>
      <c r="D5083" s="313" t="s">
        <v>6082</v>
      </c>
      <c r="E5083" s="603" t="s">
        <v>7870</v>
      </c>
      <c r="F5083" s="603"/>
      <c r="G5083" s="314" t="s">
        <v>7</v>
      </c>
      <c r="H5083" s="399">
        <v>1</v>
      </c>
      <c r="I5083" s="316"/>
      <c r="J5083" s="316">
        <v>150.57</v>
      </c>
      <c r="K5083" s="316">
        <v>150.57</v>
      </c>
    </row>
    <row r="5084" spans="1:11" ht="15" customHeight="1" x14ac:dyDescent="0.3">
      <c r="A5084" s="408" t="s">
        <v>1034</v>
      </c>
      <c r="B5084" s="409" t="s">
        <v>1113</v>
      </c>
      <c r="C5084" s="408" t="s">
        <v>395</v>
      </c>
      <c r="D5084" s="408" t="s">
        <v>129</v>
      </c>
      <c r="E5084" s="604" t="s">
        <v>7768</v>
      </c>
      <c r="F5084" s="604"/>
      <c r="G5084" s="410" t="s">
        <v>6</v>
      </c>
      <c r="H5084" s="412">
        <v>0.305392</v>
      </c>
      <c r="I5084" s="412">
        <v>0</v>
      </c>
      <c r="J5084" s="411">
        <v>33.450000000000003</v>
      </c>
      <c r="K5084" s="411">
        <v>10.2153624</v>
      </c>
    </row>
    <row r="5085" spans="1:11" ht="30" customHeight="1" x14ac:dyDescent="0.3">
      <c r="A5085" s="408" t="s">
        <v>1034</v>
      </c>
      <c r="B5085" s="409" t="s">
        <v>1112</v>
      </c>
      <c r="C5085" s="408" t="s">
        <v>395</v>
      </c>
      <c r="D5085" s="408" t="s">
        <v>137</v>
      </c>
      <c r="E5085" s="604" t="s">
        <v>7768</v>
      </c>
      <c r="F5085" s="604"/>
      <c r="G5085" s="410" t="s">
        <v>6</v>
      </c>
      <c r="H5085" s="412">
        <v>0.305392</v>
      </c>
      <c r="I5085" s="412">
        <v>0</v>
      </c>
      <c r="J5085" s="411">
        <v>40.299999999999997</v>
      </c>
      <c r="K5085" s="411">
        <v>12.3072976</v>
      </c>
    </row>
    <row r="5086" spans="1:11" ht="30" customHeight="1" x14ac:dyDescent="0.3">
      <c r="A5086" s="400" t="s">
        <v>1038</v>
      </c>
      <c r="B5086" s="401" t="s">
        <v>4191</v>
      </c>
      <c r="C5086" s="400" t="s">
        <v>395</v>
      </c>
      <c r="D5086" s="400" t="s">
        <v>4192</v>
      </c>
      <c r="E5086" s="605" t="s">
        <v>1039</v>
      </c>
      <c r="F5086" s="605"/>
      <c r="G5086" s="402" t="s">
        <v>7</v>
      </c>
      <c r="H5086" s="403">
        <v>1.0357749999999999</v>
      </c>
      <c r="I5086" s="403">
        <v>0</v>
      </c>
      <c r="J5086" s="404">
        <v>123.62</v>
      </c>
      <c r="K5086" s="404">
        <v>128.0425055</v>
      </c>
    </row>
    <row r="5087" spans="1:11" ht="12.75" customHeight="1" x14ac:dyDescent="0.3">
      <c r="A5087" s="405"/>
      <c r="B5087" s="405"/>
      <c r="C5087" s="405"/>
      <c r="D5087" s="405"/>
      <c r="E5087" s="405" t="s">
        <v>1046</v>
      </c>
      <c r="F5087" s="406">
        <v>16.59</v>
      </c>
      <c r="G5087" s="405" t="s">
        <v>1047</v>
      </c>
      <c r="H5087" s="406">
        <v>0</v>
      </c>
      <c r="I5087" s="405" t="s">
        <v>1048</v>
      </c>
      <c r="J5087" s="406">
        <v>16.59</v>
      </c>
      <c r="K5087"/>
    </row>
    <row r="5088" spans="1:11" ht="15" customHeight="1" thickBot="1" x14ac:dyDescent="0.35">
      <c r="A5088" s="405"/>
      <c r="B5088" s="405"/>
      <c r="C5088" s="405"/>
      <c r="D5088" s="405"/>
      <c r="E5088" s="405" t="s">
        <v>1049</v>
      </c>
      <c r="F5088" s="406">
        <v>0</v>
      </c>
      <c r="G5088" s="405"/>
      <c r="H5088" s="606"/>
      <c r="I5088" s="606" t="s">
        <v>1050</v>
      </c>
      <c r="J5088" s="406">
        <v>150.57</v>
      </c>
      <c r="K5088"/>
    </row>
    <row r="5089" spans="1:11" ht="25.5" customHeight="1" thickTop="1" x14ac:dyDescent="0.3">
      <c r="A5089" s="407"/>
      <c r="B5089" s="407"/>
      <c r="C5089" s="407"/>
      <c r="D5089" s="407"/>
      <c r="E5089" s="407"/>
      <c r="F5089" s="407"/>
      <c r="G5089" s="407"/>
      <c r="H5089" s="407"/>
      <c r="I5089" s="407"/>
      <c r="J5089" s="407"/>
      <c r="K5089" s="407"/>
    </row>
    <row r="5090" spans="1:11" ht="12.75" customHeight="1" x14ac:dyDescent="0.3">
      <c r="A5090" s="382" t="s">
        <v>2995</v>
      </c>
      <c r="B5090" s="312" t="s">
        <v>413</v>
      </c>
      <c r="C5090" s="382" t="s">
        <v>414</v>
      </c>
      <c r="D5090" s="382" t="s">
        <v>415</v>
      </c>
      <c r="E5090" s="586" t="s">
        <v>1029</v>
      </c>
      <c r="F5090" s="586"/>
      <c r="G5090" s="383" t="s">
        <v>416</v>
      </c>
      <c r="H5090" s="312" t="s">
        <v>1030</v>
      </c>
      <c r="I5090" s="312" t="s">
        <v>3016</v>
      </c>
      <c r="J5090" s="312" t="s">
        <v>1031</v>
      </c>
      <c r="K5090" s="312" t="s">
        <v>1032</v>
      </c>
    </row>
    <row r="5091" spans="1:11" ht="39.6" x14ac:dyDescent="0.3">
      <c r="A5091" s="313" t="s">
        <v>1033</v>
      </c>
      <c r="B5091" s="315" t="s">
        <v>3978</v>
      </c>
      <c r="C5091" s="313" t="s">
        <v>395</v>
      </c>
      <c r="D5091" s="313" t="s">
        <v>6083</v>
      </c>
      <c r="E5091" s="603" t="s">
        <v>7806</v>
      </c>
      <c r="F5091" s="603"/>
      <c r="G5091" s="314" t="s">
        <v>4</v>
      </c>
      <c r="H5091" s="399">
        <v>1</v>
      </c>
      <c r="I5091" s="316"/>
      <c r="J5091" s="316">
        <v>138.47999999999999</v>
      </c>
      <c r="K5091" s="316">
        <v>138.47999999999999</v>
      </c>
    </row>
    <row r="5092" spans="1:11" ht="14.25" customHeight="1" x14ac:dyDescent="0.3">
      <c r="A5092" s="408" t="s">
        <v>1034</v>
      </c>
      <c r="B5092" s="409" t="s">
        <v>1113</v>
      </c>
      <c r="C5092" s="408" t="s">
        <v>395</v>
      </c>
      <c r="D5092" s="408" t="s">
        <v>129</v>
      </c>
      <c r="E5092" s="604" t="s">
        <v>7768</v>
      </c>
      <c r="F5092" s="604"/>
      <c r="G5092" s="410" t="s">
        <v>6</v>
      </c>
      <c r="H5092" s="412">
        <v>0.54890000000000005</v>
      </c>
      <c r="I5092" s="412">
        <v>0</v>
      </c>
      <c r="J5092" s="411">
        <v>33.450000000000003</v>
      </c>
      <c r="K5092" s="411">
        <v>18.360704999999999</v>
      </c>
    </row>
    <row r="5093" spans="1:11" ht="17.399999999999999" customHeight="1" x14ac:dyDescent="0.3">
      <c r="A5093" s="408" t="s">
        <v>1034</v>
      </c>
      <c r="B5093" s="409" t="s">
        <v>1112</v>
      </c>
      <c r="C5093" s="408" t="s">
        <v>395</v>
      </c>
      <c r="D5093" s="408" t="s">
        <v>137</v>
      </c>
      <c r="E5093" s="604" t="s">
        <v>7768</v>
      </c>
      <c r="F5093" s="604"/>
      <c r="G5093" s="410" t="s">
        <v>6</v>
      </c>
      <c r="H5093" s="412">
        <v>0.54890000000000005</v>
      </c>
      <c r="I5093" s="412">
        <v>0</v>
      </c>
      <c r="J5093" s="411">
        <v>40.299999999999997</v>
      </c>
      <c r="K5093" s="411">
        <v>22.12067</v>
      </c>
    </row>
    <row r="5094" spans="1:11" ht="15" x14ac:dyDescent="0.3">
      <c r="A5094" s="400" t="s">
        <v>1038</v>
      </c>
      <c r="B5094" s="401" t="s">
        <v>2535</v>
      </c>
      <c r="C5094" s="400" t="s">
        <v>395</v>
      </c>
      <c r="D5094" s="400" t="s">
        <v>262</v>
      </c>
      <c r="E5094" s="605" t="s">
        <v>1039</v>
      </c>
      <c r="F5094" s="605"/>
      <c r="G5094" s="402" t="s">
        <v>4</v>
      </c>
      <c r="H5094" s="403">
        <v>3.0200000000000001E-2</v>
      </c>
      <c r="I5094" s="403">
        <v>0</v>
      </c>
      <c r="J5094" s="404">
        <v>16.45</v>
      </c>
      <c r="K5094" s="404">
        <v>0.49679000000000001</v>
      </c>
    </row>
    <row r="5095" spans="1:11" ht="15" customHeight="1" x14ac:dyDescent="0.3">
      <c r="A5095" s="400" t="s">
        <v>1038</v>
      </c>
      <c r="B5095" s="401" t="s">
        <v>4251</v>
      </c>
      <c r="C5095" s="400" t="s">
        <v>395</v>
      </c>
      <c r="D5095" s="400" t="s">
        <v>4252</v>
      </c>
      <c r="E5095" s="605" t="s">
        <v>1039</v>
      </c>
      <c r="F5095" s="605"/>
      <c r="G5095" s="402" t="s">
        <v>4</v>
      </c>
      <c r="H5095" s="403">
        <v>1</v>
      </c>
      <c r="I5095" s="403">
        <v>0</v>
      </c>
      <c r="J5095" s="404">
        <v>97.11</v>
      </c>
      <c r="K5095" s="404">
        <v>97.11</v>
      </c>
    </row>
    <row r="5096" spans="1:11" ht="14.25" customHeight="1" x14ac:dyDescent="0.3">
      <c r="A5096" s="400" t="s">
        <v>1038</v>
      </c>
      <c r="B5096" s="401" t="s">
        <v>4933</v>
      </c>
      <c r="C5096" s="400" t="s">
        <v>395</v>
      </c>
      <c r="D5096" s="400" t="s">
        <v>4934</v>
      </c>
      <c r="E5096" s="605" t="s">
        <v>1039</v>
      </c>
      <c r="F5096" s="605"/>
      <c r="G5096" s="402" t="s">
        <v>8</v>
      </c>
      <c r="H5096" s="403">
        <v>7.1999999999999998E-3</v>
      </c>
      <c r="I5096" s="403">
        <v>0</v>
      </c>
      <c r="J5096" s="404">
        <v>53.91</v>
      </c>
      <c r="K5096" s="404">
        <v>0.388152</v>
      </c>
    </row>
    <row r="5097" spans="1:11" ht="25.5" customHeight="1" x14ac:dyDescent="0.3">
      <c r="A5097" s="405"/>
      <c r="B5097" s="405"/>
      <c r="C5097" s="405"/>
      <c r="D5097" s="405"/>
      <c r="E5097" s="405" t="s">
        <v>1046</v>
      </c>
      <c r="F5097" s="406">
        <v>29.81</v>
      </c>
      <c r="G5097" s="405" t="s">
        <v>1047</v>
      </c>
      <c r="H5097" s="406">
        <v>0.01</v>
      </c>
      <c r="I5097" s="405" t="s">
        <v>1048</v>
      </c>
      <c r="J5097" s="406">
        <v>29.82</v>
      </c>
      <c r="K5097"/>
    </row>
    <row r="5098" spans="1:11" ht="25.5" customHeight="1" thickBot="1" x14ac:dyDescent="0.35">
      <c r="A5098" s="405"/>
      <c r="B5098" s="405"/>
      <c r="C5098" s="405"/>
      <c r="D5098" s="405"/>
      <c r="E5098" s="405" t="s">
        <v>1049</v>
      </c>
      <c r="F5098" s="406">
        <v>0</v>
      </c>
      <c r="G5098" s="405"/>
      <c r="H5098" s="606"/>
      <c r="I5098" s="606" t="s">
        <v>1050</v>
      </c>
      <c r="J5098" s="406">
        <v>138.47999999999999</v>
      </c>
      <c r="K5098"/>
    </row>
    <row r="5099" spans="1:11" ht="12.75" customHeight="1" thickTop="1" x14ac:dyDescent="0.3">
      <c r="A5099" s="407"/>
      <c r="B5099" s="407"/>
      <c r="C5099" s="407"/>
      <c r="D5099" s="407"/>
      <c r="E5099" s="407"/>
      <c r="F5099" s="407"/>
      <c r="G5099" s="407"/>
      <c r="H5099" s="407"/>
      <c r="I5099" s="407"/>
      <c r="J5099" s="407"/>
      <c r="K5099" s="407"/>
    </row>
    <row r="5100" spans="1:11" ht="12.75" customHeight="1" x14ac:dyDescent="0.3">
      <c r="A5100" s="382" t="s">
        <v>2996</v>
      </c>
      <c r="B5100" s="312" t="s">
        <v>413</v>
      </c>
      <c r="C5100" s="382" t="s">
        <v>414</v>
      </c>
      <c r="D5100" s="382" t="s">
        <v>415</v>
      </c>
      <c r="E5100" s="586" t="s">
        <v>1029</v>
      </c>
      <c r="F5100" s="586"/>
      <c r="G5100" s="383" t="s">
        <v>416</v>
      </c>
      <c r="H5100" s="312" t="s">
        <v>1030</v>
      </c>
      <c r="I5100" s="312" t="s">
        <v>3016</v>
      </c>
      <c r="J5100" s="312" t="s">
        <v>1031</v>
      </c>
      <c r="K5100" s="312" t="s">
        <v>1032</v>
      </c>
    </row>
    <row r="5101" spans="1:11" ht="25.5" customHeight="1" x14ac:dyDescent="0.3">
      <c r="A5101" s="313" t="s">
        <v>1033</v>
      </c>
      <c r="B5101" s="315" t="s">
        <v>3979</v>
      </c>
      <c r="C5101" s="313" t="s">
        <v>395</v>
      </c>
      <c r="D5101" s="313" t="s">
        <v>6084</v>
      </c>
      <c r="E5101" s="603" t="s">
        <v>7806</v>
      </c>
      <c r="F5101" s="603"/>
      <c r="G5101" s="314" t="s">
        <v>4</v>
      </c>
      <c r="H5101" s="399">
        <v>1</v>
      </c>
      <c r="I5101" s="316"/>
      <c r="J5101" s="316">
        <v>185.78</v>
      </c>
      <c r="K5101" s="316">
        <v>185.78</v>
      </c>
    </row>
    <row r="5102" spans="1:11" ht="25.5" customHeight="1" x14ac:dyDescent="0.3">
      <c r="A5102" s="408" t="s">
        <v>1034</v>
      </c>
      <c r="B5102" s="409" t="s">
        <v>1113</v>
      </c>
      <c r="C5102" s="408" t="s">
        <v>395</v>
      </c>
      <c r="D5102" s="408" t="s">
        <v>129</v>
      </c>
      <c r="E5102" s="604" t="s">
        <v>7768</v>
      </c>
      <c r="F5102" s="604"/>
      <c r="G5102" s="410" t="s">
        <v>6</v>
      </c>
      <c r="H5102" s="412">
        <v>0.64780000000000004</v>
      </c>
      <c r="I5102" s="412">
        <v>0</v>
      </c>
      <c r="J5102" s="411">
        <v>33.450000000000003</v>
      </c>
      <c r="K5102" s="411">
        <v>21.66891</v>
      </c>
    </row>
    <row r="5103" spans="1:11" ht="38.25" customHeight="1" x14ac:dyDescent="0.3">
      <c r="A5103" s="408" t="s">
        <v>1034</v>
      </c>
      <c r="B5103" s="409" t="s">
        <v>1112</v>
      </c>
      <c r="C5103" s="408" t="s">
        <v>395</v>
      </c>
      <c r="D5103" s="408" t="s">
        <v>137</v>
      </c>
      <c r="E5103" s="604" t="s">
        <v>7768</v>
      </c>
      <c r="F5103" s="604"/>
      <c r="G5103" s="410" t="s">
        <v>6</v>
      </c>
      <c r="H5103" s="412">
        <v>0.64780000000000004</v>
      </c>
      <c r="I5103" s="412">
        <v>0</v>
      </c>
      <c r="J5103" s="411">
        <v>40.299999999999997</v>
      </c>
      <c r="K5103" s="411">
        <v>26.106339999999999</v>
      </c>
    </row>
    <row r="5104" spans="1:11" ht="15" customHeight="1" x14ac:dyDescent="0.3">
      <c r="A5104" s="400" t="s">
        <v>1038</v>
      </c>
      <c r="B5104" s="401" t="s">
        <v>2535</v>
      </c>
      <c r="C5104" s="400" t="s">
        <v>395</v>
      </c>
      <c r="D5104" s="400" t="s">
        <v>262</v>
      </c>
      <c r="E5104" s="605" t="s">
        <v>1039</v>
      </c>
      <c r="F5104" s="605"/>
      <c r="G5104" s="402" t="s">
        <v>4</v>
      </c>
      <c r="H5104" s="403">
        <v>3.5400000000000001E-2</v>
      </c>
      <c r="I5104" s="403">
        <v>0</v>
      </c>
      <c r="J5104" s="404">
        <v>16.45</v>
      </c>
      <c r="K5104" s="404">
        <v>0.58233000000000001</v>
      </c>
    </row>
    <row r="5105" spans="1:11" ht="14.25" customHeight="1" x14ac:dyDescent="0.3">
      <c r="A5105" s="400" t="s">
        <v>1038</v>
      </c>
      <c r="B5105" s="401" t="s">
        <v>4204</v>
      </c>
      <c r="C5105" s="400" t="s">
        <v>395</v>
      </c>
      <c r="D5105" s="400" t="s">
        <v>4205</v>
      </c>
      <c r="E5105" s="605" t="s">
        <v>1039</v>
      </c>
      <c r="F5105" s="605"/>
      <c r="G5105" s="402" t="s">
        <v>4</v>
      </c>
      <c r="H5105" s="403">
        <v>1</v>
      </c>
      <c r="I5105" s="403">
        <v>0</v>
      </c>
      <c r="J5105" s="404">
        <v>136.97</v>
      </c>
      <c r="K5105" s="404">
        <v>136.97</v>
      </c>
    </row>
    <row r="5106" spans="1:11" ht="12.75" customHeight="1" x14ac:dyDescent="0.3">
      <c r="A5106" s="400" t="s">
        <v>1038</v>
      </c>
      <c r="B5106" s="401" t="s">
        <v>4933</v>
      </c>
      <c r="C5106" s="400" t="s">
        <v>395</v>
      </c>
      <c r="D5106" s="400" t="s">
        <v>4934</v>
      </c>
      <c r="E5106" s="605" t="s">
        <v>1039</v>
      </c>
      <c r="F5106" s="605"/>
      <c r="G5106" s="402" t="s">
        <v>8</v>
      </c>
      <c r="H5106" s="403">
        <v>8.3999999999999995E-3</v>
      </c>
      <c r="I5106" s="403">
        <v>0</v>
      </c>
      <c r="J5106" s="404">
        <v>53.91</v>
      </c>
      <c r="K5106" s="404">
        <v>0.45284400000000002</v>
      </c>
    </row>
    <row r="5107" spans="1:11" ht="25.5" customHeight="1" x14ac:dyDescent="0.3">
      <c r="A5107" s="405"/>
      <c r="B5107" s="405"/>
      <c r="C5107" s="405"/>
      <c r="D5107" s="405"/>
      <c r="E5107" s="405" t="s">
        <v>1046</v>
      </c>
      <c r="F5107" s="406">
        <v>35.18</v>
      </c>
      <c r="G5107" s="405" t="s">
        <v>1047</v>
      </c>
      <c r="H5107" s="406">
        <v>0</v>
      </c>
      <c r="I5107" s="405" t="s">
        <v>1048</v>
      </c>
      <c r="J5107" s="406">
        <v>35.18</v>
      </c>
      <c r="K5107"/>
    </row>
    <row r="5108" spans="1:11" ht="25.5" customHeight="1" thickBot="1" x14ac:dyDescent="0.35">
      <c r="A5108" s="405"/>
      <c r="B5108" s="405"/>
      <c r="C5108" s="405"/>
      <c r="D5108" s="405"/>
      <c r="E5108" s="405" t="s">
        <v>1049</v>
      </c>
      <c r="F5108" s="406">
        <v>0</v>
      </c>
      <c r="G5108" s="405"/>
      <c r="H5108" s="606"/>
      <c r="I5108" s="606" t="s">
        <v>1050</v>
      </c>
      <c r="J5108" s="406">
        <v>185.78</v>
      </c>
      <c r="K5108"/>
    </row>
    <row r="5109" spans="1:11" ht="12.75" customHeight="1" thickTop="1" x14ac:dyDescent="0.3">
      <c r="A5109" s="407"/>
      <c r="B5109" s="407"/>
      <c r="C5109" s="407"/>
      <c r="D5109" s="407"/>
      <c r="E5109" s="407"/>
      <c r="F5109" s="407"/>
      <c r="G5109" s="407"/>
      <c r="H5109" s="407"/>
      <c r="I5109" s="407"/>
      <c r="J5109" s="407"/>
      <c r="K5109" s="407"/>
    </row>
    <row r="5110" spans="1:11" ht="25.5" customHeight="1" x14ac:dyDescent="0.3">
      <c r="A5110" s="382" t="s">
        <v>3000</v>
      </c>
      <c r="B5110" s="312" t="s">
        <v>413</v>
      </c>
      <c r="C5110" s="382" t="s">
        <v>414</v>
      </c>
      <c r="D5110" s="382" t="s">
        <v>415</v>
      </c>
      <c r="E5110" s="586" t="s">
        <v>1029</v>
      </c>
      <c r="F5110" s="586"/>
      <c r="G5110" s="383" t="s">
        <v>416</v>
      </c>
      <c r="H5110" s="312" t="s">
        <v>1030</v>
      </c>
      <c r="I5110" s="312" t="s">
        <v>3016</v>
      </c>
      <c r="J5110" s="312" t="s">
        <v>1031</v>
      </c>
      <c r="K5110" s="312" t="s">
        <v>1032</v>
      </c>
    </row>
    <row r="5111" spans="1:11" ht="25.5" customHeight="1" x14ac:dyDescent="0.3">
      <c r="A5111" s="313" t="s">
        <v>1033</v>
      </c>
      <c r="B5111" s="315" t="s">
        <v>2196</v>
      </c>
      <c r="C5111" s="313" t="s">
        <v>420</v>
      </c>
      <c r="D5111" s="313" t="s">
        <v>1948</v>
      </c>
      <c r="E5111" s="603" t="s">
        <v>1353</v>
      </c>
      <c r="F5111" s="603"/>
      <c r="G5111" s="314" t="s">
        <v>422</v>
      </c>
      <c r="H5111" s="399">
        <v>1</v>
      </c>
      <c r="I5111" s="316"/>
      <c r="J5111" s="316">
        <v>223.02</v>
      </c>
      <c r="K5111" s="316">
        <v>223.02</v>
      </c>
    </row>
    <row r="5112" spans="1:11" ht="26.4" x14ac:dyDescent="0.3">
      <c r="A5112" s="408" t="s">
        <v>1034</v>
      </c>
      <c r="B5112" s="409" t="s">
        <v>1071</v>
      </c>
      <c r="C5112" s="408" t="s">
        <v>420</v>
      </c>
      <c r="D5112" s="408" t="s">
        <v>1072</v>
      </c>
      <c r="E5112" s="604" t="s">
        <v>1069</v>
      </c>
      <c r="F5112" s="604"/>
      <c r="G5112" s="410" t="s">
        <v>1070</v>
      </c>
      <c r="H5112" s="412">
        <v>0.43</v>
      </c>
      <c r="I5112" s="412">
        <v>0</v>
      </c>
      <c r="J5112" s="411">
        <v>3.95</v>
      </c>
      <c r="K5112" s="411">
        <v>1.6984999999999999</v>
      </c>
    </row>
    <row r="5113" spans="1:11" ht="14.25" customHeight="1" x14ac:dyDescent="0.3">
      <c r="A5113" s="408" t="s">
        <v>1034</v>
      </c>
      <c r="B5113" s="409" t="s">
        <v>1180</v>
      </c>
      <c r="C5113" s="408" t="s">
        <v>420</v>
      </c>
      <c r="D5113" s="408" t="s">
        <v>1181</v>
      </c>
      <c r="E5113" s="604" t="s">
        <v>1069</v>
      </c>
      <c r="F5113" s="604"/>
      <c r="G5113" s="410" t="s">
        <v>1070</v>
      </c>
      <c r="H5113" s="412">
        <v>0.43</v>
      </c>
      <c r="I5113" s="412">
        <v>0</v>
      </c>
      <c r="J5113" s="411">
        <v>3.91</v>
      </c>
      <c r="K5113" s="411">
        <v>1.6813</v>
      </c>
    </row>
    <row r="5114" spans="1:11" ht="14.25" customHeight="1" x14ac:dyDescent="0.3">
      <c r="A5114" s="400" t="s">
        <v>1038</v>
      </c>
      <c r="B5114" s="401" t="s">
        <v>6480</v>
      </c>
      <c r="C5114" s="400" t="s">
        <v>420</v>
      </c>
      <c r="D5114" s="400" t="s">
        <v>6481</v>
      </c>
      <c r="E5114" s="605" t="s">
        <v>1053</v>
      </c>
      <c r="F5114" s="605"/>
      <c r="G5114" s="402" t="s">
        <v>1070</v>
      </c>
      <c r="H5114" s="403">
        <v>0.43</v>
      </c>
      <c r="I5114" s="403">
        <v>0</v>
      </c>
      <c r="J5114" s="404">
        <v>20.45</v>
      </c>
      <c r="K5114" s="404">
        <v>8.7934999999999999</v>
      </c>
    </row>
    <row r="5115" spans="1:11" ht="12.75" customHeight="1" x14ac:dyDescent="0.3">
      <c r="A5115" s="400" t="s">
        <v>1038</v>
      </c>
      <c r="B5115" s="401" t="s">
        <v>6251</v>
      </c>
      <c r="C5115" s="400" t="s">
        <v>420</v>
      </c>
      <c r="D5115" s="400" t="s">
        <v>6252</v>
      </c>
      <c r="E5115" s="605" t="s">
        <v>1053</v>
      </c>
      <c r="F5115" s="605"/>
      <c r="G5115" s="402" t="s">
        <v>1070</v>
      </c>
      <c r="H5115" s="403">
        <v>0.43</v>
      </c>
      <c r="I5115" s="403">
        <v>0</v>
      </c>
      <c r="J5115" s="404">
        <v>15.59</v>
      </c>
      <c r="K5115" s="404">
        <v>6.7037000000000004</v>
      </c>
    </row>
    <row r="5116" spans="1:11" ht="15" customHeight="1" x14ac:dyDescent="0.3">
      <c r="A5116" s="400" t="s">
        <v>1038</v>
      </c>
      <c r="B5116" s="401" t="s">
        <v>6492</v>
      </c>
      <c r="C5116" s="400" t="s">
        <v>420</v>
      </c>
      <c r="D5116" s="400" t="s">
        <v>6493</v>
      </c>
      <c r="E5116" s="605" t="s">
        <v>1039</v>
      </c>
      <c r="F5116" s="605"/>
      <c r="G5116" s="402" t="s">
        <v>422</v>
      </c>
      <c r="H5116" s="403">
        <v>1</v>
      </c>
      <c r="I5116" s="403">
        <v>0</v>
      </c>
      <c r="J5116" s="404">
        <v>204.14</v>
      </c>
      <c r="K5116" s="404">
        <v>204.14</v>
      </c>
    </row>
    <row r="5117" spans="1:11" ht="17.399999999999999" customHeight="1" x14ac:dyDescent="0.3">
      <c r="A5117" s="405"/>
      <c r="B5117" s="405"/>
      <c r="C5117" s="405"/>
      <c r="D5117" s="405"/>
      <c r="E5117" s="405" t="s">
        <v>1046</v>
      </c>
      <c r="F5117" s="406">
        <v>15.49</v>
      </c>
      <c r="G5117" s="405" t="s">
        <v>1047</v>
      </c>
      <c r="H5117" s="406">
        <v>0</v>
      </c>
      <c r="I5117" s="405" t="s">
        <v>1048</v>
      </c>
      <c r="J5117" s="406">
        <v>15.49</v>
      </c>
      <c r="K5117"/>
    </row>
    <row r="5118" spans="1:11" ht="12.75" customHeight="1" thickBot="1" x14ac:dyDescent="0.35">
      <c r="A5118" s="405"/>
      <c r="B5118" s="405"/>
      <c r="C5118" s="405"/>
      <c r="D5118" s="405"/>
      <c r="E5118" s="405" t="s">
        <v>1049</v>
      </c>
      <c r="F5118" s="406">
        <v>0</v>
      </c>
      <c r="G5118" s="405"/>
      <c r="H5118" s="606"/>
      <c r="I5118" s="606" t="s">
        <v>1050</v>
      </c>
      <c r="J5118" s="406">
        <v>223.02</v>
      </c>
      <c r="K5118"/>
    </row>
    <row r="5119" spans="1:11" ht="25.5" customHeight="1" thickTop="1" x14ac:dyDescent="0.3">
      <c r="A5119" s="407"/>
      <c r="B5119" s="407"/>
      <c r="C5119" s="407"/>
      <c r="D5119" s="407"/>
      <c r="E5119" s="407"/>
      <c r="F5119" s="407"/>
      <c r="G5119" s="407"/>
      <c r="H5119" s="407"/>
      <c r="I5119" s="407"/>
      <c r="J5119" s="407"/>
      <c r="K5119" s="407"/>
    </row>
    <row r="5120" spans="1:11" ht="15" customHeight="1" x14ac:dyDescent="0.3">
      <c r="A5120" s="382" t="s">
        <v>3346</v>
      </c>
      <c r="B5120" s="312" t="s">
        <v>413</v>
      </c>
      <c r="C5120" s="382" t="s">
        <v>414</v>
      </c>
      <c r="D5120" s="382" t="s">
        <v>415</v>
      </c>
      <c r="E5120" s="586" t="s">
        <v>1029</v>
      </c>
      <c r="F5120" s="586"/>
      <c r="G5120" s="383" t="s">
        <v>416</v>
      </c>
      <c r="H5120" s="312" t="s">
        <v>1030</v>
      </c>
      <c r="I5120" s="312" t="s">
        <v>3016</v>
      </c>
      <c r="J5120" s="312" t="s">
        <v>1031</v>
      </c>
      <c r="K5120" s="312" t="s">
        <v>1032</v>
      </c>
    </row>
    <row r="5121" spans="1:11" ht="25.5" customHeight="1" x14ac:dyDescent="0.3">
      <c r="A5121" s="313" t="s">
        <v>1033</v>
      </c>
      <c r="B5121" s="315" t="s">
        <v>981</v>
      </c>
      <c r="C5121" s="313" t="s">
        <v>420</v>
      </c>
      <c r="D5121" s="313" t="s">
        <v>6085</v>
      </c>
      <c r="E5121" s="603" t="s">
        <v>1353</v>
      </c>
      <c r="F5121" s="603"/>
      <c r="G5121" s="314" t="s">
        <v>422</v>
      </c>
      <c r="H5121" s="399">
        <v>1</v>
      </c>
      <c r="I5121" s="316"/>
      <c r="J5121" s="316">
        <v>287.52</v>
      </c>
      <c r="K5121" s="316">
        <v>287.52</v>
      </c>
    </row>
    <row r="5122" spans="1:11" ht="25.5" customHeight="1" x14ac:dyDescent="0.3">
      <c r="A5122" s="408" t="s">
        <v>1034</v>
      </c>
      <c r="B5122" s="409" t="s">
        <v>1071</v>
      </c>
      <c r="C5122" s="408" t="s">
        <v>420</v>
      </c>
      <c r="D5122" s="408" t="s">
        <v>1072</v>
      </c>
      <c r="E5122" s="604" t="s">
        <v>1069</v>
      </c>
      <c r="F5122" s="604"/>
      <c r="G5122" s="410" t="s">
        <v>1070</v>
      </c>
      <c r="H5122" s="412">
        <v>0.4</v>
      </c>
      <c r="I5122" s="412">
        <v>0</v>
      </c>
      <c r="J5122" s="411">
        <v>3.95</v>
      </c>
      <c r="K5122" s="411">
        <v>1.58</v>
      </c>
    </row>
    <row r="5123" spans="1:11" ht="26.4" x14ac:dyDescent="0.3">
      <c r="A5123" s="408" t="s">
        <v>1034</v>
      </c>
      <c r="B5123" s="409" t="s">
        <v>1180</v>
      </c>
      <c r="C5123" s="408" t="s">
        <v>420</v>
      </c>
      <c r="D5123" s="408" t="s">
        <v>1181</v>
      </c>
      <c r="E5123" s="604" t="s">
        <v>1069</v>
      </c>
      <c r="F5123" s="604"/>
      <c r="G5123" s="410" t="s">
        <v>1070</v>
      </c>
      <c r="H5123" s="412">
        <v>0.4</v>
      </c>
      <c r="I5123" s="412">
        <v>0</v>
      </c>
      <c r="J5123" s="411">
        <v>3.91</v>
      </c>
      <c r="K5123" s="411">
        <v>1.5640000000000001</v>
      </c>
    </row>
    <row r="5124" spans="1:11" ht="12.75" customHeight="1" x14ac:dyDescent="0.3">
      <c r="A5124" s="400" t="s">
        <v>1038</v>
      </c>
      <c r="B5124" s="401" t="s">
        <v>6480</v>
      </c>
      <c r="C5124" s="400" t="s">
        <v>420</v>
      </c>
      <c r="D5124" s="400" t="s">
        <v>6481</v>
      </c>
      <c r="E5124" s="605" t="s">
        <v>1053</v>
      </c>
      <c r="F5124" s="605"/>
      <c r="G5124" s="402" t="s">
        <v>1070</v>
      </c>
      <c r="H5124" s="403">
        <v>0.4</v>
      </c>
      <c r="I5124" s="403">
        <v>0</v>
      </c>
      <c r="J5124" s="404">
        <v>20.45</v>
      </c>
      <c r="K5124" s="404">
        <v>8.18</v>
      </c>
    </row>
    <row r="5125" spans="1:11" ht="15" customHeight="1" x14ac:dyDescent="0.3">
      <c r="A5125" s="400" t="s">
        <v>1038</v>
      </c>
      <c r="B5125" s="401" t="s">
        <v>6251</v>
      </c>
      <c r="C5125" s="400" t="s">
        <v>420</v>
      </c>
      <c r="D5125" s="400" t="s">
        <v>6252</v>
      </c>
      <c r="E5125" s="605" t="s">
        <v>1053</v>
      </c>
      <c r="F5125" s="605"/>
      <c r="G5125" s="402" t="s">
        <v>1070</v>
      </c>
      <c r="H5125" s="403">
        <v>0.4</v>
      </c>
      <c r="I5125" s="403">
        <v>0</v>
      </c>
      <c r="J5125" s="404">
        <v>15.59</v>
      </c>
      <c r="K5125" s="404">
        <v>6.2359999999999998</v>
      </c>
    </row>
    <row r="5126" spans="1:11" ht="15" x14ac:dyDescent="0.3">
      <c r="A5126" s="400" t="s">
        <v>1038</v>
      </c>
      <c r="B5126" s="401" t="s">
        <v>6430</v>
      </c>
      <c r="C5126" s="400" t="s">
        <v>420</v>
      </c>
      <c r="D5126" s="400" t="s">
        <v>6431</v>
      </c>
      <c r="E5126" s="605" t="s">
        <v>1039</v>
      </c>
      <c r="F5126" s="605"/>
      <c r="G5126" s="402" t="s">
        <v>422</v>
      </c>
      <c r="H5126" s="403">
        <v>1</v>
      </c>
      <c r="I5126" s="403">
        <v>0</v>
      </c>
      <c r="J5126" s="404">
        <v>269.95999999999998</v>
      </c>
      <c r="K5126" s="404">
        <v>269.95999999999998</v>
      </c>
    </row>
    <row r="5127" spans="1:11" ht="15" x14ac:dyDescent="0.3">
      <c r="A5127" s="405"/>
      <c r="B5127" s="405"/>
      <c r="C5127" s="405"/>
      <c r="D5127" s="405"/>
      <c r="E5127" s="405" t="s">
        <v>1046</v>
      </c>
      <c r="F5127" s="406">
        <v>14.42</v>
      </c>
      <c r="G5127" s="405" t="s">
        <v>1047</v>
      </c>
      <c r="H5127" s="406">
        <v>0</v>
      </c>
      <c r="I5127" s="405" t="s">
        <v>1048</v>
      </c>
      <c r="J5127" s="406">
        <v>14.42</v>
      </c>
      <c r="K5127"/>
    </row>
    <row r="5128" spans="1:11" ht="14.25" customHeight="1" thickBot="1" x14ac:dyDescent="0.35">
      <c r="A5128" s="405"/>
      <c r="B5128" s="405"/>
      <c r="C5128" s="405"/>
      <c r="D5128" s="405"/>
      <c r="E5128" s="405" t="s">
        <v>1049</v>
      </c>
      <c r="F5128" s="406">
        <v>0</v>
      </c>
      <c r="G5128" s="405"/>
      <c r="H5128" s="606"/>
      <c r="I5128" s="606" t="s">
        <v>1050</v>
      </c>
      <c r="J5128" s="406">
        <v>287.52</v>
      </c>
      <c r="K5128"/>
    </row>
    <row r="5129" spans="1:11" ht="15" customHeight="1" thickTop="1" x14ac:dyDescent="0.3">
      <c r="A5129" s="407"/>
      <c r="B5129" s="407"/>
      <c r="C5129" s="407"/>
      <c r="D5129" s="407"/>
      <c r="E5129" s="407"/>
      <c r="F5129" s="407"/>
      <c r="G5129" s="407"/>
      <c r="H5129" s="407"/>
      <c r="I5129" s="407"/>
      <c r="J5129" s="407"/>
      <c r="K5129" s="407"/>
    </row>
    <row r="5130" spans="1:11" ht="25.5" customHeight="1" x14ac:dyDescent="0.3">
      <c r="A5130" s="382" t="s">
        <v>3347</v>
      </c>
      <c r="B5130" s="312" t="s">
        <v>413</v>
      </c>
      <c r="C5130" s="382" t="s">
        <v>414</v>
      </c>
      <c r="D5130" s="382" t="s">
        <v>415</v>
      </c>
      <c r="E5130" s="586" t="s">
        <v>1029</v>
      </c>
      <c r="F5130" s="586"/>
      <c r="G5130" s="383" t="s">
        <v>416</v>
      </c>
      <c r="H5130" s="312" t="s">
        <v>1030</v>
      </c>
      <c r="I5130" s="312" t="s">
        <v>3016</v>
      </c>
      <c r="J5130" s="312" t="s">
        <v>1031</v>
      </c>
      <c r="K5130" s="312" t="s">
        <v>1032</v>
      </c>
    </row>
    <row r="5131" spans="1:11" ht="25.5" customHeight="1" x14ac:dyDescent="0.3">
      <c r="A5131" s="313" t="s">
        <v>1033</v>
      </c>
      <c r="B5131" s="315" t="s">
        <v>982</v>
      </c>
      <c r="C5131" s="313" t="s">
        <v>420</v>
      </c>
      <c r="D5131" s="313" t="s">
        <v>589</v>
      </c>
      <c r="E5131" s="603" t="s">
        <v>1353</v>
      </c>
      <c r="F5131" s="603"/>
      <c r="G5131" s="314" t="s">
        <v>422</v>
      </c>
      <c r="H5131" s="399">
        <v>1</v>
      </c>
      <c r="I5131" s="316"/>
      <c r="J5131" s="316">
        <v>455.41</v>
      </c>
      <c r="K5131" s="316">
        <v>455.41</v>
      </c>
    </row>
    <row r="5132" spans="1:11" ht="12.75" customHeight="1" x14ac:dyDescent="0.3">
      <c r="A5132" s="408" t="s">
        <v>1034</v>
      </c>
      <c r="B5132" s="409" t="s">
        <v>1071</v>
      </c>
      <c r="C5132" s="408" t="s">
        <v>420</v>
      </c>
      <c r="D5132" s="408" t="s">
        <v>1072</v>
      </c>
      <c r="E5132" s="604" t="s">
        <v>1069</v>
      </c>
      <c r="F5132" s="604"/>
      <c r="G5132" s="410" t="s">
        <v>1070</v>
      </c>
      <c r="H5132" s="412">
        <v>0.43</v>
      </c>
      <c r="I5132" s="412">
        <v>0</v>
      </c>
      <c r="J5132" s="411">
        <v>3.95</v>
      </c>
      <c r="K5132" s="411">
        <v>1.6984999999999999</v>
      </c>
    </row>
    <row r="5133" spans="1:11" ht="25.5" customHeight="1" x14ac:dyDescent="0.3">
      <c r="A5133" s="408" t="s">
        <v>1034</v>
      </c>
      <c r="B5133" s="409" t="s">
        <v>1180</v>
      </c>
      <c r="C5133" s="408" t="s">
        <v>420</v>
      </c>
      <c r="D5133" s="408" t="s">
        <v>1181</v>
      </c>
      <c r="E5133" s="604" t="s">
        <v>1069</v>
      </c>
      <c r="F5133" s="604"/>
      <c r="G5133" s="410" t="s">
        <v>1070</v>
      </c>
      <c r="H5133" s="412">
        <v>0.43</v>
      </c>
      <c r="I5133" s="412">
        <v>0</v>
      </c>
      <c r="J5133" s="411">
        <v>3.91</v>
      </c>
      <c r="K5133" s="411">
        <v>1.6813</v>
      </c>
    </row>
    <row r="5134" spans="1:11" ht="15" customHeight="1" x14ac:dyDescent="0.3">
      <c r="A5134" s="400" t="s">
        <v>1038</v>
      </c>
      <c r="B5134" s="401" t="s">
        <v>6480</v>
      </c>
      <c r="C5134" s="400" t="s">
        <v>420</v>
      </c>
      <c r="D5134" s="400" t="s">
        <v>6481</v>
      </c>
      <c r="E5134" s="605" t="s">
        <v>1053</v>
      </c>
      <c r="F5134" s="605"/>
      <c r="G5134" s="402" t="s">
        <v>1070</v>
      </c>
      <c r="H5134" s="403">
        <v>0.43</v>
      </c>
      <c r="I5134" s="403">
        <v>0</v>
      </c>
      <c r="J5134" s="404">
        <v>20.45</v>
      </c>
      <c r="K5134" s="404">
        <v>8.7934999999999999</v>
      </c>
    </row>
    <row r="5135" spans="1:11" ht="15" x14ac:dyDescent="0.3">
      <c r="A5135" s="400" t="s">
        <v>1038</v>
      </c>
      <c r="B5135" s="401" t="s">
        <v>6251</v>
      </c>
      <c r="C5135" s="400" t="s">
        <v>420</v>
      </c>
      <c r="D5135" s="400" t="s">
        <v>6252</v>
      </c>
      <c r="E5135" s="605" t="s">
        <v>1053</v>
      </c>
      <c r="F5135" s="605"/>
      <c r="G5135" s="402" t="s">
        <v>1070</v>
      </c>
      <c r="H5135" s="403">
        <v>0.43</v>
      </c>
      <c r="I5135" s="403">
        <v>0</v>
      </c>
      <c r="J5135" s="404">
        <v>15.59</v>
      </c>
      <c r="K5135" s="404">
        <v>6.7037000000000004</v>
      </c>
    </row>
    <row r="5136" spans="1:11" ht="14.25" customHeight="1" x14ac:dyDescent="0.3">
      <c r="A5136" s="400" t="s">
        <v>1038</v>
      </c>
      <c r="B5136" s="401" t="s">
        <v>6358</v>
      </c>
      <c r="C5136" s="400" t="s">
        <v>420</v>
      </c>
      <c r="D5136" s="400" t="s">
        <v>6359</v>
      </c>
      <c r="E5136" s="605" t="s">
        <v>1039</v>
      </c>
      <c r="F5136" s="605"/>
      <c r="G5136" s="402" t="s">
        <v>422</v>
      </c>
      <c r="H5136" s="403">
        <v>1</v>
      </c>
      <c r="I5136" s="403">
        <v>0</v>
      </c>
      <c r="J5136" s="404">
        <v>436.53</v>
      </c>
      <c r="K5136" s="404">
        <v>436.53</v>
      </c>
    </row>
    <row r="5137" spans="1:11" ht="14.25" customHeight="1" x14ac:dyDescent="0.3">
      <c r="A5137" s="405"/>
      <c r="B5137" s="405"/>
      <c r="C5137" s="405"/>
      <c r="D5137" s="405"/>
      <c r="E5137" s="405" t="s">
        <v>1046</v>
      </c>
      <c r="F5137" s="406">
        <v>15.49</v>
      </c>
      <c r="G5137" s="405" t="s">
        <v>1047</v>
      </c>
      <c r="H5137" s="406">
        <v>0</v>
      </c>
      <c r="I5137" s="405" t="s">
        <v>1048</v>
      </c>
      <c r="J5137" s="406">
        <v>15.49</v>
      </c>
      <c r="K5137"/>
    </row>
    <row r="5138" spans="1:11" ht="15" customHeight="1" thickBot="1" x14ac:dyDescent="0.35">
      <c r="A5138" s="405"/>
      <c r="B5138" s="405"/>
      <c r="C5138" s="405"/>
      <c r="D5138" s="405"/>
      <c r="E5138" s="405" t="s">
        <v>1049</v>
      </c>
      <c r="F5138" s="406">
        <v>0</v>
      </c>
      <c r="G5138" s="405"/>
      <c r="H5138" s="606"/>
      <c r="I5138" s="606" t="s">
        <v>1050</v>
      </c>
      <c r="J5138" s="406">
        <v>455.41</v>
      </c>
      <c r="K5138"/>
    </row>
    <row r="5139" spans="1:11" ht="25.5" customHeight="1" thickTop="1" x14ac:dyDescent="0.3">
      <c r="A5139" s="407"/>
      <c r="B5139" s="407"/>
      <c r="C5139" s="407"/>
      <c r="D5139" s="407"/>
      <c r="E5139" s="407"/>
      <c r="F5139" s="407"/>
      <c r="G5139" s="407"/>
      <c r="H5139" s="407"/>
      <c r="I5139" s="407"/>
      <c r="J5139" s="407"/>
      <c r="K5139" s="407"/>
    </row>
    <row r="5140" spans="1:11" ht="25.5" customHeight="1" x14ac:dyDescent="0.3">
      <c r="A5140" s="382" t="s">
        <v>3348</v>
      </c>
      <c r="B5140" s="312" t="s">
        <v>413</v>
      </c>
      <c r="C5140" s="382" t="s">
        <v>414</v>
      </c>
      <c r="D5140" s="382" t="s">
        <v>415</v>
      </c>
      <c r="E5140" s="586" t="s">
        <v>1029</v>
      </c>
      <c r="F5140" s="586"/>
      <c r="G5140" s="383" t="s">
        <v>416</v>
      </c>
      <c r="H5140" s="312" t="s">
        <v>1030</v>
      </c>
      <c r="I5140" s="312" t="s">
        <v>3016</v>
      </c>
      <c r="J5140" s="312" t="s">
        <v>1031</v>
      </c>
      <c r="K5140" s="312" t="s">
        <v>1032</v>
      </c>
    </row>
    <row r="5141" spans="1:11" ht="25.5" customHeight="1" x14ac:dyDescent="0.3">
      <c r="A5141" s="313" t="s">
        <v>1033</v>
      </c>
      <c r="B5141" s="315" t="s">
        <v>3980</v>
      </c>
      <c r="C5141" s="313" t="s">
        <v>395</v>
      </c>
      <c r="D5141" s="313" t="s">
        <v>363</v>
      </c>
      <c r="E5141" s="603" t="s">
        <v>7811</v>
      </c>
      <c r="F5141" s="603"/>
      <c r="G5141" s="314" t="s">
        <v>4</v>
      </c>
      <c r="H5141" s="399">
        <v>1</v>
      </c>
      <c r="I5141" s="316"/>
      <c r="J5141" s="316">
        <v>825.45</v>
      </c>
      <c r="K5141" s="316">
        <v>825.45</v>
      </c>
    </row>
    <row r="5142" spans="1:11" ht="26.4" x14ac:dyDescent="0.3">
      <c r="A5142" s="408" t="s">
        <v>1034</v>
      </c>
      <c r="B5142" s="409" t="s">
        <v>1113</v>
      </c>
      <c r="C5142" s="408" t="s">
        <v>395</v>
      </c>
      <c r="D5142" s="408" t="s">
        <v>129</v>
      </c>
      <c r="E5142" s="604" t="s">
        <v>7768</v>
      </c>
      <c r="F5142" s="604"/>
      <c r="G5142" s="410" t="s">
        <v>6</v>
      </c>
      <c r="H5142" s="412">
        <v>0.4546</v>
      </c>
      <c r="I5142" s="412">
        <v>0</v>
      </c>
      <c r="J5142" s="411">
        <v>33.450000000000003</v>
      </c>
      <c r="K5142" s="411">
        <v>15.20637</v>
      </c>
    </row>
    <row r="5143" spans="1:11" ht="15" customHeight="1" x14ac:dyDescent="0.3">
      <c r="A5143" s="408" t="s">
        <v>1034</v>
      </c>
      <c r="B5143" s="409" t="s">
        <v>1112</v>
      </c>
      <c r="C5143" s="408" t="s">
        <v>395</v>
      </c>
      <c r="D5143" s="408" t="s">
        <v>137</v>
      </c>
      <c r="E5143" s="604" t="s">
        <v>7768</v>
      </c>
      <c r="F5143" s="604"/>
      <c r="G5143" s="410" t="s">
        <v>6</v>
      </c>
      <c r="H5143" s="412">
        <v>0.4546</v>
      </c>
      <c r="I5143" s="412">
        <v>0</v>
      </c>
      <c r="J5143" s="411">
        <v>40.299999999999997</v>
      </c>
      <c r="K5143" s="411">
        <v>18.32038</v>
      </c>
    </row>
    <row r="5144" spans="1:11" ht="15" x14ac:dyDescent="0.3">
      <c r="A5144" s="400" t="s">
        <v>1038</v>
      </c>
      <c r="B5144" s="401" t="s">
        <v>2535</v>
      </c>
      <c r="C5144" s="400" t="s">
        <v>395</v>
      </c>
      <c r="D5144" s="400" t="s">
        <v>262</v>
      </c>
      <c r="E5144" s="605" t="s">
        <v>1039</v>
      </c>
      <c r="F5144" s="605"/>
      <c r="G5144" s="402" t="s">
        <v>4</v>
      </c>
      <c r="H5144" s="403">
        <v>3.0200000000000001E-2</v>
      </c>
      <c r="I5144" s="403">
        <v>0</v>
      </c>
      <c r="J5144" s="404">
        <v>16.45</v>
      </c>
      <c r="K5144" s="404">
        <v>0.49679000000000001</v>
      </c>
    </row>
    <row r="5145" spans="1:11" ht="15" customHeight="1" x14ac:dyDescent="0.3">
      <c r="A5145" s="400" t="s">
        <v>1038</v>
      </c>
      <c r="B5145" s="401" t="s">
        <v>4166</v>
      </c>
      <c r="C5145" s="400" t="s">
        <v>395</v>
      </c>
      <c r="D5145" s="400" t="s">
        <v>4167</v>
      </c>
      <c r="E5145" s="605" t="s">
        <v>1039</v>
      </c>
      <c r="F5145" s="605"/>
      <c r="G5145" s="402" t="s">
        <v>4</v>
      </c>
      <c r="H5145" s="403">
        <v>1</v>
      </c>
      <c r="I5145" s="403">
        <v>0</v>
      </c>
      <c r="J5145" s="404">
        <v>791.43</v>
      </c>
      <c r="K5145" s="404">
        <v>791.43</v>
      </c>
    </row>
    <row r="5146" spans="1:11" ht="15" x14ac:dyDescent="0.3">
      <c r="A5146" s="405"/>
      <c r="B5146" s="405"/>
      <c r="C5146" s="405"/>
      <c r="D5146" s="405"/>
      <c r="E5146" s="405" t="s">
        <v>1046</v>
      </c>
      <c r="F5146" s="406">
        <v>24.69</v>
      </c>
      <c r="G5146" s="405" t="s">
        <v>1047</v>
      </c>
      <c r="H5146" s="406">
        <v>0</v>
      </c>
      <c r="I5146" s="405" t="s">
        <v>1048</v>
      </c>
      <c r="J5146" s="406">
        <v>24.69</v>
      </c>
      <c r="K5146"/>
    </row>
    <row r="5147" spans="1:11" ht="15.6" thickBot="1" x14ac:dyDescent="0.35">
      <c r="A5147" s="405"/>
      <c r="B5147" s="405"/>
      <c r="C5147" s="405"/>
      <c r="D5147" s="405"/>
      <c r="E5147" s="405" t="s">
        <v>1049</v>
      </c>
      <c r="F5147" s="406">
        <v>0</v>
      </c>
      <c r="G5147" s="405"/>
      <c r="H5147" s="606"/>
      <c r="I5147" s="606" t="s">
        <v>1050</v>
      </c>
      <c r="J5147" s="406">
        <v>825.45</v>
      </c>
      <c r="K5147"/>
    </row>
    <row r="5148" spans="1:11" ht="14.25" customHeight="1" thickTop="1" x14ac:dyDescent="0.3">
      <c r="A5148" s="407"/>
      <c r="B5148" s="407"/>
      <c r="C5148" s="407"/>
      <c r="D5148" s="407"/>
      <c r="E5148" s="407"/>
      <c r="F5148" s="407"/>
      <c r="G5148" s="407"/>
      <c r="H5148" s="407"/>
      <c r="I5148" s="407"/>
      <c r="J5148" s="407"/>
      <c r="K5148" s="407"/>
    </row>
    <row r="5149" spans="1:11" ht="25.5" customHeight="1" x14ac:dyDescent="0.3">
      <c r="A5149" s="382" t="s">
        <v>3349</v>
      </c>
      <c r="B5149" s="312" t="s">
        <v>413</v>
      </c>
      <c r="C5149" s="382" t="s">
        <v>414</v>
      </c>
      <c r="D5149" s="382" t="s">
        <v>415</v>
      </c>
      <c r="E5149" s="586" t="s">
        <v>1029</v>
      </c>
      <c r="F5149" s="586"/>
      <c r="G5149" s="383" t="s">
        <v>416</v>
      </c>
      <c r="H5149" s="312" t="s">
        <v>1030</v>
      </c>
      <c r="I5149" s="312" t="s">
        <v>3016</v>
      </c>
      <c r="J5149" s="312" t="s">
        <v>1031</v>
      </c>
      <c r="K5149" s="312" t="s">
        <v>1032</v>
      </c>
    </row>
    <row r="5150" spans="1:11" ht="26.4" x14ac:dyDescent="0.3">
      <c r="A5150" s="313" t="s">
        <v>1033</v>
      </c>
      <c r="B5150" s="315" t="s">
        <v>3981</v>
      </c>
      <c r="C5150" s="313" t="s">
        <v>395</v>
      </c>
      <c r="D5150" s="313" t="s">
        <v>364</v>
      </c>
      <c r="E5150" s="603" t="s">
        <v>7811</v>
      </c>
      <c r="F5150" s="603"/>
      <c r="G5150" s="314" t="s">
        <v>4</v>
      </c>
      <c r="H5150" s="399">
        <v>1</v>
      </c>
      <c r="I5150" s="316"/>
      <c r="J5150" s="316">
        <v>1135.71</v>
      </c>
      <c r="K5150" s="316">
        <v>1135.71</v>
      </c>
    </row>
    <row r="5151" spans="1:11" ht="26.4" x14ac:dyDescent="0.3">
      <c r="A5151" s="408" t="s">
        <v>1034</v>
      </c>
      <c r="B5151" s="409" t="s">
        <v>1113</v>
      </c>
      <c r="C5151" s="408" t="s">
        <v>395</v>
      </c>
      <c r="D5151" s="408" t="s">
        <v>129</v>
      </c>
      <c r="E5151" s="604" t="s">
        <v>7768</v>
      </c>
      <c r="F5151" s="604"/>
      <c r="G5151" s="410" t="s">
        <v>6</v>
      </c>
      <c r="H5151" s="412">
        <v>0.56950000000000001</v>
      </c>
      <c r="I5151" s="412">
        <v>0</v>
      </c>
      <c r="J5151" s="411">
        <v>33.450000000000003</v>
      </c>
      <c r="K5151" s="411">
        <v>19.049775</v>
      </c>
    </row>
    <row r="5152" spans="1:11" ht="25.5" customHeight="1" x14ac:dyDescent="0.3">
      <c r="A5152" s="408" t="s">
        <v>1034</v>
      </c>
      <c r="B5152" s="409" t="s">
        <v>1112</v>
      </c>
      <c r="C5152" s="408" t="s">
        <v>395</v>
      </c>
      <c r="D5152" s="408" t="s">
        <v>137</v>
      </c>
      <c r="E5152" s="604" t="s">
        <v>7768</v>
      </c>
      <c r="F5152" s="604"/>
      <c r="G5152" s="410" t="s">
        <v>6</v>
      </c>
      <c r="H5152" s="412">
        <v>0.56950000000000001</v>
      </c>
      <c r="I5152" s="412">
        <v>0</v>
      </c>
      <c r="J5152" s="411">
        <v>40.299999999999997</v>
      </c>
      <c r="K5152" s="411">
        <v>22.950849999999999</v>
      </c>
    </row>
    <row r="5153" spans="1:11" ht="38.25" customHeight="1" x14ac:dyDescent="0.3">
      <c r="A5153" s="400" t="s">
        <v>1038</v>
      </c>
      <c r="B5153" s="401" t="s">
        <v>2535</v>
      </c>
      <c r="C5153" s="400" t="s">
        <v>395</v>
      </c>
      <c r="D5153" s="400" t="s">
        <v>262</v>
      </c>
      <c r="E5153" s="605" t="s">
        <v>1039</v>
      </c>
      <c r="F5153" s="605"/>
      <c r="G5153" s="402" t="s">
        <v>4</v>
      </c>
      <c r="H5153" s="403">
        <v>3.5400000000000001E-2</v>
      </c>
      <c r="I5153" s="403">
        <v>0</v>
      </c>
      <c r="J5153" s="404">
        <v>16.45</v>
      </c>
      <c r="K5153" s="404">
        <v>0.58233000000000001</v>
      </c>
    </row>
    <row r="5154" spans="1:11" ht="14.25" customHeight="1" x14ac:dyDescent="0.3">
      <c r="A5154" s="400" t="s">
        <v>1038</v>
      </c>
      <c r="B5154" s="401" t="s">
        <v>4152</v>
      </c>
      <c r="C5154" s="400" t="s">
        <v>395</v>
      </c>
      <c r="D5154" s="400" t="s">
        <v>4153</v>
      </c>
      <c r="E5154" s="605" t="s">
        <v>1039</v>
      </c>
      <c r="F5154" s="605"/>
      <c r="G5154" s="402" t="s">
        <v>4</v>
      </c>
      <c r="H5154" s="403">
        <v>1</v>
      </c>
      <c r="I5154" s="403">
        <v>0</v>
      </c>
      <c r="J5154" s="404">
        <v>1093.1300000000001</v>
      </c>
      <c r="K5154" s="404">
        <v>1093.1300000000001</v>
      </c>
    </row>
    <row r="5155" spans="1:11" ht="25.5" customHeight="1" x14ac:dyDescent="0.3">
      <c r="A5155" s="405"/>
      <c r="B5155" s="405"/>
      <c r="C5155" s="405"/>
      <c r="D5155" s="405"/>
      <c r="E5155" s="405" t="s">
        <v>1046</v>
      </c>
      <c r="F5155" s="406">
        <v>30.93</v>
      </c>
      <c r="G5155" s="405" t="s">
        <v>1047</v>
      </c>
      <c r="H5155" s="406">
        <v>0</v>
      </c>
      <c r="I5155" s="405" t="s">
        <v>1048</v>
      </c>
      <c r="J5155" s="406">
        <v>30.93</v>
      </c>
      <c r="K5155"/>
    </row>
    <row r="5156" spans="1:11" ht="15" customHeight="1" thickBot="1" x14ac:dyDescent="0.35">
      <c r="A5156" s="405"/>
      <c r="B5156" s="405"/>
      <c r="C5156" s="405"/>
      <c r="D5156" s="405"/>
      <c r="E5156" s="405" t="s">
        <v>1049</v>
      </c>
      <c r="F5156" s="406">
        <v>0</v>
      </c>
      <c r="G5156" s="405"/>
      <c r="H5156" s="606"/>
      <c r="I5156" s="606" t="s">
        <v>1050</v>
      </c>
      <c r="J5156" s="406">
        <v>1135.71</v>
      </c>
      <c r="K5156"/>
    </row>
    <row r="5157" spans="1:11" ht="30" customHeight="1" thickTop="1" x14ac:dyDescent="0.3">
      <c r="A5157" s="407"/>
      <c r="B5157" s="407"/>
      <c r="C5157" s="407"/>
      <c r="D5157" s="407"/>
      <c r="E5157" s="407"/>
      <c r="F5157" s="407"/>
      <c r="G5157" s="407"/>
      <c r="H5157" s="407"/>
      <c r="I5157" s="407"/>
      <c r="J5157" s="407"/>
      <c r="K5157" s="407"/>
    </row>
    <row r="5158" spans="1:11" ht="12.75" customHeight="1" x14ac:dyDescent="0.3">
      <c r="A5158" s="382" t="s">
        <v>3350</v>
      </c>
      <c r="B5158" s="312" t="s">
        <v>413</v>
      </c>
      <c r="C5158" s="382" t="s">
        <v>414</v>
      </c>
      <c r="D5158" s="382" t="s">
        <v>415</v>
      </c>
      <c r="E5158" s="586" t="s">
        <v>1029</v>
      </c>
      <c r="F5158" s="586"/>
      <c r="G5158" s="383" t="s">
        <v>416</v>
      </c>
      <c r="H5158" s="312" t="s">
        <v>1030</v>
      </c>
      <c r="I5158" s="312" t="s">
        <v>3016</v>
      </c>
      <c r="J5158" s="312" t="s">
        <v>1031</v>
      </c>
      <c r="K5158" s="312" t="s">
        <v>1032</v>
      </c>
    </row>
    <row r="5159" spans="1:11" ht="25.5" customHeight="1" x14ac:dyDescent="0.3">
      <c r="A5159" s="313" t="s">
        <v>1033</v>
      </c>
      <c r="B5159" s="315" t="s">
        <v>3982</v>
      </c>
      <c r="C5159" s="313" t="s">
        <v>395</v>
      </c>
      <c r="D5159" s="313" t="s">
        <v>366</v>
      </c>
      <c r="E5159" s="603" t="s">
        <v>7811</v>
      </c>
      <c r="F5159" s="603"/>
      <c r="G5159" s="314" t="s">
        <v>4</v>
      </c>
      <c r="H5159" s="399">
        <v>1</v>
      </c>
      <c r="I5159" s="316"/>
      <c r="J5159" s="316">
        <v>776.82</v>
      </c>
      <c r="K5159" s="316">
        <v>776.82</v>
      </c>
    </row>
    <row r="5160" spans="1:11" ht="25.5" customHeight="1" x14ac:dyDescent="0.3">
      <c r="A5160" s="408" t="s">
        <v>1034</v>
      </c>
      <c r="B5160" s="409" t="s">
        <v>1113</v>
      </c>
      <c r="C5160" s="408" t="s">
        <v>395</v>
      </c>
      <c r="D5160" s="408" t="s">
        <v>129</v>
      </c>
      <c r="E5160" s="604" t="s">
        <v>7768</v>
      </c>
      <c r="F5160" s="604"/>
      <c r="G5160" s="410" t="s">
        <v>6</v>
      </c>
      <c r="H5160" s="412">
        <v>0.28470000000000001</v>
      </c>
      <c r="I5160" s="412">
        <v>0</v>
      </c>
      <c r="J5160" s="411">
        <v>33.450000000000003</v>
      </c>
      <c r="K5160" s="411">
        <v>9.5232150000000004</v>
      </c>
    </row>
    <row r="5161" spans="1:11" ht="26.4" x14ac:dyDescent="0.3">
      <c r="A5161" s="408" t="s">
        <v>1034</v>
      </c>
      <c r="B5161" s="409" t="s">
        <v>1112</v>
      </c>
      <c r="C5161" s="408" t="s">
        <v>395</v>
      </c>
      <c r="D5161" s="408" t="s">
        <v>137</v>
      </c>
      <c r="E5161" s="604" t="s">
        <v>7768</v>
      </c>
      <c r="F5161" s="604"/>
      <c r="G5161" s="410" t="s">
        <v>6</v>
      </c>
      <c r="H5161" s="412">
        <v>0.28470000000000001</v>
      </c>
      <c r="I5161" s="412">
        <v>0</v>
      </c>
      <c r="J5161" s="411">
        <v>40.299999999999997</v>
      </c>
      <c r="K5161" s="411">
        <v>11.473409999999999</v>
      </c>
    </row>
    <row r="5162" spans="1:11" ht="38.25" customHeight="1" x14ac:dyDescent="0.3">
      <c r="A5162" s="400" t="s">
        <v>1038</v>
      </c>
      <c r="B5162" s="401" t="s">
        <v>2535</v>
      </c>
      <c r="C5162" s="400" t="s">
        <v>395</v>
      </c>
      <c r="D5162" s="400" t="s">
        <v>262</v>
      </c>
      <c r="E5162" s="605" t="s">
        <v>1039</v>
      </c>
      <c r="F5162" s="605"/>
      <c r="G5162" s="402" t="s">
        <v>4</v>
      </c>
      <c r="H5162" s="403">
        <v>1.77E-2</v>
      </c>
      <c r="I5162" s="403">
        <v>0</v>
      </c>
      <c r="J5162" s="404">
        <v>16.45</v>
      </c>
      <c r="K5162" s="404">
        <v>0.29116500000000001</v>
      </c>
    </row>
    <row r="5163" spans="1:11" ht="38.25" customHeight="1" x14ac:dyDescent="0.3">
      <c r="A5163" s="400" t="s">
        <v>1038</v>
      </c>
      <c r="B5163" s="401" t="s">
        <v>4168</v>
      </c>
      <c r="C5163" s="400" t="s">
        <v>395</v>
      </c>
      <c r="D5163" s="400" t="s">
        <v>4169</v>
      </c>
      <c r="E5163" s="605" t="s">
        <v>1039</v>
      </c>
      <c r="F5163" s="605"/>
      <c r="G5163" s="402" t="s">
        <v>4</v>
      </c>
      <c r="H5163" s="403">
        <v>1</v>
      </c>
      <c r="I5163" s="403">
        <v>0</v>
      </c>
      <c r="J5163" s="404">
        <v>755.53</v>
      </c>
      <c r="K5163" s="404">
        <v>755.53</v>
      </c>
    </row>
    <row r="5164" spans="1:11" ht="25.5" customHeight="1" x14ac:dyDescent="0.3">
      <c r="A5164" s="405"/>
      <c r="B5164" s="405"/>
      <c r="C5164" s="405"/>
      <c r="D5164" s="405"/>
      <c r="E5164" s="405" t="s">
        <v>1046</v>
      </c>
      <c r="F5164" s="406">
        <v>15.46</v>
      </c>
      <c r="G5164" s="405" t="s">
        <v>1047</v>
      </c>
      <c r="H5164" s="406">
        <v>0.01</v>
      </c>
      <c r="I5164" s="405" t="s">
        <v>1048</v>
      </c>
      <c r="J5164" s="406">
        <v>15.47</v>
      </c>
      <c r="K5164"/>
    </row>
    <row r="5165" spans="1:11" ht="15" customHeight="1" thickBot="1" x14ac:dyDescent="0.35">
      <c r="A5165" s="405"/>
      <c r="B5165" s="405"/>
      <c r="C5165" s="405"/>
      <c r="D5165" s="405"/>
      <c r="E5165" s="405" t="s">
        <v>1049</v>
      </c>
      <c r="F5165" s="406">
        <v>0</v>
      </c>
      <c r="G5165" s="405"/>
      <c r="H5165" s="606"/>
      <c r="I5165" s="606" t="s">
        <v>1050</v>
      </c>
      <c r="J5165" s="406">
        <v>776.82</v>
      </c>
      <c r="K5165"/>
    </row>
    <row r="5166" spans="1:11" ht="25.5" customHeight="1" thickTop="1" x14ac:dyDescent="0.3">
      <c r="A5166" s="407"/>
      <c r="B5166" s="407"/>
      <c r="C5166" s="407"/>
      <c r="D5166" s="407"/>
      <c r="E5166" s="407"/>
      <c r="F5166" s="407"/>
      <c r="G5166" s="407"/>
      <c r="H5166" s="407"/>
      <c r="I5166" s="407"/>
      <c r="J5166" s="407"/>
      <c r="K5166" s="407"/>
    </row>
    <row r="5167" spans="1:11" ht="12.75" customHeight="1" x14ac:dyDescent="0.3">
      <c r="A5167" s="382" t="s">
        <v>3351</v>
      </c>
      <c r="B5167" s="312" t="s">
        <v>413</v>
      </c>
      <c r="C5167" s="382" t="s">
        <v>414</v>
      </c>
      <c r="D5167" s="382" t="s">
        <v>415</v>
      </c>
      <c r="E5167" s="586" t="s">
        <v>1029</v>
      </c>
      <c r="F5167" s="586"/>
      <c r="G5167" s="383" t="s">
        <v>416</v>
      </c>
      <c r="H5167" s="312" t="s">
        <v>1030</v>
      </c>
      <c r="I5167" s="312" t="s">
        <v>3016</v>
      </c>
      <c r="J5167" s="312" t="s">
        <v>1031</v>
      </c>
      <c r="K5167" s="312" t="s">
        <v>1032</v>
      </c>
    </row>
    <row r="5168" spans="1:11" ht="26.4" x14ac:dyDescent="0.3">
      <c r="A5168" s="313" t="s">
        <v>1033</v>
      </c>
      <c r="B5168" s="315" t="s">
        <v>3983</v>
      </c>
      <c r="C5168" s="313" t="s">
        <v>395</v>
      </c>
      <c r="D5168" s="313" t="s">
        <v>354</v>
      </c>
      <c r="E5168" s="603" t="s">
        <v>7811</v>
      </c>
      <c r="F5168" s="603"/>
      <c r="G5168" s="314" t="s">
        <v>4</v>
      </c>
      <c r="H5168" s="399">
        <v>1</v>
      </c>
      <c r="I5168" s="316"/>
      <c r="J5168" s="316">
        <v>236.62</v>
      </c>
      <c r="K5168" s="316">
        <v>236.62</v>
      </c>
    </row>
    <row r="5169" spans="1:11" ht="12.75" customHeight="1" x14ac:dyDescent="0.3">
      <c r="A5169" s="408" t="s">
        <v>1034</v>
      </c>
      <c r="B5169" s="409" t="s">
        <v>1113</v>
      </c>
      <c r="C5169" s="408" t="s">
        <v>395</v>
      </c>
      <c r="D5169" s="408" t="s">
        <v>129</v>
      </c>
      <c r="E5169" s="604" t="s">
        <v>7768</v>
      </c>
      <c r="F5169" s="604"/>
      <c r="G5169" s="410" t="s">
        <v>6</v>
      </c>
      <c r="H5169" s="412">
        <v>0.4546</v>
      </c>
      <c r="I5169" s="412">
        <v>0</v>
      </c>
      <c r="J5169" s="411">
        <v>33.450000000000003</v>
      </c>
      <c r="K5169" s="411">
        <v>15.20637</v>
      </c>
    </row>
    <row r="5170" spans="1:11" ht="25.5" customHeight="1" x14ac:dyDescent="0.3">
      <c r="A5170" s="408" t="s">
        <v>1034</v>
      </c>
      <c r="B5170" s="409" t="s">
        <v>1112</v>
      </c>
      <c r="C5170" s="408" t="s">
        <v>395</v>
      </c>
      <c r="D5170" s="408" t="s">
        <v>137</v>
      </c>
      <c r="E5170" s="604" t="s">
        <v>7768</v>
      </c>
      <c r="F5170" s="604"/>
      <c r="G5170" s="410" t="s">
        <v>6</v>
      </c>
      <c r="H5170" s="412">
        <v>0.4546</v>
      </c>
      <c r="I5170" s="412">
        <v>0</v>
      </c>
      <c r="J5170" s="411">
        <v>40.299999999999997</v>
      </c>
      <c r="K5170" s="411">
        <v>18.32038</v>
      </c>
    </row>
    <row r="5171" spans="1:11" ht="25.5" customHeight="1" x14ac:dyDescent="0.3">
      <c r="A5171" s="400" t="s">
        <v>1038</v>
      </c>
      <c r="B5171" s="401" t="s">
        <v>2535</v>
      </c>
      <c r="C5171" s="400" t="s">
        <v>395</v>
      </c>
      <c r="D5171" s="400" t="s">
        <v>262</v>
      </c>
      <c r="E5171" s="605" t="s">
        <v>1039</v>
      </c>
      <c r="F5171" s="605"/>
      <c r="G5171" s="402" t="s">
        <v>4</v>
      </c>
      <c r="H5171" s="403">
        <v>3.0200000000000001E-2</v>
      </c>
      <c r="I5171" s="403">
        <v>0</v>
      </c>
      <c r="J5171" s="404">
        <v>16.45</v>
      </c>
      <c r="K5171" s="404">
        <v>0.49679000000000001</v>
      </c>
    </row>
    <row r="5172" spans="1:11" ht="25.5" customHeight="1" x14ac:dyDescent="0.3">
      <c r="A5172" s="400" t="s">
        <v>1038</v>
      </c>
      <c r="B5172" s="401" t="s">
        <v>4202</v>
      </c>
      <c r="C5172" s="400" t="s">
        <v>395</v>
      </c>
      <c r="D5172" s="400" t="s">
        <v>4203</v>
      </c>
      <c r="E5172" s="605" t="s">
        <v>1039</v>
      </c>
      <c r="F5172" s="605"/>
      <c r="G5172" s="402" t="s">
        <v>4</v>
      </c>
      <c r="H5172" s="403">
        <v>1</v>
      </c>
      <c r="I5172" s="403">
        <v>0</v>
      </c>
      <c r="J5172" s="404">
        <v>202.6</v>
      </c>
      <c r="K5172" s="404">
        <v>202.6</v>
      </c>
    </row>
    <row r="5173" spans="1:11" ht="25.5" customHeight="1" x14ac:dyDescent="0.3">
      <c r="A5173" s="405"/>
      <c r="B5173" s="405"/>
      <c r="C5173" s="405"/>
      <c r="D5173" s="405"/>
      <c r="E5173" s="405" t="s">
        <v>1046</v>
      </c>
      <c r="F5173" s="406">
        <v>24.69</v>
      </c>
      <c r="G5173" s="405" t="s">
        <v>1047</v>
      </c>
      <c r="H5173" s="406">
        <v>0</v>
      </c>
      <c r="I5173" s="405" t="s">
        <v>1048</v>
      </c>
      <c r="J5173" s="406">
        <v>24.69</v>
      </c>
      <c r="K5173"/>
    </row>
    <row r="5174" spans="1:11" ht="15" customHeight="1" thickBot="1" x14ac:dyDescent="0.35">
      <c r="A5174" s="405"/>
      <c r="B5174" s="405"/>
      <c r="C5174" s="405"/>
      <c r="D5174" s="405"/>
      <c r="E5174" s="405" t="s">
        <v>1049</v>
      </c>
      <c r="F5174" s="406">
        <v>0</v>
      </c>
      <c r="G5174" s="405"/>
      <c r="H5174" s="606"/>
      <c r="I5174" s="606" t="s">
        <v>1050</v>
      </c>
      <c r="J5174" s="406">
        <v>236.62</v>
      </c>
      <c r="K5174"/>
    </row>
    <row r="5175" spans="1:11" ht="17.399999999999999" customHeight="1" thickTop="1" x14ac:dyDescent="0.3">
      <c r="A5175" s="407"/>
      <c r="B5175" s="407"/>
      <c r="C5175" s="407"/>
      <c r="D5175" s="407"/>
      <c r="E5175" s="407"/>
      <c r="F5175" s="407"/>
      <c r="G5175" s="407"/>
      <c r="H5175" s="407"/>
      <c r="I5175" s="407"/>
      <c r="J5175" s="407"/>
      <c r="K5175" s="407"/>
    </row>
    <row r="5176" spans="1:11" ht="14.25" customHeight="1" x14ac:dyDescent="0.3">
      <c r="A5176" s="382" t="s">
        <v>3352</v>
      </c>
      <c r="B5176" s="312" t="s">
        <v>413</v>
      </c>
      <c r="C5176" s="382" t="s">
        <v>414</v>
      </c>
      <c r="D5176" s="382" t="s">
        <v>415</v>
      </c>
      <c r="E5176" s="586" t="s">
        <v>1029</v>
      </c>
      <c r="F5176" s="586"/>
      <c r="G5176" s="383" t="s">
        <v>416</v>
      </c>
      <c r="H5176" s="312" t="s">
        <v>1030</v>
      </c>
      <c r="I5176" s="312" t="s">
        <v>3016</v>
      </c>
      <c r="J5176" s="312" t="s">
        <v>1031</v>
      </c>
      <c r="K5176" s="312" t="s">
        <v>1032</v>
      </c>
    </row>
    <row r="5177" spans="1:11" ht="26.4" x14ac:dyDescent="0.3">
      <c r="A5177" s="313" t="s">
        <v>1033</v>
      </c>
      <c r="B5177" s="315" t="s">
        <v>3984</v>
      </c>
      <c r="C5177" s="313" t="s">
        <v>395</v>
      </c>
      <c r="D5177" s="313" t="s">
        <v>355</v>
      </c>
      <c r="E5177" s="603" t="s">
        <v>7811</v>
      </c>
      <c r="F5177" s="603"/>
      <c r="G5177" s="314" t="s">
        <v>4</v>
      </c>
      <c r="H5177" s="399">
        <v>1</v>
      </c>
      <c r="I5177" s="316"/>
      <c r="J5177" s="316">
        <v>287.86</v>
      </c>
      <c r="K5177" s="316">
        <v>287.86</v>
      </c>
    </row>
    <row r="5178" spans="1:11" ht="15" customHeight="1" x14ac:dyDescent="0.3">
      <c r="A5178" s="408" t="s">
        <v>1034</v>
      </c>
      <c r="B5178" s="409" t="s">
        <v>1113</v>
      </c>
      <c r="C5178" s="408" t="s">
        <v>395</v>
      </c>
      <c r="D5178" s="408" t="s">
        <v>129</v>
      </c>
      <c r="E5178" s="604" t="s">
        <v>7768</v>
      </c>
      <c r="F5178" s="604"/>
      <c r="G5178" s="410" t="s">
        <v>6</v>
      </c>
      <c r="H5178" s="412">
        <v>0.56950000000000001</v>
      </c>
      <c r="I5178" s="412">
        <v>0</v>
      </c>
      <c r="J5178" s="411">
        <v>33.450000000000003</v>
      </c>
      <c r="K5178" s="411">
        <v>19.049775</v>
      </c>
    </row>
    <row r="5179" spans="1:11" ht="25.5" customHeight="1" x14ac:dyDescent="0.3">
      <c r="A5179" s="408" t="s">
        <v>1034</v>
      </c>
      <c r="B5179" s="409" t="s">
        <v>1112</v>
      </c>
      <c r="C5179" s="408" t="s">
        <v>395</v>
      </c>
      <c r="D5179" s="408" t="s">
        <v>137</v>
      </c>
      <c r="E5179" s="604" t="s">
        <v>7768</v>
      </c>
      <c r="F5179" s="604"/>
      <c r="G5179" s="410" t="s">
        <v>6</v>
      </c>
      <c r="H5179" s="412">
        <v>0.56950000000000001</v>
      </c>
      <c r="I5179" s="412">
        <v>0</v>
      </c>
      <c r="J5179" s="411">
        <v>40.299999999999997</v>
      </c>
      <c r="K5179" s="411">
        <v>22.950849999999999</v>
      </c>
    </row>
    <row r="5180" spans="1:11" ht="25.5" customHeight="1" x14ac:dyDescent="0.3">
      <c r="A5180" s="400" t="s">
        <v>1038</v>
      </c>
      <c r="B5180" s="401" t="s">
        <v>2535</v>
      </c>
      <c r="C5180" s="400" t="s">
        <v>395</v>
      </c>
      <c r="D5180" s="400" t="s">
        <v>262</v>
      </c>
      <c r="E5180" s="605" t="s">
        <v>1039</v>
      </c>
      <c r="F5180" s="605"/>
      <c r="G5180" s="402" t="s">
        <v>4</v>
      </c>
      <c r="H5180" s="403">
        <v>3.5400000000000001E-2</v>
      </c>
      <c r="I5180" s="403">
        <v>0</v>
      </c>
      <c r="J5180" s="404">
        <v>16.45</v>
      </c>
      <c r="K5180" s="404">
        <v>0.58233000000000001</v>
      </c>
    </row>
    <row r="5181" spans="1:11" ht="25.5" customHeight="1" x14ac:dyDescent="0.3">
      <c r="A5181" s="400" t="s">
        <v>1038</v>
      </c>
      <c r="B5181" s="401" t="s">
        <v>4183</v>
      </c>
      <c r="C5181" s="400" t="s">
        <v>395</v>
      </c>
      <c r="D5181" s="400" t="s">
        <v>4184</v>
      </c>
      <c r="E5181" s="605" t="s">
        <v>1039</v>
      </c>
      <c r="F5181" s="605"/>
      <c r="G5181" s="402" t="s">
        <v>4</v>
      </c>
      <c r="H5181" s="403">
        <v>1</v>
      </c>
      <c r="I5181" s="403">
        <v>0</v>
      </c>
      <c r="J5181" s="404">
        <v>245.28</v>
      </c>
      <c r="K5181" s="404">
        <v>245.28</v>
      </c>
    </row>
    <row r="5182" spans="1:11" ht="25.5" customHeight="1" x14ac:dyDescent="0.3">
      <c r="A5182" s="405"/>
      <c r="B5182" s="405"/>
      <c r="C5182" s="405"/>
      <c r="D5182" s="405"/>
      <c r="E5182" s="405" t="s">
        <v>1046</v>
      </c>
      <c r="F5182" s="406">
        <v>30.93</v>
      </c>
      <c r="G5182" s="405" t="s">
        <v>1047</v>
      </c>
      <c r="H5182" s="406">
        <v>0</v>
      </c>
      <c r="I5182" s="405" t="s">
        <v>1048</v>
      </c>
      <c r="J5182" s="406">
        <v>30.93</v>
      </c>
      <c r="K5182"/>
    </row>
    <row r="5183" spans="1:11" ht="25.5" customHeight="1" thickBot="1" x14ac:dyDescent="0.35">
      <c r="A5183" s="405"/>
      <c r="B5183" s="405"/>
      <c r="C5183" s="405"/>
      <c r="D5183" s="405"/>
      <c r="E5183" s="405" t="s">
        <v>1049</v>
      </c>
      <c r="F5183" s="406">
        <v>0</v>
      </c>
      <c r="G5183" s="405"/>
      <c r="H5183" s="606"/>
      <c r="I5183" s="606" t="s">
        <v>1050</v>
      </c>
      <c r="J5183" s="406">
        <v>287.86</v>
      </c>
      <c r="K5183"/>
    </row>
    <row r="5184" spans="1:11" ht="25.5" customHeight="1" thickTop="1" x14ac:dyDescent="0.3">
      <c r="A5184" s="407"/>
      <c r="B5184" s="407"/>
      <c r="C5184" s="407"/>
      <c r="D5184" s="407"/>
      <c r="E5184" s="407"/>
      <c r="F5184" s="407"/>
      <c r="G5184" s="407"/>
      <c r="H5184" s="407"/>
      <c r="I5184" s="407"/>
      <c r="J5184" s="407"/>
      <c r="K5184" s="407"/>
    </row>
    <row r="5185" spans="1:11" ht="15" customHeight="1" x14ac:dyDescent="0.3">
      <c r="A5185" s="382" t="s">
        <v>3353</v>
      </c>
      <c r="B5185" s="312" t="s">
        <v>413</v>
      </c>
      <c r="C5185" s="382" t="s">
        <v>414</v>
      </c>
      <c r="D5185" s="382" t="s">
        <v>415</v>
      </c>
      <c r="E5185" s="586" t="s">
        <v>1029</v>
      </c>
      <c r="F5185" s="586"/>
      <c r="G5185" s="383" t="s">
        <v>416</v>
      </c>
      <c r="H5185" s="312" t="s">
        <v>1030</v>
      </c>
      <c r="I5185" s="312" t="s">
        <v>3016</v>
      </c>
      <c r="J5185" s="312" t="s">
        <v>1031</v>
      </c>
      <c r="K5185" s="312" t="s">
        <v>1032</v>
      </c>
    </row>
    <row r="5186" spans="1:11" ht="17.399999999999999" customHeight="1" x14ac:dyDescent="0.3">
      <c r="A5186" s="313" t="s">
        <v>1033</v>
      </c>
      <c r="B5186" s="315" t="s">
        <v>971</v>
      </c>
      <c r="C5186" s="313" t="s">
        <v>575</v>
      </c>
      <c r="D5186" s="313" t="s">
        <v>2052</v>
      </c>
      <c r="E5186" s="603" t="s">
        <v>1340</v>
      </c>
      <c r="F5186" s="603"/>
      <c r="G5186" s="314" t="s">
        <v>4</v>
      </c>
      <c r="H5186" s="399">
        <v>1</v>
      </c>
      <c r="I5186" s="316"/>
      <c r="J5186" s="316">
        <v>2709.48</v>
      </c>
      <c r="K5186" s="316">
        <v>2709.48</v>
      </c>
    </row>
    <row r="5187" spans="1:11" ht="14.25" customHeight="1" x14ac:dyDescent="0.3">
      <c r="A5187" s="408" t="s">
        <v>1034</v>
      </c>
      <c r="B5187" s="409" t="s">
        <v>1113</v>
      </c>
      <c r="C5187" s="408" t="s">
        <v>395</v>
      </c>
      <c r="D5187" s="408" t="s">
        <v>129</v>
      </c>
      <c r="E5187" s="604" t="s">
        <v>7768</v>
      </c>
      <c r="F5187" s="604"/>
      <c r="G5187" s="410" t="s">
        <v>6</v>
      </c>
      <c r="H5187" s="412">
        <v>3.0369999999999999</v>
      </c>
      <c r="I5187" s="412">
        <v>0</v>
      </c>
      <c r="J5187" s="411">
        <v>33.450000000000003</v>
      </c>
      <c r="K5187" s="411">
        <v>101.58765</v>
      </c>
    </row>
    <row r="5188" spans="1:11" ht="26.4" x14ac:dyDescent="0.3">
      <c r="A5188" s="408" t="s">
        <v>1034</v>
      </c>
      <c r="B5188" s="409" t="s">
        <v>1112</v>
      </c>
      <c r="C5188" s="408" t="s">
        <v>395</v>
      </c>
      <c r="D5188" s="408" t="s">
        <v>137</v>
      </c>
      <c r="E5188" s="604" t="s">
        <v>7768</v>
      </c>
      <c r="F5188" s="604"/>
      <c r="G5188" s="410" t="s">
        <v>6</v>
      </c>
      <c r="H5188" s="412">
        <v>3.0369999999999999</v>
      </c>
      <c r="I5188" s="412">
        <v>0</v>
      </c>
      <c r="J5188" s="411">
        <v>40.299999999999997</v>
      </c>
      <c r="K5188" s="411">
        <v>122.39109999999999</v>
      </c>
    </row>
    <row r="5189" spans="1:11" ht="15" customHeight="1" x14ac:dyDescent="0.3">
      <c r="A5189" s="400" t="s">
        <v>1038</v>
      </c>
      <c r="B5189" s="401" t="s">
        <v>1343</v>
      </c>
      <c r="C5189" s="400" t="s">
        <v>395</v>
      </c>
      <c r="D5189" s="400" t="s">
        <v>243</v>
      </c>
      <c r="E5189" s="605" t="s">
        <v>1039</v>
      </c>
      <c r="F5189" s="605"/>
      <c r="G5189" s="402" t="s">
        <v>4</v>
      </c>
      <c r="H5189" s="403">
        <v>4</v>
      </c>
      <c r="I5189" s="403">
        <v>0</v>
      </c>
      <c r="J5189" s="404">
        <v>0.74</v>
      </c>
      <c r="K5189" s="404">
        <v>2.96</v>
      </c>
    </row>
    <row r="5190" spans="1:11" ht="25.5" customHeight="1" x14ac:dyDescent="0.3">
      <c r="A5190" s="400" t="s">
        <v>1038</v>
      </c>
      <c r="B5190" s="401" t="s">
        <v>1344</v>
      </c>
      <c r="C5190" s="400" t="s">
        <v>395</v>
      </c>
      <c r="D5190" s="400" t="s">
        <v>232</v>
      </c>
      <c r="E5190" s="605" t="s">
        <v>1039</v>
      </c>
      <c r="F5190" s="605"/>
      <c r="G5190" s="402" t="s">
        <v>4</v>
      </c>
      <c r="H5190" s="403">
        <v>1</v>
      </c>
      <c r="I5190" s="403">
        <v>0</v>
      </c>
      <c r="J5190" s="404">
        <v>74.739999999999995</v>
      </c>
      <c r="K5190" s="404">
        <v>74.739999999999995</v>
      </c>
    </row>
    <row r="5191" spans="1:11" ht="25.5" customHeight="1" x14ac:dyDescent="0.3">
      <c r="A5191" s="400" t="s">
        <v>1038</v>
      </c>
      <c r="B5191" s="401" t="s">
        <v>1345</v>
      </c>
      <c r="C5191" s="400" t="s">
        <v>395</v>
      </c>
      <c r="D5191" s="400" t="s">
        <v>276</v>
      </c>
      <c r="E5191" s="605" t="s">
        <v>1039</v>
      </c>
      <c r="F5191" s="605"/>
      <c r="G5191" s="402" t="s">
        <v>4</v>
      </c>
      <c r="H5191" s="403">
        <v>1</v>
      </c>
      <c r="I5191" s="403">
        <v>0</v>
      </c>
      <c r="J5191" s="404">
        <v>218</v>
      </c>
      <c r="K5191" s="404">
        <v>218</v>
      </c>
    </row>
    <row r="5192" spans="1:11" ht="25.5" customHeight="1" x14ac:dyDescent="0.3">
      <c r="A5192" s="400" t="s">
        <v>1038</v>
      </c>
      <c r="B5192" s="401" t="s">
        <v>1346</v>
      </c>
      <c r="C5192" s="400" t="s">
        <v>395</v>
      </c>
      <c r="D5192" s="400" t="s">
        <v>250</v>
      </c>
      <c r="E5192" s="605" t="s">
        <v>1039</v>
      </c>
      <c r="F5192" s="605"/>
      <c r="G5192" s="402" t="s">
        <v>4</v>
      </c>
      <c r="H5192" s="403">
        <v>1</v>
      </c>
      <c r="I5192" s="403">
        <v>0</v>
      </c>
      <c r="J5192" s="404">
        <v>20.76</v>
      </c>
      <c r="K5192" s="404">
        <v>20.76</v>
      </c>
    </row>
    <row r="5193" spans="1:11" ht="25.5" customHeight="1" x14ac:dyDescent="0.3">
      <c r="A5193" s="400" t="s">
        <v>1038</v>
      </c>
      <c r="B5193" s="401" t="s">
        <v>1347</v>
      </c>
      <c r="C5193" s="400" t="s">
        <v>395</v>
      </c>
      <c r="D5193" s="400" t="s">
        <v>260</v>
      </c>
      <c r="E5193" s="605" t="s">
        <v>1039</v>
      </c>
      <c r="F5193" s="605"/>
      <c r="G5193" s="402" t="s">
        <v>4</v>
      </c>
      <c r="H5193" s="403">
        <v>1</v>
      </c>
      <c r="I5193" s="403">
        <v>0</v>
      </c>
      <c r="J5193" s="404">
        <v>256.01</v>
      </c>
      <c r="K5193" s="404">
        <v>256.01</v>
      </c>
    </row>
    <row r="5194" spans="1:11" ht="52.8" x14ac:dyDescent="0.3">
      <c r="A5194" s="400" t="s">
        <v>1038</v>
      </c>
      <c r="B5194" s="401" t="s">
        <v>1348</v>
      </c>
      <c r="C5194" s="400" t="s">
        <v>395</v>
      </c>
      <c r="D5194" s="400" t="s">
        <v>247</v>
      </c>
      <c r="E5194" s="605" t="s">
        <v>1039</v>
      </c>
      <c r="F5194" s="605"/>
      <c r="G5194" s="402" t="s">
        <v>4</v>
      </c>
      <c r="H5194" s="403">
        <v>1</v>
      </c>
      <c r="I5194" s="403">
        <v>0</v>
      </c>
      <c r="J5194" s="404">
        <v>457.59</v>
      </c>
      <c r="K5194" s="404">
        <v>457.59</v>
      </c>
    </row>
    <row r="5195" spans="1:11" ht="39.6" x14ac:dyDescent="0.3">
      <c r="A5195" s="400" t="s">
        <v>1038</v>
      </c>
      <c r="B5195" s="401" t="s">
        <v>1349</v>
      </c>
      <c r="C5195" s="400" t="s">
        <v>395</v>
      </c>
      <c r="D5195" s="400" t="s">
        <v>267</v>
      </c>
      <c r="E5195" s="605" t="s">
        <v>1039</v>
      </c>
      <c r="F5195" s="605"/>
      <c r="G5195" s="402" t="s">
        <v>4</v>
      </c>
      <c r="H5195" s="403">
        <v>1</v>
      </c>
      <c r="I5195" s="403">
        <v>0</v>
      </c>
      <c r="J5195" s="404">
        <v>1455.44</v>
      </c>
      <c r="K5195" s="404">
        <v>1455.44</v>
      </c>
    </row>
    <row r="5196" spans="1:11" ht="15" customHeight="1" x14ac:dyDescent="0.3">
      <c r="A5196" s="405"/>
      <c r="B5196" s="405"/>
      <c r="C5196" s="405"/>
      <c r="D5196" s="405"/>
      <c r="E5196" s="405" t="s">
        <v>1046</v>
      </c>
      <c r="F5196" s="406">
        <v>164.94</v>
      </c>
      <c r="G5196" s="405" t="s">
        <v>1047</v>
      </c>
      <c r="H5196" s="406">
        <v>0</v>
      </c>
      <c r="I5196" s="405" t="s">
        <v>1048</v>
      </c>
      <c r="J5196" s="406">
        <v>164.94</v>
      </c>
      <c r="K5196"/>
    </row>
    <row r="5197" spans="1:11" ht="15.6" thickBot="1" x14ac:dyDescent="0.35">
      <c r="A5197" s="405"/>
      <c r="B5197" s="405"/>
      <c r="C5197" s="405"/>
      <c r="D5197" s="405"/>
      <c r="E5197" s="405" t="s">
        <v>1049</v>
      </c>
      <c r="F5197" s="406">
        <v>0</v>
      </c>
      <c r="G5197" s="405"/>
      <c r="H5197" s="606"/>
      <c r="I5197" s="606" t="s">
        <v>1050</v>
      </c>
      <c r="J5197" s="406">
        <v>2709.48</v>
      </c>
      <c r="K5197"/>
    </row>
    <row r="5198" spans="1:11" ht="17.399999999999999" customHeight="1" thickTop="1" x14ac:dyDescent="0.3">
      <c r="A5198" s="407"/>
      <c r="B5198" s="407"/>
      <c r="C5198" s="407"/>
      <c r="D5198" s="407"/>
      <c r="E5198" s="407"/>
      <c r="F5198" s="407"/>
      <c r="G5198" s="407"/>
      <c r="H5198" s="407"/>
      <c r="I5198" s="407"/>
      <c r="J5198" s="407"/>
      <c r="K5198" s="407"/>
    </row>
    <row r="5199" spans="1:11" ht="15" x14ac:dyDescent="0.3">
      <c r="A5199" s="382" t="s">
        <v>3354</v>
      </c>
      <c r="B5199" s="312" t="s">
        <v>413</v>
      </c>
      <c r="C5199" s="382" t="s">
        <v>414</v>
      </c>
      <c r="D5199" s="382" t="s">
        <v>415</v>
      </c>
      <c r="E5199" s="586" t="s">
        <v>1029</v>
      </c>
      <c r="F5199" s="586"/>
      <c r="G5199" s="383" t="s">
        <v>416</v>
      </c>
      <c r="H5199" s="312" t="s">
        <v>1030</v>
      </c>
      <c r="I5199" s="312" t="s">
        <v>3016</v>
      </c>
      <c r="J5199" s="312" t="s">
        <v>1031</v>
      </c>
      <c r="K5199" s="312" t="s">
        <v>1032</v>
      </c>
    </row>
    <row r="5200" spans="1:11" ht="15" customHeight="1" x14ac:dyDescent="0.3">
      <c r="A5200" s="313" t="s">
        <v>1033</v>
      </c>
      <c r="B5200" s="315" t="s">
        <v>973</v>
      </c>
      <c r="C5200" s="313" t="s">
        <v>575</v>
      </c>
      <c r="D5200" s="313" t="s">
        <v>2053</v>
      </c>
      <c r="E5200" s="603" t="s">
        <v>1340</v>
      </c>
      <c r="F5200" s="603"/>
      <c r="G5200" s="314" t="s">
        <v>4</v>
      </c>
      <c r="H5200" s="399">
        <v>1</v>
      </c>
      <c r="I5200" s="316"/>
      <c r="J5200" s="316">
        <v>2714.87</v>
      </c>
      <c r="K5200" s="316">
        <v>2714.87</v>
      </c>
    </row>
    <row r="5201" spans="1:11" ht="25.5" customHeight="1" x14ac:dyDescent="0.3">
      <c r="A5201" s="408" t="s">
        <v>1034</v>
      </c>
      <c r="B5201" s="409" t="s">
        <v>1113</v>
      </c>
      <c r="C5201" s="408" t="s">
        <v>395</v>
      </c>
      <c r="D5201" s="408" t="s">
        <v>129</v>
      </c>
      <c r="E5201" s="604" t="s">
        <v>7768</v>
      </c>
      <c r="F5201" s="604"/>
      <c r="G5201" s="410" t="s">
        <v>6</v>
      </c>
      <c r="H5201" s="412">
        <v>3.0369999999999999</v>
      </c>
      <c r="I5201" s="412">
        <v>0</v>
      </c>
      <c r="J5201" s="411">
        <v>33.450000000000003</v>
      </c>
      <c r="K5201" s="411">
        <v>101.58765</v>
      </c>
    </row>
    <row r="5202" spans="1:11" ht="25.5" customHeight="1" x14ac:dyDescent="0.3">
      <c r="A5202" s="408" t="s">
        <v>1034</v>
      </c>
      <c r="B5202" s="409" t="s">
        <v>1112</v>
      </c>
      <c r="C5202" s="408" t="s">
        <v>395</v>
      </c>
      <c r="D5202" s="408" t="s">
        <v>137</v>
      </c>
      <c r="E5202" s="604" t="s">
        <v>7768</v>
      </c>
      <c r="F5202" s="604"/>
      <c r="G5202" s="410" t="s">
        <v>6</v>
      </c>
      <c r="H5202" s="412">
        <v>3.0369999999999999</v>
      </c>
      <c r="I5202" s="412">
        <v>0</v>
      </c>
      <c r="J5202" s="411">
        <v>40.299999999999997</v>
      </c>
      <c r="K5202" s="411">
        <v>122.39109999999999</v>
      </c>
    </row>
    <row r="5203" spans="1:11" ht="30" customHeight="1" x14ac:dyDescent="0.3">
      <c r="A5203" s="400" t="s">
        <v>1038</v>
      </c>
      <c r="B5203" s="401" t="s">
        <v>1343</v>
      </c>
      <c r="C5203" s="400" t="s">
        <v>395</v>
      </c>
      <c r="D5203" s="400" t="s">
        <v>243</v>
      </c>
      <c r="E5203" s="605" t="s">
        <v>1039</v>
      </c>
      <c r="F5203" s="605"/>
      <c r="G5203" s="402" t="s">
        <v>4</v>
      </c>
      <c r="H5203" s="403">
        <v>4</v>
      </c>
      <c r="I5203" s="403">
        <v>0</v>
      </c>
      <c r="J5203" s="404">
        <v>0.74</v>
      </c>
      <c r="K5203" s="404">
        <v>2.96</v>
      </c>
    </row>
    <row r="5204" spans="1:11" ht="26.4" x14ac:dyDescent="0.3">
      <c r="A5204" s="400" t="s">
        <v>1038</v>
      </c>
      <c r="B5204" s="401" t="s">
        <v>1344</v>
      </c>
      <c r="C5204" s="400" t="s">
        <v>395</v>
      </c>
      <c r="D5204" s="400" t="s">
        <v>232</v>
      </c>
      <c r="E5204" s="605" t="s">
        <v>1039</v>
      </c>
      <c r="F5204" s="605"/>
      <c r="G5204" s="402" t="s">
        <v>4</v>
      </c>
      <c r="H5204" s="403">
        <v>1</v>
      </c>
      <c r="I5204" s="403">
        <v>0</v>
      </c>
      <c r="J5204" s="404">
        <v>74.739999999999995</v>
      </c>
      <c r="K5204" s="404">
        <v>74.739999999999995</v>
      </c>
    </row>
    <row r="5205" spans="1:11" ht="15" customHeight="1" x14ac:dyDescent="0.3">
      <c r="A5205" s="400" t="s">
        <v>1038</v>
      </c>
      <c r="B5205" s="401" t="s">
        <v>1345</v>
      </c>
      <c r="C5205" s="400" t="s">
        <v>395</v>
      </c>
      <c r="D5205" s="400" t="s">
        <v>276</v>
      </c>
      <c r="E5205" s="605" t="s">
        <v>1039</v>
      </c>
      <c r="F5205" s="605"/>
      <c r="G5205" s="402" t="s">
        <v>4</v>
      </c>
      <c r="H5205" s="403">
        <v>1</v>
      </c>
      <c r="I5205" s="403">
        <v>0</v>
      </c>
      <c r="J5205" s="404">
        <v>218</v>
      </c>
      <c r="K5205" s="404">
        <v>218</v>
      </c>
    </row>
    <row r="5206" spans="1:11" ht="12.75" customHeight="1" x14ac:dyDescent="0.3">
      <c r="A5206" s="400" t="s">
        <v>1038</v>
      </c>
      <c r="B5206" s="401" t="s">
        <v>1351</v>
      </c>
      <c r="C5206" s="400" t="s">
        <v>395</v>
      </c>
      <c r="D5206" s="400" t="s">
        <v>248</v>
      </c>
      <c r="E5206" s="605" t="s">
        <v>1039</v>
      </c>
      <c r="F5206" s="605"/>
      <c r="G5206" s="402" t="s">
        <v>4</v>
      </c>
      <c r="H5206" s="403">
        <v>1</v>
      </c>
      <c r="I5206" s="403">
        <v>0</v>
      </c>
      <c r="J5206" s="404">
        <v>462.98</v>
      </c>
      <c r="K5206" s="404">
        <v>462.98</v>
      </c>
    </row>
    <row r="5207" spans="1:11" ht="26.4" x14ac:dyDescent="0.3">
      <c r="A5207" s="400" t="s">
        <v>1038</v>
      </c>
      <c r="B5207" s="401" t="s">
        <v>1346</v>
      </c>
      <c r="C5207" s="400" t="s">
        <v>395</v>
      </c>
      <c r="D5207" s="400" t="s">
        <v>250</v>
      </c>
      <c r="E5207" s="605" t="s">
        <v>1039</v>
      </c>
      <c r="F5207" s="605"/>
      <c r="G5207" s="402" t="s">
        <v>4</v>
      </c>
      <c r="H5207" s="403">
        <v>1</v>
      </c>
      <c r="I5207" s="403">
        <v>0</v>
      </c>
      <c r="J5207" s="404">
        <v>20.76</v>
      </c>
      <c r="K5207" s="404">
        <v>20.76</v>
      </c>
    </row>
    <row r="5208" spans="1:11" ht="26.4" x14ac:dyDescent="0.3">
      <c r="A5208" s="400" t="s">
        <v>1038</v>
      </c>
      <c r="B5208" s="401" t="s">
        <v>1347</v>
      </c>
      <c r="C5208" s="400" t="s">
        <v>395</v>
      </c>
      <c r="D5208" s="400" t="s">
        <v>260</v>
      </c>
      <c r="E5208" s="605" t="s">
        <v>1039</v>
      </c>
      <c r="F5208" s="605"/>
      <c r="G5208" s="402" t="s">
        <v>4</v>
      </c>
      <c r="H5208" s="403">
        <v>1</v>
      </c>
      <c r="I5208" s="403">
        <v>0</v>
      </c>
      <c r="J5208" s="404">
        <v>256.01</v>
      </c>
      <c r="K5208" s="404">
        <v>256.01</v>
      </c>
    </row>
    <row r="5209" spans="1:11" ht="25.5" customHeight="1" x14ac:dyDescent="0.3">
      <c r="A5209" s="400" t="s">
        <v>1038</v>
      </c>
      <c r="B5209" s="401" t="s">
        <v>1349</v>
      </c>
      <c r="C5209" s="400" t="s">
        <v>395</v>
      </c>
      <c r="D5209" s="400" t="s">
        <v>267</v>
      </c>
      <c r="E5209" s="605" t="s">
        <v>1039</v>
      </c>
      <c r="F5209" s="605"/>
      <c r="G5209" s="402" t="s">
        <v>4</v>
      </c>
      <c r="H5209" s="403">
        <v>1</v>
      </c>
      <c r="I5209" s="403">
        <v>0</v>
      </c>
      <c r="J5209" s="404">
        <v>1455.44</v>
      </c>
      <c r="K5209" s="404">
        <v>1455.44</v>
      </c>
    </row>
    <row r="5210" spans="1:11" ht="15" x14ac:dyDescent="0.3">
      <c r="A5210" s="405"/>
      <c r="B5210" s="405"/>
      <c r="C5210" s="405"/>
      <c r="D5210" s="405"/>
      <c r="E5210" s="405" t="s">
        <v>1046</v>
      </c>
      <c r="F5210" s="406">
        <v>164.94</v>
      </c>
      <c r="G5210" s="405" t="s">
        <v>1047</v>
      </c>
      <c r="H5210" s="406">
        <v>0</v>
      </c>
      <c r="I5210" s="405" t="s">
        <v>1048</v>
      </c>
      <c r="J5210" s="406">
        <v>164.94</v>
      </c>
      <c r="K5210"/>
    </row>
    <row r="5211" spans="1:11" ht="15.6" thickBot="1" x14ac:dyDescent="0.35">
      <c r="A5211" s="405"/>
      <c r="B5211" s="405"/>
      <c r="C5211" s="405"/>
      <c r="D5211" s="405"/>
      <c r="E5211" s="405" t="s">
        <v>1049</v>
      </c>
      <c r="F5211" s="406">
        <v>0</v>
      </c>
      <c r="G5211" s="405"/>
      <c r="H5211" s="606"/>
      <c r="I5211" s="606" t="s">
        <v>1050</v>
      </c>
      <c r="J5211" s="406">
        <v>2714.87</v>
      </c>
      <c r="K5211"/>
    </row>
    <row r="5212" spans="1:11" ht="14.25" customHeight="1" thickTop="1" x14ac:dyDescent="0.3">
      <c r="A5212" s="407"/>
      <c r="B5212" s="407"/>
      <c r="C5212" s="407"/>
      <c r="D5212" s="407"/>
      <c r="E5212" s="407"/>
      <c r="F5212" s="407"/>
      <c r="G5212" s="407"/>
      <c r="H5212" s="407"/>
      <c r="I5212" s="407"/>
      <c r="J5212" s="407"/>
      <c r="K5212" s="407"/>
    </row>
    <row r="5213" spans="1:11" ht="25.5" customHeight="1" x14ac:dyDescent="0.3">
      <c r="A5213" s="382" t="s">
        <v>3355</v>
      </c>
      <c r="B5213" s="312" t="s">
        <v>413</v>
      </c>
      <c r="C5213" s="382" t="s">
        <v>414</v>
      </c>
      <c r="D5213" s="382" t="s">
        <v>415</v>
      </c>
      <c r="E5213" s="586" t="s">
        <v>1029</v>
      </c>
      <c r="F5213" s="586"/>
      <c r="G5213" s="383" t="s">
        <v>416</v>
      </c>
      <c r="H5213" s="312" t="s">
        <v>1030</v>
      </c>
      <c r="I5213" s="312" t="s">
        <v>3016</v>
      </c>
      <c r="J5213" s="312" t="s">
        <v>1031</v>
      </c>
      <c r="K5213" s="312" t="s">
        <v>1032</v>
      </c>
    </row>
    <row r="5214" spans="1:11" ht="25.5" customHeight="1" x14ac:dyDescent="0.3">
      <c r="A5214" s="313" t="s">
        <v>1033</v>
      </c>
      <c r="B5214" s="315" t="s">
        <v>978</v>
      </c>
      <c r="C5214" s="313" t="s">
        <v>5902</v>
      </c>
      <c r="D5214" s="313" t="s">
        <v>588</v>
      </c>
      <c r="E5214" s="603">
        <v>50.01</v>
      </c>
      <c r="F5214" s="603"/>
      <c r="G5214" s="314" t="s">
        <v>4</v>
      </c>
      <c r="H5214" s="399">
        <v>1</v>
      </c>
      <c r="I5214" s="316"/>
      <c r="J5214" s="316">
        <v>123.65</v>
      </c>
      <c r="K5214" s="316">
        <v>123.65</v>
      </c>
    </row>
    <row r="5215" spans="1:11" ht="25.5" customHeight="1" x14ac:dyDescent="0.3">
      <c r="A5215" s="400" t="s">
        <v>1038</v>
      </c>
      <c r="B5215" s="401" t="s">
        <v>1360</v>
      </c>
      <c r="C5215" s="400" t="s">
        <v>5902</v>
      </c>
      <c r="D5215" s="400" t="s">
        <v>1361</v>
      </c>
      <c r="E5215" s="605" t="s">
        <v>1053</v>
      </c>
      <c r="F5215" s="605"/>
      <c r="G5215" s="402" t="s">
        <v>6</v>
      </c>
      <c r="H5215" s="403">
        <v>0.1</v>
      </c>
      <c r="I5215" s="403">
        <v>0</v>
      </c>
      <c r="J5215" s="404">
        <v>33.119999999999997</v>
      </c>
      <c r="K5215" s="404">
        <v>3.3119999999999998</v>
      </c>
    </row>
    <row r="5216" spans="1:11" ht="12.75" customHeight="1" x14ac:dyDescent="0.3">
      <c r="A5216" s="400" t="s">
        <v>1038</v>
      </c>
      <c r="B5216" s="401" t="s">
        <v>1358</v>
      </c>
      <c r="C5216" s="400" t="s">
        <v>5902</v>
      </c>
      <c r="D5216" s="400" t="s">
        <v>1359</v>
      </c>
      <c r="E5216" s="605" t="s">
        <v>1053</v>
      </c>
      <c r="F5216" s="605"/>
      <c r="G5216" s="402" t="s">
        <v>6</v>
      </c>
      <c r="H5216" s="403">
        <v>0.1</v>
      </c>
      <c r="I5216" s="403">
        <v>0</v>
      </c>
      <c r="J5216" s="404">
        <v>22.71</v>
      </c>
      <c r="K5216" s="404">
        <v>2.2709999999999999</v>
      </c>
    </row>
    <row r="5217" spans="1:11" ht="26.4" x14ac:dyDescent="0.3">
      <c r="A5217" s="400" t="s">
        <v>1038</v>
      </c>
      <c r="B5217" s="401" t="s">
        <v>1362</v>
      </c>
      <c r="C5217" s="400" t="s">
        <v>5902</v>
      </c>
      <c r="D5217" s="400" t="s">
        <v>1363</v>
      </c>
      <c r="E5217" s="605" t="s">
        <v>1039</v>
      </c>
      <c r="F5217" s="605"/>
      <c r="G5217" s="402" t="s">
        <v>4</v>
      </c>
      <c r="H5217" s="403">
        <v>1</v>
      </c>
      <c r="I5217" s="403">
        <v>0</v>
      </c>
      <c r="J5217" s="404">
        <v>118.07</v>
      </c>
      <c r="K5217" s="404">
        <v>118.07</v>
      </c>
    </row>
    <row r="5218" spans="1:11" ht="15" x14ac:dyDescent="0.3">
      <c r="A5218" s="405"/>
      <c r="B5218" s="405"/>
      <c r="C5218" s="405"/>
      <c r="D5218" s="405"/>
      <c r="E5218" s="405" t="s">
        <v>1046</v>
      </c>
      <c r="F5218" s="406">
        <v>5.58</v>
      </c>
      <c r="G5218" s="405" t="s">
        <v>1047</v>
      </c>
      <c r="H5218" s="406">
        <v>0</v>
      </c>
      <c r="I5218" s="405" t="s">
        <v>1048</v>
      </c>
      <c r="J5218" s="406">
        <v>5.58</v>
      </c>
      <c r="K5218"/>
    </row>
    <row r="5219" spans="1:11" ht="14.25" customHeight="1" thickBot="1" x14ac:dyDescent="0.35">
      <c r="A5219" s="405"/>
      <c r="B5219" s="405"/>
      <c r="C5219" s="405"/>
      <c r="D5219" s="405"/>
      <c r="E5219" s="405" t="s">
        <v>1049</v>
      </c>
      <c r="F5219" s="406">
        <v>0</v>
      </c>
      <c r="G5219" s="405"/>
      <c r="H5219" s="606"/>
      <c r="I5219" s="606" t="s">
        <v>1050</v>
      </c>
      <c r="J5219" s="406">
        <v>123.65</v>
      </c>
      <c r="K5219"/>
    </row>
    <row r="5220" spans="1:11" ht="25.5" customHeight="1" thickTop="1" x14ac:dyDescent="0.3">
      <c r="A5220" s="407"/>
      <c r="B5220" s="407"/>
      <c r="C5220" s="407"/>
      <c r="D5220" s="407"/>
      <c r="E5220" s="407"/>
      <c r="F5220" s="407"/>
      <c r="G5220" s="407"/>
      <c r="H5220" s="407"/>
      <c r="I5220" s="407"/>
      <c r="J5220" s="407"/>
      <c r="K5220" s="407"/>
    </row>
    <row r="5221" spans="1:11" ht="25.5" customHeight="1" x14ac:dyDescent="0.3">
      <c r="A5221" s="382" t="s">
        <v>985</v>
      </c>
      <c r="B5221" s="312" t="s">
        <v>413</v>
      </c>
      <c r="C5221" s="382" t="s">
        <v>414</v>
      </c>
      <c r="D5221" s="382" t="s">
        <v>415</v>
      </c>
      <c r="E5221" s="586" t="s">
        <v>1029</v>
      </c>
      <c r="F5221" s="586"/>
      <c r="G5221" s="383" t="s">
        <v>416</v>
      </c>
      <c r="H5221" s="312" t="s">
        <v>1030</v>
      </c>
      <c r="I5221" s="312" t="s">
        <v>3016</v>
      </c>
      <c r="J5221" s="312" t="s">
        <v>1031</v>
      </c>
      <c r="K5221" s="312" t="s">
        <v>1032</v>
      </c>
    </row>
    <row r="5222" spans="1:11" ht="25.5" customHeight="1" x14ac:dyDescent="0.3">
      <c r="A5222" s="313" t="s">
        <v>1033</v>
      </c>
      <c r="B5222" s="315" t="s">
        <v>3985</v>
      </c>
      <c r="C5222" s="313" t="s">
        <v>395</v>
      </c>
      <c r="D5222" s="313" t="s">
        <v>367</v>
      </c>
      <c r="E5222" s="603" t="s">
        <v>7811</v>
      </c>
      <c r="F5222" s="603"/>
      <c r="G5222" s="314" t="s">
        <v>4</v>
      </c>
      <c r="H5222" s="399">
        <v>1</v>
      </c>
      <c r="I5222" s="316"/>
      <c r="J5222" s="316">
        <v>252.02</v>
      </c>
      <c r="K5222" s="316">
        <v>252.02</v>
      </c>
    </row>
    <row r="5223" spans="1:11" ht="25.5" customHeight="1" x14ac:dyDescent="0.3">
      <c r="A5223" s="408" t="s">
        <v>1034</v>
      </c>
      <c r="B5223" s="409" t="s">
        <v>1113</v>
      </c>
      <c r="C5223" s="408" t="s">
        <v>395</v>
      </c>
      <c r="D5223" s="408" t="s">
        <v>129</v>
      </c>
      <c r="E5223" s="604" t="s">
        <v>7768</v>
      </c>
      <c r="F5223" s="604"/>
      <c r="G5223" s="410" t="s">
        <v>6</v>
      </c>
      <c r="H5223" s="412">
        <v>0.4546</v>
      </c>
      <c r="I5223" s="412">
        <v>0</v>
      </c>
      <c r="J5223" s="411">
        <v>33.450000000000003</v>
      </c>
      <c r="K5223" s="411">
        <v>15.20637</v>
      </c>
    </row>
    <row r="5224" spans="1:11" ht="25.5" customHeight="1" x14ac:dyDescent="0.3">
      <c r="A5224" s="408" t="s">
        <v>1034</v>
      </c>
      <c r="B5224" s="409" t="s">
        <v>1112</v>
      </c>
      <c r="C5224" s="408" t="s">
        <v>395</v>
      </c>
      <c r="D5224" s="408" t="s">
        <v>137</v>
      </c>
      <c r="E5224" s="604" t="s">
        <v>7768</v>
      </c>
      <c r="F5224" s="604"/>
      <c r="G5224" s="410" t="s">
        <v>6</v>
      </c>
      <c r="H5224" s="412">
        <v>0.4546</v>
      </c>
      <c r="I5224" s="412">
        <v>0</v>
      </c>
      <c r="J5224" s="411">
        <v>40.299999999999997</v>
      </c>
      <c r="K5224" s="411">
        <v>18.32038</v>
      </c>
    </row>
    <row r="5225" spans="1:11" ht="15" customHeight="1" x14ac:dyDescent="0.3">
      <c r="A5225" s="400" t="s">
        <v>1038</v>
      </c>
      <c r="B5225" s="401" t="s">
        <v>2535</v>
      </c>
      <c r="C5225" s="400" t="s">
        <v>395</v>
      </c>
      <c r="D5225" s="400" t="s">
        <v>262</v>
      </c>
      <c r="E5225" s="605" t="s">
        <v>1039</v>
      </c>
      <c r="F5225" s="605"/>
      <c r="G5225" s="402" t="s">
        <v>4</v>
      </c>
      <c r="H5225" s="403">
        <v>3.0200000000000001E-2</v>
      </c>
      <c r="I5225" s="403">
        <v>0</v>
      </c>
      <c r="J5225" s="404">
        <v>16.45</v>
      </c>
      <c r="K5225" s="404">
        <v>0.49679000000000001</v>
      </c>
    </row>
    <row r="5226" spans="1:11" ht="25.5" customHeight="1" x14ac:dyDescent="0.3">
      <c r="A5226" s="400" t="s">
        <v>1038</v>
      </c>
      <c r="B5226" s="401" t="s">
        <v>1345</v>
      </c>
      <c r="C5226" s="400" t="s">
        <v>395</v>
      </c>
      <c r="D5226" s="400" t="s">
        <v>276</v>
      </c>
      <c r="E5226" s="605" t="s">
        <v>1039</v>
      </c>
      <c r="F5226" s="605"/>
      <c r="G5226" s="402" t="s">
        <v>4</v>
      </c>
      <c r="H5226" s="403">
        <v>1</v>
      </c>
      <c r="I5226" s="403">
        <v>0</v>
      </c>
      <c r="J5226" s="404">
        <v>218</v>
      </c>
      <c r="K5226" s="404">
        <v>218</v>
      </c>
    </row>
    <row r="5227" spans="1:11" ht="15" x14ac:dyDescent="0.3">
      <c r="A5227" s="405"/>
      <c r="B5227" s="405"/>
      <c r="C5227" s="405"/>
      <c r="D5227" s="405"/>
      <c r="E5227" s="405" t="s">
        <v>1046</v>
      </c>
      <c r="F5227" s="406">
        <v>24.69</v>
      </c>
      <c r="G5227" s="405" t="s">
        <v>1047</v>
      </c>
      <c r="H5227" s="406">
        <v>0</v>
      </c>
      <c r="I5227" s="405" t="s">
        <v>1048</v>
      </c>
      <c r="J5227" s="406">
        <v>24.69</v>
      </c>
      <c r="K5227"/>
    </row>
    <row r="5228" spans="1:11" ht="14.25" customHeight="1" thickBot="1" x14ac:dyDescent="0.35">
      <c r="A5228" s="405"/>
      <c r="B5228" s="405"/>
      <c r="C5228" s="405"/>
      <c r="D5228" s="405"/>
      <c r="E5228" s="405" t="s">
        <v>1049</v>
      </c>
      <c r="F5228" s="406">
        <v>0</v>
      </c>
      <c r="G5228" s="405"/>
      <c r="H5228" s="606"/>
      <c r="I5228" s="606" t="s">
        <v>1050</v>
      </c>
      <c r="J5228" s="406">
        <v>252.02</v>
      </c>
      <c r="K5228"/>
    </row>
    <row r="5229" spans="1:11" ht="25.5" customHeight="1" thickTop="1" x14ac:dyDescent="0.3">
      <c r="A5229" s="407"/>
      <c r="B5229" s="407"/>
      <c r="C5229" s="407"/>
      <c r="D5229" s="407"/>
      <c r="E5229" s="407"/>
      <c r="F5229" s="407"/>
      <c r="G5229" s="407"/>
      <c r="H5229" s="407"/>
      <c r="I5229" s="407"/>
      <c r="J5229" s="407"/>
      <c r="K5229" s="407"/>
    </row>
    <row r="5230" spans="1:11" ht="15" x14ac:dyDescent="0.3">
      <c r="A5230" s="382" t="s">
        <v>3356</v>
      </c>
      <c r="B5230" s="312" t="s">
        <v>413</v>
      </c>
      <c r="C5230" s="382" t="s">
        <v>414</v>
      </c>
      <c r="D5230" s="382" t="s">
        <v>415</v>
      </c>
      <c r="E5230" s="586" t="s">
        <v>1029</v>
      </c>
      <c r="F5230" s="586"/>
      <c r="G5230" s="383" t="s">
        <v>416</v>
      </c>
      <c r="H5230" s="312" t="s">
        <v>1030</v>
      </c>
      <c r="I5230" s="312" t="s">
        <v>3016</v>
      </c>
      <c r="J5230" s="312" t="s">
        <v>1031</v>
      </c>
      <c r="K5230" s="312" t="s">
        <v>1032</v>
      </c>
    </row>
    <row r="5231" spans="1:11" ht="30" customHeight="1" x14ac:dyDescent="0.3">
      <c r="A5231" s="313" t="s">
        <v>1033</v>
      </c>
      <c r="B5231" s="315" t="s">
        <v>2199</v>
      </c>
      <c r="C5231" s="313" t="s">
        <v>5902</v>
      </c>
      <c r="D5231" s="313" t="s">
        <v>1957</v>
      </c>
      <c r="E5231" s="603">
        <v>50.1</v>
      </c>
      <c r="F5231" s="603"/>
      <c r="G5231" s="314" t="s">
        <v>4</v>
      </c>
      <c r="H5231" s="399">
        <v>1</v>
      </c>
      <c r="I5231" s="316"/>
      <c r="J5231" s="316">
        <v>650.83000000000004</v>
      </c>
      <c r="K5231" s="316">
        <v>650.83000000000004</v>
      </c>
    </row>
    <row r="5232" spans="1:11" ht="15" customHeight="1" x14ac:dyDescent="0.3">
      <c r="A5232" s="400" t="s">
        <v>1038</v>
      </c>
      <c r="B5232" s="401" t="s">
        <v>1360</v>
      </c>
      <c r="C5232" s="400" t="s">
        <v>5902</v>
      </c>
      <c r="D5232" s="400" t="s">
        <v>1361</v>
      </c>
      <c r="E5232" s="605" t="s">
        <v>1053</v>
      </c>
      <c r="F5232" s="605"/>
      <c r="G5232" s="402" t="s">
        <v>6</v>
      </c>
      <c r="H5232" s="403">
        <v>0.7</v>
      </c>
      <c r="I5232" s="403">
        <v>0</v>
      </c>
      <c r="J5232" s="404">
        <v>33.119999999999997</v>
      </c>
      <c r="K5232" s="404">
        <v>23.184000000000001</v>
      </c>
    </row>
    <row r="5233" spans="1:11" ht="30" customHeight="1" x14ac:dyDescent="0.3">
      <c r="A5233" s="400" t="s">
        <v>1038</v>
      </c>
      <c r="B5233" s="401" t="s">
        <v>2527</v>
      </c>
      <c r="C5233" s="400" t="s">
        <v>5902</v>
      </c>
      <c r="D5233" s="400" t="s">
        <v>2528</v>
      </c>
      <c r="E5233" s="605" t="s">
        <v>1039</v>
      </c>
      <c r="F5233" s="605"/>
      <c r="G5233" s="402" t="s">
        <v>4</v>
      </c>
      <c r="H5233" s="403">
        <v>1</v>
      </c>
      <c r="I5233" s="403">
        <v>0</v>
      </c>
      <c r="J5233" s="404">
        <v>627.65</v>
      </c>
      <c r="K5233" s="404">
        <v>627.65</v>
      </c>
    </row>
    <row r="5234" spans="1:11" ht="12.75" customHeight="1" x14ac:dyDescent="0.3">
      <c r="A5234" s="405"/>
      <c r="B5234" s="405"/>
      <c r="C5234" s="405"/>
      <c r="D5234" s="405"/>
      <c r="E5234" s="405" t="s">
        <v>1046</v>
      </c>
      <c r="F5234" s="406">
        <v>23.18</v>
      </c>
      <c r="G5234" s="405" t="s">
        <v>1047</v>
      </c>
      <c r="H5234" s="406">
        <v>0</v>
      </c>
      <c r="I5234" s="405" t="s">
        <v>1048</v>
      </c>
      <c r="J5234" s="406">
        <v>23.18</v>
      </c>
      <c r="K5234"/>
    </row>
    <row r="5235" spans="1:11" ht="15.6" thickBot="1" x14ac:dyDescent="0.35">
      <c r="A5235" s="405"/>
      <c r="B5235" s="405"/>
      <c r="C5235" s="405"/>
      <c r="D5235" s="405"/>
      <c r="E5235" s="405" t="s">
        <v>1049</v>
      </c>
      <c r="F5235" s="406">
        <v>0</v>
      </c>
      <c r="G5235" s="405"/>
      <c r="H5235" s="606"/>
      <c r="I5235" s="606" t="s">
        <v>1050</v>
      </c>
      <c r="J5235" s="406">
        <v>650.83000000000004</v>
      </c>
      <c r="K5235"/>
    </row>
    <row r="5236" spans="1:11" ht="15" customHeight="1" thickTop="1" x14ac:dyDescent="0.3">
      <c r="A5236" s="407"/>
      <c r="B5236" s="407"/>
      <c r="C5236" s="407"/>
      <c r="D5236" s="407"/>
      <c r="E5236" s="407"/>
      <c r="F5236" s="407"/>
      <c r="G5236" s="407"/>
      <c r="H5236" s="407"/>
      <c r="I5236" s="407"/>
      <c r="J5236" s="407"/>
      <c r="K5236" s="407"/>
    </row>
    <row r="5237" spans="1:11" ht="14.25" customHeight="1" x14ac:dyDescent="0.3">
      <c r="A5237" s="382" t="s">
        <v>3357</v>
      </c>
      <c r="B5237" s="312" t="s">
        <v>413</v>
      </c>
      <c r="C5237" s="382" t="s">
        <v>414</v>
      </c>
      <c r="D5237" s="382" t="s">
        <v>415</v>
      </c>
      <c r="E5237" s="586" t="s">
        <v>1029</v>
      </c>
      <c r="F5237" s="586"/>
      <c r="G5237" s="383" t="s">
        <v>416</v>
      </c>
      <c r="H5237" s="312" t="s">
        <v>1030</v>
      </c>
      <c r="I5237" s="312" t="s">
        <v>3016</v>
      </c>
      <c r="J5237" s="312" t="s">
        <v>1031</v>
      </c>
      <c r="K5237" s="312" t="s">
        <v>1032</v>
      </c>
    </row>
    <row r="5238" spans="1:11" ht="14.25" customHeight="1" x14ac:dyDescent="0.3">
      <c r="A5238" s="313" t="s">
        <v>1033</v>
      </c>
      <c r="B5238" s="315" t="s">
        <v>2111</v>
      </c>
      <c r="C5238" s="313" t="s">
        <v>5902</v>
      </c>
      <c r="D5238" s="313" t="s">
        <v>2026</v>
      </c>
      <c r="E5238" s="603">
        <v>50.1</v>
      </c>
      <c r="F5238" s="603"/>
      <c r="G5238" s="314" t="s">
        <v>4</v>
      </c>
      <c r="H5238" s="399">
        <v>1</v>
      </c>
      <c r="I5238" s="316"/>
      <c r="J5238" s="316">
        <v>204.49</v>
      </c>
      <c r="K5238" s="316">
        <v>204.49</v>
      </c>
    </row>
    <row r="5239" spans="1:11" ht="15" customHeight="1" x14ac:dyDescent="0.3">
      <c r="A5239" s="400" t="s">
        <v>1038</v>
      </c>
      <c r="B5239" s="401" t="s">
        <v>1360</v>
      </c>
      <c r="C5239" s="400" t="s">
        <v>5902</v>
      </c>
      <c r="D5239" s="400" t="s">
        <v>1361</v>
      </c>
      <c r="E5239" s="605" t="s">
        <v>1053</v>
      </c>
      <c r="F5239" s="605"/>
      <c r="G5239" s="402" t="s">
        <v>6</v>
      </c>
      <c r="H5239" s="403">
        <v>0.7</v>
      </c>
      <c r="I5239" s="403">
        <v>0</v>
      </c>
      <c r="J5239" s="404">
        <v>33.119999999999997</v>
      </c>
      <c r="K5239" s="404">
        <v>23.184000000000001</v>
      </c>
    </row>
    <row r="5240" spans="1:11" ht="15" customHeight="1" x14ac:dyDescent="0.3">
      <c r="A5240" s="400" t="s">
        <v>1038</v>
      </c>
      <c r="B5240" s="401" t="s">
        <v>2267</v>
      </c>
      <c r="C5240" s="400" t="s">
        <v>5902</v>
      </c>
      <c r="D5240" s="400" t="s">
        <v>2268</v>
      </c>
      <c r="E5240" s="605" t="s">
        <v>1039</v>
      </c>
      <c r="F5240" s="605"/>
      <c r="G5240" s="402" t="s">
        <v>4</v>
      </c>
      <c r="H5240" s="403">
        <v>1</v>
      </c>
      <c r="I5240" s="403">
        <v>0</v>
      </c>
      <c r="J5240" s="404">
        <v>181.31</v>
      </c>
      <c r="K5240" s="404">
        <v>181.31</v>
      </c>
    </row>
    <row r="5241" spans="1:11" ht="15" x14ac:dyDescent="0.3">
      <c r="A5241" s="405"/>
      <c r="B5241" s="405"/>
      <c r="C5241" s="405"/>
      <c r="D5241" s="405"/>
      <c r="E5241" s="405" t="s">
        <v>1046</v>
      </c>
      <c r="F5241" s="406">
        <v>23.18</v>
      </c>
      <c r="G5241" s="405" t="s">
        <v>1047</v>
      </c>
      <c r="H5241" s="406">
        <v>0</v>
      </c>
      <c r="I5241" s="405" t="s">
        <v>1048</v>
      </c>
      <c r="J5241" s="406">
        <v>23.18</v>
      </c>
      <c r="K5241"/>
    </row>
    <row r="5242" spans="1:11" ht="15.6" thickBot="1" x14ac:dyDescent="0.35">
      <c r="A5242" s="405"/>
      <c r="B5242" s="405"/>
      <c r="C5242" s="405"/>
      <c r="D5242" s="405"/>
      <c r="E5242" s="405" t="s">
        <v>1049</v>
      </c>
      <c r="F5242" s="406">
        <v>0</v>
      </c>
      <c r="G5242" s="405"/>
      <c r="H5242" s="606"/>
      <c r="I5242" s="606" t="s">
        <v>1050</v>
      </c>
      <c r="J5242" s="406">
        <v>204.49</v>
      </c>
      <c r="K5242"/>
    </row>
    <row r="5243" spans="1:11" ht="12.75" customHeight="1" thickTop="1" x14ac:dyDescent="0.3">
      <c r="A5243" s="407"/>
      <c r="B5243" s="407"/>
      <c r="C5243" s="407"/>
      <c r="D5243" s="407"/>
      <c r="E5243" s="407"/>
      <c r="F5243" s="407"/>
      <c r="G5243" s="407"/>
      <c r="H5243" s="407"/>
      <c r="I5243" s="407"/>
      <c r="J5243" s="407"/>
      <c r="K5243" s="407"/>
    </row>
    <row r="5244" spans="1:11" ht="15" x14ac:dyDescent="0.3">
      <c r="A5244" s="382" t="s">
        <v>3358</v>
      </c>
      <c r="B5244" s="312" t="s">
        <v>413</v>
      </c>
      <c r="C5244" s="382" t="s">
        <v>414</v>
      </c>
      <c r="D5244" s="382" t="s">
        <v>415</v>
      </c>
      <c r="E5244" s="586" t="s">
        <v>1029</v>
      </c>
      <c r="F5244" s="586"/>
      <c r="G5244" s="383" t="s">
        <v>416</v>
      </c>
      <c r="H5244" s="312" t="s">
        <v>1030</v>
      </c>
      <c r="I5244" s="312" t="s">
        <v>3016</v>
      </c>
      <c r="J5244" s="312" t="s">
        <v>1031</v>
      </c>
      <c r="K5244" s="312" t="s">
        <v>1032</v>
      </c>
    </row>
    <row r="5245" spans="1:11" ht="15" x14ac:dyDescent="0.3">
      <c r="A5245" s="313" t="s">
        <v>1033</v>
      </c>
      <c r="B5245" s="315" t="s">
        <v>2200</v>
      </c>
      <c r="C5245" s="313" t="s">
        <v>439</v>
      </c>
      <c r="D5245" s="313" t="s">
        <v>1959</v>
      </c>
      <c r="E5245" s="603" t="s">
        <v>781</v>
      </c>
      <c r="F5245" s="603"/>
      <c r="G5245" s="314" t="s">
        <v>574</v>
      </c>
      <c r="H5245" s="399">
        <v>1</v>
      </c>
      <c r="I5245" s="316"/>
      <c r="J5245" s="316">
        <v>217.12</v>
      </c>
      <c r="K5245" s="316">
        <v>217.12</v>
      </c>
    </row>
    <row r="5246" spans="1:11" ht="14.25" customHeight="1" x14ac:dyDescent="0.3">
      <c r="A5246" s="408" t="s">
        <v>1034</v>
      </c>
      <c r="B5246" s="409" t="s">
        <v>2529</v>
      </c>
      <c r="C5246" s="408" t="s">
        <v>439</v>
      </c>
      <c r="D5246" s="408" t="s">
        <v>2530</v>
      </c>
      <c r="E5246" s="604" t="s">
        <v>781</v>
      </c>
      <c r="F5246" s="604"/>
      <c r="G5246" s="410" t="s">
        <v>1109</v>
      </c>
      <c r="H5246" s="412">
        <v>0.95</v>
      </c>
      <c r="I5246" s="412">
        <v>0</v>
      </c>
      <c r="J5246" s="411">
        <v>26.84</v>
      </c>
      <c r="K5246" s="411">
        <v>25.498000000000001</v>
      </c>
    </row>
    <row r="5247" spans="1:11" ht="14.25" customHeight="1" x14ac:dyDescent="0.3">
      <c r="A5247" s="408" t="s">
        <v>1034</v>
      </c>
      <c r="B5247" s="409" t="s">
        <v>2516</v>
      </c>
      <c r="C5247" s="408" t="s">
        <v>439</v>
      </c>
      <c r="D5247" s="408" t="s">
        <v>2517</v>
      </c>
      <c r="E5247" s="604" t="s">
        <v>781</v>
      </c>
      <c r="F5247" s="604"/>
      <c r="G5247" s="410" t="s">
        <v>1109</v>
      </c>
      <c r="H5247" s="412">
        <v>0.95</v>
      </c>
      <c r="I5247" s="412">
        <v>0</v>
      </c>
      <c r="J5247" s="411">
        <v>32.799999999999997</v>
      </c>
      <c r="K5247" s="411">
        <v>31.16</v>
      </c>
    </row>
    <row r="5248" spans="1:11" ht="15" customHeight="1" x14ac:dyDescent="0.3">
      <c r="A5248" s="400" t="s">
        <v>1038</v>
      </c>
      <c r="B5248" s="401" t="s">
        <v>2531</v>
      </c>
      <c r="C5248" s="400" t="s">
        <v>439</v>
      </c>
      <c r="D5248" s="400" t="s">
        <v>2532</v>
      </c>
      <c r="E5248" s="605" t="s">
        <v>1039</v>
      </c>
      <c r="F5248" s="605"/>
      <c r="G5248" s="402" t="s">
        <v>422</v>
      </c>
      <c r="H5248" s="403">
        <v>2</v>
      </c>
      <c r="I5248" s="403">
        <v>0</v>
      </c>
      <c r="J5248" s="404">
        <v>0.28000000000000003</v>
      </c>
      <c r="K5248" s="404">
        <v>0.56000000000000005</v>
      </c>
    </row>
    <row r="5249" spans="1:11" ht="26.4" x14ac:dyDescent="0.3">
      <c r="A5249" s="400" t="s">
        <v>1038</v>
      </c>
      <c r="B5249" s="401" t="s">
        <v>6544</v>
      </c>
      <c r="C5249" s="400" t="s">
        <v>439</v>
      </c>
      <c r="D5249" s="400" t="s">
        <v>2533</v>
      </c>
      <c r="E5249" s="605" t="s">
        <v>1039</v>
      </c>
      <c r="F5249" s="605"/>
      <c r="G5249" s="402" t="s">
        <v>422</v>
      </c>
      <c r="H5249" s="403">
        <v>1</v>
      </c>
      <c r="I5249" s="403">
        <v>0</v>
      </c>
      <c r="J5249" s="404">
        <v>159.9</v>
      </c>
      <c r="K5249" s="404">
        <v>159.9</v>
      </c>
    </row>
    <row r="5250" spans="1:11" ht="15" x14ac:dyDescent="0.3">
      <c r="A5250" s="405"/>
      <c r="B5250" s="405"/>
      <c r="C5250" s="405"/>
      <c r="D5250" s="405"/>
      <c r="E5250" s="405" t="s">
        <v>1046</v>
      </c>
      <c r="F5250" s="406">
        <v>43.57</v>
      </c>
      <c r="G5250" s="405" t="s">
        <v>1047</v>
      </c>
      <c r="H5250" s="406">
        <v>0</v>
      </c>
      <c r="I5250" s="405" t="s">
        <v>1048</v>
      </c>
      <c r="J5250" s="406">
        <v>43.57</v>
      </c>
      <c r="K5250"/>
    </row>
    <row r="5251" spans="1:11" ht="12.75" customHeight="1" thickBot="1" x14ac:dyDescent="0.35">
      <c r="A5251" s="405"/>
      <c r="B5251" s="405"/>
      <c r="C5251" s="405"/>
      <c r="D5251" s="405"/>
      <c r="E5251" s="405" t="s">
        <v>1049</v>
      </c>
      <c r="F5251" s="406">
        <v>0</v>
      </c>
      <c r="G5251" s="405"/>
      <c r="H5251" s="606"/>
      <c r="I5251" s="606" t="s">
        <v>1050</v>
      </c>
      <c r="J5251" s="406">
        <v>217.12</v>
      </c>
      <c r="K5251"/>
    </row>
    <row r="5252" spans="1:11" ht="15.6" thickTop="1" x14ac:dyDescent="0.3">
      <c r="A5252" s="407"/>
      <c r="B5252" s="407"/>
      <c r="C5252" s="407"/>
      <c r="D5252" s="407"/>
      <c r="E5252" s="407"/>
      <c r="F5252" s="407"/>
      <c r="G5252" s="407"/>
      <c r="H5252" s="407"/>
      <c r="I5252" s="407"/>
      <c r="J5252" s="407"/>
      <c r="K5252" s="407"/>
    </row>
    <row r="5253" spans="1:11" ht="15" x14ac:dyDescent="0.3">
      <c r="A5253" s="382" t="s">
        <v>3359</v>
      </c>
      <c r="B5253" s="312" t="s">
        <v>413</v>
      </c>
      <c r="C5253" s="382" t="s">
        <v>414</v>
      </c>
      <c r="D5253" s="382" t="s">
        <v>415</v>
      </c>
      <c r="E5253" s="586" t="s">
        <v>1029</v>
      </c>
      <c r="F5253" s="586"/>
      <c r="G5253" s="383" t="s">
        <v>416</v>
      </c>
      <c r="H5253" s="312" t="s">
        <v>1030</v>
      </c>
      <c r="I5253" s="312" t="s">
        <v>3016</v>
      </c>
      <c r="J5253" s="312" t="s">
        <v>1031</v>
      </c>
      <c r="K5253" s="312" t="s">
        <v>1032</v>
      </c>
    </row>
    <row r="5254" spans="1:11" ht="26.4" x14ac:dyDescent="0.3">
      <c r="A5254" s="313" t="s">
        <v>1033</v>
      </c>
      <c r="B5254" s="315" t="s">
        <v>2990</v>
      </c>
      <c r="C5254" s="313" t="s">
        <v>575</v>
      </c>
      <c r="D5254" s="313" t="s">
        <v>2880</v>
      </c>
      <c r="E5254" s="603" t="s">
        <v>1319</v>
      </c>
      <c r="F5254" s="603"/>
      <c r="G5254" s="314" t="s">
        <v>4</v>
      </c>
      <c r="H5254" s="399">
        <v>1</v>
      </c>
      <c r="I5254" s="316"/>
      <c r="J5254" s="316">
        <v>3129.71</v>
      </c>
      <c r="K5254" s="316">
        <v>3129.71</v>
      </c>
    </row>
    <row r="5255" spans="1:11" ht="26.4" x14ac:dyDescent="0.3">
      <c r="A5255" s="408" t="s">
        <v>1034</v>
      </c>
      <c r="B5255" s="409" t="s">
        <v>1035</v>
      </c>
      <c r="C5255" s="408" t="s">
        <v>395</v>
      </c>
      <c r="D5255" s="408" t="s">
        <v>128</v>
      </c>
      <c r="E5255" s="604" t="s">
        <v>7768</v>
      </c>
      <c r="F5255" s="604"/>
      <c r="G5255" s="410" t="s">
        <v>6</v>
      </c>
      <c r="H5255" s="412">
        <v>0.753</v>
      </c>
      <c r="I5255" s="412">
        <v>0</v>
      </c>
      <c r="J5255" s="411">
        <v>34.5</v>
      </c>
      <c r="K5255" s="411">
        <v>25.9785</v>
      </c>
    </row>
    <row r="5256" spans="1:11" ht="14.25" customHeight="1" x14ac:dyDescent="0.3">
      <c r="A5256" s="408" t="s">
        <v>1034</v>
      </c>
      <c r="B5256" s="409" t="s">
        <v>1113</v>
      </c>
      <c r="C5256" s="408" t="s">
        <v>395</v>
      </c>
      <c r="D5256" s="408" t="s">
        <v>129</v>
      </c>
      <c r="E5256" s="604" t="s">
        <v>7768</v>
      </c>
      <c r="F5256" s="604"/>
      <c r="G5256" s="410" t="s">
        <v>6</v>
      </c>
      <c r="H5256" s="412">
        <v>2.9020000000000001</v>
      </c>
      <c r="I5256" s="412">
        <v>0</v>
      </c>
      <c r="J5256" s="411">
        <v>33.450000000000003</v>
      </c>
      <c r="K5256" s="411">
        <v>97.071899999999999</v>
      </c>
    </row>
    <row r="5257" spans="1:11" ht="15" customHeight="1" x14ac:dyDescent="0.3">
      <c r="A5257" s="408" t="s">
        <v>1034</v>
      </c>
      <c r="B5257" s="409" t="s">
        <v>1037</v>
      </c>
      <c r="C5257" s="408" t="s">
        <v>395</v>
      </c>
      <c r="D5257" s="408" t="s">
        <v>135</v>
      </c>
      <c r="E5257" s="604" t="s">
        <v>7768</v>
      </c>
      <c r="F5257" s="604"/>
      <c r="G5257" s="410" t="s">
        <v>6</v>
      </c>
      <c r="H5257" s="412">
        <v>0.753</v>
      </c>
      <c r="I5257" s="412">
        <v>0</v>
      </c>
      <c r="J5257" s="411">
        <v>41.81</v>
      </c>
      <c r="K5257" s="411">
        <v>31.48293</v>
      </c>
    </row>
    <row r="5258" spans="1:11" ht="26.4" x14ac:dyDescent="0.3">
      <c r="A5258" s="408" t="s">
        <v>1034</v>
      </c>
      <c r="B5258" s="409" t="s">
        <v>1112</v>
      </c>
      <c r="C5258" s="408" t="s">
        <v>395</v>
      </c>
      <c r="D5258" s="408" t="s">
        <v>137</v>
      </c>
      <c r="E5258" s="604" t="s">
        <v>7768</v>
      </c>
      <c r="F5258" s="604"/>
      <c r="G5258" s="410" t="s">
        <v>6</v>
      </c>
      <c r="H5258" s="412">
        <v>2.9020000000000001</v>
      </c>
      <c r="I5258" s="412">
        <v>0</v>
      </c>
      <c r="J5258" s="411">
        <v>40.299999999999997</v>
      </c>
      <c r="K5258" s="411">
        <v>116.95059999999999</v>
      </c>
    </row>
    <row r="5259" spans="1:11" ht="39.6" x14ac:dyDescent="0.3">
      <c r="A5259" s="400" t="s">
        <v>1038</v>
      </c>
      <c r="B5259" s="401" t="s">
        <v>1320</v>
      </c>
      <c r="C5259" s="400" t="s">
        <v>395</v>
      </c>
      <c r="D5259" s="400" t="s">
        <v>304</v>
      </c>
      <c r="E5259" s="605" t="s">
        <v>1039</v>
      </c>
      <c r="F5259" s="605"/>
      <c r="G5259" s="402" t="s">
        <v>4</v>
      </c>
      <c r="H5259" s="403">
        <v>4</v>
      </c>
      <c r="I5259" s="403">
        <v>0</v>
      </c>
      <c r="J5259" s="404">
        <v>1.29</v>
      </c>
      <c r="K5259" s="404">
        <v>5.16</v>
      </c>
    </row>
    <row r="5260" spans="1:11" ht="12.75" customHeight="1" x14ac:dyDescent="0.3">
      <c r="A5260" s="400" t="s">
        <v>1038</v>
      </c>
      <c r="B5260" s="401" t="s">
        <v>1321</v>
      </c>
      <c r="C5260" s="400" t="s">
        <v>395</v>
      </c>
      <c r="D5260" s="400" t="s">
        <v>291</v>
      </c>
      <c r="E5260" s="605" t="s">
        <v>1039</v>
      </c>
      <c r="F5260" s="605"/>
      <c r="G5260" s="402" t="s">
        <v>7</v>
      </c>
      <c r="H5260" s="403">
        <v>0.2</v>
      </c>
      <c r="I5260" s="403">
        <v>0</v>
      </c>
      <c r="J5260" s="404">
        <v>3.35</v>
      </c>
      <c r="K5260" s="404">
        <v>0.67</v>
      </c>
    </row>
    <row r="5261" spans="1:11" ht="12.75" customHeight="1" x14ac:dyDescent="0.3">
      <c r="A5261" s="400" t="s">
        <v>1038</v>
      </c>
      <c r="B5261" s="401" t="s">
        <v>1322</v>
      </c>
      <c r="C5261" s="400" t="s">
        <v>395</v>
      </c>
      <c r="D5261" s="400" t="s">
        <v>273</v>
      </c>
      <c r="E5261" s="605" t="s">
        <v>1039</v>
      </c>
      <c r="F5261" s="605"/>
      <c r="G5261" s="402" t="s">
        <v>4</v>
      </c>
      <c r="H5261" s="403">
        <v>4</v>
      </c>
      <c r="I5261" s="403">
        <v>0</v>
      </c>
      <c r="J5261" s="404">
        <v>0.35</v>
      </c>
      <c r="K5261" s="404">
        <v>1.4</v>
      </c>
    </row>
    <row r="5262" spans="1:11" ht="25.5" customHeight="1" x14ac:dyDescent="0.3">
      <c r="A5262" s="400" t="s">
        <v>1038</v>
      </c>
      <c r="B5262" s="401" t="s">
        <v>3233</v>
      </c>
      <c r="C5262" s="400" t="s">
        <v>575</v>
      </c>
      <c r="D5262" s="400" t="s">
        <v>3234</v>
      </c>
      <c r="E5262" s="605" t="s">
        <v>1323</v>
      </c>
      <c r="F5262" s="605"/>
      <c r="G5262" s="402" t="s">
        <v>4</v>
      </c>
      <c r="H5262" s="403">
        <v>1</v>
      </c>
      <c r="I5262" s="403">
        <v>0</v>
      </c>
      <c r="J5262" s="404">
        <v>2851</v>
      </c>
      <c r="K5262" s="404">
        <v>2851</v>
      </c>
    </row>
    <row r="5263" spans="1:11" ht="25.5" customHeight="1" x14ac:dyDescent="0.3">
      <c r="A5263" s="405"/>
      <c r="B5263" s="405"/>
      <c r="C5263" s="405"/>
      <c r="D5263" s="405"/>
      <c r="E5263" s="405" t="s">
        <v>1046</v>
      </c>
      <c r="F5263" s="406">
        <v>199.52</v>
      </c>
      <c r="G5263" s="405" t="s">
        <v>1047</v>
      </c>
      <c r="H5263" s="406">
        <v>0</v>
      </c>
      <c r="I5263" s="405" t="s">
        <v>1048</v>
      </c>
      <c r="J5263" s="406">
        <v>199.52</v>
      </c>
      <c r="K5263"/>
    </row>
    <row r="5264" spans="1:11" ht="14.25" customHeight="1" thickBot="1" x14ac:dyDescent="0.35">
      <c r="A5264" s="405"/>
      <c r="B5264" s="405"/>
      <c r="C5264" s="405"/>
      <c r="D5264" s="405"/>
      <c r="E5264" s="405" t="s">
        <v>1049</v>
      </c>
      <c r="F5264" s="406">
        <v>0</v>
      </c>
      <c r="G5264" s="405"/>
      <c r="H5264" s="606"/>
      <c r="I5264" s="606" t="s">
        <v>1050</v>
      </c>
      <c r="J5264" s="406">
        <v>3129.71</v>
      </c>
      <c r="K5264"/>
    </row>
    <row r="5265" spans="1:11" ht="15.6" thickTop="1" x14ac:dyDescent="0.3">
      <c r="A5265" s="407"/>
      <c r="B5265" s="407"/>
      <c r="C5265" s="407"/>
      <c r="D5265" s="407"/>
      <c r="E5265" s="407"/>
      <c r="F5265" s="407"/>
      <c r="G5265" s="407"/>
      <c r="H5265" s="407"/>
      <c r="I5265" s="407"/>
      <c r="J5265" s="407"/>
      <c r="K5265" s="407"/>
    </row>
    <row r="5266" spans="1:11" ht="15" customHeight="1" x14ac:dyDescent="0.3">
      <c r="A5266" s="382" t="s">
        <v>3361</v>
      </c>
      <c r="B5266" s="312" t="s">
        <v>413</v>
      </c>
      <c r="C5266" s="382" t="s">
        <v>414</v>
      </c>
      <c r="D5266" s="382" t="s">
        <v>415</v>
      </c>
      <c r="E5266" s="586" t="s">
        <v>1029</v>
      </c>
      <c r="F5266" s="586"/>
      <c r="G5266" s="383" t="s">
        <v>416</v>
      </c>
      <c r="H5266" s="312" t="s">
        <v>1030</v>
      </c>
      <c r="I5266" s="312" t="s">
        <v>3016</v>
      </c>
      <c r="J5266" s="312" t="s">
        <v>1031</v>
      </c>
      <c r="K5266" s="312" t="s">
        <v>1032</v>
      </c>
    </row>
    <row r="5267" spans="1:11" ht="26.4" x14ac:dyDescent="0.3">
      <c r="A5267" s="313" t="s">
        <v>1033</v>
      </c>
      <c r="B5267" s="315" t="s">
        <v>2991</v>
      </c>
      <c r="C5267" s="313" t="s">
        <v>575</v>
      </c>
      <c r="D5267" s="313" t="s">
        <v>2867</v>
      </c>
      <c r="E5267" s="603" t="s">
        <v>1340</v>
      </c>
      <c r="F5267" s="603"/>
      <c r="G5267" s="314" t="s">
        <v>4</v>
      </c>
      <c r="H5267" s="399">
        <v>1</v>
      </c>
      <c r="I5267" s="316"/>
      <c r="J5267" s="316">
        <v>138.97999999999999</v>
      </c>
      <c r="K5267" s="316">
        <v>138.97999999999999</v>
      </c>
    </row>
    <row r="5268" spans="1:11" ht="26.4" x14ac:dyDescent="0.3">
      <c r="A5268" s="408" t="s">
        <v>1034</v>
      </c>
      <c r="B5268" s="409" t="s">
        <v>1113</v>
      </c>
      <c r="C5268" s="408" t="s">
        <v>395</v>
      </c>
      <c r="D5268" s="408" t="s">
        <v>129</v>
      </c>
      <c r="E5268" s="604" t="s">
        <v>7768</v>
      </c>
      <c r="F5268" s="604"/>
      <c r="G5268" s="410" t="s">
        <v>6</v>
      </c>
      <c r="H5268" s="412">
        <v>1</v>
      </c>
      <c r="I5268" s="412">
        <v>0</v>
      </c>
      <c r="J5268" s="411">
        <v>33.450000000000003</v>
      </c>
      <c r="K5268" s="411">
        <v>33.450000000000003</v>
      </c>
    </row>
    <row r="5269" spans="1:11" ht="12.75" customHeight="1" x14ac:dyDescent="0.3">
      <c r="A5269" s="408" t="s">
        <v>1034</v>
      </c>
      <c r="B5269" s="409" t="s">
        <v>1112</v>
      </c>
      <c r="C5269" s="408" t="s">
        <v>395</v>
      </c>
      <c r="D5269" s="408" t="s">
        <v>137</v>
      </c>
      <c r="E5269" s="604" t="s">
        <v>7768</v>
      </c>
      <c r="F5269" s="604"/>
      <c r="G5269" s="410" t="s">
        <v>6</v>
      </c>
      <c r="H5269" s="412">
        <v>1</v>
      </c>
      <c r="I5269" s="412">
        <v>0</v>
      </c>
      <c r="J5269" s="411">
        <v>40.299999999999997</v>
      </c>
      <c r="K5269" s="411">
        <v>40.299999999999997</v>
      </c>
    </row>
    <row r="5270" spans="1:11" ht="26.4" x14ac:dyDescent="0.3">
      <c r="A5270" s="400" t="s">
        <v>1038</v>
      </c>
      <c r="B5270" s="401" t="s">
        <v>3235</v>
      </c>
      <c r="C5270" s="400" t="s">
        <v>575</v>
      </c>
      <c r="D5270" s="400" t="s">
        <v>2867</v>
      </c>
      <c r="E5270" s="605" t="s">
        <v>1323</v>
      </c>
      <c r="F5270" s="605"/>
      <c r="G5270" s="402" t="s">
        <v>4</v>
      </c>
      <c r="H5270" s="403">
        <v>1</v>
      </c>
      <c r="I5270" s="403">
        <v>0</v>
      </c>
      <c r="J5270" s="404">
        <v>65.23</v>
      </c>
      <c r="K5270" s="404">
        <v>65.23</v>
      </c>
    </row>
    <row r="5271" spans="1:11" ht="25.5" customHeight="1" x14ac:dyDescent="0.3">
      <c r="A5271" s="405"/>
      <c r="B5271" s="405"/>
      <c r="C5271" s="405"/>
      <c r="D5271" s="405"/>
      <c r="E5271" s="405" t="s">
        <v>1046</v>
      </c>
      <c r="F5271" s="406">
        <v>54.31</v>
      </c>
      <c r="G5271" s="405" t="s">
        <v>1047</v>
      </c>
      <c r="H5271" s="406">
        <v>0</v>
      </c>
      <c r="I5271" s="405" t="s">
        <v>1048</v>
      </c>
      <c r="J5271" s="406">
        <v>54.31</v>
      </c>
      <c r="K5271"/>
    </row>
    <row r="5272" spans="1:11" ht="25.5" customHeight="1" thickBot="1" x14ac:dyDescent="0.35">
      <c r="A5272" s="405"/>
      <c r="B5272" s="405"/>
      <c r="C5272" s="405"/>
      <c r="D5272" s="405"/>
      <c r="E5272" s="405" t="s">
        <v>1049</v>
      </c>
      <c r="F5272" s="406">
        <v>0</v>
      </c>
      <c r="G5272" s="405"/>
      <c r="H5272" s="606"/>
      <c r="I5272" s="606" t="s">
        <v>1050</v>
      </c>
      <c r="J5272" s="406">
        <v>138.97999999999999</v>
      </c>
      <c r="K5272"/>
    </row>
    <row r="5273" spans="1:11" ht="38.25" customHeight="1" thickTop="1" x14ac:dyDescent="0.3">
      <c r="A5273" s="407"/>
      <c r="B5273" s="407"/>
      <c r="C5273" s="407"/>
      <c r="D5273" s="407"/>
      <c r="E5273" s="407"/>
      <c r="F5273" s="407"/>
      <c r="G5273" s="407"/>
      <c r="H5273" s="407"/>
      <c r="I5273" s="407"/>
      <c r="J5273" s="407"/>
      <c r="K5273" s="407"/>
    </row>
    <row r="5274" spans="1:11" ht="25.5" customHeight="1" x14ac:dyDescent="0.3">
      <c r="A5274" s="382" t="s">
        <v>3363</v>
      </c>
      <c r="B5274" s="312" t="s">
        <v>413</v>
      </c>
      <c r="C5274" s="382" t="s">
        <v>414</v>
      </c>
      <c r="D5274" s="382" t="s">
        <v>415</v>
      </c>
      <c r="E5274" s="586" t="s">
        <v>1029</v>
      </c>
      <c r="F5274" s="586"/>
      <c r="G5274" s="383" t="s">
        <v>416</v>
      </c>
      <c r="H5274" s="312" t="s">
        <v>1030</v>
      </c>
      <c r="I5274" s="312" t="s">
        <v>3016</v>
      </c>
      <c r="J5274" s="312" t="s">
        <v>1031</v>
      </c>
      <c r="K5274" s="312" t="s">
        <v>1032</v>
      </c>
    </row>
    <row r="5275" spans="1:11" ht="25.5" customHeight="1" x14ac:dyDescent="0.3">
      <c r="A5275" s="313" t="s">
        <v>1033</v>
      </c>
      <c r="B5275" s="315" t="s">
        <v>3986</v>
      </c>
      <c r="C5275" s="313" t="s">
        <v>395</v>
      </c>
      <c r="D5275" s="313" t="s">
        <v>2603</v>
      </c>
      <c r="E5275" s="603" t="s">
        <v>7882</v>
      </c>
      <c r="F5275" s="603"/>
      <c r="G5275" s="314" t="s">
        <v>4</v>
      </c>
      <c r="H5275" s="399">
        <v>1</v>
      </c>
      <c r="I5275" s="316"/>
      <c r="J5275" s="316">
        <v>11.4</v>
      </c>
      <c r="K5275" s="316">
        <v>11.4</v>
      </c>
    </row>
    <row r="5276" spans="1:11" ht="14.25" customHeight="1" x14ac:dyDescent="0.3">
      <c r="A5276" s="408" t="s">
        <v>1034</v>
      </c>
      <c r="B5276" s="409" t="s">
        <v>1113</v>
      </c>
      <c r="C5276" s="408" t="s">
        <v>395</v>
      </c>
      <c r="D5276" s="408" t="s">
        <v>129</v>
      </c>
      <c r="E5276" s="604" t="s">
        <v>7768</v>
      </c>
      <c r="F5276" s="604"/>
      <c r="G5276" s="410" t="s">
        <v>6</v>
      </c>
      <c r="H5276" s="412">
        <v>9.9599999999999994E-2</v>
      </c>
      <c r="I5276" s="412">
        <v>0</v>
      </c>
      <c r="J5276" s="411">
        <v>33.450000000000003</v>
      </c>
      <c r="K5276" s="411">
        <v>3.33162</v>
      </c>
    </row>
    <row r="5277" spans="1:11" ht="15" customHeight="1" x14ac:dyDescent="0.3">
      <c r="A5277" s="408" t="s">
        <v>1034</v>
      </c>
      <c r="B5277" s="409" t="s">
        <v>1112</v>
      </c>
      <c r="C5277" s="408" t="s">
        <v>395</v>
      </c>
      <c r="D5277" s="408" t="s">
        <v>137</v>
      </c>
      <c r="E5277" s="604" t="s">
        <v>7768</v>
      </c>
      <c r="F5277" s="604"/>
      <c r="G5277" s="410" t="s">
        <v>6</v>
      </c>
      <c r="H5277" s="412">
        <v>9.9599999999999994E-2</v>
      </c>
      <c r="I5277" s="412">
        <v>0</v>
      </c>
      <c r="J5277" s="411">
        <v>40.299999999999997</v>
      </c>
      <c r="K5277" s="411">
        <v>4.0138800000000003</v>
      </c>
    </row>
    <row r="5278" spans="1:11" ht="15" x14ac:dyDescent="0.3">
      <c r="A5278" s="400" t="s">
        <v>1038</v>
      </c>
      <c r="B5278" s="401" t="s">
        <v>4877</v>
      </c>
      <c r="C5278" s="400" t="s">
        <v>395</v>
      </c>
      <c r="D5278" s="400" t="s">
        <v>4878</v>
      </c>
      <c r="E5278" s="605" t="s">
        <v>1039</v>
      </c>
      <c r="F5278" s="605"/>
      <c r="G5278" s="402" t="s">
        <v>4</v>
      </c>
      <c r="H5278" s="403">
        <v>1</v>
      </c>
      <c r="I5278" s="403">
        <v>0</v>
      </c>
      <c r="J5278" s="404">
        <v>3.05</v>
      </c>
      <c r="K5278" s="404">
        <v>3.05</v>
      </c>
    </row>
    <row r="5279" spans="1:11" ht="12.75" customHeight="1" x14ac:dyDescent="0.3">
      <c r="A5279" s="400" t="s">
        <v>1038</v>
      </c>
      <c r="B5279" s="401" t="s">
        <v>2499</v>
      </c>
      <c r="C5279" s="400" t="s">
        <v>395</v>
      </c>
      <c r="D5279" s="400" t="s">
        <v>280</v>
      </c>
      <c r="E5279" s="605" t="s">
        <v>1039</v>
      </c>
      <c r="F5279" s="605"/>
      <c r="G5279" s="402" t="s">
        <v>4</v>
      </c>
      <c r="H5279" s="403">
        <v>2.8E-3</v>
      </c>
      <c r="I5279" s="403">
        <v>0</v>
      </c>
      <c r="J5279" s="404">
        <v>308.79000000000002</v>
      </c>
      <c r="K5279" s="404">
        <v>0.86461200000000005</v>
      </c>
    </row>
    <row r="5280" spans="1:11" ht="12.75" customHeight="1" x14ac:dyDescent="0.3">
      <c r="A5280" s="400" t="s">
        <v>1038</v>
      </c>
      <c r="B5280" s="401" t="s">
        <v>1372</v>
      </c>
      <c r="C5280" s="400" t="s">
        <v>395</v>
      </c>
      <c r="D5280" s="400" t="s">
        <v>266</v>
      </c>
      <c r="E5280" s="605" t="s">
        <v>1039</v>
      </c>
      <c r="F5280" s="605"/>
      <c r="G5280" s="402" t="s">
        <v>4</v>
      </c>
      <c r="H5280" s="403">
        <v>4.9799999999999997E-2</v>
      </c>
      <c r="I5280" s="403">
        <v>0</v>
      </c>
      <c r="J5280" s="404">
        <v>2.09</v>
      </c>
      <c r="K5280" s="404">
        <v>0.10408199999999999</v>
      </c>
    </row>
    <row r="5281" spans="1:11" ht="15" customHeight="1" x14ac:dyDescent="0.3">
      <c r="A5281" s="400" t="s">
        <v>1038</v>
      </c>
      <c r="B5281" s="401" t="s">
        <v>2498</v>
      </c>
      <c r="C5281" s="400" t="s">
        <v>395</v>
      </c>
      <c r="D5281" s="400" t="s">
        <v>269</v>
      </c>
      <c r="E5281" s="605" t="s">
        <v>1039</v>
      </c>
      <c r="F5281" s="605"/>
      <c r="G5281" s="402" t="s">
        <v>4</v>
      </c>
      <c r="H5281" s="403">
        <v>6.9999999999999999E-4</v>
      </c>
      <c r="I5281" s="403">
        <v>0</v>
      </c>
      <c r="J5281" s="404">
        <v>56.61</v>
      </c>
      <c r="K5281" s="404">
        <v>3.9627000000000002E-2</v>
      </c>
    </row>
    <row r="5282" spans="1:11" ht="25.5" customHeight="1" x14ac:dyDescent="0.3">
      <c r="A5282" s="405"/>
      <c r="B5282" s="405"/>
      <c r="C5282" s="405"/>
      <c r="D5282" s="405"/>
      <c r="E5282" s="405" t="s">
        <v>1046</v>
      </c>
      <c r="F5282" s="406">
        <v>5.41</v>
      </c>
      <c r="G5282" s="405" t="s">
        <v>1047</v>
      </c>
      <c r="H5282" s="406">
        <v>0</v>
      </c>
      <c r="I5282" s="405" t="s">
        <v>1048</v>
      </c>
      <c r="J5282" s="406">
        <v>5.41</v>
      </c>
      <c r="K5282"/>
    </row>
    <row r="5283" spans="1:11" ht="25.5" customHeight="1" thickBot="1" x14ac:dyDescent="0.35">
      <c r="A5283" s="405"/>
      <c r="B5283" s="405"/>
      <c r="C5283" s="405"/>
      <c r="D5283" s="405"/>
      <c r="E5283" s="405" t="s">
        <v>1049</v>
      </c>
      <c r="F5283" s="406">
        <v>0</v>
      </c>
      <c r="G5283" s="405"/>
      <c r="H5283" s="606"/>
      <c r="I5283" s="606" t="s">
        <v>1050</v>
      </c>
      <c r="J5283" s="406">
        <v>11.4</v>
      </c>
      <c r="K5283"/>
    </row>
    <row r="5284" spans="1:11" ht="25.5" customHeight="1" thickTop="1" x14ac:dyDescent="0.3">
      <c r="A5284" s="407"/>
      <c r="B5284" s="407"/>
      <c r="C5284" s="407"/>
      <c r="D5284" s="407"/>
      <c r="E5284" s="407"/>
      <c r="F5284" s="407"/>
      <c r="G5284" s="407"/>
      <c r="H5284" s="407"/>
      <c r="I5284" s="407"/>
      <c r="J5284" s="407"/>
      <c r="K5284" s="407"/>
    </row>
    <row r="5285" spans="1:11" ht="25.5" customHeight="1" x14ac:dyDescent="0.3">
      <c r="A5285" s="382" t="s">
        <v>3364</v>
      </c>
      <c r="B5285" s="312" t="s">
        <v>413</v>
      </c>
      <c r="C5285" s="382" t="s">
        <v>414</v>
      </c>
      <c r="D5285" s="382" t="s">
        <v>415</v>
      </c>
      <c r="E5285" s="586" t="s">
        <v>1029</v>
      </c>
      <c r="F5285" s="586"/>
      <c r="G5285" s="383" t="s">
        <v>416</v>
      </c>
      <c r="H5285" s="312" t="s">
        <v>1030</v>
      </c>
      <c r="I5285" s="312" t="s">
        <v>3016</v>
      </c>
      <c r="J5285" s="312" t="s">
        <v>1031</v>
      </c>
      <c r="K5285" s="312" t="s">
        <v>1032</v>
      </c>
    </row>
    <row r="5286" spans="1:11" ht="15" customHeight="1" x14ac:dyDescent="0.3">
      <c r="A5286" s="313" t="s">
        <v>1033</v>
      </c>
      <c r="B5286" s="315" t="s">
        <v>3987</v>
      </c>
      <c r="C5286" s="313" t="s">
        <v>395</v>
      </c>
      <c r="D5286" s="313" t="s">
        <v>2604</v>
      </c>
      <c r="E5286" s="603" t="s">
        <v>7882</v>
      </c>
      <c r="F5286" s="603"/>
      <c r="G5286" s="314" t="s">
        <v>4</v>
      </c>
      <c r="H5286" s="399">
        <v>1</v>
      </c>
      <c r="I5286" s="316"/>
      <c r="J5286" s="316">
        <v>16</v>
      </c>
      <c r="K5286" s="316">
        <v>16</v>
      </c>
    </row>
    <row r="5287" spans="1:11" ht="14.25" customHeight="1" x14ac:dyDescent="0.3">
      <c r="A5287" s="408" t="s">
        <v>1034</v>
      </c>
      <c r="B5287" s="409" t="s">
        <v>1113</v>
      </c>
      <c r="C5287" s="408" t="s">
        <v>395</v>
      </c>
      <c r="D5287" s="408" t="s">
        <v>129</v>
      </c>
      <c r="E5287" s="604" t="s">
        <v>7768</v>
      </c>
      <c r="F5287" s="604"/>
      <c r="G5287" s="410" t="s">
        <v>6</v>
      </c>
      <c r="H5287" s="412">
        <v>0.1149</v>
      </c>
      <c r="I5287" s="412">
        <v>0</v>
      </c>
      <c r="J5287" s="411">
        <v>33.450000000000003</v>
      </c>
      <c r="K5287" s="411">
        <v>3.8434050000000002</v>
      </c>
    </row>
    <row r="5288" spans="1:11" ht="26.4" x14ac:dyDescent="0.3">
      <c r="A5288" s="408" t="s">
        <v>1034</v>
      </c>
      <c r="B5288" s="409" t="s">
        <v>1112</v>
      </c>
      <c r="C5288" s="408" t="s">
        <v>395</v>
      </c>
      <c r="D5288" s="408" t="s">
        <v>137</v>
      </c>
      <c r="E5288" s="604" t="s">
        <v>7768</v>
      </c>
      <c r="F5288" s="604"/>
      <c r="G5288" s="410" t="s">
        <v>6</v>
      </c>
      <c r="H5288" s="412">
        <v>0.1149</v>
      </c>
      <c r="I5288" s="412">
        <v>0</v>
      </c>
      <c r="J5288" s="411">
        <v>40.299999999999997</v>
      </c>
      <c r="K5288" s="411">
        <v>4.6304699999999999</v>
      </c>
    </row>
    <row r="5289" spans="1:11" ht="14.25" customHeight="1" x14ac:dyDescent="0.3">
      <c r="A5289" s="400" t="s">
        <v>1038</v>
      </c>
      <c r="B5289" s="401" t="s">
        <v>4802</v>
      </c>
      <c r="C5289" s="400" t="s">
        <v>395</v>
      </c>
      <c r="D5289" s="400" t="s">
        <v>4803</v>
      </c>
      <c r="E5289" s="605" t="s">
        <v>1039</v>
      </c>
      <c r="F5289" s="605"/>
      <c r="G5289" s="402" t="s">
        <v>4</v>
      </c>
      <c r="H5289" s="403">
        <v>1</v>
      </c>
      <c r="I5289" s="403">
        <v>0</v>
      </c>
      <c r="J5289" s="404">
        <v>5.86</v>
      </c>
      <c r="K5289" s="404">
        <v>5.86</v>
      </c>
    </row>
    <row r="5290" spans="1:11" ht="14.25" customHeight="1" x14ac:dyDescent="0.3">
      <c r="A5290" s="400" t="s">
        <v>1038</v>
      </c>
      <c r="B5290" s="401" t="s">
        <v>2499</v>
      </c>
      <c r="C5290" s="400" t="s">
        <v>395</v>
      </c>
      <c r="D5290" s="400" t="s">
        <v>280</v>
      </c>
      <c r="E5290" s="605" t="s">
        <v>1039</v>
      </c>
      <c r="F5290" s="605"/>
      <c r="G5290" s="402" t="s">
        <v>4</v>
      </c>
      <c r="H5290" s="403">
        <v>4.7999999999999996E-3</v>
      </c>
      <c r="I5290" s="403">
        <v>0</v>
      </c>
      <c r="J5290" s="404">
        <v>308.79000000000002</v>
      </c>
      <c r="K5290" s="404">
        <v>1.482192</v>
      </c>
    </row>
    <row r="5291" spans="1:11" ht="25.5" customHeight="1" x14ac:dyDescent="0.3">
      <c r="A5291" s="400" t="s">
        <v>1038</v>
      </c>
      <c r="B5291" s="401" t="s">
        <v>1372</v>
      </c>
      <c r="C5291" s="400" t="s">
        <v>395</v>
      </c>
      <c r="D5291" s="400" t="s">
        <v>266</v>
      </c>
      <c r="E5291" s="605" t="s">
        <v>1039</v>
      </c>
      <c r="F5291" s="605"/>
      <c r="G5291" s="402" t="s">
        <v>4</v>
      </c>
      <c r="H5291" s="403">
        <v>5.7500000000000002E-2</v>
      </c>
      <c r="I5291" s="403">
        <v>0</v>
      </c>
      <c r="J5291" s="404">
        <v>2.09</v>
      </c>
      <c r="K5291" s="404">
        <v>0.120175</v>
      </c>
    </row>
    <row r="5292" spans="1:11" ht="25.5" customHeight="1" x14ac:dyDescent="0.3">
      <c r="A5292" s="400" t="s">
        <v>1038</v>
      </c>
      <c r="B5292" s="401" t="s">
        <v>2498</v>
      </c>
      <c r="C5292" s="400" t="s">
        <v>395</v>
      </c>
      <c r="D5292" s="400" t="s">
        <v>269</v>
      </c>
      <c r="E5292" s="605" t="s">
        <v>1039</v>
      </c>
      <c r="F5292" s="605"/>
      <c r="G5292" s="402" t="s">
        <v>4</v>
      </c>
      <c r="H5292" s="403">
        <v>1.1999999999999999E-3</v>
      </c>
      <c r="I5292" s="403">
        <v>0</v>
      </c>
      <c r="J5292" s="404">
        <v>56.61</v>
      </c>
      <c r="K5292" s="404">
        <v>6.7932000000000006E-2</v>
      </c>
    </row>
    <row r="5293" spans="1:11" ht="25.5" customHeight="1" x14ac:dyDescent="0.3">
      <c r="A5293" s="405"/>
      <c r="B5293" s="405"/>
      <c r="C5293" s="405"/>
      <c r="D5293" s="405"/>
      <c r="E5293" s="405" t="s">
        <v>1046</v>
      </c>
      <c r="F5293" s="406">
        <v>6.24</v>
      </c>
      <c r="G5293" s="405" t="s">
        <v>1047</v>
      </c>
      <c r="H5293" s="406">
        <v>0</v>
      </c>
      <c r="I5293" s="405" t="s">
        <v>1048</v>
      </c>
      <c r="J5293" s="406">
        <v>6.24</v>
      </c>
      <c r="K5293"/>
    </row>
    <row r="5294" spans="1:11" ht="25.5" customHeight="1" thickBot="1" x14ac:dyDescent="0.35">
      <c r="A5294" s="405"/>
      <c r="B5294" s="405"/>
      <c r="C5294" s="405"/>
      <c r="D5294" s="405"/>
      <c r="E5294" s="405" t="s">
        <v>1049</v>
      </c>
      <c r="F5294" s="406">
        <v>0</v>
      </c>
      <c r="G5294" s="405"/>
      <c r="H5294" s="606"/>
      <c r="I5294" s="606" t="s">
        <v>1050</v>
      </c>
      <c r="J5294" s="406">
        <v>16</v>
      </c>
      <c r="K5294"/>
    </row>
    <row r="5295" spans="1:11" ht="25.5" customHeight="1" thickTop="1" x14ac:dyDescent="0.3">
      <c r="A5295" s="407"/>
      <c r="B5295" s="407"/>
      <c r="C5295" s="407"/>
      <c r="D5295" s="407"/>
      <c r="E5295" s="407"/>
      <c r="F5295" s="407"/>
      <c r="G5295" s="407"/>
      <c r="H5295" s="407"/>
      <c r="I5295" s="407"/>
      <c r="J5295" s="407"/>
      <c r="K5295" s="407"/>
    </row>
    <row r="5296" spans="1:11" ht="15" customHeight="1" x14ac:dyDescent="0.3">
      <c r="A5296" s="382" t="s">
        <v>3365</v>
      </c>
      <c r="B5296" s="312" t="s">
        <v>413</v>
      </c>
      <c r="C5296" s="382" t="s">
        <v>414</v>
      </c>
      <c r="D5296" s="382" t="s">
        <v>415</v>
      </c>
      <c r="E5296" s="586" t="s">
        <v>1029</v>
      </c>
      <c r="F5296" s="586"/>
      <c r="G5296" s="383" t="s">
        <v>416</v>
      </c>
      <c r="H5296" s="312" t="s">
        <v>1030</v>
      </c>
      <c r="I5296" s="312" t="s">
        <v>3016</v>
      </c>
      <c r="J5296" s="312" t="s">
        <v>1031</v>
      </c>
      <c r="K5296" s="312" t="s">
        <v>1032</v>
      </c>
    </row>
    <row r="5297" spans="1:11" ht="14.25" customHeight="1" x14ac:dyDescent="0.3">
      <c r="A5297" s="313" t="s">
        <v>1033</v>
      </c>
      <c r="B5297" s="315" t="s">
        <v>3988</v>
      </c>
      <c r="C5297" s="313" t="s">
        <v>395</v>
      </c>
      <c r="D5297" s="313" t="s">
        <v>2605</v>
      </c>
      <c r="E5297" s="603" t="s">
        <v>7882</v>
      </c>
      <c r="F5297" s="603"/>
      <c r="G5297" s="314" t="s">
        <v>4</v>
      </c>
      <c r="H5297" s="399">
        <v>1</v>
      </c>
      <c r="I5297" s="316"/>
      <c r="J5297" s="316">
        <v>23.41</v>
      </c>
      <c r="K5297" s="316">
        <v>23.41</v>
      </c>
    </row>
    <row r="5298" spans="1:11" ht="26.4" x14ac:dyDescent="0.3">
      <c r="A5298" s="408" t="s">
        <v>1034</v>
      </c>
      <c r="B5298" s="409" t="s">
        <v>1113</v>
      </c>
      <c r="C5298" s="408" t="s">
        <v>395</v>
      </c>
      <c r="D5298" s="408" t="s">
        <v>129</v>
      </c>
      <c r="E5298" s="604" t="s">
        <v>7768</v>
      </c>
      <c r="F5298" s="604"/>
      <c r="G5298" s="410" t="s">
        <v>6</v>
      </c>
      <c r="H5298" s="412">
        <v>0.12809999999999999</v>
      </c>
      <c r="I5298" s="412">
        <v>0</v>
      </c>
      <c r="J5298" s="411">
        <v>33.450000000000003</v>
      </c>
      <c r="K5298" s="411">
        <v>4.2849449999999996</v>
      </c>
    </row>
    <row r="5299" spans="1:11" ht="14.25" customHeight="1" x14ac:dyDescent="0.3">
      <c r="A5299" s="408" t="s">
        <v>1034</v>
      </c>
      <c r="B5299" s="409" t="s">
        <v>1112</v>
      </c>
      <c r="C5299" s="408" t="s">
        <v>395</v>
      </c>
      <c r="D5299" s="408" t="s">
        <v>137</v>
      </c>
      <c r="E5299" s="604" t="s">
        <v>7768</v>
      </c>
      <c r="F5299" s="604"/>
      <c r="G5299" s="410" t="s">
        <v>6</v>
      </c>
      <c r="H5299" s="412">
        <v>0.12809999999999999</v>
      </c>
      <c r="I5299" s="412">
        <v>0</v>
      </c>
      <c r="J5299" s="411">
        <v>40.299999999999997</v>
      </c>
      <c r="K5299" s="411">
        <v>5.1624299999999996</v>
      </c>
    </row>
    <row r="5300" spans="1:11" ht="15" customHeight="1" x14ac:dyDescent="0.3">
      <c r="A5300" s="400" t="s">
        <v>1038</v>
      </c>
      <c r="B5300" s="401" t="s">
        <v>4699</v>
      </c>
      <c r="C5300" s="400" t="s">
        <v>395</v>
      </c>
      <c r="D5300" s="400" t="s">
        <v>4700</v>
      </c>
      <c r="E5300" s="605" t="s">
        <v>1039</v>
      </c>
      <c r="F5300" s="605"/>
      <c r="G5300" s="402" t="s">
        <v>4</v>
      </c>
      <c r="H5300" s="403">
        <v>1</v>
      </c>
      <c r="I5300" s="403">
        <v>0</v>
      </c>
      <c r="J5300" s="404">
        <v>11.76</v>
      </c>
      <c r="K5300" s="404">
        <v>11.76</v>
      </c>
    </row>
    <row r="5301" spans="1:11" ht="12.75" customHeight="1" x14ac:dyDescent="0.3">
      <c r="A5301" s="400" t="s">
        <v>1038</v>
      </c>
      <c r="B5301" s="401" t="s">
        <v>2499</v>
      </c>
      <c r="C5301" s="400" t="s">
        <v>395</v>
      </c>
      <c r="D5301" s="400" t="s">
        <v>280</v>
      </c>
      <c r="E5301" s="605" t="s">
        <v>1039</v>
      </c>
      <c r="F5301" s="605"/>
      <c r="G5301" s="402" t="s">
        <v>4</v>
      </c>
      <c r="H5301" s="403">
        <v>6.4000000000000003E-3</v>
      </c>
      <c r="I5301" s="403">
        <v>0</v>
      </c>
      <c r="J5301" s="404">
        <v>308.79000000000002</v>
      </c>
      <c r="K5301" s="404">
        <v>1.976256</v>
      </c>
    </row>
    <row r="5302" spans="1:11" ht="15" x14ac:dyDescent="0.3">
      <c r="A5302" s="400" t="s">
        <v>1038</v>
      </c>
      <c r="B5302" s="401" t="s">
        <v>1372</v>
      </c>
      <c r="C5302" s="400" t="s">
        <v>395</v>
      </c>
      <c r="D5302" s="400" t="s">
        <v>266</v>
      </c>
      <c r="E5302" s="605" t="s">
        <v>1039</v>
      </c>
      <c r="F5302" s="605"/>
      <c r="G5302" s="402" t="s">
        <v>4</v>
      </c>
      <c r="H5302" s="403">
        <v>6.4000000000000001E-2</v>
      </c>
      <c r="I5302" s="403">
        <v>0</v>
      </c>
      <c r="J5302" s="404">
        <v>2.09</v>
      </c>
      <c r="K5302" s="404">
        <v>0.13375999999999999</v>
      </c>
    </row>
    <row r="5303" spans="1:11" ht="25.5" customHeight="1" x14ac:dyDescent="0.3">
      <c r="A5303" s="400" t="s">
        <v>1038</v>
      </c>
      <c r="B5303" s="401" t="s">
        <v>2498</v>
      </c>
      <c r="C5303" s="400" t="s">
        <v>395</v>
      </c>
      <c r="D5303" s="400" t="s">
        <v>269</v>
      </c>
      <c r="E5303" s="605" t="s">
        <v>1039</v>
      </c>
      <c r="F5303" s="605"/>
      <c r="G5303" s="402" t="s">
        <v>4</v>
      </c>
      <c r="H5303" s="403">
        <v>1.6000000000000001E-3</v>
      </c>
      <c r="I5303" s="403">
        <v>0</v>
      </c>
      <c r="J5303" s="404">
        <v>56.61</v>
      </c>
      <c r="K5303" s="404">
        <v>9.0576000000000004E-2</v>
      </c>
    </row>
    <row r="5304" spans="1:11" ht="15" x14ac:dyDescent="0.3">
      <c r="A5304" s="405"/>
      <c r="B5304" s="405"/>
      <c r="C5304" s="405"/>
      <c r="D5304" s="405"/>
      <c r="E5304" s="405" t="s">
        <v>1046</v>
      </c>
      <c r="F5304" s="406">
        <v>6.96</v>
      </c>
      <c r="G5304" s="405" t="s">
        <v>1047</v>
      </c>
      <c r="H5304" s="406">
        <v>0</v>
      </c>
      <c r="I5304" s="405" t="s">
        <v>1048</v>
      </c>
      <c r="J5304" s="406">
        <v>6.96</v>
      </c>
      <c r="K5304"/>
    </row>
    <row r="5305" spans="1:11" ht="15.6" thickBot="1" x14ac:dyDescent="0.35">
      <c r="A5305" s="405"/>
      <c r="B5305" s="405"/>
      <c r="C5305" s="405"/>
      <c r="D5305" s="405"/>
      <c r="E5305" s="405" t="s">
        <v>1049</v>
      </c>
      <c r="F5305" s="406">
        <v>0</v>
      </c>
      <c r="G5305" s="405"/>
      <c r="H5305" s="606"/>
      <c r="I5305" s="606" t="s">
        <v>1050</v>
      </c>
      <c r="J5305" s="406">
        <v>23.41</v>
      </c>
      <c r="K5305"/>
    </row>
    <row r="5306" spans="1:11" ht="17.399999999999999" customHeight="1" thickTop="1" x14ac:dyDescent="0.3">
      <c r="A5306" s="407"/>
      <c r="B5306" s="407"/>
      <c r="C5306" s="407"/>
      <c r="D5306" s="407"/>
      <c r="E5306" s="407"/>
      <c r="F5306" s="407"/>
      <c r="G5306" s="407"/>
      <c r="H5306" s="407"/>
      <c r="I5306" s="407"/>
      <c r="J5306" s="407"/>
      <c r="K5306" s="407"/>
    </row>
    <row r="5307" spans="1:11" ht="15" customHeight="1" x14ac:dyDescent="0.3">
      <c r="A5307" s="382" t="s">
        <v>3366</v>
      </c>
      <c r="B5307" s="312" t="s">
        <v>413</v>
      </c>
      <c r="C5307" s="382" t="s">
        <v>414</v>
      </c>
      <c r="D5307" s="382" t="s">
        <v>415</v>
      </c>
      <c r="E5307" s="586" t="s">
        <v>1029</v>
      </c>
      <c r="F5307" s="586"/>
      <c r="G5307" s="383" t="s">
        <v>416</v>
      </c>
      <c r="H5307" s="312" t="s">
        <v>1030</v>
      </c>
      <c r="I5307" s="312" t="s">
        <v>3016</v>
      </c>
      <c r="J5307" s="312" t="s">
        <v>1031</v>
      </c>
      <c r="K5307" s="312" t="s">
        <v>1032</v>
      </c>
    </row>
    <row r="5308" spans="1:11" ht="12.75" customHeight="1" x14ac:dyDescent="0.3">
      <c r="A5308" s="313" t="s">
        <v>1033</v>
      </c>
      <c r="B5308" s="315" t="s">
        <v>3989</v>
      </c>
      <c r="C5308" s="313" t="s">
        <v>395</v>
      </c>
      <c r="D5308" s="313" t="s">
        <v>2600</v>
      </c>
      <c r="E5308" s="603" t="s">
        <v>7882</v>
      </c>
      <c r="F5308" s="603"/>
      <c r="G5308" s="314" t="s">
        <v>4</v>
      </c>
      <c r="H5308" s="399">
        <v>1</v>
      </c>
      <c r="I5308" s="316"/>
      <c r="J5308" s="316">
        <v>35.94</v>
      </c>
      <c r="K5308" s="316">
        <v>35.94</v>
      </c>
    </row>
    <row r="5309" spans="1:11" ht="14.25" customHeight="1" x14ac:dyDescent="0.3">
      <c r="A5309" s="408" t="s">
        <v>1034</v>
      </c>
      <c r="B5309" s="409" t="s">
        <v>1113</v>
      </c>
      <c r="C5309" s="408" t="s">
        <v>395</v>
      </c>
      <c r="D5309" s="408" t="s">
        <v>129</v>
      </c>
      <c r="E5309" s="604" t="s">
        <v>7768</v>
      </c>
      <c r="F5309" s="604"/>
      <c r="G5309" s="410" t="s">
        <v>6</v>
      </c>
      <c r="H5309" s="412">
        <v>9.6600000000000005E-2</v>
      </c>
      <c r="I5309" s="412">
        <v>0</v>
      </c>
      <c r="J5309" s="411">
        <v>33.450000000000003</v>
      </c>
      <c r="K5309" s="411">
        <v>3.2312699999999999</v>
      </c>
    </row>
    <row r="5310" spans="1:11" ht="26.4" x14ac:dyDescent="0.3">
      <c r="A5310" s="408" t="s">
        <v>1034</v>
      </c>
      <c r="B5310" s="409" t="s">
        <v>1112</v>
      </c>
      <c r="C5310" s="408" t="s">
        <v>395</v>
      </c>
      <c r="D5310" s="408" t="s">
        <v>137</v>
      </c>
      <c r="E5310" s="604" t="s">
        <v>7768</v>
      </c>
      <c r="F5310" s="604"/>
      <c r="G5310" s="410" t="s">
        <v>6</v>
      </c>
      <c r="H5310" s="412">
        <v>9.6600000000000005E-2</v>
      </c>
      <c r="I5310" s="412">
        <v>0</v>
      </c>
      <c r="J5310" s="411">
        <v>40.299999999999997</v>
      </c>
      <c r="K5310" s="411">
        <v>3.8929800000000001</v>
      </c>
    </row>
    <row r="5311" spans="1:11" ht="15" x14ac:dyDescent="0.3">
      <c r="A5311" s="400" t="s">
        <v>1038</v>
      </c>
      <c r="B5311" s="401" t="s">
        <v>4535</v>
      </c>
      <c r="C5311" s="400" t="s">
        <v>395</v>
      </c>
      <c r="D5311" s="400" t="s">
        <v>4536</v>
      </c>
      <c r="E5311" s="605" t="s">
        <v>1039</v>
      </c>
      <c r="F5311" s="605"/>
      <c r="G5311" s="402" t="s">
        <v>4</v>
      </c>
      <c r="H5311" s="403">
        <v>1</v>
      </c>
      <c r="I5311" s="403">
        <v>0</v>
      </c>
      <c r="J5311" s="404">
        <v>25.97</v>
      </c>
      <c r="K5311" s="404">
        <v>25.97</v>
      </c>
    </row>
    <row r="5312" spans="1:11" ht="25.5" customHeight="1" x14ac:dyDescent="0.3">
      <c r="A5312" s="400" t="s">
        <v>1038</v>
      </c>
      <c r="B5312" s="401" t="s">
        <v>2499</v>
      </c>
      <c r="C5312" s="400" t="s">
        <v>395</v>
      </c>
      <c r="D5312" s="400" t="s">
        <v>280</v>
      </c>
      <c r="E5312" s="605" t="s">
        <v>1039</v>
      </c>
      <c r="F5312" s="605"/>
      <c r="G5312" s="402" t="s">
        <v>4</v>
      </c>
      <c r="H5312" s="403">
        <v>8.3999999999999995E-3</v>
      </c>
      <c r="I5312" s="403">
        <v>0</v>
      </c>
      <c r="J5312" s="404">
        <v>308.79000000000002</v>
      </c>
      <c r="K5312" s="404">
        <v>2.593836</v>
      </c>
    </row>
    <row r="5313" spans="1:11" ht="25.5" customHeight="1" x14ac:dyDescent="0.3">
      <c r="A5313" s="400" t="s">
        <v>1038</v>
      </c>
      <c r="B5313" s="401" t="s">
        <v>1372</v>
      </c>
      <c r="C5313" s="400" t="s">
        <v>395</v>
      </c>
      <c r="D5313" s="400" t="s">
        <v>266</v>
      </c>
      <c r="E5313" s="605" t="s">
        <v>1039</v>
      </c>
      <c r="F5313" s="605"/>
      <c r="G5313" s="402" t="s">
        <v>4</v>
      </c>
      <c r="H5313" s="403">
        <v>6.4399999999999999E-2</v>
      </c>
      <c r="I5313" s="403">
        <v>0</v>
      </c>
      <c r="J5313" s="404">
        <v>2.09</v>
      </c>
      <c r="K5313" s="404">
        <v>0.13459599999999999</v>
      </c>
    </row>
    <row r="5314" spans="1:11" ht="25.5" customHeight="1" x14ac:dyDescent="0.3">
      <c r="A5314" s="400" t="s">
        <v>1038</v>
      </c>
      <c r="B5314" s="401" t="s">
        <v>2498</v>
      </c>
      <c r="C5314" s="400" t="s">
        <v>395</v>
      </c>
      <c r="D5314" s="400" t="s">
        <v>269</v>
      </c>
      <c r="E5314" s="605" t="s">
        <v>1039</v>
      </c>
      <c r="F5314" s="605"/>
      <c r="G5314" s="402" t="s">
        <v>4</v>
      </c>
      <c r="H5314" s="403">
        <v>2.0999999999999999E-3</v>
      </c>
      <c r="I5314" s="403">
        <v>0</v>
      </c>
      <c r="J5314" s="404">
        <v>56.61</v>
      </c>
      <c r="K5314" s="404">
        <v>0.118881</v>
      </c>
    </row>
    <row r="5315" spans="1:11" ht="25.5" customHeight="1" x14ac:dyDescent="0.3">
      <c r="A5315" s="405"/>
      <c r="B5315" s="405"/>
      <c r="C5315" s="405"/>
      <c r="D5315" s="405"/>
      <c r="E5315" s="405" t="s">
        <v>1046</v>
      </c>
      <c r="F5315" s="406">
        <v>5.24</v>
      </c>
      <c r="G5315" s="405" t="s">
        <v>1047</v>
      </c>
      <c r="H5315" s="406">
        <v>0</v>
      </c>
      <c r="I5315" s="405" t="s">
        <v>1048</v>
      </c>
      <c r="J5315" s="406">
        <v>5.24</v>
      </c>
      <c r="K5315"/>
    </row>
    <row r="5316" spans="1:11" ht="15.6" thickBot="1" x14ac:dyDescent="0.35">
      <c r="A5316" s="405"/>
      <c r="B5316" s="405"/>
      <c r="C5316" s="405"/>
      <c r="D5316" s="405"/>
      <c r="E5316" s="405" t="s">
        <v>1049</v>
      </c>
      <c r="F5316" s="406">
        <v>0</v>
      </c>
      <c r="G5316" s="405"/>
      <c r="H5316" s="606"/>
      <c r="I5316" s="606" t="s">
        <v>1050</v>
      </c>
      <c r="J5316" s="406">
        <v>35.94</v>
      </c>
      <c r="K5316"/>
    </row>
    <row r="5317" spans="1:11" ht="15" customHeight="1" thickTop="1" x14ac:dyDescent="0.3">
      <c r="A5317" s="407"/>
      <c r="B5317" s="407"/>
      <c r="C5317" s="407"/>
      <c r="D5317" s="407"/>
      <c r="E5317" s="407"/>
      <c r="F5317" s="407"/>
      <c r="G5317" s="407"/>
      <c r="H5317" s="407"/>
      <c r="I5317" s="407"/>
      <c r="J5317" s="407"/>
      <c r="K5317" s="407"/>
    </row>
    <row r="5318" spans="1:11" ht="14.25" customHeight="1" x14ac:dyDescent="0.3">
      <c r="A5318" s="382" t="s">
        <v>3367</v>
      </c>
      <c r="B5318" s="312" t="s">
        <v>413</v>
      </c>
      <c r="C5318" s="382" t="s">
        <v>414</v>
      </c>
      <c r="D5318" s="382" t="s">
        <v>415</v>
      </c>
      <c r="E5318" s="586" t="s">
        <v>1029</v>
      </c>
      <c r="F5318" s="586"/>
      <c r="G5318" s="383" t="s">
        <v>416</v>
      </c>
      <c r="H5318" s="312" t="s">
        <v>1030</v>
      </c>
      <c r="I5318" s="312" t="s">
        <v>3016</v>
      </c>
      <c r="J5318" s="312" t="s">
        <v>1031</v>
      </c>
      <c r="K5318" s="312" t="s">
        <v>1032</v>
      </c>
    </row>
    <row r="5319" spans="1:11" ht="38.25" customHeight="1" x14ac:dyDescent="0.3">
      <c r="A5319" s="313" t="s">
        <v>1033</v>
      </c>
      <c r="B5319" s="315" t="s">
        <v>3990</v>
      </c>
      <c r="C5319" s="313" t="s">
        <v>395</v>
      </c>
      <c r="D5319" s="313" t="s">
        <v>6086</v>
      </c>
      <c r="E5319" s="603" t="s">
        <v>7882</v>
      </c>
      <c r="F5319" s="603"/>
      <c r="G5319" s="314" t="s">
        <v>4</v>
      </c>
      <c r="H5319" s="399">
        <v>1</v>
      </c>
      <c r="I5319" s="316"/>
      <c r="J5319" s="316">
        <v>16.760000000000002</v>
      </c>
      <c r="K5319" s="316">
        <v>16.760000000000002</v>
      </c>
    </row>
    <row r="5320" spans="1:11" ht="25.5" customHeight="1" x14ac:dyDescent="0.3">
      <c r="A5320" s="408" t="s">
        <v>1034</v>
      </c>
      <c r="B5320" s="409" t="s">
        <v>1113</v>
      </c>
      <c r="C5320" s="408" t="s">
        <v>395</v>
      </c>
      <c r="D5320" s="408" t="s">
        <v>129</v>
      </c>
      <c r="E5320" s="604" t="s">
        <v>7768</v>
      </c>
      <c r="F5320" s="604"/>
      <c r="G5320" s="410" t="s">
        <v>6</v>
      </c>
      <c r="H5320" s="412">
        <v>0.13700000000000001</v>
      </c>
      <c r="I5320" s="412">
        <v>0</v>
      </c>
      <c r="J5320" s="411">
        <v>33.450000000000003</v>
      </c>
      <c r="K5320" s="411">
        <v>4.5826500000000001</v>
      </c>
    </row>
    <row r="5321" spans="1:11" ht="15" customHeight="1" x14ac:dyDescent="0.3">
      <c r="A5321" s="408" t="s">
        <v>1034</v>
      </c>
      <c r="B5321" s="409" t="s">
        <v>1112</v>
      </c>
      <c r="C5321" s="408" t="s">
        <v>395</v>
      </c>
      <c r="D5321" s="408" t="s">
        <v>137</v>
      </c>
      <c r="E5321" s="604" t="s">
        <v>7768</v>
      </c>
      <c r="F5321" s="604"/>
      <c r="G5321" s="410" t="s">
        <v>6</v>
      </c>
      <c r="H5321" s="412">
        <v>0.13700000000000001</v>
      </c>
      <c r="I5321" s="412">
        <v>0</v>
      </c>
      <c r="J5321" s="411">
        <v>40.299999999999997</v>
      </c>
      <c r="K5321" s="411">
        <v>5.5210999999999997</v>
      </c>
    </row>
    <row r="5322" spans="1:11" ht="12.75" customHeight="1" x14ac:dyDescent="0.3">
      <c r="A5322" s="400" t="s">
        <v>1038</v>
      </c>
      <c r="B5322" s="401" t="s">
        <v>4816</v>
      </c>
      <c r="C5322" s="400" t="s">
        <v>395</v>
      </c>
      <c r="D5322" s="400" t="s">
        <v>4817</v>
      </c>
      <c r="E5322" s="605" t="s">
        <v>1039</v>
      </c>
      <c r="F5322" s="605"/>
      <c r="G5322" s="402" t="s">
        <v>4</v>
      </c>
      <c r="H5322" s="403">
        <v>1</v>
      </c>
      <c r="I5322" s="403">
        <v>0</v>
      </c>
      <c r="J5322" s="404">
        <v>5.48</v>
      </c>
      <c r="K5322" s="404">
        <v>5.48</v>
      </c>
    </row>
    <row r="5323" spans="1:11" ht="25.5" customHeight="1" x14ac:dyDescent="0.3">
      <c r="A5323" s="400" t="s">
        <v>1038</v>
      </c>
      <c r="B5323" s="401" t="s">
        <v>2499</v>
      </c>
      <c r="C5323" s="400" t="s">
        <v>395</v>
      </c>
      <c r="D5323" s="400" t="s">
        <v>280</v>
      </c>
      <c r="E5323" s="605" t="s">
        <v>1039</v>
      </c>
      <c r="F5323" s="605"/>
      <c r="G5323" s="402" t="s">
        <v>4</v>
      </c>
      <c r="H5323" s="403">
        <v>2.8E-3</v>
      </c>
      <c r="I5323" s="403">
        <v>0</v>
      </c>
      <c r="J5323" s="404">
        <v>308.79000000000002</v>
      </c>
      <c r="K5323" s="404">
        <v>0.86461200000000005</v>
      </c>
    </row>
    <row r="5324" spans="1:11" ht="25.5" customHeight="1" x14ac:dyDescent="0.3">
      <c r="A5324" s="400" t="s">
        <v>1038</v>
      </c>
      <c r="B5324" s="401" t="s">
        <v>1372</v>
      </c>
      <c r="C5324" s="400" t="s">
        <v>395</v>
      </c>
      <c r="D5324" s="400" t="s">
        <v>266</v>
      </c>
      <c r="E5324" s="605" t="s">
        <v>1039</v>
      </c>
      <c r="F5324" s="605"/>
      <c r="G5324" s="402" t="s">
        <v>4</v>
      </c>
      <c r="H5324" s="403">
        <v>4.58E-2</v>
      </c>
      <c r="I5324" s="403">
        <v>0</v>
      </c>
      <c r="J5324" s="404">
        <v>2.09</v>
      </c>
      <c r="K5324" s="404">
        <v>9.5722000000000002E-2</v>
      </c>
    </row>
    <row r="5325" spans="1:11" ht="14.25" customHeight="1" x14ac:dyDescent="0.3">
      <c r="A5325" s="400" t="s">
        <v>1038</v>
      </c>
      <c r="B5325" s="401" t="s">
        <v>2498</v>
      </c>
      <c r="C5325" s="400" t="s">
        <v>395</v>
      </c>
      <c r="D5325" s="400" t="s">
        <v>269</v>
      </c>
      <c r="E5325" s="605" t="s">
        <v>1039</v>
      </c>
      <c r="F5325" s="605"/>
      <c r="G5325" s="402" t="s">
        <v>4</v>
      </c>
      <c r="H5325" s="403">
        <v>3.8E-3</v>
      </c>
      <c r="I5325" s="403">
        <v>0</v>
      </c>
      <c r="J5325" s="404">
        <v>56.61</v>
      </c>
      <c r="K5325" s="404">
        <v>0.215118</v>
      </c>
    </row>
    <row r="5326" spans="1:11" ht="14.25" customHeight="1" x14ac:dyDescent="0.3">
      <c r="A5326" s="405"/>
      <c r="B5326" s="405"/>
      <c r="C5326" s="405"/>
      <c r="D5326" s="405"/>
      <c r="E5326" s="405" t="s">
        <v>1046</v>
      </c>
      <c r="F5326" s="406">
        <v>7.44</v>
      </c>
      <c r="G5326" s="405" t="s">
        <v>1047</v>
      </c>
      <c r="H5326" s="406">
        <v>0</v>
      </c>
      <c r="I5326" s="405" t="s">
        <v>1048</v>
      </c>
      <c r="J5326" s="406">
        <v>7.44</v>
      </c>
      <c r="K5326"/>
    </row>
    <row r="5327" spans="1:11" ht="15.6" thickBot="1" x14ac:dyDescent="0.35">
      <c r="A5327" s="405"/>
      <c r="B5327" s="405"/>
      <c r="C5327" s="405"/>
      <c r="D5327" s="405"/>
      <c r="E5327" s="405" t="s">
        <v>1049</v>
      </c>
      <c r="F5327" s="406">
        <v>0</v>
      </c>
      <c r="G5327" s="405"/>
      <c r="H5327" s="606"/>
      <c r="I5327" s="606" t="s">
        <v>1050</v>
      </c>
      <c r="J5327" s="406">
        <v>16.760000000000002</v>
      </c>
      <c r="K5327"/>
    </row>
    <row r="5328" spans="1:11" ht="15.6" thickTop="1" x14ac:dyDescent="0.3">
      <c r="A5328" s="407"/>
      <c r="B5328" s="407"/>
      <c r="C5328" s="407"/>
      <c r="D5328" s="407"/>
      <c r="E5328" s="407"/>
      <c r="F5328" s="407"/>
      <c r="G5328" s="407"/>
      <c r="H5328" s="407"/>
      <c r="I5328" s="407"/>
      <c r="J5328" s="407"/>
      <c r="K5328" s="407"/>
    </row>
    <row r="5329" spans="1:11" ht="15" customHeight="1" x14ac:dyDescent="0.3">
      <c r="A5329" s="382" t="s">
        <v>3368</v>
      </c>
      <c r="B5329" s="312" t="s">
        <v>413</v>
      </c>
      <c r="C5329" s="382" t="s">
        <v>414</v>
      </c>
      <c r="D5329" s="382" t="s">
        <v>415</v>
      </c>
      <c r="E5329" s="586" t="s">
        <v>1029</v>
      </c>
      <c r="F5329" s="586"/>
      <c r="G5329" s="383" t="s">
        <v>416</v>
      </c>
      <c r="H5329" s="312" t="s">
        <v>1030</v>
      </c>
      <c r="I5329" s="312" t="s">
        <v>3016</v>
      </c>
      <c r="J5329" s="312" t="s">
        <v>1031</v>
      </c>
      <c r="K5329" s="312" t="s">
        <v>1032</v>
      </c>
    </row>
    <row r="5330" spans="1:11" ht="14.25" customHeight="1" x14ac:dyDescent="0.3">
      <c r="A5330" s="313" t="s">
        <v>1033</v>
      </c>
      <c r="B5330" s="315" t="s">
        <v>3991</v>
      </c>
      <c r="C5330" s="313" t="s">
        <v>395</v>
      </c>
      <c r="D5330" s="313" t="s">
        <v>2602</v>
      </c>
      <c r="E5330" s="603" t="s">
        <v>7882</v>
      </c>
      <c r="F5330" s="603"/>
      <c r="G5330" s="314" t="s">
        <v>4</v>
      </c>
      <c r="H5330" s="399">
        <v>1</v>
      </c>
      <c r="I5330" s="316"/>
      <c r="J5330" s="316">
        <v>26.76</v>
      </c>
      <c r="K5330" s="316">
        <v>26.76</v>
      </c>
    </row>
    <row r="5331" spans="1:11" ht="25.5" customHeight="1" x14ac:dyDescent="0.3">
      <c r="A5331" s="408" t="s">
        <v>1034</v>
      </c>
      <c r="B5331" s="409" t="s">
        <v>1113</v>
      </c>
      <c r="C5331" s="408" t="s">
        <v>395</v>
      </c>
      <c r="D5331" s="408" t="s">
        <v>129</v>
      </c>
      <c r="E5331" s="604" t="s">
        <v>7768</v>
      </c>
      <c r="F5331" s="604"/>
      <c r="G5331" s="410" t="s">
        <v>6</v>
      </c>
      <c r="H5331" s="412">
        <v>0.1724</v>
      </c>
      <c r="I5331" s="412">
        <v>0</v>
      </c>
      <c r="J5331" s="411">
        <v>33.450000000000003</v>
      </c>
      <c r="K5331" s="411">
        <v>5.7667799999999998</v>
      </c>
    </row>
    <row r="5332" spans="1:11" ht="15" customHeight="1" x14ac:dyDescent="0.3">
      <c r="A5332" s="408" t="s">
        <v>1034</v>
      </c>
      <c r="B5332" s="409" t="s">
        <v>1112</v>
      </c>
      <c r="C5332" s="408" t="s">
        <v>395</v>
      </c>
      <c r="D5332" s="408" t="s">
        <v>137</v>
      </c>
      <c r="E5332" s="604" t="s">
        <v>7768</v>
      </c>
      <c r="F5332" s="604"/>
      <c r="G5332" s="410" t="s">
        <v>6</v>
      </c>
      <c r="H5332" s="412">
        <v>0.1724</v>
      </c>
      <c r="I5332" s="412">
        <v>0</v>
      </c>
      <c r="J5332" s="411">
        <v>40.299999999999997</v>
      </c>
      <c r="K5332" s="411">
        <v>6.9477200000000003</v>
      </c>
    </row>
    <row r="5333" spans="1:11" ht="15" customHeight="1" x14ac:dyDescent="0.3">
      <c r="A5333" s="400" t="s">
        <v>1038</v>
      </c>
      <c r="B5333" s="401" t="s">
        <v>4692</v>
      </c>
      <c r="C5333" s="400" t="s">
        <v>395</v>
      </c>
      <c r="D5333" s="400" t="s">
        <v>4693</v>
      </c>
      <c r="E5333" s="605" t="s">
        <v>1039</v>
      </c>
      <c r="F5333" s="605"/>
      <c r="G5333" s="402" t="s">
        <v>4</v>
      </c>
      <c r="H5333" s="403">
        <v>1</v>
      </c>
      <c r="I5333" s="403">
        <v>0</v>
      </c>
      <c r="J5333" s="404">
        <v>12.38</v>
      </c>
      <c r="K5333" s="404">
        <v>12.38</v>
      </c>
    </row>
    <row r="5334" spans="1:11" ht="25.5" customHeight="1" x14ac:dyDescent="0.3">
      <c r="A5334" s="400" t="s">
        <v>1038</v>
      </c>
      <c r="B5334" s="401" t="s">
        <v>2499</v>
      </c>
      <c r="C5334" s="400" t="s">
        <v>395</v>
      </c>
      <c r="D5334" s="400" t="s">
        <v>280</v>
      </c>
      <c r="E5334" s="605" t="s">
        <v>1039</v>
      </c>
      <c r="F5334" s="605"/>
      <c r="G5334" s="402" t="s">
        <v>4</v>
      </c>
      <c r="H5334" s="403">
        <v>4.7999999999999996E-3</v>
      </c>
      <c r="I5334" s="403">
        <v>0</v>
      </c>
      <c r="J5334" s="404">
        <v>308.79000000000002</v>
      </c>
      <c r="K5334" s="404">
        <v>1.482192</v>
      </c>
    </row>
    <row r="5335" spans="1:11" ht="25.5" customHeight="1" x14ac:dyDescent="0.3">
      <c r="A5335" s="400" t="s">
        <v>1038</v>
      </c>
      <c r="B5335" s="401" t="s">
        <v>1372</v>
      </c>
      <c r="C5335" s="400" t="s">
        <v>395</v>
      </c>
      <c r="D5335" s="400" t="s">
        <v>266</v>
      </c>
      <c r="E5335" s="605" t="s">
        <v>1039</v>
      </c>
      <c r="F5335" s="605"/>
      <c r="G5335" s="402" t="s">
        <v>4</v>
      </c>
      <c r="H5335" s="403">
        <v>5.7500000000000002E-2</v>
      </c>
      <c r="I5335" s="403">
        <v>0</v>
      </c>
      <c r="J5335" s="404">
        <v>2.09</v>
      </c>
      <c r="K5335" s="404">
        <v>0.120175</v>
      </c>
    </row>
    <row r="5336" spans="1:11" ht="25.5" customHeight="1" x14ac:dyDescent="0.3">
      <c r="A5336" s="400" t="s">
        <v>1038</v>
      </c>
      <c r="B5336" s="401" t="s">
        <v>2498</v>
      </c>
      <c r="C5336" s="400" t="s">
        <v>395</v>
      </c>
      <c r="D5336" s="400" t="s">
        <v>269</v>
      </c>
      <c r="E5336" s="605" t="s">
        <v>1039</v>
      </c>
      <c r="F5336" s="605"/>
      <c r="G5336" s="402" t="s">
        <v>4</v>
      </c>
      <c r="H5336" s="403">
        <v>1.1999999999999999E-3</v>
      </c>
      <c r="I5336" s="403">
        <v>0</v>
      </c>
      <c r="J5336" s="404">
        <v>56.61</v>
      </c>
      <c r="K5336" s="404">
        <v>6.7932000000000006E-2</v>
      </c>
    </row>
    <row r="5337" spans="1:11" ht="17.399999999999999" customHeight="1" x14ac:dyDescent="0.3">
      <c r="A5337" s="405"/>
      <c r="B5337" s="405"/>
      <c r="C5337" s="405"/>
      <c r="D5337" s="405"/>
      <c r="E5337" s="405" t="s">
        <v>1046</v>
      </c>
      <c r="F5337" s="406">
        <v>9.36</v>
      </c>
      <c r="G5337" s="405" t="s">
        <v>1047</v>
      </c>
      <c r="H5337" s="406">
        <v>0</v>
      </c>
      <c r="I5337" s="405" t="s">
        <v>1048</v>
      </c>
      <c r="J5337" s="406">
        <v>9.36</v>
      </c>
      <c r="K5337"/>
    </row>
    <row r="5338" spans="1:11" ht="15" customHeight="1" thickBot="1" x14ac:dyDescent="0.35">
      <c r="A5338" s="405"/>
      <c r="B5338" s="405"/>
      <c r="C5338" s="405"/>
      <c r="D5338" s="405"/>
      <c r="E5338" s="405" t="s">
        <v>1049</v>
      </c>
      <c r="F5338" s="406">
        <v>0</v>
      </c>
      <c r="G5338" s="405"/>
      <c r="H5338" s="606"/>
      <c r="I5338" s="606" t="s">
        <v>1050</v>
      </c>
      <c r="J5338" s="406">
        <v>26.76</v>
      </c>
      <c r="K5338"/>
    </row>
    <row r="5339" spans="1:11" ht="15.6" thickTop="1" x14ac:dyDescent="0.3">
      <c r="A5339" s="407"/>
      <c r="B5339" s="407"/>
      <c r="C5339" s="407"/>
      <c r="D5339" s="407"/>
      <c r="E5339" s="407"/>
      <c r="F5339" s="407"/>
      <c r="G5339" s="407"/>
      <c r="H5339" s="407"/>
      <c r="I5339" s="407"/>
      <c r="J5339" s="407"/>
      <c r="K5339" s="407"/>
    </row>
    <row r="5340" spans="1:11" ht="15" customHeight="1" x14ac:dyDescent="0.3">
      <c r="A5340" s="382" t="s">
        <v>3370</v>
      </c>
      <c r="B5340" s="312" t="s">
        <v>413</v>
      </c>
      <c r="C5340" s="382" t="s">
        <v>414</v>
      </c>
      <c r="D5340" s="382" t="s">
        <v>415</v>
      </c>
      <c r="E5340" s="586" t="s">
        <v>1029</v>
      </c>
      <c r="F5340" s="586"/>
      <c r="G5340" s="383" t="s">
        <v>416</v>
      </c>
      <c r="H5340" s="312" t="s">
        <v>1030</v>
      </c>
      <c r="I5340" s="312" t="s">
        <v>3016</v>
      </c>
      <c r="J5340" s="312" t="s">
        <v>1031</v>
      </c>
      <c r="K5340" s="312" t="s">
        <v>1032</v>
      </c>
    </row>
    <row r="5341" spans="1:11" ht="14.25" customHeight="1" x14ac:dyDescent="0.3">
      <c r="A5341" s="313" t="s">
        <v>1033</v>
      </c>
      <c r="B5341" s="315" t="s">
        <v>3992</v>
      </c>
      <c r="C5341" s="313" t="s">
        <v>395</v>
      </c>
      <c r="D5341" s="313" t="s">
        <v>2606</v>
      </c>
      <c r="E5341" s="603" t="s">
        <v>7882</v>
      </c>
      <c r="F5341" s="603"/>
      <c r="G5341" s="314" t="s">
        <v>4</v>
      </c>
      <c r="H5341" s="399">
        <v>1</v>
      </c>
      <c r="I5341" s="316"/>
      <c r="J5341" s="316">
        <v>23.67</v>
      </c>
      <c r="K5341" s="316">
        <v>23.67</v>
      </c>
    </row>
    <row r="5342" spans="1:11" ht="15" customHeight="1" x14ac:dyDescent="0.3">
      <c r="A5342" s="408" t="s">
        <v>1034</v>
      </c>
      <c r="B5342" s="409" t="s">
        <v>1113</v>
      </c>
      <c r="C5342" s="408" t="s">
        <v>395</v>
      </c>
      <c r="D5342" s="408" t="s">
        <v>129</v>
      </c>
      <c r="E5342" s="604" t="s">
        <v>7768</v>
      </c>
      <c r="F5342" s="604"/>
      <c r="G5342" s="410" t="s">
        <v>6</v>
      </c>
      <c r="H5342" s="412">
        <v>0.1993</v>
      </c>
      <c r="I5342" s="412">
        <v>0</v>
      </c>
      <c r="J5342" s="411">
        <v>33.450000000000003</v>
      </c>
      <c r="K5342" s="411">
        <v>6.6665850000000004</v>
      </c>
    </row>
    <row r="5343" spans="1:11" ht="25.5" customHeight="1" x14ac:dyDescent="0.3">
      <c r="A5343" s="408" t="s">
        <v>1034</v>
      </c>
      <c r="B5343" s="409" t="s">
        <v>1112</v>
      </c>
      <c r="C5343" s="408" t="s">
        <v>395</v>
      </c>
      <c r="D5343" s="408" t="s">
        <v>137</v>
      </c>
      <c r="E5343" s="604" t="s">
        <v>7768</v>
      </c>
      <c r="F5343" s="604"/>
      <c r="G5343" s="410" t="s">
        <v>6</v>
      </c>
      <c r="H5343" s="412">
        <v>0.1993</v>
      </c>
      <c r="I5343" s="412">
        <v>0</v>
      </c>
      <c r="J5343" s="411">
        <v>40.299999999999997</v>
      </c>
      <c r="K5343" s="411">
        <v>8.0317900000000009</v>
      </c>
    </row>
    <row r="5344" spans="1:11" ht="25.5" customHeight="1" x14ac:dyDescent="0.3">
      <c r="A5344" s="400" t="s">
        <v>1038</v>
      </c>
      <c r="B5344" s="401" t="s">
        <v>2499</v>
      </c>
      <c r="C5344" s="400" t="s">
        <v>395</v>
      </c>
      <c r="D5344" s="400" t="s">
        <v>280</v>
      </c>
      <c r="E5344" s="605" t="s">
        <v>1039</v>
      </c>
      <c r="F5344" s="605"/>
      <c r="G5344" s="402" t="s">
        <v>4</v>
      </c>
      <c r="H5344" s="403">
        <v>4.1999999999999997E-3</v>
      </c>
      <c r="I5344" s="403">
        <v>0</v>
      </c>
      <c r="J5344" s="404">
        <v>308.79000000000002</v>
      </c>
      <c r="K5344" s="404">
        <v>1.296918</v>
      </c>
    </row>
    <row r="5345" spans="1:11" ht="12.75" customHeight="1" x14ac:dyDescent="0.3">
      <c r="A5345" s="400" t="s">
        <v>1038</v>
      </c>
      <c r="B5345" s="401" t="s">
        <v>4758</v>
      </c>
      <c r="C5345" s="400" t="s">
        <v>395</v>
      </c>
      <c r="D5345" s="400" t="s">
        <v>4759</v>
      </c>
      <c r="E5345" s="605" t="s">
        <v>1039</v>
      </c>
      <c r="F5345" s="605"/>
      <c r="G5345" s="402" t="s">
        <v>4</v>
      </c>
      <c r="H5345" s="403">
        <v>1</v>
      </c>
      <c r="I5345" s="403">
        <v>0</v>
      </c>
      <c r="J5345" s="404">
        <v>7.46</v>
      </c>
      <c r="K5345" s="404">
        <v>7.46</v>
      </c>
    </row>
    <row r="5346" spans="1:11" ht="25.5" customHeight="1" x14ac:dyDescent="0.3">
      <c r="A5346" s="400" t="s">
        <v>1038</v>
      </c>
      <c r="B5346" s="401" t="s">
        <v>1372</v>
      </c>
      <c r="C5346" s="400" t="s">
        <v>395</v>
      </c>
      <c r="D5346" s="400" t="s">
        <v>266</v>
      </c>
      <c r="E5346" s="605" t="s">
        <v>1039</v>
      </c>
      <c r="F5346" s="605"/>
      <c r="G5346" s="402" t="s">
        <v>4</v>
      </c>
      <c r="H5346" s="403">
        <v>7.4700000000000003E-2</v>
      </c>
      <c r="I5346" s="403">
        <v>0</v>
      </c>
      <c r="J5346" s="404">
        <v>2.09</v>
      </c>
      <c r="K5346" s="404">
        <v>0.15612300000000001</v>
      </c>
    </row>
    <row r="5347" spans="1:11" ht="25.5" customHeight="1" x14ac:dyDescent="0.3">
      <c r="A5347" s="400" t="s">
        <v>1038</v>
      </c>
      <c r="B5347" s="401" t="s">
        <v>2498</v>
      </c>
      <c r="C5347" s="400" t="s">
        <v>395</v>
      </c>
      <c r="D5347" s="400" t="s">
        <v>269</v>
      </c>
      <c r="E5347" s="605" t="s">
        <v>1039</v>
      </c>
      <c r="F5347" s="605"/>
      <c r="G5347" s="402" t="s">
        <v>4</v>
      </c>
      <c r="H5347" s="403">
        <v>1.1000000000000001E-3</v>
      </c>
      <c r="I5347" s="403">
        <v>0</v>
      </c>
      <c r="J5347" s="404">
        <v>56.61</v>
      </c>
      <c r="K5347" s="404">
        <v>6.2271E-2</v>
      </c>
    </row>
    <row r="5348" spans="1:11" ht="17.399999999999999" customHeight="1" x14ac:dyDescent="0.3">
      <c r="A5348" s="405"/>
      <c r="B5348" s="405"/>
      <c r="C5348" s="405"/>
      <c r="D5348" s="405"/>
      <c r="E5348" s="405" t="s">
        <v>1046</v>
      </c>
      <c r="F5348" s="406">
        <v>10.82</v>
      </c>
      <c r="G5348" s="405" t="s">
        <v>1047</v>
      </c>
      <c r="H5348" s="406">
        <v>0</v>
      </c>
      <c r="I5348" s="405" t="s">
        <v>1048</v>
      </c>
      <c r="J5348" s="406">
        <v>10.82</v>
      </c>
      <c r="K5348"/>
    </row>
    <row r="5349" spans="1:11" ht="15.6" thickBot="1" x14ac:dyDescent="0.35">
      <c r="A5349" s="405"/>
      <c r="B5349" s="405"/>
      <c r="C5349" s="405"/>
      <c r="D5349" s="405"/>
      <c r="E5349" s="405" t="s">
        <v>1049</v>
      </c>
      <c r="F5349" s="406">
        <v>0</v>
      </c>
      <c r="G5349" s="405"/>
      <c r="H5349" s="606"/>
      <c r="I5349" s="606" t="s">
        <v>1050</v>
      </c>
      <c r="J5349" s="406">
        <v>23.67</v>
      </c>
      <c r="K5349"/>
    </row>
    <row r="5350" spans="1:11" ht="15" customHeight="1" thickTop="1" x14ac:dyDescent="0.3">
      <c r="A5350" s="407"/>
      <c r="B5350" s="407"/>
      <c r="C5350" s="407"/>
      <c r="D5350" s="407"/>
      <c r="E5350" s="407"/>
      <c r="F5350" s="407"/>
      <c r="G5350" s="407"/>
      <c r="H5350" s="407"/>
      <c r="I5350" s="407"/>
      <c r="J5350" s="407"/>
      <c r="K5350" s="407"/>
    </row>
    <row r="5351" spans="1:11" ht="15" customHeight="1" x14ac:dyDescent="0.3">
      <c r="A5351" s="382" t="s">
        <v>3371</v>
      </c>
      <c r="B5351" s="312" t="s">
        <v>413</v>
      </c>
      <c r="C5351" s="382" t="s">
        <v>414</v>
      </c>
      <c r="D5351" s="382" t="s">
        <v>415</v>
      </c>
      <c r="E5351" s="586" t="s">
        <v>1029</v>
      </c>
      <c r="F5351" s="586"/>
      <c r="G5351" s="383" t="s">
        <v>416</v>
      </c>
      <c r="H5351" s="312" t="s">
        <v>1030</v>
      </c>
      <c r="I5351" s="312" t="s">
        <v>3016</v>
      </c>
      <c r="J5351" s="312" t="s">
        <v>1031</v>
      </c>
      <c r="K5351" s="312" t="s">
        <v>1032</v>
      </c>
    </row>
    <row r="5352" spans="1:11" ht="14.25" customHeight="1" x14ac:dyDescent="0.3">
      <c r="A5352" s="313" t="s">
        <v>1033</v>
      </c>
      <c r="B5352" s="315" t="s">
        <v>3993</v>
      </c>
      <c r="C5352" s="313" t="s">
        <v>395</v>
      </c>
      <c r="D5352" s="313" t="s">
        <v>2607</v>
      </c>
      <c r="E5352" s="603" t="s">
        <v>7882</v>
      </c>
      <c r="F5352" s="603"/>
      <c r="G5352" s="314" t="s">
        <v>4</v>
      </c>
      <c r="H5352" s="399">
        <v>1</v>
      </c>
      <c r="I5352" s="316"/>
      <c r="J5352" s="316">
        <v>35.36</v>
      </c>
      <c r="K5352" s="316">
        <v>35.36</v>
      </c>
    </row>
    <row r="5353" spans="1:11" ht="14.25" customHeight="1" x14ac:dyDescent="0.3">
      <c r="A5353" s="408" t="s">
        <v>1034</v>
      </c>
      <c r="B5353" s="409" t="s">
        <v>1113</v>
      </c>
      <c r="C5353" s="408" t="s">
        <v>395</v>
      </c>
      <c r="D5353" s="408" t="s">
        <v>129</v>
      </c>
      <c r="E5353" s="604" t="s">
        <v>7768</v>
      </c>
      <c r="F5353" s="604"/>
      <c r="G5353" s="410" t="s">
        <v>6</v>
      </c>
      <c r="H5353" s="412">
        <v>0.22989999999999999</v>
      </c>
      <c r="I5353" s="412">
        <v>0</v>
      </c>
      <c r="J5353" s="411">
        <v>33.450000000000003</v>
      </c>
      <c r="K5353" s="411">
        <v>7.6901549999999999</v>
      </c>
    </row>
    <row r="5354" spans="1:11" ht="15" customHeight="1" x14ac:dyDescent="0.3">
      <c r="A5354" s="408" t="s">
        <v>1034</v>
      </c>
      <c r="B5354" s="409" t="s">
        <v>1112</v>
      </c>
      <c r="C5354" s="408" t="s">
        <v>395</v>
      </c>
      <c r="D5354" s="408" t="s">
        <v>137</v>
      </c>
      <c r="E5354" s="604" t="s">
        <v>7768</v>
      </c>
      <c r="F5354" s="604"/>
      <c r="G5354" s="410" t="s">
        <v>6</v>
      </c>
      <c r="H5354" s="412">
        <v>0.22989999999999999</v>
      </c>
      <c r="I5354" s="412">
        <v>0</v>
      </c>
      <c r="J5354" s="411">
        <v>40.299999999999997</v>
      </c>
      <c r="K5354" s="411">
        <v>9.2649699999999999</v>
      </c>
    </row>
    <row r="5355" spans="1:11" ht="25.5" customHeight="1" x14ac:dyDescent="0.3">
      <c r="A5355" s="400" t="s">
        <v>1038</v>
      </c>
      <c r="B5355" s="401" t="s">
        <v>2499</v>
      </c>
      <c r="C5355" s="400" t="s">
        <v>395</v>
      </c>
      <c r="D5355" s="400" t="s">
        <v>280</v>
      </c>
      <c r="E5355" s="605" t="s">
        <v>1039</v>
      </c>
      <c r="F5355" s="605"/>
      <c r="G5355" s="402" t="s">
        <v>4</v>
      </c>
      <c r="H5355" s="403">
        <v>7.1999999999999998E-3</v>
      </c>
      <c r="I5355" s="403">
        <v>0</v>
      </c>
      <c r="J5355" s="404">
        <v>308.79000000000002</v>
      </c>
      <c r="K5355" s="404">
        <v>2.2232880000000002</v>
      </c>
    </row>
    <row r="5356" spans="1:11" ht="25.5" customHeight="1" x14ac:dyDescent="0.3">
      <c r="A5356" s="400" t="s">
        <v>1038</v>
      </c>
      <c r="B5356" s="401" t="s">
        <v>4650</v>
      </c>
      <c r="C5356" s="400" t="s">
        <v>395</v>
      </c>
      <c r="D5356" s="400" t="s">
        <v>4651</v>
      </c>
      <c r="E5356" s="605" t="s">
        <v>1039</v>
      </c>
      <c r="F5356" s="605"/>
      <c r="G5356" s="402" t="s">
        <v>4</v>
      </c>
      <c r="H5356" s="403">
        <v>1</v>
      </c>
      <c r="I5356" s="403">
        <v>0</v>
      </c>
      <c r="J5356" s="404">
        <v>15.9</v>
      </c>
      <c r="K5356" s="404">
        <v>15.9</v>
      </c>
    </row>
    <row r="5357" spans="1:11" ht="25.5" customHeight="1" x14ac:dyDescent="0.3">
      <c r="A5357" s="400" t="s">
        <v>1038</v>
      </c>
      <c r="B5357" s="401" t="s">
        <v>1372</v>
      </c>
      <c r="C5357" s="400" t="s">
        <v>395</v>
      </c>
      <c r="D5357" s="400" t="s">
        <v>266</v>
      </c>
      <c r="E5357" s="605" t="s">
        <v>1039</v>
      </c>
      <c r="F5357" s="605"/>
      <c r="G5357" s="402" t="s">
        <v>4</v>
      </c>
      <c r="H5357" s="403">
        <v>8.6300000000000002E-2</v>
      </c>
      <c r="I5357" s="403">
        <v>0</v>
      </c>
      <c r="J5357" s="404">
        <v>2.09</v>
      </c>
      <c r="K5357" s="404">
        <v>0.180367</v>
      </c>
    </row>
    <row r="5358" spans="1:11" ht="25.5" customHeight="1" x14ac:dyDescent="0.3">
      <c r="A5358" s="400" t="s">
        <v>1038</v>
      </c>
      <c r="B5358" s="401" t="s">
        <v>2498</v>
      </c>
      <c r="C5358" s="400" t="s">
        <v>395</v>
      </c>
      <c r="D5358" s="400" t="s">
        <v>269</v>
      </c>
      <c r="E5358" s="605" t="s">
        <v>1039</v>
      </c>
      <c r="F5358" s="605"/>
      <c r="G5358" s="402" t="s">
        <v>4</v>
      </c>
      <c r="H5358" s="403">
        <v>1.8E-3</v>
      </c>
      <c r="I5358" s="403">
        <v>0</v>
      </c>
      <c r="J5358" s="404">
        <v>56.61</v>
      </c>
      <c r="K5358" s="404">
        <v>0.101898</v>
      </c>
    </row>
    <row r="5359" spans="1:11" ht="15" x14ac:dyDescent="0.3">
      <c r="A5359" s="405"/>
      <c r="B5359" s="405"/>
      <c r="C5359" s="405"/>
      <c r="D5359" s="405"/>
      <c r="E5359" s="405" t="s">
        <v>1046</v>
      </c>
      <c r="F5359" s="406">
        <v>12.49</v>
      </c>
      <c r="G5359" s="405" t="s">
        <v>1047</v>
      </c>
      <c r="H5359" s="406">
        <v>0</v>
      </c>
      <c r="I5359" s="405" t="s">
        <v>1048</v>
      </c>
      <c r="J5359" s="406">
        <v>12.49</v>
      </c>
      <c r="K5359"/>
    </row>
    <row r="5360" spans="1:11" ht="15.6" thickBot="1" x14ac:dyDescent="0.35">
      <c r="A5360" s="405"/>
      <c r="B5360" s="405"/>
      <c r="C5360" s="405"/>
      <c r="D5360" s="405"/>
      <c r="E5360" s="405" t="s">
        <v>1049</v>
      </c>
      <c r="F5360" s="406">
        <v>0</v>
      </c>
      <c r="G5360" s="405"/>
      <c r="H5360" s="606"/>
      <c r="I5360" s="606" t="s">
        <v>1050</v>
      </c>
      <c r="J5360" s="406">
        <v>35.36</v>
      </c>
      <c r="K5360"/>
    </row>
    <row r="5361" spans="1:11" ht="15" customHeight="1" thickTop="1" x14ac:dyDescent="0.3">
      <c r="A5361" s="407"/>
      <c r="B5361" s="407"/>
      <c r="C5361" s="407"/>
      <c r="D5361" s="407"/>
      <c r="E5361" s="407"/>
      <c r="F5361" s="407"/>
      <c r="G5361" s="407"/>
      <c r="H5361" s="407"/>
      <c r="I5361" s="407"/>
      <c r="J5361" s="407"/>
      <c r="K5361" s="407"/>
    </row>
    <row r="5362" spans="1:11" ht="14.25" customHeight="1" x14ac:dyDescent="0.3">
      <c r="A5362" s="382" t="s">
        <v>3372</v>
      </c>
      <c r="B5362" s="312" t="s">
        <v>413</v>
      </c>
      <c r="C5362" s="382" t="s">
        <v>414</v>
      </c>
      <c r="D5362" s="382" t="s">
        <v>415</v>
      </c>
      <c r="E5362" s="586" t="s">
        <v>1029</v>
      </c>
      <c r="F5362" s="586"/>
      <c r="G5362" s="383" t="s">
        <v>416</v>
      </c>
      <c r="H5362" s="312" t="s">
        <v>1030</v>
      </c>
      <c r="I5362" s="312" t="s">
        <v>3016</v>
      </c>
      <c r="J5362" s="312" t="s">
        <v>1031</v>
      </c>
      <c r="K5362" s="312" t="s">
        <v>1032</v>
      </c>
    </row>
    <row r="5363" spans="1:11" ht="30" customHeight="1" x14ac:dyDescent="0.3">
      <c r="A5363" s="313" t="s">
        <v>1033</v>
      </c>
      <c r="B5363" s="315" t="s">
        <v>3994</v>
      </c>
      <c r="C5363" s="313" t="s">
        <v>395</v>
      </c>
      <c r="D5363" s="313" t="s">
        <v>2601</v>
      </c>
      <c r="E5363" s="603" t="s">
        <v>7882</v>
      </c>
      <c r="F5363" s="603"/>
      <c r="G5363" s="314" t="s">
        <v>4</v>
      </c>
      <c r="H5363" s="399">
        <v>1</v>
      </c>
      <c r="I5363" s="316"/>
      <c r="J5363" s="316">
        <v>78.31</v>
      </c>
      <c r="K5363" s="316">
        <v>78.31</v>
      </c>
    </row>
    <row r="5364" spans="1:11" ht="14.25" customHeight="1" x14ac:dyDescent="0.3">
      <c r="A5364" s="408" t="s">
        <v>1034</v>
      </c>
      <c r="B5364" s="409" t="s">
        <v>1113</v>
      </c>
      <c r="C5364" s="408" t="s">
        <v>395</v>
      </c>
      <c r="D5364" s="408" t="s">
        <v>129</v>
      </c>
      <c r="E5364" s="604" t="s">
        <v>7768</v>
      </c>
      <c r="F5364" s="604"/>
      <c r="G5364" s="410" t="s">
        <v>6</v>
      </c>
      <c r="H5364" s="412">
        <v>0.19309999999999999</v>
      </c>
      <c r="I5364" s="412">
        <v>0</v>
      </c>
      <c r="J5364" s="411">
        <v>33.450000000000003</v>
      </c>
      <c r="K5364" s="411">
        <v>6.4591950000000002</v>
      </c>
    </row>
    <row r="5365" spans="1:11" ht="15" customHeight="1" x14ac:dyDescent="0.3">
      <c r="A5365" s="408" t="s">
        <v>1034</v>
      </c>
      <c r="B5365" s="409" t="s">
        <v>1112</v>
      </c>
      <c r="C5365" s="408" t="s">
        <v>395</v>
      </c>
      <c r="D5365" s="408" t="s">
        <v>137</v>
      </c>
      <c r="E5365" s="604" t="s">
        <v>7768</v>
      </c>
      <c r="F5365" s="604"/>
      <c r="G5365" s="410" t="s">
        <v>6</v>
      </c>
      <c r="H5365" s="412">
        <v>0.19309999999999999</v>
      </c>
      <c r="I5365" s="412">
        <v>0</v>
      </c>
      <c r="J5365" s="411">
        <v>40.299999999999997</v>
      </c>
      <c r="K5365" s="411">
        <v>7.78193</v>
      </c>
    </row>
    <row r="5366" spans="1:11" ht="25.5" customHeight="1" x14ac:dyDescent="0.3">
      <c r="A5366" s="400" t="s">
        <v>1038</v>
      </c>
      <c r="B5366" s="401" t="s">
        <v>2499</v>
      </c>
      <c r="C5366" s="400" t="s">
        <v>395</v>
      </c>
      <c r="D5366" s="400" t="s">
        <v>280</v>
      </c>
      <c r="E5366" s="605" t="s">
        <v>1039</v>
      </c>
      <c r="F5366" s="605"/>
      <c r="G5366" s="402" t="s">
        <v>4</v>
      </c>
      <c r="H5366" s="403">
        <v>1.26E-2</v>
      </c>
      <c r="I5366" s="403">
        <v>0</v>
      </c>
      <c r="J5366" s="404">
        <v>308.79000000000002</v>
      </c>
      <c r="K5366" s="404">
        <v>3.8907539999999998</v>
      </c>
    </row>
    <row r="5367" spans="1:11" ht="25.5" customHeight="1" x14ac:dyDescent="0.3">
      <c r="A5367" s="400" t="s">
        <v>1038</v>
      </c>
      <c r="B5367" s="401" t="s">
        <v>4322</v>
      </c>
      <c r="C5367" s="400" t="s">
        <v>395</v>
      </c>
      <c r="D5367" s="400" t="s">
        <v>4323</v>
      </c>
      <c r="E5367" s="605" t="s">
        <v>1039</v>
      </c>
      <c r="F5367" s="605"/>
      <c r="G5367" s="402" t="s">
        <v>4</v>
      </c>
      <c r="H5367" s="403">
        <v>1</v>
      </c>
      <c r="I5367" s="403">
        <v>0</v>
      </c>
      <c r="J5367" s="404">
        <v>59.8</v>
      </c>
      <c r="K5367" s="404">
        <v>59.8</v>
      </c>
    </row>
    <row r="5368" spans="1:11" ht="12.75" customHeight="1" x14ac:dyDescent="0.3">
      <c r="A5368" s="400" t="s">
        <v>1038</v>
      </c>
      <c r="B5368" s="401" t="s">
        <v>1372</v>
      </c>
      <c r="C5368" s="400" t="s">
        <v>395</v>
      </c>
      <c r="D5368" s="400" t="s">
        <v>266</v>
      </c>
      <c r="E5368" s="605" t="s">
        <v>1039</v>
      </c>
      <c r="F5368" s="605"/>
      <c r="G5368" s="402" t="s">
        <v>4</v>
      </c>
      <c r="H5368" s="403">
        <v>9.6600000000000005E-2</v>
      </c>
      <c r="I5368" s="403">
        <v>0</v>
      </c>
      <c r="J5368" s="404">
        <v>2.09</v>
      </c>
      <c r="K5368" s="404">
        <v>0.20189399999999999</v>
      </c>
    </row>
    <row r="5369" spans="1:11" ht="25.5" customHeight="1" x14ac:dyDescent="0.3">
      <c r="A5369" s="400" t="s">
        <v>1038</v>
      </c>
      <c r="B5369" s="401" t="s">
        <v>2498</v>
      </c>
      <c r="C5369" s="400" t="s">
        <v>395</v>
      </c>
      <c r="D5369" s="400" t="s">
        <v>269</v>
      </c>
      <c r="E5369" s="605" t="s">
        <v>1039</v>
      </c>
      <c r="F5369" s="605"/>
      <c r="G5369" s="402" t="s">
        <v>4</v>
      </c>
      <c r="H5369" s="403">
        <v>3.0999999999999999E-3</v>
      </c>
      <c r="I5369" s="403">
        <v>0</v>
      </c>
      <c r="J5369" s="404">
        <v>56.61</v>
      </c>
      <c r="K5369" s="404">
        <v>0.17549100000000001</v>
      </c>
    </row>
    <row r="5370" spans="1:11" ht="25.5" customHeight="1" x14ac:dyDescent="0.3">
      <c r="A5370" s="405"/>
      <c r="B5370" s="405"/>
      <c r="C5370" s="405"/>
      <c r="D5370" s="405"/>
      <c r="E5370" s="405" t="s">
        <v>1046</v>
      </c>
      <c r="F5370" s="406">
        <v>10.48</v>
      </c>
      <c r="G5370" s="405" t="s">
        <v>1047</v>
      </c>
      <c r="H5370" s="406">
        <v>0</v>
      </c>
      <c r="I5370" s="405" t="s">
        <v>1048</v>
      </c>
      <c r="J5370" s="406">
        <v>10.48</v>
      </c>
      <c r="K5370"/>
    </row>
    <row r="5371" spans="1:11" ht="14.25" customHeight="1" thickBot="1" x14ac:dyDescent="0.35">
      <c r="A5371" s="405"/>
      <c r="B5371" s="405"/>
      <c r="C5371" s="405"/>
      <c r="D5371" s="405"/>
      <c r="E5371" s="405" t="s">
        <v>1049</v>
      </c>
      <c r="F5371" s="406">
        <v>0</v>
      </c>
      <c r="G5371" s="405"/>
      <c r="H5371" s="606"/>
      <c r="I5371" s="606" t="s">
        <v>1050</v>
      </c>
      <c r="J5371" s="406">
        <v>78.31</v>
      </c>
      <c r="K5371"/>
    </row>
    <row r="5372" spans="1:11" ht="15" customHeight="1" thickTop="1" x14ac:dyDescent="0.3">
      <c r="A5372" s="407"/>
      <c r="B5372" s="407"/>
      <c r="C5372" s="407"/>
      <c r="D5372" s="407"/>
      <c r="E5372" s="407"/>
      <c r="F5372" s="407"/>
      <c r="G5372" s="407"/>
      <c r="H5372" s="407"/>
      <c r="I5372" s="407"/>
      <c r="J5372" s="407"/>
      <c r="K5372" s="407"/>
    </row>
    <row r="5373" spans="1:11" ht="15" x14ac:dyDescent="0.3">
      <c r="A5373" s="382" t="s">
        <v>3373</v>
      </c>
      <c r="B5373" s="312" t="s">
        <v>413</v>
      </c>
      <c r="C5373" s="382" t="s">
        <v>414</v>
      </c>
      <c r="D5373" s="382" t="s">
        <v>415</v>
      </c>
      <c r="E5373" s="586" t="s">
        <v>1029</v>
      </c>
      <c r="F5373" s="586"/>
      <c r="G5373" s="383" t="s">
        <v>416</v>
      </c>
      <c r="H5373" s="312" t="s">
        <v>1030</v>
      </c>
      <c r="I5373" s="312" t="s">
        <v>3016</v>
      </c>
      <c r="J5373" s="312" t="s">
        <v>1031</v>
      </c>
      <c r="K5373" s="312" t="s">
        <v>1032</v>
      </c>
    </row>
    <row r="5374" spans="1:11" ht="17.399999999999999" customHeight="1" x14ac:dyDescent="0.3">
      <c r="A5374" s="313" t="s">
        <v>1033</v>
      </c>
      <c r="B5374" s="315" t="s">
        <v>974</v>
      </c>
      <c r="C5374" s="313" t="s">
        <v>575</v>
      </c>
      <c r="D5374" s="313" t="s">
        <v>584</v>
      </c>
      <c r="E5374" s="603">
        <v>52</v>
      </c>
      <c r="F5374" s="603"/>
      <c r="G5374" s="314" t="s">
        <v>4</v>
      </c>
      <c r="H5374" s="399">
        <v>1</v>
      </c>
      <c r="I5374" s="316"/>
      <c r="J5374" s="316">
        <v>98.45</v>
      </c>
      <c r="K5374" s="316">
        <v>98.45</v>
      </c>
    </row>
    <row r="5375" spans="1:11" ht="14.25" customHeight="1" x14ac:dyDescent="0.3">
      <c r="A5375" s="408" t="s">
        <v>1034</v>
      </c>
      <c r="B5375" s="409" t="s">
        <v>1113</v>
      </c>
      <c r="C5375" s="408" t="s">
        <v>395</v>
      </c>
      <c r="D5375" s="408" t="s">
        <v>129</v>
      </c>
      <c r="E5375" s="604" t="s">
        <v>7768</v>
      </c>
      <c r="F5375" s="604"/>
      <c r="G5375" s="410" t="s">
        <v>6</v>
      </c>
      <c r="H5375" s="412">
        <v>0.54200000000000004</v>
      </c>
      <c r="I5375" s="412">
        <v>0</v>
      </c>
      <c r="J5375" s="411">
        <v>33.450000000000003</v>
      </c>
      <c r="K5375" s="411">
        <v>18.129899999999999</v>
      </c>
    </row>
    <row r="5376" spans="1:11" ht="15" customHeight="1" x14ac:dyDescent="0.3">
      <c r="A5376" s="408" t="s">
        <v>1034</v>
      </c>
      <c r="B5376" s="409" t="s">
        <v>1112</v>
      </c>
      <c r="C5376" s="408" t="s">
        <v>395</v>
      </c>
      <c r="D5376" s="408" t="s">
        <v>137</v>
      </c>
      <c r="E5376" s="604" t="s">
        <v>7768</v>
      </c>
      <c r="F5376" s="604"/>
      <c r="G5376" s="410" t="s">
        <v>6</v>
      </c>
      <c r="H5376" s="412">
        <v>0.54200000000000004</v>
      </c>
      <c r="I5376" s="412">
        <v>0</v>
      </c>
      <c r="J5376" s="411">
        <v>40.299999999999997</v>
      </c>
      <c r="K5376" s="411">
        <v>21.842600000000001</v>
      </c>
    </row>
    <row r="5377" spans="1:11" ht="25.5" customHeight="1" x14ac:dyDescent="0.3">
      <c r="A5377" s="400" t="s">
        <v>1038</v>
      </c>
      <c r="B5377" s="401" t="s">
        <v>1333</v>
      </c>
      <c r="C5377" s="400" t="s">
        <v>408</v>
      </c>
      <c r="D5377" s="400" t="s">
        <v>1334</v>
      </c>
      <c r="E5377" s="605" t="s">
        <v>1039</v>
      </c>
      <c r="F5377" s="605"/>
      <c r="G5377" s="402" t="s">
        <v>1332</v>
      </c>
      <c r="H5377" s="403">
        <v>3.7</v>
      </c>
      <c r="I5377" s="403">
        <v>0</v>
      </c>
      <c r="J5377" s="404">
        <v>0.19</v>
      </c>
      <c r="K5377" s="404">
        <v>0.70299999999999996</v>
      </c>
    </row>
    <row r="5378" spans="1:11" ht="25.5" customHeight="1" x14ac:dyDescent="0.3">
      <c r="A5378" s="400" t="s">
        <v>1038</v>
      </c>
      <c r="B5378" s="401" t="s">
        <v>1330</v>
      </c>
      <c r="C5378" s="400" t="s">
        <v>408</v>
      </c>
      <c r="D5378" s="400" t="s">
        <v>1331</v>
      </c>
      <c r="E5378" s="605" t="s">
        <v>1039</v>
      </c>
      <c r="F5378" s="605"/>
      <c r="G5378" s="402" t="s">
        <v>1332</v>
      </c>
      <c r="H5378" s="403">
        <v>0.46</v>
      </c>
      <c r="I5378" s="403">
        <v>0</v>
      </c>
      <c r="J5378" s="404">
        <v>2.9</v>
      </c>
      <c r="K5378" s="404">
        <v>1.3340000000000001</v>
      </c>
    </row>
    <row r="5379" spans="1:11" ht="15" x14ac:dyDescent="0.3">
      <c r="A5379" s="400" t="s">
        <v>1038</v>
      </c>
      <c r="B5379" s="401" t="s">
        <v>1326</v>
      </c>
      <c r="C5379" s="400" t="s">
        <v>408</v>
      </c>
      <c r="D5379" s="400" t="s">
        <v>1327</v>
      </c>
      <c r="E5379" s="605" t="s">
        <v>1039</v>
      </c>
      <c r="F5379" s="605"/>
      <c r="G5379" s="402" t="s">
        <v>4</v>
      </c>
      <c r="H5379" s="403">
        <v>6.0000000000000001E-3</v>
      </c>
      <c r="I5379" s="403">
        <v>0</v>
      </c>
      <c r="J5379" s="404">
        <v>14</v>
      </c>
      <c r="K5379" s="404">
        <v>8.4000000000000005E-2</v>
      </c>
    </row>
    <row r="5380" spans="1:11" ht="14.25" customHeight="1" x14ac:dyDescent="0.3">
      <c r="A5380" s="400" t="s">
        <v>1038</v>
      </c>
      <c r="B5380" s="401" t="s">
        <v>1328</v>
      </c>
      <c r="C5380" s="400" t="s">
        <v>408</v>
      </c>
      <c r="D5380" s="400" t="s">
        <v>1329</v>
      </c>
      <c r="E5380" s="605" t="s">
        <v>1039</v>
      </c>
      <c r="F5380" s="605"/>
      <c r="G5380" s="402" t="s">
        <v>4</v>
      </c>
      <c r="H5380" s="403">
        <v>5.1999999999999998E-2</v>
      </c>
      <c r="I5380" s="403">
        <v>0</v>
      </c>
      <c r="J5380" s="404">
        <v>541.88</v>
      </c>
      <c r="K5380" s="404">
        <v>28.177759999999999</v>
      </c>
    </row>
    <row r="5381" spans="1:11" ht="15" x14ac:dyDescent="0.3">
      <c r="A5381" s="400" t="s">
        <v>1038</v>
      </c>
      <c r="B5381" s="401" t="s">
        <v>1352</v>
      </c>
      <c r="C5381" s="400" t="s">
        <v>575</v>
      </c>
      <c r="D5381" s="400" t="s">
        <v>584</v>
      </c>
      <c r="E5381" s="605" t="s">
        <v>1039</v>
      </c>
      <c r="F5381" s="605"/>
      <c r="G5381" s="402" t="s">
        <v>1335</v>
      </c>
      <c r="H5381" s="403">
        <v>1</v>
      </c>
      <c r="I5381" s="403">
        <v>0</v>
      </c>
      <c r="J5381" s="404">
        <v>28.18</v>
      </c>
      <c r="K5381" s="404">
        <v>28.18</v>
      </c>
    </row>
    <row r="5382" spans="1:11" ht="15" x14ac:dyDescent="0.3">
      <c r="A5382" s="405"/>
      <c r="B5382" s="405"/>
      <c r="C5382" s="405"/>
      <c r="D5382" s="405"/>
      <c r="E5382" s="405" t="s">
        <v>1046</v>
      </c>
      <c r="F5382" s="406">
        <v>29.43</v>
      </c>
      <c r="G5382" s="405" t="s">
        <v>1047</v>
      </c>
      <c r="H5382" s="406">
        <v>0</v>
      </c>
      <c r="I5382" s="405" t="s">
        <v>1048</v>
      </c>
      <c r="J5382" s="406">
        <v>29.43</v>
      </c>
      <c r="K5382"/>
    </row>
    <row r="5383" spans="1:11" ht="15.6" thickBot="1" x14ac:dyDescent="0.35">
      <c r="A5383" s="405"/>
      <c r="B5383" s="405"/>
      <c r="C5383" s="405"/>
      <c r="D5383" s="405"/>
      <c r="E5383" s="405" t="s">
        <v>1049</v>
      </c>
      <c r="F5383" s="406">
        <v>0</v>
      </c>
      <c r="G5383" s="405"/>
      <c r="H5383" s="606"/>
      <c r="I5383" s="606" t="s">
        <v>1050</v>
      </c>
      <c r="J5383" s="406">
        <v>98.45</v>
      </c>
      <c r="K5383"/>
    </row>
    <row r="5384" spans="1:11" ht="15" customHeight="1" thickTop="1" x14ac:dyDescent="0.3">
      <c r="A5384" s="407"/>
      <c r="B5384" s="407"/>
      <c r="C5384" s="407"/>
      <c r="D5384" s="407"/>
      <c r="E5384" s="407"/>
      <c r="F5384" s="407"/>
      <c r="G5384" s="407"/>
      <c r="H5384" s="407"/>
      <c r="I5384" s="407"/>
      <c r="J5384" s="407"/>
      <c r="K5384" s="407"/>
    </row>
    <row r="5385" spans="1:11" ht="15" x14ac:dyDescent="0.3">
      <c r="A5385" s="382" t="s">
        <v>3374</v>
      </c>
      <c r="B5385" s="312" t="s">
        <v>413</v>
      </c>
      <c r="C5385" s="382" t="s">
        <v>414</v>
      </c>
      <c r="D5385" s="382" t="s">
        <v>415</v>
      </c>
      <c r="E5385" s="586" t="s">
        <v>1029</v>
      </c>
      <c r="F5385" s="586"/>
      <c r="G5385" s="383" t="s">
        <v>416</v>
      </c>
      <c r="H5385" s="312" t="s">
        <v>1030</v>
      </c>
      <c r="I5385" s="312" t="s">
        <v>3016</v>
      </c>
      <c r="J5385" s="312" t="s">
        <v>1031</v>
      </c>
      <c r="K5385" s="312" t="s">
        <v>1032</v>
      </c>
    </row>
    <row r="5386" spans="1:11" ht="17.399999999999999" customHeight="1" x14ac:dyDescent="0.3">
      <c r="A5386" s="313" t="s">
        <v>1033</v>
      </c>
      <c r="B5386" s="315" t="s">
        <v>972</v>
      </c>
      <c r="C5386" s="313" t="s">
        <v>575</v>
      </c>
      <c r="D5386" s="313" t="s">
        <v>583</v>
      </c>
      <c r="E5386" s="603">
        <v>52</v>
      </c>
      <c r="F5386" s="603"/>
      <c r="G5386" s="314" t="s">
        <v>4</v>
      </c>
      <c r="H5386" s="399">
        <v>1</v>
      </c>
      <c r="I5386" s="316"/>
      <c r="J5386" s="316">
        <v>88.78</v>
      </c>
      <c r="K5386" s="316">
        <v>88.78</v>
      </c>
    </row>
    <row r="5387" spans="1:11" ht="26.4" x14ac:dyDescent="0.3">
      <c r="A5387" s="408" t="s">
        <v>1034</v>
      </c>
      <c r="B5387" s="409" t="s">
        <v>1113</v>
      </c>
      <c r="C5387" s="408" t="s">
        <v>395</v>
      </c>
      <c r="D5387" s="408" t="s">
        <v>129</v>
      </c>
      <c r="E5387" s="604" t="s">
        <v>7768</v>
      </c>
      <c r="F5387" s="604"/>
      <c r="G5387" s="410" t="s">
        <v>6</v>
      </c>
      <c r="H5387" s="412">
        <v>0.54200000000000004</v>
      </c>
      <c r="I5387" s="412">
        <v>0</v>
      </c>
      <c r="J5387" s="411">
        <v>33.450000000000003</v>
      </c>
      <c r="K5387" s="411">
        <v>18.129899999999999</v>
      </c>
    </row>
    <row r="5388" spans="1:11" ht="15" customHeight="1" x14ac:dyDescent="0.3">
      <c r="A5388" s="408" t="s">
        <v>1034</v>
      </c>
      <c r="B5388" s="409" t="s">
        <v>1112</v>
      </c>
      <c r="C5388" s="408" t="s">
        <v>395</v>
      </c>
      <c r="D5388" s="408" t="s">
        <v>137</v>
      </c>
      <c r="E5388" s="604" t="s">
        <v>7768</v>
      </c>
      <c r="F5388" s="604"/>
      <c r="G5388" s="410" t="s">
        <v>6</v>
      </c>
      <c r="H5388" s="412">
        <v>0.54200000000000004</v>
      </c>
      <c r="I5388" s="412">
        <v>0</v>
      </c>
      <c r="J5388" s="411">
        <v>40.299999999999997</v>
      </c>
      <c r="K5388" s="411">
        <v>21.842600000000001</v>
      </c>
    </row>
    <row r="5389" spans="1:11" ht="25.5" customHeight="1" x14ac:dyDescent="0.3">
      <c r="A5389" s="400" t="s">
        <v>1038</v>
      </c>
      <c r="B5389" s="401" t="s">
        <v>1333</v>
      </c>
      <c r="C5389" s="400" t="s">
        <v>408</v>
      </c>
      <c r="D5389" s="400" t="s">
        <v>1334</v>
      </c>
      <c r="E5389" s="605" t="s">
        <v>1039</v>
      </c>
      <c r="F5389" s="605"/>
      <c r="G5389" s="402" t="s">
        <v>1332</v>
      </c>
      <c r="H5389" s="403">
        <v>3.7</v>
      </c>
      <c r="I5389" s="403">
        <v>0</v>
      </c>
      <c r="J5389" s="404">
        <v>0.19</v>
      </c>
      <c r="K5389" s="404">
        <v>0.70299999999999996</v>
      </c>
    </row>
    <row r="5390" spans="1:11" ht="25.5" customHeight="1" x14ac:dyDescent="0.3">
      <c r="A5390" s="400" t="s">
        <v>1038</v>
      </c>
      <c r="B5390" s="401" t="s">
        <v>1330</v>
      </c>
      <c r="C5390" s="400" t="s">
        <v>408</v>
      </c>
      <c r="D5390" s="400" t="s">
        <v>1331</v>
      </c>
      <c r="E5390" s="605" t="s">
        <v>1039</v>
      </c>
      <c r="F5390" s="605"/>
      <c r="G5390" s="402" t="s">
        <v>1332</v>
      </c>
      <c r="H5390" s="403">
        <v>0.46</v>
      </c>
      <c r="I5390" s="403">
        <v>0</v>
      </c>
      <c r="J5390" s="404">
        <v>2.9</v>
      </c>
      <c r="K5390" s="404">
        <v>1.3340000000000001</v>
      </c>
    </row>
    <row r="5391" spans="1:11" ht="15" x14ac:dyDescent="0.3">
      <c r="A5391" s="400" t="s">
        <v>1038</v>
      </c>
      <c r="B5391" s="401" t="s">
        <v>1326</v>
      </c>
      <c r="C5391" s="400" t="s">
        <v>408</v>
      </c>
      <c r="D5391" s="400" t="s">
        <v>1327</v>
      </c>
      <c r="E5391" s="605" t="s">
        <v>1039</v>
      </c>
      <c r="F5391" s="605"/>
      <c r="G5391" s="402" t="s">
        <v>4</v>
      </c>
      <c r="H5391" s="403">
        <v>6.0000000000000001E-3</v>
      </c>
      <c r="I5391" s="403">
        <v>0</v>
      </c>
      <c r="J5391" s="404">
        <v>14</v>
      </c>
      <c r="K5391" s="404">
        <v>8.4000000000000005E-2</v>
      </c>
    </row>
    <row r="5392" spans="1:11" ht="15" x14ac:dyDescent="0.3">
      <c r="A5392" s="400" t="s">
        <v>1038</v>
      </c>
      <c r="B5392" s="401" t="s">
        <v>1328</v>
      </c>
      <c r="C5392" s="400" t="s">
        <v>408</v>
      </c>
      <c r="D5392" s="400" t="s">
        <v>1329</v>
      </c>
      <c r="E5392" s="605" t="s">
        <v>1039</v>
      </c>
      <c r="F5392" s="605"/>
      <c r="G5392" s="402" t="s">
        <v>4</v>
      </c>
      <c r="H5392" s="403">
        <v>5.1999999999999998E-2</v>
      </c>
      <c r="I5392" s="403">
        <v>0</v>
      </c>
      <c r="J5392" s="404">
        <v>541.88</v>
      </c>
      <c r="K5392" s="404">
        <v>28.177759999999999</v>
      </c>
    </row>
    <row r="5393" spans="1:11" ht="15" x14ac:dyDescent="0.3">
      <c r="A5393" s="400" t="s">
        <v>1038</v>
      </c>
      <c r="B5393" s="401" t="s">
        <v>1350</v>
      </c>
      <c r="C5393" s="400" t="s">
        <v>575</v>
      </c>
      <c r="D5393" s="400" t="s">
        <v>583</v>
      </c>
      <c r="E5393" s="605" t="s">
        <v>1039</v>
      </c>
      <c r="F5393" s="605"/>
      <c r="G5393" s="402" t="s">
        <v>582</v>
      </c>
      <c r="H5393" s="403">
        <v>1</v>
      </c>
      <c r="I5393" s="403">
        <v>0</v>
      </c>
      <c r="J5393" s="404">
        <v>18.510000000000002</v>
      </c>
      <c r="K5393" s="404">
        <v>18.510000000000002</v>
      </c>
    </row>
    <row r="5394" spans="1:11" ht="15" x14ac:dyDescent="0.3">
      <c r="A5394" s="405"/>
      <c r="B5394" s="405"/>
      <c r="C5394" s="405"/>
      <c r="D5394" s="405"/>
      <c r="E5394" s="405" t="s">
        <v>1046</v>
      </c>
      <c r="F5394" s="406">
        <v>29.43</v>
      </c>
      <c r="G5394" s="405" t="s">
        <v>1047</v>
      </c>
      <c r="H5394" s="406">
        <v>0</v>
      </c>
      <c r="I5394" s="405" t="s">
        <v>1048</v>
      </c>
      <c r="J5394" s="406">
        <v>29.43</v>
      </c>
      <c r="K5394"/>
    </row>
    <row r="5395" spans="1:11" ht="15" customHeight="1" thickBot="1" x14ac:dyDescent="0.35">
      <c r="A5395" s="405"/>
      <c r="B5395" s="405"/>
      <c r="C5395" s="405"/>
      <c r="D5395" s="405"/>
      <c r="E5395" s="405" t="s">
        <v>1049</v>
      </c>
      <c r="F5395" s="406">
        <v>0</v>
      </c>
      <c r="G5395" s="405"/>
      <c r="H5395" s="606"/>
      <c r="I5395" s="606" t="s">
        <v>1050</v>
      </c>
      <c r="J5395" s="406">
        <v>88.78</v>
      </c>
      <c r="K5395"/>
    </row>
    <row r="5396" spans="1:11" ht="14.25" customHeight="1" thickTop="1" x14ac:dyDescent="0.3">
      <c r="A5396" s="407"/>
      <c r="B5396" s="407"/>
      <c r="C5396" s="407"/>
      <c r="D5396" s="407"/>
      <c r="E5396" s="407"/>
      <c r="F5396" s="407"/>
      <c r="G5396" s="407"/>
      <c r="H5396" s="407"/>
      <c r="I5396" s="407"/>
      <c r="J5396" s="407"/>
      <c r="K5396" s="407"/>
    </row>
    <row r="5397" spans="1:11" ht="15" x14ac:dyDescent="0.3">
      <c r="A5397" s="382" t="s">
        <v>3375</v>
      </c>
      <c r="B5397" s="312" t="s">
        <v>413</v>
      </c>
      <c r="C5397" s="382" t="s">
        <v>414</v>
      </c>
      <c r="D5397" s="382" t="s">
        <v>415</v>
      </c>
      <c r="E5397" s="586" t="s">
        <v>1029</v>
      </c>
      <c r="F5397" s="586"/>
      <c r="G5397" s="383" t="s">
        <v>416</v>
      </c>
      <c r="H5397" s="312" t="s">
        <v>1030</v>
      </c>
      <c r="I5397" s="312" t="s">
        <v>3016</v>
      </c>
      <c r="J5397" s="312" t="s">
        <v>1031</v>
      </c>
      <c r="K5397" s="312" t="s">
        <v>1032</v>
      </c>
    </row>
    <row r="5398" spans="1:11" ht="14.25" customHeight="1" x14ac:dyDescent="0.3">
      <c r="A5398" s="313" t="s">
        <v>1033</v>
      </c>
      <c r="B5398" s="315" t="s">
        <v>2223</v>
      </c>
      <c r="C5398" s="313" t="s">
        <v>575</v>
      </c>
      <c r="D5398" s="313" t="s">
        <v>2054</v>
      </c>
      <c r="E5398" s="603" t="s">
        <v>1319</v>
      </c>
      <c r="F5398" s="603"/>
      <c r="G5398" s="314" t="s">
        <v>4</v>
      </c>
      <c r="H5398" s="399">
        <v>1</v>
      </c>
      <c r="I5398" s="316"/>
      <c r="J5398" s="316">
        <v>110.62</v>
      </c>
      <c r="K5398" s="316">
        <v>110.62</v>
      </c>
    </row>
    <row r="5399" spans="1:11" ht="26.4" x14ac:dyDescent="0.3">
      <c r="A5399" s="408" t="s">
        <v>1034</v>
      </c>
      <c r="B5399" s="409" t="s">
        <v>1113</v>
      </c>
      <c r="C5399" s="408" t="s">
        <v>395</v>
      </c>
      <c r="D5399" s="408" t="s">
        <v>129</v>
      </c>
      <c r="E5399" s="604" t="s">
        <v>7768</v>
      </c>
      <c r="F5399" s="604"/>
      <c r="G5399" s="410" t="s">
        <v>6</v>
      </c>
      <c r="H5399" s="412">
        <v>0.54200000000000004</v>
      </c>
      <c r="I5399" s="412">
        <v>0</v>
      </c>
      <c r="J5399" s="411">
        <v>33.450000000000003</v>
      </c>
      <c r="K5399" s="411">
        <v>18.129899999999999</v>
      </c>
    </row>
    <row r="5400" spans="1:11" ht="26.4" x14ac:dyDescent="0.3">
      <c r="A5400" s="408" t="s">
        <v>1034</v>
      </c>
      <c r="B5400" s="409" t="s">
        <v>1112</v>
      </c>
      <c r="C5400" s="408" t="s">
        <v>395</v>
      </c>
      <c r="D5400" s="408" t="s">
        <v>137</v>
      </c>
      <c r="E5400" s="604" t="s">
        <v>7768</v>
      </c>
      <c r="F5400" s="604"/>
      <c r="G5400" s="410" t="s">
        <v>6</v>
      </c>
      <c r="H5400" s="412">
        <v>0.54200000000000004</v>
      </c>
      <c r="I5400" s="412">
        <v>0</v>
      </c>
      <c r="J5400" s="411">
        <v>40.299999999999997</v>
      </c>
      <c r="K5400" s="411">
        <v>21.842600000000001</v>
      </c>
    </row>
    <row r="5401" spans="1:11" ht="15" x14ac:dyDescent="0.3">
      <c r="A5401" s="400" t="s">
        <v>1038</v>
      </c>
      <c r="B5401" s="401" t="s">
        <v>1333</v>
      </c>
      <c r="C5401" s="400" t="s">
        <v>408</v>
      </c>
      <c r="D5401" s="400" t="s">
        <v>1334</v>
      </c>
      <c r="E5401" s="605" t="s">
        <v>1039</v>
      </c>
      <c r="F5401" s="605"/>
      <c r="G5401" s="402" t="s">
        <v>1332</v>
      </c>
      <c r="H5401" s="403">
        <v>3.7</v>
      </c>
      <c r="I5401" s="403">
        <v>0</v>
      </c>
      <c r="J5401" s="404">
        <v>0.19</v>
      </c>
      <c r="K5401" s="404">
        <v>0.70299999999999996</v>
      </c>
    </row>
    <row r="5402" spans="1:11" ht="15" x14ac:dyDescent="0.3">
      <c r="A5402" s="400" t="s">
        <v>1038</v>
      </c>
      <c r="B5402" s="401" t="s">
        <v>1330</v>
      </c>
      <c r="C5402" s="400" t="s">
        <v>408</v>
      </c>
      <c r="D5402" s="400" t="s">
        <v>1331</v>
      </c>
      <c r="E5402" s="605" t="s">
        <v>1039</v>
      </c>
      <c r="F5402" s="605"/>
      <c r="G5402" s="402" t="s">
        <v>1332</v>
      </c>
      <c r="H5402" s="403">
        <v>0.46</v>
      </c>
      <c r="I5402" s="403">
        <v>0</v>
      </c>
      <c r="J5402" s="404">
        <v>2.9</v>
      </c>
      <c r="K5402" s="404">
        <v>1.3340000000000001</v>
      </c>
    </row>
    <row r="5403" spans="1:11" ht="15" x14ac:dyDescent="0.3">
      <c r="A5403" s="400" t="s">
        <v>1038</v>
      </c>
      <c r="B5403" s="401" t="s">
        <v>1326</v>
      </c>
      <c r="C5403" s="400" t="s">
        <v>408</v>
      </c>
      <c r="D5403" s="400" t="s">
        <v>1327</v>
      </c>
      <c r="E5403" s="605" t="s">
        <v>1039</v>
      </c>
      <c r="F5403" s="605"/>
      <c r="G5403" s="402" t="s">
        <v>4</v>
      </c>
      <c r="H5403" s="403">
        <v>6.0000000000000001E-3</v>
      </c>
      <c r="I5403" s="403">
        <v>0</v>
      </c>
      <c r="J5403" s="404">
        <v>14</v>
      </c>
      <c r="K5403" s="404">
        <v>8.4000000000000005E-2</v>
      </c>
    </row>
    <row r="5404" spans="1:11" ht="15" customHeight="1" x14ac:dyDescent="0.3">
      <c r="A5404" s="400" t="s">
        <v>1038</v>
      </c>
      <c r="B5404" s="401" t="s">
        <v>1328</v>
      </c>
      <c r="C5404" s="400" t="s">
        <v>408</v>
      </c>
      <c r="D5404" s="400" t="s">
        <v>1329</v>
      </c>
      <c r="E5404" s="605" t="s">
        <v>1039</v>
      </c>
      <c r="F5404" s="605"/>
      <c r="G5404" s="402" t="s">
        <v>4</v>
      </c>
      <c r="H5404" s="403">
        <v>5.1999999999999998E-2</v>
      </c>
      <c r="I5404" s="403">
        <v>0</v>
      </c>
      <c r="J5404" s="404">
        <v>541.88</v>
      </c>
      <c r="K5404" s="404">
        <v>28.177759999999999</v>
      </c>
    </row>
    <row r="5405" spans="1:11" ht="15" x14ac:dyDescent="0.3">
      <c r="A5405" s="400" t="s">
        <v>1038</v>
      </c>
      <c r="B5405" s="401" t="s">
        <v>2568</v>
      </c>
      <c r="C5405" s="400" t="s">
        <v>575</v>
      </c>
      <c r="D5405" s="400" t="s">
        <v>585</v>
      </c>
      <c r="E5405" s="605" t="s">
        <v>1039</v>
      </c>
      <c r="F5405" s="605"/>
      <c r="G5405" s="402" t="s">
        <v>4</v>
      </c>
      <c r="H5405" s="403">
        <v>1</v>
      </c>
      <c r="I5405" s="403">
        <v>0</v>
      </c>
      <c r="J5405" s="404">
        <v>40.35</v>
      </c>
      <c r="K5405" s="404">
        <v>40.35</v>
      </c>
    </row>
    <row r="5406" spans="1:11" ht="14.25" customHeight="1" x14ac:dyDescent="0.3">
      <c r="A5406" s="405"/>
      <c r="B5406" s="405"/>
      <c r="C5406" s="405"/>
      <c r="D5406" s="405"/>
      <c r="E5406" s="405" t="s">
        <v>1046</v>
      </c>
      <c r="F5406" s="406">
        <v>29.43</v>
      </c>
      <c r="G5406" s="405" t="s">
        <v>1047</v>
      </c>
      <c r="H5406" s="406">
        <v>0</v>
      </c>
      <c r="I5406" s="405" t="s">
        <v>1048</v>
      </c>
      <c r="J5406" s="406">
        <v>29.43</v>
      </c>
      <c r="K5406"/>
    </row>
    <row r="5407" spans="1:11" ht="14.25" customHeight="1" thickBot="1" x14ac:dyDescent="0.35">
      <c r="A5407" s="405"/>
      <c r="B5407" s="405"/>
      <c r="C5407" s="405"/>
      <c r="D5407" s="405"/>
      <c r="E5407" s="405" t="s">
        <v>1049</v>
      </c>
      <c r="F5407" s="406">
        <v>0</v>
      </c>
      <c r="G5407" s="405"/>
      <c r="H5407" s="606"/>
      <c r="I5407" s="606" t="s">
        <v>1050</v>
      </c>
      <c r="J5407" s="406">
        <v>110.62</v>
      </c>
      <c r="K5407"/>
    </row>
    <row r="5408" spans="1:11" ht="15" customHeight="1" thickTop="1" x14ac:dyDescent="0.3">
      <c r="A5408" s="407"/>
      <c r="B5408" s="407"/>
      <c r="C5408" s="407"/>
      <c r="D5408" s="407"/>
      <c r="E5408" s="407"/>
      <c r="F5408" s="407"/>
      <c r="G5408" s="407"/>
      <c r="H5408" s="407"/>
      <c r="I5408" s="407"/>
      <c r="J5408" s="407"/>
      <c r="K5408" s="407"/>
    </row>
    <row r="5409" spans="1:11" ht="25.5" customHeight="1" x14ac:dyDescent="0.3">
      <c r="A5409" s="382" t="s">
        <v>3376</v>
      </c>
      <c r="B5409" s="312" t="s">
        <v>413</v>
      </c>
      <c r="C5409" s="382" t="s">
        <v>414</v>
      </c>
      <c r="D5409" s="382" t="s">
        <v>415</v>
      </c>
      <c r="E5409" s="586" t="s">
        <v>1029</v>
      </c>
      <c r="F5409" s="586"/>
      <c r="G5409" s="383" t="s">
        <v>416</v>
      </c>
      <c r="H5409" s="312" t="s">
        <v>1030</v>
      </c>
      <c r="I5409" s="312" t="s">
        <v>3016</v>
      </c>
      <c r="J5409" s="312" t="s">
        <v>1031</v>
      </c>
      <c r="K5409" s="312" t="s">
        <v>1032</v>
      </c>
    </row>
    <row r="5410" spans="1:11" ht="25.5" customHeight="1" x14ac:dyDescent="0.3">
      <c r="A5410" s="313" t="s">
        <v>1033</v>
      </c>
      <c r="B5410" s="315" t="s">
        <v>2109</v>
      </c>
      <c r="C5410" s="313" t="s">
        <v>575</v>
      </c>
      <c r="D5410" s="313" t="s">
        <v>2025</v>
      </c>
      <c r="E5410" s="603" t="s">
        <v>1319</v>
      </c>
      <c r="F5410" s="603"/>
      <c r="G5410" s="314" t="s">
        <v>4</v>
      </c>
      <c r="H5410" s="399">
        <v>1</v>
      </c>
      <c r="I5410" s="316"/>
      <c r="J5410" s="316">
        <v>131.15</v>
      </c>
      <c r="K5410" s="316">
        <v>131.15</v>
      </c>
    </row>
    <row r="5411" spans="1:11" ht="26.4" x14ac:dyDescent="0.3">
      <c r="A5411" s="408" t="s">
        <v>1034</v>
      </c>
      <c r="B5411" s="409" t="s">
        <v>1113</v>
      </c>
      <c r="C5411" s="408" t="s">
        <v>395</v>
      </c>
      <c r="D5411" s="408" t="s">
        <v>129</v>
      </c>
      <c r="E5411" s="604" t="s">
        <v>7768</v>
      </c>
      <c r="F5411" s="604"/>
      <c r="G5411" s="410" t="s">
        <v>6</v>
      </c>
      <c r="H5411" s="412">
        <v>0.54200000000000004</v>
      </c>
      <c r="I5411" s="412">
        <v>0</v>
      </c>
      <c r="J5411" s="411">
        <v>33.450000000000003</v>
      </c>
      <c r="K5411" s="411">
        <v>18.129899999999999</v>
      </c>
    </row>
    <row r="5412" spans="1:11" ht="26.4" x14ac:dyDescent="0.3">
      <c r="A5412" s="408" t="s">
        <v>1034</v>
      </c>
      <c r="B5412" s="409" t="s">
        <v>1112</v>
      </c>
      <c r="C5412" s="408" t="s">
        <v>395</v>
      </c>
      <c r="D5412" s="408" t="s">
        <v>137</v>
      </c>
      <c r="E5412" s="604" t="s">
        <v>7768</v>
      </c>
      <c r="F5412" s="604"/>
      <c r="G5412" s="410" t="s">
        <v>6</v>
      </c>
      <c r="H5412" s="412">
        <v>0.54200000000000004</v>
      </c>
      <c r="I5412" s="412">
        <v>0</v>
      </c>
      <c r="J5412" s="411">
        <v>40.299999999999997</v>
      </c>
      <c r="K5412" s="411">
        <v>21.842600000000001</v>
      </c>
    </row>
    <row r="5413" spans="1:11" ht="17.399999999999999" customHeight="1" x14ac:dyDescent="0.3">
      <c r="A5413" s="400" t="s">
        <v>1038</v>
      </c>
      <c r="B5413" s="401" t="s">
        <v>1333</v>
      </c>
      <c r="C5413" s="400" t="s">
        <v>408</v>
      </c>
      <c r="D5413" s="400" t="s">
        <v>1334</v>
      </c>
      <c r="E5413" s="605" t="s">
        <v>1039</v>
      </c>
      <c r="F5413" s="605"/>
      <c r="G5413" s="402" t="s">
        <v>1332</v>
      </c>
      <c r="H5413" s="403">
        <v>3.7</v>
      </c>
      <c r="I5413" s="403">
        <v>0</v>
      </c>
      <c r="J5413" s="404">
        <v>0.19</v>
      </c>
      <c r="K5413" s="404">
        <v>0.70299999999999996</v>
      </c>
    </row>
    <row r="5414" spans="1:11" ht="15" x14ac:dyDescent="0.3">
      <c r="A5414" s="400" t="s">
        <v>1038</v>
      </c>
      <c r="B5414" s="401" t="s">
        <v>1330</v>
      </c>
      <c r="C5414" s="400" t="s">
        <v>408</v>
      </c>
      <c r="D5414" s="400" t="s">
        <v>1331</v>
      </c>
      <c r="E5414" s="605" t="s">
        <v>1039</v>
      </c>
      <c r="F5414" s="605"/>
      <c r="G5414" s="402" t="s">
        <v>1332</v>
      </c>
      <c r="H5414" s="403">
        <v>0.46</v>
      </c>
      <c r="I5414" s="403">
        <v>0</v>
      </c>
      <c r="J5414" s="404">
        <v>2.9</v>
      </c>
      <c r="K5414" s="404">
        <v>1.3340000000000001</v>
      </c>
    </row>
    <row r="5415" spans="1:11" ht="15" x14ac:dyDescent="0.3">
      <c r="A5415" s="400" t="s">
        <v>1038</v>
      </c>
      <c r="B5415" s="401" t="s">
        <v>1326</v>
      </c>
      <c r="C5415" s="400" t="s">
        <v>408</v>
      </c>
      <c r="D5415" s="400" t="s">
        <v>1327</v>
      </c>
      <c r="E5415" s="605" t="s">
        <v>1039</v>
      </c>
      <c r="F5415" s="605"/>
      <c r="G5415" s="402" t="s">
        <v>4</v>
      </c>
      <c r="H5415" s="403">
        <v>6.0000000000000001E-3</v>
      </c>
      <c r="I5415" s="403">
        <v>0</v>
      </c>
      <c r="J5415" s="404">
        <v>14</v>
      </c>
      <c r="K5415" s="404">
        <v>8.4000000000000005E-2</v>
      </c>
    </row>
    <row r="5416" spans="1:11" ht="15" customHeight="1" x14ac:dyDescent="0.3">
      <c r="A5416" s="400" t="s">
        <v>1038</v>
      </c>
      <c r="B5416" s="401" t="s">
        <v>1328</v>
      </c>
      <c r="C5416" s="400" t="s">
        <v>408</v>
      </c>
      <c r="D5416" s="400" t="s">
        <v>1329</v>
      </c>
      <c r="E5416" s="605" t="s">
        <v>1039</v>
      </c>
      <c r="F5416" s="605"/>
      <c r="G5416" s="402" t="s">
        <v>4</v>
      </c>
      <c r="H5416" s="403">
        <v>5.1999999999999998E-2</v>
      </c>
      <c r="I5416" s="403">
        <v>0</v>
      </c>
      <c r="J5416" s="404">
        <v>541.88</v>
      </c>
      <c r="K5416" s="404">
        <v>28.177759999999999</v>
      </c>
    </row>
    <row r="5417" spans="1:11" ht="15" x14ac:dyDescent="0.3">
      <c r="A5417" s="400" t="s">
        <v>1038</v>
      </c>
      <c r="B5417" s="401" t="s">
        <v>2266</v>
      </c>
      <c r="C5417" s="400" t="s">
        <v>575</v>
      </c>
      <c r="D5417" s="400" t="s">
        <v>2025</v>
      </c>
      <c r="E5417" s="605" t="s">
        <v>1039</v>
      </c>
      <c r="F5417" s="605"/>
      <c r="G5417" s="402" t="s">
        <v>4</v>
      </c>
      <c r="H5417" s="403">
        <v>1</v>
      </c>
      <c r="I5417" s="403">
        <v>0</v>
      </c>
      <c r="J5417" s="404">
        <v>60.88</v>
      </c>
      <c r="K5417" s="404">
        <v>60.88</v>
      </c>
    </row>
    <row r="5418" spans="1:11" ht="15" x14ac:dyDescent="0.3">
      <c r="A5418" s="405"/>
      <c r="B5418" s="405"/>
      <c r="C5418" s="405"/>
      <c r="D5418" s="405"/>
      <c r="E5418" s="405" t="s">
        <v>1046</v>
      </c>
      <c r="F5418" s="406">
        <v>29.43</v>
      </c>
      <c r="G5418" s="405" t="s">
        <v>1047</v>
      </c>
      <c r="H5418" s="406">
        <v>0</v>
      </c>
      <c r="I5418" s="405" t="s">
        <v>1048</v>
      </c>
      <c r="J5418" s="406">
        <v>29.43</v>
      </c>
      <c r="K5418"/>
    </row>
    <row r="5419" spans="1:11" ht="15.6" thickBot="1" x14ac:dyDescent="0.35">
      <c r="A5419" s="405"/>
      <c r="B5419" s="405"/>
      <c r="C5419" s="405"/>
      <c r="D5419" s="405"/>
      <c r="E5419" s="405" t="s">
        <v>1049</v>
      </c>
      <c r="F5419" s="406">
        <v>0</v>
      </c>
      <c r="G5419" s="405"/>
      <c r="H5419" s="606"/>
      <c r="I5419" s="606" t="s">
        <v>1050</v>
      </c>
      <c r="J5419" s="406">
        <v>131.15</v>
      </c>
      <c r="K5419"/>
    </row>
    <row r="5420" spans="1:11" ht="25.5" customHeight="1" thickTop="1" x14ac:dyDescent="0.3">
      <c r="A5420" s="407"/>
      <c r="B5420" s="407"/>
      <c r="C5420" s="407"/>
      <c r="D5420" s="407"/>
      <c r="E5420" s="407"/>
      <c r="F5420" s="407"/>
      <c r="G5420" s="407"/>
      <c r="H5420" s="407"/>
      <c r="I5420" s="407"/>
      <c r="J5420" s="407"/>
      <c r="K5420" s="407"/>
    </row>
    <row r="5421" spans="1:11" ht="25.5" customHeight="1" x14ac:dyDescent="0.3">
      <c r="A5421" s="382" t="s">
        <v>3377</v>
      </c>
      <c r="B5421" s="312" t="s">
        <v>413</v>
      </c>
      <c r="C5421" s="382" t="s">
        <v>414</v>
      </c>
      <c r="D5421" s="382" t="s">
        <v>415</v>
      </c>
      <c r="E5421" s="586" t="s">
        <v>1029</v>
      </c>
      <c r="F5421" s="586"/>
      <c r="G5421" s="383" t="s">
        <v>416</v>
      </c>
      <c r="H5421" s="312" t="s">
        <v>1030</v>
      </c>
      <c r="I5421" s="312" t="s">
        <v>3016</v>
      </c>
      <c r="J5421" s="312" t="s">
        <v>1031</v>
      </c>
      <c r="K5421" s="312" t="s">
        <v>1032</v>
      </c>
    </row>
    <row r="5422" spans="1:11" ht="25.5" customHeight="1" x14ac:dyDescent="0.3">
      <c r="A5422" s="313" t="s">
        <v>1033</v>
      </c>
      <c r="B5422" s="315" t="s">
        <v>2184</v>
      </c>
      <c r="C5422" s="313" t="s">
        <v>395</v>
      </c>
      <c r="D5422" s="313" t="s">
        <v>6087</v>
      </c>
      <c r="E5422" s="603" t="s">
        <v>7882</v>
      </c>
      <c r="F5422" s="603"/>
      <c r="G5422" s="314" t="s">
        <v>4</v>
      </c>
      <c r="H5422" s="399">
        <v>1</v>
      </c>
      <c r="I5422" s="316"/>
      <c r="J5422" s="316">
        <v>17.22</v>
      </c>
      <c r="K5422" s="316">
        <v>17.22</v>
      </c>
    </row>
    <row r="5423" spans="1:11" ht="26.4" x14ac:dyDescent="0.3">
      <c r="A5423" s="408" t="s">
        <v>1034</v>
      </c>
      <c r="B5423" s="409" t="s">
        <v>1113</v>
      </c>
      <c r="C5423" s="408" t="s">
        <v>395</v>
      </c>
      <c r="D5423" s="408" t="s">
        <v>129</v>
      </c>
      <c r="E5423" s="604" t="s">
        <v>7768</v>
      </c>
      <c r="F5423" s="604"/>
      <c r="G5423" s="410" t="s">
        <v>6</v>
      </c>
      <c r="H5423" s="412">
        <v>0.1295</v>
      </c>
      <c r="I5423" s="412">
        <v>0</v>
      </c>
      <c r="J5423" s="411">
        <v>33.450000000000003</v>
      </c>
      <c r="K5423" s="411">
        <v>4.3317750000000004</v>
      </c>
    </row>
    <row r="5424" spans="1:11" ht="26.4" x14ac:dyDescent="0.3">
      <c r="A5424" s="408" t="s">
        <v>1034</v>
      </c>
      <c r="B5424" s="409" t="s">
        <v>1112</v>
      </c>
      <c r="C5424" s="408" t="s">
        <v>395</v>
      </c>
      <c r="D5424" s="408" t="s">
        <v>137</v>
      </c>
      <c r="E5424" s="604" t="s">
        <v>7768</v>
      </c>
      <c r="F5424" s="604"/>
      <c r="G5424" s="410" t="s">
        <v>6</v>
      </c>
      <c r="H5424" s="412">
        <v>0.1295</v>
      </c>
      <c r="I5424" s="412">
        <v>0</v>
      </c>
      <c r="J5424" s="411">
        <v>40.299999999999997</v>
      </c>
      <c r="K5424" s="411">
        <v>5.2188499999999998</v>
      </c>
    </row>
    <row r="5425" spans="1:11" ht="14.25" customHeight="1" x14ac:dyDescent="0.3">
      <c r="A5425" s="400" t="s">
        <v>1038</v>
      </c>
      <c r="B5425" s="401" t="s">
        <v>2499</v>
      </c>
      <c r="C5425" s="400" t="s">
        <v>395</v>
      </c>
      <c r="D5425" s="400" t="s">
        <v>280</v>
      </c>
      <c r="E5425" s="605" t="s">
        <v>1039</v>
      </c>
      <c r="F5425" s="605"/>
      <c r="G5425" s="402" t="s">
        <v>4</v>
      </c>
      <c r="H5425" s="403">
        <v>3.8E-3</v>
      </c>
      <c r="I5425" s="403">
        <v>0</v>
      </c>
      <c r="J5425" s="404">
        <v>308.79000000000002</v>
      </c>
      <c r="K5425" s="404">
        <v>1.1734020000000001</v>
      </c>
    </row>
    <row r="5426" spans="1:11" ht="15" customHeight="1" x14ac:dyDescent="0.3">
      <c r="A5426" s="400" t="s">
        <v>1038</v>
      </c>
      <c r="B5426" s="401" t="s">
        <v>1372</v>
      </c>
      <c r="C5426" s="400" t="s">
        <v>395</v>
      </c>
      <c r="D5426" s="400" t="s">
        <v>266</v>
      </c>
      <c r="E5426" s="605" t="s">
        <v>1039</v>
      </c>
      <c r="F5426" s="605"/>
      <c r="G5426" s="402" t="s">
        <v>4</v>
      </c>
      <c r="H5426" s="403">
        <v>6.4750000000000002E-2</v>
      </c>
      <c r="I5426" s="403">
        <v>0</v>
      </c>
      <c r="J5426" s="404">
        <v>2.09</v>
      </c>
      <c r="K5426" s="404">
        <v>0.13532749999999999</v>
      </c>
    </row>
    <row r="5427" spans="1:11" ht="26.4" x14ac:dyDescent="0.3">
      <c r="A5427" s="400" t="s">
        <v>1038</v>
      </c>
      <c r="B5427" s="401" t="s">
        <v>2500</v>
      </c>
      <c r="C5427" s="400" t="s">
        <v>395</v>
      </c>
      <c r="D5427" s="400" t="s">
        <v>244</v>
      </c>
      <c r="E5427" s="605" t="s">
        <v>1039</v>
      </c>
      <c r="F5427" s="605"/>
      <c r="G5427" s="402" t="s">
        <v>4</v>
      </c>
      <c r="H5427" s="403">
        <v>1</v>
      </c>
      <c r="I5427" s="403">
        <v>0</v>
      </c>
      <c r="J5427" s="404">
        <v>6.31</v>
      </c>
      <c r="K5427" s="404">
        <v>6.31</v>
      </c>
    </row>
    <row r="5428" spans="1:11" ht="15" customHeight="1" x14ac:dyDescent="0.3">
      <c r="A5428" s="400" t="s">
        <v>1038</v>
      </c>
      <c r="B5428" s="401" t="s">
        <v>2498</v>
      </c>
      <c r="C5428" s="400" t="s">
        <v>395</v>
      </c>
      <c r="D5428" s="400" t="s">
        <v>269</v>
      </c>
      <c r="E5428" s="605" t="s">
        <v>1039</v>
      </c>
      <c r="F5428" s="605"/>
      <c r="G5428" s="402" t="s">
        <v>4</v>
      </c>
      <c r="H5428" s="403">
        <v>9.5E-4</v>
      </c>
      <c r="I5428" s="403">
        <v>0</v>
      </c>
      <c r="J5428" s="404">
        <v>56.61</v>
      </c>
      <c r="K5428" s="404">
        <v>5.3779500000000001E-2</v>
      </c>
    </row>
    <row r="5429" spans="1:11" ht="14.25" customHeight="1" x14ac:dyDescent="0.3">
      <c r="A5429" s="405"/>
      <c r="B5429" s="405"/>
      <c r="C5429" s="405"/>
      <c r="D5429" s="405"/>
      <c r="E5429" s="405" t="s">
        <v>1046</v>
      </c>
      <c r="F5429" s="406">
        <v>7.03</v>
      </c>
      <c r="G5429" s="405" t="s">
        <v>1047</v>
      </c>
      <c r="H5429" s="406">
        <v>0</v>
      </c>
      <c r="I5429" s="405" t="s">
        <v>1048</v>
      </c>
      <c r="J5429" s="406">
        <v>7.03</v>
      </c>
      <c r="K5429"/>
    </row>
    <row r="5430" spans="1:11" ht="15.6" thickBot="1" x14ac:dyDescent="0.35">
      <c r="A5430" s="405"/>
      <c r="B5430" s="405"/>
      <c r="C5430" s="405"/>
      <c r="D5430" s="405"/>
      <c r="E5430" s="405" t="s">
        <v>1049</v>
      </c>
      <c r="F5430" s="406">
        <v>0</v>
      </c>
      <c r="G5430" s="405"/>
      <c r="H5430" s="606"/>
      <c r="I5430" s="606" t="s">
        <v>1050</v>
      </c>
      <c r="J5430" s="406">
        <v>17.22</v>
      </c>
      <c r="K5430"/>
    </row>
    <row r="5431" spans="1:11" ht="15.6" thickTop="1" x14ac:dyDescent="0.3">
      <c r="A5431" s="407"/>
      <c r="B5431" s="407"/>
      <c r="C5431" s="407"/>
      <c r="D5431" s="407"/>
      <c r="E5431" s="407"/>
      <c r="F5431" s="407"/>
      <c r="G5431" s="407"/>
      <c r="H5431" s="407"/>
      <c r="I5431" s="407"/>
      <c r="J5431" s="407"/>
      <c r="K5431" s="407"/>
    </row>
    <row r="5432" spans="1:11" ht="25.5" customHeight="1" x14ac:dyDescent="0.3">
      <c r="A5432" s="382" t="s">
        <v>3378</v>
      </c>
      <c r="B5432" s="312" t="s">
        <v>413</v>
      </c>
      <c r="C5432" s="382" t="s">
        <v>414</v>
      </c>
      <c r="D5432" s="382" t="s">
        <v>415</v>
      </c>
      <c r="E5432" s="586" t="s">
        <v>1029</v>
      </c>
      <c r="F5432" s="586"/>
      <c r="G5432" s="383" t="s">
        <v>416</v>
      </c>
      <c r="H5432" s="312" t="s">
        <v>1030</v>
      </c>
      <c r="I5432" s="312" t="s">
        <v>3016</v>
      </c>
      <c r="J5432" s="312" t="s">
        <v>1031</v>
      </c>
      <c r="K5432" s="312" t="s">
        <v>1032</v>
      </c>
    </row>
    <row r="5433" spans="1:11" ht="25.5" customHeight="1" x14ac:dyDescent="0.3">
      <c r="A5433" s="313" t="s">
        <v>1033</v>
      </c>
      <c r="B5433" s="315" t="s">
        <v>2224</v>
      </c>
      <c r="C5433" s="313" t="s">
        <v>420</v>
      </c>
      <c r="D5433" s="313" t="s">
        <v>2055</v>
      </c>
      <c r="E5433" s="603" t="s">
        <v>2506</v>
      </c>
      <c r="F5433" s="603"/>
      <c r="G5433" s="314" t="s">
        <v>422</v>
      </c>
      <c r="H5433" s="399">
        <v>1</v>
      </c>
      <c r="I5433" s="316"/>
      <c r="J5433" s="316">
        <v>19.03</v>
      </c>
      <c r="K5433" s="316">
        <v>19.03</v>
      </c>
    </row>
    <row r="5434" spans="1:11" ht="14.25" customHeight="1" x14ac:dyDescent="0.3">
      <c r="A5434" s="408" t="s">
        <v>1034</v>
      </c>
      <c r="B5434" s="409" t="s">
        <v>1071</v>
      </c>
      <c r="C5434" s="408" t="s">
        <v>420</v>
      </c>
      <c r="D5434" s="408" t="s">
        <v>1072</v>
      </c>
      <c r="E5434" s="604" t="s">
        <v>1069</v>
      </c>
      <c r="F5434" s="604"/>
      <c r="G5434" s="410" t="s">
        <v>1070</v>
      </c>
      <c r="H5434" s="412">
        <v>0.24</v>
      </c>
      <c r="I5434" s="412">
        <v>0</v>
      </c>
      <c r="J5434" s="411">
        <v>3.95</v>
      </c>
      <c r="K5434" s="411">
        <v>0.94799999999999995</v>
      </c>
    </row>
    <row r="5435" spans="1:11" ht="26.4" x14ac:dyDescent="0.3">
      <c r="A5435" s="408" t="s">
        <v>1034</v>
      </c>
      <c r="B5435" s="409" t="s">
        <v>1180</v>
      </c>
      <c r="C5435" s="408" t="s">
        <v>420</v>
      </c>
      <c r="D5435" s="408" t="s">
        <v>1181</v>
      </c>
      <c r="E5435" s="604" t="s">
        <v>1069</v>
      </c>
      <c r="F5435" s="604"/>
      <c r="G5435" s="410" t="s">
        <v>1070</v>
      </c>
      <c r="H5435" s="412">
        <v>0.24</v>
      </c>
      <c r="I5435" s="412">
        <v>0</v>
      </c>
      <c r="J5435" s="411">
        <v>3.91</v>
      </c>
      <c r="K5435" s="411">
        <v>0.93840000000000001</v>
      </c>
    </row>
    <row r="5436" spans="1:11" ht="15" customHeight="1" x14ac:dyDescent="0.3">
      <c r="A5436" s="400" t="s">
        <v>1038</v>
      </c>
      <c r="B5436" s="401" t="s">
        <v>2507</v>
      </c>
      <c r="C5436" s="400" t="s">
        <v>420</v>
      </c>
      <c r="D5436" s="400" t="s">
        <v>2508</v>
      </c>
      <c r="E5436" s="605" t="s">
        <v>1039</v>
      </c>
      <c r="F5436" s="605"/>
      <c r="G5436" s="402" t="s">
        <v>1246</v>
      </c>
      <c r="H5436" s="403">
        <v>1.5E-3</v>
      </c>
      <c r="I5436" s="403">
        <v>0</v>
      </c>
      <c r="J5436" s="404">
        <v>50</v>
      </c>
      <c r="K5436" s="404">
        <v>7.4999999999999997E-2</v>
      </c>
    </row>
    <row r="5437" spans="1:11" ht="15" x14ac:dyDescent="0.3">
      <c r="A5437" s="400" t="s">
        <v>1038</v>
      </c>
      <c r="B5437" s="401" t="s">
        <v>2509</v>
      </c>
      <c r="C5437" s="400" t="s">
        <v>420</v>
      </c>
      <c r="D5437" s="400" t="s">
        <v>2510</v>
      </c>
      <c r="E5437" s="605" t="s">
        <v>1039</v>
      </c>
      <c r="F5437" s="605"/>
      <c r="G5437" s="402" t="s">
        <v>1246</v>
      </c>
      <c r="H5437" s="403">
        <v>1.2E-2</v>
      </c>
      <c r="I5437" s="403">
        <v>0</v>
      </c>
      <c r="J5437" s="404">
        <v>26.37</v>
      </c>
      <c r="K5437" s="404">
        <v>0.31644</v>
      </c>
    </row>
    <row r="5438" spans="1:11" ht="15" x14ac:dyDescent="0.3">
      <c r="A5438" s="400" t="s">
        <v>1038</v>
      </c>
      <c r="B5438" s="401" t="s">
        <v>2569</v>
      </c>
      <c r="C5438" s="400" t="s">
        <v>420</v>
      </c>
      <c r="D5438" s="400" t="s">
        <v>2570</v>
      </c>
      <c r="E5438" s="605" t="s">
        <v>1039</v>
      </c>
      <c r="F5438" s="605"/>
      <c r="G5438" s="402" t="s">
        <v>422</v>
      </c>
      <c r="H5438" s="403">
        <v>1</v>
      </c>
      <c r="I5438" s="403">
        <v>0</v>
      </c>
      <c r="J5438" s="404">
        <v>8.1</v>
      </c>
      <c r="K5438" s="404">
        <v>8.1</v>
      </c>
    </row>
    <row r="5439" spans="1:11" ht="14.25" customHeight="1" x14ac:dyDescent="0.3">
      <c r="A5439" s="400" t="s">
        <v>1038</v>
      </c>
      <c r="B5439" s="401" t="s">
        <v>6480</v>
      </c>
      <c r="C5439" s="400" t="s">
        <v>420</v>
      </c>
      <c r="D5439" s="400" t="s">
        <v>6481</v>
      </c>
      <c r="E5439" s="605" t="s">
        <v>1053</v>
      </c>
      <c r="F5439" s="605"/>
      <c r="G5439" s="402" t="s">
        <v>1070</v>
      </c>
      <c r="H5439" s="403">
        <v>0.24</v>
      </c>
      <c r="I5439" s="403">
        <v>0</v>
      </c>
      <c r="J5439" s="404">
        <v>20.45</v>
      </c>
      <c r="K5439" s="404">
        <v>4.9080000000000004</v>
      </c>
    </row>
    <row r="5440" spans="1:11" ht="25.5" customHeight="1" x14ac:dyDescent="0.3">
      <c r="A5440" s="400" t="s">
        <v>1038</v>
      </c>
      <c r="B5440" s="401" t="s">
        <v>6251</v>
      </c>
      <c r="C5440" s="400" t="s">
        <v>420</v>
      </c>
      <c r="D5440" s="400" t="s">
        <v>6252</v>
      </c>
      <c r="E5440" s="605" t="s">
        <v>1053</v>
      </c>
      <c r="F5440" s="605"/>
      <c r="G5440" s="402" t="s">
        <v>1070</v>
      </c>
      <c r="H5440" s="403">
        <v>0.24</v>
      </c>
      <c r="I5440" s="403">
        <v>0</v>
      </c>
      <c r="J5440" s="404">
        <v>15.59</v>
      </c>
      <c r="K5440" s="404">
        <v>3.7416</v>
      </c>
    </row>
    <row r="5441" spans="1:11" ht="15" x14ac:dyDescent="0.3">
      <c r="A5441" s="405"/>
      <c r="B5441" s="405"/>
      <c r="C5441" s="405"/>
      <c r="D5441" s="405"/>
      <c r="E5441" s="405" t="s">
        <v>1046</v>
      </c>
      <c r="F5441" s="406">
        <v>8.65</v>
      </c>
      <c r="G5441" s="405" t="s">
        <v>1047</v>
      </c>
      <c r="H5441" s="406">
        <v>0</v>
      </c>
      <c r="I5441" s="405" t="s">
        <v>1048</v>
      </c>
      <c r="J5441" s="406">
        <v>8.65</v>
      </c>
      <c r="K5441"/>
    </row>
    <row r="5442" spans="1:11" ht="15.6" thickBot="1" x14ac:dyDescent="0.35">
      <c r="A5442" s="405"/>
      <c r="B5442" s="405"/>
      <c r="C5442" s="405"/>
      <c r="D5442" s="405"/>
      <c r="E5442" s="405" t="s">
        <v>1049</v>
      </c>
      <c r="F5442" s="406">
        <v>0</v>
      </c>
      <c r="G5442" s="405"/>
      <c r="H5442" s="606"/>
      <c r="I5442" s="606" t="s">
        <v>1050</v>
      </c>
      <c r="J5442" s="406">
        <v>19.03</v>
      </c>
      <c r="K5442"/>
    </row>
    <row r="5443" spans="1:11" ht="14.25" customHeight="1" thickTop="1" x14ac:dyDescent="0.3">
      <c r="A5443" s="407"/>
      <c r="B5443" s="407"/>
      <c r="C5443" s="407"/>
      <c r="D5443" s="407"/>
      <c r="E5443" s="407"/>
      <c r="F5443" s="407"/>
      <c r="G5443" s="407"/>
      <c r="H5443" s="407"/>
      <c r="I5443" s="407"/>
      <c r="J5443" s="407"/>
      <c r="K5443" s="407"/>
    </row>
    <row r="5444" spans="1:11" ht="38.25" customHeight="1" x14ac:dyDescent="0.3">
      <c r="A5444" s="382" t="s">
        <v>3379</v>
      </c>
      <c r="B5444" s="312" t="s">
        <v>413</v>
      </c>
      <c r="C5444" s="382" t="s">
        <v>414</v>
      </c>
      <c r="D5444" s="382" t="s">
        <v>415</v>
      </c>
      <c r="E5444" s="586" t="s">
        <v>1029</v>
      </c>
      <c r="F5444" s="586"/>
      <c r="G5444" s="383" t="s">
        <v>416</v>
      </c>
      <c r="H5444" s="312" t="s">
        <v>1030</v>
      </c>
      <c r="I5444" s="312" t="s">
        <v>3016</v>
      </c>
      <c r="J5444" s="312" t="s">
        <v>1031</v>
      </c>
      <c r="K5444" s="312" t="s">
        <v>1032</v>
      </c>
    </row>
    <row r="5445" spans="1:11" ht="25.5" customHeight="1" x14ac:dyDescent="0.3">
      <c r="A5445" s="313" t="s">
        <v>1033</v>
      </c>
      <c r="B5445" s="315" t="s">
        <v>2185</v>
      </c>
      <c r="C5445" s="313" t="s">
        <v>395</v>
      </c>
      <c r="D5445" s="313" t="s">
        <v>6088</v>
      </c>
      <c r="E5445" s="603" t="s">
        <v>7882</v>
      </c>
      <c r="F5445" s="603"/>
      <c r="G5445" s="314" t="s">
        <v>4</v>
      </c>
      <c r="H5445" s="399">
        <v>1</v>
      </c>
      <c r="I5445" s="316"/>
      <c r="J5445" s="316">
        <v>20.36</v>
      </c>
      <c r="K5445" s="316">
        <v>20.36</v>
      </c>
    </row>
    <row r="5446" spans="1:11" ht="25.5" customHeight="1" x14ac:dyDescent="0.3">
      <c r="A5446" s="408" t="s">
        <v>1034</v>
      </c>
      <c r="B5446" s="409" t="s">
        <v>1113</v>
      </c>
      <c r="C5446" s="408" t="s">
        <v>395</v>
      </c>
      <c r="D5446" s="408" t="s">
        <v>129</v>
      </c>
      <c r="E5446" s="604" t="s">
        <v>7768</v>
      </c>
      <c r="F5446" s="604"/>
      <c r="G5446" s="410" t="s">
        <v>6</v>
      </c>
      <c r="H5446" s="412">
        <v>0.1215</v>
      </c>
      <c r="I5446" s="412">
        <v>0</v>
      </c>
      <c r="J5446" s="411">
        <v>33.450000000000003</v>
      </c>
      <c r="K5446" s="411">
        <v>4.0641749999999996</v>
      </c>
    </row>
    <row r="5447" spans="1:11" ht="26.4" x14ac:dyDescent="0.3">
      <c r="A5447" s="408" t="s">
        <v>1034</v>
      </c>
      <c r="B5447" s="409" t="s">
        <v>1112</v>
      </c>
      <c r="C5447" s="408" t="s">
        <v>395</v>
      </c>
      <c r="D5447" s="408" t="s">
        <v>137</v>
      </c>
      <c r="E5447" s="604" t="s">
        <v>7768</v>
      </c>
      <c r="F5447" s="604"/>
      <c r="G5447" s="410" t="s">
        <v>6</v>
      </c>
      <c r="H5447" s="412">
        <v>0.1215</v>
      </c>
      <c r="I5447" s="412">
        <v>0</v>
      </c>
      <c r="J5447" s="411">
        <v>40.299999999999997</v>
      </c>
      <c r="K5447" s="411">
        <v>4.8964499999999997</v>
      </c>
    </row>
    <row r="5448" spans="1:11" ht="17.399999999999999" customHeight="1" x14ac:dyDescent="0.3">
      <c r="A5448" s="400" t="s">
        <v>1038</v>
      </c>
      <c r="B5448" s="401" t="s">
        <v>2499</v>
      </c>
      <c r="C5448" s="400" t="s">
        <v>395</v>
      </c>
      <c r="D5448" s="400" t="s">
        <v>280</v>
      </c>
      <c r="E5448" s="605" t="s">
        <v>1039</v>
      </c>
      <c r="F5448" s="605"/>
      <c r="G5448" s="402" t="s">
        <v>4</v>
      </c>
      <c r="H5448" s="403">
        <v>5.5999999999999999E-3</v>
      </c>
      <c r="I5448" s="403">
        <v>0</v>
      </c>
      <c r="J5448" s="404">
        <v>308.79000000000002</v>
      </c>
      <c r="K5448" s="404">
        <v>1.7292240000000001</v>
      </c>
    </row>
    <row r="5449" spans="1:11" ht="15" customHeight="1" x14ac:dyDescent="0.3">
      <c r="A5449" s="400" t="s">
        <v>1038</v>
      </c>
      <c r="B5449" s="401" t="s">
        <v>1372</v>
      </c>
      <c r="C5449" s="400" t="s">
        <v>395</v>
      </c>
      <c r="D5449" s="400" t="s">
        <v>266</v>
      </c>
      <c r="E5449" s="605" t="s">
        <v>1039</v>
      </c>
      <c r="F5449" s="605"/>
      <c r="G5449" s="402" t="s">
        <v>4</v>
      </c>
      <c r="H5449" s="403">
        <v>6.0749999999999998E-2</v>
      </c>
      <c r="I5449" s="403">
        <v>0</v>
      </c>
      <c r="J5449" s="404">
        <v>2.09</v>
      </c>
      <c r="K5449" s="404">
        <v>0.12696750000000001</v>
      </c>
    </row>
    <row r="5450" spans="1:11" ht="14.25" customHeight="1" x14ac:dyDescent="0.3">
      <c r="A5450" s="400" t="s">
        <v>1038</v>
      </c>
      <c r="B5450" s="401" t="s">
        <v>2501</v>
      </c>
      <c r="C5450" s="400" t="s">
        <v>395</v>
      </c>
      <c r="D5450" s="400" t="s">
        <v>245</v>
      </c>
      <c r="E5450" s="605" t="s">
        <v>1039</v>
      </c>
      <c r="F5450" s="605"/>
      <c r="G5450" s="402" t="s">
        <v>4</v>
      </c>
      <c r="H5450" s="403">
        <v>1</v>
      </c>
      <c r="I5450" s="403">
        <v>0</v>
      </c>
      <c r="J5450" s="404">
        <v>9.4600000000000009</v>
      </c>
      <c r="K5450" s="404">
        <v>9.4600000000000009</v>
      </c>
    </row>
    <row r="5451" spans="1:11" ht="15" customHeight="1" x14ac:dyDescent="0.3">
      <c r="A5451" s="400" t="s">
        <v>1038</v>
      </c>
      <c r="B5451" s="401" t="s">
        <v>2498</v>
      </c>
      <c r="C5451" s="400" t="s">
        <v>395</v>
      </c>
      <c r="D5451" s="400" t="s">
        <v>269</v>
      </c>
      <c r="E5451" s="605" t="s">
        <v>1039</v>
      </c>
      <c r="F5451" s="605"/>
      <c r="G5451" s="402" t="s">
        <v>4</v>
      </c>
      <c r="H5451" s="403">
        <v>1.4E-3</v>
      </c>
      <c r="I5451" s="403">
        <v>0</v>
      </c>
      <c r="J5451" s="404">
        <v>56.61</v>
      </c>
      <c r="K5451" s="404">
        <v>7.9254000000000005E-2</v>
      </c>
    </row>
    <row r="5452" spans="1:11" ht="14.25" customHeight="1" x14ac:dyDescent="0.3">
      <c r="A5452" s="405"/>
      <c r="B5452" s="405"/>
      <c r="C5452" s="405"/>
      <c r="D5452" s="405"/>
      <c r="E5452" s="405" t="s">
        <v>1046</v>
      </c>
      <c r="F5452" s="406">
        <v>6.6</v>
      </c>
      <c r="G5452" s="405" t="s">
        <v>1047</v>
      </c>
      <c r="H5452" s="406">
        <v>0</v>
      </c>
      <c r="I5452" s="405" t="s">
        <v>1048</v>
      </c>
      <c r="J5452" s="406">
        <v>6.6</v>
      </c>
      <c r="K5452"/>
    </row>
    <row r="5453" spans="1:11" ht="30" customHeight="1" thickBot="1" x14ac:dyDescent="0.35">
      <c r="A5453" s="405"/>
      <c r="B5453" s="405"/>
      <c r="C5453" s="405"/>
      <c r="D5453" s="405"/>
      <c r="E5453" s="405" t="s">
        <v>1049</v>
      </c>
      <c r="F5453" s="406">
        <v>0</v>
      </c>
      <c r="G5453" s="405"/>
      <c r="H5453" s="606"/>
      <c r="I5453" s="606" t="s">
        <v>1050</v>
      </c>
      <c r="J5453" s="406">
        <v>20.36</v>
      </c>
      <c r="K5453"/>
    </row>
    <row r="5454" spans="1:11" ht="38.25" customHeight="1" thickTop="1" x14ac:dyDescent="0.3">
      <c r="A5454" s="407"/>
      <c r="B5454" s="407"/>
      <c r="C5454" s="407"/>
      <c r="D5454" s="407"/>
      <c r="E5454" s="407"/>
      <c r="F5454" s="407"/>
      <c r="G5454" s="407"/>
      <c r="H5454" s="407"/>
      <c r="I5454" s="407"/>
      <c r="J5454" s="407"/>
      <c r="K5454" s="407"/>
    </row>
    <row r="5455" spans="1:11" ht="25.5" customHeight="1" x14ac:dyDescent="0.3">
      <c r="A5455" s="382" t="s">
        <v>3380</v>
      </c>
      <c r="B5455" s="312" t="s">
        <v>413</v>
      </c>
      <c r="C5455" s="382" t="s">
        <v>414</v>
      </c>
      <c r="D5455" s="382" t="s">
        <v>415</v>
      </c>
      <c r="E5455" s="586" t="s">
        <v>1029</v>
      </c>
      <c r="F5455" s="586"/>
      <c r="G5455" s="383" t="s">
        <v>416</v>
      </c>
      <c r="H5455" s="312" t="s">
        <v>1030</v>
      </c>
      <c r="I5455" s="312" t="s">
        <v>3016</v>
      </c>
      <c r="J5455" s="312" t="s">
        <v>1031</v>
      </c>
      <c r="K5455" s="312" t="s">
        <v>1032</v>
      </c>
    </row>
    <row r="5456" spans="1:11" ht="38.25" customHeight="1" x14ac:dyDescent="0.3">
      <c r="A5456" s="313" t="s">
        <v>1033</v>
      </c>
      <c r="B5456" s="315" t="s">
        <v>2225</v>
      </c>
      <c r="C5456" s="313" t="s">
        <v>420</v>
      </c>
      <c r="D5456" s="313" t="s">
        <v>2057</v>
      </c>
      <c r="E5456" s="603" t="s">
        <v>2506</v>
      </c>
      <c r="F5456" s="603"/>
      <c r="G5456" s="314" t="s">
        <v>422</v>
      </c>
      <c r="H5456" s="399">
        <v>1</v>
      </c>
      <c r="I5456" s="316"/>
      <c r="J5456" s="316">
        <v>30.76</v>
      </c>
      <c r="K5456" s="316">
        <v>30.76</v>
      </c>
    </row>
    <row r="5457" spans="1:11" ht="25.5" customHeight="1" x14ac:dyDescent="0.3">
      <c r="A5457" s="408" t="s">
        <v>1034</v>
      </c>
      <c r="B5457" s="409" t="s">
        <v>1071</v>
      </c>
      <c r="C5457" s="408" t="s">
        <v>420</v>
      </c>
      <c r="D5457" s="408" t="s">
        <v>1072</v>
      </c>
      <c r="E5457" s="604" t="s">
        <v>1069</v>
      </c>
      <c r="F5457" s="604"/>
      <c r="G5457" s="410" t="s">
        <v>1070</v>
      </c>
      <c r="H5457" s="412">
        <v>0.24</v>
      </c>
      <c r="I5457" s="412">
        <v>0</v>
      </c>
      <c r="J5457" s="411">
        <v>3.95</v>
      </c>
      <c r="K5457" s="411">
        <v>0.94799999999999995</v>
      </c>
    </row>
    <row r="5458" spans="1:11" ht="25.5" customHeight="1" x14ac:dyDescent="0.3">
      <c r="A5458" s="408" t="s">
        <v>1034</v>
      </c>
      <c r="B5458" s="409" t="s">
        <v>1180</v>
      </c>
      <c r="C5458" s="408" t="s">
        <v>420</v>
      </c>
      <c r="D5458" s="408" t="s">
        <v>1181</v>
      </c>
      <c r="E5458" s="604" t="s">
        <v>1069</v>
      </c>
      <c r="F5458" s="604"/>
      <c r="G5458" s="410" t="s">
        <v>1070</v>
      </c>
      <c r="H5458" s="412">
        <v>0.24</v>
      </c>
      <c r="I5458" s="412">
        <v>0</v>
      </c>
      <c r="J5458" s="411">
        <v>3.91</v>
      </c>
      <c r="K5458" s="411">
        <v>0.93840000000000001</v>
      </c>
    </row>
    <row r="5459" spans="1:11" ht="15" customHeight="1" x14ac:dyDescent="0.3">
      <c r="A5459" s="400" t="s">
        <v>1038</v>
      </c>
      <c r="B5459" s="401" t="s">
        <v>2507</v>
      </c>
      <c r="C5459" s="400" t="s">
        <v>420</v>
      </c>
      <c r="D5459" s="400" t="s">
        <v>2508</v>
      </c>
      <c r="E5459" s="605" t="s">
        <v>1039</v>
      </c>
      <c r="F5459" s="605"/>
      <c r="G5459" s="402" t="s">
        <v>1246</v>
      </c>
      <c r="H5459" s="403">
        <v>1.5E-3</v>
      </c>
      <c r="I5459" s="403">
        <v>0</v>
      </c>
      <c r="J5459" s="404">
        <v>50</v>
      </c>
      <c r="K5459" s="404">
        <v>7.4999999999999997E-2</v>
      </c>
    </row>
    <row r="5460" spans="1:11" ht="15" x14ac:dyDescent="0.3">
      <c r="A5460" s="400" t="s">
        <v>1038</v>
      </c>
      <c r="B5460" s="401" t="s">
        <v>2509</v>
      </c>
      <c r="C5460" s="400" t="s">
        <v>420</v>
      </c>
      <c r="D5460" s="400" t="s">
        <v>2510</v>
      </c>
      <c r="E5460" s="605" t="s">
        <v>1039</v>
      </c>
      <c r="F5460" s="605"/>
      <c r="G5460" s="402" t="s">
        <v>1246</v>
      </c>
      <c r="H5460" s="403">
        <v>1.2E-2</v>
      </c>
      <c r="I5460" s="403">
        <v>0</v>
      </c>
      <c r="J5460" s="404">
        <v>26.37</v>
      </c>
      <c r="K5460" s="404">
        <v>0.31644</v>
      </c>
    </row>
    <row r="5461" spans="1:11" ht="25.5" customHeight="1" x14ac:dyDescent="0.3">
      <c r="A5461" s="400" t="s">
        <v>1038</v>
      </c>
      <c r="B5461" s="401" t="s">
        <v>2571</v>
      </c>
      <c r="C5461" s="400" t="s">
        <v>420</v>
      </c>
      <c r="D5461" s="400" t="s">
        <v>2572</v>
      </c>
      <c r="E5461" s="605" t="s">
        <v>1039</v>
      </c>
      <c r="F5461" s="605"/>
      <c r="G5461" s="402" t="s">
        <v>422</v>
      </c>
      <c r="H5461" s="403">
        <v>1</v>
      </c>
      <c r="I5461" s="403">
        <v>0</v>
      </c>
      <c r="J5461" s="404">
        <v>19.829999999999998</v>
      </c>
      <c r="K5461" s="404">
        <v>19.829999999999998</v>
      </c>
    </row>
    <row r="5462" spans="1:11" ht="25.5" customHeight="1" x14ac:dyDescent="0.3">
      <c r="A5462" s="400" t="s">
        <v>1038</v>
      </c>
      <c r="B5462" s="401" t="s">
        <v>6480</v>
      </c>
      <c r="C5462" s="400" t="s">
        <v>420</v>
      </c>
      <c r="D5462" s="400" t="s">
        <v>6481</v>
      </c>
      <c r="E5462" s="605" t="s">
        <v>1053</v>
      </c>
      <c r="F5462" s="605"/>
      <c r="G5462" s="402" t="s">
        <v>1070</v>
      </c>
      <c r="H5462" s="403">
        <v>0.24</v>
      </c>
      <c r="I5462" s="403">
        <v>0</v>
      </c>
      <c r="J5462" s="404">
        <v>20.45</v>
      </c>
      <c r="K5462" s="404">
        <v>4.9080000000000004</v>
      </c>
    </row>
    <row r="5463" spans="1:11" ht="15" x14ac:dyDescent="0.3">
      <c r="A5463" s="400" t="s">
        <v>1038</v>
      </c>
      <c r="B5463" s="401" t="s">
        <v>6251</v>
      </c>
      <c r="C5463" s="400" t="s">
        <v>420</v>
      </c>
      <c r="D5463" s="400" t="s">
        <v>6252</v>
      </c>
      <c r="E5463" s="605" t="s">
        <v>1053</v>
      </c>
      <c r="F5463" s="605"/>
      <c r="G5463" s="402" t="s">
        <v>1070</v>
      </c>
      <c r="H5463" s="403">
        <v>0.24</v>
      </c>
      <c r="I5463" s="403">
        <v>0</v>
      </c>
      <c r="J5463" s="404">
        <v>15.59</v>
      </c>
      <c r="K5463" s="404">
        <v>3.7416</v>
      </c>
    </row>
    <row r="5464" spans="1:11" ht="15" x14ac:dyDescent="0.3">
      <c r="A5464" s="405"/>
      <c r="B5464" s="405"/>
      <c r="C5464" s="405"/>
      <c r="D5464" s="405"/>
      <c r="E5464" s="405" t="s">
        <v>1046</v>
      </c>
      <c r="F5464" s="406">
        <v>8.65</v>
      </c>
      <c r="G5464" s="405" t="s">
        <v>1047</v>
      </c>
      <c r="H5464" s="406">
        <v>0</v>
      </c>
      <c r="I5464" s="405" t="s">
        <v>1048</v>
      </c>
      <c r="J5464" s="406">
        <v>8.65</v>
      </c>
      <c r="K5464"/>
    </row>
    <row r="5465" spans="1:11" ht="15.6" thickBot="1" x14ac:dyDescent="0.35">
      <c r="A5465" s="405"/>
      <c r="B5465" s="405"/>
      <c r="C5465" s="405"/>
      <c r="D5465" s="405"/>
      <c r="E5465" s="405" t="s">
        <v>1049</v>
      </c>
      <c r="F5465" s="406">
        <v>0</v>
      </c>
      <c r="G5465" s="405"/>
      <c r="H5465" s="606"/>
      <c r="I5465" s="606" t="s">
        <v>1050</v>
      </c>
      <c r="J5465" s="406">
        <v>30.76</v>
      </c>
      <c r="K5465"/>
    </row>
    <row r="5466" spans="1:11" ht="38.25" customHeight="1" thickTop="1" x14ac:dyDescent="0.3">
      <c r="A5466" s="407"/>
      <c r="B5466" s="407"/>
      <c r="C5466" s="407"/>
      <c r="D5466" s="407"/>
      <c r="E5466" s="407"/>
      <c r="F5466" s="407"/>
      <c r="G5466" s="407"/>
      <c r="H5466" s="407"/>
      <c r="I5466" s="407"/>
      <c r="J5466" s="407"/>
      <c r="K5466" s="407"/>
    </row>
    <row r="5467" spans="1:11" ht="25.5" customHeight="1" x14ac:dyDescent="0.3">
      <c r="A5467" s="382" t="s">
        <v>3381</v>
      </c>
      <c r="B5467" s="312" t="s">
        <v>413</v>
      </c>
      <c r="C5467" s="382" t="s">
        <v>414</v>
      </c>
      <c r="D5467" s="382" t="s">
        <v>415</v>
      </c>
      <c r="E5467" s="586" t="s">
        <v>1029</v>
      </c>
      <c r="F5467" s="586"/>
      <c r="G5467" s="383" t="s">
        <v>416</v>
      </c>
      <c r="H5467" s="312" t="s">
        <v>1030</v>
      </c>
      <c r="I5467" s="312" t="s">
        <v>3016</v>
      </c>
      <c r="J5467" s="312" t="s">
        <v>1031</v>
      </c>
      <c r="K5467" s="312" t="s">
        <v>1032</v>
      </c>
    </row>
    <row r="5468" spans="1:11" ht="25.5" customHeight="1" x14ac:dyDescent="0.3">
      <c r="A5468" s="313" t="s">
        <v>1033</v>
      </c>
      <c r="B5468" s="315" t="s">
        <v>2183</v>
      </c>
      <c r="C5468" s="313" t="s">
        <v>395</v>
      </c>
      <c r="D5468" s="313" t="s">
        <v>6089</v>
      </c>
      <c r="E5468" s="603" t="s">
        <v>7882</v>
      </c>
      <c r="F5468" s="603"/>
      <c r="G5468" s="314" t="s">
        <v>4</v>
      </c>
      <c r="H5468" s="399">
        <v>1</v>
      </c>
      <c r="I5468" s="316"/>
      <c r="J5468" s="316">
        <v>30.53</v>
      </c>
      <c r="K5468" s="316">
        <v>30.53</v>
      </c>
    </row>
    <row r="5469" spans="1:11" ht="26.4" x14ac:dyDescent="0.3">
      <c r="A5469" s="408" t="s">
        <v>1034</v>
      </c>
      <c r="B5469" s="409" t="s">
        <v>1113</v>
      </c>
      <c r="C5469" s="408" t="s">
        <v>395</v>
      </c>
      <c r="D5469" s="408" t="s">
        <v>129</v>
      </c>
      <c r="E5469" s="604" t="s">
        <v>7768</v>
      </c>
      <c r="F5469" s="604"/>
      <c r="G5469" s="410" t="s">
        <v>6</v>
      </c>
      <c r="H5469" s="412">
        <v>8.6550000000000002E-2</v>
      </c>
      <c r="I5469" s="412">
        <v>0</v>
      </c>
      <c r="J5469" s="411">
        <v>33.450000000000003</v>
      </c>
      <c r="K5469" s="411">
        <v>2.8950974999999999</v>
      </c>
    </row>
    <row r="5470" spans="1:11" ht="15" customHeight="1" x14ac:dyDescent="0.3">
      <c r="A5470" s="408" t="s">
        <v>1034</v>
      </c>
      <c r="B5470" s="409" t="s">
        <v>1112</v>
      </c>
      <c r="C5470" s="408" t="s">
        <v>395</v>
      </c>
      <c r="D5470" s="408" t="s">
        <v>137</v>
      </c>
      <c r="E5470" s="604" t="s">
        <v>7768</v>
      </c>
      <c r="F5470" s="604"/>
      <c r="G5470" s="410" t="s">
        <v>6</v>
      </c>
      <c r="H5470" s="412">
        <v>8.6550000000000002E-2</v>
      </c>
      <c r="I5470" s="412">
        <v>0</v>
      </c>
      <c r="J5470" s="411">
        <v>40.299999999999997</v>
      </c>
      <c r="K5470" s="411">
        <v>3.487965</v>
      </c>
    </row>
    <row r="5471" spans="1:11" ht="15" customHeight="1" x14ac:dyDescent="0.3">
      <c r="A5471" s="400" t="s">
        <v>1038</v>
      </c>
      <c r="B5471" s="401" t="s">
        <v>2499</v>
      </c>
      <c r="C5471" s="400" t="s">
        <v>395</v>
      </c>
      <c r="D5471" s="400" t="s">
        <v>280</v>
      </c>
      <c r="E5471" s="605" t="s">
        <v>1039</v>
      </c>
      <c r="F5471" s="605"/>
      <c r="G5471" s="402" t="s">
        <v>4</v>
      </c>
      <c r="H5471" s="403">
        <v>7.4000000000000003E-3</v>
      </c>
      <c r="I5471" s="403">
        <v>0</v>
      </c>
      <c r="J5471" s="404">
        <v>308.79000000000002</v>
      </c>
      <c r="K5471" s="404">
        <v>2.2850459999999999</v>
      </c>
    </row>
    <row r="5472" spans="1:11" ht="14.25" customHeight="1" x14ac:dyDescent="0.3">
      <c r="A5472" s="400" t="s">
        <v>1038</v>
      </c>
      <c r="B5472" s="401" t="s">
        <v>1372</v>
      </c>
      <c r="C5472" s="400" t="s">
        <v>395</v>
      </c>
      <c r="D5472" s="400" t="s">
        <v>266</v>
      </c>
      <c r="E5472" s="605" t="s">
        <v>1039</v>
      </c>
      <c r="F5472" s="605"/>
      <c r="G5472" s="402" t="s">
        <v>4</v>
      </c>
      <c r="H5472" s="403">
        <v>5.7700000000000001E-2</v>
      </c>
      <c r="I5472" s="403">
        <v>0</v>
      </c>
      <c r="J5472" s="404">
        <v>2.09</v>
      </c>
      <c r="K5472" s="404">
        <v>0.12059300000000001</v>
      </c>
    </row>
    <row r="5473" spans="1:11" ht="26.4" x14ac:dyDescent="0.3">
      <c r="A5473" s="400" t="s">
        <v>1038</v>
      </c>
      <c r="B5473" s="401" t="s">
        <v>2497</v>
      </c>
      <c r="C5473" s="400" t="s">
        <v>395</v>
      </c>
      <c r="D5473" s="400" t="s">
        <v>246</v>
      </c>
      <c r="E5473" s="605" t="s">
        <v>1039</v>
      </c>
      <c r="F5473" s="605"/>
      <c r="G5473" s="402" t="s">
        <v>4</v>
      </c>
      <c r="H5473" s="403">
        <v>1</v>
      </c>
      <c r="I5473" s="403">
        <v>0</v>
      </c>
      <c r="J5473" s="404">
        <v>21.64</v>
      </c>
      <c r="K5473" s="404">
        <v>21.64</v>
      </c>
    </row>
    <row r="5474" spans="1:11" ht="38.25" customHeight="1" x14ac:dyDescent="0.3">
      <c r="A5474" s="400" t="s">
        <v>1038</v>
      </c>
      <c r="B5474" s="401" t="s">
        <v>2498</v>
      </c>
      <c r="C5474" s="400" t="s">
        <v>395</v>
      </c>
      <c r="D5474" s="400" t="s">
        <v>269</v>
      </c>
      <c r="E5474" s="605" t="s">
        <v>1039</v>
      </c>
      <c r="F5474" s="605"/>
      <c r="G5474" s="402" t="s">
        <v>4</v>
      </c>
      <c r="H5474" s="403">
        <v>1.8500000000000001E-3</v>
      </c>
      <c r="I5474" s="403">
        <v>0</v>
      </c>
      <c r="J5474" s="404">
        <v>56.61</v>
      </c>
      <c r="K5474" s="404">
        <v>0.1047285</v>
      </c>
    </row>
    <row r="5475" spans="1:11" ht="25.5" customHeight="1" x14ac:dyDescent="0.3">
      <c r="A5475" s="405"/>
      <c r="B5475" s="405"/>
      <c r="C5475" s="405"/>
      <c r="D5475" s="405"/>
      <c r="E5475" s="405" t="s">
        <v>1046</v>
      </c>
      <c r="F5475" s="406">
        <v>4.7</v>
      </c>
      <c r="G5475" s="405" t="s">
        <v>1047</v>
      </c>
      <c r="H5475" s="406">
        <v>0</v>
      </c>
      <c r="I5475" s="405" t="s">
        <v>1048</v>
      </c>
      <c r="J5475" s="406">
        <v>4.7</v>
      </c>
      <c r="K5475"/>
    </row>
    <row r="5476" spans="1:11" ht="25.5" customHeight="1" thickBot="1" x14ac:dyDescent="0.35">
      <c r="A5476" s="405"/>
      <c r="B5476" s="405"/>
      <c r="C5476" s="405"/>
      <c r="D5476" s="405"/>
      <c r="E5476" s="405" t="s">
        <v>1049</v>
      </c>
      <c r="F5476" s="406">
        <v>0</v>
      </c>
      <c r="G5476" s="405"/>
      <c r="H5476" s="606"/>
      <c r="I5476" s="606" t="s">
        <v>1050</v>
      </c>
      <c r="J5476" s="406">
        <v>30.53</v>
      </c>
      <c r="K5476"/>
    </row>
    <row r="5477" spans="1:11" ht="25.5" customHeight="1" thickTop="1" x14ac:dyDescent="0.3">
      <c r="A5477" s="407"/>
      <c r="B5477" s="407"/>
      <c r="C5477" s="407"/>
      <c r="D5477" s="407"/>
      <c r="E5477" s="407"/>
      <c r="F5477" s="407"/>
      <c r="G5477" s="407"/>
      <c r="H5477" s="407"/>
      <c r="I5477" s="407"/>
      <c r="J5477" s="407"/>
      <c r="K5477" s="407"/>
    </row>
    <row r="5478" spans="1:11" ht="25.5" customHeight="1" x14ac:dyDescent="0.3">
      <c r="A5478" s="382" t="s">
        <v>3382</v>
      </c>
      <c r="B5478" s="312" t="s">
        <v>413</v>
      </c>
      <c r="C5478" s="382" t="s">
        <v>414</v>
      </c>
      <c r="D5478" s="382" t="s">
        <v>415</v>
      </c>
      <c r="E5478" s="586" t="s">
        <v>1029</v>
      </c>
      <c r="F5478" s="586"/>
      <c r="G5478" s="383" t="s">
        <v>416</v>
      </c>
      <c r="H5478" s="312" t="s">
        <v>1030</v>
      </c>
      <c r="I5478" s="312" t="s">
        <v>3016</v>
      </c>
      <c r="J5478" s="312" t="s">
        <v>1031</v>
      </c>
      <c r="K5478" s="312" t="s">
        <v>1032</v>
      </c>
    </row>
    <row r="5479" spans="1:11" ht="15" x14ac:dyDescent="0.3">
      <c r="A5479" s="313" t="s">
        <v>1033</v>
      </c>
      <c r="B5479" s="315" t="s">
        <v>2226</v>
      </c>
      <c r="C5479" s="313" t="s">
        <v>575</v>
      </c>
      <c r="D5479" s="313" t="s">
        <v>1918</v>
      </c>
      <c r="E5479" s="603" t="s">
        <v>1340</v>
      </c>
      <c r="F5479" s="603"/>
      <c r="G5479" s="314" t="s">
        <v>4</v>
      </c>
      <c r="H5479" s="399">
        <v>1</v>
      </c>
      <c r="I5479" s="316"/>
      <c r="J5479" s="316">
        <v>138.35</v>
      </c>
      <c r="K5479" s="316">
        <v>138.35</v>
      </c>
    </row>
    <row r="5480" spans="1:11" ht="12.75" customHeight="1" x14ac:dyDescent="0.3">
      <c r="A5480" s="408" t="s">
        <v>1034</v>
      </c>
      <c r="B5480" s="409" t="s">
        <v>1113</v>
      </c>
      <c r="C5480" s="408" t="s">
        <v>395</v>
      </c>
      <c r="D5480" s="408" t="s">
        <v>129</v>
      </c>
      <c r="E5480" s="604" t="s">
        <v>7768</v>
      </c>
      <c r="F5480" s="604"/>
      <c r="G5480" s="410" t="s">
        <v>6</v>
      </c>
      <c r="H5480" s="412">
        <v>0.54200000000000004</v>
      </c>
      <c r="I5480" s="412">
        <v>0</v>
      </c>
      <c r="J5480" s="411">
        <v>33.450000000000003</v>
      </c>
      <c r="K5480" s="411">
        <v>18.129899999999999</v>
      </c>
    </row>
    <row r="5481" spans="1:11" ht="25.5" customHeight="1" x14ac:dyDescent="0.3">
      <c r="A5481" s="408" t="s">
        <v>1034</v>
      </c>
      <c r="B5481" s="409" t="s">
        <v>1112</v>
      </c>
      <c r="C5481" s="408" t="s">
        <v>395</v>
      </c>
      <c r="D5481" s="408" t="s">
        <v>137</v>
      </c>
      <c r="E5481" s="604" t="s">
        <v>7768</v>
      </c>
      <c r="F5481" s="604"/>
      <c r="G5481" s="410" t="s">
        <v>6</v>
      </c>
      <c r="H5481" s="412">
        <v>0.54200000000000004</v>
      </c>
      <c r="I5481" s="412">
        <v>0</v>
      </c>
      <c r="J5481" s="411">
        <v>40.299999999999997</v>
      </c>
      <c r="K5481" s="411">
        <v>21.842600000000001</v>
      </c>
    </row>
    <row r="5482" spans="1:11" ht="25.5" customHeight="1" x14ac:dyDescent="0.3">
      <c r="A5482" s="400" t="s">
        <v>1038</v>
      </c>
      <c r="B5482" s="401" t="s">
        <v>2502</v>
      </c>
      <c r="C5482" s="400" t="s">
        <v>408</v>
      </c>
      <c r="D5482" s="400" t="s">
        <v>2503</v>
      </c>
      <c r="E5482" s="605" t="s">
        <v>1039</v>
      </c>
      <c r="F5482" s="605"/>
      <c r="G5482" s="402" t="s">
        <v>4</v>
      </c>
      <c r="H5482" s="403">
        <v>1</v>
      </c>
      <c r="I5482" s="403">
        <v>0</v>
      </c>
      <c r="J5482" s="404">
        <v>96.86</v>
      </c>
      <c r="K5482" s="404">
        <v>96.86</v>
      </c>
    </row>
    <row r="5483" spans="1:11" ht="15" x14ac:dyDescent="0.3">
      <c r="A5483" s="400" t="s">
        <v>1038</v>
      </c>
      <c r="B5483" s="401" t="s">
        <v>1333</v>
      </c>
      <c r="C5483" s="400" t="s">
        <v>408</v>
      </c>
      <c r="D5483" s="400" t="s">
        <v>1334</v>
      </c>
      <c r="E5483" s="605" t="s">
        <v>1039</v>
      </c>
      <c r="F5483" s="605"/>
      <c r="G5483" s="402" t="s">
        <v>1332</v>
      </c>
      <c r="H5483" s="403">
        <v>2.1</v>
      </c>
      <c r="I5483" s="403">
        <v>0</v>
      </c>
      <c r="J5483" s="404">
        <v>0.19</v>
      </c>
      <c r="K5483" s="404">
        <v>0.39900000000000002</v>
      </c>
    </row>
    <row r="5484" spans="1:11" ht="38.25" customHeight="1" x14ac:dyDescent="0.3">
      <c r="A5484" s="400" t="s">
        <v>1038</v>
      </c>
      <c r="B5484" s="401" t="s">
        <v>1330</v>
      </c>
      <c r="C5484" s="400" t="s">
        <v>408</v>
      </c>
      <c r="D5484" s="400" t="s">
        <v>1331</v>
      </c>
      <c r="E5484" s="605" t="s">
        <v>1039</v>
      </c>
      <c r="F5484" s="605"/>
      <c r="G5484" s="402" t="s">
        <v>1332</v>
      </c>
      <c r="H5484" s="403">
        <v>0.26</v>
      </c>
      <c r="I5484" s="403">
        <v>0</v>
      </c>
      <c r="J5484" s="404">
        <v>2.9</v>
      </c>
      <c r="K5484" s="404">
        <v>0.754</v>
      </c>
    </row>
    <row r="5485" spans="1:11" ht="17.399999999999999" customHeight="1" x14ac:dyDescent="0.3">
      <c r="A5485" s="400" t="s">
        <v>1038</v>
      </c>
      <c r="B5485" s="401" t="s">
        <v>1326</v>
      </c>
      <c r="C5485" s="400" t="s">
        <v>408</v>
      </c>
      <c r="D5485" s="400" t="s">
        <v>1327</v>
      </c>
      <c r="E5485" s="605" t="s">
        <v>1039</v>
      </c>
      <c r="F5485" s="605"/>
      <c r="G5485" s="402" t="s">
        <v>4</v>
      </c>
      <c r="H5485" s="403">
        <v>6.0000000000000001E-3</v>
      </c>
      <c r="I5485" s="403">
        <v>0</v>
      </c>
      <c r="J5485" s="404">
        <v>14</v>
      </c>
      <c r="K5485" s="404">
        <v>8.4000000000000005E-2</v>
      </c>
    </row>
    <row r="5486" spans="1:11" ht="38.25" customHeight="1" x14ac:dyDescent="0.3">
      <c r="A5486" s="400" t="s">
        <v>1038</v>
      </c>
      <c r="B5486" s="401" t="s">
        <v>1328</v>
      </c>
      <c r="C5486" s="400" t="s">
        <v>408</v>
      </c>
      <c r="D5486" s="400" t="s">
        <v>1329</v>
      </c>
      <c r="E5486" s="605" t="s">
        <v>1039</v>
      </c>
      <c r="F5486" s="605"/>
      <c r="G5486" s="402" t="s">
        <v>4</v>
      </c>
      <c r="H5486" s="403">
        <v>5.1999999999999995E-4</v>
      </c>
      <c r="I5486" s="403">
        <v>0</v>
      </c>
      <c r="J5486" s="404">
        <v>541.88</v>
      </c>
      <c r="K5486" s="404">
        <v>0.28177760000000002</v>
      </c>
    </row>
    <row r="5487" spans="1:11" ht="25.5" customHeight="1" x14ac:dyDescent="0.3">
      <c r="A5487" s="405"/>
      <c r="B5487" s="405"/>
      <c r="C5487" s="405"/>
      <c r="D5487" s="405"/>
      <c r="E5487" s="405" t="s">
        <v>1046</v>
      </c>
      <c r="F5487" s="406">
        <v>29.43</v>
      </c>
      <c r="G5487" s="405" t="s">
        <v>1047</v>
      </c>
      <c r="H5487" s="406">
        <v>0</v>
      </c>
      <c r="I5487" s="405" t="s">
        <v>1048</v>
      </c>
      <c r="J5487" s="406">
        <v>29.43</v>
      </c>
      <c r="K5487"/>
    </row>
    <row r="5488" spans="1:11" ht="25.5" customHeight="1" thickBot="1" x14ac:dyDescent="0.35">
      <c r="A5488" s="405"/>
      <c r="B5488" s="405"/>
      <c r="C5488" s="405"/>
      <c r="D5488" s="405"/>
      <c r="E5488" s="405" t="s">
        <v>1049</v>
      </c>
      <c r="F5488" s="406">
        <v>0</v>
      </c>
      <c r="G5488" s="405"/>
      <c r="H5488" s="606"/>
      <c r="I5488" s="606" t="s">
        <v>1050</v>
      </c>
      <c r="J5488" s="406">
        <v>138.35</v>
      </c>
      <c r="K5488"/>
    </row>
    <row r="5489" spans="1:11" ht="30" customHeight="1" thickTop="1" x14ac:dyDescent="0.3">
      <c r="A5489" s="407"/>
      <c r="B5489" s="407"/>
      <c r="C5489" s="407"/>
      <c r="D5489" s="407"/>
      <c r="E5489" s="407"/>
      <c r="F5489" s="407"/>
      <c r="G5489" s="407"/>
      <c r="H5489" s="407"/>
      <c r="I5489" s="407"/>
      <c r="J5489" s="407"/>
      <c r="K5489" s="407"/>
    </row>
    <row r="5490" spans="1:11" ht="15" customHeight="1" x14ac:dyDescent="0.3">
      <c r="A5490" s="382" t="s">
        <v>3384</v>
      </c>
      <c r="B5490" s="312" t="s">
        <v>413</v>
      </c>
      <c r="C5490" s="382" t="s">
        <v>414</v>
      </c>
      <c r="D5490" s="382" t="s">
        <v>415</v>
      </c>
      <c r="E5490" s="586" t="s">
        <v>1029</v>
      </c>
      <c r="F5490" s="586"/>
      <c r="G5490" s="383" t="s">
        <v>416</v>
      </c>
      <c r="H5490" s="312" t="s">
        <v>1030</v>
      </c>
      <c r="I5490" s="312" t="s">
        <v>3016</v>
      </c>
      <c r="J5490" s="312" t="s">
        <v>1031</v>
      </c>
      <c r="K5490" s="312" t="s">
        <v>1032</v>
      </c>
    </row>
    <row r="5491" spans="1:11" ht="15" x14ac:dyDescent="0.3">
      <c r="A5491" s="313" t="s">
        <v>1033</v>
      </c>
      <c r="B5491" s="315" t="s">
        <v>965</v>
      </c>
      <c r="C5491" s="313" t="s">
        <v>575</v>
      </c>
      <c r="D5491" s="313" t="s">
        <v>580</v>
      </c>
      <c r="E5491" s="603">
        <v>56</v>
      </c>
      <c r="F5491" s="603"/>
      <c r="G5491" s="314" t="s">
        <v>4</v>
      </c>
      <c r="H5491" s="399">
        <v>1</v>
      </c>
      <c r="I5491" s="316"/>
      <c r="J5491" s="316">
        <v>239.17</v>
      </c>
      <c r="K5491" s="316">
        <v>239.17</v>
      </c>
    </row>
    <row r="5492" spans="1:11" ht="12.75" customHeight="1" x14ac:dyDescent="0.3">
      <c r="A5492" s="408" t="s">
        <v>1034</v>
      </c>
      <c r="B5492" s="409" t="s">
        <v>1113</v>
      </c>
      <c r="C5492" s="408" t="s">
        <v>395</v>
      </c>
      <c r="D5492" s="408" t="s">
        <v>129</v>
      </c>
      <c r="E5492" s="604" t="s">
        <v>7768</v>
      </c>
      <c r="F5492" s="604"/>
      <c r="G5492" s="410" t="s">
        <v>6</v>
      </c>
      <c r="H5492" s="412">
        <v>0.39500000000000002</v>
      </c>
      <c r="I5492" s="412">
        <v>0</v>
      </c>
      <c r="J5492" s="411">
        <v>33.450000000000003</v>
      </c>
      <c r="K5492" s="411">
        <v>13.21275</v>
      </c>
    </row>
    <row r="5493" spans="1:11" ht="26.4" x14ac:dyDescent="0.3">
      <c r="A5493" s="408" t="s">
        <v>1034</v>
      </c>
      <c r="B5493" s="409" t="s">
        <v>1112</v>
      </c>
      <c r="C5493" s="408" t="s">
        <v>395</v>
      </c>
      <c r="D5493" s="408" t="s">
        <v>137</v>
      </c>
      <c r="E5493" s="604" t="s">
        <v>7768</v>
      </c>
      <c r="F5493" s="604"/>
      <c r="G5493" s="410" t="s">
        <v>6</v>
      </c>
      <c r="H5493" s="412">
        <v>0.39500000000000002</v>
      </c>
      <c r="I5493" s="412">
        <v>0</v>
      </c>
      <c r="J5493" s="411">
        <v>40.299999999999997</v>
      </c>
      <c r="K5493" s="411">
        <v>15.9185</v>
      </c>
    </row>
    <row r="5494" spans="1:11" ht="38.25" customHeight="1" x14ac:dyDescent="0.3">
      <c r="A5494" s="400" t="s">
        <v>1038</v>
      </c>
      <c r="B5494" s="401" t="s">
        <v>1326</v>
      </c>
      <c r="C5494" s="400" t="s">
        <v>408</v>
      </c>
      <c r="D5494" s="400" t="s">
        <v>1327</v>
      </c>
      <c r="E5494" s="605" t="s">
        <v>1039</v>
      </c>
      <c r="F5494" s="605"/>
      <c r="G5494" s="402" t="s">
        <v>4</v>
      </c>
      <c r="H5494" s="403">
        <v>4.0000000000000001E-3</v>
      </c>
      <c r="I5494" s="403">
        <v>0</v>
      </c>
      <c r="J5494" s="404">
        <v>14</v>
      </c>
      <c r="K5494" s="404">
        <v>5.6000000000000001E-2</v>
      </c>
    </row>
    <row r="5495" spans="1:11" ht="25.5" customHeight="1" x14ac:dyDescent="0.3">
      <c r="A5495" s="400" t="s">
        <v>1038</v>
      </c>
      <c r="B5495" s="401" t="s">
        <v>1328</v>
      </c>
      <c r="C5495" s="400" t="s">
        <v>408</v>
      </c>
      <c r="D5495" s="400" t="s">
        <v>1329</v>
      </c>
      <c r="E5495" s="605" t="s">
        <v>1039</v>
      </c>
      <c r="F5495" s="605"/>
      <c r="G5495" s="402" t="s">
        <v>4</v>
      </c>
      <c r="H5495" s="403">
        <v>1.7999999999999999E-2</v>
      </c>
      <c r="I5495" s="403">
        <v>0</v>
      </c>
      <c r="J5495" s="404">
        <v>541.88</v>
      </c>
      <c r="K5495" s="404">
        <v>9.7538400000000003</v>
      </c>
    </row>
    <row r="5496" spans="1:11" ht="25.5" customHeight="1" x14ac:dyDescent="0.3">
      <c r="A5496" s="400" t="s">
        <v>1038</v>
      </c>
      <c r="B5496" s="401" t="s">
        <v>1336</v>
      </c>
      <c r="C5496" s="400" t="s">
        <v>575</v>
      </c>
      <c r="D5496" s="400" t="s">
        <v>580</v>
      </c>
      <c r="E5496" s="605" t="s">
        <v>1039</v>
      </c>
      <c r="F5496" s="605"/>
      <c r="G5496" s="402" t="s">
        <v>422</v>
      </c>
      <c r="H5496" s="403">
        <v>1</v>
      </c>
      <c r="I5496" s="403">
        <v>0</v>
      </c>
      <c r="J5496" s="404">
        <v>200</v>
      </c>
      <c r="K5496" s="404">
        <v>200</v>
      </c>
    </row>
    <row r="5497" spans="1:11" ht="15" customHeight="1" x14ac:dyDescent="0.3">
      <c r="A5497" s="400" t="s">
        <v>1038</v>
      </c>
      <c r="B5497" s="401" t="s">
        <v>1333</v>
      </c>
      <c r="C5497" s="400" t="s">
        <v>408</v>
      </c>
      <c r="D5497" s="400" t="s">
        <v>1334</v>
      </c>
      <c r="E5497" s="605" t="s">
        <v>1039</v>
      </c>
      <c r="F5497" s="605"/>
      <c r="G5497" s="402" t="s">
        <v>1332</v>
      </c>
      <c r="H5497" s="403">
        <v>1.2</v>
      </c>
      <c r="I5497" s="403">
        <v>0</v>
      </c>
      <c r="J5497" s="404">
        <v>0.19</v>
      </c>
      <c r="K5497" s="404">
        <v>0.22800000000000001</v>
      </c>
    </row>
    <row r="5498" spans="1:11" ht="38.25" customHeight="1" x14ac:dyDescent="0.3">
      <c r="A5498" s="405"/>
      <c r="B5498" s="405"/>
      <c r="C5498" s="405"/>
      <c r="D5498" s="405"/>
      <c r="E5498" s="405" t="s">
        <v>1046</v>
      </c>
      <c r="F5498" s="406">
        <v>21.45</v>
      </c>
      <c r="G5498" s="405" t="s">
        <v>1047</v>
      </c>
      <c r="H5498" s="406">
        <v>0</v>
      </c>
      <c r="I5498" s="405" t="s">
        <v>1048</v>
      </c>
      <c r="J5498" s="406">
        <v>21.45</v>
      </c>
      <c r="K5498"/>
    </row>
    <row r="5499" spans="1:11" ht="25.5" customHeight="1" thickBot="1" x14ac:dyDescent="0.35">
      <c r="A5499" s="405"/>
      <c r="B5499" s="405"/>
      <c r="C5499" s="405"/>
      <c r="D5499" s="405"/>
      <c r="E5499" s="405" t="s">
        <v>1049</v>
      </c>
      <c r="F5499" s="406">
        <v>0</v>
      </c>
      <c r="G5499" s="405"/>
      <c r="H5499" s="606"/>
      <c r="I5499" s="606" t="s">
        <v>1050</v>
      </c>
      <c r="J5499" s="406">
        <v>239.17</v>
      </c>
      <c r="K5499"/>
    </row>
    <row r="5500" spans="1:11" ht="25.5" customHeight="1" thickTop="1" x14ac:dyDescent="0.3">
      <c r="A5500" s="407"/>
      <c r="B5500" s="407"/>
      <c r="C5500" s="407"/>
      <c r="D5500" s="407"/>
      <c r="E5500" s="407"/>
      <c r="F5500" s="407"/>
      <c r="G5500" s="407"/>
      <c r="H5500" s="407"/>
      <c r="I5500" s="407"/>
      <c r="J5500" s="407"/>
      <c r="K5500" s="407"/>
    </row>
    <row r="5501" spans="1:11" ht="15" x14ac:dyDescent="0.3">
      <c r="A5501" s="382" t="s">
        <v>3386</v>
      </c>
      <c r="B5501" s="312" t="s">
        <v>413</v>
      </c>
      <c r="C5501" s="382" t="s">
        <v>414</v>
      </c>
      <c r="D5501" s="382" t="s">
        <v>415</v>
      </c>
      <c r="E5501" s="586" t="s">
        <v>1029</v>
      </c>
      <c r="F5501" s="586"/>
      <c r="G5501" s="383" t="s">
        <v>416</v>
      </c>
      <c r="H5501" s="312" t="s">
        <v>1030</v>
      </c>
      <c r="I5501" s="312" t="s">
        <v>3016</v>
      </c>
      <c r="J5501" s="312" t="s">
        <v>1031</v>
      </c>
      <c r="K5501" s="312" t="s">
        <v>1032</v>
      </c>
    </row>
    <row r="5502" spans="1:11" ht="15" customHeight="1" x14ac:dyDescent="0.3">
      <c r="A5502" s="313" t="s">
        <v>1033</v>
      </c>
      <c r="B5502" s="315" t="s">
        <v>2996</v>
      </c>
      <c r="C5502" s="313" t="s">
        <v>575</v>
      </c>
      <c r="D5502" s="313" t="s">
        <v>2866</v>
      </c>
      <c r="E5502" s="603" t="s">
        <v>1319</v>
      </c>
      <c r="F5502" s="603"/>
      <c r="G5502" s="314" t="s">
        <v>4</v>
      </c>
      <c r="H5502" s="399">
        <v>1</v>
      </c>
      <c r="I5502" s="316"/>
      <c r="J5502" s="316">
        <v>21944.39</v>
      </c>
      <c r="K5502" s="316">
        <v>21944.39</v>
      </c>
    </row>
    <row r="5503" spans="1:11" ht="26.4" x14ac:dyDescent="0.3">
      <c r="A5503" s="408" t="s">
        <v>1034</v>
      </c>
      <c r="B5503" s="409" t="s">
        <v>1035</v>
      </c>
      <c r="C5503" s="408" t="s">
        <v>395</v>
      </c>
      <c r="D5503" s="408" t="s">
        <v>128</v>
      </c>
      <c r="E5503" s="604" t="s">
        <v>7768</v>
      </c>
      <c r="F5503" s="604"/>
      <c r="G5503" s="410" t="s">
        <v>6</v>
      </c>
      <c r="H5503" s="412">
        <v>1.633</v>
      </c>
      <c r="I5503" s="412">
        <v>0</v>
      </c>
      <c r="J5503" s="411">
        <v>34.5</v>
      </c>
      <c r="K5503" s="411">
        <v>56.338500000000003</v>
      </c>
    </row>
    <row r="5504" spans="1:11" ht="12.75" customHeight="1" x14ac:dyDescent="0.3">
      <c r="A5504" s="408" t="s">
        <v>1034</v>
      </c>
      <c r="B5504" s="409" t="s">
        <v>1113</v>
      </c>
      <c r="C5504" s="408" t="s">
        <v>395</v>
      </c>
      <c r="D5504" s="408" t="s">
        <v>129</v>
      </c>
      <c r="E5504" s="604" t="s">
        <v>7768</v>
      </c>
      <c r="F5504" s="604"/>
      <c r="G5504" s="410" t="s">
        <v>6</v>
      </c>
      <c r="H5504" s="412">
        <v>3.202</v>
      </c>
      <c r="I5504" s="412">
        <v>0</v>
      </c>
      <c r="J5504" s="411">
        <v>33.450000000000003</v>
      </c>
      <c r="K5504" s="411">
        <v>107.1069</v>
      </c>
    </row>
    <row r="5505" spans="1:11" ht="26.4" x14ac:dyDescent="0.3">
      <c r="A5505" s="408" t="s">
        <v>1034</v>
      </c>
      <c r="B5505" s="409" t="s">
        <v>1037</v>
      </c>
      <c r="C5505" s="408" t="s">
        <v>395</v>
      </c>
      <c r="D5505" s="408" t="s">
        <v>135</v>
      </c>
      <c r="E5505" s="604" t="s">
        <v>7768</v>
      </c>
      <c r="F5505" s="604"/>
      <c r="G5505" s="410" t="s">
        <v>6</v>
      </c>
      <c r="H5505" s="412">
        <v>1.633</v>
      </c>
      <c r="I5505" s="412">
        <v>0</v>
      </c>
      <c r="J5505" s="411">
        <v>41.81</v>
      </c>
      <c r="K5505" s="411">
        <v>68.275729999999996</v>
      </c>
    </row>
    <row r="5506" spans="1:11" ht="38.25" customHeight="1" x14ac:dyDescent="0.3">
      <c r="A5506" s="408" t="s">
        <v>1034</v>
      </c>
      <c r="B5506" s="409" t="s">
        <v>1112</v>
      </c>
      <c r="C5506" s="408" t="s">
        <v>395</v>
      </c>
      <c r="D5506" s="408" t="s">
        <v>137</v>
      </c>
      <c r="E5506" s="604" t="s">
        <v>7768</v>
      </c>
      <c r="F5506" s="604"/>
      <c r="G5506" s="410" t="s">
        <v>6</v>
      </c>
      <c r="H5506" s="412">
        <v>3.202</v>
      </c>
      <c r="I5506" s="412">
        <v>0</v>
      </c>
      <c r="J5506" s="411">
        <v>40.299999999999997</v>
      </c>
      <c r="K5506" s="411">
        <v>129.04060000000001</v>
      </c>
    </row>
    <row r="5507" spans="1:11" ht="25.5" customHeight="1" x14ac:dyDescent="0.3">
      <c r="A5507" s="400" t="s">
        <v>1038</v>
      </c>
      <c r="B5507" s="401" t="s">
        <v>1320</v>
      </c>
      <c r="C5507" s="400" t="s">
        <v>395</v>
      </c>
      <c r="D5507" s="400" t="s">
        <v>304</v>
      </c>
      <c r="E5507" s="605" t="s">
        <v>1039</v>
      </c>
      <c r="F5507" s="605"/>
      <c r="G5507" s="402" t="s">
        <v>4</v>
      </c>
      <c r="H5507" s="403">
        <v>4</v>
      </c>
      <c r="I5507" s="403">
        <v>0</v>
      </c>
      <c r="J5507" s="404">
        <v>1.29</v>
      </c>
      <c r="K5507" s="404">
        <v>5.16</v>
      </c>
    </row>
    <row r="5508" spans="1:11" ht="25.5" customHeight="1" x14ac:dyDescent="0.3">
      <c r="A5508" s="400" t="s">
        <v>1038</v>
      </c>
      <c r="B5508" s="401" t="s">
        <v>1321</v>
      </c>
      <c r="C5508" s="400" t="s">
        <v>395</v>
      </c>
      <c r="D5508" s="400" t="s">
        <v>291</v>
      </c>
      <c r="E5508" s="605" t="s">
        <v>1039</v>
      </c>
      <c r="F5508" s="605"/>
      <c r="G5508" s="402" t="s">
        <v>7</v>
      </c>
      <c r="H5508" s="403">
        <v>0.2</v>
      </c>
      <c r="I5508" s="403">
        <v>0</v>
      </c>
      <c r="J5508" s="404">
        <v>3.35</v>
      </c>
      <c r="K5508" s="404">
        <v>0.67</v>
      </c>
    </row>
    <row r="5509" spans="1:11" ht="38.25" customHeight="1" x14ac:dyDescent="0.3">
      <c r="A5509" s="400" t="s">
        <v>1038</v>
      </c>
      <c r="B5509" s="401" t="s">
        <v>1322</v>
      </c>
      <c r="C5509" s="400" t="s">
        <v>395</v>
      </c>
      <c r="D5509" s="400" t="s">
        <v>273</v>
      </c>
      <c r="E5509" s="605" t="s">
        <v>1039</v>
      </c>
      <c r="F5509" s="605"/>
      <c r="G5509" s="402" t="s">
        <v>4</v>
      </c>
      <c r="H5509" s="403">
        <v>4</v>
      </c>
      <c r="I5509" s="403">
        <v>0</v>
      </c>
      <c r="J5509" s="404">
        <v>0.35</v>
      </c>
      <c r="K5509" s="404">
        <v>1.4</v>
      </c>
    </row>
    <row r="5510" spans="1:11" ht="12.75" customHeight="1" x14ac:dyDescent="0.3">
      <c r="A5510" s="400" t="s">
        <v>1038</v>
      </c>
      <c r="B5510" s="401" t="s">
        <v>3238</v>
      </c>
      <c r="C5510" s="400" t="s">
        <v>575</v>
      </c>
      <c r="D5510" s="400" t="s">
        <v>3239</v>
      </c>
      <c r="E5510" s="605" t="s">
        <v>1323</v>
      </c>
      <c r="F5510" s="605"/>
      <c r="G5510" s="402" t="s">
        <v>4</v>
      </c>
      <c r="H5510" s="403">
        <v>1</v>
      </c>
      <c r="I5510" s="403">
        <v>0</v>
      </c>
      <c r="J5510" s="404">
        <v>21576.400000000001</v>
      </c>
      <c r="K5510" s="404">
        <v>21576.400000000001</v>
      </c>
    </row>
    <row r="5511" spans="1:11" ht="25.5" customHeight="1" x14ac:dyDescent="0.3">
      <c r="A5511" s="405"/>
      <c r="B5511" s="405"/>
      <c r="C5511" s="405"/>
      <c r="D5511" s="405"/>
      <c r="E5511" s="405" t="s">
        <v>1046</v>
      </c>
      <c r="F5511" s="406">
        <v>264.81</v>
      </c>
      <c r="G5511" s="405" t="s">
        <v>1047</v>
      </c>
      <c r="H5511" s="406">
        <v>0</v>
      </c>
      <c r="I5511" s="405" t="s">
        <v>1048</v>
      </c>
      <c r="J5511" s="406">
        <v>264.81</v>
      </c>
      <c r="K5511"/>
    </row>
    <row r="5512" spans="1:11" ht="25.5" customHeight="1" thickBot="1" x14ac:dyDescent="0.35">
      <c r="A5512" s="405"/>
      <c r="B5512" s="405"/>
      <c r="C5512" s="405"/>
      <c r="D5512" s="405"/>
      <c r="E5512" s="405" t="s">
        <v>1049</v>
      </c>
      <c r="F5512" s="406">
        <v>0</v>
      </c>
      <c r="G5512" s="405"/>
      <c r="H5512" s="606"/>
      <c r="I5512" s="606" t="s">
        <v>1050</v>
      </c>
      <c r="J5512" s="406">
        <v>21944.39</v>
      </c>
      <c r="K5512"/>
    </row>
    <row r="5513" spans="1:11" ht="15.6" thickTop="1" x14ac:dyDescent="0.3">
      <c r="A5513" s="407"/>
      <c r="B5513" s="407"/>
      <c r="C5513" s="407"/>
      <c r="D5513" s="407"/>
      <c r="E5513" s="407"/>
      <c r="F5513" s="407"/>
      <c r="G5513" s="407"/>
      <c r="H5513" s="407"/>
      <c r="I5513" s="407"/>
      <c r="J5513" s="407"/>
      <c r="K5513" s="407"/>
    </row>
    <row r="5514" spans="1:11" ht="15" customHeight="1" x14ac:dyDescent="0.3">
      <c r="A5514" s="382" t="s">
        <v>3387</v>
      </c>
      <c r="B5514" s="312" t="s">
        <v>413</v>
      </c>
      <c r="C5514" s="382" t="s">
        <v>414</v>
      </c>
      <c r="D5514" s="382" t="s">
        <v>415</v>
      </c>
      <c r="E5514" s="586" t="s">
        <v>1029</v>
      </c>
      <c r="F5514" s="586"/>
      <c r="G5514" s="383" t="s">
        <v>416</v>
      </c>
      <c r="H5514" s="312" t="s">
        <v>1030</v>
      </c>
      <c r="I5514" s="312" t="s">
        <v>3016</v>
      </c>
      <c r="J5514" s="312" t="s">
        <v>1031</v>
      </c>
      <c r="K5514" s="312" t="s">
        <v>1032</v>
      </c>
    </row>
    <row r="5515" spans="1:11" ht="14.25" customHeight="1" x14ac:dyDescent="0.3">
      <c r="A5515" s="313" t="s">
        <v>1033</v>
      </c>
      <c r="B5515" s="315" t="s">
        <v>2113</v>
      </c>
      <c r="C5515" s="313" t="s">
        <v>5902</v>
      </c>
      <c r="D5515" s="313" t="s">
        <v>1640</v>
      </c>
      <c r="E5515" s="603">
        <v>55.01</v>
      </c>
      <c r="F5515" s="603"/>
      <c r="G5515" s="314" t="s">
        <v>675</v>
      </c>
      <c r="H5515" s="399">
        <v>1</v>
      </c>
      <c r="I5515" s="316"/>
      <c r="J5515" s="316">
        <v>15.9</v>
      </c>
      <c r="K5515" s="316">
        <v>15.9</v>
      </c>
    </row>
    <row r="5516" spans="1:11" ht="14.25" customHeight="1" x14ac:dyDescent="0.3">
      <c r="A5516" s="400" t="s">
        <v>1038</v>
      </c>
      <c r="B5516" s="401" t="s">
        <v>1467</v>
      </c>
      <c r="C5516" s="400" t="s">
        <v>5902</v>
      </c>
      <c r="D5516" s="400" t="s">
        <v>1468</v>
      </c>
      <c r="E5516" s="605" t="s">
        <v>1053</v>
      </c>
      <c r="F5516" s="605"/>
      <c r="G5516" s="402" t="s">
        <v>6</v>
      </c>
      <c r="H5516" s="403">
        <v>0.7</v>
      </c>
      <c r="I5516" s="403">
        <v>0</v>
      </c>
      <c r="J5516" s="404">
        <v>22.71</v>
      </c>
      <c r="K5516" s="404">
        <v>15.897</v>
      </c>
    </row>
    <row r="5517" spans="1:11" ht="14.25" customHeight="1" x14ac:dyDescent="0.3">
      <c r="A5517" s="405"/>
      <c r="B5517" s="405"/>
      <c r="C5517" s="405"/>
      <c r="D5517" s="405"/>
      <c r="E5517" s="405" t="s">
        <v>1046</v>
      </c>
      <c r="F5517" s="406">
        <v>15.9</v>
      </c>
      <c r="G5517" s="405" t="s">
        <v>1047</v>
      </c>
      <c r="H5517" s="406">
        <v>0</v>
      </c>
      <c r="I5517" s="405" t="s">
        <v>1048</v>
      </c>
      <c r="J5517" s="406">
        <v>15.9</v>
      </c>
      <c r="K5517"/>
    </row>
    <row r="5518" spans="1:11" ht="38.25" customHeight="1" thickBot="1" x14ac:dyDescent="0.35">
      <c r="A5518" s="405"/>
      <c r="B5518" s="405"/>
      <c r="C5518" s="405"/>
      <c r="D5518" s="405"/>
      <c r="E5518" s="405" t="s">
        <v>1049</v>
      </c>
      <c r="F5518" s="406">
        <v>0</v>
      </c>
      <c r="G5518" s="405"/>
      <c r="H5518" s="606"/>
      <c r="I5518" s="606" t="s">
        <v>1050</v>
      </c>
      <c r="J5518" s="406">
        <v>15.9</v>
      </c>
      <c r="K5518"/>
    </row>
    <row r="5519" spans="1:11" ht="25.5" customHeight="1" thickTop="1" x14ac:dyDescent="0.3">
      <c r="A5519" s="407"/>
      <c r="B5519" s="407"/>
      <c r="C5519" s="407"/>
      <c r="D5519" s="407"/>
      <c r="E5519" s="407"/>
      <c r="F5519" s="407"/>
      <c r="G5519" s="407"/>
      <c r="H5519" s="407"/>
      <c r="I5519" s="407"/>
      <c r="J5519" s="407"/>
      <c r="K5519" s="407"/>
    </row>
    <row r="5520" spans="1:11" ht="25.5" customHeight="1" x14ac:dyDescent="0.3">
      <c r="A5520" s="382" t="s">
        <v>3388</v>
      </c>
      <c r="B5520" s="312" t="s">
        <v>413</v>
      </c>
      <c r="C5520" s="382" t="s">
        <v>414</v>
      </c>
      <c r="D5520" s="382" t="s">
        <v>415</v>
      </c>
      <c r="E5520" s="586" t="s">
        <v>1029</v>
      </c>
      <c r="F5520" s="586"/>
      <c r="G5520" s="383" t="s">
        <v>416</v>
      </c>
      <c r="H5520" s="312" t="s">
        <v>1030</v>
      </c>
      <c r="I5520" s="312" t="s">
        <v>3016</v>
      </c>
      <c r="J5520" s="312" t="s">
        <v>1031</v>
      </c>
      <c r="K5520" s="312" t="s">
        <v>1032</v>
      </c>
    </row>
    <row r="5521" spans="1:11" ht="38.25" customHeight="1" x14ac:dyDescent="0.3">
      <c r="A5521" s="313" t="s">
        <v>1033</v>
      </c>
      <c r="B5521" s="315" t="s">
        <v>3995</v>
      </c>
      <c r="C5521" s="313" t="s">
        <v>395</v>
      </c>
      <c r="D5521" s="313" t="s">
        <v>310</v>
      </c>
      <c r="E5521" s="603" t="s">
        <v>7881</v>
      </c>
      <c r="F5521" s="603"/>
      <c r="G5521" s="314" t="s">
        <v>7</v>
      </c>
      <c r="H5521" s="399">
        <v>1</v>
      </c>
      <c r="I5521" s="316"/>
      <c r="J5521" s="316">
        <v>157.41</v>
      </c>
      <c r="K5521" s="316">
        <v>157.41</v>
      </c>
    </row>
    <row r="5522" spans="1:11" ht="25.5" customHeight="1" x14ac:dyDescent="0.3">
      <c r="A5522" s="408" t="s">
        <v>1034</v>
      </c>
      <c r="B5522" s="409" t="s">
        <v>2481</v>
      </c>
      <c r="C5522" s="408" t="s">
        <v>395</v>
      </c>
      <c r="D5522" s="408" t="s">
        <v>127</v>
      </c>
      <c r="E5522" s="604" t="s">
        <v>7768</v>
      </c>
      <c r="F5522" s="604"/>
      <c r="G5522" s="410" t="s">
        <v>6</v>
      </c>
      <c r="H5522" s="412">
        <v>0.10299999999999999</v>
      </c>
      <c r="I5522" s="412">
        <v>0</v>
      </c>
      <c r="J5522" s="411">
        <v>37.06</v>
      </c>
      <c r="K5522" s="411">
        <v>3.81718</v>
      </c>
    </row>
    <row r="5523" spans="1:11" ht="25.5" customHeight="1" x14ac:dyDescent="0.3">
      <c r="A5523" s="408" t="s">
        <v>1034</v>
      </c>
      <c r="B5523" s="409" t="s">
        <v>1290</v>
      </c>
      <c r="C5523" s="408" t="s">
        <v>395</v>
      </c>
      <c r="D5523" s="408" t="s">
        <v>147</v>
      </c>
      <c r="E5523" s="604" t="s">
        <v>7768</v>
      </c>
      <c r="F5523" s="604"/>
      <c r="G5523" s="410" t="s">
        <v>6</v>
      </c>
      <c r="H5523" s="412">
        <v>0.10299999999999999</v>
      </c>
      <c r="I5523" s="412">
        <v>0</v>
      </c>
      <c r="J5523" s="411">
        <v>32.82</v>
      </c>
      <c r="K5523" s="411">
        <v>3.3804599999999998</v>
      </c>
    </row>
    <row r="5524" spans="1:11" ht="17.399999999999999" customHeight="1" x14ac:dyDescent="0.3">
      <c r="A5524" s="400" t="s">
        <v>1038</v>
      </c>
      <c r="B5524" s="401" t="s">
        <v>1338</v>
      </c>
      <c r="C5524" s="400" t="s">
        <v>395</v>
      </c>
      <c r="D5524" s="400" t="s">
        <v>345</v>
      </c>
      <c r="E5524" s="605" t="s">
        <v>1039</v>
      </c>
      <c r="F5524" s="605"/>
      <c r="G5524" s="402" t="s">
        <v>4</v>
      </c>
      <c r="H5524" s="403">
        <v>1.67E-2</v>
      </c>
      <c r="I5524" s="403">
        <v>0</v>
      </c>
      <c r="J5524" s="404">
        <v>32.67</v>
      </c>
      <c r="K5524" s="404">
        <v>0.54558899999999999</v>
      </c>
    </row>
    <row r="5525" spans="1:11" ht="12.75" customHeight="1" x14ac:dyDescent="0.3">
      <c r="A5525" s="400" t="s">
        <v>1038</v>
      </c>
      <c r="B5525" s="401" t="s">
        <v>4118</v>
      </c>
      <c r="C5525" s="400" t="s">
        <v>395</v>
      </c>
      <c r="D5525" s="400" t="s">
        <v>4119</v>
      </c>
      <c r="E5525" s="605" t="s">
        <v>1039</v>
      </c>
      <c r="F5525" s="605"/>
      <c r="G5525" s="402" t="s">
        <v>7</v>
      </c>
      <c r="H5525" s="403">
        <v>1.05</v>
      </c>
      <c r="I5525" s="403">
        <v>0</v>
      </c>
      <c r="J5525" s="404">
        <v>142.54</v>
      </c>
      <c r="K5525" s="404">
        <v>149.667</v>
      </c>
    </row>
    <row r="5526" spans="1:11" ht="15" customHeight="1" x14ac:dyDescent="0.3">
      <c r="A5526" s="405"/>
      <c r="B5526" s="405"/>
      <c r="C5526" s="405"/>
      <c r="D5526" s="405"/>
      <c r="E5526" s="405" t="s">
        <v>1046</v>
      </c>
      <c r="F5526" s="406">
        <v>5.22</v>
      </c>
      <c r="G5526" s="405" t="s">
        <v>1047</v>
      </c>
      <c r="H5526" s="406">
        <v>0.01</v>
      </c>
      <c r="I5526" s="405" t="s">
        <v>1048</v>
      </c>
      <c r="J5526" s="406">
        <v>5.23</v>
      </c>
      <c r="K5526"/>
    </row>
    <row r="5527" spans="1:11" ht="15" customHeight="1" thickBot="1" x14ac:dyDescent="0.35">
      <c r="A5527" s="405"/>
      <c r="B5527" s="405"/>
      <c r="C5527" s="405"/>
      <c r="D5527" s="405"/>
      <c r="E5527" s="405" t="s">
        <v>1049</v>
      </c>
      <c r="F5527" s="406">
        <v>0</v>
      </c>
      <c r="G5527" s="405"/>
      <c r="H5527" s="606"/>
      <c r="I5527" s="606" t="s">
        <v>1050</v>
      </c>
      <c r="J5527" s="406">
        <v>157.41</v>
      </c>
      <c r="K5527"/>
    </row>
    <row r="5528" spans="1:11" ht="14.25" customHeight="1" thickTop="1" x14ac:dyDescent="0.3">
      <c r="A5528" s="407"/>
      <c r="B5528" s="407"/>
      <c r="C5528" s="407"/>
      <c r="D5528" s="407"/>
      <c r="E5528" s="407"/>
      <c r="F5528" s="407"/>
      <c r="G5528" s="407"/>
      <c r="H5528" s="407"/>
      <c r="I5528" s="407"/>
      <c r="J5528" s="407"/>
      <c r="K5528" s="407"/>
    </row>
    <row r="5529" spans="1:11" ht="14.25" customHeight="1" x14ac:dyDescent="0.3">
      <c r="A5529" s="382" t="s">
        <v>3389</v>
      </c>
      <c r="B5529" s="312" t="s">
        <v>413</v>
      </c>
      <c r="C5529" s="382" t="s">
        <v>414</v>
      </c>
      <c r="D5529" s="382" t="s">
        <v>415</v>
      </c>
      <c r="E5529" s="586" t="s">
        <v>1029</v>
      </c>
      <c r="F5529" s="586"/>
      <c r="G5529" s="383" t="s">
        <v>416</v>
      </c>
      <c r="H5529" s="312" t="s">
        <v>1030</v>
      </c>
      <c r="I5529" s="312" t="s">
        <v>3016</v>
      </c>
      <c r="J5529" s="312" t="s">
        <v>1031</v>
      </c>
      <c r="K5529" s="312" t="s">
        <v>1032</v>
      </c>
    </row>
    <row r="5530" spans="1:11" ht="15" customHeight="1" x14ac:dyDescent="0.3">
      <c r="A5530" s="313" t="s">
        <v>1033</v>
      </c>
      <c r="B5530" s="315" t="s">
        <v>2118</v>
      </c>
      <c r="C5530" s="313" t="s">
        <v>408</v>
      </c>
      <c r="D5530" s="313" t="s">
        <v>1679</v>
      </c>
      <c r="E5530" s="603" t="s">
        <v>2275</v>
      </c>
      <c r="F5530" s="603"/>
      <c r="G5530" s="314" t="s">
        <v>713</v>
      </c>
      <c r="H5530" s="399">
        <v>1</v>
      </c>
      <c r="I5530" s="316"/>
      <c r="J5530" s="316">
        <v>102.63</v>
      </c>
      <c r="K5530" s="316">
        <v>102.63</v>
      </c>
    </row>
    <row r="5531" spans="1:11" ht="25.5" customHeight="1" x14ac:dyDescent="0.3">
      <c r="A5531" s="400" t="s">
        <v>1038</v>
      </c>
      <c r="B5531" s="401" t="s">
        <v>6167</v>
      </c>
      <c r="C5531" s="400" t="s">
        <v>408</v>
      </c>
      <c r="D5531" s="400" t="s">
        <v>1466</v>
      </c>
      <c r="E5531" s="605" t="s">
        <v>1053</v>
      </c>
      <c r="F5531" s="605"/>
      <c r="G5531" s="402" t="s">
        <v>6</v>
      </c>
      <c r="H5531" s="403">
        <v>5.0110000000000001</v>
      </c>
      <c r="I5531" s="403">
        <v>0</v>
      </c>
      <c r="J5531" s="404">
        <v>20.48</v>
      </c>
      <c r="K5531" s="404">
        <v>102.62528</v>
      </c>
    </row>
    <row r="5532" spans="1:11" ht="25.5" customHeight="1" x14ac:dyDescent="0.3">
      <c r="A5532" s="405"/>
      <c r="B5532" s="405"/>
      <c r="C5532" s="405"/>
      <c r="D5532" s="405"/>
      <c r="E5532" s="405" t="s">
        <v>1046</v>
      </c>
      <c r="F5532" s="406">
        <v>102.63</v>
      </c>
      <c r="G5532" s="405" t="s">
        <v>1047</v>
      </c>
      <c r="H5532" s="406">
        <v>0</v>
      </c>
      <c r="I5532" s="405" t="s">
        <v>1048</v>
      </c>
      <c r="J5532" s="406">
        <v>102.63</v>
      </c>
      <c r="K5532"/>
    </row>
    <row r="5533" spans="1:11" ht="25.5" customHeight="1" thickBot="1" x14ac:dyDescent="0.35">
      <c r="A5533" s="405"/>
      <c r="B5533" s="405"/>
      <c r="C5533" s="405"/>
      <c r="D5533" s="405"/>
      <c r="E5533" s="405" t="s">
        <v>1049</v>
      </c>
      <c r="F5533" s="406">
        <v>0</v>
      </c>
      <c r="G5533" s="405"/>
      <c r="H5533" s="606"/>
      <c r="I5533" s="606" t="s">
        <v>1050</v>
      </c>
      <c r="J5533" s="406">
        <v>102.63</v>
      </c>
      <c r="K5533"/>
    </row>
    <row r="5534" spans="1:11" ht="25.5" customHeight="1" thickTop="1" x14ac:dyDescent="0.3">
      <c r="A5534" s="407"/>
      <c r="B5534" s="407"/>
      <c r="C5534" s="407"/>
      <c r="D5534" s="407"/>
      <c r="E5534" s="407"/>
      <c r="F5534" s="407"/>
      <c r="G5534" s="407"/>
      <c r="H5534" s="407"/>
      <c r="I5534" s="407"/>
      <c r="J5534" s="407"/>
      <c r="K5534" s="407"/>
    </row>
    <row r="5535" spans="1:11" ht="15" customHeight="1" x14ac:dyDescent="0.3">
      <c r="A5535" s="382" t="s">
        <v>3390</v>
      </c>
      <c r="B5535" s="312" t="s">
        <v>413</v>
      </c>
      <c r="C5535" s="382" t="s">
        <v>414</v>
      </c>
      <c r="D5535" s="382" t="s">
        <v>415</v>
      </c>
      <c r="E5535" s="586" t="s">
        <v>1029</v>
      </c>
      <c r="F5535" s="586"/>
      <c r="G5535" s="383" t="s">
        <v>416</v>
      </c>
      <c r="H5535" s="312" t="s">
        <v>1030</v>
      </c>
      <c r="I5535" s="312" t="s">
        <v>3016</v>
      </c>
      <c r="J5535" s="312" t="s">
        <v>1031</v>
      </c>
      <c r="K5535" s="312" t="s">
        <v>1032</v>
      </c>
    </row>
    <row r="5536" spans="1:11" ht="15" x14ac:dyDescent="0.3">
      <c r="A5536" s="313" t="s">
        <v>1033</v>
      </c>
      <c r="B5536" s="315" t="s">
        <v>2929</v>
      </c>
      <c r="C5536" s="313" t="s">
        <v>408</v>
      </c>
      <c r="D5536" s="313" t="s">
        <v>2622</v>
      </c>
      <c r="E5536" s="603" t="s">
        <v>3029</v>
      </c>
      <c r="F5536" s="603"/>
      <c r="G5536" s="314" t="s">
        <v>4</v>
      </c>
      <c r="H5536" s="399">
        <v>1</v>
      </c>
      <c r="I5536" s="316"/>
      <c r="J5536" s="316">
        <v>6583.72</v>
      </c>
      <c r="K5536" s="316">
        <v>6583.72</v>
      </c>
    </row>
    <row r="5537" spans="1:11" ht="15" x14ac:dyDescent="0.3">
      <c r="A5537" s="400" t="s">
        <v>1038</v>
      </c>
      <c r="B5537" s="401" t="s">
        <v>6405</v>
      </c>
      <c r="C5537" s="400" t="s">
        <v>408</v>
      </c>
      <c r="D5537" s="400" t="s">
        <v>6406</v>
      </c>
      <c r="E5537" s="605" t="s">
        <v>1053</v>
      </c>
      <c r="F5537" s="605"/>
      <c r="G5537" s="402" t="s">
        <v>6</v>
      </c>
      <c r="H5537" s="403">
        <v>6.1859999999999999</v>
      </c>
      <c r="I5537" s="403">
        <v>0</v>
      </c>
      <c r="J5537" s="404">
        <v>53.12</v>
      </c>
      <c r="K5537" s="404">
        <v>328.60032000000001</v>
      </c>
    </row>
    <row r="5538" spans="1:11" ht="14.25" customHeight="1" x14ac:dyDescent="0.3">
      <c r="A5538" s="400" t="s">
        <v>1038</v>
      </c>
      <c r="B5538" s="401" t="s">
        <v>6235</v>
      </c>
      <c r="C5538" s="400" t="s">
        <v>408</v>
      </c>
      <c r="D5538" s="400" t="s">
        <v>6236</v>
      </c>
      <c r="E5538" s="605" t="s">
        <v>1053</v>
      </c>
      <c r="F5538" s="605"/>
      <c r="G5538" s="402" t="s">
        <v>6</v>
      </c>
      <c r="H5538" s="403">
        <v>19.588999999999999</v>
      </c>
      <c r="I5538" s="403">
        <v>0</v>
      </c>
      <c r="J5538" s="404">
        <v>28.35</v>
      </c>
      <c r="K5538" s="404">
        <v>555.34815000000003</v>
      </c>
    </row>
    <row r="5539" spans="1:11" ht="14.25" customHeight="1" x14ac:dyDescent="0.3">
      <c r="A5539" s="400" t="s">
        <v>1038</v>
      </c>
      <c r="B5539" s="401" t="s">
        <v>6207</v>
      </c>
      <c r="C5539" s="400" t="s">
        <v>408</v>
      </c>
      <c r="D5539" s="400" t="s">
        <v>1093</v>
      </c>
      <c r="E5539" s="605" t="s">
        <v>1053</v>
      </c>
      <c r="F5539" s="605"/>
      <c r="G5539" s="402" t="s">
        <v>6</v>
      </c>
      <c r="H5539" s="403">
        <v>27.837</v>
      </c>
      <c r="I5539" s="403">
        <v>0</v>
      </c>
      <c r="J5539" s="404">
        <v>30.51</v>
      </c>
      <c r="K5539" s="404">
        <v>849.30687</v>
      </c>
    </row>
    <row r="5540" spans="1:11" ht="25.5" customHeight="1" x14ac:dyDescent="0.3">
      <c r="A5540" s="400" t="s">
        <v>1038</v>
      </c>
      <c r="B5540" s="401" t="s">
        <v>6290</v>
      </c>
      <c r="C5540" s="400" t="s">
        <v>408</v>
      </c>
      <c r="D5540" s="400" t="s">
        <v>6291</v>
      </c>
      <c r="E5540" s="605" t="s">
        <v>1053</v>
      </c>
      <c r="F5540" s="605"/>
      <c r="G5540" s="402" t="s">
        <v>6</v>
      </c>
      <c r="H5540" s="403">
        <v>17.527000000000001</v>
      </c>
      <c r="I5540" s="403">
        <v>0</v>
      </c>
      <c r="J5540" s="404">
        <v>30.51</v>
      </c>
      <c r="K5540" s="404">
        <v>534.74877000000004</v>
      </c>
    </row>
    <row r="5541" spans="1:11" ht="15" x14ac:dyDescent="0.3">
      <c r="A5541" s="400" t="s">
        <v>1038</v>
      </c>
      <c r="B5541" s="401" t="s">
        <v>6285</v>
      </c>
      <c r="C5541" s="400" t="s">
        <v>408</v>
      </c>
      <c r="D5541" s="400" t="s">
        <v>1566</v>
      </c>
      <c r="E5541" s="605" t="s">
        <v>1053</v>
      </c>
      <c r="F5541" s="605"/>
      <c r="G5541" s="402" t="s">
        <v>6</v>
      </c>
      <c r="H5541" s="403">
        <v>17.527000000000001</v>
      </c>
      <c r="I5541" s="403">
        <v>0</v>
      </c>
      <c r="J5541" s="404">
        <v>21.59</v>
      </c>
      <c r="K5541" s="404">
        <v>378.40793000000002</v>
      </c>
    </row>
    <row r="5542" spans="1:11" ht="15" x14ac:dyDescent="0.3">
      <c r="A5542" s="400" t="s">
        <v>1038</v>
      </c>
      <c r="B5542" s="401" t="s">
        <v>6387</v>
      </c>
      <c r="C5542" s="400" t="s">
        <v>408</v>
      </c>
      <c r="D5542" s="400" t="s">
        <v>6388</v>
      </c>
      <c r="E5542" s="605" t="s">
        <v>1053</v>
      </c>
      <c r="F5542" s="605"/>
      <c r="G5542" s="402" t="s">
        <v>6</v>
      </c>
      <c r="H5542" s="403">
        <v>12.372</v>
      </c>
      <c r="I5542" s="403">
        <v>0</v>
      </c>
      <c r="J5542" s="404">
        <v>28.35</v>
      </c>
      <c r="K5542" s="404">
        <v>350.74619999999999</v>
      </c>
    </row>
    <row r="5543" spans="1:11" ht="12.75" customHeight="1" x14ac:dyDescent="0.3">
      <c r="A5543" s="400" t="s">
        <v>1038</v>
      </c>
      <c r="B5543" s="401" t="s">
        <v>6327</v>
      </c>
      <c r="C5543" s="400" t="s">
        <v>408</v>
      </c>
      <c r="D5543" s="400" t="s">
        <v>6328</v>
      </c>
      <c r="E5543" s="605" t="s">
        <v>1053</v>
      </c>
      <c r="F5543" s="605"/>
      <c r="G5543" s="402" t="s">
        <v>6</v>
      </c>
      <c r="H5543" s="403">
        <v>13.403</v>
      </c>
      <c r="I5543" s="403">
        <v>0</v>
      </c>
      <c r="J5543" s="404">
        <v>28.35</v>
      </c>
      <c r="K5543" s="404">
        <v>379.97505000000001</v>
      </c>
    </row>
    <row r="5544" spans="1:11" ht="25.5" customHeight="1" x14ac:dyDescent="0.3">
      <c r="A5544" s="400" t="s">
        <v>1038</v>
      </c>
      <c r="B5544" s="401" t="s">
        <v>6196</v>
      </c>
      <c r="C5544" s="400" t="s">
        <v>408</v>
      </c>
      <c r="D5544" s="400" t="s">
        <v>1139</v>
      </c>
      <c r="E5544" s="605" t="s">
        <v>1053</v>
      </c>
      <c r="F5544" s="605"/>
      <c r="G5544" s="402" t="s">
        <v>6</v>
      </c>
      <c r="H5544" s="403">
        <v>55.673999999999999</v>
      </c>
      <c r="I5544" s="403">
        <v>0</v>
      </c>
      <c r="J5544" s="404">
        <v>21.59</v>
      </c>
      <c r="K5544" s="404">
        <v>1202.0016599999999</v>
      </c>
    </row>
    <row r="5545" spans="1:11" ht="25.5" customHeight="1" x14ac:dyDescent="0.3">
      <c r="A5545" s="400" t="s">
        <v>1038</v>
      </c>
      <c r="B5545" s="401" t="s">
        <v>6167</v>
      </c>
      <c r="C5545" s="400" t="s">
        <v>408</v>
      </c>
      <c r="D5545" s="400" t="s">
        <v>1466</v>
      </c>
      <c r="E5545" s="605" t="s">
        <v>1053</v>
      </c>
      <c r="F5545" s="605"/>
      <c r="G5545" s="402" t="s">
        <v>6</v>
      </c>
      <c r="H5545" s="403">
        <v>97.88</v>
      </c>
      <c r="I5545" s="403">
        <v>0</v>
      </c>
      <c r="J5545" s="404">
        <v>20.48</v>
      </c>
      <c r="K5545" s="404">
        <v>2004.5824</v>
      </c>
    </row>
    <row r="5546" spans="1:11" ht="15" customHeight="1" x14ac:dyDescent="0.3">
      <c r="A5546" s="405"/>
      <c r="B5546" s="405"/>
      <c r="C5546" s="405"/>
      <c r="D5546" s="405"/>
      <c r="E5546" s="405" t="s">
        <v>1046</v>
      </c>
      <c r="F5546" s="406">
        <v>6583.73</v>
      </c>
      <c r="G5546" s="405" t="s">
        <v>1047</v>
      </c>
      <c r="H5546" s="406">
        <v>0</v>
      </c>
      <c r="I5546" s="405" t="s">
        <v>1048</v>
      </c>
      <c r="J5546" s="406">
        <v>6583.73</v>
      </c>
      <c r="K5546"/>
    </row>
    <row r="5547" spans="1:11" ht="12.75" customHeight="1" thickBot="1" x14ac:dyDescent="0.35">
      <c r="A5547" s="405"/>
      <c r="B5547" s="405"/>
      <c r="C5547" s="405"/>
      <c r="D5547" s="405"/>
      <c r="E5547" s="405" t="s">
        <v>1049</v>
      </c>
      <c r="F5547" s="406">
        <v>0</v>
      </c>
      <c r="G5547" s="405"/>
      <c r="H5547" s="606"/>
      <c r="I5547" s="606" t="s">
        <v>1050</v>
      </c>
      <c r="J5547" s="406">
        <v>6583.72</v>
      </c>
      <c r="K5547"/>
    </row>
    <row r="5548" spans="1:11" ht="25.5" customHeight="1" thickTop="1" x14ac:dyDescent="0.3">
      <c r="A5548" s="407"/>
      <c r="B5548" s="407"/>
      <c r="C5548" s="407"/>
      <c r="D5548" s="407"/>
      <c r="E5548" s="407"/>
      <c r="F5548" s="407"/>
      <c r="G5548" s="407"/>
      <c r="H5548" s="407"/>
      <c r="I5548" s="407"/>
      <c r="J5548" s="407"/>
      <c r="K5548" s="407"/>
    </row>
    <row r="5549" spans="1:11" ht="14.25" customHeight="1" x14ac:dyDescent="0.3">
      <c r="A5549" s="382" t="s">
        <v>3391</v>
      </c>
      <c r="B5549" s="312" t="s">
        <v>413</v>
      </c>
      <c r="C5549" s="382" t="s">
        <v>414</v>
      </c>
      <c r="D5549" s="382" t="s">
        <v>415</v>
      </c>
      <c r="E5549" s="586" t="s">
        <v>1029</v>
      </c>
      <c r="F5549" s="586"/>
      <c r="G5549" s="383" t="s">
        <v>416</v>
      </c>
      <c r="H5549" s="312" t="s">
        <v>1030</v>
      </c>
      <c r="I5549" s="312" t="s">
        <v>3016</v>
      </c>
      <c r="J5549" s="312" t="s">
        <v>1031</v>
      </c>
      <c r="K5549" s="312" t="s">
        <v>1032</v>
      </c>
    </row>
    <row r="5550" spans="1:11" ht="15" customHeight="1" x14ac:dyDescent="0.3">
      <c r="A5550" s="313" t="s">
        <v>1033</v>
      </c>
      <c r="B5550" s="315" t="s">
        <v>2930</v>
      </c>
      <c r="C5550" s="313" t="s">
        <v>408</v>
      </c>
      <c r="D5550" s="313" t="s">
        <v>2624</v>
      </c>
      <c r="E5550" s="603" t="s">
        <v>3029</v>
      </c>
      <c r="F5550" s="603"/>
      <c r="G5550" s="314" t="s">
        <v>4</v>
      </c>
      <c r="H5550" s="399">
        <v>1</v>
      </c>
      <c r="I5550" s="316"/>
      <c r="J5550" s="316">
        <v>9881.1</v>
      </c>
      <c r="K5550" s="316">
        <v>9881.1</v>
      </c>
    </row>
    <row r="5551" spans="1:11" ht="25.5" customHeight="1" x14ac:dyDescent="0.3">
      <c r="A5551" s="400" t="s">
        <v>1038</v>
      </c>
      <c r="B5551" s="401" t="s">
        <v>3084</v>
      </c>
      <c r="C5551" s="400" t="s">
        <v>408</v>
      </c>
      <c r="D5551" s="400" t="s">
        <v>3085</v>
      </c>
      <c r="E5551" s="605" t="s">
        <v>1039</v>
      </c>
      <c r="F5551" s="605"/>
      <c r="G5551" s="402" t="s">
        <v>4</v>
      </c>
      <c r="H5551" s="403">
        <v>1</v>
      </c>
      <c r="I5551" s="403">
        <v>0</v>
      </c>
      <c r="J5551" s="404">
        <v>47.87</v>
      </c>
      <c r="K5551" s="404">
        <v>47.87</v>
      </c>
    </row>
    <row r="5552" spans="1:11" ht="25.5" customHeight="1" x14ac:dyDescent="0.3">
      <c r="A5552" s="400" t="s">
        <v>1038</v>
      </c>
      <c r="B5552" s="401" t="s">
        <v>3082</v>
      </c>
      <c r="C5552" s="400" t="s">
        <v>408</v>
      </c>
      <c r="D5552" s="400" t="s">
        <v>3083</v>
      </c>
      <c r="E5552" s="605" t="s">
        <v>1039</v>
      </c>
      <c r="F5552" s="605"/>
      <c r="G5552" s="402" t="s">
        <v>4</v>
      </c>
      <c r="H5552" s="403">
        <v>1</v>
      </c>
      <c r="I5552" s="403">
        <v>0</v>
      </c>
      <c r="J5552" s="404">
        <v>246.8</v>
      </c>
      <c r="K5552" s="404">
        <v>246.8</v>
      </c>
    </row>
    <row r="5553" spans="1:11" ht="12.75" customHeight="1" x14ac:dyDescent="0.3">
      <c r="A5553" s="400" t="s">
        <v>1038</v>
      </c>
      <c r="B5553" s="401" t="s">
        <v>3088</v>
      </c>
      <c r="C5553" s="400" t="s">
        <v>408</v>
      </c>
      <c r="D5553" s="400" t="s">
        <v>3089</v>
      </c>
      <c r="E5553" s="605" t="s">
        <v>1039</v>
      </c>
      <c r="F5553" s="605"/>
      <c r="G5553" s="402" t="s">
        <v>7</v>
      </c>
      <c r="H5553" s="403">
        <v>117</v>
      </c>
      <c r="I5553" s="403">
        <v>0</v>
      </c>
      <c r="J5553" s="404">
        <v>22.65</v>
      </c>
      <c r="K5553" s="404">
        <v>2650.05</v>
      </c>
    </row>
    <row r="5554" spans="1:11" ht="25.5" customHeight="1" x14ac:dyDescent="0.3">
      <c r="A5554" s="400" t="s">
        <v>1038</v>
      </c>
      <c r="B5554" s="401" t="s">
        <v>3052</v>
      </c>
      <c r="C5554" s="400" t="s">
        <v>408</v>
      </c>
      <c r="D5554" s="400" t="s">
        <v>3053</v>
      </c>
      <c r="E5554" s="605" t="s">
        <v>1039</v>
      </c>
      <c r="F5554" s="605"/>
      <c r="G5554" s="402" t="s">
        <v>7</v>
      </c>
      <c r="H5554" s="403">
        <v>2.5</v>
      </c>
      <c r="I5554" s="403">
        <v>0</v>
      </c>
      <c r="J5554" s="404">
        <v>7.94</v>
      </c>
      <c r="K5554" s="404">
        <v>19.850000000000001</v>
      </c>
    </row>
    <row r="5555" spans="1:11" ht="25.5" customHeight="1" x14ac:dyDescent="0.3">
      <c r="A5555" s="400" t="s">
        <v>1038</v>
      </c>
      <c r="B5555" s="401" t="s">
        <v>3044</v>
      </c>
      <c r="C5555" s="400" t="s">
        <v>408</v>
      </c>
      <c r="D5555" s="400" t="s">
        <v>3045</v>
      </c>
      <c r="E5555" s="605" t="s">
        <v>1039</v>
      </c>
      <c r="F5555" s="605"/>
      <c r="G5555" s="402" t="s">
        <v>4</v>
      </c>
      <c r="H5555" s="403">
        <v>1</v>
      </c>
      <c r="I5555" s="403">
        <v>0</v>
      </c>
      <c r="J5555" s="404">
        <v>7.31</v>
      </c>
      <c r="K5555" s="404">
        <v>7.31</v>
      </c>
    </row>
    <row r="5556" spans="1:11" ht="25.5" customHeight="1" x14ac:dyDescent="0.3">
      <c r="A5556" s="400" t="s">
        <v>1038</v>
      </c>
      <c r="B5556" s="401" t="s">
        <v>3086</v>
      </c>
      <c r="C5556" s="400" t="s">
        <v>408</v>
      </c>
      <c r="D5556" s="400" t="s">
        <v>3087</v>
      </c>
      <c r="E5556" s="605" t="s">
        <v>1039</v>
      </c>
      <c r="F5556" s="605"/>
      <c r="G5556" s="402" t="s">
        <v>7</v>
      </c>
      <c r="H5556" s="403">
        <v>7</v>
      </c>
      <c r="I5556" s="403">
        <v>0</v>
      </c>
      <c r="J5556" s="404">
        <v>40.97</v>
      </c>
      <c r="K5556" s="404">
        <v>286.79000000000002</v>
      </c>
    </row>
    <row r="5557" spans="1:11" ht="25.5" customHeight="1" x14ac:dyDescent="0.3">
      <c r="A5557" s="400" t="s">
        <v>1038</v>
      </c>
      <c r="B5557" s="401" t="s">
        <v>1258</v>
      </c>
      <c r="C5557" s="400" t="s">
        <v>408</v>
      </c>
      <c r="D5557" s="400" t="s">
        <v>1259</v>
      </c>
      <c r="E5557" s="605" t="s">
        <v>1039</v>
      </c>
      <c r="F5557" s="605"/>
      <c r="G5557" s="402" t="s">
        <v>4</v>
      </c>
      <c r="H5557" s="403">
        <v>0.25</v>
      </c>
      <c r="I5557" s="403">
        <v>0</v>
      </c>
      <c r="J5557" s="404">
        <v>8.82</v>
      </c>
      <c r="K5557" s="404">
        <v>2.2050000000000001</v>
      </c>
    </row>
    <row r="5558" spans="1:11" ht="25.5" customHeight="1" x14ac:dyDescent="0.3">
      <c r="A5558" s="400" t="s">
        <v>1038</v>
      </c>
      <c r="B5558" s="401" t="s">
        <v>1042</v>
      </c>
      <c r="C5558" s="400" t="s">
        <v>408</v>
      </c>
      <c r="D5558" s="400" t="s">
        <v>1043</v>
      </c>
      <c r="E5558" s="605" t="s">
        <v>1039</v>
      </c>
      <c r="F5558" s="605"/>
      <c r="G5558" s="402" t="s">
        <v>7</v>
      </c>
      <c r="H5558" s="403">
        <v>2.85</v>
      </c>
      <c r="I5558" s="403">
        <v>0</v>
      </c>
      <c r="J5558" s="404">
        <v>1.31</v>
      </c>
      <c r="K5558" s="404">
        <v>3.7334999999999998</v>
      </c>
    </row>
    <row r="5559" spans="1:11" ht="15" customHeight="1" x14ac:dyDescent="0.3">
      <c r="A5559" s="400" t="s">
        <v>1038</v>
      </c>
      <c r="B5559" s="401" t="s">
        <v>3080</v>
      </c>
      <c r="C5559" s="400" t="s">
        <v>408</v>
      </c>
      <c r="D5559" s="400" t="s">
        <v>3081</v>
      </c>
      <c r="E5559" s="605" t="s">
        <v>1039</v>
      </c>
      <c r="F5559" s="605"/>
      <c r="G5559" s="402" t="s">
        <v>4</v>
      </c>
      <c r="H5559" s="403">
        <v>1</v>
      </c>
      <c r="I5559" s="403">
        <v>0</v>
      </c>
      <c r="J5559" s="404">
        <v>1053.26</v>
      </c>
      <c r="K5559" s="404">
        <v>1053.26</v>
      </c>
    </row>
    <row r="5560" spans="1:11" ht="15" x14ac:dyDescent="0.3">
      <c r="A5560" s="400" t="s">
        <v>1038</v>
      </c>
      <c r="B5560" s="401" t="s">
        <v>3056</v>
      </c>
      <c r="C5560" s="400" t="s">
        <v>408</v>
      </c>
      <c r="D5560" s="400" t="s">
        <v>3057</v>
      </c>
      <c r="E5560" s="605" t="s">
        <v>1039</v>
      </c>
      <c r="F5560" s="605"/>
      <c r="G5560" s="402" t="s">
        <v>7</v>
      </c>
      <c r="H5560" s="403">
        <v>15</v>
      </c>
      <c r="I5560" s="403">
        <v>0</v>
      </c>
      <c r="J5560" s="404">
        <v>2.2000000000000002</v>
      </c>
      <c r="K5560" s="404">
        <v>33</v>
      </c>
    </row>
    <row r="5561" spans="1:11" ht="14.25" customHeight="1" x14ac:dyDescent="0.3">
      <c r="A5561" s="400" t="s">
        <v>1038</v>
      </c>
      <c r="B5561" s="401" t="s">
        <v>3058</v>
      </c>
      <c r="C5561" s="400" t="s">
        <v>408</v>
      </c>
      <c r="D5561" s="400" t="s">
        <v>3059</v>
      </c>
      <c r="E5561" s="605" t="s">
        <v>1039</v>
      </c>
      <c r="F5561" s="605"/>
      <c r="G5561" s="402" t="s">
        <v>7</v>
      </c>
      <c r="H5561" s="403">
        <v>18</v>
      </c>
      <c r="I5561" s="403">
        <v>0</v>
      </c>
      <c r="J5561" s="404">
        <v>5.38</v>
      </c>
      <c r="K5561" s="404">
        <v>96.84</v>
      </c>
    </row>
    <row r="5562" spans="1:11" ht="26.4" x14ac:dyDescent="0.3">
      <c r="A5562" s="400" t="s">
        <v>1038</v>
      </c>
      <c r="B5562" s="401" t="s">
        <v>3042</v>
      </c>
      <c r="C5562" s="400" t="s">
        <v>408</v>
      </c>
      <c r="D5562" s="400" t="s">
        <v>3043</v>
      </c>
      <c r="E5562" s="605" t="s">
        <v>1039</v>
      </c>
      <c r="F5562" s="605"/>
      <c r="G5562" s="402" t="s">
        <v>4</v>
      </c>
      <c r="H5562" s="403">
        <v>1</v>
      </c>
      <c r="I5562" s="403">
        <v>0</v>
      </c>
      <c r="J5562" s="404">
        <v>619.38</v>
      </c>
      <c r="K5562" s="404">
        <v>619.38</v>
      </c>
    </row>
    <row r="5563" spans="1:11" ht="15" customHeight="1" x14ac:dyDescent="0.3">
      <c r="A5563" s="400" t="s">
        <v>1038</v>
      </c>
      <c r="B5563" s="401" t="s">
        <v>3076</v>
      </c>
      <c r="C5563" s="400" t="s">
        <v>408</v>
      </c>
      <c r="D5563" s="400" t="s">
        <v>3077</v>
      </c>
      <c r="E5563" s="605" t="s">
        <v>1039</v>
      </c>
      <c r="F5563" s="605"/>
      <c r="G5563" s="402" t="s">
        <v>4</v>
      </c>
      <c r="H5563" s="403">
        <v>1</v>
      </c>
      <c r="I5563" s="403">
        <v>0</v>
      </c>
      <c r="J5563" s="404">
        <v>20.02</v>
      </c>
      <c r="K5563" s="404">
        <v>20.02</v>
      </c>
    </row>
    <row r="5564" spans="1:11" ht="25.5" customHeight="1" x14ac:dyDescent="0.3">
      <c r="A5564" s="400" t="s">
        <v>1038</v>
      </c>
      <c r="B5564" s="401" t="s">
        <v>3048</v>
      </c>
      <c r="C5564" s="400" t="s">
        <v>408</v>
      </c>
      <c r="D5564" s="400" t="s">
        <v>3049</v>
      </c>
      <c r="E5564" s="605" t="s">
        <v>1039</v>
      </c>
      <c r="F5564" s="605"/>
      <c r="G5564" s="402" t="s">
        <v>4</v>
      </c>
      <c r="H5564" s="403">
        <v>1</v>
      </c>
      <c r="I5564" s="403">
        <v>0</v>
      </c>
      <c r="J5564" s="404">
        <v>19.84</v>
      </c>
      <c r="K5564" s="404">
        <v>19.84</v>
      </c>
    </row>
    <row r="5565" spans="1:11" ht="25.5" customHeight="1" x14ac:dyDescent="0.3">
      <c r="A5565" s="400" t="s">
        <v>1038</v>
      </c>
      <c r="B5565" s="401" t="s">
        <v>3074</v>
      </c>
      <c r="C5565" s="400" t="s">
        <v>408</v>
      </c>
      <c r="D5565" s="400" t="s">
        <v>3075</v>
      </c>
      <c r="E5565" s="605" t="s">
        <v>1039</v>
      </c>
      <c r="F5565" s="605"/>
      <c r="G5565" s="402" t="s">
        <v>4</v>
      </c>
      <c r="H5565" s="403">
        <v>1</v>
      </c>
      <c r="I5565" s="403">
        <v>0</v>
      </c>
      <c r="J5565" s="404">
        <v>218.4</v>
      </c>
      <c r="K5565" s="404">
        <v>218.4</v>
      </c>
    </row>
    <row r="5566" spans="1:11" ht="25.5" customHeight="1" x14ac:dyDescent="0.3">
      <c r="A5566" s="400" t="s">
        <v>1038</v>
      </c>
      <c r="B5566" s="401" t="s">
        <v>3032</v>
      </c>
      <c r="C5566" s="400" t="s">
        <v>408</v>
      </c>
      <c r="D5566" s="400" t="s">
        <v>3033</v>
      </c>
      <c r="E5566" s="605" t="s">
        <v>1039</v>
      </c>
      <c r="F5566" s="605"/>
      <c r="G5566" s="402" t="s">
        <v>4</v>
      </c>
      <c r="H5566" s="403">
        <v>1</v>
      </c>
      <c r="I5566" s="403">
        <v>0</v>
      </c>
      <c r="J5566" s="404">
        <v>10.99</v>
      </c>
      <c r="K5566" s="404">
        <v>10.99</v>
      </c>
    </row>
    <row r="5567" spans="1:11" ht="25.5" customHeight="1" x14ac:dyDescent="0.3">
      <c r="A5567" s="400" t="s">
        <v>1038</v>
      </c>
      <c r="B5567" s="401" t="s">
        <v>3090</v>
      </c>
      <c r="C5567" s="400" t="s">
        <v>408</v>
      </c>
      <c r="D5567" s="400" t="s">
        <v>3091</v>
      </c>
      <c r="E5567" s="605" t="s">
        <v>1039</v>
      </c>
      <c r="F5567" s="605"/>
      <c r="G5567" s="402" t="s">
        <v>7</v>
      </c>
      <c r="H5567" s="403">
        <v>2.5</v>
      </c>
      <c r="I5567" s="403">
        <v>0</v>
      </c>
      <c r="J5567" s="404">
        <v>16.940000000000001</v>
      </c>
      <c r="K5567" s="404">
        <v>42.35</v>
      </c>
    </row>
    <row r="5568" spans="1:11" ht="15" x14ac:dyDescent="0.3">
      <c r="A5568" s="400" t="s">
        <v>1038</v>
      </c>
      <c r="B5568" s="401" t="s">
        <v>1254</v>
      </c>
      <c r="C5568" s="400" t="s">
        <v>408</v>
      </c>
      <c r="D5568" s="400" t="s">
        <v>1255</v>
      </c>
      <c r="E5568" s="605" t="s">
        <v>1039</v>
      </c>
      <c r="F5568" s="605"/>
      <c r="G5568" s="402" t="s">
        <v>4</v>
      </c>
      <c r="H5568" s="403">
        <v>1</v>
      </c>
      <c r="I5568" s="403">
        <v>0</v>
      </c>
      <c r="J5568" s="404">
        <v>1.51</v>
      </c>
      <c r="K5568" s="404">
        <v>1.51</v>
      </c>
    </row>
    <row r="5569" spans="1:11" ht="15" customHeight="1" x14ac:dyDescent="0.3">
      <c r="A5569" s="400" t="s">
        <v>1038</v>
      </c>
      <c r="B5569" s="401" t="s">
        <v>1044</v>
      </c>
      <c r="C5569" s="400" t="s">
        <v>408</v>
      </c>
      <c r="D5569" s="400" t="s">
        <v>1045</v>
      </c>
      <c r="E5569" s="605" t="s">
        <v>1039</v>
      </c>
      <c r="F5569" s="605"/>
      <c r="G5569" s="402" t="s">
        <v>4</v>
      </c>
      <c r="H5569" s="403">
        <v>1</v>
      </c>
      <c r="I5569" s="403">
        <v>0</v>
      </c>
      <c r="J5569" s="404">
        <v>25.99</v>
      </c>
      <c r="K5569" s="404">
        <v>25.99</v>
      </c>
    </row>
    <row r="5570" spans="1:11" ht="12.75" customHeight="1" x14ac:dyDescent="0.3">
      <c r="A5570" s="400" t="s">
        <v>1038</v>
      </c>
      <c r="B5570" s="401" t="s">
        <v>3064</v>
      </c>
      <c r="C5570" s="400" t="s">
        <v>408</v>
      </c>
      <c r="D5570" s="400" t="s">
        <v>3065</v>
      </c>
      <c r="E5570" s="605" t="s">
        <v>1039</v>
      </c>
      <c r="F5570" s="605"/>
      <c r="G5570" s="402" t="s">
        <v>4</v>
      </c>
      <c r="H5570" s="403">
        <v>2</v>
      </c>
      <c r="I5570" s="403">
        <v>0</v>
      </c>
      <c r="J5570" s="404">
        <v>53</v>
      </c>
      <c r="K5570" s="404">
        <v>106</v>
      </c>
    </row>
    <row r="5571" spans="1:11" ht="26.4" x14ac:dyDescent="0.3">
      <c r="A5571" s="400" t="s">
        <v>1038</v>
      </c>
      <c r="B5571" s="401" t="s">
        <v>3038</v>
      </c>
      <c r="C5571" s="400" t="s">
        <v>408</v>
      </c>
      <c r="D5571" s="400" t="s">
        <v>3039</v>
      </c>
      <c r="E5571" s="605" t="s">
        <v>1039</v>
      </c>
      <c r="F5571" s="605"/>
      <c r="G5571" s="402" t="s">
        <v>4</v>
      </c>
      <c r="H5571" s="403">
        <v>1</v>
      </c>
      <c r="I5571" s="403">
        <v>0</v>
      </c>
      <c r="J5571" s="404">
        <v>29.9</v>
      </c>
      <c r="K5571" s="404">
        <v>29.9</v>
      </c>
    </row>
    <row r="5572" spans="1:11" ht="14.25" customHeight="1" x14ac:dyDescent="0.3">
      <c r="A5572" s="400" t="s">
        <v>1038</v>
      </c>
      <c r="B5572" s="401" t="s">
        <v>1504</v>
      </c>
      <c r="C5572" s="400" t="s">
        <v>408</v>
      </c>
      <c r="D5572" s="400" t="s">
        <v>1505</v>
      </c>
      <c r="E5572" s="605" t="s">
        <v>1039</v>
      </c>
      <c r="F5572" s="605"/>
      <c r="G5572" s="402" t="s">
        <v>4</v>
      </c>
      <c r="H5572" s="403">
        <v>1</v>
      </c>
      <c r="I5572" s="403">
        <v>0</v>
      </c>
      <c r="J5572" s="404">
        <v>97.04</v>
      </c>
      <c r="K5572" s="404">
        <v>97.04</v>
      </c>
    </row>
    <row r="5573" spans="1:11" ht="15" customHeight="1" x14ac:dyDescent="0.3">
      <c r="A5573" s="400" t="s">
        <v>1038</v>
      </c>
      <c r="B5573" s="401" t="s">
        <v>3072</v>
      </c>
      <c r="C5573" s="400" t="s">
        <v>408</v>
      </c>
      <c r="D5573" s="400" t="s">
        <v>3073</v>
      </c>
      <c r="E5573" s="605" t="s">
        <v>1039</v>
      </c>
      <c r="F5573" s="605"/>
      <c r="G5573" s="402" t="s">
        <v>4</v>
      </c>
      <c r="H5573" s="403">
        <v>2</v>
      </c>
      <c r="I5573" s="403">
        <v>0</v>
      </c>
      <c r="J5573" s="404">
        <v>4.74</v>
      </c>
      <c r="K5573" s="404">
        <v>9.48</v>
      </c>
    </row>
    <row r="5574" spans="1:11" ht="25.5" customHeight="1" x14ac:dyDescent="0.3">
      <c r="A5574" s="400" t="s">
        <v>1038</v>
      </c>
      <c r="B5574" s="401" t="s">
        <v>3036</v>
      </c>
      <c r="C5574" s="400" t="s">
        <v>408</v>
      </c>
      <c r="D5574" s="400" t="s">
        <v>3037</v>
      </c>
      <c r="E5574" s="605" t="s">
        <v>1039</v>
      </c>
      <c r="F5574" s="605"/>
      <c r="G5574" s="402" t="s">
        <v>4</v>
      </c>
      <c r="H5574" s="403">
        <v>1</v>
      </c>
      <c r="I5574" s="403">
        <v>0</v>
      </c>
      <c r="J5574" s="404">
        <v>289</v>
      </c>
      <c r="K5574" s="404">
        <v>289</v>
      </c>
    </row>
    <row r="5575" spans="1:11" ht="25.5" customHeight="1" x14ac:dyDescent="0.3">
      <c r="A5575" s="400" t="s">
        <v>1038</v>
      </c>
      <c r="B5575" s="401" t="s">
        <v>3054</v>
      </c>
      <c r="C5575" s="400" t="s">
        <v>408</v>
      </c>
      <c r="D5575" s="400" t="s">
        <v>3055</v>
      </c>
      <c r="E5575" s="605" t="s">
        <v>1039</v>
      </c>
      <c r="F5575" s="605"/>
      <c r="G5575" s="402" t="s">
        <v>7</v>
      </c>
      <c r="H5575" s="403">
        <v>6</v>
      </c>
      <c r="I5575" s="403">
        <v>0</v>
      </c>
      <c r="J5575" s="404">
        <v>16.12</v>
      </c>
      <c r="K5575" s="404">
        <v>96.72</v>
      </c>
    </row>
    <row r="5576" spans="1:11" ht="38.25" customHeight="1" x14ac:dyDescent="0.3">
      <c r="A5576" s="400" t="s">
        <v>1038</v>
      </c>
      <c r="B5576" s="401" t="s">
        <v>3040</v>
      </c>
      <c r="C5576" s="400" t="s">
        <v>408</v>
      </c>
      <c r="D5576" s="400" t="s">
        <v>3041</v>
      </c>
      <c r="E5576" s="605" t="s">
        <v>1039</v>
      </c>
      <c r="F5576" s="605"/>
      <c r="G5576" s="402" t="s">
        <v>380</v>
      </c>
      <c r="H5576" s="403">
        <v>3</v>
      </c>
      <c r="I5576" s="403">
        <v>0</v>
      </c>
      <c r="J5576" s="404">
        <v>2.34</v>
      </c>
      <c r="K5576" s="404">
        <v>7.02</v>
      </c>
    </row>
    <row r="5577" spans="1:11" ht="25.5" customHeight="1" x14ac:dyDescent="0.3">
      <c r="A5577" s="400" t="s">
        <v>1038</v>
      </c>
      <c r="B5577" s="401" t="s">
        <v>3050</v>
      </c>
      <c r="C5577" s="400" t="s">
        <v>408</v>
      </c>
      <c r="D5577" s="400" t="s">
        <v>3051</v>
      </c>
      <c r="E5577" s="605" t="s">
        <v>1039</v>
      </c>
      <c r="F5577" s="605"/>
      <c r="G5577" s="402" t="s">
        <v>4</v>
      </c>
      <c r="H5577" s="403">
        <v>4</v>
      </c>
      <c r="I5577" s="403">
        <v>0</v>
      </c>
      <c r="J5577" s="404">
        <v>49.22</v>
      </c>
      <c r="K5577" s="404">
        <v>196.88</v>
      </c>
    </row>
    <row r="5578" spans="1:11" ht="12.75" customHeight="1" x14ac:dyDescent="0.3">
      <c r="A5578" s="400" t="s">
        <v>1038</v>
      </c>
      <c r="B5578" s="401" t="s">
        <v>3092</v>
      </c>
      <c r="C5578" s="400" t="s">
        <v>408</v>
      </c>
      <c r="D5578" s="400" t="s">
        <v>3093</v>
      </c>
      <c r="E5578" s="605" t="s">
        <v>1039</v>
      </c>
      <c r="F5578" s="605"/>
      <c r="G5578" s="402" t="s">
        <v>4</v>
      </c>
      <c r="H5578" s="403">
        <v>1</v>
      </c>
      <c r="I5578" s="403">
        <v>0</v>
      </c>
      <c r="J5578" s="404">
        <v>229.9</v>
      </c>
      <c r="K5578" s="404">
        <v>229.9</v>
      </c>
    </row>
    <row r="5579" spans="1:11" ht="15" x14ac:dyDescent="0.3">
      <c r="A5579" s="400" t="s">
        <v>1038</v>
      </c>
      <c r="B5579" s="401" t="s">
        <v>3078</v>
      </c>
      <c r="C5579" s="400" t="s">
        <v>408</v>
      </c>
      <c r="D5579" s="400" t="s">
        <v>3079</v>
      </c>
      <c r="E5579" s="605" t="s">
        <v>1039</v>
      </c>
      <c r="F5579" s="605"/>
      <c r="G5579" s="402" t="s">
        <v>4</v>
      </c>
      <c r="H5579" s="403">
        <v>1</v>
      </c>
      <c r="I5579" s="403">
        <v>0</v>
      </c>
      <c r="J5579" s="404">
        <v>525.35</v>
      </c>
      <c r="K5579" s="404">
        <v>525.35</v>
      </c>
    </row>
    <row r="5580" spans="1:11" ht="15" customHeight="1" x14ac:dyDescent="0.3">
      <c r="A5580" s="400" t="s">
        <v>1038</v>
      </c>
      <c r="B5580" s="401" t="s">
        <v>3030</v>
      </c>
      <c r="C5580" s="400" t="s">
        <v>408</v>
      </c>
      <c r="D5580" s="400" t="s">
        <v>3031</v>
      </c>
      <c r="E5580" s="605" t="s">
        <v>1039</v>
      </c>
      <c r="F5580" s="605"/>
      <c r="G5580" s="402" t="s">
        <v>4</v>
      </c>
      <c r="H5580" s="403">
        <v>1</v>
      </c>
      <c r="I5580" s="403">
        <v>0</v>
      </c>
      <c r="J5580" s="404">
        <v>138.22</v>
      </c>
      <c r="K5580" s="404">
        <v>138.22</v>
      </c>
    </row>
    <row r="5581" spans="1:11" ht="15" customHeight="1" x14ac:dyDescent="0.3">
      <c r="A5581" s="400" t="s">
        <v>1038</v>
      </c>
      <c r="B5581" s="401" t="s">
        <v>3060</v>
      </c>
      <c r="C5581" s="400" t="s">
        <v>408</v>
      </c>
      <c r="D5581" s="400" t="s">
        <v>3061</v>
      </c>
      <c r="E5581" s="605" t="s">
        <v>1039</v>
      </c>
      <c r="F5581" s="605"/>
      <c r="G5581" s="402" t="s">
        <v>4</v>
      </c>
      <c r="H5581" s="403">
        <v>3</v>
      </c>
      <c r="I5581" s="403">
        <v>0</v>
      </c>
      <c r="J5581" s="404">
        <v>52.44</v>
      </c>
      <c r="K5581" s="404">
        <v>157.32</v>
      </c>
    </row>
    <row r="5582" spans="1:11" ht="15" x14ac:dyDescent="0.3">
      <c r="A5582" s="400" t="s">
        <v>1038</v>
      </c>
      <c r="B5582" s="401" t="s">
        <v>3034</v>
      </c>
      <c r="C5582" s="400" t="s">
        <v>408</v>
      </c>
      <c r="D5582" s="400" t="s">
        <v>3035</v>
      </c>
      <c r="E5582" s="605" t="s">
        <v>1039</v>
      </c>
      <c r="F5582" s="605"/>
      <c r="G5582" s="402" t="s">
        <v>7</v>
      </c>
      <c r="H5582" s="403">
        <v>18</v>
      </c>
      <c r="I5582" s="403">
        <v>0</v>
      </c>
      <c r="J5582" s="404">
        <v>6.32</v>
      </c>
      <c r="K5582" s="404">
        <v>113.76</v>
      </c>
    </row>
    <row r="5583" spans="1:11" ht="14.25" customHeight="1" x14ac:dyDescent="0.3">
      <c r="A5583" s="400" t="s">
        <v>1038</v>
      </c>
      <c r="B5583" s="401" t="s">
        <v>7277</v>
      </c>
      <c r="C5583" s="400" t="s">
        <v>408</v>
      </c>
      <c r="D5583" s="400" t="s">
        <v>7278</v>
      </c>
      <c r="E5583" s="605" t="s">
        <v>1039</v>
      </c>
      <c r="F5583" s="605"/>
      <c r="G5583" s="402" t="s">
        <v>4</v>
      </c>
      <c r="H5583" s="403">
        <v>1</v>
      </c>
      <c r="I5583" s="403">
        <v>0</v>
      </c>
      <c r="J5583" s="404">
        <v>10.79</v>
      </c>
      <c r="K5583" s="404">
        <v>10.79</v>
      </c>
    </row>
    <row r="5584" spans="1:11" ht="15" x14ac:dyDescent="0.3">
      <c r="A5584" s="400" t="s">
        <v>1038</v>
      </c>
      <c r="B5584" s="401" t="s">
        <v>3046</v>
      </c>
      <c r="C5584" s="400" t="s">
        <v>408</v>
      </c>
      <c r="D5584" s="400" t="s">
        <v>3047</v>
      </c>
      <c r="E5584" s="605" t="s">
        <v>1039</v>
      </c>
      <c r="F5584" s="605"/>
      <c r="G5584" s="402" t="s">
        <v>4</v>
      </c>
      <c r="H5584" s="403">
        <v>1</v>
      </c>
      <c r="I5584" s="403">
        <v>0</v>
      </c>
      <c r="J5584" s="404">
        <v>31.9</v>
      </c>
      <c r="K5584" s="404">
        <v>31.9</v>
      </c>
    </row>
    <row r="5585" spans="1:11" ht="15" customHeight="1" x14ac:dyDescent="0.3">
      <c r="A5585" s="400" t="s">
        <v>1038</v>
      </c>
      <c r="B5585" s="401" t="s">
        <v>3068</v>
      </c>
      <c r="C5585" s="400" t="s">
        <v>408</v>
      </c>
      <c r="D5585" s="400" t="s">
        <v>3069</v>
      </c>
      <c r="E5585" s="605" t="s">
        <v>1039</v>
      </c>
      <c r="F5585" s="605"/>
      <c r="G5585" s="402" t="s">
        <v>4</v>
      </c>
      <c r="H5585" s="403">
        <v>1</v>
      </c>
      <c r="I5585" s="403">
        <v>0</v>
      </c>
      <c r="J5585" s="404">
        <v>11.99</v>
      </c>
      <c r="K5585" s="404">
        <v>11.99</v>
      </c>
    </row>
    <row r="5586" spans="1:11" ht="25.5" customHeight="1" x14ac:dyDescent="0.3">
      <c r="A5586" s="400" t="s">
        <v>1038</v>
      </c>
      <c r="B5586" s="401" t="s">
        <v>3070</v>
      </c>
      <c r="C5586" s="400" t="s">
        <v>408</v>
      </c>
      <c r="D5586" s="400" t="s">
        <v>3071</v>
      </c>
      <c r="E5586" s="605" t="s">
        <v>1039</v>
      </c>
      <c r="F5586" s="605"/>
      <c r="G5586" s="402" t="s">
        <v>4</v>
      </c>
      <c r="H5586" s="403">
        <v>2</v>
      </c>
      <c r="I5586" s="403">
        <v>0</v>
      </c>
      <c r="J5586" s="404">
        <v>9.3000000000000007</v>
      </c>
      <c r="K5586" s="404">
        <v>18.600000000000001</v>
      </c>
    </row>
    <row r="5587" spans="1:11" ht="14.25" customHeight="1" x14ac:dyDescent="0.3">
      <c r="A5587" s="400" t="s">
        <v>1038</v>
      </c>
      <c r="B5587" s="401" t="s">
        <v>3066</v>
      </c>
      <c r="C5587" s="400" t="s">
        <v>408</v>
      </c>
      <c r="D5587" s="400" t="s">
        <v>3067</v>
      </c>
      <c r="E5587" s="605" t="s">
        <v>1039</v>
      </c>
      <c r="F5587" s="605"/>
      <c r="G5587" s="402" t="s">
        <v>4</v>
      </c>
      <c r="H5587" s="403">
        <v>4</v>
      </c>
      <c r="I5587" s="403">
        <v>0</v>
      </c>
      <c r="J5587" s="404">
        <v>7.39</v>
      </c>
      <c r="K5587" s="404">
        <v>29.56</v>
      </c>
    </row>
    <row r="5588" spans="1:11" ht="25.5" customHeight="1" x14ac:dyDescent="0.3">
      <c r="A5588" s="400" t="s">
        <v>1038</v>
      </c>
      <c r="B5588" s="401" t="s">
        <v>3062</v>
      </c>
      <c r="C5588" s="400" t="s">
        <v>408</v>
      </c>
      <c r="D5588" s="400" t="s">
        <v>3063</v>
      </c>
      <c r="E5588" s="605" t="s">
        <v>1039</v>
      </c>
      <c r="F5588" s="605"/>
      <c r="G5588" s="402" t="s">
        <v>4</v>
      </c>
      <c r="H5588" s="403">
        <v>1</v>
      </c>
      <c r="I5588" s="403">
        <v>0</v>
      </c>
      <c r="J5588" s="404">
        <v>6.24</v>
      </c>
      <c r="K5588" s="404">
        <v>6.24</v>
      </c>
    </row>
    <row r="5589" spans="1:11" ht="25.5" customHeight="1" x14ac:dyDescent="0.3">
      <c r="A5589" s="400" t="s">
        <v>1038</v>
      </c>
      <c r="B5589" s="401" t="s">
        <v>6301</v>
      </c>
      <c r="C5589" s="400" t="s">
        <v>408</v>
      </c>
      <c r="D5589" s="400" t="s">
        <v>6302</v>
      </c>
      <c r="E5589" s="605" t="s">
        <v>1053</v>
      </c>
      <c r="F5589" s="605"/>
      <c r="G5589" s="402" t="s">
        <v>6</v>
      </c>
      <c r="H5589" s="403">
        <v>19.984000000000002</v>
      </c>
      <c r="I5589" s="403">
        <v>0</v>
      </c>
      <c r="J5589" s="404">
        <v>21.59</v>
      </c>
      <c r="K5589" s="404">
        <v>431.45456000000001</v>
      </c>
    </row>
    <row r="5590" spans="1:11" ht="15" customHeight="1" x14ac:dyDescent="0.3">
      <c r="A5590" s="400" t="s">
        <v>1038</v>
      </c>
      <c r="B5590" s="401" t="s">
        <v>6536</v>
      </c>
      <c r="C5590" s="400" t="s">
        <v>408</v>
      </c>
      <c r="D5590" s="400" t="s">
        <v>1464</v>
      </c>
      <c r="E5590" s="605" t="s">
        <v>1053</v>
      </c>
      <c r="F5590" s="605"/>
      <c r="G5590" s="402" t="s">
        <v>6</v>
      </c>
      <c r="H5590" s="403">
        <v>5.9530000000000003</v>
      </c>
      <c r="I5590" s="403">
        <v>0</v>
      </c>
      <c r="J5590" s="404">
        <v>28.35</v>
      </c>
      <c r="K5590" s="404">
        <v>168.76755</v>
      </c>
    </row>
    <row r="5591" spans="1:11" ht="12.75" customHeight="1" x14ac:dyDescent="0.3">
      <c r="A5591" s="400" t="s">
        <v>1038</v>
      </c>
      <c r="B5591" s="401" t="s">
        <v>6235</v>
      </c>
      <c r="C5591" s="400" t="s">
        <v>408</v>
      </c>
      <c r="D5591" s="400" t="s">
        <v>6236</v>
      </c>
      <c r="E5591" s="605" t="s">
        <v>1053</v>
      </c>
      <c r="F5591" s="605"/>
      <c r="G5591" s="402" t="s">
        <v>6</v>
      </c>
      <c r="H5591" s="403">
        <v>15.731999999999999</v>
      </c>
      <c r="I5591" s="403">
        <v>0</v>
      </c>
      <c r="J5591" s="404">
        <v>28.35</v>
      </c>
      <c r="K5591" s="404">
        <v>446.00220000000002</v>
      </c>
    </row>
    <row r="5592" spans="1:11" ht="12.75" customHeight="1" x14ac:dyDescent="0.3">
      <c r="A5592" s="400" t="s">
        <v>1038</v>
      </c>
      <c r="B5592" s="401" t="s">
        <v>6207</v>
      </c>
      <c r="C5592" s="400" t="s">
        <v>408</v>
      </c>
      <c r="D5592" s="400" t="s">
        <v>1093</v>
      </c>
      <c r="E5592" s="605" t="s">
        <v>1053</v>
      </c>
      <c r="F5592" s="605"/>
      <c r="G5592" s="402" t="s">
        <v>6</v>
      </c>
      <c r="H5592" s="403">
        <v>13.394</v>
      </c>
      <c r="I5592" s="403">
        <v>0</v>
      </c>
      <c r="J5592" s="404">
        <v>30.51</v>
      </c>
      <c r="K5592" s="404">
        <v>408.65093999999999</v>
      </c>
    </row>
    <row r="5593" spans="1:11" ht="15" x14ac:dyDescent="0.3">
      <c r="A5593" s="400" t="s">
        <v>1038</v>
      </c>
      <c r="B5593" s="401" t="s">
        <v>6196</v>
      </c>
      <c r="C5593" s="400" t="s">
        <v>408</v>
      </c>
      <c r="D5593" s="400" t="s">
        <v>1139</v>
      </c>
      <c r="E5593" s="605" t="s">
        <v>1053</v>
      </c>
      <c r="F5593" s="605"/>
      <c r="G5593" s="402" t="s">
        <v>6</v>
      </c>
      <c r="H5593" s="403">
        <v>15.731999999999999</v>
      </c>
      <c r="I5593" s="403">
        <v>0</v>
      </c>
      <c r="J5593" s="404">
        <v>21.59</v>
      </c>
      <c r="K5593" s="404">
        <v>339.65388000000002</v>
      </c>
    </row>
    <row r="5594" spans="1:11" ht="15" customHeight="1" x14ac:dyDescent="0.3">
      <c r="A5594" s="400" t="s">
        <v>1038</v>
      </c>
      <c r="B5594" s="401" t="s">
        <v>6167</v>
      </c>
      <c r="C5594" s="400" t="s">
        <v>408</v>
      </c>
      <c r="D5594" s="400" t="s">
        <v>1466</v>
      </c>
      <c r="E5594" s="605" t="s">
        <v>1053</v>
      </c>
      <c r="F5594" s="605"/>
      <c r="G5594" s="402" t="s">
        <v>6</v>
      </c>
      <c r="H5594" s="403">
        <v>28.062000000000001</v>
      </c>
      <c r="I5594" s="403">
        <v>0</v>
      </c>
      <c r="J5594" s="404">
        <v>20.48</v>
      </c>
      <c r="K5594" s="404">
        <v>574.70975999999996</v>
      </c>
    </row>
    <row r="5595" spans="1:11" ht="14.25" customHeight="1" x14ac:dyDescent="0.3">
      <c r="A5595" s="405"/>
      <c r="B5595" s="405"/>
      <c r="C5595" s="405"/>
      <c r="D5595" s="405"/>
      <c r="E5595" s="405" t="s">
        <v>1046</v>
      </c>
      <c r="F5595" s="406">
        <v>2369.23</v>
      </c>
      <c r="G5595" s="405" t="s">
        <v>1047</v>
      </c>
      <c r="H5595" s="406">
        <v>0</v>
      </c>
      <c r="I5595" s="405" t="s">
        <v>1048</v>
      </c>
      <c r="J5595" s="406">
        <v>2369.23</v>
      </c>
      <c r="K5595"/>
    </row>
    <row r="5596" spans="1:11" ht="38.25" customHeight="1" thickBot="1" x14ac:dyDescent="0.35">
      <c r="A5596" s="405"/>
      <c r="B5596" s="405"/>
      <c r="C5596" s="405"/>
      <c r="D5596" s="405"/>
      <c r="E5596" s="405" t="s">
        <v>1049</v>
      </c>
      <c r="F5596" s="406">
        <v>0</v>
      </c>
      <c r="G5596" s="405"/>
      <c r="H5596" s="606"/>
      <c r="I5596" s="606" t="s">
        <v>1050</v>
      </c>
      <c r="J5596" s="406">
        <v>9881.1</v>
      </c>
      <c r="K5596"/>
    </row>
    <row r="5597" spans="1:11" ht="25.5" customHeight="1" thickTop="1" x14ac:dyDescent="0.3">
      <c r="A5597" s="407"/>
      <c r="B5597" s="407"/>
      <c r="C5597" s="407"/>
      <c r="D5597" s="407"/>
      <c r="E5597" s="407"/>
      <c r="F5597" s="407"/>
      <c r="G5597" s="407"/>
      <c r="H5597" s="407"/>
      <c r="I5597" s="407"/>
      <c r="J5597" s="407"/>
      <c r="K5597" s="407"/>
    </row>
    <row r="5598" spans="1:11" ht="15" customHeight="1" x14ac:dyDescent="0.3">
      <c r="A5598" s="382" t="s">
        <v>3392</v>
      </c>
      <c r="B5598" s="312" t="s">
        <v>413</v>
      </c>
      <c r="C5598" s="382" t="s">
        <v>414</v>
      </c>
      <c r="D5598" s="382" t="s">
        <v>415</v>
      </c>
      <c r="E5598" s="586" t="s">
        <v>1029</v>
      </c>
      <c r="F5598" s="586"/>
      <c r="G5598" s="383" t="s">
        <v>416</v>
      </c>
      <c r="H5598" s="312" t="s">
        <v>1030</v>
      </c>
      <c r="I5598" s="312" t="s">
        <v>3016</v>
      </c>
      <c r="J5598" s="312" t="s">
        <v>1031</v>
      </c>
      <c r="K5598" s="312" t="s">
        <v>1032</v>
      </c>
    </row>
    <row r="5599" spans="1:11" ht="38.25" customHeight="1" x14ac:dyDescent="0.3">
      <c r="A5599" s="313" t="s">
        <v>1033</v>
      </c>
      <c r="B5599" s="315" t="s">
        <v>2933</v>
      </c>
      <c r="C5599" s="313" t="s">
        <v>408</v>
      </c>
      <c r="D5599" s="313" t="s">
        <v>2630</v>
      </c>
      <c r="E5599" s="603" t="s">
        <v>3029</v>
      </c>
      <c r="F5599" s="603"/>
      <c r="G5599" s="314" t="s">
        <v>675</v>
      </c>
      <c r="H5599" s="399">
        <v>1</v>
      </c>
      <c r="I5599" s="316"/>
      <c r="J5599" s="316">
        <v>1465.2</v>
      </c>
      <c r="K5599" s="316">
        <v>1465.2</v>
      </c>
    </row>
    <row r="5600" spans="1:11" ht="14.25" customHeight="1" x14ac:dyDescent="0.3">
      <c r="A5600" s="400" t="s">
        <v>1038</v>
      </c>
      <c r="B5600" s="401" t="s">
        <v>1293</v>
      </c>
      <c r="C5600" s="400" t="s">
        <v>408</v>
      </c>
      <c r="D5600" s="400" t="s">
        <v>1294</v>
      </c>
      <c r="E5600" s="605" t="s">
        <v>1039</v>
      </c>
      <c r="F5600" s="605"/>
      <c r="G5600" s="402" t="s">
        <v>7</v>
      </c>
      <c r="H5600" s="403">
        <v>16.3</v>
      </c>
      <c r="I5600" s="403">
        <v>0</v>
      </c>
      <c r="J5600" s="404">
        <v>8.1199999999999992</v>
      </c>
      <c r="K5600" s="404">
        <v>132.35599999999999</v>
      </c>
    </row>
    <row r="5601" spans="1:11" ht="25.5" customHeight="1" x14ac:dyDescent="0.3">
      <c r="A5601" s="400" t="s">
        <v>1038</v>
      </c>
      <c r="B5601" s="401" t="s">
        <v>1295</v>
      </c>
      <c r="C5601" s="400" t="s">
        <v>408</v>
      </c>
      <c r="D5601" s="400" t="s">
        <v>1296</v>
      </c>
      <c r="E5601" s="605" t="s">
        <v>1039</v>
      </c>
      <c r="F5601" s="605"/>
      <c r="G5601" s="402" t="s">
        <v>3</v>
      </c>
      <c r="H5601" s="403">
        <v>0.2</v>
      </c>
      <c r="I5601" s="403">
        <v>0</v>
      </c>
      <c r="J5601" s="404">
        <v>32.380000000000003</v>
      </c>
      <c r="K5601" s="404">
        <v>6.476</v>
      </c>
    </row>
    <row r="5602" spans="1:11" ht="15" x14ac:dyDescent="0.3">
      <c r="A5602" s="400" t="s">
        <v>1038</v>
      </c>
      <c r="B5602" s="401" t="s">
        <v>3104</v>
      </c>
      <c r="C5602" s="400" t="s">
        <v>408</v>
      </c>
      <c r="D5602" s="400" t="s">
        <v>3105</v>
      </c>
      <c r="E5602" s="605" t="s">
        <v>1039</v>
      </c>
      <c r="F5602" s="605"/>
      <c r="G5602" s="402" t="s">
        <v>3</v>
      </c>
      <c r="H5602" s="403">
        <v>17.309999999999999</v>
      </c>
      <c r="I5602" s="403">
        <v>0</v>
      </c>
      <c r="J5602" s="404">
        <v>10.74</v>
      </c>
      <c r="K5602" s="404">
        <v>185.90940000000001</v>
      </c>
    </row>
    <row r="5603" spans="1:11" ht="12.75" customHeight="1" x14ac:dyDescent="0.3">
      <c r="A5603" s="400" t="s">
        <v>1038</v>
      </c>
      <c r="B5603" s="401" t="s">
        <v>1443</v>
      </c>
      <c r="C5603" s="400" t="s">
        <v>408</v>
      </c>
      <c r="D5603" s="400" t="s">
        <v>1444</v>
      </c>
      <c r="E5603" s="605" t="s">
        <v>1039</v>
      </c>
      <c r="F5603" s="605"/>
      <c r="G5603" s="402" t="s">
        <v>3</v>
      </c>
      <c r="H5603" s="403">
        <v>0.18</v>
      </c>
      <c r="I5603" s="403">
        <v>0</v>
      </c>
      <c r="J5603" s="404">
        <v>39.44</v>
      </c>
      <c r="K5603" s="404">
        <v>7.0991999999999997</v>
      </c>
    </row>
    <row r="5604" spans="1:11" ht="12.75" customHeight="1" x14ac:dyDescent="0.3">
      <c r="A5604" s="400" t="s">
        <v>1038</v>
      </c>
      <c r="B5604" s="401" t="s">
        <v>3108</v>
      </c>
      <c r="C5604" s="400" t="s">
        <v>408</v>
      </c>
      <c r="D5604" s="400" t="s">
        <v>3109</v>
      </c>
      <c r="E5604" s="605" t="s">
        <v>1039</v>
      </c>
      <c r="F5604" s="605"/>
      <c r="G5604" s="402" t="s">
        <v>8</v>
      </c>
      <c r="H5604" s="403">
        <v>0.36199999999999999</v>
      </c>
      <c r="I5604" s="403">
        <v>0</v>
      </c>
      <c r="J5604" s="404">
        <v>45.8</v>
      </c>
      <c r="K5604" s="404">
        <v>16.579599999999999</v>
      </c>
    </row>
    <row r="5605" spans="1:11" ht="15" x14ac:dyDescent="0.3">
      <c r="A5605" s="400" t="s">
        <v>1038</v>
      </c>
      <c r="B5605" s="401" t="s">
        <v>3106</v>
      </c>
      <c r="C5605" s="400" t="s">
        <v>408</v>
      </c>
      <c r="D5605" s="400" t="s">
        <v>3107</v>
      </c>
      <c r="E5605" s="605" t="s">
        <v>1039</v>
      </c>
      <c r="F5605" s="605"/>
      <c r="G5605" s="402" t="s">
        <v>4</v>
      </c>
      <c r="H5605" s="403">
        <v>0.19600000000000001</v>
      </c>
      <c r="I5605" s="403">
        <v>0</v>
      </c>
      <c r="J5605" s="404">
        <v>179.9</v>
      </c>
      <c r="K5605" s="404">
        <v>35.260399999999997</v>
      </c>
    </row>
    <row r="5606" spans="1:11" ht="14.25" customHeight="1" x14ac:dyDescent="0.3">
      <c r="A5606" s="400" t="s">
        <v>1038</v>
      </c>
      <c r="B5606" s="401" t="s">
        <v>6434</v>
      </c>
      <c r="C5606" s="400" t="s">
        <v>408</v>
      </c>
      <c r="D5606" s="400" t="s">
        <v>6435</v>
      </c>
      <c r="E5606" s="605" t="s">
        <v>1053</v>
      </c>
      <c r="F5606" s="605"/>
      <c r="G5606" s="402" t="s">
        <v>6</v>
      </c>
      <c r="H5606" s="403">
        <v>9.1419999999999995</v>
      </c>
      <c r="I5606" s="403">
        <v>0</v>
      </c>
      <c r="J5606" s="404">
        <v>28.35</v>
      </c>
      <c r="K5606" s="404">
        <v>259.17570000000001</v>
      </c>
    </row>
    <row r="5607" spans="1:11" ht="15" customHeight="1" x14ac:dyDescent="0.3">
      <c r="A5607" s="400" t="s">
        <v>1038</v>
      </c>
      <c r="B5607" s="401" t="s">
        <v>6285</v>
      </c>
      <c r="C5607" s="400" t="s">
        <v>408</v>
      </c>
      <c r="D5607" s="400" t="s">
        <v>1566</v>
      </c>
      <c r="E5607" s="605" t="s">
        <v>1053</v>
      </c>
      <c r="F5607" s="605"/>
      <c r="G5607" s="402" t="s">
        <v>6</v>
      </c>
      <c r="H5607" s="403">
        <v>10.842000000000001</v>
      </c>
      <c r="I5607" s="403">
        <v>0</v>
      </c>
      <c r="J5607" s="404">
        <v>21.59</v>
      </c>
      <c r="K5607" s="404">
        <v>234.07877999999999</v>
      </c>
    </row>
    <row r="5608" spans="1:11" ht="25.5" customHeight="1" x14ac:dyDescent="0.3">
      <c r="A5608" s="400" t="s">
        <v>1038</v>
      </c>
      <c r="B5608" s="401" t="s">
        <v>6327</v>
      </c>
      <c r="C5608" s="400" t="s">
        <v>408</v>
      </c>
      <c r="D5608" s="400" t="s">
        <v>6328</v>
      </c>
      <c r="E5608" s="605" t="s">
        <v>1053</v>
      </c>
      <c r="F5608" s="605"/>
      <c r="G5608" s="402" t="s">
        <v>6</v>
      </c>
      <c r="H5608" s="403">
        <v>5.23</v>
      </c>
      <c r="I5608" s="403">
        <v>0</v>
      </c>
      <c r="J5608" s="404">
        <v>28.35</v>
      </c>
      <c r="K5608" s="404">
        <v>148.2705</v>
      </c>
    </row>
    <row r="5609" spans="1:11" ht="25.5" customHeight="1" x14ac:dyDescent="0.3">
      <c r="A5609" s="400" t="s">
        <v>1038</v>
      </c>
      <c r="B5609" s="401" t="s">
        <v>6354</v>
      </c>
      <c r="C5609" s="400" t="s">
        <v>408</v>
      </c>
      <c r="D5609" s="400" t="s">
        <v>6355</v>
      </c>
      <c r="E5609" s="605" t="s">
        <v>1053</v>
      </c>
      <c r="F5609" s="605"/>
      <c r="G5609" s="402" t="s">
        <v>6</v>
      </c>
      <c r="H5609" s="403">
        <v>15.52</v>
      </c>
      <c r="I5609" s="403">
        <v>0</v>
      </c>
      <c r="J5609" s="404">
        <v>28.35</v>
      </c>
      <c r="K5609" s="404">
        <v>439.99200000000002</v>
      </c>
    </row>
    <row r="5610" spans="1:11" ht="38.25" customHeight="1" x14ac:dyDescent="0.3">
      <c r="A5610" s="405"/>
      <c r="B5610" s="405"/>
      <c r="C5610" s="405"/>
      <c r="D5610" s="405"/>
      <c r="E5610" s="405" t="s">
        <v>1046</v>
      </c>
      <c r="F5610" s="406">
        <v>1081.52</v>
      </c>
      <c r="G5610" s="405" t="s">
        <v>1047</v>
      </c>
      <c r="H5610" s="406">
        <v>0</v>
      </c>
      <c r="I5610" s="405" t="s">
        <v>1048</v>
      </c>
      <c r="J5610" s="406">
        <v>1081.52</v>
      </c>
      <c r="K5610"/>
    </row>
    <row r="5611" spans="1:11" ht="15" customHeight="1" thickBot="1" x14ac:dyDescent="0.35">
      <c r="A5611" s="405"/>
      <c r="B5611" s="405"/>
      <c r="C5611" s="405"/>
      <c r="D5611" s="405"/>
      <c r="E5611" s="405" t="s">
        <v>1049</v>
      </c>
      <c r="F5611" s="406">
        <v>0</v>
      </c>
      <c r="G5611" s="405"/>
      <c r="H5611" s="606"/>
      <c r="I5611" s="606" t="s">
        <v>1050</v>
      </c>
      <c r="J5611" s="406">
        <v>1465.2</v>
      </c>
      <c r="K5611"/>
    </row>
    <row r="5612" spans="1:11" ht="25.5" customHeight="1" thickTop="1" x14ac:dyDescent="0.3">
      <c r="A5612" s="407"/>
      <c r="B5612" s="407"/>
      <c r="C5612" s="407"/>
      <c r="D5612" s="407"/>
      <c r="E5612" s="407"/>
      <c r="F5612" s="407"/>
      <c r="G5612" s="407"/>
      <c r="H5612" s="407"/>
      <c r="I5612" s="407"/>
      <c r="J5612" s="407"/>
      <c r="K5612" s="407"/>
    </row>
    <row r="5613" spans="1:11" ht="14.25" customHeight="1" x14ac:dyDescent="0.3">
      <c r="A5613" s="382" t="s">
        <v>3393</v>
      </c>
      <c r="B5613" s="312" t="s">
        <v>413</v>
      </c>
      <c r="C5613" s="382" t="s">
        <v>414</v>
      </c>
      <c r="D5613" s="382" t="s">
        <v>415</v>
      </c>
      <c r="E5613" s="586" t="s">
        <v>1029</v>
      </c>
      <c r="F5613" s="586"/>
      <c r="G5613" s="383" t="s">
        <v>416</v>
      </c>
      <c r="H5613" s="312" t="s">
        <v>1030</v>
      </c>
      <c r="I5613" s="312" t="s">
        <v>3016</v>
      </c>
      <c r="J5613" s="312" t="s">
        <v>1031</v>
      </c>
      <c r="K5613" s="312" t="s">
        <v>1032</v>
      </c>
    </row>
    <row r="5614" spans="1:11" ht="12.75" customHeight="1" x14ac:dyDescent="0.3">
      <c r="A5614" s="313" t="s">
        <v>1033</v>
      </c>
      <c r="B5614" s="315" t="s">
        <v>901</v>
      </c>
      <c r="C5614" s="313" t="s">
        <v>408</v>
      </c>
      <c r="D5614" s="313" t="s">
        <v>463</v>
      </c>
      <c r="E5614" s="603" t="s">
        <v>2262</v>
      </c>
      <c r="F5614" s="603"/>
      <c r="G5614" s="314" t="s">
        <v>4</v>
      </c>
      <c r="H5614" s="399">
        <v>1</v>
      </c>
      <c r="I5614" s="316"/>
      <c r="J5614" s="316">
        <v>2227.2199999999998</v>
      </c>
      <c r="K5614" s="316">
        <v>2227.2199999999998</v>
      </c>
    </row>
    <row r="5615" spans="1:11" ht="30" customHeight="1" x14ac:dyDescent="0.3">
      <c r="A5615" s="408" t="s">
        <v>1034</v>
      </c>
      <c r="B5615" s="409" t="s">
        <v>1153</v>
      </c>
      <c r="C5615" s="408" t="s">
        <v>395</v>
      </c>
      <c r="D5615" s="408" t="s">
        <v>125</v>
      </c>
      <c r="E5615" s="604" t="s">
        <v>7768</v>
      </c>
      <c r="F5615" s="604"/>
      <c r="G5615" s="410" t="s">
        <v>6</v>
      </c>
      <c r="H5615" s="412">
        <v>3.2</v>
      </c>
      <c r="I5615" s="412">
        <v>0</v>
      </c>
      <c r="J5615" s="411">
        <v>34.17</v>
      </c>
      <c r="K5615" s="411">
        <v>109.34399999999999</v>
      </c>
    </row>
    <row r="5616" spans="1:11" ht="30" customHeight="1" x14ac:dyDescent="0.3">
      <c r="A5616" s="408" t="s">
        <v>1034</v>
      </c>
      <c r="B5616" s="409" t="s">
        <v>1152</v>
      </c>
      <c r="C5616" s="408" t="s">
        <v>395</v>
      </c>
      <c r="D5616" s="408" t="s">
        <v>136</v>
      </c>
      <c r="E5616" s="604" t="s">
        <v>7768</v>
      </c>
      <c r="F5616" s="604"/>
      <c r="G5616" s="410" t="s">
        <v>6</v>
      </c>
      <c r="H5616" s="412">
        <v>3.2</v>
      </c>
      <c r="I5616" s="412">
        <v>0</v>
      </c>
      <c r="J5616" s="411">
        <v>46.31</v>
      </c>
      <c r="K5616" s="411">
        <v>148.19200000000001</v>
      </c>
    </row>
    <row r="5617" spans="1:11" ht="12.75" customHeight="1" x14ac:dyDescent="0.3">
      <c r="A5617" s="400" t="s">
        <v>1038</v>
      </c>
      <c r="B5617" s="401" t="s">
        <v>1154</v>
      </c>
      <c r="C5617" s="400" t="s">
        <v>408</v>
      </c>
      <c r="D5617" s="400" t="s">
        <v>1155</v>
      </c>
      <c r="E5617" s="605" t="s">
        <v>1039</v>
      </c>
      <c r="F5617" s="605"/>
      <c r="G5617" s="402" t="s">
        <v>4</v>
      </c>
      <c r="H5617" s="403">
        <v>1</v>
      </c>
      <c r="I5617" s="403">
        <v>0</v>
      </c>
      <c r="J5617" s="404">
        <v>1969.68</v>
      </c>
      <c r="K5617" s="404">
        <v>1969.68</v>
      </c>
    </row>
    <row r="5618" spans="1:11" ht="14.25" customHeight="1" x14ac:dyDescent="0.3">
      <c r="A5618" s="405"/>
      <c r="B5618" s="405"/>
      <c r="C5618" s="405"/>
      <c r="D5618" s="405"/>
      <c r="E5618" s="405" t="s">
        <v>1046</v>
      </c>
      <c r="F5618" s="406">
        <v>191.84</v>
      </c>
      <c r="G5618" s="405" t="s">
        <v>1047</v>
      </c>
      <c r="H5618" s="406">
        <v>0</v>
      </c>
      <c r="I5618" s="405" t="s">
        <v>1048</v>
      </c>
      <c r="J5618" s="406">
        <v>191.84</v>
      </c>
      <c r="K5618"/>
    </row>
    <row r="5619" spans="1:11" ht="25.5" customHeight="1" thickBot="1" x14ac:dyDescent="0.35">
      <c r="A5619" s="405"/>
      <c r="B5619" s="405"/>
      <c r="C5619" s="405"/>
      <c r="D5619" s="405"/>
      <c r="E5619" s="405" t="s">
        <v>1049</v>
      </c>
      <c r="F5619" s="406">
        <v>0</v>
      </c>
      <c r="G5619" s="405"/>
      <c r="H5619" s="606"/>
      <c r="I5619" s="606" t="s">
        <v>1050</v>
      </c>
      <c r="J5619" s="406">
        <v>2227.2199999999998</v>
      </c>
      <c r="K5619"/>
    </row>
    <row r="5620" spans="1:11" ht="15" customHeight="1" thickTop="1" x14ac:dyDescent="0.3">
      <c r="A5620" s="407"/>
      <c r="B5620" s="407"/>
      <c r="C5620" s="407"/>
      <c r="D5620" s="407"/>
      <c r="E5620" s="407"/>
      <c r="F5620" s="407"/>
      <c r="G5620" s="407"/>
      <c r="H5620" s="407"/>
      <c r="I5620" s="407"/>
      <c r="J5620" s="407"/>
      <c r="K5620" s="407"/>
    </row>
    <row r="5621" spans="1:11" ht="15" x14ac:dyDescent="0.3">
      <c r="A5621" s="382" t="s">
        <v>3394</v>
      </c>
      <c r="B5621" s="312" t="s">
        <v>413</v>
      </c>
      <c r="C5621" s="382" t="s">
        <v>414</v>
      </c>
      <c r="D5621" s="382" t="s">
        <v>415</v>
      </c>
      <c r="E5621" s="586" t="s">
        <v>1029</v>
      </c>
      <c r="F5621" s="586"/>
      <c r="G5621" s="383" t="s">
        <v>416</v>
      </c>
      <c r="H5621" s="312" t="s">
        <v>1030</v>
      </c>
      <c r="I5621" s="312" t="s">
        <v>3016</v>
      </c>
      <c r="J5621" s="312" t="s">
        <v>1031</v>
      </c>
      <c r="K5621" s="312" t="s">
        <v>1032</v>
      </c>
    </row>
    <row r="5622" spans="1:11" ht="38.25" customHeight="1" x14ac:dyDescent="0.3">
      <c r="A5622" s="313" t="s">
        <v>1033</v>
      </c>
      <c r="B5622" s="315" t="s">
        <v>2949</v>
      </c>
      <c r="C5622" s="313" t="s">
        <v>408</v>
      </c>
      <c r="D5622" s="313" t="s">
        <v>2709</v>
      </c>
      <c r="E5622" s="603" t="s">
        <v>3157</v>
      </c>
      <c r="F5622" s="603"/>
      <c r="G5622" s="314" t="s">
        <v>4</v>
      </c>
      <c r="H5622" s="399">
        <v>1</v>
      </c>
      <c r="I5622" s="316"/>
      <c r="J5622" s="316">
        <v>365.66</v>
      </c>
      <c r="K5622" s="316">
        <v>365.66</v>
      </c>
    </row>
    <row r="5623" spans="1:11" ht="25.5" customHeight="1" x14ac:dyDescent="0.3">
      <c r="A5623" s="400" t="s">
        <v>1038</v>
      </c>
      <c r="B5623" s="401" t="s">
        <v>3158</v>
      </c>
      <c r="C5623" s="400" t="s">
        <v>408</v>
      </c>
      <c r="D5623" s="400" t="s">
        <v>3159</v>
      </c>
      <c r="E5623" s="605" t="s">
        <v>1039</v>
      </c>
      <c r="F5623" s="605"/>
      <c r="G5623" s="402" t="s">
        <v>4</v>
      </c>
      <c r="H5623" s="403">
        <v>1</v>
      </c>
      <c r="I5623" s="403">
        <v>0</v>
      </c>
      <c r="J5623" s="404">
        <v>325.8</v>
      </c>
      <c r="K5623" s="404">
        <v>325.8</v>
      </c>
    </row>
    <row r="5624" spans="1:11" ht="15" customHeight="1" x14ac:dyDescent="0.3">
      <c r="A5624" s="400" t="s">
        <v>1038</v>
      </c>
      <c r="B5624" s="401" t="s">
        <v>6207</v>
      </c>
      <c r="C5624" s="400" t="s">
        <v>408</v>
      </c>
      <c r="D5624" s="400" t="s">
        <v>1093</v>
      </c>
      <c r="E5624" s="605" t="s">
        <v>1053</v>
      </c>
      <c r="F5624" s="605"/>
      <c r="G5624" s="402" t="s">
        <v>6</v>
      </c>
      <c r="H5624" s="403">
        <v>0.76500000000000001</v>
      </c>
      <c r="I5624" s="403">
        <v>0</v>
      </c>
      <c r="J5624" s="404">
        <v>30.51</v>
      </c>
      <c r="K5624" s="404">
        <v>23.340150000000001</v>
      </c>
    </row>
    <row r="5625" spans="1:11" ht="12.75" customHeight="1" x14ac:dyDescent="0.3">
      <c r="A5625" s="400" t="s">
        <v>1038</v>
      </c>
      <c r="B5625" s="401" t="s">
        <v>6196</v>
      </c>
      <c r="C5625" s="400" t="s">
        <v>408</v>
      </c>
      <c r="D5625" s="400" t="s">
        <v>1139</v>
      </c>
      <c r="E5625" s="605" t="s">
        <v>1053</v>
      </c>
      <c r="F5625" s="605"/>
      <c r="G5625" s="402" t="s">
        <v>6</v>
      </c>
      <c r="H5625" s="403">
        <v>0.76500000000000001</v>
      </c>
      <c r="I5625" s="403">
        <v>0</v>
      </c>
      <c r="J5625" s="404">
        <v>21.59</v>
      </c>
      <c r="K5625" s="404">
        <v>16.516349999999999</v>
      </c>
    </row>
    <row r="5626" spans="1:11" ht="14.25" customHeight="1" x14ac:dyDescent="0.3">
      <c r="A5626" s="405"/>
      <c r="B5626" s="405"/>
      <c r="C5626" s="405"/>
      <c r="D5626" s="405"/>
      <c r="E5626" s="405" t="s">
        <v>1046</v>
      </c>
      <c r="F5626" s="406">
        <v>39.86</v>
      </c>
      <c r="G5626" s="405" t="s">
        <v>1047</v>
      </c>
      <c r="H5626" s="406">
        <v>0</v>
      </c>
      <c r="I5626" s="405" t="s">
        <v>1048</v>
      </c>
      <c r="J5626" s="406">
        <v>39.86</v>
      </c>
      <c r="K5626"/>
    </row>
    <row r="5627" spans="1:11" ht="15.6" thickBot="1" x14ac:dyDescent="0.35">
      <c r="A5627" s="405"/>
      <c r="B5627" s="405"/>
      <c r="C5627" s="405"/>
      <c r="D5627" s="405"/>
      <c r="E5627" s="405" t="s">
        <v>1049</v>
      </c>
      <c r="F5627" s="406">
        <v>0</v>
      </c>
      <c r="G5627" s="405"/>
      <c r="H5627" s="606"/>
      <c r="I5627" s="606" t="s">
        <v>1050</v>
      </c>
      <c r="J5627" s="406">
        <v>365.66</v>
      </c>
      <c r="K5627"/>
    </row>
    <row r="5628" spans="1:11" ht="15.6" thickTop="1" x14ac:dyDescent="0.3">
      <c r="A5628" s="407"/>
      <c r="B5628" s="407"/>
      <c r="C5628" s="407"/>
      <c r="D5628" s="407"/>
      <c r="E5628" s="407"/>
      <c r="F5628" s="407"/>
      <c r="G5628" s="407"/>
      <c r="H5628" s="407"/>
      <c r="I5628" s="407"/>
      <c r="J5628" s="407"/>
      <c r="K5628" s="407"/>
    </row>
    <row r="5629" spans="1:11" ht="14.25" customHeight="1" x14ac:dyDescent="0.3">
      <c r="A5629" s="382" t="s">
        <v>3395</v>
      </c>
      <c r="B5629" s="312" t="s">
        <v>413</v>
      </c>
      <c r="C5629" s="382" t="s">
        <v>414</v>
      </c>
      <c r="D5629" s="382" t="s">
        <v>415</v>
      </c>
      <c r="E5629" s="586" t="s">
        <v>1029</v>
      </c>
      <c r="F5629" s="586"/>
      <c r="G5629" s="383" t="s">
        <v>416</v>
      </c>
      <c r="H5629" s="312" t="s">
        <v>1030</v>
      </c>
      <c r="I5629" s="312" t="s">
        <v>3016</v>
      </c>
      <c r="J5629" s="312" t="s">
        <v>1031</v>
      </c>
      <c r="K5629" s="312" t="s">
        <v>1032</v>
      </c>
    </row>
    <row r="5630" spans="1:11" ht="25.5" customHeight="1" x14ac:dyDescent="0.3">
      <c r="A5630" s="313" t="s">
        <v>1033</v>
      </c>
      <c r="B5630" s="315" t="s">
        <v>954</v>
      </c>
      <c r="C5630" s="313" t="s">
        <v>408</v>
      </c>
      <c r="D5630" s="313" t="s">
        <v>573</v>
      </c>
      <c r="E5630" s="603" t="s">
        <v>2260</v>
      </c>
      <c r="F5630" s="603"/>
      <c r="G5630" s="314" t="s">
        <v>4</v>
      </c>
      <c r="H5630" s="399">
        <v>1</v>
      </c>
      <c r="I5630" s="316"/>
      <c r="J5630" s="316">
        <v>771.81</v>
      </c>
      <c r="K5630" s="316">
        <v>771.81</v>
      </c>
    </row>
    <row r="5631" spans="1:11" ht="25.5" customHeight="1" x14ac:dyDescent="0.3">
      <c r="A5631" s="408" t="s">
        <v>1034</v>
      </c>
      <c r="B5631" s="409" t="s">
        <v>1113</v>
      </c>
      <c r="C5631" s="408" t="s">
        <v>395</v>
      </c>
      <c r="D5631" s="408" t="s">
        <v>129</v>
      </c>
      <c r="E5631" s="604" t="s">
        <v>7768</v>
      </c>
      <c r="F5631" s="604"/>
      <c r="G5631" s="410" t="s">
        <v>6</v>
      </c>
      <c r="H5631" s="412">
        <v>0.40200000000000002</v>
      </c>
      <c r="I5631" s="412">
        <v>0</v>
      </c>
      <c r="J5631" s="411">
        <v>33.450000000000003</v>
      </c>
      <c r="K5631" s="411">
        <v>13.446899999999999</v>
      </c>
    </row>
    <row r="5632" spans="1:11" ht="26.4" x14ac:dyDescent="0.3">
      <c r="A5632" s="408" t="s">
        <v>1034</v>
      </c>
      <c r="B5632" s="409" t="s">
        <v>1112</v>
      </c>
      <c r="C5632" s="408" t="s">
        <v>395</v>
      </c>
      <c r="D5632" s="408" t="s">
        <v>137</v>
      </c>
      <c r="E5632" s="604" t="s">
        <v>7768</v>
      </c>
      <c r="F5632" s="604"/>
      <c r="G5632" s="410" t="s">
        <v>6</v>
      </c>
      <c r="H5632" s="412">
        <v>0.40200000000000002</v>
      </c>
      <c r="I5632" s="412">
        <v>0</v>
      </c>
      <c r="J5632" s="411">
        <v>40.299999999999997</v>
      </c>
      <c r="K5632" s="411">
        <v>16.200600000000001</v>
      </c>
    </row>
    <row r="5633" spans="1:11" ht="15" customHeight="1" x14ac:dyDescent="0.3">
      <c r="A5633" s="400" t="s">
        <v>1038</v>
      </c>
      <c r="B5633" s="401" t="s">
        <v>1258</v>
      </c>
      <c r="C5633" s="400" t="s">
        <v>408</v>
      </c>
      <c r="D5633" s="400" t="s">
        <v>1259</v>
      </c>
      <c r="E5633" s="605" t="s">
        <v>1039</v>
      </c>
      <c r="F5633" s="605"/>
      <c r="G5633" s="402" t="s">
        <v>4</v>
      </c>
      <c r="H5633" s="403">
        <v>0.8</v>
      </c>
      <c r="I5633" s="403">
        <v>0</v>
      </c>
      <c r="J5633" s="404">
        <v>8.82</v>
      </c>
      <c r="K5633" s="404">
        <v>7.056</v>
      </c>
    </row>
    <row r="5634" spans="1:11" ht="25.5" customHeight="1" x14ac:dyDescent="0.3">
      <c r="A5634" s="400" t="s">
        <v>1038</v>
      </c>
      <c r="B5634" s="401" t="s">
        <v>1273</v>
      </c>
      <c r="C5634" s="400" t="s">
        <v>408</v>
      </c>
      <c r="D5634" s="400" t="s">
        <v>1274</v>
      </c>
      <c r="E5634" s="605" t="s">
        <v>1039</v>
      </c>
      <c r="F5634" s="605"/>
      <c r="G5634" s="402" t="s">
        <v>4</v>
      </c>
      <c r="H5634" s="403">
        <v>6.5000000000000002E-2</v>
      </c>
      <c r="I5634" s="403">
        <v>0</v>
      </c>
      <c r="J5634" s="404">
        <v>59.53</v>
      </c>
      <c r="K5634" s="404">
        <v>3.8694500000000001</v>
      </c>
    </row>
    <row r="5635" spans="1:11" ht="25.5" customHeight="1" x14ac:dyDescent="0.3">
      <c r="A5635" s="400" t="s">
        <v>1038</v>
      </c>
      <c r="B5635" s="401" t="s">
        <v>1275</v>
      </c>
      <c r="C5635" s="400" t="s">
        <v>408</v>
      </c>
      <c r="D5635" s="400" t="s">
        <v>1276</v>
      </c>
      <c r="E5635" s="605" t="s">
        <v>1039</v>
      </c>
      <c r="F5635" s="605"/>
      <c r="G5635" s="402" t="s">
        <v>4</v>
      </c>
      <c r="H5635" s="403">
        <v>9.1999999999999998E-2</v>
      </c>
      <c r="I5635" s="403">
        <v>0</v>
      </c>
      <c r="J5635" s="404">
        <v>45.49</v>
      </c>
      <c r="K5635" s="404">
        <v>4.1850800000000001</v>
      </c>
    </row>
    <row r="5636" spans="1:11" ht="12.75" customHeight="1" x14ac:dyDescent="0.3">
      <c r="A5636" s="400" t="s">
        <v>1038</v>
      </c>
      <c r="B5636" s="401" t="s">
        <v>1286</v>
      </c>
      <c r="C5636" s="400" t="s">
        <v>408</v>
      </c>
      <c r="D5636" s="400" t="s">
        <v>573</v>
      </c>
      <c r="E5636" s="605" t="s">
        <v>1039</v>
      </c>
      <c r="F5636" s="605"/>
      <c r="G5636" s="402" t="s">
        <v>4</v>
      </c>
      <c r="H5636" s="403">
        <v>1</v>
      </c>
      <c r="I5636" s="403">
        <v>0</v>
      </c>
      <c r="J5636" s="404">
        <v>727.05</v>
      </c>
      <c r="K5636" s="404">
        <v>727.05</v>
      </c>
    </row>
    <row r="5637" spans="1:11" ht="15" customHeight="1" x14ac:dyDescent="0.3">
      <c r="A5637" s="405"/>
      <c r="B5637" s="405"/>
      <c r="C5637" s="405"/>
      <c r="D5637" s="405"/>
      <c r="E5637" s="405" t="s">
        <v>1046</v>
      </c>
      <c r="F5637" s="406">
        <v>21.83</v>
      </c>
      <c r="G5637" s="405" t="s">
        <v>1047</v>
      </c>
      <c r="H5637" s="406">
        <v>0</v>
      </c>
      <c r="I5637" s="405" t="s">
        <v>1048</v>
      </c>
      <c r="J5637" s="406">
        <v>21.83</v>
      </c>
      <c r="K5637"/>
    </row>
    <row r="5638" spans="1:11" ht="15.6" thickBot="1" x14ac:dyDescent="0.35">
      <c r="A5638" s="405"/>
      <c r="B5638" s="405"/>
      <c r="C5638" s="405"/>
      <c r="D5638" s="405"/>
      <c r="E5638" s="405" t="s">
        <v>1049</v>
      </c>
      <c r="F5638" s="406">
        <v>0</v>
      </c>
      <c r="G5638" s="405"/>
      <c r="H5638" s="606"/>
      <c r="I5638" s="606" t="s">
        <v>1050</v>
      </c>
      <c r="J5638" s="406">
        <v>771.81</v>
      </c>
      <c r="K5638"/>
    </row>
    <row r="5639" spans="1:11" ht="17.399999999999999" customHeight="1" thickTop="1" x14ac:dyDescent="0.3">
      <c r="A5639" s="407"/>
      <c r="B5639" s="407"/>
      <c r="C5639" s="407"/>
      <c r="D5639" s="407"/>
      <c r="E5639" s="407"/>
      <c r="F5639" s="407"/>
      <c r="G5639" s="407"/>
      <c r="H5639" s="407"/>
      <c r="I5639" s="407"/>
      <c r="J5639" s="407"/>
      <c r="K5639" s="407"/>
    </row>
    <row r="5640" spans="1:11" ht="14.25" customHeight="1" x14ac:dyDescent="0.3">
      <c r="A5640" s="382" t="s">
        <v>3396</v>
      </c>
      <c r="B5640" s="312" t="s">
        <v>413</v>
      </c>
      <c r="C5640" s="382" t="s">
        <v>414</v>
      </c>
      <c r="D5640" s="382" t="s">
        <v>415</v>
      </c>
      <c r="E5640" s="586" t="s">
        <v>1029</v>
      </c>
      <c r="F5640" s="586"/>
      <c r="G5640" s="383" t="s">
        <v>416</v>
      </c>
      <c r="H5640" s="312" t="s">
        <v>1030</v>
      </c>
      <c r="I5640" s="312" t="s">
        <v>3016</v>
      </c>
      <c r="J5640" s="312" t="s">
        <v>1031</v>
      </c>
      <c r="K5640" s="312" t="s">
        <v>1032</v>
      </c>
    </row>
    <row r="5641" spans="1:11" ht="25.5" customHeight="1" x14ac:dyDescent="0.3">
      <c r="A5641" s="313" t="s">
        <v>1033</v>
      </c>
      <c r="B5641" s="315" t="s">
        <v>2204</v>
      </c>
      <c r="C5641" s="313" t="s">
        <v>408</v>
      </c>
      <c r="D5641" s="313" t="s">
        <v>1969</v>
      </c>
      <c r="E5641" s="603" t="s">
        <v>2264</v>
      </c>
      <c r="F5641" s="603"/>
      <c r="G5641" s="314" t="s">
        <v>4</v>
      </c>
      <c r="H5641" s="399">
        <v>1</v>
      </c>
      <c r="I5641" s="316"/>
      <c r="J5641" s="316">
        <v>182.55</v>
      </c>
      <c r="K5641" s="316">
        <v>182.55</v>
      </c>
    </row>
    <row r="5642" spans="1:11" ht="25.5" customHeight="1" x14ac:dyDescent="0.3">
      <c r="A5642" s="408" t="s">
        <v>1034</v>
      </c>
      <c r="B5642" s="409" t="s">
        <v>1113</v>
      </c>
      <c r="C5642" s="408" t="s">
        <v>395</v>
      </c>
      <c r="D5642" s="408" t="s">
        <v>129</v>
      </c>
      <c r="E5642" s="604" t="s">
        <v>7768</v>
      </c>
      <c r="F5642" s="604"/>
      <c r="G5642" s="410" t="s">
        <v>6</v>
      </c>
      <c r="H5642" s="412">
        <v>0.52</v>
      </c>
      <c r="I5642" s="412">
        <v>0</v>
      </c>
      <c r="J5642" s="411">
        <v>33.450000000000003</v>
      </c>
      <c r="K5642" s="411">
        <v>17.393999999999998</v>
      </c>
    </row>
    <row r="5643" spans="1:11" ht="30" customHeight="1" x14ac:dyDescent="0.3">
      <c r="A5643" s="408" t="s">
        <v>1034</v>
      </c>
      <c r="B5643" s="409" t="s">
        <v>1112</v>
      </c>
      <c r="C5643" s="408" t="s">
        <v>395</v>
      </c>
      <c r="D5643" s="408" t="s">
        <v>137</v>
      </c>
      <c r="E5643" s="604" t="s">
        <v>7768</v>
      </c>
      <c r="F5643" s="604"/>
      <c r="G5643" s="410" t="s">
        <v>6</v>
      </c>
      <c r="H5643" s="412">
        <v>0.52</v>
      </c>
      <c r="I5643" s="412">
        <v>0</v>
      </c>
      <c r="J5643" s="411">
        <v>40.299999999999997</v>
      </c>
      <c r="K5643" s="411">
        <v>20.956</v>
      </c>
    </row>
    <row r="5644" spans="1:11" ht="38.25" customHeight="1" x14ac:dyDescent="0.3">
      <c r="A5644" s="400" t="s">
        <v>1038</v>
      </c>
      <c r="B5644" s="401" t="s">
        <v>1258</v>
      </c>
      <c r="C5644" s="400" t="s">
        <v>408</v>
      </c>
      <c r="D5644" s="400" t="s">
        <v>1259</v>
      </c>
      <c r="E5644" s="605" t="s">
        <v>1039</v>
      </c>
      <c r="F5644" s="605"/>
      <c r="G5644" s="402" t="s">
        <v>4</v>
      </c>
      <c r="H5644" s="403">
        <v>0.42</v>
      </c>
      <c r="I5644" s="403">
        <v>0</v>
      </c>
      <c r="J5644" s="404">
        <v>8.82</v>
      </c>
      <c r="K5644" s="404">
        <v>3.7044000000000001</v>
      </c>
    </row>
    <row r="5645" spans="1:11" ht="25.5" customHeight="1" x14ac:dyDescent="0.3">
      <c r="A5645" s="400" t="s">
        <v>1038</v>
      </c>
      <c r="B5645" s="401" t="s">
        <v>1273</v>
      </c>
      <c r="C5645" s="400" t="s">
        <v>408</v>
      </c>
      <c r="D5645" s="400" t="s">
        <v>1274</v>
      </c>
      <c r="E5645" s="605" t="s">
        <v>1039</v>
      </c>
      <c r="F5645" s="605"/>
      <c r="G5645" s="402" t="s">
        <v>4</v>
      </c>
      <c r="H5645" s="403">
        <v>0.01</v>
      </c>
      <c r="I5645" s="403">
        <v>0</v>
      </c>
      <c r="J5645" s="404">
        <v>59.53</v>
      </c>
      <c r="K5645" s="404">
        <v>0.59530000000000005</v>
      </c>
    </row>
    <row r="5646" spans="1:11" ht="15" customHeight="1" x14ac:dyDescent="0.3">
      <c r="A5646" s="400" t="s">
        <v>1038</v>
      </c>
      <c r="B5646" s="401" t="s">
        <v>2540</v>
      </c>
      <c r="C5646" s="400" t="s">
        <v>408</v>
      </c>
      <c r="D5646" s="400" t="s">
        <v>1969</v>
      </c>
      <c r="E5646" s="605" t="s">
        <v>1039</v>
      </c>
      <c r="F5646" s="605"/>
      <c r="G5646" s="402" t="s">
        <v>4</v>
      </c>
      <c r="H5646" s="403">
        <v>1</v>
      </c>
      <c r="I5646" s="403">
        <v>0</v>
      </c>
      <c r="J5646" s="404">
        <v>139.9</v>
      </c>
      <c r="K5646" s="404">
        <v>139.9</v>
      </c>
    </row>
    <row r="5647" spans="1:11" ht="12.75" customHeight="1" x14ac:dyDescent="0.3">
      <c r="A5647" s="405"/>
      <c r="B5647" s="405"/>
      <c r="C5647" s="405"/>
      <c r="D5647" s="405"/>
      <c r="E5647" s="405" t="s">
        <v>1046</v>
      </c>
      <c r="F5647" s="406">
        <v>28.24</v>
      </c>
      <c r="G5647" s="405" t="s">
        <v>1047</v>
      </c>
      <c r="H5647" s="406">
        <v>0</v>
      </c>
      <c r="I5647" s="405" t="s">
        <v>1048</v>
      </c>
      <c r="J5647" s="406">
        <v>28.24</v>
      </c>
      <c r="K5647"/>
    </row>
    <row r="5648" spans="1:11" ht="14.25" customHeight="1" thickBot="1" x14ac:dyDescent="0.35">
      <c r="A5648" s="405"/>
      <c r="B5648" s="405"/>
      <c r="C5648" s="405"/>
      <c r="D5648" s="405"/>
      <c r="E5648" s="405" t="s">
        <v>1049</v>
      </c>
      <c r="F5648" s="406">
        <v>0</v>
      </c>
      <c r="G5648" s="405"/>
      <c r="H5648" s="606"/>
      <c r="I5648" s="606" t="s">
        <v>1050</v>
      </c>
      <c r="J5648" s="406">
        <v>182.55</v>
      </c>
      <c r="K5648"/>
    </row>
    <row r="5649" spans="1:11" ht="15.6" thickTop="1" x14ac:dyDescent="0.3">
      <c r="A5649" s="407"/>
      <c r="B5649" s="407"/>
      <c r="C5649" s="407"/>
      <c r="D5649" s="407"/>
      <c r="E5649" s="407"/>
      <c r="F5649" s="407"/>
      <c r="G5649" s="407"/>
      <c r="H5649" s="407"/>
      <c r="I5649" s="407"/>
      <c r="J5649" s="407"/>
      <c r="K5649" s="407"/>
    </row>
    <row r="5650" spans="1:11" ht="25.5" customHeight="1" x14ac:dyDescent="0.3">
      <c r="A5650" s="382" t="s">
        <v>3397</v>
      </c>
      <c r="B5650" s="312" t="s">
        <v>413</v>
      </c>
      <c r="C5650" s="382" t="s">
        <v>414</v>
      </c>
      <c r="D5650" s="382" t="s">
        <v>415</v>
      </c>
      <c r="E5650" s="586" t="s">
        <v>1029</v>
      </c>
      <c r="F5650" s="586"/>
      <c r="G5650" s="383" t="s">
        <v>416</v>
      </c>
      <c r="H5650" s="312" t="s">
        <v>1030</v>
      </c>
      <c r="I5650" s="312" t="s">
        <v>3016</v>
      </c>
      <c r="J5650" s="312" t="s">
        <v>1031</v>
      </c>
      <c r="K5650" s="312" t="s">
        <v>1032</v>
      </c>
    </row>
    <row r="5651" spans="1:11" ht="14.25" customHeight="1" x14ac:dyDescent="0.3">
      <c r="A5651" s="313" t="s">
        <v>1033</v>
      </c>
      <c r="B5651" s="315" t="s">
        <v>878</v>
      </c>
      <c r="C5651" s="313" t="s">
        <v>408</v>
      </c>
      <c r="D5651" s="313" t="s">
        <v>428</v>
      </c>
      <c r="E5651" s="603" t="s">
        <v>2255</v>
      </c>
      <c r="F5651" s="603"/>
      <c r="G5651" s="314" t="s">
        <v>4</v>
      </c>
      <c r="H5651" s="399">
        <v>1</v>
      </c>
      <c r="I5651" s="316"/>
      <c r="J5651" s="316">
        <v>22.08</v>
      </c>
      <c r="K5651" s="316">
        <v>22.08</v>
      </c>
    </row>
    <row r="5652" spans="1:11" ht="12.75" customHeight="1" x14ac:dyDescent="0.3">
      <c r="A5652" s="408" t="s">
        <v>1034</v>
      </c>
      <c r="B5652" s="409" t="s">
        <v>1037</v>
      </c>
      <c r="C5652" s="408" t="s">
        <v>395</v>
      </c>
      <c r="D5652" s="408" t="s">
        <v>135</v>
      </c>
      <c r="E5652" s="604" t="s">
        <v>7768</v>
      </c>
      <c r="F5652" s="604"/>
      <c r="G5652" s="410" t="s">
        <v>6</v>
      </c>
      <c r="H5652" s="412">
        <v>0.20599999999999999</v>
      </c>
      <c r="I5652" s="412">
        <v>0</v>
      </c>
      <c r="J5652" s="411">
        <v>41.81</v>
      </c>
      <c r="K5652" s="411">
        <v>8.6128599999999995</v>
      </c>
    </row>
    <row r="5653" spans="1:11" ht="25.5" customHeight="1" x14ac:dyDescent="0.3">
      <c r="A5653" s="408" t="s">
        <v>1034</v>
      </c>
      <c r="B5653" s="409" t="s">
        <v>1035</v>
      </c>
      <c r="C5653" s="408" t="s">
        <v>395</v>
      </c>
      <c r="D5653" s="408" t="s">
        <v>128</v>
      </c>
      <c r="E5653" s="604" t="s">
        <v>7768</v>
      </c>
      <c r="F5653" s="604"/>
      <c r="G5653" s="410" t="s">
        <v>6</v>
      </c>
      <c r="H5653" s="412">
        <v>0.20599999999999999</v>
      </c>
      <c r="I5653" s="412">
        <v>0</v>
      </c>
      <c r="J5653" s="411">
        <v>34.5</v>
      </c>
      <c r="K5653" s="411">
        <v>7.1070000000000002</v>
      </c>
    </row>
    <row r="5654" spans="1:11" ht="15" x14ac:dyDescent="0.3">
      <c r="A5654" s="400" t="s">
        <v>1038</v>
      </c>
      <c r="B5654" s="401" t="s">
        <v>1085</v>
      </c>
      <c r="C5654" s="400" t="s">
        <v>408</v>
      </c>
      <c r="D5654" s="400" t="s">
        <v>1086</v>
      </c>
      <c r="E5654" s="605" t="s">
        <v>1039</v>
      </c>
      <c r="F5654" s="605"/>
      <c r="G5654" s="402" t="s">
        <v>4</v>
      </c>
      <c r="H5654" s="403">
        <v>1</v>
      </c>
      <c r="I5654" s="403">
        <v>0</v>
      </c>
      <c r="J5654" s="404">
        <v>6.36</v>
      </c>
      <c r="K5654" s="404">
        <v>6.36</v>
      </c>
    </row>
    <row r="5655" spans="1:11" ht="38.25" customHeight="1" x14ac:dyDescent="0.3">
      <c r="A5655" s="405"/>
      <c r="B5655" s="405"/>
      <c r="C5655" s="405"/>
      <c r="D5655" s="405"/>
      <c r="E5655" s="405" t="s">
        <v>1046</v>
      </c>
      <c r="F5655" s="406">
        <v>11.47</v>
      </c>
      <c r="G5655" s="405" t="s">
        <v>1047</v>
      </c>
      <c r="H5655" s="406">
        <v>0</v>
      </c>
      <c r="I5655" s="405" t="s">
        <v>1048</v>
      </c>
      <c r="J5655" s="406">
        <v>11.47</v>
      </c>
      <c r="K5655"/>
    </row>
    <row r="5656" spans="1:11" ht="25.5" customHeight="1" thickBot="1" x14ac:dyDescent="0.35">
      <c r="A5656" s="405"/>
      <c r="B5656" s="405"/>
      <c r="C5656" s="405"/>
      <c r="D5656" s="405"/>
      <c r="E5656" s="405" t="s">
        <v>1049</v>
      </c>
      <c r="F5656" s="406">
        <v>0</v>
      </c>
      <c r="G5656" s="405"/>
      <c r="H5656" s="606"/>
      <c r="I5656" s="606" t="s">
        <v>1050</v>
      </c>
      <c r="J5656" s="406">
        <v>22.08</v>
      </c>
      <c r="K5656"/>
    </row>
    <row r="5657" spans="1:11" ht="15" customHeight="1" thickTop="1" x14ac:dyDescent="0.3">
      <c r="A5657" s="407"/>
      <c r="B5657" s="407"/>
      <c r="C5657" s="407"/>
      <c r="D5657" s="407"/>
      <c r="E5657" s="407"/>
      <c r="F5657" s="407"/>
      <c r="G5657" s="407"/>
      <c r="H5657" s="407"/>
      <c r="I5657" s="407"/>
      <c r="J5657" s="407"/>
      <c r="K5657" s="407"/>
    </row>
    <row r="5658" spans="1:11" ht="12.75" customHeight="1" x14ac:dyDescent="0.3">
      <c r="A5658" s="382" t="s">
        <v>3398</v>
      </c>
      <c r="B5658" s="312" t="s">
        <v>413</v>
      </c>
      <c r="C5658" s="382" t="s">
        <v>414</v>
      </c>
      <c r="D5658" s="382" t="s">
        <v>415</v>
      </c>
      <c r="E5658" s="586" t="s">
        <v>1029</v>
      </c>
      <c r="F5658" s="586"/>
      <c r="G5658" s="383" t="s">
        <v>416</v>
      </c>
      <c r="H5658" s="312" t="s">
        <v>1030</v>
      </c>
      <c r="I5658" s="312" t="s">
        <v>3016</v>
      </c>
      <c r="J5658" s="312" t="s">
        <v>1031</v>
      </c>
      <c r="K5658" s="312" t="s">
        <v>1032</v>
      </c>
    </row>
    <row r="5659" spans="1:11" ht="15" x14ac:dyDescent="0.3">
      <c r="A5659" s="313" t="s">
        <v>1033</v>
      </c>
      <c r="B5659" s="315" t="s">
        <v>987</v>
      </c>
      <c r="C5659" s="313" t="s">
        <v>408</v>
      </c>
      <c r="D5659" s="313" t="s">
        <v>595</v>
      </c>
      <c r="E5659" s="603" t="s">
        <v>2261</v>
      </c>
      <c r="F5659" s="603"/>
      <c r="G5659" s="314" t="s">
        <v>4</v>
      </c>
      <c r="H5659" s="399">
        <v>1</v>
      </c>
      <c r="I5659" s="316"/>
      <c r="J5659" s="316">
        <v>3.79</v>
      </c>
      <c r="K5659" s="316">
        <v>3.79</v>
      </c>
    </row>
    <row r="5660" spans="1:11" ht="15" customHeight="1" x14ac:dyDescent="0.3">
      <c r="A5660" s="400" t="s">
        <v>1038</v>
      </c>
      <c r="B5660" s="401" t="s">
        <v>1376</v>
      </c>
      <c r="C5660" s="400" t="s">
        <v>408</v>
      </c>
      <c r="D5660" s="400" t="s">
        <v>1377</v>
      </c>
      <c r="E5660" s="605" t="s">
        <v>1039</v>
      </c>
      <c r="F5660" s="605"/>
      <c r="G5660" s="402" t="s">
        <v>4</v>
      </c>
      <c r="H5660" s="403">
        <v>1</v>
      </c>
      <c r="I5660" s="403">
        <v>0</v>
      </c>
      <c r="J5660" s="404">
        <v>3.01</v>
      </c>
      <c r="K5660" s="404">
        <v>3.01</v>
      </c>
    </row>
    <row r="5661" spans="1:11" ht="25.5" customHeight="1" x14ac:dyDescent="0.3">
      <c r="A5661" s="400" t="s">
        <v>1038</v>
      </c>
      <c r="B5661" s="401" t="s">
        <v>6207</v>
      </c>
      <c r="C5661" s="400" t="s">
        <v>408</v>
      </c>
      <c r="D5661" s="400" t="s">
        <v>1093</v>
      </c>
      <c r="E5661" s="605" t="s">
        <v>1053</v>
      </c>
      <c r="F5661" s="605"/>
      <c r="G5661" s="402" t="s">
        <v>6</v>
      </c>
      <c r="H5661" s="403">
        <v>1.4999999999999999E-2</v>
      </c>
      <c r="I5661" s="403">
        <v>0</v>
      </c>
      <c r="J5661" s="404">
        <v>30.51</v>
      </c>
      <c r="K5661" s="404">
        <v>0.45765</v>
      </c>
    </row>
    <row r="5662" spans="1:11" ht="14.25" customHeight="1" x14ac:dyDescent="0.3">
      <c r="A5662" s="400" t="s">
        <v>1038</v>
      </c>
      <c r="B5662" s="401" t="s">
        <v>6196</v>
      </c>
      <c r="C5662" s="400" t="s">
        <v>408</v>
      </c>
      <c r="D5662" s="400" t="s">
        <v>1139</v>
      </c>
      <c r="E5662" s="605" t="s">
        <v>1053</v>
      </c>
      <c r="F5662" s="605"/>
      <c r="G5662" s="402" t="s">
        <v>6</v>
      </c>
      <c r="H5662" s="403">
        <v>1.4999999999999999E-2</v>
      </c>
      <c r="I5662" s="403">
        <v>0</v>
      </c>
      <c r="J5662" s="404">
        <v>21.59</v>
      </c>
      <c r="K5662" s="404">
        <v>0.32385000000000003</v>
      </c>
    </row>
    <row r="5663" spans="1:11" ht="25.5" customHeight="1" x14ac:dyDescent="0.3">
      <c r="A5663" s="405"/>
      <c r="B5663" s="405"/>
      <c r="C5663" s="405"/>
      <c r="D5663" s="405"/>
      <c r="E5663" s="405" t="s">
        <v>1046</v>
      </c>
      <c r="F5663" s="406">
        <v>0.78</v>
      </c>
      <c r="G5663" s="405" t="s">
        <v>1047</v>
      </c>
      <c r="H5663" s="406">
        <v>0</v>
      </c>
      <c r="I5663" s="405" t="s">
        <v>1048</v>
      </c>
      <c r="J5663" s="406">
        <v>0.78</v>
      </c>
      <c r="K5663"/>
    </row>
    <row r="5664" spans="1:11" ht="25.5" customHeight="1" thickBot="1" x14ac:dyDescent="0.35">
      <c r="A5664" s="405"/>
      <c r="B5664" s="405"/>
      <c r="C5664" s="405"/>
      <c r="D5664" s="405"/>
      <c r="E5664" s="405" t="s">
        <v>1049</v>
      </c>
      <c r="F5664" s="406">
        <v>0</v>
      </c>
      <c r="G5664" s="405"/>
      <c r="H5664" s="606"/>
      <c r="I5664" s="606" t="s">
        <v>1050</v>
      </c>
      <c r="J5664" s="406">
        <v>3.79</v>
      </c>
      <c r="K5664"/>
    </row>
    <row r="5665" spans="1:11" ht="15.6" thickTop="1" x14ac:dyDescent="0.3">
      <c r="A5665" s="407"/>
      <c r="B5665" s="407"/>
      <c r="C5665" s="407"/>
      <c r="D5665" s="407"/>
      <c r="E5665" s="407"/>
      <c r="F5665" s="407"/>
      <c r="G5665" s="407"/>
      <c r="H5665" s="407"/>
      <c r="I5665" s="407"/>
      <c r="J5665" s="407"/>
      <c r="K5665" s="407"/>
    </row>
    <row r="5666" spans="1:11" ht="38.25" customHeight="1" x14ac:dyDescent="0.3">
      <c r="A5666" s="382" t="s">
        <v>3399</v>
      </c>
      <c r="B5666" s="312" t="s">
        <v>413</v>
      </c>
      <c r="C5666" s="382" t="s">
        <v>414</v>
      </c>
      <c r="D5666" s="382" t="s">
        <v>415</v>
      </c>
      <c r="E5666" s="586" t="s">
        <v>1029</v>
      </c>
      <c r="F5666" s="586"/>
      <c r="G5666" s="383" t="s">
        <v>416</v>
      </c>
      <c r="H5666" s="312" t="s">
        <v>1030</v>
      </c>
      <c r="I5666" s="312" t="s">
        <v>3016</v>
      </c>
      <c r="J5666" s="312" t="s">
        <v>1031</v>
      </c>
      <c r="K5666" s="312" t="s">
        <v>1032</v>
      </c>
    </row>
    <row r="5667" spans="1:11" ht="25.5" customHeight="1" x14ac:dyDescent="0.3">
      <c r="A5667" s="313" t="s">
        <v>1033</v>
      </c>
      <c r="B5667" s="315" t="s">
        <v>2146</v>
      </c>
      <c r="C5667" s="313" t="s">
        <v>408</v>
      </c>
      <c r="D5667" s="313" t="s">
        <v>1819</v>
      </c>
      <c r="E5667" s="603" t="s">
        <v>2259</v>
      </c>
      <c r="F5667" s="603"/>
      <c r="G5667" s="314" t="s">
        <v>4</v>
      </c>
      <c r="H5667" s="399">
        <v>1</v>
      </c>
      <c r="I5667" s="316"/>
      <c r="J5667" s="316">
        <v>13.77</v>
      </c>
      <c r="K5667" s="316">
        <v>13.77</v>
      </c>
    </row>
    <row r="5668" spans="1:11" ht="15" customHeight="1" x14ac:dyDescent="0.3">
      <c r="A5668" s="400" t="s">
        <v>1038</v>
      </c>
      <c r="B5668" s="401" t="s">
        <v>7505</v>
      </c>
      <c r="C5668" s="400" t="s">
        <v>408</v>
      </c>
      <c r="D5668" s="400" t="s">
        <v>7506</v>
      </c>
      <c r="E5668" s="605" t="s">
        <v>1039</v>
      </c>
      <c r="F5668" s="605"/>
      <c r="G5668" s="402" t="s">
        <v>4</v>
      </c>
      <c r="H5668" s="403">
        <v>4</v>
      </c>
      <c r="I5668" s="403">
        <v>0</v>
      </c>
      <c r="J5668" s="404">
        <v>0.1</v>
      </c>
      <c r="K5668" s="404">
        <v>0.4</v>
      </c>
    </row>
    <row r="5669" spans="1:11" ht="12.75" customHeight="1" x14ac:dyDescent="0.3">
      <c r="A5669" s="400" t="s">
        <v>1038</v>
      </c>
      <c r="B5669" s="401" t="s">
        <v>7464</v>
      </c>
      <c r="C5669" s="400" t="s">
        <v>408</v>
      </c>
      <c r="D5669" s="400" t="s">
        <v>7465</v>
      </c>
      <c r="E5669" s="605" t="s">
        <v>1039</v>
      </c>
      <c r="F5669" s="605"/>
      <c r="G5669" s="402" t="s">
        <v>4</v>
      </c>
      <c r="H5669" s="403">
        <v>4</v>
      </c>
      <c r="I5669" s="403">
        <v>0</v>
      </c>
      <c r="J5669" s="404">
        <v>0.13</v>
      </c>
      <c r="K5669" s="404">
        <v>0.52</v>
      </c>
    </row>
    <row r="5670" spans="1:11" ht="15" x14ac:dyDescent="0.3">
      <c r="A5670" s="400" t="s">
        <v>1038</v>
      </c>
      <c r="B5670" s="401" t="s">
        <v>7306</v>
      </c>
      <c r="C5670" s="400" t="s">
        <v>408</v>
      </c>
      <c r="D5670" s="400" t="s">
        <v>7307</v>
      </c>
      <c r="E5670" s="605" t="s">
        <v>1039</v>
      </c>
      <c r="F5670" s="605"/>
      <c r="G5670" s="402" t="s">
        <v>4</v>
      </c>
      <c r="H5670" s="403">
        <v>8</v>
      </c>
      <c r="I5670" s="403">
        <v>0</v>
      </c>
      <c r="J5670" s="404">
        <v>0.13</v>
      </c>
      <c r="K5670" s="404">
        <v>1.04</v>
      </c>
    </row>
    <row r="5671" spans="1:11" ht="15" x14ac:dyDescent="0.3">
      <c r="A5671" s="400" t="s">
        <v>1038</v>
      </c>
      <c r="B5671" s="401" t="s">
        <v>7250</v>
      </c>
      <c r="C5671" s="400" t="s">
        <v>408</v>
      </c>
      <c r="D5671" s="400" t="s">
        <v>7251</v>
      </c>
      <c r="E5671" s="605" t="s">
        <v>1039</v>
      </c>
      <c r="F5671" s="605"/>
      <c r="G5671" s="402" t="s">
        <v>4</v>
      </c>
      <c r="H5671" s="403">
        <v>1</v>
      </c>
      <c r="I5671" s="403">
        <v>0</v>
      </c>
      <c r="J5671" s="404">
        <v>1.3</v>
      </c>
      <c r="K5671" s="404">
        <v>1.3</v>
      </c>
    </row>
    <row r="5672" spans="1:11" ht="15" customHeight="1" x14ac:dyDescent="0.3">
      <c r="A5672" s="400" t="s">
        <v>1038</v>
      </c>
      <c r="B5672" s="401" t="s">
        <v>2416</v>
      </c>
      <c r="C5672" s="400" t="s">
        <v>408</v>
      </c>
      <c r="D5672" s="400" t="s">
        <v>2417</v>
      </c>
      <c r="E5672" s="605" t="s">
        <v>1039</v>
      </c>
      <c r="F5672" s="605"/>
      <c r="G5672" s="402" t="s">
        <v>4</v>
      </c>
      <c r="H5672" s="403">
        <v>1</v>
      </c>
      <c r="I5672" s="403">
        <v>0</v>
      </c>
      <c r="J5672" s="404">
        <v>3.01</v>
      </c>
      <c r="K5672" s="404">
        <v>3.01</v>
      </c>
    </row>
    <row r="5673" spans="1:11" ht="14.25" customHeight="1" x14ac:dyDescent="0.3">
      <c r="A5673" s="400" t="s">
        <v>1038</v>
      </c>
      <c r="B5673" s="401" t="s">
        <v>6207</v>
      </c>
      <c r="C5673" s="400" t="s">
        <v>408</v>
      </c>
      <c r="D5673" s="400" t="s">
        <v>1093</v>
      </c>
      <c r="E5673" s="605" t="s">
        <v>1053</v>
      </c>
      <c r="F5673" s="605"/>
      <c r="G5673" s="402" t="s">
        <v>6</v>
      </c>
      <c r="H5673" s="403">
        <v>0.14399999999999999</v>
      </c>
      <c r="I5673" s="403">
        <v>0</v>
      </c>
      <c r="J5673" s="404">
        <v>30.51</v>
      </c>
      <c r="K5673" s="404">
        <v>4.39344</v>
      </c>
    </row>
    <row r="5674" spans="1:11" ht="25.5" customHeight="1" x14ac:dyDescent="0.3">
      <c r="A5674" s="400" t="s">
        <v>1038</v>
      </c>
      <c r="B5674" s="401" t="s">
        <v>6196</v>
      </c>
      <c r="C5674" s="400" t="s">
        <v>408</v>
      </c>
      <c r="D5674" s="400" t="s">
        <v>1139</v>
      </c>
      <c r="E5674" s="605" t="s">
        <v>1053</v>
      </c>
      <c r="F5674" s="605"/>
      <c r="G5674" s="402" t="s">
        <v>6</v>
      </c>
      <c r="H5674" s="403">
        <v>0.14399999999999999</v>
      </c>
      <c r="I5674" s="403">
        <v>0</v>
      </c>
      <c r="J5674" s="404">
        <v>21.59</v>
      </c>
      <c r="K5674" s="404">
        <v>3.1089600000000002</v>
      </c>
    </row>
    <row r="5675" spans="1:11" ht="25.5" customHeight="1" x14ac:dyDescent="0.3">
      <c r="A5675" s="405"/>
      <c r="B5675" s="405"/>
      <c r="C5675" s="405"/>
      <c r="D5675" s="405"/>
      <c r="E5675" s="405" t="s">
        <v>1046</v>
      </c>
      <c r="F5675" s="406">
        <v>7.5</v>
      </c>
      <c r="G5675" s="405" t="s">
        <v>1047</v>
      </c>
      <c r="H5675" s="406">
        <v>0</v>
      </c>
      <c r="I5675" s="405" t="s">
        <v>1048</v>
      </c>
      <c r="J5675" s="406">
        <v>7.5</v>
      </c>
      <c r="K5675"/>
    </row>
    <row r="5676" spans="1:11" ht="15.6" thickBot="1" x14ac:dyDescent="0.35">
      <c r="A5676" s="405"/>
      <c r="B5676" s="405"/>
      <c r="C5676" s="405"/>
      <c r="D5676" s="405"/>
      <c r="E5676" s="405" t="s">
        <v>1049</v>
      </c>
      <c r="F5676" s="406">
        <v>0</v>
      </c>
      <c r="G5676" s="405"/>
      <c r="H5676" s="606"/>
      <c r="I5676" s="606" t="s">
        <v>1050</v>
      </c>
      <c r="J5676" s="406">
        <v>13.77</v>
      </c>
      <c r="K5676"/>
    </row>
    <row r="5677" spans="1:11" ht="38.25" customHeight="1" thickTop="1" x14ac:dyDescent="0.3">
      <c r="A5677" s="407"/>
      <c r="B5677" s="407"/>
      <c r="C5677" s="407"/>
      <c r="D5677" s="407"/>
      <c r="E5677" s="407"/>
      <c r="F5677" s="407"/>
      <c r="G5677" s="407"/>
      <c r="H5677" s="407"/>
      <c r="I5677" s="407"/>
      <c r="J5677" s="407"/>
      <c r="K5677" s="407"/>
    </row>
    <row r="5678" spans="1:11" ht="25.5" customHeight="1" x14ac:dyDescent="0.3">
      <c r="A5678" s="382" t="s">
        <v>3400</v>
      </c>
      <c r="B5678" s="312" t="s">
        <v>413</v>
      </c>
      <c r="C5678" s="382" t="s">
        <v>414</v>
      </c>
      <c r="D5678" s="382" t="s">
        <v>415</v>
      </c>
      <c r="E5678" s="586" t="s">
        <v>1029</v>
      </c>
      <c r="F5678" s="586"/>
      <c r="G5678" s="383" t="s">
        <v>416</v>
      </c>
      <c r="H5678" s="312" t="s">
        <v>1030</v>
      </c>
      <c r="I5678" s="312" t="s">
        <v>3016</v>
      </c>
      <c r="J5678" s="312" t="s">
        <v>1031</v>
      </c>
      <c r="K5678" s="312" t="s">
        <v>1032</v>
      </c>
    </row>
    <row r="5679" spans="1:11" ht="25.5" customHeight="1" x14ac:dyDescent="0.3">
      <c r="A5679" s="313" t="s">
        <v>1033</v>
      </c>
      <c r="B5679" s="315" t="s">
        <v>884</v>
      </c>
      <c r="C5679" s="313" t="s">
        <v>408</v>
      </c>
      <c r="D5679" s="313" t="s">
        <v>6090</v>
      </c>
      <c r="E5679" s="603" t="s">
        <v>2260</v>
      </c>
      <c r="F5679" s="603"/>
      <c r="G5679" s="314" t="s">
        <v>4</v>
      </c>
      <c r="H5679" s="399">
        <v>1</v>
      </c>
      <c r="I5679" s="316"/>
      <c r="J5679" s="316">
        <v>786.73</v>
      </c>
      <c r="K5679" s="316">
        <v>786.73</v>
      </c>
    </row>
    <row r="5680" spans="1:11" ht="12.75" customHeight="1" x14ac:dyDescent="0.3">
      <c r="A5680" s="400" t="s">
        <v>1038</v>
      </c>
      <c r="B5680" s="401" t="s">
        <v>1114</v>
      </c>
      <c r="C5680" s="400" t="s">
        <v>408</v>
      </c>
      <c r="D5680" s="400" t="s">
        <v>1115</v>
      </c>
      <c r="E5680" s="605" t="s">
        <v>1039</v>
      </c>
      <c r="F5680" s="605"/>
      <c r="G5680" s="402" t="s">
        <v>7</v>
      </c>
      <c r="H5680" s="403">
        <v>5.1070000000000002</v>
      </c>
      <c r="I5680" s="403">
        <v>0</v>
      </c>
      <c r="J5680" s="404">
        <v>0.23</v>
      </c>
      <c r="K5680" s="404">
        <v>1.1746099999999999</v>
      </c>
    </row>
    <row r="5681" spans="1:11" ht="15" customHeight="1" x14ac:dyDescent="0.3">
      <c r="A5681" s="400" t="s">
        <v>1038</v>
      </c>
      <c r="B5681" s="401" t="s">
        <v>6281</v>
      </c>
      <c r="C5681" s="400" t="s">
        <v>408</v>
      </c>
      <c r="D5681" s="400" t="s">
        <v>6282</v>
      </c>
      <c r="E5681" s="605" t="s">
        <v>1039</v>
      </c>
      <c r="F5681" s="605"/>
      <c r="G5681" s="402" t="s">
        <v>4</v>
      </c>
      <c r="H5681" s="403">
        <v>1</v>
      </c>
      <c r="I5681" s="403">
        <v>0</v>
      </c>
      <c r="J5681" s="404">
        <v>750.15</v>
      </c>
      <c r="K5681" s="404">
        <v>750.15</v>
      </c>
    </row>
    <row r="5682" spans="1:11" ht="14.25" customHeight="1" x14ac:dyDescent="0.3">
      <c r="A5682" s="400" t="s">
        <v>1038</v>
      </c>
      <c r="B5682" s="401" t="s">
        <v>6301</v>
      </c>
      <c r="C5682" s="400" t="s">
        <v>408</v>
      </c>
      <c r="D5682" s="400" t="s">
        <v>6302</v>
      </c>
      <c r="E5682" s="605" t="s">
        <v>1053</v>
      </c>
      <c r="F5682" s="605"/>
      <c r="G5682" s="402" t="s">
        <v>6</v>
      </c>
      <c r="H5682" s="403">
        <v>0.70899999999999996</v>
      </c>
      <c r="I5682" s="403">
        <v>0</v>
      </c>
      <c r="J5682" s="404">
        <v>21.59</v>
      </c>
      <c r="K5682" s="404">
        <v>15.307309999999999</v>
      </c>
    </row>
    <row r="5683" spans="1:11" ht="30" customHeight="1" x14ac:dyDescent="0.3">
      <c r="A5683" s="400" t="s">
        <v>1038</v>
      </c>
      <c r="B5683" s="401" t="s">
        <v>6235</v>
      </c>
      <c r="C5683" s="400" t="s">
        <v>408</v>
      </c>
      <c r="D5683" s="400" t="s">
        <v>6236</v>
      </c>
      <c r="E5683" s="605" t="s">
        <v>1053</v>
      </c>
      <c r="F5683" s="605"/>
      <c r="G5683" s="402" t="s">
        <v>6</v>
      </c>
      <c r="H5683" s="403">
        <v>0.70899999999999996</v>
      </c>
      <c r="I5683" s="403">
        <v>0</v>
      </c>
      <c r="J5683" s="404">
        <v>28.35</v>
      </c>
      <c r="K5683" s="404">
        <v>20.100149999999999</v>
      </c>
    </row>
    <row r="5684" spans="1:11" ht="14.25" customHeight="1" x14ac:dyDescent="0.3">
      <c r="A5684" s="405"/>
      <c r="B5684" s="405"/>
      <c r="C5684" s="405"/>
      <c r="D5684" s="405"/>
      <c r="E5684" s="405" t="s">
        <v>1046</v>
      </c>
      <c r="F5684" s="406">
        <v>35.409999999999997</v>
      </c>
      <c r="G5684" s="405" t="s">
        <v>1047</v>
      </c>
      <c r="H5684" s="406">
        <v>0</v>
      </c>
      <c r="I5684" s="405" t="s">
        <v>1048</v>
      </c>
      <c r="J5684" s="406">
        <v>35.409999999999997</v>
      </c>
      <c r="K5684"/>
    </row>
    <row r="5685" spans="1:11" ht="25.5" customHeight="1" thickBot="1" x14ac:dyDescent="0.35">
      <c r="A5685" s="405"/>
      <c r="B5685" s="405"/>
      <c r="C5685" s="405"/>
      <c r="D5685" s="405"/>
      <c r="E5685" s="405" t="s">
        <v>1049</v>
      </c>
      <c r="F5685" s="406">
        <v>0</v>
      </c>
      <c r="G5685" s="405"/>
      <c r="H5685" s="606"/>
      <c r="I5685" s="606" t="s">
        <v>1050</v>
      </c>
      <c r="J5685" s="406">
        <v>786.73</v>
      </c>
      <c r="K5685"/>
    </row>
    <row r="5686" spans="1:11" ht="12.75" customHeight="1" thickTop="1" x14ac:dyDescent="0.3">
      <c r="A5686" s="407"/>
      <c r="B5686" s="407"/>
      <c r="C5686" s="407"/>
      <c r="D5686" s="407"/>
      <c r="E5686" s="407"/>
      <c r="F5686" s="407"/>
      <c r="G5686" s="407"/>
      <c r="H5686" s="407"/>
      <c r="I5686" s="407"/>
      <c r="J5686" s="407"/>
      <c r="K5686" s="407"/>
    </row>
    <row r="5687" spans="1:11" ht="15" x14ac:dyDescent="0.3">
      <c r="A5687" s="382" t="s">
        <v>3402</v>
      </c>
      <c r="B5687" s="312" t="s">
        <v>413</v>
      </c>
      <c r="C5687" s="382" t="s">
        <v>414</v>
      </c>
      <c r="D5687" s="382" t="s">
        <v>415</v>
      </c>
      <c r="E5687" s="586" t="s">
        <v>1029</v>
      </c>
      <c r="F5687" s="586"/>
      <c r="G5687" s="383" t="s">
        <v>416</v>
      </c>
      <c r="H5687" s="312" t="s">
        <v>1030</v>
      </c>
      <c r="I5687" s="312" t="s">
        <v>3016</v>
      </c>
      <c r="J5687" s="312" t="s">
        <v>1031</v>
      </c>
      <c r="K5687" s="312" t="s">
        <v>1032</v>
      </c>
    </row>
    <row r="5688" spans="1:11" ht="38.25" customHeight="1" x14ac:dyDescent="0.3">
      <c r="A5688" s="313" t="s">
        <v>1033</v>
      </c>
      <c r="B5688" s="315" t="s">
        <v>2149</v>
      </c>
      <c r="C5688" s="313" t="s">
        <v>408</v>
      </c>
      <c r="D5688" s="313" t="s">
        <v>6091</v>
      </c>
      <c r="E5688" s="603" t="s">
        <v>2256</v>
      </c>
      <c r="F5688" s="603"/>
      <c r="G5688" s="314" t="s">
        <v>4</v>
      </c>
      <c r="H5688" s="399">
        <v>1</v>
      </c>
      <c r="I5688" s="316"/>
      <c r="J5688" s="316">
        <v>103.81</v>
      </c>
      <c r="K5688" s="316">
        <v>103.81</v>
      </c>
    </row>
    <row r="5689" spans="1:11" ht="25.5" customHeight="1" x14ac:dyDescent="0.3">
      <c r="A5689" s="400" t="s">
        <v>1038</v>
      </c>
      <c r="B5689" s="401" t="s">
        <v>2428</v>
      </c>
      <c r="C5689" s="400" t="s">
        <v>408</v>
      </c>
      <c r="D5689" s="400" t="s">
        <v>2429</v>
      </c>
      <c r="E5689" s="605" t="s">
        <v>1039</v>
      </c>
      <c r="F5689" s="605"/>
      <c r="G5689" s="402" t="s">
        <v>4</v>
      </c>
      <c r="H5689" s="403">
        <v>1</v>
      </c>
      <c r="I5689" s="403">
        <v>0</v>
      </c>
      <c r="J5689" s="404">
        <v>45.65</v>
      </c>
      <c r="K5689" s="404">
        <v>45.65</v>
      </c>
    </row>
    <row r="5690" spans="1:11" ht="25.5" customHeight="1" x14ac:dyDescent="0.3">
      <c r="A5690" s="400" t="s">
        <v>1038</v>
      </c>
      <c r="B5690" s="401" t="s">
        <v>2469</v>
      </c>
      <c r="C5690" s="400" t="s">
        <v>408</v>
      </c>
      <c r="D5690" s="400" t="s">
        <v>2470</v>
      </c>
      <c r="E5690" s="605" t="s">
        <v>1039</v>
      </c>
      <c r="F5690" s="605"/>
      <c r="G5690" s="402" t="s">
        <v>4</v>
      </c>
      <c r="H5690" s="403">
        <v>2</v>
      </c>
      <c r="I5690" s="403">
        <v>0</v>
      </c>
      <c r="J5690" s="404">
        <v>8.3699999999999992</v>
      </c>
      <c r="K5690" s="404">
        <v>16.739999999999998</v>
      </c>
    </row>
    <row r="5691" spans="1:11" ht="30" customHeight="1" x14ac:dyDescent="0.3">
      <c r="A5691" s="400" t="s">
        <v>1038</v>
      </c>
      <c r="B5691" s="401" t="s">
        <v>6207</v>
      </c>
      <c r="C5691" s="400" t="s">
        <v>408</v>
      </c>
      <c r="D5691" s="400" t="s">
        <v>1093</v>
      </c>
      <c r="E5691" s="605" t="s">
        <v>1053</v>
      </c>
      <c r="F5691" s="605"/>
      <c r="G5691" s="402" t="s">
        <v>6</v>
      </c>
      <c r="H5691" s="403">
        <v>0.79500000000000004</v>
      </c>
      <c r="I5691" s="403">
        <v>0</v>
      </c>
      <c r="J5691" s="404">
        <v>30.51</v>
      </c>
      <c r="K5691" s="404">
        <v>24.25545</v>
      </c>
    </row>
    <row r="5692" spans="1:11" ht="12.75" customHeight="1" x14ac:dyDescent="0.3">
      <c r="A5692" s="400" t="s">
        <v>1038</v>
      </c>
      <c r="B5692" s="401" t="s">
        <v>6196</v>
      </c>
      <c r="C5692" s="400" t="s">
        <v>408</v>
      </c>
      <c r="D5692" s="400" t="s">
        <v>1139</v>
      </c>
      <c r="E5692" s="605" t="s">
        <v>1053</v>
      </c>
      <c r="F5692" s="605"/>
      <c r="G5692" s="402" t="s">
        <v>6</v>
      </c>
      <c r="H5692" s="403">
        <v>0.79500000000000004</v>
      </c>
      <c r="I5692" s="403">
        <v>0</v>
      </c>
      <c r="J5692" s="404">
        <v>21.59</v>
      </c>
      <c r="K5692" s="404">
        <v>17.16405</v>
      </c>
    </row>
    <row r="5693" spans="1:11" ht="15" customHeight="1" x14ac:dyDescent="0.3">
      <c r="A5693" s="405"/>
      <c r="B5693" s="405"/>
      <c r="C5693" s="405"/>
      <c r="D5693" s="405"/>
      <c r="E5693" s="405" t="s">
        <v>1046</v>
      </c>
      <c r="F5693" s="406">
        <v>41.42</v>
      </c>
      <c r="G5693" s="405" t="s">
        <v>1047</v>
      </c>
      <c r="H5693" s="406">
        <v>0</v>
      </c>
      <c r="I5693" s="405" t="s">
        <v>1048</v>
      </c>
      <c r="J5693" s="406">
        <v>41.42</v>
      </c>
      <c r="K5693"/>
    </row>
    <row r="5694" spans="1:11" ht="14.25" customHeight="1" thickBot="1" x14ac:dyDescent="0.35">
      <c r="A5694" s="405"/>
      <c r="B5694" s="405"/>
      <c r="C5694" s="405"/>
      <c r="D5694" s="405"/>
      <c r="E5694" s="405" t="s">
        <v>1049</v>
      </c>
      <c r="F5694" s="406">
        <v>0</v>
      </c>
      <c r="G5694" s="405"/>
      <c r="H5694" s="606"/>
      <c r="I5694" s="606" t="s">
        <v>1050</v>
      </c>
      <c r="J5694" s="406">
        <v>103.81</v>
      </c>
      <c r="K5694"/>
    </row>
    <row r="5695" spans="1:11" ht="14.25" customHeight="1" thickTop="1" x14ac:dyDescent="0.3">
      <c r="A5695" s="407"/>
      <c r="B5695" s="407"/>
      <c r="C5695" s="407"/>
      <c r="D5695" s="407"/>
      <c r="E5695" s="407"/>
      <c r="F5695" s="407"/>
      <c r="G5695" s="407"/>
      <c r="H5695" s="407"/>
      <c r="I5695" s="407"/>
      <c r="J5695" s="407"/>
      <c r="K5695" s="407"/>
    </row>
    <row r="5696" spans="1:11" ht="38.25" customHeight="1" x14ac:dyDescent="0.3">
      <c r="A5696" s="382" t="s">
        <v>3403</v>
      </c>
      <c r="B5696" s="312" t="s">
        <v>413</v>
      </c>
      <c r="C5696" s="382" t="s">
        <v>414</v>
      </c>
      <c r="D5696" s="382" t="s">
        <v>415</v>
      </c>
      <c r="E5696" s="586" t="s">
        <v>1029</v>
      </c>
      <c r="F5696" s="586"/>
      <c r="G5696" s="383" t="s">
        <v>416</v>
      </c>
      <c r="H5696" s="312" t="s">
        <v>1030</v>
      </c>
      <c r="I5696" s="312" t="s">
        <v>3016</v>
      </c>
      <c r="J5696" s="312" t="s">
        <v>1031</v>
      </c>
      <c r="K5696" s="312" t="s">
        <v>1032</v>
      </c>
    </row>
    <row r="5697" spans="1:11" ht="25.5" customHeight="1" x14ac:dyDescent="0.3">
      <c r="A5697" s="313" t="s">
        <v>1033</v>
      </c>
      <c r="B5697" s="315" t="s">
        <v>977</v>
      </c>
      <c r="C5697" s="313" t="s">
        <v>408</v>
      </c>
      <c r="D5697" s="313" t="s">
        <v>6092</v>
      </c>
      <c r="E5697" s="603" t="s">
        <v>2264</v>
      </c>
      <c r="F5697" s="603"/>
      <c r="G5697" s="314" t="s">
        <v>4</v>
      </c>
      <c r="H5697" s="399">
        <v>1</v>
      </c>
      <c r="I5697" s="316"/>
      <c r="J5697" s="316">
        <v>220.85</v>
      </c>
      <c r="K5697" s="316">
        <v>220.85</v>
      </c>
    </row>
    <row r="5698" spans="1:11" ht="12.75" customHeight="1" x14ac:dyDescent="0.3">
      <c r="A5698" s="400" t="s">
        <v>1038</v>
      </c>
      <c r="B5698" s="401" t="s">
        <v>1356</v>
      </c>
      <c r="C5698" s="400" t="s">
        <v>408</v>
      </c>
      <c r="D5698" s="400" t="s">
        <v>1357</v>
      </c>
      <c r="E5698" s="605" t="s">
        <v>1039</v>
      </c>
      <c r="F5698" s="605"/>
      <c r="G5698" s="402" t="s">
        <v>4</v>
      </c>
      <c r="H5698" s="403">
        <v>1</v>
      </c>
      <c r="I5698" s="403">
        <v>0</v>
      </c>
      <c r="J5698" s="404">
        <v>190.96</v>
      </c>
      <c r="K5698" s="404">
        <v>190.96</v>
      </c>
    </row>
    <row r="5699" spans="1:11" ht="38.25" customHeight="1" x14ac:dyDescent="0.3">
      <c r="A5699" s="400" t="s">
        <v>1038</v>
      </c>
      <c r="B5699" s="401" t="s">
        <v>1114</v>
      </c>
      <c r="C5699" s="400" t="s">
        <v>408</v>
      </c>
      <c r="D5699" s="400" t="s">
        <v>1115</v>
      </c>
      <c r="E5699" s="605" t="s">
        <v>1039</v>
      </c>
      <c r="F5699" s="605"/>
      <c r="G5699" s="402" t="s">
        <v>7</v>
      </c>
      <c r="H5699" s="403">
        <v>5.76</v>
      </c>
      <c r="I5699" s="403">
        <v>0</v>
      </c>
      <c r="J5699" s="404">
        <v>0.23</v>
      </c>
      <c r="K5699" s="404">
        <v>1.3248</v>
      </c>
    </row>
    <row r="5700" spans="1:11" ht="25.5" customHeight="1" x14ac:dyDescent="0.3">
      <c r="A5700" s="400" t="s">
        <v>1038</v>
      </c>
      <c r="B5700" s="401" t="s">
        <v>6301</v>
      </c>
      <c r="C5700" s="400" t="s">
        <v>408</v>
      </c>
      <c r="D5700" s="400" t="s">
        <v>6302</v>
      </c>
      <c r="E5700" s="605" t="s">
        <v>1053</v>
      </c>
      <c r="F5700" s="605"/>
      <c r="G5700" s="402" t="s">
        <v>6</v>
      </c>
      <c r="H5700" s="403">
        <v>0.57199999999999995</v>
      </c>
      <c r="I5700" s="403">
        <v>0</v>
      </c>
      <c r="J5700" s="404">
        <v>21.59</v>
      </c>
      <c r="K5700" s="404">
        <v>12.34948</v>
      </c>
    </row>
    <row r="5701" spans="1:11" ht="25.5" customHeight="1" x14ac:dyDescent="0.3">
      <c r="A5701" s="400" t="s">
        <v>1038</v>
      </c>
      <c r="B5701" s="401" t="s">
        <v>6235</v>
      </c>
      <c r="C5701" s="400" t="s">
        <v>408</v>
      </c>
      <c r="D5701" s="400" t="s">
        <v>6236</v>
      </c>
      <c r="E5701" s="605" t="s">
        <v>1053</v>
      </c>
      <c r="F5701" s="605"/>
      <c r="G5701" s="402" t="s">
        <v>6</v>
      </c>
      <c r="H5701" s="403">
        <v>0.57199999999999995</v>
      </c>
      <c r="I5701" s="403">
        <v>0</v>
      </c>
      <c r="J5701" s="404">
        <v>28.35</v>
      </c>
      <c r="K5701" s="404">
        <v>16.216200000000001</v>
      </c>
    </row>
    <row r="5702" spans="1:11" ht="15" customHeight="1" x14ac:dyDescent="0.3">
      <c r="A5702" s="405"/>
      <c r="B5702" s="405"/>
      <c r="C5702" s="405"/>
      <c r="D5702" s="405"/>
      <c r="E5702" s="405" t="s">
        <v>1046</v>
      </c>
      <c r="F5702" s="406">
        <v>28.57</v>
      </c>
      <c r="G5702" s="405" t="s">
        <v>1047</v>
      </c>
      <c r="H5702" s="406">
        <v>0</v>
      </c>
      <c r="I5702" s="405" t="s">
        <v>1048</v>
      </c>
      <c r="J5702" s="406">
        <v>28.57</v>
      </c>
      <c r="K5702"/>
    </row>
    <row r="5703" spans="1:11" ht="12.75" customHeight="1" thickBot="1" x14ac:dyDescent="0.35">
      <c r="A5703" s="405"/>
      <c r="B5703" s="405"/>
      <c r="C5703" s="405"/>
      <c r="D5703" s="405"/>
      <c r="E5703" s="405" t="s">
        <v>1049</v>
      </c>
      <c r="F5703" s="406">
        <v>0</v>
      </c>
      <c r="G5703" s="405"/>
      <c r="H5703" s="606"/>
      <c r="I5703" s="606" t="s">
        <v>1050</v>
      </c>
      <c r="J5703" s="406">
        <v>220.85</v>
      </c>
      <c r="K5703"/>
    </row>
    <row r="5704" spans="1:11" ht="15.6" thickTop="1" x14ac:dyDescent="0.3">
      <c r="A5704" s="407"/>
      <c r="B5704" s="407"/>
      <c r="C5704" s="407"/>
      <c r="D5704" s="407"/>
      <c r="E5704" s="407"/>
      <c r="F5704" s="407"/>
      <c r="G5704" s="407"/>
      <c r="H5704" s="407"/>
      <c r="I5704" s="407"/>
      <c r="J5704" s="407"/>
      <c r="K5704" s="407"/>
    </row>
    <row r="5705" spans="1:11" ht="15" customHeight="1" x14ac:dyDescent="0.3">
      <c r="A5705" s="382" t="s">
        <v>3404</v>
      </c>
      <c r="B5705" s="312" t="s">
        <v>413</v>
      </c>
      <c r="C5705" s="382" t="s">
        <v>414</v>
      </c>
      <c r="D5705" s="382" t="s">
        <v>415</v>
      </c>
      <c r="E5705" s="586" t="s">
        <v>1029</v>
      </c>
      <c r="F5705" s="586"/>
      <c r="G5705" s="383" t="s">
        <v>416</v>
      </c>
      <c r="H5705" s="312" t="s">
        <v>1030</v>
      </c>
      <c r="I5705" s="312" t="s">
        <v>3016</v>
      </c>
      <c r="J5705" s="312" t="s">
        <v>1031</v>
      </c>
      <c r="K5705" s="312" t="s">
        <v>1032</v>
      </c>
    </row>
    <row r="5706" spans="1:11" ht="15" customHeight="1" x14ac:dyDescent="0.3">
      <c r="A5706" s="313" t="s">
        <v>1033</v>
      </c>
      <c r="B5706" s="315" t="s">
        <v>2932</v>
      </c>
      <c r="C5706" s="313" t="s">
        <v>408</v>
      </c>
      <c r="D5706" s="313" t="s">
        <v>377</v>
      </c>
      <c r="E5706" s="603" t="s">
        <v>3029</v>
      </c>
      <c r="F5706" s="603"/>
      <c r="G5706" s="314" t="s">
        <v>10</v>
      </c>
      <c r="H5706" s="399">
        <v>1</v>
      </c>
      <c r="I5706" s="316"/>
      <c r="J5706" s="316">
        <v>1308.24</v>
      </c>
      <c r="K5706" s="316">
        <v>1308.24</v>
      </c>
    </row>
    <row r="5707" spans="1:11" ht="38.25" customHeight="1" x14ac:dyDescent="0.3">
      <c r="A5707" s="400" t="s">
        <v>1038</v>
      </c>
      <c r="B5707" s="401" t="s">
        <v>3100</v>
      </c>
      <c r="C5707" s="400" t="s">
        <v>408</v>
      </c>
      <c r="D5707" s="400" t="s">
        <v>3101</v>
      </c>
      <c r="E5707" s="605" t="s">
        <v>1039</v>
      </c>
      <c r="F5707" s="605"/>
      <c r="G5707" s="402" t="s">
        <v>3</v>
      </c>
      <c r="H5707" s="403">
        <v>0.25</v>
      </c>
      <c r="I5707" s="403">
        <v>0</v>
      </c>
      <c r="J5707" s="404">
        <v>31.38</v>
      </c>
      <c r="K5707" s="404">
        <v>7.8449999999999998</v>
      </c>
    </row>
    <row r="5708" spans="1:11" ht="25.5" customHeight="1" x14ac:dyDescent="0.3">
      <c r="A5708" s="400" t="s">
        <v>1038</v>
      </c>
      <c r="B5708" s="401" t="s">
        <v>3088</v>
      </c>
      <c r="C5708" s="400" t="s">
        <v>408</v>
      </c>
      <c r="D5708" s="400" t="s">
        <v>3089</v>
      </c>
      <c r="E5708" s="605" t="s">
        <v>1039</v>
      </c>
      <c r="F5708" s="605"/>
      <c r="G5708" s="402" t="s">
        <v>7</v>
      </c>
      <c r="H5708" s="403">
        <v>12</v>
      </c>
      <c r="I5708" s="403">
        <v>0</v>
      </c>
      <c r="J5708" s="404">
        <v>22.65</v>
      </c>
      <c r="K5708" s="404">
        <v>271.8</v>
      </c>
    </row>
    <row r="5709" spans="1:11" ht="25.5" customHeight="1" x14ac:dyDescent="0.3">
      <c r="A5709" s="400" t="s">
        <v>1038</v>
      </c>
      <c r="B5709" s="401" t="s">
        <v>3102</v>
      </c>
      <c r="C5709" s="400" t="s">
        <v>408</v>
      </c>
      <c r="D5709" s="400" t="s">
        <v>3103</v>
      </c>
      <c r="E5709" s="605" t="s">
        <v>1039</v>
      </c>
      <c r="F5709" s="605"/>
      <c r="G5709" s="402" t="s">
        <v>7</v>
      </c>
      <c r="H5709" s="403">
        <v>3</v>
      </c>
      <c r="I5709" s="403">
        <v>0</v>
      </c>
      <c r="J5709" s="404">
        <v>5.43</v>
      </c>
      <c r="K5709" s="404">
        <v>16.29</v>
      </c>
    </row>
    <row r="5710" spans="1:11" ht="12.75" customHeight="1" x14ac:dyDescent="0.3">
      <c r="A5710" s="400" t="s">
        <v>1038</v>
      </c>
      <c r="B5710" s="401" t="s">
        <v>3086</v>
      </c>
      <c r="C5710" s="400" t="s">
        <v>408</v>
      </c>
      <c r="D5710" s="400" t="s">
        <v>3087</v>
      </c>
      <c r="E5710" s="605" t="s">
        <v>1039</v>
      </c>
      <c r="F5710" s="605"/>
      <c r="G5710" s="402" t="s">
        <v>7</v>
      </c>
      <c r="H5710" s="403">
        <v>6</v>
      </c>
      <c r="I5710" s="403">
        <v>0</v>
      </c>
      <c r="J5710" s="404">
        <v>40.97</v>
      </c>
      <c r="K5710" s="404">
        <v>245.82</v>
      </c>
    </row>
    <row r="5711" spans="1:11" ht="25.5" customHeight="1" x14ac:dyDescent="0.3">
      <c r="A5711" s="400" t="s">
        <v>1038</v>
      </c>
      <c r="B5711" s="401" t="s">
        <v>1258</v>
      </c>
      <c r="C5711" s="400" t="s">
        <v>408</v>
      </c>
      <c r="D5711" s="400" t="s">
        <v>1259</v>
      </c>
      <c r="E5711" s="605" t="s">
        <v>1039</v>
      </c>
      <c r="F5711" s="605"/>
      <c r="G5711" s="402" t="s">
        <v>4</v>
      </c>
      <c r="H5711" s="403">
        <v>2</v>
      </c>
      <c r="I5711" s="403">
        <v>0</v>
      </c>
      <c r="J5711" s="404">
        <v>8.82</v>
      </c>
      <c r="K5711" s="404">
        <v>17.64</v>
      </c>
    </row>
    <row r="5712" spans="1:11" ht="25.5" customHeight="1" x14ac:dyDescent="0.3">
      <c r="A5712" s="400" t="s">
        <v>1038</v>
      </c>
      <c r="B5712" s="401" t="s">
        <v>1042</v>
      </c>
      <c r="C5712" s="400" t="s">
        <v>408</v>
      </c>
      <c r="D5712" s="400" t="s">
        <v>1043</v>
      </c>
      <c r="E5712" s="605" t="s">
        <v>1039</v>
      </c>
      <c r="F5712" s="605"/>
      <c r="G5712" s="402" t="s">
        <v>7</v>
      </c>
      <c r="H5712" s="403">
        <v>3</v>
      </c>
      <c r="I5712" s="403">
        <v>0</v>
      </c>
      <c r="J5712" s="404">
        <v>1.31</v>
      </c>
      <c r="K5712" s="404">
        <v>3.93</v>
      </c>
    </row>
    <row r="5713" spans="1:11" ht="25.5" customHeight="1" x14ac:dyDescent="0.3">
      <c r="A5713" s="400" t="s">
        <v>1038</v>
      </c>
      <c r="B5713" s="401" t="s">
        <v>3076</v>
      </c>
      <c r="C5713" s="400" t="s">
        <v>408</v>
      </c>
      <c r="D5713" s="400" t="s">
        <v>3077</v>
      </c>
      <c r="E5713" s="605" t="s">
        <v>1039</v>
      </c>
      <c r="F5713" s="605"/>
      <c r="G5713" s="402" t="s">
        <v>4</v>
      </c>
      <c r="H5713" s="403">
        <v>10</v>
      </c>
      <c r="I5713" s="403">
        <v>0</v>
      </c>
      <c r="J5713" s="404">
        <v>20.02</v>
      </c>
      <c r="K5713" s="404">
        <v>200.2</v>
      </c>
    </row>
    <row r="5714" spans="1:11" ht="15" customHeight="1" x14ac:dyDescent="0.3">
      <c r="A5714" s="400" t="s">
        <v>1038</v>
      </c>
      <c r="B5714" s="401" t="s">
        <v>1114</v>
      </c>
      <c r="C5714" s="400" t="s">
        <v>408</v>
      </c>
      <c r="D5714" s="400" t="s">
        <v>1115</v>
      </c>
      <c r="E5714" s="605" t="s">
        <v>1039</v>
      </c>
      <c r="F5714" s="605"/>
      <c r="G5714" s="402" t="s">
        <v>7</v>
      </c>
      <c r="H5714" s="403">
        <v>1</v>
      </c>
      <c r="I5714" s="403">
        <v>0</v>
      </c>
      <c r="J5714" s="404">
        <v>0.23</v>
      </c>
      <c r="K5714" s="404">
        <v>0.23</v>
      </c>
    </row>
    <row r="5715" spans="1:11" ht="12.75" customHeight="1" x14ac:dyDescent="0.3">
      <c r="A5715" s="400" t="s">
        <v>1038</v>
      </c>
      <c r="B5715" s="401" t="s">
        <v>3098</v>
      </c>
      <c r="C5715" s="400" t="s">
        <v>408</v>
      </c>
      <c r="D5715" s="400" t="s">
        <v>3099</v>
      </c>
      <c r="E5715" s="605" t="s">
        <v>1039</v>
      </c>
      <c r="F5715" s="605"/>
      <c r="G5715" s="402" t="s">
        <v>10</v>
      </c>
      <c r="H5715" s="403">
        <v>1</v>
      </c>
      <c r="I5715" s="403">
        <v>0</v>
      </c>
      <c r="J5715" s="404">
        <v>170</v>
      </c>
      <c r="K5715" s="404">
        <v>170</v>
      </c>
    </row>
    <row r="5716" spans="1:11" ht="14.25" customHeight="1" x14ac:dyDescent="0.3">
      <c r="A5716" s="400" t="s">
        <v>1038</v>
      </c>
      <c r="B5716" s="401" t="s">
        <v>3068</v>
      </c>
      <c r="C5716" s="400" t="s">
        <v>408</v>
      </c>
      <c r="D5716" s="400" t="s">
        <v>3069</v>
      </c>
      <c r="E5716" s="605" t="s">
        <v>1039</v>
      </c>
      <c r="F5716" s="605"/>
      <c r="G5716" s="402" t="s">
        <v>4</v>
      </c>
      <c r="H5716" s="403">
        <v>30</v>
      </c>
      <c r="I5716" s="403">
        <v>0</v>
      </c>
      <c r="J5716" s="404">
        <v>11.99</v>
      </c>
      <c r="K5716" s="404">
        <v>359.7</v>
      </c>
    </row>
    <row r="5717" spans="1:11" ht="14.25" customHeight="1" x14ac:dyDescent="0.3">
      <c r="A5717" s="400" t="s">
        <v>1038</v>
      </c>
      <c r="B5717" s="401" t="s">
        <v>3066</v>
      </c>
      <c r="C5717" s="400" t="s">
        <v>408</v>
      </c>
      <c r="D5717" s="400" t="s">
        <v>3067</v>
      </c>
      <c r="E5717" s="605" t="s">
        <v>1039</v>
      </c>
      <c r="F5717" s="605"/>
      <c r="G5717" s="402" t="s">
        <v>4</v>
      </c>
      <c r="H5717" s="403">
        <v>2</v>
      </c>
      <c r="I5717" s="403">
        <v>0</v>
      </c>
      <c r="J5717" s="404">
        <v>7.39</v>
      </c>
      <c r="K5717" s="404">
        <v>14.78</v>
      </c>
    </row>
    <row r="5718" spans="1:11" ht="15" customHeight="1" x14ac:dyDescent="0.3">
      <c r="A5718" s="405"/>
      <c r="B5718" s="405"/>
      <c r="C5718" s="405"/>
      <c r="D5718" s="405"/>
      <c r="E5718" s="405" t="s">
        <v>1046</v>
      </c>
      <c r="F5718" s="406">
        <v>0</v>
      </c>
      <c r="G5718" s="405" t="s">
        <v>1047</v>
      </c>
      <c r="H5718" s="406">
        <v>0</v>
      </c>
      <c r="I5718" s="405" t="s">
        <v>1048</v>
      </c>
      <c r="J5718" s="406">
        <v>0</v>
      </c>
      <c r="K5718"/>
    </row>
    <row r="5719" spans="1:11" ht="38.25" customHeight="1" thickBot="1" x14ac:dyDescent="0.35">
      <c r="A5719" s="405"/>
      <c r="B5719" s="405"/>
      <c r="C5719" s="405"/>
      <c r="D5719" s="405"/>
      <c r="E5719" s="405" t="s">
        <v>1049</v>
      </c>
      <c r="F5719" s="406">
        <v>0</v>
      </c>
      <c r="G5719" s="405"/>
      <c r="H5719" s="606"/>
      <c r="I5719" s="606" t="s">
        <v>1050</v>
      </c>
      <c r="J5719" s="406">
        <v>1308.24</v>
      </c>
      <c r="K5719"/>
    </row>
    <row r="5720" spans="1:11" ht="25.5" customHeight="1" thickTop="1" x14ac:dyDescent="0.3">
      <c r="A5720" s="407"/>
      <c r="B5720" s="407"/>
      <c r="C5720" s="407"/>
      <c r="D5720" s="407"/>
      <c r="E5720" s="407"/>
      <c r="F5720" s="407"/>
      <c r="G5720" s="407"/>
      <c r="H5720" s="407"/>
      <c r="I5720" s="407"/>
      <c r="J5720" s="407"/>
      <c r="K5720" s="407"/>
    </row>
    <row r="5721" spans="1:11" ht="38.25" customHeight="1" x14ac:dyDescent="0.3">
      <c r="A5721" s="382" t="s">
        <v>3405</v>
      </c>
      <c r="B5721" s="312" t="s">
        <v>413</v>
      </c>
      <c r="C5721" s="382" t="s">
        <v>414</v>
      </c>
      <c r="D5721" s="382" t="s">
        <v>415</v>
      </c>
      <c r="E5721" s="586" t="s">
        <v>1029</v>
      </c>
      <c r="F5721" s="586"/>
      <c r="G5721" s="383" t="s">
        <v>416</v>
      </c>
      <c r="H5721" s="312" t="s">
        <v>1030</v>
      </c>
      <c r="I5721" s="312" t="s">
        <v>3016</v>
      </c>
      <c r="J5721" s="312" t="s">
        <v>1031</v>
      </c>
      <c r="K5721" s="312" t="s">
        <v>1032</v>
      </c>
    </row>
    <row r="5722" spans="1:11" ht="38.25" customHeight="1" x14ac:dyDescent="0.3">
      <c r="A5722" s="313" t="s">
        <v>1033</v>
      </c>
      <c r="B5722" s="315" t="s">
        <v>890</v>
      </c>
      <c r="C5722" s="313" t="s">
        <v>408</v>
      </c>
      <c r="D5722" s="313" t="s">
        <v>447</v>
      </c>
      <c r="E5722" s="603" t="s">
        <v>2259</v>
      </c>
      <c r="F5722" s="603"/>
      <c r="G5722" s="314" t="s">
        <v>380</v>
      </c>
      <c r="H5722" s="399">
        <v>1</v>
      </c>
      <c r="I5722" s="316"/>
      <c r="J5722" s="316">
        <v>4.55</v>
      </c>
      <c r="K5722" s="316">
        <v>4.55</v>
      </c>
    </row>
    <row r="5723" spans="1:11" ht="25.5" customHeight="1" x14ac:dyDescent="0.3">
      <c r="A5723" s="408" t="s">
        <v>1034</v>
      </c>
      <c r="B5723" s="409" t="s">
        <v>1037</v>
      </c>
      <c r="C5723" s="408" t="s">
        <v>395</v>
      </c>
      <c r="D5723" s="408" t="s">
        <v>135</v>
      </c>
      <c r="E5723" s="604" t="s">
        <v>7768</v>
      </c>
      <c r="F5723" s="604"/>
      <c r="G5723" s="410" t="s">
        <v>6</v>
      </c>
      <c r="H5723" s="412">
        <v>0.10299999999999999</v>
      </c>
      <c r="I5723" s="412">
        <v>0</v>
      </c>
      <c r="J5723" s="411">
        <v>41.81</v>
      </c>
      <c r="K5723" s="411">
        <v>4.3064299999999998</v>
      </c>
    </row>
    <row r="5724" spans="1:11" ht="25.5" customHeight="1" x14ac:dyDescent="0.3">
      <c r="A5724" s="400" t="s">
        <v>1038</v>
      </c>
      <c r="B5724" s="401" t="s">
        <v>1128</v>
      </c>
      <c r="C5724" s="400" t="s">
        <v>408</v>
      </c>
      <c r="D5724" s="400" t="s">
        <v>1129</v>
      </c>
      <c r="E5724" s="605" t="s">
        <v>1039</v>
      </c>
      <c r="F5724" s="605"/>
      <c r="G5724" s="402" t="s">
        <v>4</v>
      </c>
      <c r="H5724" s="403">
        <v>1</v>
      </c>
      <c r="I5724" s="403">
        <v>0</v>
      </c>
      <c r="J5724" s="404">
        <v>0.24</v>
      </c>
      <c r="K5724" s="404">
        <v>0.24</v>
      </c>
    </row>
    <row r="5725" spans="1:11" ht="25.5" customHeight="1" x14ac:dyDescent="0.3">
      <c r="A5725" s="405"/>
      <c r="B5725" s="405"/>
      <c r="C5725" s="405"/>
      <c r="D5725" s="405"/>
      <c r="E5725" s="405" t="s">
        <v>1046</v>
      </c>
      <c r="F5725" s="406">
        <v>3.24</v>
      </c>
      <c r="G5725" s="405" t="s">
        <v>1047</v>
      </c>
      <c r="H5725" s="406">
        <v>0</v>
      </c>
      <c r="I5725" s="405" t="s">
        <v>1048</v>
      </c>
      <c r="J5725" s="406">
        <v>3.24</v>
      </c>
      <c r="K5725"/>
    </row>
    <row r="5726" spans="1:11" ht="15" customHeight="1" thickBot="1" x14ac:dyDescent="0.35">
      <c r="A5726" s="405"/>
      <c r="B5726" s="405"/>
      <c r="C5726" s="405"/>
      <c r="D5726" s="405"/>
      <c r="E5726" s="405" t="s">
        <v>1049</v>
      </c>
      <c r="F5726" s="406">
        <v>0</v>
      </c>
      <c r="G5726" s="405"/>
      <c r="H5726" s="606"/>
      <c r="I5726" s="606" t="s">
        <v>1050</v>
      </c>
      <c r="J5726" s="406">
        <v>4.55</v>
      </c>
      <c r="K5726"/>
    </row>
    <row r="5727" spans="1:11" ht="15.6" thickTop="1" x14ac:dyDescent="0.3">
      <c r="A5727" s="407"/>
      <c r="B5727" s="407"/>
      <c r="C5727" s="407"/>
      <c r="D5727" s="407"/>
      <c r="E5727" s="407"/>
      <c r="F5727" s="407"/>
      <c r="G5727" s="407"/>
      <c r="H5727" s="407"/>
      <c r="I5727" s="407"/>
      <c r="J5727" s="407"/>
      <c r="K5727" s="407"/>
    </row>
    <row r="5728" spans="1:11" ht="14.25" customHeight="1" x14ac:dyDescent="0.3">
      <c r="A5728" s="382" t="s">
        <v>3406</v>
      </c>
      <c r="B5728" s="312" t="s">
        <v>413</v>
      </c>
      <c r="C5728" s="382" t="s">
        <v>414</v>
      </c>
      <c r="D5728" s="382" t="s">
        <v>415</v>
      </c>
      <c r="E5728" s="586" t="s">
        <v>1029</v>
      </c>
      <c r="F5728" s="586"/>
      <c r="G5728" s="383" t="s">
        <v>416</v>
      </c>
      <c r="H5728" s="312" t="s">
        <v>1030</v>
      </c>
      <c r="I5728" s="312" t="s">
        <v>3016</v>
      </c>
      <c r="J5728" s="312" t="s">
        <v>1031</v>
      </c>
      <c r="K5728" s="312" t="s">
        <v>1032</v>
      </c>
    </row>
    <row r="5729" spans="1:11" ht="14.25" customHeight="1" x14ac:dyDescent="0.3">
      <c r="A5729" s="313" t="s">
        <v>1033</v>
      </c>
      <c r="B5729" s="315" t="s">
        <v>875</v>
      </c>
      <c r="C5729" s="313" t="s">
        <v>408</v>
      </c>
      <c r="D5729" s="313" t="s">
        <v>425</v>
      </c>
      <c r="E5729" s="603" t="s">
        <v>2259</v>
      </c>
      <c r="F5729" s="603"/>
      <c r="G5729" s="314" t="s">
        <v>4</v>
      </c>
      <c r="H5729" s="399">
        <v>1</v>
      </c>
      <c r="I5729" s="316"/>
      <c r="J5729" s="316">
        <v>13.77</v>
      </c>
      <c r="K5729" s="316">
        <v>13.77</v>
      </c>
    </row>
    <row r="5730" spans="1:11" ht="15" customHeight="1" x14ac:dyDescent="0.3">
      <c r="A5730" s="400" t="s">
        <v>1038</v>
      </c>
      <c r="B5730" s="401" t="s">
        <v>7505</v>
      </c>
      <c r="C5730" s="400" t="s">
        <v>408</v>
      </c>
      <c r="D5730" s="400" t="s">
        <v>7506</v>
      </c>
      <c r="E5730" s="605" t="s">
        <v>1039</v>
      </c>
      <c r="F5730" s="605"/>
      <c r="G5730" s="402" t="s">
        <v>4</v>
      </c>
      <c r="H5730" s="403">
        <v>4</v>
      </c>
      <c r="I5730" s="403">
        <v>0</v>
      </c>
      <c r="J5730" s="404">
        <v>0.1</v>
      </c>
      <c r="K5730" s="404">
        <v>0.4</v>
      </c>
    </row>
    <row r="5731" spans="1:11" ht="25.5" customHeight="1" x14ac:dyDescent="0.3">
      <c r="A5731" s="400" t="s">
        <v>1038</v>
      </c>
      <c r="B5731" s="401" t="s">
        <v>7464</v>
      </c>
      <c r="C5731" s="400" t="s">
        <v>408</v>
      </c>
      <c r="D5731" s="400" t="s">
        <v>7465</v>
      </c>
      <c r="E5731" s="605" t="s">
        <v>1039</v>
      </c>
      <c r="F5731" s="605"/>
      <c r="G5731" s="402" t="s">
        <v>4</v>
      </c>
      <c r="H5731" s="403">
        <v>4</v>
      </c>
      <c r="I5731" s="403">
        <v>0</v>
      </c>
      <c r="J5731" s="404">
        <v>0.13</v>
      </c>
      <c r="K5731" s="404">
        <v>0.52</v>
      </c>
    </row>
    <row r="5732" spans="1:11" ht="25.5" customHeight="1" x14ac:dyDescent="0.3">
      <c r="A5732" s="400" t="s">
        <v>1038</v>
      </c>
      <c r="B5732" s="401" t="s">
        <v>7306</v>
      </c>
      <c r="C5732" s="400" t="s">
        <v>408</v>
      </c>
      <c r="D5732" s="400" t="s">
        <v>7307</v>
      </c>
      <c r="E5732" s="605" t="s">
        <v>1039</v>
      </c>
      <c r="F5732" s="605"/>
      <c r="G5732" s="402" t="s">
        <v>4</v>
      </c>
      <c r="H5732" s="403">
        <v>8</v>
      </c>
      <c r="I5732" s="403">
        <v>0</v>
      </c>
      <c r="J5732" s="404">
        <v>0.13</v>
      </c>
      <c r="K5732" s="404">
        <v>1.04</v>
      </c>
    </row>
    <row r="5733" spans="1:11" ht="25.5" customHeight="1" x14ac:dyDescent="0.3">
      <c r="A5733" s="400" t="s">
        <v>1038</v>
      </c>
      <c r="B5733" s="401" t="s">
        <v>7250</v>
      </c>
      <c r="C5733" s="400" t="s">
        <v>408</v>
      </c>
      <c r="D5733" s="400" t="s">
        <v>7251</v>
      </c>
      <c r="E5733" s="605" t="s">
        <v>1039</v>
      </c>
      <c r="F5733" s="605"/>
      <c r="G5733" s="402" t="s">
        <v>4</v>
      </c>
      <c r="H5733" s="403">
        <v>1</v>
      </c>
      <c r="I5733" s="403">
        <v>0</v>
      </c>
      <c r="J5733" s="404">
        <v>1.3</v>
      </c>
      <c r="K5733" s="404">
        <v>1.3</v>
      </c>
    </row>
    <row r="5734" spans="1:11" ht="25.5" customHeight="1" x14ac:dyDescent="0.3">
      <c r="A5734" s="400" t="s">
        <v>1038</v>
      </c>
      <c r="B5734" s="401" t="s">
        <v>1079</v>
      </c>
      <c r="C5734" s="400" t="s">
        <v>408</v>
      </c>
      <c r="D5734" s="400" t="s">
        <v>1080</v>
      </c>
      <c r="E5734" s="605" t="s">
        <v>1039</v>
      </c>
      <c r="F5734" s="605"/>
      <c r="G5734" s="402" t="s">
        <v>4</v>
      </c>
      <c r="H5734" s="403">
        <v>1</v>
      </c>
      <c r="I5734" s="403">
        <v>0</v>
      </c>
      <c r="J5734" s="404">
        <v>3.01</v>
      </c>
      <c r="K5734" s="404">
        <v>3.01</v>
      </c>
    </row>
    <row r="5735" spans="1:11" ht="15" x14ac:dyDescent="0.3">
      <c r="A5735" s="400" t="s">
        <v>1038</v>
      </c>
      <c r="B5735" s="401" t="s">
        <v>6207</v>
      </c>
      <c r="C5735" s="400" t="s">
        <v>408</v>
      </c>
      <c r="D5735" s="400" t="s">
        <v>1093</v>
      </c>
      <c r="E5735" s="605" t="s">
        <v>1053</v>
      </c>
      <c r="F5735" s="605"/>
      <c r="G5735" s="402" t="s">
        <v>6</v>
      </c>
      <c r="H5735" s="403">
        <v>0.14399999999999999</v>
      </c>
      <c r="I5735" s="403">
        <v>0</v>
      </c>
      <c r="J5735" s="404">
        <v>30.51</v>
      </c>
      <c r="K5735" s="404">
        <v>4.39344</v>
      </c>
    </row>
    <row r="5736" spans="1:11" ht="15" customHeight="1" x14ac:dyDescent="0.3">
      <c r="A5736" s="400" t="s">
        <v>1038</v>
      </c>
      <c r="B5736" s="401" t="s">
        <v>6196</v>
      </c>
      <c r="C5736" s="400" t="s">
        <v>408</v>
      </c>
      <c r="D5736" s="400" t="s">
        <v>1139</v>
      </c>
      <c r="E5736" s="605" t="s">
        <v>1053</v>
      </c>
      <c r="F5736" s="605"/>
      <c r="G5736" s="402" t="s">
        <v>6</v>
      </c>
      <c r="H5736" s="403">
        <v>0.14399999999999999</v>
      </c>
      <c r="I5736" s="403">
        <v>0</v>
      </c>
      <c r="J5736" s="404">
        <v>21.59</v>
      </c>
      <c r="K5736" s="404">
        <v>3.1089600000000002</v>
      </c>
    </row>
    <row r="5737" spans="1:11" ht="14.25" customHeight="1" x14ac:dyDescent="0.3">
      <c r="A5737" s="405"/>
      <c r="B5737" s="405"/>
      <c r="C5737" s="405"/>
      <c r="D5737" s="405"/>
      <c r="E5737" s="405" t="s">
        <v>1046</v>
      </c>
      <c r="F5737" s="406">
        <v>7.5</v>
      </c>
      <c r="G5737" s="405" t="s">
        <v>1047</v>
      </c>
      <c r="H5737" s="406">
        <v>0</v>
      </c>
      <c r="I5737" s="405" t="s">
        <v>1048</v>
      </c>
      <c r="J5737" s="406">
        <v>7.5</v>
      </c>
      <c r="K5737"/>
    </row>
    <row r="5738" spans="1:11" ht="14.25" customHeight="1" thickBot="1" x14ac:dyDescent="0.35">
      <c r="A5738" s="405"/>
      <c r="B5738" s="405"/>
      <c r="C5738" s="405"/>
      <c r="D5738" s="405"/>
      <c r="E5738" s="405" t="s">
        <v>1049</v>
      </c>
      <c r="F5738" s="406">
        <v>0</v>
      </c>
      <c r="G5738" s="405"/>
      <c r="H5738" s="606"/>
      <c r="I5738" s="606" t="s">
        <v>1050</v>
      </c>
      <c r="J5738" s="406">
        <v>13.77</v>
      </c>
      <c r="K5738"/>
    </row>
    <row r="5739" spans="1:11" ht="14.25" customHeight="1" thickTop="1" x14ac:dyDescent="0.3">
      <c r="A5739" s="407"/>
      <c r="B5739" s="407"/>
      <c r="C5739" s="407"/>
      <c r="D5739" s="407"/>
      <c r="E5739" s="407"/>
      <c r="F5739" s="407"/>
      <c r="G5739" s="407"/>
      <c r="H5739" s="407"/>
      <c r="I5739" s="407"/>
      <c r="J5739" s="407"/>
      <c r="K5739" s="407"/>
    </row>
    <row r="5740" spans="1:11" ht="15" x14ac:dyDescent="0.3">
      <c r="A5740" s="382" t="s">
        <v>3407</v>
      </c>
      <c r="B5740" s="312" t="s">
        <v>413</v>
      </c>
      <c r="C5740" s="382" t="s">
        <v>414</v>
      </c>
      <c r="D5740" s="382" t="s">
        <v>415</v>
      </c>
      <c r="E5740" s="586" t="s">
        <v>1029</v>
      </c>
      <c r="F5740" s="586"/>
      <c r="G5740" s="383" t="s">
        <v>416</v>
      </c>
      <c r="H5740" s="312" t="s">
        <v>1030</v>
      </c>
      <c r="I5740" s="312" t="s">
        <v>3016</v>
      </c>
      <c r="J5740" s="312" t="s">
        <v>1031</v>
      </c>
      <c r="K5740" s="312" t="s">
        <v>1032</v>
      </c>
    </row>
    <row r="5741" spans="1:11" ht="38.25" customHeight="1" x14ac:dyDescent="0.3">
      <c r="A5741" s="313" t="s">
        <v>1033</v>
      </c>
      <c r="B5741" s="315" t="s">
        <v>879</v>
      </c>
      <c r="C5741" s="313" t="s">
        <v>408</v>
      </c>
      <c r="D5741" s="313" t="s">
        <v>429</v>
      </c>
      <c r="E5741" s="603" t="s">
        <v>2259</v>
      </c>
      <c r="F5741" s="603"/>
      <c r="G5741" s="314" t="s">
        <v>4</v>
      </c>
      <c r="H5741" s="399">
        <v>1</v>
      </c>
      <c r="I5741" s="316"/>
      <c r="J5741" s="316">
        <v>39.979999999999997</v>
      </c>
      <c r="K5741" s="316">
        <v>39.979999999999997</v>
      </c>
    </row>
    <row r="5742" spans="1:11" ht="38.25" customHeight="1" x14ac:dyDescent="0.3">
      <c r="A5742" s="408" t="s">
        <v>1034</v>
      </c>
      <c r="B5742" s="409" t="s">
        <v>1037</v>
      </c>
      <c r="C5742" s="408" t="s">
        <v>395</v>
      </c>
      <c r="D5742" s="408" t="s">
        <v>135</v>
      </c>
      <c r="E5742" s="604" t="s">
        <v>7768</v>
      </c>
      <c r="F5742" s="604"/>
      <c r="G5742" s="410" t="s">
        <v>6</v>
      </c>
      <c r="H5742" s="412">
        <v>0.26600000000000001</v>
      </c>
      <c r="I5742" s="412">
        <v>0</v>
      </c>
      <c r="J5742" s="411">
        <v>41.81</v>
      </c>
      <c r="K5742" s="411">
        <v>11.121460000000001</v>
      </c>
    </row>
    <row r="5743" spans="1:11" ht="25.5" customHeight="1" x14ac:dyDescent="0.3">
      <c r="A5743" s="408" t="s">
        <v>1034</v>
      </c>
      <c r="B5743" s="409" t="s">
        <v>1035</v>
      </c>
      <c r="C5743" s="408" t="s">
        <v>395</v>
      </c>
      <c r="D5743" s="408" t="s">
        <v>128</v>
      </c>
      <c r="E5743" s="604" t="s">
        <v>7768</v>
      </c>
      <c r="F5743" s="604"/>
      <c r="G5743" s="410" t="s">
        <v>6</v>
      </c>
      <c r="H5743" s="412">
        <v>0.26600000000000001</v>
      </c>
      <c r="I5743" s="412">
        <v>0</v>
      </c>
      <c r="J5743" s="411">
        <v>34.5</v>
      </c>
      <c r="K5743" s="411">
        <v>9.1769999999999996</v>
      </c>
    </row>
    <row r="5744" spans="1:11" ht="25.5" customHeight="1" x14ac:dyDescent="0.3">
      <c r="A5744" s="400" t="s">
        <v>1038</v>
      </c>
      <c r="B5744" s="401" t="s">
        <v>1087</v>
      </c>
      <c r="C5744" s="400" t="s">
        <v>408</v>
      </c>
      <c r="D5744" s="400" t="s">
        <v>1088</v>
      </c>
      <c r="E5744" s="605" t="s">
        <v>1039</v>
      </c>
      <c r="F5744" s="605"/>
      <c r="G5744" s="402" t="s">
        <v>4</v>
      </c>
      <c r="H5744" s="403">
        <v>1</v>
      </c>
      <c r="I5744" s="403">
        <v>0</v>
      </c>
      <c r="J5744" s="404">
        <v>19.68</v>
      </c>
      <c r="K5744" s="404">
        <v>19.68</v>
      </c>
    </row>
    <row r="5745" spans="1:11" ht="25.5" customHeight="1" x14ac:dyDescent="0.3">
      <c r="A5745" s="405"/>
      <c r="B5745" s="405"/>
      <c r="C5745" s="405"/>
      <c r="D5745" s="405"/>
      <c r="E5745" s="405" t="s">
        <v>1046</v>
      </c>
      <c r="F5745" s="406">
        <v>14.81</v>
      </c>
      <c r="G5745" s="405" t="s">
        <v>1047</v>
      </c>
      <c r="H5745" s="406">
        <v>0</v>
      </c>
      <c r="I5745" s="405" t="s">
        <v>1048</v>
      </c>
      <c r="J5745" s="406">
        <v>14.81</v>
      </c>
      <c r="K5745"/>
    </row>
    <row r="5746" spans="1:11" ht="15.6" thickBot="1" x14ac:dyDescent="0.35">
      <c r="A5746" s="405"/>
      <c r="B5746" s="405"/>
      <c r="C5746" s="405"/>
      <c r="D5746" s="405"/>
      <c r="E5746" s="405" t="s">
        <v>1049</v>
      </c>
      <c r="F5746" s="406">
        <v>0</v>
      </c>
      <c r="G5746" s="405"/>
      <c r="H5746" s="606"/>
      <c r="I5746" s="606" t="s">
        <v>1050</v>
      </c>
      <c r="J5746" s="406">
        <v>39.979999999999997</v>
      </c>
      <c r="K5746"/>
    </row>
    <row r="5747" spans="1:11" ht="14.25" customHeight="1" thickTop="1" x14ac:dyDescent="0.3">
      <c r="A5747" s="407"/>
      <c r="B5747" s="407"/>
      <c r="C5747" s="407"/>
      <c r="D5747" s="407"/>
      <c r="E5747" s="407"/>
      <c r="F5747" s="407"/>
      <c r="G5747" s="407"/>
      <c r="H5747" s="407"/>
      <c r="I5747" s="407"/>
      <c r="J5747" s="407"/>
      <c r="K5747" s="407"/>
    </row>
    <row r="5748" spans="1:11" ht="15" customHeight="1" x14ac:dyDescent="0.3">
      <c r="A5748" s="382" t="s">
        <v>3408</v>
      </c>
      <c r="B5748" s="312" t="s">
        <v>413</v>
      </c>
      <c r="C5748" s="382" t="s">
        <v>414</v>
      </c>
      <c r="D5748" s="382" t="s">
        <v>415</v>
      </c>
      <c r="E5748" s="586" t="s">
        <v>1029</v>
      </c>
      <c r="F5748" s="586"/>
      <c r="G5748" s="383" t="s">
        <v>416</v>
      </c>
      <c r="H5748" s="312" t="s">
        <v>1030</v>
      </c>
      <c r="I5748" s="312" t="s">
        <v>3016</v>
      </c>
      <c r="J5748" s="312" t="s">
        <v>1031</v>
      </c>
      <c r="K5748" s="312" t="s">
        <v>1032</v>
      </c>
    </row>
    <row r="5749" spans="1:11" ht="14.25" customHeight="1" x14ac:dyDescent="0.3">
      <c r="A5749" s="313" t="s">
        <v>1033</v>
      </c>
      <c r="B5749" s="315" t="s">
        <v>3996</v>
      </c>
      <c r="C5749" s="313" t="s">
        <v>408</v>
      </c>
      <c r="D5749" s="313" t="s">
        <v>3401</v>
      </c>
      <c r="E5749" s="603" t="s">
        <v>2259</v>
      </c>
      <c r="F5749" s="603"/>
      <c r="G5749" s="314" t="s">
        <v>4</v>
      </c>
      <c r="H5749" s="399">
        <v>1</v>
      </c>
      <c r="I5749" s="316"/>
      <c r="J5749" s="316">
        <v>18.97</v>
      </c>
      <c r="K5749" s="316">
        <v>18.97</v>
      </c>
    </row>
    <row r="5750" spans="1:11" ht="15" x14ac:dyDescent="0.3">
      <c r="A5750" s="400" t="s">
        <v>1038</v>
      </c>
      <c r="B5750" s="401" t="s">
        <v>7505</v>
      </c>
      <c r="C5750" s="400" t="s">
        <v>408</v>
      </c>
      <c r="D5750" s="400" t="s">
        <v>7506</v>
      </c>
      <c r="E5750" s="605" t="s">
        <v>1039</v>
      </c>
      <c r="F5750" s="605"/>
      <c r="G5750" s="402" t="s">
        <v>4</v>
      </c>
      <c r="H5750" s="403">
        <v>1</v>
      </c>
      <c r="I5750" s="403">
        <v>0</v>
      </c>
      <c r="J5750" s="404">
        <v>0.1</v>
      </c>
      <c r="K5750" s="404">
        <v>0.1</v>
      </c>
    </row>
    <row r="5751" spans="1:11" ht="12.75" customHeight="1" x14ac:dyDescent="0.3">
      <c r="A5751" s="400" t="s">
        <v>1038</v>
      </c>
      <c r="B5751" s="401" t="s">
        <v>4845</v>
      </c>
      <c r="C5751" s="400" t="s">
        <v>408</v>
      </c>
      <c r="D5751" s="400" t="s">
        <v>4846</v>
      </c>
      <c r="E5751" s="605" t="s">
        <v>1039</v>
      </c>
      <c r="F5751" s="605"/>
      <c r="G5751" s="402" t="s">
        <v>4</v>
      </c>
      <c r="H5751" s="403">
        <v>1</v>
      </c>
      <c r="I5751" s="403">
        <v>0</v>
      </c>
      <c r="J5751" s="404">
        <v>3.95</v>
      </c>
      <c r="K5751" s="404">
        <v>3.95</v>
      </c>
    </row>
    <row r="5752" spans="1:11" ht="25.5" customHeight="1" x14ac:dyDescent="0.3">
      <c r="A5752" s="400" t="s">
        <v>1038</v>
      </c>
      <c r="B5752" s="401" t="s">
        <v>7547</v>
      </c>
      <c r="C5752" s="400" t="s">
        <v>408</v>
      </c>
      <c r="D5752" s="400" t="s">
        <v>7548</v>
      </c>
      <c r="E5752" s="605" t="s">
        <v>1039</v>
      </c>
      <c r="F5752" s="605"/>
      <c r="G5752" s="402" t="s">
        <v>7</v>
      </c>
      <c r="H5752" s="403">
        <v>0.35</v>
      </c>
      <c r="I5752" s="403">
        <v>0</v>
      </c>
      <c r="J5752" s="404">
        <v>7.17</v>
      </c>
      <c r="K5752" s="404">
        <v>2.5095000000000001</v>
      </c>
    </row>
    <row r="5753" spans="1:11" ht="12.75" customHeight="1" x14ac:dyDescent="0.3">
      <c r="A5753" s="400" t="s">
        <v>1038</v>
      </c>
      <c r="B5753" s="401" t="s">
        <v>7649</v>
      </c>
      <c r="C5753" s="400" t="s">
        <v>408</v>
      </c>
      <c r="D5753" s="400" t="s">
        <v>7650</v>
      </c>
      <c r="E5753" s="605" t="s">
        <v>1039</v>
      </c>
      <c r="F5753" s="605"/>
      <c r="G5753" s="402" t="s">
        <v>4</v>
      </c>
      <c r="H5753" s="403">
        <v>1</v>
      </c>
      <c r="I5753" s="403">
        <v>0</v>
      </c>
      <c r="J5753" s="404">
        <v>0.64</v>
      </c>
      <c r="K5753" s="404">
        <v>0.64</v>
      </c>
    </row>
    <row r="5754" spans="1:11" ht="25.5" customHeight="1" x14ac:dyDescent="0.3">
      <c r="A5754" s="400" t="s">
        <v>1038</v>
      </c>
      <c r="B5754" s="401" t="s">
        <v>7306</v>
      </c>
      <c r="C5754" s="400" t="s">
        <v>408</v>
      </c>
      <c r="D5754" s="400" t="s">
        <v>7307</v>
      </c>
      <c r="E5754" s="605" t="s">
        <v>1039</v>
      </c>
      <c r="F5754" s="605"/>
      <c r="G5754" s="402" t="s">
        <v>4</v>
      </c>
      <c r="H5754" s="403">
        <v>2</v>
      </c>
      <c r="I5754" s="403">
        <v>0</v>
      </c>
      <c r="J5754" s="404">
        <v>0.13</v>
      </c>
      <c r="K5754" s="404">
        <v>0.26</v>
      </c>
    </row>
    <row r="5755" spans="1:11" ht="25.5" customHeight="1" x14ac:dyDescent="0.3">
      <c r="A5755" s="400" t="s">
        <v>1038</v>
      </c>
      <c r="B5755" s="401" t="s">
        <v>6207</v>
      </c>
      <c r="C5755" s="400" t="s">
        <v>408</v>
      </c>
      <c r="D5755" s="400" t="s">
        <v>1093</v>
      </c>
      <c r="E5755" s="605" t="s">
        <v>1053</v>
      </c>
      <c r="F5755" s="605"/>
      <c r="G5755" s="402" t="s">
        <v>6</v>
      </c>
      <c r="H5755" s="403">
        <v>0.221</v>
      </c>
      <c r="I5755" s="403">
        <v>0</v>
      </c>
      <c r="J5755" s="404">
        <v>30.51</v>
      </c>
      <c r="K5755" s="404">
        <v>6.7427099999999998</v>
      </c>
    </row>
    <row r="5756" spans="1:11" ht="15" x14ac:dyDescent="0.3">
      <c r="A5756" s="400" t="s">
        <v>1038</v>
      </c>
      <c r="B5756" s="401" t="s">
        <v>6196</v>
      </c>
      <c r="C5756" s="400" t="s">
        <v>408</v>
      </c>
      <c r="D5756" s="400" t="s">
        <v>1139</v>
      </c>
      <c r="E5756" s="605" t="s">
        <v>1053</v>
      </c>
      <c r="F5756" s="605"/>
      <c r="G5756" s="402" t="s">
        <v>6</v>
      </c>
      <c r="H5756" s="403">
        <v>0.221</v>
      </c>
      <c r="I5756" s="403">
        <v>0</v>
      </c>
      <c r="J5756" s="404">
        <v>21.59</v>
      </c>
      <c r="K5756" s="404">
        <v>4.7713900000000002</v>
      </c>
    </row>
    <row r="5757" spans="1:11" ht="14.25" customHeight="1" x14ac:dyDescent="0.3">
      <c r="A5757" s="405"/>
      <c r="B5757" s="405"/>
      <c r="C5757" s="405"/>
      <c r="D5757" s="405"/>
      <c r="E5757" s="405" t="s">
        <v>1046</v>
      </c>
      <c r="F5757" s="406">
        <v>11.51</v>
      </c>
      <c r="G5757" s="405" t="s">
        <v>1047</v>
      </c>
      <c r="H5757" s="406">
        <v>0</v>
      </c>
      <c r="I5757" s="405" t="s">
        <v>1048</v>
      </c>
      <c r="J5757" s="406">
        <v>11.51</v>
      </c>
      <c r="K5757"/>
    </row>
    <row r="5758" spans="1:11" ht="15.6" thickBot="1" x14ac:dyDescent="0.35">
      <c r="A5758" s="405"/>
      <c r="B5758" s="405"/>
      <c r="C5758" s="405"/>
      <c r="D5758" s="405"/>
      <c r="E5758" s="405" t="s">
        <v>1049</v>
      </c>
      <c r="F5758" s="406">
        <v>0</v>
      </c>
      <c r="G5758" s="405"/>
      <c r="H5758" s="606"/>
      <c r="I5758" s="606" t="s">
        <v>1050</v>
      </c>
      <c r="J5758" s="406">
        <v>18.97</v>
      </c>
      <c r="K5758"/>
    </row>
    <row r="5759" spans="1:11" ht="15" customHeight="1" thickTop="1" x14ac:dyDescent="0.3">
      <c r="A5759" s="407"/>
      <c r="B5759" s="407"/>
      <c r="C5759" s="407"/>
      <c r="D5759" s="407"/>
      <c r="E5759" s="407"/>
      <c r="F5759" s="407"/>
      <c r="G5759" s="407"/>
      <c r="H5759" s="407"/>
      <c r="I5759" s="407"/>
      <c r="J5759" s="407"/>
      <c r="K5759" s="407"/>
    </row>
    <row r="5760" spans="1:11" ht="15" customHeight="1" x14ac:dyDescent="0.3">
      <c r="A5760" s="382" t="s">
        <v>3409</v>
      </c>
      <c r="B5760" s="312" t="s">
        <v>413</v>
      </c>
      <c r="C5760" s="382" t="s">
        <v>414</v>
      </c>
      <c r="D5760" s="382" t="s">
        <v>415</v>
      </c>
      <c r="E5760" s="586" t="s">
        <v>1029</v>
      </c>
      <c r="F5760" s="586"/>
      <c r="G5760" s="383" t="s">
        <v>416</v>
      </c>
      <c r="H5760" s="312" t="s">
        <v>1030</v>
      </c>
      <c r="I5760" s="312" t="s">
        <v>3016</v>
      </c>
      <c r="J5760" s="312" t="s">
        <v>1031</v>
      </c>
      <c r="K5760" s="312" t="s">
        <v>1032</v>
      </c>
    </row>
    <row r="5761" spans="1:11" ht="12.75" customHeight="1" x14ac:dyDescent="0.3">
      <c r="A5761" s="313" t="s">
        <v>1033</v>
      </c>
      <c r="B5761" s="315" t="s">
        <v>897</v>
      </c>
      <c r="C5761" s="313" t="s">
        <v>408</v>
      </c>
      <c r="D5761" s="313" t="s">
        <v>458</v>
      </c>
      <c r="E5761" s="603" t="s">
        <v>2262</v>
      </c>
      <c r="F5761" s="603"/>
      <c r="G5761" s="314" t="s">
        <v>4</v>
      </c>
      <c r="H5761" s="399">
        <v>1</v>
      </c>
      <c r="I5761" s="316"/>
      <c r="J5761" s="316">
        <v>79.47</v>
      </c>
      <c r="K5761" s="316">
        <v>79.47</v>
      </c>
    </row>
    <row r="5762" spans="1:11" ht="25.5" customHeight="1" x14ac:dyDescent="0.3">
      <c r="A5762" s="400" t="s">
        <v>1038</v>
      </c>
      <c r="B5762" s="401" t="s">
        <v>1141</v>
      </c>
      <c r="C5762" s="400" t="s">
        <v>408</v>
      </c>
      <c r="D5762" s="400" t="s">
        <v>1142</v>
      </c>
      <c r="E5762" s="605" t="s">
        <v>1039</v>
      </c>
      <c r="F5762" s="605"/>
      <c r="G5762" s="402" t="s">
        <v>4</v>
      </c>
      <c r="H5762" s="403">
        <v>1</v>
      </c>
      <c r="I5762" s="403">
        <v>0</v>
      </c>
      <c r="J5762" s="404">
        <v>44.29</v>
      </c>
      <c r="K5762" s="404">
        <v>44.29</v>
      </c>
    </row>
    <row r="5763" spans="1:11" ht="15" customHeight="1" x14ac:dyDescent="0.3">
      <c r="A5763" s="400" t="s">
        <v>1038</v>
      </c>
      <c r="B5763" s="401" t="s">
        <v>7509</v>
      </c>
      <c r="C5763" s="400" t="s">
        <v>408</v>
      </c>
      <c r="D5763" s="400" t="s">
        <v>7510</v>
      </c>
      <c r="E5763" s="605" t="s">
        <v>1039</v>
      </c>
      <c r="F5763" s="605"/>
      <c r="G5763" s="402" t="s">
        <v>4</v>
      </c>
      <c r="H5763" s="403">
        <v>2</v>
      </c>
      <c r="I5763" s="403">
        <v>0</v>
      </c>
      <c r="J5763" s="404">
        <v>0.92</v>
      </c>
      <c r="K5763" s="404">
        <v>1.84</v>
      </c>
    </row>
    <row r="5764" spans="1:11" ht="25.5" customHeight="1" x14ac:dyDescent="0.3">
      <c r="A5764" s="400" t="s">
        <v>1038</v>
      </c>
      <c r="B5764" s="401" t="s">
        <v>6207</v>
      </c>
      <c r="C5764" s="400" t="s">
        <v>408</v>
      </c>
      <c r="D5764" s="400" t="s">
        <v>1093</v>
      </c>
      <c r="E5764" s="605" t="s">
        <v>1053</v>
      </c>
      <c r="F5764" s="605"/>
      <c r="G5764" s="402" t="s">
        <v>6</v>
      </c>
      <c r="H5764" s="403">
        <v>0.64</v>
      </c>
      <c r="I5764" s="403">
        <v>0</v>
      </c>
      <c r="J5764" s="404">
        <v>30.51</v>
      </c>
      <c r="K5764" s="404">
        <v>19.526399999999999</v>
      </c>
    </row>
    <row r="5765" spans="1:11" ht="25.5" customHeight="1" x14ac:dyDescent="0.3">
      <c r="A5765" s="400" t="s">
        <v>1038</v>
      </c>
      <c r="B5765" s="401" t="s">
        <v>6196</v>
      </c>
      <c r="C5765" s="400" t="s">
        <v>408</v>
      </c>
      <c r="D5765" s="400" t="s">
        <v>1139</v>
      </c>
      <c r="E5765" s="605" t="s">
        <v>1053</v>
      </c>
      <c r="F5765" s="605"/>
      <c r="G5765" s="402" t="s">
        <v>6</v>
      </c>
      <c r="H5765" s="403">
        <v>0.64</v>
      </c>
      <c r="I5765" s="403">
        <v>0</v>
      </c>
      <c r="J5765" s="404">
        <v>21.59</v>
      </c>
      <c r="K5765" s="404">
        <v>13.817600000000001</v>
      </c>
    </row>
    <row r="5766" spans="1:11" ht="25.5" customHeight="1" x14ac:dyDescent="0.3">
      <c r="A5766" s="405"/>
      <c r="B5766" s="405"/>
      <c r="C5766" s="405"/>
      <c r="D5766" s="405"/>
      <c r="E5766" s="405" t="s">
        <v>1046</v>
      </c>
      <c r="F5766" s="406">
        <v>33.35</v>
      </c>
      <c r="G5766" s="405" t="s">
        <v>1047</v>
      </c>
      <c r="H5766" s="406">
        <v>0</v>
      </c>
      <c r="I5766" s="405" t="s">
        <v>1048</v>
      </c>
      <c r="J5766" s="406">
        <v>33.35</v>
      </c>
      <c r="K5766"/>
    </row>
    <row r="5767" spans="1:11" ht="14.25" customHeight="1" thickBot="1" x14ac:dyDescent="0.35">
      <c r="A5767" s="405"/>
      <c r="B5767" s="405"/>
      <c r="C5767" s="405"/>
      <c r="D5767" s="405"/>
      <c r="E5767" s="405" t="s">
        <v>1049</v>
      </c>
      <c r="F5767" s="406">
        <v>0</v>
      </c>
      <c r="G5767" s="405"/>
      <c r="H5767" s="606"/>
      <c r="I5767" s="606" t="s">
        <v>1050</v>
      </c>
      <c r="J5767" s="406">
        <v>79.47</v>
      </c>
      <c r="K5767"/>
    </row>
    <row r="5768" spans="1:11" ht="15.6" thickTop="1" x14ac:dyDescent="0.3">
      <c r="A5768" s="407"/>
      <c r="B5768" s="407"/>
      <c r="C5768" s="407"/>
      <c r="D5768" s="407"/>
      <c r="E5768" s="407"/>
      <c r="F5768" s="407"/>
      <c r="G5768" s="407"/>
      <c r="H5768" s="407"/>
      <c r="I5768" s="407"/>
      <c r="J5768" s="407"/>
      <c r="K5768" s="407"/>
    </row>
    <row r="5769" spans="1:11" ht="15" customHeight="1" x14ac:dyDescent="0.3">
      <c r="A5769" s="382" t="s">
        <v>3410</v>
      </c>
      <c r="B5769" s="312" t="s">
        <v>413</v>
      </c>
      <c r="C5769" s="382" t="s">
        <v>414</v>
      </c>
      <c r="D5769" s="382" t="s">
        <v>415</v>
      </c>
      <c r="E5769" s="586" t="s">
        <v>1029</v>
      </c>
      <c r="F5769" s="586"/>
      <c r="G5769" s="383" t="s">
        <v>416</v>
      </c>
      <c r="H5769" s="312" t="s">
        <v>1030</v>
      </c>
      <c r="I5769" s="312" t="s">
        <v>3016</v>
      </c>
      <c r="J5769" s="312" t="s">
        <v>1031</v>
      </c>
      <c r="K5769" s="312" t="s">
        <v>1032</v>
      </c>
    </row>
    <row r="5770" spans="1:11" ht="15" x14ac:dyDescent="0.3">
      <c r="A5770" s="313" t="s">
        <v>1033</v>
      </c>
      <c r="B5770" s="315" t="s">
        <v>898</v>
      </c>
      <c r="C5770" s="313" t="s">
        <v>408</v>
      </c>
      <c r="D5770" s="313" t="s">
        <v>459</v>
      </c>
      <c r="E5770" s="603" t="s">
        <v>2256</v>
      </c>
      <c r="F5770" s="603"/>
      <c r="G5770" s="314" t="s">
        <v>4</v>
      </c>
      <c r="H5770" s="399">
        <v>1</v>
      </c>
      <c r="I5770" s="316"/>
      <c r="J5770" s="316">
        <v>198.05</v>
      </c>
      <c r="K5770" s="316">
        <v>198.05</v>
      </c>
    </row>
    <row r="5771" spans="1:11" ht="12.75" customHeight="1" x14ac:dyDescent="0.3">
      <c r="A5771" s="408" t="s">
        <v>1034</v>
      </c>
      <c r="B5771" s="409" t="s">
        <v>1037</v>
      </c>
      <c r="C5771" s="408" t="s">
        <v>395</v>
      </c>
      <c r="D5771" s="408" t="s">
        <v>135</v>
      </c>
      <c r="E5771" s="604" t="s">
        <v>7768</v>
      </c>
      <c r="F5771" s="604"/>
      <c r="G5771" s="410" t="s">
        <v>6</v>
      </c>
      <c r="H5771" s="412">
        <v>1.5469999999999999</v>
      </c>
      <c r="I5771" s="412">
        <v>0</v>
      </c>
      <c r="J5771" s="411">
        <v>41.81</v>
      </c>
      <c r="K5771" s="411">
        <v>64.680070000000001</v>
      </c>
    </row>
    <row r="5772" spans="1:11" ht="25.5" customHeight="1" x14ac:dyDescent="0.3">
      <c r="A5772" s="408" t="s">
        <v>1034</v>
      </c>
      <c r="B5772" s="409" t="s">
        <v>1035</v>
      </c>
      <c r="C5772" s="408" t="s">
        <v>395</v>
      </c>
      <c r="D5772" s="408" t="s">
        <v>128</v>
      </c>
      <c r="E5772" s="604" t="s">
        <v>7768</v>
      </c>
      <c r="F5772" s="604"/>
      <c r="G5772" s="410" t="s">
        <v>6</v>
      </c>
      <c r="H5772" s="412">
        <v>1.5469999999999999</v>
      </c>
      <c r="I5772" s="412">
        <v>0</v>
      </c>
      <c r="J5772" s="411">
        <v>34.5</v>
      </c>
      <c r="K5772" s="411">
        <v>53.371499999999997</v>
      </c>
    </row>
    <row r="5773" spans="1:11" ht="15" customHeight="1" x14ac:dyDescent="0.3">
      <c r="A5773" s="400" t="s">
        <v>1038</v>
      </c>
      <c r="B5773" s="401" t="s">
        <v>1143</v>
      </c>
      <c r="C5773" s="400" t="s">
        <v>408</v>
      </c>
      <c r="D5773" s="400" t="s">
        <v>1144</v>
      </c>
      <c r="E5773" s="605" t="s">
        <v>1039</v>
      </c>
      <c r="F5773" s="605"/>
      <c r="G5773" s="402" t="s">
        <v>4</v>
      </c>
      <c r="H5773" s="403">
        <v>1</v>
      </c>
      <c r="I5773" s="403">
        <v>0</v>
      </c>
      <c r="J5773" s="404">
        <v>80</v>
      </c>
      <c r="K5773" s="404">
        <v>80</v>
      </c>
    </row>
    <row r="5774" spans="1:11" ht="25.5" customHeight="1" x14ac:dyDescent="0.3">
      <c r="A5774" s="405"/>
      <c r="B5774" s="405"/>
      <c r="C5774" s="405"/>
      <c r="D5774" s="405"/>
      <c r="E5774" s="405" t="s">
        <v>1046</v>
      </c>
      <c r="F5774" s="406">
        <v>86.12</v>
      </c>
      <c r="G5774" s="405" t="s">
        <v>1047</v>
      </c>
      <c r="H5774" s="406">
        <v>0.01</v>
      </c>
      <c r="I5774" s="405" t="s">
        <v>1048</v>
      </c>
      <c r="J5774" s="406">
        <v>86.13</v>
      </c>
      <c r="K5774"/>
    </row>
    <row r="5775" spans="1:11" ht="25.5" customHeight="1" thickBot="1" x14ac:dyDescent="0.35">
      <c r="A5775" s="405"/>
      <c r="B5775" s="405"/>
      <c r="C5775" s="405"/>
      <c r="D5775" s="405"/>
      <c r="E5775" s="405" t="s">
        <v>1049</v>
      </c>
      <c r="F5775" s="406">
        <v>0</v>
      </c>
      <c r="G5775" s="405"/>
      <c r="H5775" s="606"/>
      <c r="I5775" s="606" t="s">
        <v>1050</v>
      </c>
      <c r="J5775" s="406">
        <v>198.05</v>
      </c>
      <c r="K5775"/>
    </row>
    <row r="5776" spans="1:11" ht="25.5" customHeight="1" thickTop="1" x14ac:dyDescent="0.3">
      <c r="A5776" s="407"/>
      <c r="B5776" s="407"/>
      <c r="C5776" s="407"/>
      <c r="D5776" s="407"/>
      <c r="E5776" s="407"/>
      <c r="F5776" s="407"/>
      <c r="G5776" s="407"/>
      <c r="H5776" s="407"/>
      <c r="I5776" s="407"/>
      <c r="J5776" s="407"/>
      <c r="K5776" s="407"/>
    </row>
    <row r="5777" spans="1:11" ht="14.25" customHeight="1" x14ac:dyDescent="0.3">
      <c r="A5777" s="382" t="s">
        <v>3411</v>
      </c>
      <c r="B5777" s="312" t="s">
        <v>413</v>
      </c>
      <c r="C5777" s="382" t="s">
        <v>414</v>
      </c>
      <c r="D5777" s="382" t="s">
        <v>415</v>
      </c>
      <c r="E5777" s="586" t="s">
        <v>1029</v>
      </c>
      <c r="F5777" s="586"/>
      <c r="G5777" s="383" t="s">
        <v>416</v>
      </c>
      <c r="H5777" s="312" t="s">
        <v>1030</v>
      </c>
      <c r="I5777" s="312" t="s">
        <v>3016</v>
      </c>
      <c r="J5777" s="312" t="s">
        <v>1031</v>
      </c>
      <c r="K5777" s="312" t="s">
        <v>1032</v>
      </c>
    </row>
    <row r="5778" spans="1:11" ht="14.25" customHeight="1" x14ac:dyDescent="0.3">
      <c r="A5778" s="313" t="s">
        <v>1033</v>
      </c>
      <c r="B5778" s="315" t="s">
        <v>900</v>
      </c>
      <c r="C5778" s="313" t="s">
        <v>408</v>
      </c>
      <c r="D5778" s="313" t="s">
        <v>462</v>
      </c>
      <c r="E5778" s="603" t="s">
        <v>2263</v>
      </c>
      <c r="F5778" s="603"/>
      <c r="G5778" s="314" t="s">
        <v>4</v>
      </c>
      <c r="H5778" s="399">
        <v>1</v>
      </c>
      <c r="I5778" s="316"/>
      <c r="J5778" s="316">
        <v>35045.85</v>
      </c>
      <c r="K5778" s="316">
        <v>35045.85</v>
      </c>
    </row>
    <row r="5779" spans="1:11" ht="15" customHeight="1" x14ac:dyDescent="0.3">
      <c r="A5779" s="408" t="s">
        <v>1034</v>
      </c>
      <c r="B5779" s="409" t="s">
        <v>1037</v>
      </c>
      <c r="C5779" s="408" t="s">
        <v>395</v>
      </c>
      <c r="D5779" s="408" t="s">
        <v>135</v>
      </c>
      <c r="E5779" s="604" t="s">
        <v>7768</v>
      </c>
      <c r="F5779" s="604"/>
      <c r="G5779" s="410" t="s">
        <v>6</v>
      </c>
      <c r="H5779" s="412">
        <v>35</v>
      </c>
      <c r="I5779" s="412">
        <v>0</v>
      </c>
      <c r="J5779" s="411">
        <v>41.81</v>
      </c>
      <c r="K5779" s="411">
        <v>1463.35</v>
      </c>
    </row>
    <row r="5780" spans="1:11" ht="26.4" x14ac:dyDescent="0.3">
      <c r="A5780" s="408" t="s">
        <v>1034</v>
      </c>
      <c r="B5780" s="409" t="s">
        <v>1035</v>
      </c>
      <c r="C5780" s="408" t="s">
        <v>395</v>
      </c>
      <c r="D5780" s="408" t="s">
        <v>128</v>
      </c>
      <c r="E5780" s="604" t="s">
        <v>7768</v>
      </c>
      <c r="F5780" s="604"/>
      <c r="G5780" s="410" t="s">
        <v>6</v>
      </c>
      <c r="H5780" s="412">
        <v>35</v>
      </c>
      <c r="I5780" s="412">
        <v>0</v>
      </c>
      <c r="J5780" s="411">
        <v>34.5</v>
      </c>
      <c r="K5780" s="411">
        <v>1207.5</v>
      </c>
    </row>
    <row r="5781" spans="1:11" ht="25.5" customHeight="1" x14ac:dyDescent="0.3">
      <c r="A5781" s="400" t="s">
        <v>1038</v>
      </c>
      <c r="B5781" s="401" t="s">
        <v>1148</v>
      </c>
      <c r="C5781" s="400" t="s">
        <v>408</v>
      </c>
      <c r="D5781" s="400" t="s">
        <v>1149</v>
      </c>
      <c r="E5781" s="605" t="s">
        <v>1039</v>
      </c>
      <c r="F5781" s="605"/>
      <c r="G5781" s="402" t="s">
        <v>4</v>
      </c>
      <c r="H5781" s="403">
        <v>1</v>
      </c>
      <c r="I5781" s="403">
        <v>0</v>
      </c>
      <c r="J5781" s="404">
        <v>31250</v>
      </c>
      <c r="K5781" s="404">
        <v>31250</v>
      </c>
    </row>
    <row r="5782" spans="1:11" ht="25.5" customHeight="1" x14ac:dyDescent="0.3">
      <c r="A5782" s="400" t="s">
        <v>1038</v>
      </c>
      <c r="B5782" s="401" t="s">
        <v>1150</v>
      </c>
      <c r="C5782" s="400" t="s">
        <v>408</v>
      </c>
      <c r="D5782" s="400" t="s">
        <v>1151</v>
      </c>
      <c r="E5782" s="605" t="s">
        <v>1039</v>
      </c>
      <c r="F5782" s="605"/>
      <c r="G5782" s="402" t="s">
        <v>4</v>
      </c>
      <c r="H5782" s="403">
        <v>1</v>
      </c>
      <c r="I5782" s="403">
        <v>0</v>
      </c>
      <c r="J5782" s="404">
        <v>1125</v>
      </c>
      <c r="K5782" s="404">
        <v>1125</v>
      </c>
    </row>
    <row r="5783" spans="1:11" ht="25.5" customHeight="1" x14ac:dyDescent="0.3">
      <c r="A5783" s="405"/>
      <c r="B5783" s="405"/>
      <c r="C5783" s="405"/>
      <c r="D5783" s="405"/>
      <c r="E5783" s="405" t="s">
        <v>1046</v>
      </c>
      <c r="F5783" s="406">
        <v>1948.45</v>
      </c>
      <c r="G5783" s="405" t="s">
        <v>1047</v>
      </c>
      <c r="H5783" s="406">
        <v>0</v>
      </c>
      <c r="I5783" s="405" t="s">
        <v>1048</v>
      </c>
      <c r="J5783" s="406">
        <v>1948.45</v>
      </c>
      <c r="K5783"/>
    </row>
    <row r="5784" spans="1:11" ht="25.5" customHeight="1" thickBot="1" x14ac:dyDescent="0.35">
      <c r="A5784" s="405"/>
      <c r="B5784" s="405"/>
      <c r="C5784" s="405"/>
      <c r="D5784" s="405"/>
      <c r="E5784" s="405" t="s">
        <v>1049</v>
      </c>
      <c r="F5784" s="406">
        <v>0</v>
      </c>
      <c r="G5784" s="405"/>
      <c r="H5784" s="606"/>
      <c r="I5784" s="606" t="s">
        <v>1050</v>
      </c>
      <c r="J5784" s="406">
        <v>35045.85</v>
      </c>
      <c r="K5784"/>
    </row>
    <row r="5785" spans="1:11" ht="15.6" thickTop="1" x14ac:dyDescent="0.3">
      <c r="A5785" s="407"/>
      <c r="B5785" s="407"/>
      <c r="C5785" s="407"/>
      <c r="D5785" s="407"/>
      <c r="E5785" s="407"/>
      <c r="F5785" s="407"/>
      <c r="G5785" s="407"/>
      <c r="H5785" s="407"/>
      <c r="I5785" s="407"/>
      <c r="J5785" s="407"/>
      <c r="K5785" s="407"/>
    </row>
    <row r="5786" spans="1:11" ht="38.25" customHeight="1" x14ac:dyDescent="0.3">
      <c r="A5786" s="382" t="s">
        <v>3412</v>
      </c>
      <c r="B5786" s="312" t="s">
        <v>413</v>
      </c>
      <c r="C5786" s="382" t="s">
        <v>414</v>
      </c>
      <c r="D5786" s="382" t="s">
        <v>415</v>
      </c>
      <c r="E5786" s="586" t="s">
        <v>1029</v>
      </c>
      <c r="F5786" s="586"/>
      <c r="G5786" s="383" t="s">
        <v>416</v>
      </c>
      <c r="H5786" s="312" t="s">
        <v>1030</v>
      </c>
      <c r="I5786" s="312" t="s">
        <v>3016</v>
      </c>
      <c r="J5786" s="312" t="s">
        <v>1031</v>
      </c>
      <c r="K5786" s="312" t="s">
        <v>1032</v>
      </c>
    </row>
    <row r="5787" spans="1:11" ht="15" customHeight="1" x14ac:dyDescent="0.3">
      <c r="A5787" s="313" t="s">
        <v>1033</v>
      </c>
      <c r="B5787" s="315" t="s">
        <v>952</v>
      </c>
      <c r="C5787" s="313" t="s">
        <v>408</v>
      </c>
      <c r="D5787" s="313" t="s">
        <v>571</v>
      </c>
      <c r="E5787" s="603" t="s">
        <v>2265</v>
      </c>
      <c r="F5787" s="603"/>
      <c r="G5787" s="314" t="s">
        <v>4</v>
      </c>
      <c r="H5787" s="399">
        <v>1</v>
      </c>
      <c r="I5787" s="316"/>
      <c r="J5787" s="316">
        <v>240.53</v>
      </c>
      <c r="K5787" s="316">
        <v>240.53</v>
      </c>
    </row>
    <row r="5788" spans="1:11" ht="25.5" customHeight="1" x14ac:dyDescent="0.3">
      <c r="A5788" s="400" t="s">
        <v>1038</v>
      </c>
      <c r="B5788" s="401" t="s">
        <v>1279</v>
      </c>
      <c r="C5788" s="400" t="s">
        <v>408</v>
      </c>
      <c r="D5788" s="400" t="s">
        <v>1280</v>
      </c>
      <c r="E5788" s="605" t="s">
        <v>1039</v>
      </c>
      <c r="F5788" s="605"/>
      <c r="G5788" s="402" t="s">
        <v>4</v>
      </c>
      <c r="H5788" s="403">
        <v>1</v>
      </c>
      <c r="I5788" s="403">
        <v>0</v>
      </c>
      <c r="J5788" s="404">
        <v>186.38</v>
      </c>
      <c r="K5788" s="404">
        <v>186.38</v>
      </c>
    </row>
    <row r="5789" spans="1:11" ht="14.25" customHeight="1" x14ac:dyDescent="0.3">
      <c r="A5789" s="400" t="s">
        <v>1038</v>
      </c>
      <c r="B5789" s="401" t="s">
        <v>1277</v>
      </c>
      <c r="C5789" s="400" t="s">
        <v>408</v>
      </c>
      <c r="D5789" s="400" t="s">
        <v>1278</v>
      </c>
      <c r="E5789" s="605" t="s">
        <v>1039</v>
      </c>
      <c r="F5789" s="605"/>
      <c r="G5789" s="402" t="s">
        <v>4</v>
      </c>
      <c r="H5789" s="403">
        <v>2</v>
      </c>
      <c r="I5789" s="403">
        <v>0</v>
      </c>
      <c r="J5789" s="404">
        <v>10.01</v>
      </c>
      <c r="K5789" s="404">
        <v>20.02</v>
      </c>
    </row>
    <row r="5790" spans="1:11" ht="15" x14ac:dyDescent="0.3">
      <c r="A5790" s="400" t="s">
        <v>1038</v>
      </c>
      <c r="B5790" s="401" t="s">
        <v>1281</v>
      </c>
      <c r="C5790" s="400" t="s">
        <v>408</v>
      </c>
      <c r="D5790" s="400" t="s">
        <v>1282</v>
      </c>
      <c r="E5790" s="605" t="s">
        <v>1039</v>
      </c>
      <c r="F5790" s="605"/>
      <c r="G5790" s="402" t="s">
        <v>4</v>
      </c>
      <c r="H5790" s="403">
        <v>2.8000000000000001E-2</v>
      </c>
      <c r="I5790" s="403">
        <v>0</v>
      </c>
      <c r="J5790" s="404">
        <v>23.9</v>
      </c>
      <c r="K5790" s="404">
        <v>0.66920000000000002</v>
      </c>
    </row>
    <row r="5791" spans="1:11" ht="25.5" customHeight="1" x14ac:dyDescent="0.3">
      <c r="A5791" s="400" t="s">
        <v>1038</v>
      </c>
      <c r="B5791" s="401" t="s">
        <v>6301</v>
      </c>
      <c r="C5791" s="400" t="s">
        <v>408</v>
      </c>
      <c r="D5791" s="400" t="s">
        <v>6302</v>
      </c>
      <c r="E5791" s="605" t="s">
        <v>1053</v>
      </c>
      <c r="F5791" s="605"/>
      <c r="G5791" s="402" t="s">
        <v>6</v>
      </c>
      <c r="H5791" s="403">
        <v>0.67</v>
      </c>
      <c r="I5791" s="403">
        <v>0</v>
      </c>
      <c r="J5791" s="404">
        <v>21.59</v>
      </c>
      <c r="K5791" s="404">
        <v>14.465299999999999</v>
      </c>
    </row>
    <row r="5792" spans="1:11" ht="25.5" customHeight="1" x14ac:dyDescent="0.3">
      <c r="A5792" s="400" t="s">
        <v>1038</v>
      </c>
      <c r="B5792" s="401" t="s">
        <v>6235</v>
      </c>
      <c r="C5792" s="400" t="s">
        <v>408</v>
      </c>
      <c r="D5792" s="400" t="s">
        <v>6236</v>
      </c>
      <c r="E5792" s="605" t="s">
        <v>1053</v>
      </c>
      <c r="F5792" s="605"/>
      <c r="G5792" s="402" t="s">
        <v>6</v>
      </c>
      <c r="H5792" s="403">
        <v>0.67</v>
      </c>
      <c r="I5792" s="403">
        <v>0</v>
      </c>
      <c r="J5792" s="404">
        <v>28.35</v>
      </c>
      <c r="K5792" s="404">
        <v>18.994499999999999</v>
      </c>
    </row>
    <row r="5793" spans="1:11" ht="12.75" customHeight="1" x14ac:dyDescent="0.3">
      <c r="A5793" s="405"/>
      <c r="B5793" s="405"/>
      <c r="C5793" s="405"/>
      <c r="D5793" s="405"/>
      <c r="E5793" s="405" t="s">
        <v>1046</v>
      </c>
      <c r="F5793" s="406">
        <v>33.46</v>
      </c>
      <c r="G5793" s="405" t="s">
        <v>1047</v>
      </c>
      <c r="H5793" s="406">
        <v>0</v>
      </c>
      <c r="I5793" s="405" t="s">
        <v>1048</v>
      </c>
      <c r="J5793" s="406">
        <v>33.46</v>
      </c>
      <c r="K5793"/>
    </row>
    <row r="5794" spans="1:11" ht="25.5" customHeight="1" thickBot="1" x14ac:dyDescent="0.35">
      <c r="A5794" s="405"/>
      <c r="B5794" s="405"/>
      <c r="C5794" s="405"/>
      <c r="D5794" s="405"/>
      <c r="E5794" s="405" t="s">
        <v>1049</v>
      </c>
      <c r="F5794" s="406">
        <v>0</v>
      </c>
      <c r="G5794" s="405"/>
      <c r="H5794" s="606"/>
      <c r="I5794" s="606" t="s">
        <v>1050</v>
      </c>
      <c r="J5794" s="406">
        <v>240.53</v>
      </c>
      <c r="K5794"/>
    </row>
    <row r="5795" spans="1:11" ht="25.5" customHeight="1" thickTop="1" x14ac:dyDescent="0.3">
      <c r="A5795" s="407"/>
      <c r="B5795" s="407"/>
      <c r="C5795" s="407"/>
      <c r="D5795" s="407"/>
      <c r="E5795" s="407"/>
      <c r="F5795" s="407"/>
      <c r="G5795" s="407"/>
      <c r="H5795" s="407"/>
      <c r="I5795" s="407"/>
      <c r="J5795" s="407"/>
      <c r="K5795" s="407"/>
    </row>
    <row r="5796" spans="1:11" ht="25.5" customHeight="1" x14ac:dyDescent="0.3">
      <c r="A5796" s="382" t="s">
        <v>3413</v>
      </c>
      <c r="B5796" s="312" t="s">
        <v>413</v>
      </c>
      <c r="C5796" s="382" t="s">
        <v>414</v>
      </c>
      <c r="D5796" s="382" t="s">
        <v>415</v>
      </c>
      <c r="E5796" s="586" t="s">
        <v>1029</v>
      </c>
      <c r="F5796" s="586"/>
      <c r="G5796" s="383" t="s">
        <v>416</v>
      </c>
      <c r="H5796" s="312" t="s">
        <v>1030</v>
      </c>
      <c r="I5796" s="312" t="s">
        <v>3016</v>
      </c>
      <c r="J5796" s="312" t="s">
        <v>1031</v>
      </c>
      <c r="K5796" s="312" t="s">
        <v>1032</v>
      </c>
    </row>
    <row r="5797" spans="1:11" ht="15" customHeight="1" x14ac:dyDescent="0.3">
      <c r="A5797" s="313" t="s">
        <v>1033</v>
      </c>
      <c r="B5797" s="315" t="s">
        <v>937</v>
      </c>
      <c r="C5797" s="313" t="s">
        <v>408</v>
      </c>
      <c r="D5797" s="313" t="s">
        <v>527</v>
      </c>
      <c r="E5797" s="603" t="s">
        <v>2258</v>
      </c>
      <c r="F5797" s="603"/>
      <c r="G5797" s="314" t="s">
        <v>4</v>
      </c>
      <c r="H5797" s="399">
        <v>1</v>
      </c>
      <c r="I5797" s="316"/>
      <c r="J5797" s="316">
        <v>290.75</v>
      </c>
      <c r="K5797" s="316">
        <v>290.75</v>
      </c>
    </row>
    <row r="5798" spans="1:11" ht="25.5" customHeight="1" x14ac:dyDescent="0.3">
      <c r="A5798" s="400" t="s">
        <v>1038</v>
      </c>
      <c r="B5798" s="401" t="s">
        <v>1042</v>
      </c>
      <c r="C5798" s="400" t="s">
        <v>408</v>
      </c>
      <c r="D5798" s="400" t="s">
        <v>1043</v>
      </c>
      <c r="E5798" s="605" t="s">
        <v>1039</v>
      </c>
      <c r="F5798" s="605"/>
      <c r="G5798" s="402" t="s">
        <v>7</v>
      </c>
      <c r="H5798" s="403">
        <v>0.1</v>
      </c>
      <c r="I5798" s="403">
        <v>0</v>
      </c>
      <c r="J5798" s="404">
        <v>1.31</v>
      </c>
      <c r="K5798" s="404">
        <v>0.13100000000000001</v>
      </c>
    </row>
    <row r="5799" spans="1:11" ht="14.25" customHeight="1" x14ac:dyDescent="0.3">
      <c r="A5799" s="400" t="s">
        <v>1038</v>
      </c>
      <c r="B5799" s="401" t="s">
        <v>7577</v>
      </c>
      <c r="C5799" s="400" t="s">
        <v>408</v>
      </c>
      <c r="D5799" s="400" t="s">
        <v>7578</v>
      </c>
      <c r="E5799" s="605" t="s">
        <v>1039</v>
      </c>
      <c r="F5799" s="605"/>
      <c r="G5799" s="402" t="s">
        <v>4</v>
      </c>
      <c r="H5799" s="403">
        <v>2</v>
      </c>
      <c r="I5799" s="403">
        <v>0</v>
      </c>
      <c r="J5799" s="404">
        <v>0.91</v>
      </c>
      <c r="K5799" s="404">
        <v>1.82</v>
      </c>
    </row>
    <row r="5800" spans="1:11" ht="12.75" customHeight="1" x14ac:dyDescent="0.3">
      <c r="A5800" s="400" t="s">
        <v>1038</v>
      </c>
      <c r="B5800" s="401" t="s">
        <v>1235</v>
      </c>
      <c r="C5800" s="400" t="s">
        <v>408</v>
      </c>
      <c r="D5800" s="400" t="s">
        <v>1236</v>
      </c>
      <c r="E5800" s="605" t="s">
        <v>1039</v>
      </c>
      <c r="F5800" s="605"/>
      <c r="G5800" s="402" t="s">
        <v>4</v>
      </c>
      <c r="H5800" s="403">
        <v>1</v>
      </c>
      <c r="I5800" s="403">
        <v>0</v>
      </c>
      <c r="J5800" s="404">
        <v>233.99</v>
      </c>
      <c r="K5800" s="404">
        <v>233.99</v>
      </c>
    </row>
    <row r="5801" spans="1:11" ht="25.5" customHeight="1" x14ac:dyDescent="0.3">
      <c r="A5801" s="400" t="s">
        <v>1038</v>
      </c>
      <c r="B5801" s="401" t="s">
        <v>7601</v>
      </c>
      <c r="C5801" s="400" t="s">
        <v>408</v>
      </c>
      <c r="D5801" s="400" t="s">
        <v>7602</v>
      </c>
      <c r="E5801" s="605" t="s">
        <v>1039</v>
      </c>
      <c r="F5801" s="605"/>
      <c r="G5801" s="402" t="s">
        <v>7</v>
      </c>
      <c r="H5801" s="403">
        <v>0.52500000000000002</v>
      </c>
      <c r="I5801" s="403">
        <v>0</v>
      </c>
      <c r="J5801" s="404">
        <v>2.87</v>
      </c>
      <c r="K5801" s="404">
        <v>1.50675</v>
      </c>
    </row>
    <row r="5802" spans="1:11" ht="25.5" customHeight="1" x14ac:dyDescent="0.3">
      <c r="A5802" s="400" t="s">
        <v>1038</v>
      </c>
      <c r="B5802" s="401" t="s">
        <v>6207</v>
      </c>
      <c r="C5802" s="400" t="s">
        <v>408</v>
      </c>
      <c r="D5802" s="400" t="s">
        <v>1093</v>
      </c>
      <c r="E5802" s="605" t="s">
        <v>1053</v>
      </c>
      <c r="F5802" s="605"/>
      <c r="G5802" s="402" t="s">
        <v>6</v>
      </c>
      <c r="H5802" s="403">
        <v>1.0229999999999999</v>
      </c>
      <c r="I5802" s="403">
        <v>0</v>
      </c>
      <c r="J5802" s="404">
        <v>30.51</v>
      </c>
      <c r="K5802" s="404">
        <v>31.211729999999999</v>
      </c>
    </row>
    <row r="5803" spans="1:11" ht="25.5" customHeight="1" x14ac:dyDescent="0.3">
      <c r="A5803" s="400" t="s">
        <v>1038</v>
      </c>
      <c r="B5803" s="401" t="s">
        <v>6196</v>
      </c>
      <c r="C5803" s="400" t="s">
        <v>408</v>
      </c>
      <c r="D5803" s="400" t="s">
        <v>1139</v>
      </c>
      <c r="E5803" s="605" t="s">
        <v>1053</v>
      </c>
      <c r="F5803" s="605"/>
      <c r="G5803" s="402" t="s">
        <v>6</v>
      </c>
      <c r="H5803" s="403">
        <v>1.0229999999999999</v>
      </c>
      <c r="I5803" s="403">
        <v>0</v>
      </c>
      <c r="J5803" s="404">
        <v>21.59</v>
      </c>
      <c r="K5803" s="404">
        <v>22.086569999999998</v>
      </c>
    </row>
    <row r="5804" spans="1:11" ht="12.75" customHeight="1" x14ac:dyDescent="0.3">
      <c r="A5804" s="405"/>
      <c r="B5804" s="405"/>
      <c r="C5804" s="405"/>
      <c r="D5804" s="405"/>
      <c r="E5804" s="405" t="s">
        <v>1046</v>
      </c>
      <c r="F5804" s="406">
        <v>53.3</v>
      </c>
      <c r="G5804" s="405" t="s">
        <v>1047</v>
      </c>
      <c r="H5804" s="406">
        <v>0</v>
      </c>
      <c r="I5804" s="405" t="s">
        <v>1048</v>
      </c>
      <c r="J5804" s="406">
        <v>53.3</v>
      </c>
      <c r="K5804"/>
    </row>
    <row r="5805" spans="1:11" ht="15.6" thickBot="1" x14ac:dyDescent="0.35">
      <c r="A5805" s="405"/>
      <c r="B5805" s="405"/>
      <c r="C5805" s="405"/>
      <c r="D5805" s="405"/>
      <c r="E5805" s="405" t="s">
        <v>1049</v>
      </c>
      <c r="F5805" s="406">
        <v>0</v>
      </c>
      <c r="G5805" s="405"/>
      <c r="H5805" s="606"/>
      <c r="I5805" s="606" t="s">
        <v>1050</v>
      </c>
      <c r="J5805" s="406">
        <v>290.75</v>
      </c>
      <c r="K5805"/>
    </row>
    <row r="5806" spans="1:11" ht="15.6" thickTop="1" x14ac:dyDescent="0.3">
      <c r="A5806" s="407"/>
      <c r="B5806" s="407"/>
      <c r="C5806" s="407"/>
      <c r="D5806" s="407"/>
      <c r="E5806" s="407"/>
      <c r="F5806" s="407"/>
      <c r="G5806" s="407"/>
      <c r="H5806" s="407"/>
      <c r="I5806" s="407"/>
      <c r="J5806" s="407"/>
      <c r="K5806" s="407"/>
    </row>
    <row r="5807" spans="1:11" ht="15" x14ac:dyDescent="0.3">
      <c r="A5807" s="382" t="s">
        <v>3414</v>
      </c>
      <c r="B5807" s="312" t="s">
        <v>413</v>
      </c>
      <c r="C5807" s="382" t="s">
        <v>414</v>
      </c>
      <c r="D5807" s="382" t="s">
        <v>415</v>
      </c>
      <c r="E5807" s="586" t="s">
        <v>1029</v>
      </c>
      <c r="F5807" s="586"/>
      <c r="G5807" s="383" t="s">
        <v>416</v>
      </c>
      <c r="H5807" s="312" t="s">
        <v>1030</v>
      </c>
      <c r="I5807" s="312" t="s">
        <v>3016</v>
      </c>
      <c r="J5807" s="312" t="s">
        <v>1031</v>
      </c>
      <c r="K5807" s="312" t="s">
        <v>1032</v>
      </c>
    </row>
    <row r="5808" spans="1:11" ht="38.25" customHeight="1" x14ac:dyDescent="0.3">
      <c r="A5808" s="313" t="s">
        <v>1033</v>
      </c>
      <c r="B5808" s="315" t="s">
        <v>938</v>
      </c>
      <c r="C5808" s="313" t="s">
        <v>408</v>
      </c>
      <c r="D5808" s="313" t="s">
        <v>6093</v>
      </c>
      <c r="E5808" s="603" t="s">
        <v>2262</v>
      </c>
      <c r="F5808" s="603"/>
      <c r="G5808" s="314" t="s">
        <v>4</v>
      </c>
      <c r="H5808" s="399">
        <v>1</v>
      </c>
      <c r="I5808" s="316"/>
      <c r="J5808" s="316">
        <v>412.18</v>
      </c>
      <c r="K5808" s="316">
        <v>412.18</v>
      </c>
    </row>
    <row r="5809" spans="1:11" ht="15" customHeight="1" x14ac:dyDescent="0.3">
      <c r="A5809" s="400" t="s">
        <v>1038</v>
      </c>
      <c r="B5809" s="401" t="s">
        <v>1237</v>
      </c>
      <c r="C5809" s="400" t="s">
        <v>408</v>
      </c>
      <c r="D5809" s="400" t="s">
        <v>528</v>
      </c>
      <c r="E5809" s="605" t="s">
        <v>1039</v>
      </c>
      <c r="F5809" s="605"/>
      <c r="G5809" s="402" t="s">
        <v>4</v>
      </c>
      <c r="H5809" s="403">
        <v>1</v>
      </c>
      <c r="I5809" s="403">
        <v>0</v>
      </c>
      <c r="J5809" s="404">
        <v>377</v>
      </c>
      <c r="K5809" s="404">
        <v>377</v>
      </c>
    </row>
    <row r="5810" spans="1:11" ht="25.5" customHeight="1" x14ac:dyDescent="0.3">
      <c r="A5810" s="400" t="s">
        <v>1038</v>
      </c>
      <c r="B5810" s="401" t="s">
        <v>7509</v>
      </c>
      <c r="C5810" s="400" t="s">
        <v>408</v>
      </c>
      <c r="D5810" s="400" t="s">
        <v>7510</v>
      </c>
      <c r="E5810" s="605" t="s">
        <v>1039</v>
      </c>
      <c r="F5810" s="605"/>
      <c r="G5810" s="402" t="s">
        <v>4</v>
      </c>
      <c r="H5810" s="403">
        <v>2</v>
      </c>
      <c r="I5810" s="403">
        <v>0</v>
      </c>
      <c r="J5810" s="404">
        <v>0.92</v>
      </c>
      <c r="K5810" s="404">
        <v>1.84</v>
      </c>
    </row>
    <row r="5811" spans="1:11" ht="14.25" customHeight="1" x14ac:dyDescent="0.3">
      <c r="A5811" s="400" t="s">
        <v>1038</v>
      </c>
      <c r="B5811" s="401" t="s">
        <v>6207</v>
      </c>
      <c r="C5811" s="400" t="s">
        <v>408</v>
      </c>
      <c r="D5811" s="400" t="s">
        <v>1093</v>
      </c>
      <c r="E5811" s="605" t="s">
        <v>1053</v>
      </c>
      <c r="F5811" s="605"/>
      <c r="G5811" s="402" t="s">
        <v>6</v>
      </c>
      <c r="H5811" s="403">
        <v>0.64</v>
      </c>
      <c r="I5811" s="403">
        <v>0</v>
      </c>
      <c r="J5811" s="404">
        <v>30.51</v>
      </c>
      <c r="K5811" s="404">
        <v>19.526399999999999</v>
      </c>
    </row>
    <row r="5812" spans="1:11" ht="15" x14ac:dyDescent="0.3">
      <c r="A5812" s="400" t="s">
        <v>1038</v>
      </c>
      <c r="B5812" s="401" t="s">
        <v>6196</v>
      </c>
      <c r="C5812" s="400" t="s">
        <v>408</v>
      </c>
      <c r="D5812" s="400" t="s">
        <v>1139</v>
      </c>
      <c r="E5812" s="605" t="s">
        <v>1053</v>
      </c>
      <c r="F5812" s="605"/>
      <c r="G5812" s="402" t="s">
        <v>6</v>
      </c>
      <c r="H5812" s="403">
        <v>0.64</v>
      </c>
      <c r="I5812" s="403">
        <v>0</v>
      </c>
      <c r="J5812" s="404">
        <v>21.59</v>
      </c>
      <c r="K5812" s="404">
        <v>13.817600000000001</v>
      </c>
    </row>
    <row r="5813" spans="1:11" ht="15" customHeight="1" x14ac:dyDescent="0.3">
      <c r="A5813" s="405"/>
      <c r="B5813" s="405"/>
      <c r="C5813" s="405"/>
      <c r="D5813" s="405"/>
      <c r="E5813" s="405" t="s">
        <v>1046</v>
      </c>
      <c r="F5813" s="406">
        <v>33.35</v>
      </c>
      <c r="G5813" s="405" t="s">
        <v>1047</v>
      </c>
      <c r="H5813" s="406">
        <v>0</v>
      </c>
      <c r="I5813" s="405" t="s">
        <v>1048</v>
      </c>
      <c r="J5813" s="406">
        <v>33.35</v>
      </c>
      <c r="K5813"/>
    </row>
    <row r="5814" spans="1:11" ht="25.5" customHeight="1" thickBot="1" x14ac:dyDescent="0.35">
      <c r="A5814" s="405"/>
      <c r="B5814" s="405"/>
      <c r="C5814" s="405"/>
      <c r="D5814" s="405"/>
      <c r="E5814" s="405" t="s">
        <v>1049</v>
      </c>
      <c r="F5814" s="406">
        <v>0</v>
      </c>
      <c r="G5814" s="405"/>
      <c r="H5814" s="606"/>
      <c r="I5814" s="606" t="s">
        <v>1050</v>
      </c>
      <c r="J5814" s="406">
        <v>412.18</v>
      </c>
      <c r="K5814"/>
    </row>
    <row r="5815" spans="1:11" ht="25.5" customHeight="1" thickTop="1" x14ac:dyDescent="0.3">
      <c r="A5815" s="407"/>
      <c r="B5815" s="407"/>
      <c r="C5815" s="407"/>
      <c r="D5815" s="407"/>
      <c r="E5815" s="407"/>
      <c r="F5815" s="407"/>
      <c r="G5815" s="407"/>
      <c r="H5815" s="407"/>
      <c r="I5815" s="407"/>
      <c r="J5815" s="407"/>
      <c r="K5815" s="407"/>
    </row>
    <row r="5816" spans="1:11" ht="25.5" customHeight="1" x14ac:dyDescent="0.3">
      <c r="A5816" s="382" t="s">
        <v>3415</v>
      </c>
      <c r="B5816" s="312" t="s">
        <v>413</v>
      </c>
      <c r="C5816" s="382" t="s">
        <v>414</v>
      </c>
      <c r="D5816" s="382" t="s">
        <v>415</v>
      </c>
      <c r="E5816" s="586" t="s">
        <v>1029</v>
      </c>
      <c r="F5816" s="586"/>
      <c r="G5816" s="383" t="s">
        <v>416</v>
      </c>
      <c r="H5816" s="312" t="s">
        <v>1030</v>
      </c>
      <c r="I5816" s="312" t="s">
        <v>3016</v>
      </c>
      <c r="J5816" s="312" t="s">
        <v>1031</v>
      </c>
      <c r="K5816" s="312" t="s">
        <v>1032</v>
      </c>
    </row>
    <row r="5817" spans="1:11" ht="25.5" customHeight="1" x14ac:dyDescent="0.3">
      <c r="A5817" s="313" t="s">
        <v>1033</v>
      </c>
      <c r="B5817" s="315" t="s">
        <v>953</v>
      </c>
      <c r="C5817" s="313" t="s">
        <v>408</v>
      </c>
      <c r="D5817" s="313" t="s">
        <v>572</v>
      </c>
      <c r="E5817" s="603" t="s">
        <v>2265</v>
      </c>
      <c r="F5817" s="603"/>
      <c r="G5817" s="314" t="s">
        <v>4</v>
      </c>
      <c r="H5817" s="399">
        <v>1</v>
      </c>
      <c r="I5817" s="316"/>
      <c r="J5817" s="316">
        <v>260.02</v>
      </c>
      <c r="K5817" s="316">
        <v>260.02</v>
      </c>
    </row>
    <row r="5818" spans="1:11" ht="14.25" customHeight="1" x14ac:dyDescent="0.3">
      <c r="A5818" s="400" t="s">
        <v>1038</v>
      </c>
      <c r="B5818" s="401" t="s">
        <v>1285</v>
      </c>
      <c r="C5818" s="400" t="s">
        <v>408</v>
      </c>
      <c r="D5818" s="400" t="s">
        <v>572</v>
      </c>
      <c r="E5818" s="605" t="s">
        <v>1039</v>
      </c>
      <c r="F5818" s="605"/>
      <c r="G5818" s="402" t="s">
        <v>4</v>
      </c>
      <c r="H5818" s="403">
        <v>1</v>
      </c>
      <c r="I5818" s="403">
        <v>0</v>
      </c>
      <c r="J5818" s="404">
        <v>172.45</v>
      </c>
      <c r="K5818" s="404">
        <v>172.45</v>
      </c>
    </row>
    <row r="5819" spans="1:11" ht="15" customHeight="1" x14ac:dyDescent="0.3">
      <c r="A5819" s="400" t="s">
        <v>1038</v>
      </c>
      <c r="B5819" s="401" t="s">
        <v>1281</v>
      </c>
      <c r="C5819" s="400" t="s">
        <v>408</v>
      </c>
      <c r="D5819" s="400" t="s">
        <v>1282</v>
      </c>
      <c r="E5819" s="605" t="s">
        <v>1039</v>
      </c>
      <c r="F5819" s="605"/>
      <c r="G5819" s="402" t="s">
        <v>4</v>
      </c>
      <c r="H5819" s="403">
        <v>3.7999999999999999E-2</v>
      </c>
      <c r="I5819" s="403">
        <v>0</v>
      </c>
      <c r="J5819" s="404">
        <v>23.9</v>
      </c>
      <c r="K5819" s="404">
        <v>0.90820000000000001</v>
      </c>
    </row>
    <row r="5820" spans="1:11" ht="25.5" customHeight="1" x14ac:dyDescent="0.3">
      <c r="A5820" s="400" t="s">
        <v>1038</v>
      </c>
      <c r="B5820" s="401" t="s">
        <v>1283</v>
      </c>
      <c r="C5820" s="400" t="s">
        <v>408</v>
      </c>
      <c r="D5820" s="400" t="s">
        <v>1284</v>
      </c>
      <c r="E5820" s="605" t="s">
        <v>1039</v>
      </c>
      <c r="F5820" s="605"/>
      <c r="G5820" s="402" t="s">
        <v>4</v>
      </c>
      <c r="H5820" s="403">
        <v>2</v>
      </c>
      <c r="I5820" s="403">
        <v>0</v>
      </c>
      <c r="J5820" s="404">
        <v>20.16</v>
      </c>
      <c r="K5820" s="404">
        <v>40.32</v>
      </c>
    </row>
    <row r="5821" spans="1:11" ht="14.25" customHeight="1" x14ac:dyDescent="0.3">
      <c r="A5821" s="400" t="s">
        <v>1038</v>
      </c>
      <c r="B5821" s="401" t="s">
        <v>6301</v>
      </c>
      <c r="C5821" s="400" t="s">
        <v>408</v>
      </c>
      <c r="D5821" s="400" t="s">
        <v>6302</v>
      </c>
      <c r="E5821" s="605" t="s">
        <v>1053</v>
      </c>
      <c r="F5821" s="605"/>
      <c r="G5821" s="402" t="s">
        <v>6</v>
      </c>
      <c r="H5821" s="403">
        <v>0.92800000000000005</v>
      </c>
      <c r="I5821" s="403">
        <v>0</v>
      </c>
      <c r="J5821" s="404">
        <v>21.59</v>
      </c>
      <c r="K5821" s="404">
        <v>20.035520000000002</v>
      </c>
    </row>
    <row r="5822" spans="1:11" ht="12.75" customHeight="1" x14ac:dyDescent="0.3">
      <c r="A5822" s="400" t="s">
        <v>1038</v>
      </c>
      <c r="B5822" s="401" t="s">
        <v>6235</v>
      </c>
      <c r="C5822" s="400" t="s">
        <v>408</v>
      </c>
      <c r="D5822" s="400" t="s">
        <v>6236</v>
      </c>
      <c r="E5822" s="605" t="s">
        <v>1053</v>
      </c>
      <c r="F5822" s="605"/>
      <c r="G5822" s="402" t="s">
        <v>6</v>
      </c>
      <c r="H5822" s="403">
        <v>0.92800000000000005</v>
      </c>
      <c r="I5822" s="403">
        <v>0</v>
      </c>
      <c r="J5822" s="404">
        <v>28.35</v>
      </c>
      <c r="K5822" s="404">
        <v>26.308800000000002</v>
      </c>
    </row>
    <row r="5823" spans="1:11" ht="15" customHeight="1" x14ac:dyDescent="0.3">
      <c r="A5823" s="405"/>
      <c r="B5823" s="405"/>
      <c r="C5823" s="405"/>
      <c r="D5823" s="405"/>
      <c r="E5823" s="405" t="s">
        <v>1046</v>
      </c>
      <c r="F5823" s="406">
        <v>46.35</v>
      </c>
      <c r="G5823" s="405" t="s">
        <v>1047</v>
      </c>
      <c r="H5823" s="406">
        <v>0</v>
      </c>
      <c r="I5823" s="405" t="s">
        <v>1048</v>
      </c>
      <c r="J5823" s="406">
        <v>46.35</v>
      </c>
      <c r="K5823"/>
    </row>
    <row r="5824" spans="1:11" ht="25.5" customHeight="1" thickBot="1" x14ac:dyDescent="0.35">
      <c r="A5824" s="405"/>
      <c r="B5824" s="405"/>
      <c r="C5824" s="405"/>
      <c r="D5824" s="405"/>
      <c r="E5824" s="405" t="s">
        <v>1049</v>
      </c>
      <c r="F5824" s="406">
        <v>0</v>
      </c>
      <c r="G5824" s="405"/>
      <c r="H5824" s="606"/>
      <c r="I5824" s="606" t="s">
        <v>1050</v>
      </c>
      <c r="J5824" s="406">
        <v>260.02</v>
      </c>
      <c r="K5824"/>
    </row>
    <row r="5825" spans="1:11" ht="12.75" customHeight="1" thickTop="1" x14ac:dyDescent="0.3">
      <c r="A5825" s="407"/>
      <c r="B5825" s="407"/>
      <c r="C5825" s="407"/>
      <c r="D5825" s="407"/>
      <c r="E5825" s="407"/>
      <c r="F5825" s="407"/>
      <c r="G5825" s="407"/>
      <c r="H5825" s="407"/>
      <c r="I5825" s="407"/>
      <c r="J5825" s="407"/>
      <c r="K5825" s="407"/>
    </row>
    <row r="5826" spans="1:11" ht="12.75" customHeight="1" x14ac:dyDescent="0.3">
      <c r="A5826" s="382" t="s">
        <v>3416</v>
      </c>
      <c r="B5826" s="312" t="s">
        <v>413</v>
      </c>
      <c r="C5826" s="382" t="s">
        <v>414</v>
      </c>
      <c r="D5826" s="382" t="s">
        <v>415</v>
      </c>
      <c r="E5826" s="586" t="s">
        <v>1029</v>
      </c>
      <c r="F5826" s="586"/>
      <c r="G5826" s="383" t="s">
        <v>416</v>
      </c>
      <c r="H5826" s="312" t="s">
        <v>1030</v>
      </c>
      <c r="I5826" s="312" t="s">
        <v>3016</v>
      </c>
      <c r="J5826" s="312" t="s">
        <v>1031</v>
      </c>
      <c r="K5826" s="312" t="s">
        <v>1032</v>
      </c>
    </row>
    <row r="5827" spans="1:11" ht="17.399999999999999" customHeight="1" x14ac:dyDescent="0.3">
      <c r="A5827" s="313" t="s">
        <v>1033</v>
      </c>
      <c r="B5827" s="315" t="s">
        <v>1021</v>
      </c>
      <c r="C5827" s="313" t="s">
        <v>408</v>
      </c>
      <c r="D5827" s="313" t="s">
        <v>788</v>
      </c>
      <c r="E5827" s="603" t="s">
        <v>2273</v>
      </c>
      <c r="F5827" s="603"/>
      <c r="G5827" s="314" t="s">
        <v>4</v>
      </c>
      <c r="H5827" s="399">
        <v>1</v>
      </c>
      <c r="I5827" s="316"/>
      <c r="J5827" s="316">
        <v>95.9</v>
      </c>
      <c r="K5827" s="316">
        <v>95.9</v>
      </c>
    </row>
    <row r="5828" spans="1:11" ht="26.4" x14ac:dyDescent="0.3">
      <c r="A5828" s="408" t="s">
        <v>1034</v>
      </c>
      <c r="B5828" s="409" t="s">
        <v>1371</v>
      </c>
      <c r="C5828" s="408" t="s">
        <v>395</v>
      </c>
      <c r="D5828" s="408" t="s">
        <v>140</v>
      </c>
      <c r="E5828" s="604" t="s">
        <v>7768</v>
      </c>
      <c r="F5828" s="604"/>
      <c r="G5828" s="410" t="s">
        <v>6</v>
      </c>
      <c r="H5828" s="412">
        <v>1.75</v>
      </c>
      <c r="I5828" s="412">
        <v>0</v>
      </c>
      <c r="J5828" s="411">
        <v>50.11</v>
      </c>
      <c r="K5828" s="411">
        <v>87.692499999999995</v>
      </c>
    </row>
    <row r="5829" spans="1:11" ht="14.25" customHeight="1" x14ac:dyDescent="0.3">
      <c r="A5829" s="400" t="s">
        <v>1038</v>
      </c>
      <c r="B5829" s="401" t="s">
        <v>1583</v>
      </c>
      <c r="C5829" s="400" t="s">
        <v>408</v>
      </c>
      <c r="D5829" s="400" t="s">
        <v>1584</v>
      </c>
      <c r="E5829" s="605" t="s">
        <v>1039</v>
      </c>
      <c r="F5829" s="605"/>
      <c r="G5829" s="402" t="s">
        <v>3</v>
      </c>
      <c r="H5829" s="403">
        <v>0.6</v>
      </c>
      <c r="I5829" s="403">
        <v>0</v>
      </c>
      <c r="J5829" s="404">
        <v>8.25</v>
      </c>
      <c r="K5829" s="404">
        <v>4.95</v>
      </c>
    </row>
    <row r="5830" spans="1:11" ht="15" customHeight="1" x14ac:dyDescent="0.3">
      <c r="A5830" s="400" t="s">
        <v>1038</v>
      </c>
      <c r="B5830" s="401" t="s">
        <v>1585</v>
      </c>
      <c r="C5830" s="400" t="s">
        <v>408</v>
      </c>
      <c r="D5830" s="400" t="s">
        <v>1586</v>
      </c>
      <c r="E5830" s="605" t="s">
        <v>1039</v>
      </c>
      <c r="F5830" s="605"/>
      <c r="G5830" s="402" t="s">
        <v>4</v>
      </c>
      <c r="H5830" s="403">
        <v>2</v>
      </c>
      <c r="I5830" s="403">
        <v>0</v>
      </c>
      <c r="J5830" s="404">
        <v>1</v>
      </c>
      <c r="K5830" s="404">
        <v>2</v>
      </c>
    </row>
    <row r="5831" spans="1:11" ht="15" customHeight="1" x14ac:dyDescent="0.3">
      <c r="A5831" s="400" t="s">
        <v>1038</v>
      </c>
      <c r="B5831" s="401" t="s">
        <v>1587</v>
      </c>
      <c r="C5831" s="400" t="s">
        <v>408</v>
      </c>
      <c r="D5831" s="400" t="s">
        <v>1588</v>
      </c>
      <c r="E5831" s="605" t="s">
        <v>1039</v>
      </c>
      <c r="F5831" s="605"/>
      <c r="G5831" s="402" t="s">
        <v>4</v>
      </c>
      <c r="H5831" s="403">
        <v>1</v>
      </c>
      <c r="I5831" s="403">
        <v>0</v>
      </c>
      <c r="J5831" s="404">
        <v>1.26</v>
      </c>
      <c r="K5831" s="404">
        <v>1.26</v>
      </c>
    </row>
    <row r="5832" spans="1:11" ht="15" x14ac:dyDescent="0.3">
      <c r="A5832" s="405"/>
      <c r="B5832" s="405"/>
      <c r="C5832" s="405"/>
      <c r="D5832" s="405"/>
      <c r="E5832" s="405" t="s">
        <v>1046</v>
      </c>
      <c r="F5832" s="406">
        <v>72.03</v>
      </c>
      <c r="G5832" s="405" t="s">
        <v>1047</v>
      </c>
      <c r="H5832" s="406">
        <v>0</v>
      </c>
      <c r="I5832" s="405" t="s">
        <v>1048</v>
      </c>
      <c r="J5832" s="406">
        <v>72.03</v>
      </c>
      <c r="K5832"/>
    </row>
    <row r="5833" spans="1:11" ht="12.75" customHeight="1" thickBot="1" x14ac:dyDescent="0.35">
      <c r="A5833" s="405"/>
      <c r="B5833" s="405"/>
      <c r="C5833" s="405"/>
      <c r="D5833" s="405"/>
      <c r="E5833" s="405" t="s">
        <v>1049</v>
      </c>
      <c r="F5833" s="406">
        <v>0</v>
      </c>
      <c r="G5833" s="405"/>
      <c r="H5833" s="606"/>
      <c r="I5833" s="606" t="s">
        <v>1050</v>
      </c>
      <c r="J5833" s="406">
        <v>95.9</v>
      </c>
      <c r="K5833"/>
    </row>
    <row r="5834" spans="1:11" ht="14.25" customHeight="1" thickTop="1" x14ac:dyDescent="0.3">
      <c r="A5834" s="407"/>
      <c r="B5834" s="407"/>
      <c r="C5834" s="407"/>
      <c r="D5834" s="407"/>
      <c r="E5834" s="407"/>
      <c r="F5834" s="407"/>
      <c r="G5834" s="407"/>
      <c r="H5834" s="407"/>
      <c r="I5834" s="407"/>
      <c r="J5834" s="407"/>
      <c r="K5834" s="407"/>
    </row>
    <row r="5835" spans="1:11" ht="38.25" customHeight="1" x14ac:dyDescent="0.3">
      <c r="A5835" s="382" t="s">
        <v>3417</v>
      </c>
      <c r="B5835" s="312" t="s">
        <v>413</v>
      </c>
      <c r="C5835" s="382" t="s">
        <v>414</v>
      </c>
      <c r="D5835" s="382" t="s">
        <v>415</v>
      </c>
      <c r="E5835" s="586" t="s">
        <v>1029</v>
      </c>
      <c r="F5835" s="586"/>
      <c r="G5835" s="383" t="s">
        <v>416</v>
      </c>
      <c r="H5835" s="312" t="s">
        <v>1030</v>
      </c>
      <c r="I5835" s="312" t="s">
        <v>3016</v>
      </c>
      <c r="J5835" s="312" t="s">
        <v>1031</v>
      </c>
      <c r="K5835" s="312" t="s">
        <v>1032</v>
      </c>
    </row>
    <row r="5836" spans="1:11" ht="25.5" customHeight="1" x14ac:dyDescent="0.3">
      <c r="A5836" s="313" t="s">
        <v>1033</v>
      </c>
      <c r="B5836" s="315" t="s">
        <v>976</v>
      </c>
      <c r="C5836" s="313" t="s">
        <v>408</v>
      </c>
      <c r="D5836" s="313" t="s">
        <v>6094</v>
      </c>
      <c r="E5836" s="603" t="s">
        <v>2264</v>
      </c>
      <c r="F5836" s="603"/>
      <c r="G5836" s="314" t="s">
        <v>4</v>
      </c>
      <c r="H5836" s="399">
        <v>1</v>
      </c>
      <c r="I5836" s="316"/>
      <c r="J5836" s="316">
        <v>172.5</v>
      </c>
      <c r="K5836" s="316">
        <v>172.5</v>
      </c>
    </row>
    <row r="5837" spans="1:11" ht="25.5" customHeight="1" x14ac:dyDescent="0.3">
      <c r="A5837" s="400" t="s">
        <v>1038</v>
      </c>
      <c r="B5837" s="401" t="s">
        <v>1354</v>
      </c>
      <c r="C5837" s="400" t="s">
        <v>408</v>
      </c>
      <c r="D5837" s="400" t="s">
        <v>1355</v>
      </c>
      <c r="E5837" s="605" t="s">
        <v>1039</v>
      </c>
      <c r="F5837" s="605"/>
      <c r="G5837" s="402" t="s">
        <v>4</v>
      </c>
      <c r="H5837" s="403">
        <v>1</v>
      </c>
      <c r="I5837" s="403">
        <v>0</v>
      </c>
      <c r="J5837" s="404">
        <v>145.97999999999999</v>
      </c>
      <c r="K5837" s="404">
        <v>145.97999999999999</v>
      </c>
    </row>
    <row r="5838" spans="1:11" ht="12.75" customHeight="1" x14ac:dyDescent="0.3">
      <c r="A5838" s="400" t="s">
        <v>1038</v>
      </c>
      <c r="B5838" s="401" t="s">
        <v>1114</v>
      </c>
      <c r="C5838" s="400" t="s">
        <v>408</v>
      </c>
      <c r="D5838" s="400" t="s">
        <v>1115</v>
      </c>
      <c r="E5838" s="605" t="s">
        <v>1039</v>
      </c>
      <c r="F5838" s="605"/>
      <c r="G5838" s="402" t="s">
        <v>7</v>
      </c>
      <c r="H5838" s="403">
        <v>4.8</v>
      </c>
      <c r="I5838" s="403">
        <v>0</v>
      </c>
      <c r="J5838" s="404">
        <v>0.23</v>
      </c>
      <c r="K5838" s="404">
        <v>1.1040000000000001</v>
      </c>
    </row>
    <row r="5839" spans="1:11" ht="15" x14ac:dyDescent="0.3">
      <c r="A5839" s="400" t="s">
        <v>1038</v>
      </c>
      <c r="B5839" s="401" t="s">
        <v>6301</v>
      </c>
      <c r="C5839" s="400" t="s">
        <v>408</v>
      </c>
      <c r="D5839" s="400" t="s">
        <v>6302</v>
      </c>
      <c r="E5839" s="605" t="s">
        <v>1053</v>
      </c>
      <c r="F5839" s="605"/>
      <c r="G5839" s="402" t="s">
        <v>6</v>
      </c>
      <c r="H5839" s="403">
        <v>0.50900000000000001</v>
      </c>
      <c r="I5839" s="403">
        <v>0</v>
      </c>
      <c r="J5839" s="404">
        <v>21.59</v>
      </c>
      <c r="K5839" s="404">
        <v>10.98931</v>
      </c>
    </row>
    <row r="5840" spans="1:11" ht="14.25" customHeight="1" x14ac:dyDescent="0.3">
      <c r="A5840" s="400" t="s">
        <v>1038</v>
      </c>
      <c r="B5840" s="401" t="s">
        <v>6235</v>
      </c>
      <c r="C5840" s="400" t="s">
        <v>408</v>
      </c>
      <c r="D5840" s="400" t="s">
        <v>6236</v>
      </c>
      <c r="E5840" s="605" t="s">
        <v>1053</v>
      </c>
      <c r="F5840" s="605"/>
      <c r="G5840" s="402" t="s">
        <v>6</v>
      </c>
      <c r="H5840" s="403">
        <v>0.50900000000000001</v>
      </c>
      <c r="I5840" s="403">
        <v>0</v>
      </c>
      <c r="J5840" s="404">
        <v>28.35</v>
      </c>
      <c r="K5840" s="404">
        <v>14.430149999999999</v>
      </c>
    </row>
    <row r="5841" spans="1:11" ht="15" customHeight="1" x14ac:dyDescent="0.3">
      <c r="A5841" s="405"/>
      <c r="B5841" s="405"/>
      <c r="C5841" s="405"/>
      <c r="D5841" s="405"/>
      <c r="E5841" s="405" t="s">
        <v>1046</v>
      </c>
      <c r="F5841" s="406">
        <v>25.42</v>
      </c>
      <c r="G5841" s="405" t="s">
        <v>1047</v>
      </c>
      <c r="H5841" s="406">
        <v>0</v>
      </c>
      <c r="I5841" s="405" t="s">
        <v>1048</v>
      </c>
      <c r="J5841" s="406">
        <v>25.42</v>
      </c>
      <c r="K5841"/>
    </row>
    <row r="5842" spans="1:11" ht="15.6" thickBot="1" x14ac:dyDescent="0.35">
      <c r="A5842" s="405"/>
      <c r="B5842" s="405"/>
      <c r="C5842" s="405"/>
      <c r="D5842" s="405"/>
      <c r="E5842" s="405" t="s">
        <v>1049</v>
      </c>
      <c r="F5842" s="406">
        <v>0</v>
      </c>
      <c r="G5842" s="405"/>
      <c r="H5842" s="606"/>
      <c r="I5842" s="606" t="s">
        <v>1050</v>
      </c>
      <c r="J5842" s="406">
        <v>172.5</v>
      </c>
      <c r="K5842"/>
    </row>
    <row r="5843" spans="1:11" ht="17.399999999999999" customHeight="1" thickTop="1" x14ac:dyDescent="0.3">
      <c r="A5843" s="407"/>
      <c r="B5843" s="407"/>
      <c r="C5843" s="407"/>
      <c r="D5843" s="407"/>
      <c r="E5843" s="407"/>
      <c r="F5843" s="407"/>
      <c r="G5843" s="407"/>
      <c r="H5843" s="407"/>
      <c r="I5843" s="407"/>
      <c r="J5843" s="407"/>
      <c r="K5843" s="407"/>
    </row>
    <row r="5844" spans="1:11" ht="12.75" customHeight="1" x14ac:dyDescent="0.3">
      <c r="A5844" s="382" t="s">
        <v>3418</v>
      </c>
      <c r="B5844" s="312" t="s">
        <v>413</v>
      </c>
      <c r="C5844" s="382" t="s">
        <v>414</v>
      </c>
      <c r="D5844" s="382" t="s">
        <v>415</v>
      </c>
      <c r="E5844" s="586" t="s">
        <v>1029</v>
      </c>
      <c r="F5844" s="586"/>
      <c r="G5844" s="383" t="s">
        <v>416</v>
      </c>
      <c r="H5844" s="312" t="s">
        <v>1030</v>
      </c>
      <c r="I5844" s="312" t="s">
        <v>3016</v>
      </c>
      <c r="J5844" s="312" t="s">
        <v>1031</v>
      </c>
      <c r="K5844" s="312" t="s">
        <v>1032</v>
      </c>
    </row>
    <row r="5845" spans="1:11" ht="15" customHeight="1" x14ac:dyDescent="0.3">
      <c r="A5845" s="313" t="s">
        <v>1033</v>
      </c>
      <c r="B5845" s="315" t="s">
        <v>2198</v>
      </c>
      <c r="C5845" s="313" t="s">
        <v>408</v>
      </c>
      <c r="D5845" s="313" t="s">
        <v>1952</v>
      </c>
      <c r="E5845" s="603" t="s">
        <v>2260</v>
      </c>
      <c r="F5845" s="603"/>
      <c r="G5845" s="314" t="s">
        <v>4</v>
      </c>
      <c r="H5845" s="399">
        <v>1</v>
      </c>
      <c r="I5845" s="316"/>
      <c r="J5845" s="316">
        <v>116.44</v>
      </c>
      <c r="K5845" s="316">
        <v>116.44</v>
      </c>
    </row>
    <row r="5846" spans="1:11" ht="15" customHeight="1" x14ac:dyDescent="0.3">
      <c r="A5846" s="400" t="s">
        <v>1038</v>
      </c>
      <c r="B5846" s="401" t="s">
        <v>2525</v>
      </c>
      <c r="C5846" s="400" t="s">
        <v>408</v>
      </c>
      <c r="D5846" s="400" t="s">
        <v>2526</v>
      </c>
      <c r="E5846" s="605" t="s">
        <v>1039</v>
      </c>
      <c r="F5846" s="605"/>
      <c r="G5846" s="402" t="s">
        <v>4</v>
      </c>
      <c r="H5846" s="403">
        <v>1</v>
      </c>
      <c r="I5846" s="403">
        <v>0</v>
      </c>
      <c r="J5846" s="404">
        <v>97.48</v>
      </c>
      <c r="K5846" s="404">
        <v>97.48</v>
      </c>
    </row>
    <row r="5847" spans="1:11" ht="14.25" customHeight="1" x14ac:dyDescent="0.3">
      <c r="A5847" s="400" t="s">
        <v>1038</v>
      </c>
      <c r="B5847" s="401" t="s">
        <v>1114</v>
      </c>
      <c r="C5847" s="400" t="s">
        <v>408</v>
      </c>
      <c r="D5847" s="400" t="s">
        <v>1115</v>
      </c>
      <c r="E5847" s="605" t="s">
        <v>1039</v>
      </c>
      <c r="F5847" s="605"/>
      <c r="G5847" s="402" t="s">
        <v>7</v>
      </c>
      <c r="H5847" s="403">
        <v>3.83</v>
      </c>
      <c r="I5847" s="403">
        <v>0</v>
      </c>
      <c r="J5847" s="404">
        <v>0.23</v>
      </c>
      <c r="K5847" s="404">
        <v>0.88090000000000002</v>
      </c>
    </row>
    <row r="5848" spans="1:11" ht="15" x14ac:dyDescent="0.3">
      <c r="A5848" s="400" t="s">
        <v>1038</v>
      </c>
      <c r="B5848" s="401" t="s">
        <v>6301</v>
      </c>
      <c r="C5848" s="400" t="s">
        <v>408</v>
      </c>
      <c r="D5848" s="400" t="s">
        <v>6302</v>
      </c>
      <c r="E5848" s="605" t="s">
        <v>1053</v>
      </c>
      <c r="F5848" s="605"/>
      <c r="G5848" s="402" t="s">
        <v>6</v>
      </c>
      <c r="H5848" s="403">
        <v>0.36199999999999999</v>
      </c>
      <c r="I5848" s="403">
        <v>0</v>
      </c>
      <c r="J5848" s="404">
        <v>21.59</v>
      </c>
      <c r="K5848" s="404">
        <v>7.8155799999999997</v>
      </c>
    </row>
    <row r="5849" spans="1:11" ht="15" x14ac:dyDescent="0.3">
      <c r="A5849" s="400" t="s">
        <v>1038</v>
      </c>
      <c r="B5849" s="401" t="s">
        <v>6235</v>
      </c>
      <c r="C5849" s="400" t="s">
        <v>408</v>
      </c>
      <c r="D5849" s="400" t="s">
        <v>6236</v>
      </c>
      <c r="E5849" s="605" t="s">
        <v>1053</v>
      </c>
      <c r="F5849" s="605"/>
      <c r="G5849" s="402" t="s">
        <v>6</v>
      </c>
      <c r="H5849" s="403">
        <v>0.36199999999999999</v>
      </c>
      <c r="I5849" s="403">
        <v>0</v>
      </c>
      <c r="J5849" s="404">
        <v>28.35</v>
      </c>
      <c r="K5849" s="404">
        <v>10.262700000000001</v>
      </c>
    </row>
    <row r="5850" spans="1:11" ht="15" x14ac:dyDescent="0.3">
      <c r="A5850" s="405"/>
      <c r="B5850" s="405"/>
      <c r="C5850" s="405"/>
      <c r="D5850" s="405"/>
      <c r="E5850" s="405" t="s">
        <v>1046</v>
      </c>
      <c r="F5850" s="406">
        <v>18.079999999999998</v>
      </c>
      <c r="G5850" s="405" t="s">
        <v>1047</v>
      </c>
      <c r="H5850" s="406">
        <v>0</v>
      </c>
      <c r="I5850" s="405" t="s">
        <v>1048</v>
      </c>
      <c r="J5850" s="406">
        <v>18.079999999999998</v>
      </c>
      <c r="K5850"/>
    </row>
    <row r="5851" spans="1:11" ht="12.75" customHeight="1" thickBot="1" x14ac:dyDescent="0.35">
      <c r="A5851" s="405"/>
      <c r="B5851" s="405"/>
      <c r="C5851" s="405"/>
      <c r="D5851" s="405"/>
      <c r="E5851" s="405" t="s">
        <v>1049</v>
      </c>
      <c r="F5851" s="406">
        <v>0</v>
      </c>
      <c r="G5851" s="405"/>
      <c r="H5851" s="606"/>
      <c r="I5851" s="606" t="s">
        <v>1050</v>
      </c>
      <c r="J5851" s="406">
        <v>116.44</v>
      </c>
      <c r="K5851"/>
    </row>
    <row r="5852" spans="1:11" ht="25.5" customHeight="1" thickTop="1" x14ac:dyDescent="0.3">
      <c r="A5852" s="407"/>
      <c r="B5852" s="407"/>
      <c r="C5852" s="407"/>
      <c r="D5852" s="407"/>
      <c r="E5852" s="407"/>
      <c r="F5852" s="407"/>
      <c r="G5852" s="407"/>
      <c r="H5852" s="407"/>
      <c r="I5852" s="407"/>
      <c r="J5852" s="407"/>
      <c r="K5852" s="407"/>
    </row>
    <row r="5853" spans="1:11" ht="25.5" customHeight="1" x14ac:dyDescent="0.3">
      <c r="A5853" s="382" t="s">
        <v>3419</v>
      </c>
      <c r="B5853" s="312" t="s">
        <v>413</v>
      </c>
      <c r="C5853" s="382" t="s">
        <v>414</v>
      </c>
      <c r="D5853" s="382" t="s">
        <v>415</v>
      </c>
      <c r="E5853" s="586" t="s">
        <v>1029</v>
      </c>
      <c r="F5853" s="586"/>
      <c r="G5853" s="383" t="s">
        <v>416</v>
      </c>
      <c r="H5853" s="312" t="s">
        <v>1030</v>
      </c>
      <c r="I5853" s="312" t="s">
        <v>3016</v>
      </c>
      <c r="J5853" s="312" t="s">
        <v>1031</v>
      </c>
      <c r="K5853" s="312" t="s">
        <v>1032</v>
      </c>
    </row>
    <row r="5854" spans="1:11" ht="15" customHeight="1" x14ac:dyDescent="0.3">
      <c r="A5854" s="313" t="s">
        <v>1033</v>
      </c>
      <c r="B5854" s="315" t="s">
        <v>2217</v>
      </c>
      <c r="C5854" s="313" t="s">
        <v>395</v>
      </c>
      <c r="D5854" s="313" t="s">
        <v>2006</v>
      </c>
      <c r="E5854" s="603" t="s">
        <v>2494</v>
      </c>
      <c r="F5854" s="603"/>
      <c r="G5854" s="314" t="s">
        <v>675</v>
      </c>
      <c r="H5854" s="399">
        <v>1</v>
      </c>
      <c r="I5854" s="316"/>
      <c r="J5854" s="316">
        <v>49.23</v>
      </c>
      <c r="K5854" s="316">
        <v>49.23</v>
      </c>
    </row>
    <row r="5855" spans="1:11" ht="15" customHeight="1" x14ac:dyDescent="0.3">
      <c r="A5855" s="408" t="s">
        <v>1034</v>
      </c>
      <c r="B5855" s="409" t="s">
        <v>1290</v>
      </c>
      <c r="C5855" s="408" t="s">
        <v>395</v>
      </c>
      <c r="D5855" s="408" t="s">
        <v>147</v>
      </c>
      <c r="E5855" s="604" t="s">
        <v>7768</v>
      </c>
      <c r="F5855" s="604"/>
      <c r="G5855" s="410" t="s">
        <v>6</v>
      </c>
      <c r="H5855" s="412">
        <v>1.5</v>
      </c>
      <c r="I5855" s="412">
        <v>0</v>
      </c>
      <c r="J5855" s="411">
        <v>32.82</v>
      </c>
      <c r="K5855" s="411">
        <v>49.23</v>
      </c>
    </row>
    <row r="5856" spans="1:11" ht="30" customHeight="1" x14ac:dyDescent="0.3">
      <c r="A5856" s="405"/>
      <c r="B5856" s="405"/>
      <c r="C5856" s="405"/>
      <c r="D5856" s="405"/>
      <c r="E5856" s="405" t="s">
        <v>1046</v>
      </c>
      <c r="F5856" s="406">
        <v>33.92</v>
      </c>
      <c r="G5856" s="405" t="s">
        <v>1047</v>
      </c>
      <c r="H5856" s="406">
        <v>0</v>
      </c>
      <c r="I5856" s="405" t="s">
        <v>1048</v>
      </c>
      <c r="J5856" s="406">
        <v>33.92</v>
      </c>
      <c r="K5856"/>
    </row>
    <row r="5857" spans="1:11" ht="15.6" thickBot="1" x14ac:dyDescent="0.35">
      <c r="A5857" s="405"/>
      <c r="B5857" s="405"/>
      <c r="C5857" s="405"/>
      <c r="D5857" s="405"/>
      <c r="E5857" s="405" t="s">
        <v>1049</v>
      </c>
      <c r="F5857" s="406">
        <v>0</v>
      </c>
      <c r="G5857" s="405"/>
      <c r="H5857" s="606"/>
      <c r="I5857" s="606" t="s">
        <v>1050</v>
      </c>
      <c r="J5857" s="406">
        <v>49.23</v>
      </c>
      <c r="K5857"/>
    </row>
    <row r="5858" spans="1:11" ht="15" customHeight="1" thickTop="1" x14ac:dyDescent="0.3">
      <c r="A5858" s="407"/>
      <c r="B5858" s="407"/>
      <c r="C5858" s="407"/>
      <c r="D5858" s="407"/>
      <c r="E5858" s="407"/>
      <c r="F5858" s="407"/>
      <c r="G5858" s="407"/>
      <c r="H5858" s="407"/>
      <c r="I5858" s="407"/>
      <c r="J5858" s="407"/>
      <c r="K5858" s="407"/>
    </row>
    <row r="5859" spans="1:11" ht="12.75" customHeight="1" x14ac:dyDescent="0.3">
      <c r="A5859" s="382" t="s">
        <v>3420</v>
      </c>
      <c r="B5859" s="312" t="s">
        <v>413</v>
      </c>
      <c r="C5859" s="382" t="s">
        <v>414</v>
      </c>
      <c r="D5859" s="382" t="s">
        <v>415</v>
      </c>
      <c r="E5859" s="586" t="s">
        <v>1029</v>
      </c>
      <c r="F5859" s="586"/>
      <c r="G5859" s="383" t="s">
        <v>416</v>
      </c>
      <c r="H5859" s="312" t="s">
        <v>1030</v>
      </c>
      <c r="I5859" s="312" t="s">
        <v>3016</v>
      </c>
      <c r="J5859" s="312" t="s">
        <v>1031</v>
      </c>
      <c r="K5859" s="312" t="s">
        <v>1032</v>
      </c>
    </row>
    <row r="5860" spans="1:11" ht="17.399999999999999" customHeight="1" x14ac:dyDescent="0.3">
      <c r="A5860" s="313" t="s">
        <v>1033</v>
      </c>
      <c r="B5860" s="315" t="s">
        <v>1022</v>
      </c>
      <c r="C5860" s="313" t="s">
        <v>408</v>
      </c>
      <c r="D5860" s="313" t="s">
        <v>793</v>
      </c>
      <c r="E5860" s="603" t="s">
        <v>2274</v>
      </c>
      <c r="F5860" s="603"/>
      <c r="G5860" s="314" t="s">
        <v>7</v>
      </c>
      <c r="H5860" s="399">
        <v>1</v>
      </c>
      <c r="I5860" s="316"/>
      <c r="J5860" s="316">
        <v>846.84</v>
      </c>
      <c r="K5860" s="316">
        <v>846.84</v>
      </c>
    </row>
    <row r="5861" spans="1:11" ht="14.25" customHeight="1" x14ac:dyDescent="0.3">
      <c r="A5861" s="400" t="s">
        <v>1038</v>
      </c>
      <c r="B5861" s="401" t="s">
        <v>1593</v>
      </c>
      <c r="C5861" s="400" t="s">
        <v>408</v>
      </c>
      <c r="D5861" s="400" t="s">
        <v>1594</v>
      </c>
      <c r="E5861" s="605" t="s">
        <v>1039</v>
      </c>
      <c r="F5861" s="605"/>
      <c r="G5861" s="402" t="s">
        <v>3</v>
      </c>
      <c r="H5861" s="403">
        <v>75.400000000000006</v>
      </c>
      <c r="I5861" s="403">
        <v>0</v>
      </c>
      <c r="J5861" s="404">
        <v>10</v>
      </c>
      <c r="K5861" s="404">
        <v>754</v>
      </c>
    </row>
    <row r="5862" spans="1:11" ht="12.75" customHeight="1" x14ac:dyDescent="0.3">
      <c r="A5862" s="400" t="s">
        <v>1038</v>
      </c>
      <c r="B5862" s="401" t="s">
        <v>1555</v>
      </c>
      <c r="C5862" s="400" t="s">
        <v>408</v>
      </c>
      <c r="D5862" s="400" t="s">
        <v>1556</v>
      </c>
      <c r="E5862" s="605" t="s">
        <v>1039</v>
      </c>
      <c r="F5862" s="605"/>
      <c r="G5862" s="402" t="s">
        <v>6</v>
      </c>
      <c r="H5862" s="403">
        <v>0.56000000000000005</v>
      </c>
      <c r="I5862" s="403">
        <v>0</v>
      </c>
      <c r="J5862" s="404">
        <v>2.35</v>
      </c>
      <c r="K5862" s="404">
        <v>1.3160000000000001</v>
      </c>
    </row>
    <row r="5863" spans="1:11" ht="30" customHeight="1" x14ac:dyDescent="0.3">
      <c r="A5863" s="400" t="s">
        <v>1038</v>
      </c>
      <c r="B5863" s="401" t="s">
        <v>1591</v>
      </c>
      <c r="C5863" s="400" t="s">
        <v>408</v>
      </c>
      <c r="D5863" s="400" t="s">
        <v>1592</v>
      </c>
      <c r="E5863" s="605" t="s">
        <v>1039</v>
      </c>
      <c r="F5863" s="605"/>
      <c r="G5863" s="402" t="s">
        <v>6</v>
      </c>
      <c r="H5863" s="403">
        <v>0.53600000000000003</v>
      </c>
      <c r="I5863" s="403">
        <v>0</v>
      </c>
      <c r="J5863" s="404">
        <v>104.44</v>
      </c>
      <c r="K5863" s="404">
        <v>55.979840000000003</v>
      </c>
    </row>
    <row r="5864" spans="1:11" ht="30" customHeight="1" x14ac:dyDescent="0.3">
      <c r="A5864" s="400" t="s">
        <v>1038</v>
      </c>
      <c r="B5864" s="401" t="s">
        <v>6763</v>
      </c>
      <c r="C5864" s="400" t="s">
        <v>408</v>
      </c>
      <c r="D5864" s="400" t="s">
        <v>6764</v>
      </c>
      <c r="E5864" s="605" t="s">
        <v>1053</v>
      </c>
      <c r="F5864" s="605"/>
      <c r="G5864" s="402" t="s">
        <v>6</v>
      </c>
      <c r="H5864" s="403">
        <v>0.59499999999999997</v>
      </c>
      <c r="I5864" s="403">
        <v>0</v>
      </c>
      <c r="J5864" s="404">
        <v>30.51</v>
      </c>
      <c r="K5864" s="404">
        <v>18.153449999999999</v>
      </c>
    </row>
    <row r="5865" spans="1:11" ht="30" customHeight="1" x14ac:dyDescent="0.3">
      <c r="A5865" s="400" t="s">
        <v>1038</v>
      </c>
      <c r="B5865" s="401" t="s">
        <v>7156</v>
      </c>
      <c r="C5865" s="400" t="s">
        <v>408</v>
      </c>
      <c r="D5865" s="400" t="s">
        <v>7157</v>
      </c>
      <c r="E5865" s="605" t="s">
        <v>1053</v>
      </c>
      <c r="F5865" s="605"/>
      <c r="G5865" s="402" t="s">
        <v>6</v>
      </c>
      <c r="H5865" s="403">
        <v>0.56999999999999995</v>
      </c>
      <c r="I5865" s="403">
        <v>0</v>
      </c>
      <c r="J5865" s="404">
        <v>30.51</v>
      </c>
      <c r="K5865" s="404">
        <v>17.390699999999999</v>
      </c>
    </row>
    <row r="5866" spans="1:11" ht="12.75" customHeight="1" x14ac:dyDescent="0.3">
      <c r="A5866" s="405"/>
      <c r="B5866" s="405"/>
      <c r="C5866" s="405"/>
      <c r="D5866" s="405"/>
      <c r="E5866" s="405" t="s">
        <v>1046</v>
      </c>
      <c r="F5866" s="406">
        <v>35.54</v>
      </c>
      <c r="G5866" s="405" t="s">
        <v>1047</v>
      </c>
      <c r="H5866" s="406">
        <v>0</v>
      </c>
      <c r="I5866" s="405" t="s">
        <v>1048</v>
      </c>
      <c r="J5866" s="406">
        <v>35.54</v>
      </c>
      <c r="K5866"/>
    </row>
    <row r="5867" spans="1:11" ht="15" customHeight="1" thickBot="1" x14ac:dyDescent="0.35">
      <c r="A5867" s="405"/>
      <c r="B5867" s="405"/>
      <c r="C5867" s="405"/>
      <c r="D5867" s="405"/>
      <c r="E5867" s="405" t="s">
        <v>1049</v>
      </c>
      <c r="F5867" s="406">
        <v>0</v>
      </c>
      <c r="G5867" s="405"/>
      <c r="H5867" s="606"/>
      <c r="I5867" s="606" t="s">
        <v>1050</v>
      </c>
      <c r="J5867" s="406">
        <v>846.84</v>
      </c>
      <c r="K5867"/>
    </row>
    <row r="5868" spans="1:11" ht="15.6" thickTop="1" x14ac:dyDescent="0.3">
      <c r="A5868" s="407"/>
      <c r="B5868" s="407"/>
      <c r="C5868" s="407"/>
      <c r="D5868" s="407"/>
      <c r="E5868" s="407"/>
      <c r="F5868" s="407"/>
      <c r="G5868" s="407"/>
      <c r="H5868" s="407"/>
      <c r="I5868" s="407"/>
      <c r="J5868" s="407"/>
      <c r="K5868" s="407"/>
    </row>
    <row r="5869" spans="1:11" ht="15" x14ac:dyDescent="0.3">
      <c r="A5869" s="382" t="s">
        <v>3421</v>
      </c>
      <c r="B5869" s="312" t="s">
        <v>413</v>
      </c>
      <c r="C5869" s="382" t="s">
        <v>414</v>
      </c>
      <c r="D5869" s="382" t="s">
        <v>415</v>
      </c>
      <c r="E5869" s="586" t="s">
        <v>1029</v>
      </c>
      <c r="F5869" s="586"/>
      <c r="G5869" s="383" t="s">
        <v>416</v>
      </c>
      <c r="H5869" s="312" t="s">
        <v>1030</v>
      </c>
      <c r="I5869" s="312" t="s">
        <v>3016</v>
      </c>
      <c r="J5869" s="312" t="s">
        <v>1031</v>
      </c>
      <c r="K5869" s="312" t="s">
        <v>1032</v>
      </c>
    </row>
    <row r="5870" spans="1:11" ht="14.25" customHeight="1" x14ac:dyDescent="0.3">
      <c r="A5870" s="313" t="s">
        <v>1033</v>
      </c>
      <c r="B5870" s="315" t="s">
        <v>1017</v>
      </c>
      <c r="C5870" s="313" t="s">
        <v>408</v>
      </c>
      <c r="D5870" s="313" t="s">
        <v>6095</v>
      </c>
      <c r="E5870" s="603" t="s">
        <v>2274</v>
      </c>
      <c r="F5870" s="603"/>
      <c r="G5870" s="314" t="s">
        <v>4</v>
      </c>
      <c r="H5870" s="399">
        <v>1</v>
      </c>
      <c r="I5870" s="316"/>
      <c r="J5870" s="316">
        <v>102.51</v>
      </c>
      <c r="K5870" s="316">
        <v>102.51</v>
      </c>
    </row>
    <row r="5871" spans="1:11" ht="15" customHeight="1" x14ac:dyDescent="0.3">
      <c r="A5871" s="400" t="s">
        <v>1038</v>
      </c>
      <c r="B5871" s="401" t="s">
        <v>7283</v>
      </c>
      <c r="C5871" s="400" t="s">
        <v>408</v>
      </c>
      <c r="D5871" s="400" t="s">
        <v>7284</v>
      </c>
      <c r="E5871" s="605" t="s">
        <v>1039</v>
      </c>
      <c r="F5871" s="605"/>
      <c r="G5871" s="402" t="s">
        <v>4622</v>
      </c>
      <c r="H5871" s="403">
        <v>5.2</v>
      </c>
      <c r="I5871" s="403">
        <v>0</v>
      </c>
      <c r="J5871" s="404">
        <v>1</v>
      </c>
      <c r="K5871" s="404">
        <v>5.2</v>
      </c>
    </row>
    <row r="5872" spans="1:11" ht="25.5" customHeight="1" x14ac:dyDescent="0.3">
      <c r="A5872" s="400" t="s">
        <v>1038</v>
      </c>
      <c r="B5872" s="401" t="s">
        <v>6692</v>
      </c>
      <c r="C5872" s="400" t="s">
        <v>408</v>
      </c>
      <c r="D5872" s="400" t="s">
        <v>6693</v>
      </c>
      <c r="E5872" s="605" t="s">
        <v>1039</v>
      </c>
      <c r="F5872" s="605"/>
      <c r="G5872" s="402" t="s">
        <v>3</v>
      </c>
      <c r="H5872" s="403">
        <v>0.78500000000000003</v>
      </c>
      <c r="I5872" s="403">
        <v>0</v>
      </c>
      <c r="J5872" s="404">
        <v>59.94</v>
      </c>
      <c r="K5872" s="404">
        <v>47.052900000000001</v>
      </c>
    </row>
    <row r="5873" spans="1:11" ht="25.5" customHeight="1" x14ac:dyDescent="0.3">
      <c r="A5873" s="400" t="s">
        <v>1038</v>
      </c>
      <c r="B5873" s="401" t="s">
        <v>7350</v>
      </c>
      <c r="C5873" s="400" t="s">
        <v>408</v>
      </c>
      <c r="D5873" s="400" t="s">
        <v>7351</v>
      </c>
      <c r="E5873" s="605" t="s">
        <v>1039</v>
      </c>
      <c r="F5873" s="605"/>
      <c r="G5873" s="402" t="s">
        <v>6</v>
      </c>
      <c r="H5873" s="403">
        <v>1.754</v>
      </c>
      <c r="I5873" s="403">
        <v>0</v>
      </c>
      <c r="J5873" s="404">
        <v>2.25</v>
      </c>
      <c r="K5873" s="404">
        <v>3.9464999999999999</v>
      </c>
    </row>
    <row r="5874" spans="1:11" ht="45" customHeight="1" x14ac:dyDescent="0.3">
      <c r="A5874" s="400" t="s">
        <v>1038</v>
      </c>
      <c r="B5874" s="401" t="s">
        <v>6763</v>
      </c>
      <c r="C5874" s="400" t="s">
        <v>408</v>
      </c>
      <c r="D5874" s="400" t="s">
        <v>6764</v>
      </c>
      <c r="E5874" s="605" t="s">
        <v>1053</v>
      </c>
      <c r="F5874" s="605"/>
      <c r="G5874" s="402" t="s">
        <v>6</v>
      </c>
      <c r="H5874" s="403">
        <v>0.94599999999999995</v>
      </c>
      <c r="I5874" s="403">
        <v>0</v>
      </c>
      <c r="J5874" s="404">
        <v>30.51</v>
      </c>
      <c r="K5874" s="404">
        <v>28.862459999999999</v>
      </c>
    </row>
    <row r="5875" spans="1:11" ht="12.75" customHeight="1" x14ac:dyDescent="0.3">
      <c r="A5875" s="400" t="s">
        <v>1038</v>
      </c>
      <c r="B5875" s="401" t="s">
        <v>6995</v>
      </c>
      <c r="C5875" s="400" t="s">
        <v>408</v>
      </c>
      <c r="D5875" s="400" t="s">
        <v>6996</v>
      </c>
      <c r="E5875" s="605" t="s">
        <v>1053</v>
      </c>
      <c r="F5875" s="605"/>
      <c r="G5875" s="402" t="s">
        <v>6</v>
      </c>
      <c r="H5875" s="403">
        <v>0.80800000000000005</v>
      </c>
      <c r="I5875" s="403">
        <v>0</v>
      </c>
      <c r="J5875" s="404">
        <v>21.59</v>
      </c>
      <c r="K5875" s="404">
        <v>17.44472</v>
      </c>
    </row>
    <row r="5876" spans="1:11" ht="30" customHeight="1" x14ac:dyDescent="0.3">
      <c r="A5876" s="405"/>
      <c r="B5876" s="405"/>
      <c r="C5876" s="405"/>
      <c r="D5876" s="405"/>
      <c r="E5876" s="405" t="s">
        <v>1046</v>
      </c>
      <c r="F5876" s="406">
        <v>46.3</v>
      </c>
      <c r="G5876" s="405" t="s">
        <v>1047</v>
      </c>
      <c r="H5876" s="406">
        <v>0</v>
      </c>
      <c r="I5876" s="405" t="s">
        <v>1048</v>
      </c>
      <c r="J5876" s="406">
        <v>46.3</v>
      </c>
      <c r="K5876"/>
    </row>
    <row r="5877" spans="1:11" ht="15.6" thickBot="1" x14ac:dyDescent="0.35">
      <c r="A5877" s="405"/>
      <c r="B5877" s="405"/>
      <c r="C5877" s="405"/>
      <c r="D5877" s="405"/>
      <c r="E5877" s="405" t="s">
        <v>1049</v>
      </c>
      <c r="F5877" s="406">
        <v>0</v>
      </c>
      <c r="G5877" s="405"/>
      <c r="H5877" s="606"/>
      <c r="I5877" s="606" t="s">
        <v>1050</v>
      </c>
      <c r="J5877" s="406">
        <v>102.51</v>
      </c>
      <c r="K5877"/>
    </row>
    <row r="5878" spans="1:11" ht="15" customHeight="1" thickTop="1" x14ac:dyDescent="0.3">
      <c r="A5878" s="407"/>
      <c r="B5878" s="407"/>
      <c r="C5878" s="407"/>
      <c r="D5878" s="407"/>
      <c r="E5878" s="407"/>
      <c r="F5878" s="407"/>
      <c r="G5878" s="407"/>
      <c r="H5878" s="407"/>
      <c r="I5878" s="407"/>
      <c r="J5878" s="407"/>
      <c r="K5878" s="407"/>
    </row>
    <row r="5879" spans="1:11" ht="14.25" customHeight="1" x14ac:dyDescent="0.3">
      <c r="A5879" s="382" t="s">
        <v>3423</v>
      </c>
      <c r="B5879" s="312" t="s">
        <v>413</v>
      </c>
      <c r="C5879" s="382" t="s">
        <v>414</v>
      </c>
      <c r="D5879" s="382" t="s">
        <v>415</v>
      </c>
      <c r="E5879" s="586" t="s">
        <v>1029</v>
      </c>
      <c r="F5879" s="586"/>
      <c r="G5879" s="383" t="s">
        <v>416</v>
      </c>
      <c r="H5879" s="312" t="s">
        <v>1030</v>
      </c>
      <c r="I5879" s="312" t="s">
        <v>3016</v>
      </c>
      <c r="J5879" s="312" t="s">
        <v>1031</v>
      </c>
      <c r="K5879" s="312" t="s">
        <v>1032</v>
      </c>
    </row>
    <row r="5880" spans="1:11" ht="25.5" customHeight="1" x14ac:dyDescent="0.3">
      <c r="A5880" s="313" t="s">
        <v>1033</v>
      </c>
      <c r="B5880" s="315" t="s">
        <v>1018</v>
      </c>
      <c r="C5880" s="313" t="s">
        <v>408</v>
      </c>
      <c r="D5880" s="313" t="s">
        <v>772</v>
      </c>
      <c r="E5880" s="603" t="s">
        <v>2275</v>
      </c>
      <c r="F5880" s="603"/>
      <c r="G5880" s="314" t="s">
        <v>7</v>
      </c>
      <c r="H5880" s="399">
        <v>1</v>
      </c>
      <c r="I5880" s="316"/>
      <c r="J5880" s="316">
        <v>17.34</v>
      </c>
      <c r="K5880" s="316">
        <v>17.34</v>
      </c>
    </row>
    <row r="5881" spans="1:11" ht="25.5" customHeight="1" x14ac:dyDescent="0.3">
      <c r="A5881" s="400" t="s">
        <v>1038</v>
      </c>
      <c r="B5881" s="401" t="s">
        <v>1557</v>
      </c>
      <c r="C5881" s="400" t="s">
        <v>408</v>
      </c>
      <c r="D5881" s="400" t="s">
        <v>1558</v>
      </c>
      <c r="E5881" s="605" t="s">
        <v>1039</v>
      </c>
      <c r="F5881" s="605"/>
      <c r="G5881" s="402" t="s">
        <v>3</v>
      </c>
      <c r="H5881" s="403">
        <v>0.248</v>
      </c>
      <c r="I5881" s="403">
        <v>0</v>
      </c>
      <c r="J5881" s="404">
        <v>56.98</v>
      </c>
      <c r="K5881" s="404">
        <v>14.13104</v>
      </c>
    </row>
    <row r="5882" spans="1:11" ht="15" customHeight="1" x14ac:dyDescent="0.3">
      <c r="A5882" s="400" t="s">
        <v>1038</v>
      </c>
      <c r="B5882" s="401" t="s">
        <v>1559</v>
      </c>
      <c r="C5882" s="400" t="s">
        <v>408</v>
      </c>
      <c r="D5882" s="400" t="s">
        <v>1560</v>
      </c>
      <c r="E5882" s="605" t="s">
        <v>1039</v>
      </c>
      <c r="F5882" s="605"/>
      <c r="G5882" s="402" t="s">
        <v>6</v>
      </c>
      <c r="H5882" s="403">
        <v>0.218</v>
      </c>
      <c r="I5882" s="403">
        <v>0</v>
      </c>
      <c r="J5882" s="404">
        <v>2.25</v>
      </c>
      <c r="K5882" s="404">
        <v>0.49049999999999999</v>
      </c>
    </row>
    <row r="5883" spans="1:11" ht="30" customHeight="1" x14ac:dyDescent="0.3">
      <c r="A5883" s="400" t="s">
        <v>1038</v>
      </c>
      <c r="B5883" s="401" t="s">
        <v>6763</v>
      </c>
      <c r="C5883" s="400" t="s">
        <v>408</v>
      </c>
      <c r="D5883" s="400" t="s">
        <v>6764</v>
      </c>
      <c r="E5883" s="605" t="s">
        <v>1053</v>
      </c>
      <c r="F5883" s="605"/>
      <c r="G5883" s="402" t="s">
        <v>6</v>
      </c>
      <c r="H5883" s="403">
        <v>8.8999999999999996E-2</v>
      </c>
      <c r="I5883" s="403">
        <v>0</v>
      </c>
      <c r="J5883" s="404">
        <v>30.51</v>
      </c>
      <c r="K5883" s="404">
        <v>2.7153900000000002</v>
      </c>
    </row>
    <row r="5884" spans="1:11" ht="12.75" customHeight="1" x14ac:dyDescent="0.3">
      <c r="A5884" s="405"/>
      <c r="B5884" s="405"/>
      <c r="C5884" s="405"/>
      <c r="D5884" s="405"/>
      <c r="E5884" s="405" t="s">
        <v>1046</v>
      </c>
      <c r="F5884" s="406">
        <v>2.72</v>
      </c>
      <c r="G5884" s="405" t="s">
        <v>1047</v>
      </c>
      <c r="H5884" s="406">
        <v>0</v>
      </c>
      <c r="I5884" s="405" t="s">
        <v>1048</v>
      </c>
      <c r="J5884" s="406">
        <v>2.72</v>
      </c>
      <c r="K5884"/>
    </row>
    <row r="5885" spans="1:11" ht="15.6" thickBot="1" x14ac:dyDescent="0.35">
      <c r="A5885" s="405"/>
      <c r="B5885" s="405"/>
      <c r="C5885" s="405"/>
      <c r="D5885" s="405"/>
      <c r="E5885" s="405" t="s">
        <v>1049</v>
      </c>
      <c r="F5885" s="406">
        <v>0</v>
      </c>
      <c r="G5885" s="405"/>
      <c r="H5885" s="606"/>
      <c r="I5885" s="606" t="s">
        <v>1050</v>
      </c>
      <c r="J5885" s="406">
        <v>17.34</v>
      </c>
      <c r="K5885"/>
    </row>
    <row r="5886" spans="1:11" ht="25.5" customHeight="1" thickTop="1" x14ac:dyDescent="0.3">
      <c r="A5886" s="407"/>
      <c r="B5886" s="407"/>
      <c r="C5886" s="407"/>
      <c r="D5886" s="407"/>
      <c r="E5886" s="407"/>
      <c r="F5886" s="407"/>
      <c r="G5886" s="407"/>
      <c r="H5886" s="407"/>
      <c r="I5886" s="407"/>
      <c r="J5886" s="407"/>
      <c r="K5886" s="407"/>
    </row>
    <row r="5887" spans="1:11" ht="25.5" customHeight="1" x14ac:dyDescent="0.3">
      <c r="A5887" s="382" t="s">
        <v>3424</v>
      </c>
      <c r="B5887" s="312" t="s">
        <v>413</v>
      </c>
      <c r="C5887" s="382" t="s">
        <v>414</v>
      </c>
      <c r="D5887" s="382" t="s">
        <v>415</v>
      </c>
      <c r="E5887" s="586" t="s">
        <v>1029</v>
      </c>
      <c r="F5887" s="586"/>
      <c r="G5887" s="383" t="s">
        <v>416</v>
      </c>
      <c r="H5887" s="312" t="s">
        <v>1030</v>
      </c>
      <c r="I5887" s="312" t="s">
        <v>3016</v>
      </c>
      <c r="J5887" s="312" t="s">
        <v>1031</v>
      </c>
      <c r="K5887" s="312" t="s">
        <v>1032</v>
      </c>
    </row>
    <row r="5888" spans="1:11" ht="38.25" customHeight="1" x14ac:dyDescent="0.3">
      <c r="A5888" s="313" t="s">
        <v>1033</v>
      </c>
      <c r="B5888" s="315" t="s">
        <v>1020</v>
      </c>
      <c r="C5888" s="313" t="s">
        <v>408</v>
      </c>
      <c r="D5888" s="313" t="s">
        <v>786</v>
      </c>
      <c r="E5888" s="603" t="s">
        <v>2274</v>
      </c>
      <c r="F5888" s="603"/>
      <c r="G5888" s="314" t="s">
        <v>7</v>
      </c>
      <c r="H5888" s="399">
        <v>1</v>
      </c>
      <c r="I5888" s="316"/>
      <c r="J5888" s="316">
        <v>5.84</v>
      </c>
      <c r="K5888" s="316">
        <v>5.84</v>
      </c>
    </row>
    <row r="5889" spans="1:11" ht="25.5" customHeight="1" x14ac:dyDescent="0.3">
      <c r="A5889" s="408" t="s">
        <v>1034</v>
      </c>
      <c r="B5889" s="409" t="s">
        <v>1153</v>
      </c>
      <c r="C5889" s="408" t="s">
        <v>395</v>
      </c>
      <c r="D5889" s="408" t="s">
        <v>125</v>
      </c>
      <c r="E5889" s="604" t="s">
        <v>7768</v>
      </c>
      <c r="F5889" s="604"/>
      <c r="G5889" s="410" t="s">
        <v>6</v>
      </c>
      <c r="H5889" s="412">
        <v>6.5000000000000002E-2</v>
      </c>
      <c r="I5889" s="412">
        <v>0</v>
      </c>
      <c r="J5889" s="411">
        <v>34.17</v>
      </c>
      <c r="K5889" s="411">
        <v>2.22105</v>
      </c>
    </row>
    <row r="5890" spans="1:11" ht="14.25" customHeight="1" x14ac:dyDescent="0.3">
      <c r="A5890" s="408" t="s">
        <v>1034</v>
      </c>
      <c r="B5890" s="409" t="s">
        <v>1289</v>
      </c>
      <c r="C5890" s="408" t="s">
        <v>395</v>
      </c>
      <c r="D5890" s="408" t="s">
        <v>142</v>
      </c>
      <c r="E5890" s="604" t="s">
        <v>7768</v>
      </c>
      <c r="F5890" s="604"/>
      <c r="G5890" s="410" t="s">
        <v>6</v>
      </c>
      <c r="H5890" s="412">
        <v>6.5000000000000002E-2</v>
      </c>
      <c r="I5890" s="412">
        <v>0</v>
      </c>
      <c r="J5890" s="411">
        <v>43.16</v>
      </c>
      <c r="K5890" s="411">
        <v>2.8054000000000001</v>
      </c>
    </row>
    <row r="5891" spans="1:11" ht="15" customHeight="1" x14ac:dyDescent="0.3">
      <c r="A5891" s="400" t="s">
        <v>1038</v>
      </c>
      <c r="B5891" s="401" t="s">
        <v>1581</v>
      </c>
      <c r="C5891" s="400" t="s">
        <v>408</v>
      </c>
      <c r="D5891" s="400" t="s">
        <v>1582</v>
      </c>
      <c r="E5891" s="605" t="s">
        <v>1039</v>
      </c>
      <c r="F5891" s="605"/>
      <c r="G5891" s="402" t="s">
        <v>3</v>
      </c>
      <c r="H5891" s="403">
        <v>0.26500000000000001</v>
      </c>
      <c r="I5891" s="403">
        <v>0</v>
      </c>
      <c r="J5891" s="404">
        <v>3.08</v>
      </c>
      <c r="K5891" s="404">
        <v>0.81620000000000004</v>
      </c>
    </row>
    <row r="5892" spans="1:11" ht="30" customHeight="1" x14ac:dyDescent="0.3">
      <c r="A5892" s="405"/>
      <c r="B5892" s="405"/>
      <c r="C5892" s="405"/>
      <c r="D5892" s="405"/>
      <c r="E5892" s="405" t="s">
        <v>1046</v>
      </c>
      <c r="F5892" s="406">
        <v>3.78</v>
      </c>
      <c r="G5892" s="405" t="s">
        <v>1047</v>
      </c>
      <c r="H5892" s="406">
        <v>0</v>
      </c>
      <c r="I5892" s="405" t="s">
        <v>1048</v>
      </c>
      <c r="J5892" s="406">
        <v>3.78</v>
      </c>
      <c r="K5892"/>
    </row>
    <row r="5893" spans="1:11" ht="15" customHeight="1" thickBot="1" x14ac:dyDescent="0.35">
      <c r="A5893" s="405"/>
      <c r="B5893" s="405"/>
      <c r="C5893" s="405"/>
      <c r="D5893" s="405"/>
      <c r="E5893" s="405" t="s">
        <v>1049</v>
      </c>
      <c r="F5893" s="406">
        <v>0</v>
      </c>
      <c r="G5893" s="405"/>
      <c r="H5893" s="606"/>
      <c r="I5893" s="606" t="s">
        <v>1050</v>
      </c>
      <c r="J5893" s="406">
        <v>5.84</v>
      </c>
      <c r="K5893"/>
    </row>
    <row r="5894" spans="1:11" ht="12.75" customHeight="1" thickTop="1" x14ac:dyDescent="0.3">
      <c r="A5894" s="407"/>
      <c r="B5894" s="407"/>
      <c r="C5894" s="407"/>
      <c r="D5894" s="407"/>
      <c r="E5894" s="407"/>
      <c r="F5894" s="407"/>
      <c r="G5894" s="407"/>
      <c r="H5894" s="407"/>
      <c r="I5894" s="407"/>
      <c r="J5894" s="407"/>
      <c r="K5894" s="407"/>
    </row>
    <row r="5895" spans="1:11" ht="15" customHeight="1" x14ac:dyDescent="0.3">
      <c r="A5895" s="382" t="s">
        <v>3425</v>
      </c>
      <c r="B5895" s="312" t="s">
        <v>413</v>
      </c>
      <c r="C5895" s="382" t="s">
        <v>414</v>
      </c>
      <c r="D5895" s="382" t="s">
        <v>415</v>
      </c>
      <c r="E5895" s="586" t="s">
        <v>1029</v>
      </c>
      <c r="F5895" s="586"/>
      <c r="G5895" s="383" t="s">
        <v>416</v>
      </c>
      <c r="H5895" s="312" t="s">
        <v>1030</v>
      </c>
      <c r="I5895" s="312" t="s">
        <v>3016</v>
      </c>
      <c r="J5895" s="312" t="s">
        <v>1031</v>
      </c>
      <c r="K5895" s="312" t="s">
        <v>1032</v>
      </c>
    </row>
    <row r="5896" spans="1:11" ht="14.25" customHeight="1" x14ac:dyDescent="0.3">
      <c r="A5896" s="313" t="s">
        <v>1033</v>
      </c>
      <c r="B5896" s="315" t="s">
        <v>2218</v>
      </c>
      <c r="C5896" s="313" t="s">
        <v>408</v>
      </c>
      <c r="D5896" s="313" t="s">
        <v>2008</v>
      </c>
      <c r="E5896" s="603" t="s">
        <v>2276</v>
      </c>
      <c r="F5896" s="603"/>
      <c r="G5896" s="314" t="s">
        <v>675</v>
      </c>
      <c r="H5896" s="399">
        <v>1</v>
      </c>
      <c r="I5896" s="316"/>
      <c r="J5896" s="316">
        <v>20.27</v>
      </c>
      <c r="K5896" s="316">
        <v>20.27</v>
      </c>
    </row>
    <row r="5897" spans="1:11" ht="38.25" customHeight="1" x14ac:dyDescent="0.3">
      <c r="A5897" s="400" t="s">
        <v>1038</v>
      </c>
      <c r="B5897" s="401" t="s">
        <v>2557</v>
      </c>
      <c r="C5897" s="400" t="s">
        <v>408</v>
      </c>
      <c r="D5897" s="400" t="s">
        <v>2558</v>
      </c>
      <c r="E5897" s="605" t="s">
        <v>1039</v>
      </c>
      <c r="F5897" s="605"/>
      <c r="G5897" s="402" t="s">
        <v>675</v>
      </c>
      <c r="H5897" s="403">
        <v>1.1000000000000001</v>
      </c>
      <c r="I5897" s="403">
        <v>0</v>
      </c>
      <c r="J5897" s="404">
        <v>14.49</v>
      </c>
      <c r="K5897" s="404">
        <v>15.939</v>
      </c>
    </row>
    <row r="5898" spans="1:11" ht="25.5" customHeight="1" x14ac:dyDescent="0.3">
      <c r="A5898" s="400" t="s">
        <v>1038</v>
      </c>
      <c r="B5898" s="401" t="s">
        <v>7515</v>
      </c>
      <c r="C5898" s="400" t="s">
        <v>408</v>
      </c>
      <c r="D5898" s="400" t="s">
        <v>7516</v>
      </c>
      <c r="E5898" s="605" t="s">
        <v>1053</v>
      </c>
      <c r="F5898" s="605"/>
      <c r="G5898" s="402" t="s">
        <v>6</v>
      </c>
      <c r="H5898" s="403">
        <v>4.2999999999999997E-2</v>
      </c>
      <c r="I5898" s="403">
        <v>0</v>
      </c>
      <c r="J5898" s="404">
        <v>28.35</v>
      </c>
      <c r="K5898" s="404">
        <v>1.21905</v>
      </c>
    </row>
    <row r="5899" spans="1:11" ht="25.5" customHeight="1" x14ac:dyDescent="0.3">
      <c r="A5899" s="400" t="s">
        <v>1038</v>
      </c>
      <c r="B5899" s="401" t="s">
        <v>7457</v>
      </c>
      <c r="C5899" s="400" t="s">
        <v>408</v>
      </c>
      <c r="D5899" s="400" t="s">
        <v>7458</v>
      </c>
      <c r="E5899" s="605" t="s">
        <v>1053</v>
      </c>
      <c r="F5899" s="605"/>
      <c r="G5899" s="402" t="s">
        <v>6</v>
      </c>
      <c r="H5899" s="403">
        <v>0.14399999999999999</v>
      </c>
      <c r="I5899" s="403">
        <v>0</v>
      </c>
      <c r="J5899" s="404">
        <v>21.59</v>
      </c>
      <c r="K5899" s="404">
        <v>3.1089600000000002</v>
      </c>
    </row>
    <row r="5900" spans="1:11" ht="25.5" customHeight="1" x14ac:dyDescent="0.3">
      <c r="A5900" s="405"/>
      <c r="B5900" s="405"/>
      <c r="C5900" s="405"/>
      <c r="D5900" s="405"/>
      <c r="E5900" s="405" t="s">
        <v>1046</v>
      </c>
      <c r="F5900" s="406">
        <v>4.33</v>
      </c>
      <c r="G5900" s="405" t="s">
        <v>1047</v>
      </c>
      <c r="H5900" s="406">
        <v>0</v>
      </c>
      <c r="I5900" s="405" t="s">
        <v>1048</v>
      </c>
      <c r="J5900" s="406">
        <v>4.33</v>
      </c>
      <c r="K5900"/>
    </row>
    <row r="5901" spans="1:11" ht="14.25" customHeight="1" thickBot="1" x14ac:dyDescent="0.35">
      <c r="A5901" s="405"/>
      <c r="B5901" s="405"/>
      <c r="C5901" s="405"/>
      <c r="D5901" s="405"/>
      <c r="E5901" s="405" t="s">
        <v>1049</v>
      </c>
      <c r="F5901" s="406">
        <v>0</v>
      </c>
      <c r="G5901" s="405"/>
      <c r="H5901" s="606"/>
      <c r="I5901" s="606" t="s">
        <v>1050</v>
      </c>
      <c r="J5901" s="406">
        <v>20.27</v>
      </c>
      <c r="K5901"/>
    </row>
    <row r="5902" spans="1:11" ht="15" customHeight="1" thickTop="1" x14ac:dyDescent="0.3">
      <c r="A5902" s="407"/>
      <c r="B5902" s="407"/>
      <c r="C5902" s="407"/>
      <c r="D5902" s="407"/>
      <c r="E5902" s="407"/>
      <c r="F5902" s="407"/>
      <c r="G5902" s="407"/>
      <c r="H5902" s="407"/>
      <c r="I5902" s="407"/>
      <c r="J5902" s="407"/>
      <c r="K5902" s="407"/>
    </row>
    <row r="5903" spans="1:11" ht="14.25" customHeight="1" x14ac:dyDescent="0.3">
      <c r="A5903" s="382" t="s">
        <v>3426</v>
      </c>
      <c r="B5903" s="312" t="s">
        <v>413</v>
      </c>
      <c r="C5903" s="382" t="s">
        <v>414</v>
      </c>
      <c r="D5903" s="382" t="s">
        <v>415</v>
      </c>
      <c r="E5903" s="586" t="s">
        <v>1029</v>
      </c>
      <c r="F5903" s="586"/>
      <c r="G5903" s="383" t="s">
        <v>416</v>
      </c>
      <c r="H5903" s="312" t="s">
        <v>1030</v>
      </c>
      <c r="I5903" s="312" t="s">
        <v>3016</v>
      </c>
      <c r="J5903" s="312" t="s">
        <v>1031</v>
      </c>
      <c r="K5903" s="312" t="s">
        <v>1032</v>
      </c>
    </row>
    <row r="5904" spans="1:11" ht="15" x14ac:dyDescent="0.3">
      <c r="A5904" s="313" t="s">
        <v>1033</v>
      </c>
      <c r="B5904" s="315" t="s">
        <v>827</v>
      </c>
      <c r="C5904" s="313" t="s">
        <v>408</v>
      </c>
      <c r="D5904" s="313" t="s">
        <v>828</v>
      </c>
      <c r="E5904" s="603" t="s">
        <v>2273</v>
      </c>
      <c r="F5904" s="603"/>
      <c r="G5904" s="314" t="s">
        <v>3</v>
      </c>
      <c r="H5904" s="399">
        <v>1</v>
      </c>
      <c r="I5904" s="316"/>
      <c r="J5904" s="316">
        <v>31.21</v>
      </c>
      <c r="K5904" s="316">
        <v>31.21</v>
      </c>
    </row>
    <row r="5905" spans="1:11" ht="12.75" customHeight="1" x14ac:dyDescent="0.3">
      <c r="A5905" s="408" t="s">
        <v>1034</v>
      </c>
      <c r="B5905" s="409" t="s">
        <v>1371</v>
      </c>
      <c r="C5905" s="408" t="s">
        <v>395</v>
      </c>
      <c r="D5905" s="408" t="s">
        <v>140</v>
      </c>
      <c r="E5905" s="604" t="s">
        <v>7768</v>
      </c>
      <c r="F5905" s="604"/>
      <c r="G5905" s="410" t="s">
        <v>6</v>
      </c>
      <c r="H5905" s="412">
        <v>0.36099999999999999</v>
      </c>
      <c r="I5905" s="412">
        <v>0</v>
      </c>
      <c r="J5905" s="411">
        <v>50.11</v>
      </c>
      <c r="K5905" s="411">
        <v>18.08971</v>
      </c>
    </row>
    <row r="5906" spans="1:11" ht="25.5" customHeight="1" x14ac:dyDescent="0.3">
      <c r="A5906" s="408" t="s">
        <v>1034</v>
      </c>
      <c r="B5906" s="409" t="s">
        <v>1325</v>
      </c>
      <c r="C5906" s="408" t="s">
        <v>395</v>
      </c>
      <c r="D5906" s="408" t="s">
        <v>155</v>
      </c>
      <c r="E5906" s="604" t="s">
        <v>7768</v>
      </c>
      <c r="F5906" s="604"/>
      <c r="G5906" s="410" t="s">
        <v>6</v>
      </c>
      <c r="H5906" s="412">
        <v>2.1000000000000001E-2</v>
      </c>
      <c r="I5906" s="412">
        <v>0</v>
      </c>
      <c r="J5906" s="411">
        <v>60.36</v>
      </c>
      <c r="K5906" s="411">
        <v>1.26756</v>
      </c>
    </row>
    <row r="5907" spans="1:11" ht="25.5" customHeight="1" x14ac:dyDescent="0.3">
      <c r="A5907" s="408" t="s">
        <v>1034</v>
      </c>
      <c r="B5907" s="409" t="s">
        <v>1290</v>
      </c>
      <c r="C5907" s="408" t="s">
        <v>395</v>
      </c>
      <c r="D5907" s="408" t="s">
        <v>147</v>
      </c>
      <c r="E5907" s="604" t="s">
        <v>7768</v>
      </c>
      <c r="F5907" s="604"/>
      <c r="G5907" s="410" t="s">
        <v>6</v>
      </c>
      <c r="H5907" s="412">
        <v>0.36099999999999999</v>
      </c>
      <c r="I5907" s="412">
        <v>0</v>
      </c>
      <c r="J5907" s="411">
        <v>32.82</v>
      </c>
      <c r="K5907" s="411">
        <v>11.84802</v>
      </c>
    </row>
    <row r="5908" spans="1:11" ht="25.5" customHeight="1" x14ac:dyDescent="0.3">
      <c r="A5908" s="405"/>
      <c r="B5908" s="405"/>
      <c r="C5908" s="405"/>
      <c r="D5908" s="405"/>
      <c r="E5908" s="405" t="s">
        <v>1046</v>
      </c>
      <c r="F5908" s="406">
        <v>24.09</v>
      </c>
      <c r="G5908" s="405" t="s">
        <v>1047</v>
      </c>
      <c r="H5908" s="406">
        <v>0</v>
      </c>
      <c r="I5908" s="405" t="s">
        <v>1048</v>
      </c>
      <c r="J5908" s="406">
        <v>24.09</v>
      </c>
      <c r="K5908"/>
    </row>
    <row r="5909" spans="1:11" ht="14.25" customHeight="1" thickBot="1" x14ac:dyDescent="0.35">
      <c r="A5909" s="405"/>
      <c r="B5909" s="405"/>
      <c r="C5909" s="405"/>
      <c r="D5909" s="405"/>
      <c r="E5909" s="405" t="s">
        <v>1049</v>
      </c>
      <c r="F5909" s="406">
        <v>0</v>
      </c>
      <c r="G5909" s="405"/>
      <c r="H5909" s="606"/>
      <c r="I5909" s="606" t="s">
        <v>1050</v>
      </c>
      <c r="J5909" s="406">
        <v>31.21</v>
      </c>
      <c r="K5909"/>
    </row>
    <row r="5910" spans="1:11" ht="15" customHeight="1" thickTop="1" x14ac:dyDescent="0.3">
      <c r="A5910" s="407"/>
      <c r="B5910" s="407"/>
      <c r="C5910" s="407"/>
      <c r="D5910" s="407"/>
      <c r="E5910" s="407"/>
      <c r="F5910" s="407"/>
      <c r="G5910" s="407"/>
      <c r="H5910" s="407"/>
      <c r="I5910" s="407"/>
      <c r="J5910" s="407"/>
      <c r="K5910" s="407"/>
    </row>
    <row r="5911" spans="1:11" ht="17.399999999999999" customHeight="1" x14ac:dyDescent="0.3">
      <c r="A5911" s="382" t="s">
        <v>3427</v>
      </c>
      <c r="B5911" s="312" t="s">
        <v>413</v>
      </c>
      <c r="C5911" s="382" t="s">
        <v>414</v>
      </c>
      <c r="D5911" s="382" t="s">
        <v>415</v>
      </c>
      <c r="E5911" s="586" t="s">
        <v>1029</v>
      </c>
      <c r="F5911" s="586"/>
      <c r="G5911" s="383" t="s">
        <v>416</v>
      </c>
      <c r="H5911" s="312" t="s">
        <v>1030</v>
      </c>
      <c r="I5911" s="312" t="s">
        <v>3016</v>
      </c>
      <c r="J5911" s="312" t="s">
        <v>1031</v>
      </c>
      <c r="K5911" s="312" t="s">
        <v>1032</v>
      </c>
    </row>
    <row r="5912" spans="1:11" ht="15" x14ac:dyDescent="0.3">
      <c r="A5912" s="313" t="s">
        <v>1033</v>
      </c>
      <c r="B5912" s="315" t="s">
        <v>2115</v>
      </c>
      <c r="C5912" s="313" t="s">
        <v>395</v>
      </c>
      <c r="D5912" s="313" t="s">
        <v>1654</v>
      </c>
      <c r="E5912" s="603" t="s">
        <v>2277</v>
      </c>
      <c r="F5912" s="603"/>
      <c r="G5912" s="314" t="s">
        <v>713</v>
      </c>
      <c r="H5912" s="399">
        <v>1</v>
      </c>
      <c r="I5912" s="316"/>
      <c r="J5912" s="316">
        <v>921.49</v>
      </c>
      <c r="K5912" s="316">
        <v>921.49</v>
      </c>
    </row>
    <row r="5913" spans="1:11" ht="25.5" customHeight="1" x14ac:dyDescent="0.3">
      <c r="A5913" s="408" t="s">
        <v>1034</v>
      </c>
      <c r="B5913" s="409" t="s">
        <v>2278</v>
      </c>
      <c r="C5913" s="408" t="s">
        <v>395</v>
      </c>
      <c r="D5913" s="408" t="s">
        <v>7828</v>
      </c>
      <c r="E5913" s="604" t="s">
        <v>7772</v>
      </c>
      <c r="F5913" s="604"/>
      <c r="G5913" s="410" t="s">
        <v>15</v>
      </c>
      <c r="H5913" s="412">
        <v>0.65</v>
      </c>
      <c r="I5913" s="412">
        <v>0</v>
      </c>
      <c r="J5913" s="411">
        <v>2.46</v>
      </c>
      <c r="K5913" s="411">
        <v>1.599</v>
      </c>
    </row>
    <row r="5914" spans="1:11" ht="15" customHeight="1" x14ac:dyDescent="0.3">
      <c r="A5914" s="408" t="s">
        <v>1034</v>
      </c>
      <c r="B5914" s="409" t="s">
        <v>1302</v>
      </c>
      <c r="C5914" s="408" t="s">
        <v>395</v>
      </c>
      <c r="D5914" s="408" t="s">
        <v>144</v>
      </c>
      <c r="E5914" s="604" t="s">
        <v>7768</v>
      </c>
      <c r="F5914" s="604"/>
      <c r="G5914" s="410" t="s">
        <v>6</v>
      </c>
      <c r="H5914" s="412">
        <v>5</v>
      </c>
      <c r="I5914" s="412">
        <v>0</v>
      </c>
      <c r="J5914" s="411">
        <v>42.06</v>
      </c>
      <c r="K5914" s="411">
        <v>210.3</v>
      </c>
    </row>
    <row r="5915" spans="1:11" ht="25.5" customHeight="1" x14ac:dyDescent="0.3">
      <c r="A5915" s="408" t="s">
        <v>1034</v>
      </c>
      <c r="B5915" s="409" t="s">
        <v>1290</v>
      </c>
      <c r="C5915" s="408" t="s">
        <v>395</v>
      </c>
      <c r="D5915" s="408" t="s">
        <v>147</v>
      </c>
      <c r="E5915" s="604" t="s">
        <v>7768</v>
      </c>
      <c r="F5915" s="604"/>
      <c r="G5915" s="410" t="s">
        <v>6</v>
      </c>
      <c r="H5915" s="412">
        <v>10</v>
      </c>
      <c r="I5915" s="412">
        <v>0</v>
      </c>
      <c r="J5915" s="411">
        <v>32.82</v>
      </c>
      <c r="K5915" s="411">
        <v>328.2</v>
      </c>
    </row>
    <row r="5916" spans="1:11" ht="15" customHeight="1" x14ac:dyDescent="0.3">
      <c r="A5916" s="400" t="s">
        <v>1038</v>
      </c>
      <c r="B5916" s="401" t="s">
        <v>1303</v>
      </c>
      <c r="C5916" s="400" t="s">
        <v>395</v>
      </c>
      <c r="D5916" s="400" t="s">
        <v>239</v>
      </c>
      <c r="E5916" s="605" t="s">
        <v>1039</v>
      </c>
      <c r="F5916" s="605"/>
      <c r="G5916" s="402" t="s">
        <v>713</v>
      </c>
      <c r="H5916" s="403">
        <v>0.84099999999999997</v>
      </c>
      <c r="I5916" s="403">
        <v>0</v>
      </c>
      <c r="J5916" s="404">
        <v>105</v>
      </c>
      <c r="K5916" s="404">
        <v>88.305000000000007</v>
      </c>
    </row>
    <row r="5917" spans="1:11" ht="38.25" customHeight="1" x14ac:dyDescent="0.3">
      <c r="A5917" s="400" t="s">
        <v>1038</v>
      </c>
      <c r="B5917" s="401" t="s">
        <v>1304</v>
      </c>
      <c r="C5917" s="400" t="s">
        <v>395</v>
      </c>
      <c r="D5917" s="400" t="s">
        <v>251</v>
      </c>
      <c r="E5917" s="605" t="s">
        <v>1039</v>
      </c>
      <c r="F5917" s="605"/>
      <c r="G5917" s="402" t="s">
        <v>3</v>
      </c>
      <c r="H5917" s="403">
        <v>311</v>
      </c>
      <c r="I5917" s="403">
        <v>0</v>
      </c>
      <c r="J5917" s="404">
        <v>0.72</v>
      </c>
      <c r="K5917" s="404">
        <v>223.92</v>
      </c>
    </row>
    <row r="5918" spans="1:11" ht="25.5" customHeight="1" x14ac:dyDescent="0.3">
      <c r="A5918" s="400" t="s">
        <v>1038</v>
      </c>
      <c r="B5918" s="401" t="s">
        <v>2283</v>
      </c>
      <c r="C5918" s="400" t="s">
        <v>395</v>
      </c>
      <c r="D5918" s="400" t="s">
        <v>270</v>
      </c>
      <c r="E5918" s="605" t="s">
        <v>1039</v>
      </c>
      <c r="F5918" s="605"/>
      <c r="G5918" s="402" t="s">
        <v>713</v>
      </c>
      <c r="H5918" s="403">
        <v>0.435</v>
      </c>
      <c r="I5918" s="403">
        <v>0</v>
      </c>
      <c r="J5918" s="404">
        <v>159</v>
      </c>
      <c r="K5918" s="404">
        <v>69.165000000000006</v>
      </c>
    </row>
    <row r="5919" spans="1:11" ht="14.25" customHeight="1" x14ac:dyDescent="0.3">
      <c r="A5919" s="405"/>
      <c r="B5919" s="405"/>
      <c r="C5919" s="405"/>
      <c r="D5919" s="405"/>
      <c r="E5919" s="405" t="s">
        <v>1046</v>
      </c>
      <c r="F5919" s="406">
        <v>385.35</v>
      </c>
      <c r="G5919" s="405" t="s">
        <v>1047</v>
      </c>
      <c r="H5919" s="406">
        <v>0</v>
      </c>
      <c r="I5919" s="405" t="s">
        <v>1048</v>
      </c>
      <c r="J5919" s="406">
        <v>385.35</v>
      </c>
      <c r="K5919"/>
    </row>
    <row r="5920" spans="1:11" ht="25.5" customHeight="1" thickBot="1" x14ac:dyDescent="0.35">
      <c r="A5920" s="405"/>
      <c r="B5920" s="405"/>
      <c r="C5920" s="405"/>
      <c r="D5920" s="405"/>
      <c r="E5920" s="405" t="s">
        <v>1049</v>
      </c>
      <c r="F5920" s="406">
        <v>0</v>
      </c>
      <c r="G5920" s="405"/>
      <c r="H5920" s="606"/>
      <c r="I5920" s="606" t="s">
        <v>1050</v>
      </c>
      <c r="J5920" s="406">
        <v>921.49</v>
      </c>
      <c r="K5920"/>
    </row>
    <row r="5921" spans="1:11" ht="15.6" thickTop="1" x14ac:dyDescent="0.3">
      <c r="A5921" s="407"/>
      <c r="B5921" s="407"/>
      <c r="C5921" s="407"/>
      <c r="D5921" s="407"/>
      <c r="E5921" s="407"/>
      <c r="F5921" s="407"/>
      <c r="G5921" s="407"/>
      <c r="H5921" s="407"/>
      <c r="I5921" s="407"/>
      <c r="J5921" s="407"/>
      <c r="K5921" s="407"/>
    </row>
    <row r="5922" spans="1:11" ht="14.25" customHeight="1" x14ac:dyDescent="0.3">
      <c r="A5922" s="382" t="s">
        <v>3428</v>
      </c>
      <c r="B5922" s="312" t="s">
        <v>413</v>
      </c>
      <c r="C5922" s="382" t="s">
        <v>414</v>
      </c>
      <c r="D5922" s="382" t="s">
        <v>415</v>
      </c>
      <c r="E5922" s="586" t="s">
        <v>1029</v>
      </c>
      <c r="F5922" s="586"/>
      <c r="G5922" s="383" t="s">
        <v>416</v>
      </c>
      <c r="H5922" s="312" t="s">
        <v>1030</v>
      </c>
      <c r="I5922" s="312" t="s">
        <v>3016</v>
      </c>
      <c r="J5922" s="312" t="s">
        <v>1031</v>
      </c>
      <c r="K5922" s="312" t="s">
        <v>1032</v>
      </c>
    </row>
    <row r="5923" spans="1:11" ht="38.25" customHeight="1" x14ac:dyDescent="0.3">
      <c r="A5923" s="313" t="s">
        <v>1033</v>
      </c>
      <c r="B5923" s="315" t="s">
        <v>2219</v>
      </c>
      <c r="C5923" s="313" t="s">
        <v>408</v>
      </c>
      <c r="D5923" s="313" t="s">
        <v>2010</v>
      </c>
      <c r="E5923" s="603" t="s">
        <v>2276</v>
      </c>
      <c r="F5923" s="603"/>
      <c r="G5923" s="314" t="s">
        <v>675</v>
      </c>
      <c r="H5923" s="399">
        <v>1</v>
      </c>
      <c r="I5923" s="316"/>
      <c r="J5923" s="316">
        <v>21.96</v>
      </c>
      <c r="K5923" s="316">
        <v>21.96</v>
      </c>
    </row>
    <row r="5924" spans="1:11" ht="25.5" customHeight="1" x14ac:dyDescent="0.3">
      <c r="A5924" s="400" t="s">
        <v>1038</v>
      </c>
      <c r="B5924" s="401" t="s">
        <v>2561</v>
      </c>
      <c r="C5924" s="400" t="s">
        <v>408</v>
      </c>
      <c r="D5924" s="400" t="s">
        <v>2010</v>
      </c>
      <c r="E5924" s="605" t="s">
        <v>1039</v>
      </c>
      <c r="F5924" s="605"/>
      <c r="G5924" s="402" t="s">
        <v>675</v>
      </c>
      <c r="H5924" s="403">
        <v>1.05</v>
      </c>
      <c r="I5924" s="403">
        <v>0</v>
      </c>
      <c r="J5924" s="404">
        <v>16.670000000000002</v>
      </c>
      <c r="K5924" s="404">
        <v>17.503499999999999</v>
      </c>
    </row>
    <row r="5925" spans="1:11" ht="25.5" customHeight="1" x14ac:dyDescent="0.3">
      <c r="A5925" s="400" t="s">
        <v>1038</v>
      </c>
      <c r="B5925" s="401" t="s">
        <v>2559</v>
      </c>
      <c r="C5925" s="400" t="s">
        <v>408</v>
      </c>
      <c r="D5925" s="400" t="s">
        <v>2560</v>
      </c>
      <c r="E5925" s="605" t="s">
        <v>1039</v>
      </c>
      <c r="F5925" s="605"/>
      <c r="G5925" s="402" t="s">
        <v>4</v>
      </c>
      <c r="H5925" s="403">
        <v>2</v>
      </c>
      <c r="I5925" s="403">
        <v>0</v>
      </c>
      <c r="J5925" s="404">
        <v>0.18</v>
      </c>
      <c r="K5925" s="404">
        <v>0.36</v>
      </c>
    </row>
    <row r="5926" spans="1:11" ht="25.5" customHeight="1" x14ac:dyDescent="0.3">
      <c r="A5926" s="400" t="s">
        <v>1038</v>
      </c>
      <c r="B5926" s="401" t="s">
        <v>7515</v>
      </c>
      <c r="C5926" s="400" t="s">
        <v>408</v>
      </c>
      <c r="D5926" s="400" t="s">
        <v>7516</v>
      </c>
      <c r="E5926" s="605" t="s">
        <v>1053</v>
      </c>
      <c r="F5926" s="605"/>
      <c r="G5926" s="402" t="s">
        <v>6</v>
      </c>
      <c r="H5926" s="403">
        <v>8.2000000000000003E-2</v>
      </c>
      <c r="I5926" s="403">
        <v>0</v>
      </c>
      <c r="J5926" s="404">
        <v>28.35</v>
      </c>
      <c r="K5926" s="404">
        <v>2.3247</v>
      </c>
    </row>
    <row r="5927" spans="1:11" ht="25.5" customHeight="1" x14ac:dyDescent="0.3">
      <c r="A5927" s="400" t="s">
        <v>1038</v>
      </c>
      <c r="B5927" s="401" t="s">
        <v>7457</v>
      </c>
      <c r="C5927" s="400" t="s">
        <v>408</v>
      </c>
      <c r="D5927" s="400" t="s">
        <v>7458</v>
      </c>
      <c r="E5927" s="605" t="s">
        <v>1053</v>
      </c>
      <c r="F5927" s="605"/>
      <c r="G5927" s="402" t="s">
        <v>6</v>
      </c>
      <c r="H5927" s="403">
        <v>8.2000000000000003E-2</v>
      </c>
      <c r="I5927" s="403">
        <v>0</v>
      </c>
      <c r="J5927" s="404">
        <v>21.59</v>
      </c>
      <c r="K5927" s="404">
        <v>1.7703800000000001</v>
      </c>
    </row>
    <row r="5928" spans="1:11" ht="14.25" customHeight="1" x14ac:dyDescent="0.3">
      <c r="A5928" s="405"/>
      <c r="B5928" s="405"/>
      <c r="C5928" s="405"/>
      <c r="D5928" s="405"/>
      <c r="E5928" s="405" t="s">
        <v>1046</v>
      </c>
      <c r="F5928" s="406">
        <v>4.09</v>
      </c>
      <c r="G5928" s="405" t="s">
        <v>1047</v>
      </c>
      <c r="H5928" s="406">
        <v>0</v>
      </c>
      <c r="I5928" s="405" t="s">
        <v>1048</v>
      </c>
      <c r="J5928" s="406">
        <v>4.09</v>
      </c>
      <c r="K5928"/>
    </row>
    <row r="5929" spans="1:11" ht="15" customHeight="1" thickBot="1" x14ac:dyDescent="0.35">
      <c r="A5929" s="405"/>
      <c r="B5929" s="405"/>
      <c r="C5929" s="405"/>
      <c r="D5929" s="405"/>
      <c r="E5929" s="405" t="s">
        <v>1049</v>
      </c>
      <c r="F5929" s="406">
        <v>0</v>
      </c>
      <c r="G5929" s="405"/>
      <c r="H5929" s="606"/>
      <c r="I5929" s="606" t="s">
        <v>1050</v>
      </c>
      <c r="J5929" s="406">
        <v>21.96</v>
      </c>
      <c r="K5929"/>
    </row>
    <row r="5930" spans="1:11" ht="15.6" thickTop="1" x14ac:dyDescent="0.3">
      <c r="A5930" s="407"/>
      <c r="B5930" s="407"/>
      <c r="C5930" s="407"/>
      <c r="D5930" s="407"/>
      <c r="E5930" s="407"/>
      <c r="F5930" s="407"/>
      <c r="G5930" s="407"/>
      <c r="H5930" s="407"/>
      <c r="I5930" s="407"/>
      <c r="J5930" s="407"/>
      <c r="K5930" s="407"/>
    </row>
    <row r="5931" spans="1:11" ht="15" x14ac:dyDescent="0.3">
      <c r="A5931" s="382" t="s">
        <v>3429</v>
      </c>
      <c r="B5931" s="312" t="s">
        <v>413</v>
      </c>
      <c r="C5931" s="382" t="s">
        <v>414</v>
      </c>
      <c r="D5931" s="382" t="s">
        <v>415</v>
      </c>
      <c r="E5931" s="586" t="s">
        <v>1029</v>
      </c>
      <c r="F5931" s="586"/>
      <c r="G5931" s="383" t="s">
        <v>416</v>
      </c>
      <c r="H5931" s="312" t="s">
        <v>1030</v>
      </c>
      <c r="I5931" s="312" t="s">
        <v>3016</v>
      </c>
      <c r="J5931" s="312" t="s">
        <v>1031</v>
      </c>
      <c r="K5931" s="312" t="s">
        <v>1032</v>
      </c>
    </row>
    <row r="5932" spans="1:11" ht="38.25" customHeight="1" x14ac:dyDescent="0.3">
      <c r="A5932" s="313" t="s">
        <v>1033</v>
      </c>
      <c r="B5932" s="315" t="s">
        <v>1009</v>
      </c>
      <c r="C5932" s="313" t="s">
        <v>408</v>
      </c>
      <c r="D5932" s="313" t="s">
        <v>738</v>
      </c>
      <c r="E5932" s="603" t="s">
        <v>2273</v>
      </c>
      <c r="F5932" s="603"/>
      <c r="G5932" s="314" t="s">
        <v>675</v>
      </c>
      <c r="H5932" s="399">
        <v>1</v>
      </c>
      <c r="I5932" s="316"/>
      <c r="J5932" s="316">
        <v>49.71</v>
      </c>
      <c r="K5932" s="316">
        <v>49.71</v>
      </c>
    </row>
    <row r="5933" spans="1:11" ht="25.5" customHeight="1" x14ac:dyDescent="0.3">
      <c r="A5933" s="408" t="s">
        <v>1034</v>
      </c>
      <c r="B5933" s="409" t="s">
        <v>1315</v>
      </c>
      <c r="C5933" s="408" t="s">
        <v>395</v>
      </c>
      <c r="D5933" s="408" t="s">
        <v>123</v>
      </c>
      <c r="E5933" s="604" t="s">
        <v>7768</v>
      </c>
      <c r="F5933" s="604"/>
      <c r="G5933" s="410" t="s">
        <v>6</v>
      </c>
      <c r="H5933" s="412">
        <v>0.08</v>
      </c>
      <c r="I5933" s="412">
        <v>0</v>
      </c>
      <c r="J5933" s="411">
        <v>33.79</v>
      </c>
      <c r="K5933" s="411">
        <v>2.7031999999999998</v>
      </c>
    </row>
    <row r="5934" spans="1:11" ht="25.5" customHeight="1" x14ac:dyDescent="0.3">
      <c r="A5934" s="408" t="s">
        <v>1034</v>
      </c>
      <c r="B5934" s="409" t="s">
        <v>1301</v>
      </c>
      <c r="C5934" s="408" t="s">
        <v>395</v>
      </c>
      <c r="D5934" s="408" t="s">
        <v>126</v>
      </c>
      <c r="E5934" s="604" t="s">
        <v>7768</v>
      </c>
      <c r="F5934" s="604"/>
      <c r="G5934" s="410" t="s">
        <v>6</v>
      </c>
      <c r="H5934" s="412">
        <v>0.08</v>
      </c>
      <c r="I5934" s="412">
        <v>0</v>
      </c>
      <c r="J5934" s="411">
        <v>40.86</v>
      </c>
      <c r="K5934" s="411">
        <v>3.2688000000000001</v>
      </c>
    </row>
    <row r="5935" spans="1:11" ht="14.25" customHeight="1" x14ac:dyDescent="0.3">
      <c r="A5935" s="400" t="s">
        <v>1038</v>
      </c>
      <c r="B5935" s="401" t="s">
        <v>1122</v>
      </c>
      <c r="C5935" s="400" t="s">
        <v>408</v>
      </c>
      <c r="D5935" s="400" t="s">
        <v>1123</v>
      </c>
      <c r="E5935" s="605" t="s">
        <v>1039</v>
      </c>
      <c r="F5935" s="605"/>
      <c r="G5935" s="402" t="s">
        <v>3</v>
      </c>
      <c r="H5935" s="403">
        <v>5.1999999999999998E-2</v>
      </c>
      <c r="I5935" s="403">
        <v>0</v>
      </c>
      <c r="J5935" s="404">
        <v>28.92</v>
      </c>
      <c r="K5935" s="404">
        <v>1.5038400000000001</v>
      </c>
    </row>
    <row r="5936" spans="1:11" ht="15" x14ac:dyDescent="0.3">
      <c r="A5936" s="400" t="s">
        <v>1038</v>
      </c>
      <c r="B5936" s="401" t="s">
        <v>1511</v>
      </c>
      <c r="C5936" s="400" t="s">
        <v>408</v>
      </c>
      <c r="D5936" s="400" t="s">
        <v>1512</v>
      </c>
      <c r="E5936" s="605" t="s">
        <v>1039</v>
      </c>
      <c r="F5936" s="605"/>
      <c r="G5936" s="402" t="s">
        <v>675</v>
      </c>
      <c r="H5936" s="403">
        <v>1.05</v>
      </c>
      <c r="I5936" s="403">
        <v>0</v>
      </c>
      <c r="J5936" s="404">
        <v>40.22</v>
      </c>
      <c r="K5936" s="404">
        <v>42.231000000000002</v>
      </c>
    </row>
    <row r="5937" spans="1:11" ht="45" customHeight="1" x14ac:dyDescent="0.3">
      <c r="A5937" s="405"/>
      <c r="B5937" s="405"/>
      <c r="C5937" s="405"/>
      <c r="D5937" s="405"/>
      <c r="E5937" s="405" t="s">
        <v>1046</v>
      </c>
      <c r="F5937" s="406">
        <v>4.34</v>
      </c>
      <c r="G5937" s="405" t="s">
        <v>1047</v>
      </c>
      <c r="H5937" s="406">
        <v>0</v>
      </c>
      <c r="I5937" s="405" t="s">
        <v>1048</v>
      </c>
      <c r="J5937" s="406">
        <v>4.34</v>
      </c>
      <c r="K5937"/>
    </row>
    <row r="5938" spans="1:11" ht="14.25" customHeight="1" thickBot="1" x14ac:dyDescent="0.35">
      <c r="A5938" s="405"/>
      <c r="B5938" s="405"/>
      <c r="C5938" s="405"/>
      <c r="D5938" s="405"/>
      <c r="E5938" s="405" t="s">
        <v>1049</v>
      </c>
      <c r="F5938" s="406">
        <v>0</v>
      </c>
      <c r="G5938" s="405"/>
      <c r="H5938" s="606"/>
      <c r="I5938" s="606" t="s">
        <v>1050</v>
      </c>
      <c r="J5938" s="406">
        <v>49.71</v>
      </c>
      <c r="K5938"/>
    </row>
    <row r="5939" spans="1:11" ht="12.75" customHeight="1" thickTop="1" x14ac:dyDescent="0.3">
      <c r="A5939" s="407"/>
      <c r="B5939" s="407"/>
      <c r="C5939" s="407"/>
      <c r="D5939" s="407"/>
      <c r="E5939" s="407"/>
      <c r="F5939" s="407"/>
      <c r="G5939" s="407"/>
      <c r="H5939" s="407"/>
      <c r="I5939" s="407"/>
      <c r="J5939" s="407"/>
      <c r="K5939" s="407"/>
    </row>
    <row r="5940" spans="1:11" ht="25.5" customHeight="1" x14ac:dyDescent="0.3">
      <c r="A5940" s="382" t="s">
        <v>3430</v>
      </c>
      <c r="B5940" s="312" t="s">
        <v>413</v>
      </c>
      <c r="C5940" s="382" t="s">
        <v>414</v>
      </c>
      <c r="D5940" s="382" t="s">
        <v>415</v>
      </c>
      <c r="E5940" s="586" t="s">
        <v>1029</v>
      </c>
      <c r="F5940" s="586"/>
      <c r="G5940" s="383" t="s">
        <v>416</v>
      </c>
      <c r="H5940" s="312" t="s">
        <v>1030</v>
      </c>
      <c r="I5940" s="312" t="s">
        <v>3016</v>
      </c>
      <c r="J5940" s="312" t="s">
        <v>1031</v>
      </c>
      <c r="K5940" s="312" t="s">
        <v>1032</v>
      </c>
    </row>
    <row r="5941" spans="1:11" ht="25.5" customHeight="1" x14ac:dyDescent="0.3">
      <c r="A5941" s="313" t="s">
        <v>1033</v>
      </c>
      <c r="B5941" s="315" t="s">
        <v>2135</v>
      </c>
      <c r="C5941" s="313" t="s">
        <v>395</v>
      </c>
      <c r="D5941" s="313" t="s">
        <v>6096</v>
      </c>
      <c r="E5941" s="603" t="s">
        <v>7886</v>
      </c>
      <c r="F5941" s="603"/>
      <c r="G5941" s="314" t="s">
        <v>675</v>
      </c>
      <c r="H5941" s="399">
        <v>1</v>
      </c>
      <c r="I5941" s="316"/>
      <c r="J5941" s="316">
        <v>25.23</v>
      </c>
      <c r="K5941" s="316">
        <v>25.23</v>
      </c>
    </row>
    <row r="5942" spans="1:11" ht="15" customHeight="1" x14ac:dyDescent="0.3">
      <c r="A5942" s="408" t="s">
        <v>1034</v>
      </c>
      <c r="B5942" s="409" t="s">
        <v>1290</v>
      </c>
      <c r="C5942" s="408" t="s">
        <v>395</v>
      </c>
      <c r="D5942" s="408" t="s">
        <v>147</v>
      </c>
      <c r="E5942" s="604" t="s">
        <v>7768</v>
      </c>
      <c r="F5942" s="604"/>
      <c r="G5942" s="410" t="s">
        <v>6</v>
      </c>
      <c r="H5942" s="412">
        <v>0.1704</v>
      </c>
      <c r="I5942" s="412">
        <v>0</v>
      </c>
      <c r="J5942" s="411">
        <v>32.82</v>
      </c>
      <c r="K5942" s="411">
        <v>5.5925279999999997</v>
      </c>
    </row>
    <row r="5943" spans="1:11" ht="25.5" customHeight="1" x14ac:dyDescent="0.3">
      <c r="A5943" s="408" t="s">
        <v>1034</v>
      </c>
      <c r="B5943" s="409" t="s">
        <v>2387</v>
      </c>
      <c r="C5943" s="408" t="s">
        <v>395</v>
      </c>
      <c r="D5943" s="408" t="s">
        <v>152</v>
      </c>
      <c r="E5943" s="604" t="s">
        <v>7768</v>
      </c>
      <c r="F5943" s="604"/>
      <c r="G5943" s="410" t="s">
        <v>6</v>
      </c>
      <c r="H5943" s="412">
        <v>3.4099999999999998E-2</v>
      </c>
      <c r="I5943" s="412">
        <v>0</v>
      </c>
      <c r="J5943" s="411">
        <v>34.06</v>
      </c>
      <c r="K5943" s="411">
        <v>1.161446</v>
      </c>
    </row>
    <row r="5944" spans="1:11" ht="25.5" customHeight="1" x14ac:dyDescent="0.3">
      <c r="A5944" s="400" t="s">
        <v>1038</v>
      </c>
      <c r="B5944" s="401" t="s">
        <v>2374</v>
      </c>
      <c r="C5944" s="400" t="s">
        <v>395</v>
      </c>
      <c r="D5944" s="400" t="s">
        <v>263</v>
      </c>
      <c r="E5944" s="605" t="s">
        <v>1039</v>
      </c>
      <c r="F5944" s="605"/>
      <c r="G5944" s="402" t="s">
        <v>675</v>
      </c>
      <c r="H5944" s="403">
        <v>0.63719999999999999</v>
      </c>
      <c r="I5944" s="403">
        <v>0</v>
      </c>
      <c r="J5944" s="404">
        <v>17</v>
      </c>
      <c r="K5944" s="404">
        <v>10.8324</v>
      </c>
    </row>
    <row r="5945" spans="1:11" ht="45" customHeight="1" x14ac:dyDescent="0.3">
      <c r="A5945" s="400" t="s">
        <v>1038</v>
      </c>
      <c r="B5945" s="401" t="s">
        <v>2388</v>
      </c>
      <c r="C5945" s="400" t="s">
        <v>395</v>
      </c>
      <c r="D5945" s="400" t="s">
        <v>283</v>
      </c>
      <c r="E5945" s="605" t="s">
        <v>1039</v>
      </c>
      <c r="F5945" s="605"/>
      <c r="G5945" s="402" t="s">
        <v>713</v>
      </c>
      <c r="H5945" s="403">
        <v>4.4600000000000001E-2</v>
      </c>
      <c r="I5945" s="403">
        <v>0</v>
      </c>
      <c r="J5945" s="404">
        <v>171.42</v>
      </c>
      <c r="K5945" s="404">
        <v>7.6453319999999998</v>
      </c>
    </row>
    <row r="5946" spans="1:11" ht="25.5" customHeight="1" x14ac:dyDescent="0.3">
      <c r="A5946" s="405"/>
      <c r="B5946" s="405"/>
      <c r="C5946" s="405"/>
      <c r="D5946" s="405"/>
      <c r="E5946" s="405" t="s">
        <v>1046</v>
      </c>
      <c r="F5946" s="406">
        <v>4.66</v>
      </c>
      <c r="G5946" s="405" t="s">
        <v>1047</v>
      </c>
      <c r="H5946" s="406">
        <v>0</v>
      </c>
      <c r="I5946" s="405" t="s">
        <v>1048</v>
      </c>
      <c r="J5946" s="406">
        <v>4.66</v>
      </c>
      <c r="K5946"/>
    </row>
    <row r="5947" spans="1:11" ht="14.25" customHeight="1" thickBot="1" x14ac:dyDescent="0.35">
      <c r="A5947" s="405"/>
      <c r="B5947" s="405"/>
      <c r="C5947" s="405"/>
      <c r="D5947" s="405"/>
      <c r="E5947" s="405" t="s">
        <v>1049</v>
      </c>
      <c r="F5947" s="406">
        <v>0</v>
      </c>
      <c r="G5947" s="405"/>
      <c r="H5947" s="606"/>
      <c r="I5947" s="606" t="s">
        <v>1050</v>
      </c>
      <c r="J5947" s="406">
        <v>25.23</v>
      </c>
      <c r="K5947"/>
    </row>
    <row r="5948" spans="1:11" ht="14.25" customHeight="1" thickTop="1" x14ac:dyDescent="0.3">
      <c r="A5948" s="407"/>
      <c r="B5948" s="407"/>
      <c r="C5948" s="407"/>
      <c r="D5948" s="407"/>
      <c r="E5948" s="407"/>
      <c r="F5948" s="407"/>
      <c r="G5948" s="407"/>
      <c r="H5948" s="407"/>
      <c r="I5948" s="407"/>
      <c r="J5948" s="407"/>
      <c r="K5948" s="407"/>
    </row>
    <row r="5949" spans="1:11" ht="15" x14ac:dyDescent="0.3">
      <c r="A5949" s="382" t="s">
        <v>3431</v>
      </c>
      <c r="B5949" s="312" t="s">
        <v>413</v>
      </c>
      <c r="C5949" s="382" t="s">
        <v>414</v>
      </c>
      <c r="D5949" s="382" t="s">
        <v>415</v>
      </c>
      <c r="E5949" s="586" t="s">
        <v>1029</v>
      </c>
      <c r="F5949" s="586"/>
      <c r="G5949" s="383" t="s">
        <v>416</v>
      </c>
      <c r="H5949" s="312" t="s">
        <v>1030</v>
      </c>
      <c r="I5949" s="312" t="s">
        <v>3016</v>
      </c>
      <c r="J5949" s="312" t="s">
        <v>1031</v>
      </c>
      <c r="K5949" s="312" t="s">
        <v>1032</v>
      </c>
    </row>
    <row r="5950" spans="1:11" ht="17.399999999999999" customHeight="1" x14ac:dyDescent="0.3">
      <c r="A5950" s="313" t="s">
        <v>1033</v>
      </c>
      <c r="B5950" s="315" t="s">
        <v>870</v>
      </c>
      <c r="C5950" s="313" t="s">
        <v>408</v>
      </c>
      <c r="D5950" s="313" t="s">
        <v>6097</v>
      </c>
      <c r="E5950" s="603" t="s">
        <v>2256</v>
      </c>
      <c r="F5950" s="603"/>
      <c r="G5950" s="314" t="s">
        <v>4</v>
      </c>
      <c r="H5950" s="399">
        <v>1</v>
      </c>
      <c r="I5950" s="316"/>
      <c r="J5950" s="316">
        <v>34.57</v>
      </c>
      <c r="K5950" s="316">
        <v>34.57</v>
      </c>
    </row>
    <row r="5951" spans="1:11" ht="25.5" customHeight="1" x14ac:dyDescent="0.3">
      <c r="A5951" s="400" t="s">
        <v>1038</v>
      </c>
      <c r="B5951" s="401" t="s">
        <v>7461</v>
      </c>
      <c r="C5951" s="400" t="s">
        <v>408</v>
      </c>
      <c r="D5951" s="400" t="s">
        <v>7462</v>
      </c>
      <c r="E5951" s="605" t="s">
        <v>1039</v>
      </c>
      <c r="F5951" s="605"/>
      <c r="G5951" s="402" t="s">
        <v>380</v>
      </c>
      <c r="H5951" s="403">
        <v>1</v>
      </c>
      <c r="I5951" s="403">
        <v>0</v>
      </c>
      <c r="J5951" s="404">
        <v>1.56</v>
      </c>
      <c r="K5951" s="404">
        <v>1.56</v>
      </c>
    </row>
    <row r="5952" spans="1:11" ht="25.5" customHeight="1" x14ac:dyDescent="0.3">
      <c r="A5952" s="400" t="s">
        <v>1038</v>
      </c>
      <c r="B5952" s="401" t="s">
        <v>1060</v>
      </c>
      <c r="C5952" s="400" t="s">
        <v>408</v>
      </c>
      <c r="D5952" s="400" t="s">
        <v>1061</v>
      </c>
      <c r="E5952" s="605" t="s">
        <v>1039</v>
      </c>
      <c r="F5952" s="605"/>
      <c r="G5952" s="402" t="s">
        <v>4</v>
      </c>
      <c r="H5952" s="403">
        <v>1</v>
      </c>
      <c r="I5952" s="403">
        <v>0</v>
      </c>
      <c r="J5952" s="404">
        <v>18.579999999999998</v>
      </c>
      <c r="K5952" s="404">
        <v>18.579999999999998</v>
      </c>
    </row>
    <row r="5953" spans="1:11" ht="25.5" customHeight="1" x14ac:dyDescent="0.3">
      <c r="A5953" s="400" t="s">
        <v>1038</v>
      </c>
      <c r="B5953" s="401" t="s">
        <v>6207</v>
      </c>
      <c r="C5953" s="400" t="s">
        <v>408</v>
      </c>
      <c r="D5953" s="400" t="s">
        <v>1093</v>
      </c>
      <c r="E5953" s="605" t="s">
        <v>1053</v>
      </c>
      <c r="F5953" s="605"/>
      <c r="G5953" s="402" t="s">
        <v>6</v>
      </c>
      <c r="H5953" s="403">
        <v>0.27700000000000002</v>
      </c>
      <c r="I5953" s="403">
        <v>0</v>
      </c>
      <c r="J5953" s="404">
        <v>30.51</v>
      </c>
      <c r="K5953" s="404">
        <v>8.4512699999999992</v>
      </c>
    </row>
    <row r="5954" spans="1:11" ht="25.5" customHeight="1" x14ac:dyDescent="0.3">
      <c r="A5954" s="400" t="s">
        <v>1038</v>
      </c>
      <c r="B5954" s="401" t="s">
        <v>6196</v>
      </c>
      <c r="C5954" s="400" t="s">
        <v>408</v>
      </c>
      <c r="D5954" s="400" t="s">
        <v>1139</v>
      </c>
      <c r="E5954" s="605" t="s">
        <v>1053</v>
      </c>
      <c r="F5954" s="605"/>
      <c r="G5954" s="402" t="s">
        <v>6</v>
      </c>
      <c r="H5954" s="403">
        <v>0.27700000000000002</v>
      </c>
      <c r="I5954" s="403">
        <v>0</v>
      </c>
      <c r="J5954" s="404">
        <v>21.59</v>
      </c>
      <c r="K5954" s="404">
        <v>5.9804300000000001</v>
      </c>
    </row>
    <row r="5955" spans="1:11" ht="15" customHeight="1" x14ac:dyDescent="0.3">
      <c r="A5955" s="405"/>
      <c r="B5955" s="405"/>
      <c r="C5955" s="405"/>
      <c r="D5955" s="405"/>
      <c r="E5955" s="405" t="s">
        <v>1046</v>
      </c>
      <c r="F5955" s="406">
        <v>14.43</v>
      </c>
      <c r="G5955" s="405" t="s">
        <v>1047</v>
      </c>
      <c r="H5955" s="406">
        <v>0</v>
      </c>
      <c r="I5955" s="405" t="s">
        <v>1048</v>
      </c>
      <c r="J5955" s="406">
        <v>14.43</v>
      </c>
      <c r="K5955"/>
    </row>
    <row r="5956" spans="1:11" ht="15.6" thickBot="1" x14ac:dyDescent="0.35">
      <c r="A5956" s="405"/>
      <c r="B5956" s="405"/>
      <c r="C5956" s="405"/>
      <c r="D5956" s="405"/>
      <c r="E5956" s="405" t="s">
        <v>1049</v>
      </c>
      <c r="F5956" s="406">
        <v>0</v>
      </c>
      <c r="G5956" s="405"/>
      <c r="H5956" s="606"/>
      <c r="I5956" s="606" t="s">
        <v>1050</v>
      </c>
      <c r="J5956" s="406">
        <v>34.57</v>
      </c>
      <c r="K5956"/>
    </row>
    <row r="5957" spans="1:11" ht="15.6" thickTop="1" x14ac:dyDescent="0.3">
      <c r="A5957" s="407"/>
      <c r="B5957" s="407"/>
      <c r="C5957" s="407"/>
      <c r="D5957" s="407"/>
      <c r="E5957" s="407"/>
      <c r="F5957" s="407"/>
      <c r="G5957" s="407"/>
      <c r="H5957" s="407"/>
      <c r="I5957" s="407"/>
      <c r="J5957" s="407"/>
      <c r="K5957" s="407"/>
    </row>
    <row r="5958" spans="1:11" ht="14.25" customHeight="1" x14ac:dyDescent="0.3">
      <c r="A5958" s="382" t="s">
        <v>3432</v>
      </c>
      <c r="B5958" s="312" t="s">
        <v>413</v>
      </c>
      <c r="C5958" s="382" t="s">
        <v>414</v>
      </c>
      <c r="D5958" s="382" t="s">
        <v>415</v>
      </c>
      <c r="E5958" s="586" t="s">
        <v>1029</v>
      </c>
      <c r="F5958" s="586"/>
      <c r="G5958" s="383" t="s">
        <v>416</v>
      </c>
      <c r="H5958" s="312" t="s">
        <v>1030</v>
      </c>
      <c r="I5958" s="312" t="s">
        <v>3016</v>
      </c>
      <c r="J5958" s="312" t="s">
        <v>1031</v>
      </c>
      <c r="K5958" s="312" t="s">
        <v>1032</v>
      </c>
    </row>
    <row r="5959" spans="1:11" ht="15" customHeight="1" x14ac:dyDescent="0.3">
      <c r="A5959" s="313" t="s">
        <v>1033</v>
      </c>
      <c r="B5959" s="315" t="s">
        <v>874</v>
      </c>
      <c r="C5959" s="313" t="s">
        <v>408</v>
      </c>
      <c r="D5959" s="313" t="s">
        <v>424</v>
      </c>
      <c r="E5959" s="603" t="s">
        <v>2259</v>
      </c>
      <c r="F5959" s="603"/>
      <c r="G5959" s="314" t="s">
        <v>4</v>
      </c>
      <c r="H5959" s="399">
        <v>1</v>
      </c>
      <c r="I5959" s="316"/>
      <c r="J5959" s="316">
        <v>13.77</v>
      </c>
      <c r="K5959" s="316">
        <v>13.77</v>
      </c>
    </row>
    <row r="5960" spans="1:11" ht="15" x14ac:dyDescent="0.3">
      <c r="A5960" s="400" t="s">
        <v>1038</v>
      </c>
      <c r="B5960" s="401" t="s">
        <v>7505</v>
      </c>
      <c r="C5960" s="400" t="s">
        <v>408</v>
      </c>
      <c r="D5960" s="400" t="s">
        <v>7506</v>
      </c>
      <c r="E5960" s="605" t="s">
        <v>1039</v>
      </c>
      <c r="F5960" s="605"/>
      <c r="G5960" s="402" t="s">
        <v>4</v>
      </c>
      <c r="H5960" s="403">
        <v>4</v>
      </c>
      <c r="I5960" s="403">
        <v>0</v>
      </c>
      <c r="J5960" s="404">
        <v>0.1</v>
      </c>
      <c r="K5960" s="404">
        <v>0.4</v>
      </c>
    </row>
    <row r="5961" spans="1:11" ht="14.25" customHeight="1" x14ac:dyDescent="0.3">
      <c r="A5961" s="400" t="s">
        <v>1038</v>
      </c>
      <c r="B5961" s="401" t="s">
        <v>7464</v>
      </c>
      <c r="C5961" s="400" t="s">
        <v>408</v>
      </c>
      <c r="D5961" s="400" t="s">
        <v>7465</v>
      </c>
      <c r="E5961" s="605" t="s">
        <v>1039</v>
      </c>
      <c r="F5961" s="605"/>
      <c r="G5961" s="402" t="s">
        <v>4</v>
      </c>
      <c r="H5961" s="403">
        <v>4</v>
      </c>
      <c r="I5961" s="403">
        <v>0</v>
      </c>
      <c r="J5961" s="404">
        <v>0.13</v>
      </c>
      <c r="K5961" s="404">
        <v>0.52</v>
      </c>
    </row>
    <row r="5962" spans="1:11" ht="38.25" customHeight="1" x14ac:dyDescent="0.3">
      <c r="A5962" s="400" t="s">
        <v>1038</v>
      </c>
      <c r="B5962" s="401" t="s">
        <v>7306</v>
      </c>
      <c r="C5962" s="400" t="s">
        <v>408</v>
      </c>
      <c r="D5962" s="400" t="s">
        <v>7307</v>
      </c>
      <c r="E5962" s="605" t="s">
        <v>1039</v>
      </c>
      <c r="F5962" s="605"/>
      <c r="G5962" s="402" t="s">
        <v>4</v>
      </c>
      <c r="H5962" s="403">
        <v>8</v>
      </c>
      <c r="I5962" s="403">
        <v>0</v>
      </c>
      <c r="J5962" s="404">
        <v>0.13</v>
      </c>
      <c r="K5962" s="404">
        <v>1.04</v>
      </c>
    </row>
    <row r="5963" spans="1:11" ht="25.5" customHeight="1" x14ac:dyDescent="0.3">
      <c r="A5963" s="400" t="s">
        <v>1038</v>
      </c>
      <c r="B5963" s="401" t="s">
        <v>7250</v>
      </c>
      <c r="C5963" s="400" t="s">
        <v>408</v>
      </c>
      <c r="D5963" s="400" t="s">
        <v>7251</v>
      </c>
      <c r="E5963" s="605" t="s">
        <v>1039</v>
      </c>
      <c r="F5963" s="605"/>
      <c r="G5963" s="402" t="s">
        <v>4</v>
      </c>
      <c r="H5963" s="403">
        <v>1</v>
      </c>
      <c r="I5963" s="403">
        <v>0</v>
      </c>
      <c r="J5963" s="404">
        <v>1.3</v>
      </c>
      <c r="K5963" s="404">
        <v>1.3</v>
      </c>
    </row>
    <row r="5964" spans="1:11" ht="25.5" customHeight="1" x14ac:dyDescent="0.3">
      <c r="A5964" s="400" t="s">
        <v>1038</v>
      </c>
      <c r="B5964" s="401" t="s">
        <v>1077</v>
      </c>
      <c r="C5964" s="400" t="s">
        <v>408</v>
      </c>
      <c r="D5964" s="400" t="s">
        <v>1078</v>
      </c>
      <c r="E5964" s="605" t="s">
        <v>1039</v>
      </c>
      <c r="F5964" s="605"/>
      <c r="G5964" s="402" t="s">
        <v>4</v>
      </c>
      <c r="H5964" s="403">
        <v>1</v>
      </c>
      <c r="I5964" s="403">
        <v>0</v>
      </c>
      <c r="J5964" s="404">
        <v>3.01</v>
      </c>
      <c r="K5964" s="404">
        <v>3.01</v>
      </c>
    </row>
    <row r="5965" spans="1:11" ht="25.5" customHeight="1" x14ac:dyDescent="0.3">
      <c r="A5965" s="400" t="s">
        <v>1038</v>
      </c>
      <c r="B5965" s="401" t="s">
        <v>6207</v>
      </c>
      <c r="C5965" s="400" t="s">
        <v>408</v>
      </c>
      <c r="D5965" s="400" t="s">
        <v>1093</v>
      </c>
      <c r="E5965" s="605" t="s">
        <v>1053</v>
      </c>
      <c r="F5965" s="605"/>
      <c r="G5965" s="402" t="s">
        <v>6</v>
      </c>
      <c r="H5965" s="403">
        <v>0.14399999999999999</v>
      </c>
      <c r="I5965" s="403">
        <v>0</v>
      </c>
      <c r="J5965" s="404">
        <v>30.51</v>
      </c>
      <c r="K5965" s="404">
        <v>4.39344</v>
      </c>
    </row>
    <row r="5966" spans="1:11" ht="15" x14ac:dyDescent="0.3">
      <c r="A5966" s="400" t="s">
        <v>1038</v>
      </c>
      <c r="B5966" s="401" t="s">
        <v>6196</v>
      </c>
      <c r="C5966" s="400" t="s">
        <v>408</v>
      </c>
      <c r="D5966" s="400" t="s">
        <v>1139</v>
      </c>
      <c r="E5966" s="605" t="s">
        <v>1053</v>
      </c>
      <c r="F5966" s="605"/>
      <c r="G5966" s="402" t="s">
        <v>6</v>
      </c>
      <c r="H5966" s="403">
        <v>0.14399999999999999</v>
      </c>
      <c r="I5966" s="403">
        <v>0</v>
      </c>
      <c r="J5966" s="404">
        <v>21.59</v>
      </c>
      <c r="K5966" s="404">
        <v>3.1089600000000002</v>
      </c>
    </row>
    <row r="5967" spans="1:11" ht="17.399999999999999" customHeight="1" x14ac:dyDescent="0.3">
      <c r="A5967" s="405"/>
      <c r="B5967" s="405"/>
      <c r="C5967" s="405"/>
      <c r="D5967" s="405"/>
      <c r="E5967" s="405" t="s">
        <v>1046</v>
      </c>
      <c r="F5967" s="406">
        <v>7.5</v>
      </c>
      <c r="G5967" s="405" t="s">
        <v>1047</v>
      </c>
      <c r="H5967" s="406">
        <v>0</v>
      </c>
      <c r="I5967" s="405" t="s">
        <v>1048</v>
      </c>
      <c r="J5967" s="406">
        <v>7.5</v>
      </c>
      <c r="K5967"/>
    </row>
    <row r="5968" spans="1:11" ht="15" customHeight="1" thickBot="1" x14ac:dyDescent="0.35">
      <c r="A5968" s="405"/>
      <c r="B5968" s="405"/>
      <c r="C5968" s="405"/>
      <c r="D5968" s="405"/>
      <c r="E5968" s="405" t="s">
        <v>1049</v>
      </c>
      <c r="F5968" s="406">
        <v>0</v>
      </c>
      <c r="G5968" s="405"/>
      <c r="H5968" s="606"/>
      <c r="I5968" s="606" t="s">
        <v>1050</v>
      </c>
      <c r="J5968" s="406">
        <v>13.77</v>
      </c>
      <c r="K5968"/>
    </row>
    <row r="5969" spans="1:11" ht="15.6" thickTop="1" x14ac:dyDescent="0.3">
      <c r="A5969" s="407"/>
      <c r="B5969" s="407"/>
      <c r="C5969" s="407"/>
      <c r="D5969" s="407"/>
      <c r="E5969" s="407"/>
      <c r="F5969" s="407"/>
      <c r="G5969" s="407"/>
      <c r="H5969" s="407"/>
      <c r="I5969" s="407"/>
      <c r="J5969" s="407"/>
      <c r="K5969" s="407"/>
    </row>
    <row r="5970" spans="1:11" ht="15" x14ac:dyDescent="0.3">
      <c r="A5970" s="382" t="s">
        <v>3433</v>
      </c>
      <c r="B5970" s="312" t="s">
        <v>413</v>
      </c>
      <c r="C5970" s="382" t="s">
        <v>414</v>
      </c>
      <c r="D5970" s="382" t="s">
        <v>415</v>
      </c>
      <c r="E5970" s="586" t="s">
        <v>1029</v>
      </c>
      <c r="F5970" s="586"/>
      <c r="G5970" s="383" t="s">
        <v>416</v>
      </c>
      <c r="H5970" s="312" t="s">
        <v>1030</v>
      </c>
      <c r="I5970" s="312" t="s">
        <v>3016</v>
      </c>
      <c r="J5970" s="312" t="s">
        <v>1031</v>
      </c>
      <c r="K5970" s="312" t="s">
        <v>1032</v>
      </c>
    </row>
    <row r="5971" spans="1:11" ht="15" customHeight="1" x14ac:dyDescent="0.3">
      <c r="A5971" s="313" t="s">
        <v>1033</v>
      </c>
      <c r="B5971" s="315" t="s">
        <v>876</v>
      </c>
      <c r="C5971" s="313" t="s">
        <v>408</v>
      </c>
      <c r="D5971" s="313" t="s">
        <v>426</v>
      </c>
      <c r="E5971" s="603" t="s">
        <v>2258</v>
      </c>
      <c r="F5971" s="603"/>
      <c r="G5971" s="314" t="s">
        <v>7</v>
      </c>
      <c r="H5971" s="399">
        <v>1</v>
      </c>
      <c r="I5971" s="316"/>
      <c r="J5971" s="316">
        <v>78.25</v>
      </c>
      <c r="K5971" s="316">
        <v>78.25</v>
      </c>
    </row>
    <row r="5972" spans="1:11" ht="25.5" customHeight="1" x14ac:dyDescent="0.3">
      <c r="A5972" s="408" t="s">
        <v>1034</v>
      </c>
      <c r="B5972" s="409" t="s">
        <v>1037</v>
      </c>
      <c r="C5972" s="408" t="s">
        <v>395</v>
      </c>
      <c r="D5972" s="408" t="s">
        <v>135</v>
      </c>
      <c r="E5972" s="604" t="s">
        <v>7768</v>
      </c>
      <c r="F5972" s="604"/>
      <c r="G5972" s="410" t="s">
        <v>6</v>
      </c>
      <c r="H5972" s="412">
        <v>0.91400000000000003</v>
      </c>
      <c r="I5972" s="412">
        <v>0</v>
      </c>
      <c r="J5972" s="411">
        <v>41.81</v>
      </c>
      <c r="K5972" s="411">
        <v>38.21434</v>
      </c>
    </row>
    <row r="5973" spans="1:11" ht="25.5" customHeight="1" x14ac:dyDescent="0.3">
      <c r="A5973" s="408" t="s">
        <v>1034</v>
      </c>
      <c r="B5973" s="409" t="s">
        <v>1035</v>
      </c>
      <c r="C5973" s="408" t="s">
        <v>395</v>
      </c>
      <c r="D5973" s="408" t="s">
        <v>128</v>
      </c>
      <c r="E5973" s="604" t="s">
        <v>7768</v>
      </c>
      <c r="F5973" s="604"/>
      <c r="G5973" s="410" t="s">
        <v>6</v>
      </c>
      <c r="H5973" s="412">
        <v>0.91400000000000003</v>
      </c>
      <c r="I5973" s="412">
        <v>0</v>
      </c>
      <c r="J5973" s="411">
        <v>34.5</v>
      </c>
      <c r="K5973" s="411">
        <v>31.533000000000001</v>
      </c>
    </row>
    <row r="5974" spans="1:11" ht="14.25" customHeight="1" x14ac:dyDescent="0.3">
      <c r="A5974" s="400" t="s">
        <v>1038</v>
      </c>
      <c r="B5974" s="401" t="s">
        <v>1081</v>
      </c>
      <c r="C5974" s="400" t="s">
        <v>408</v>
      </c>
      <c r="D5974" s="400" t="s">
        <v>1082</v>
      </c>
      <c r="E5974" s="605" t="s">
        <v>1039</v>
      </c>
      <c r="F5974" s="605"/>
      <c r="G5974" s="402" t="s">
        <v>7</v>
      </c>
      <c r="H5974" s="403">
        <v>1.05</v>
      </c>
      <c r="I5974" s="403">
        <v>0</v>
      </c>
      <c r="J5974" s="404">
        <v>8.1</v>
      </c>
      <c r="K5974" s="404">
        <v>8.5050000000000008</v>
      </c>
    </row>
    <row r="5975" spans="1:11" ht="25.5" customHeight="1" x14ac:dyDescent="0.3">
      <c r="A5975" s="405"/>
      <c r="B5975" s="405"/>
      <c r="C5975" s="405"/>
      <c r="D5975" s="405"/>
      <c r="E5975" s="405" t="s">
        <v>1046</v>
      </c>
      <c r="F5975" s="406">
        <v>50.88</v>
      </c>
      <c r="G5975" s="405" t="s">
        <v>1047</v>
      </c>
      <c r="H5975" s="406">
        <v>0</v>
      </c>
      <c r="I5975" s="405" t="s">
        <v>1048</v>
      </c>
      <c r="J5975" s="406">
        <v>50.88</v>
      </c>
      <c r="K5975"/>
    </row>
    <row r="5976" spans="1:11" ht="25.5" customHeight="1" thickBot="1" x14ac:dyDescent="0.35">
      <c r="A5976" s="405"/>
      <c r="B5976" s="405"/>
      <c r="C5976" s="405"/>
      <c r="D5976" s="405"/>
      <c r="E5976" s="405" t="s">
        <v>1049</v>
      </c>
      <c r="F5976" s="406">
        <v>0</v>
      </c>
      <c r="G5976" s="405"/>
      <c r="H5976" s="606"/>
      <c r="I5976" s="606" t="s">
        <v>1050</v>
      </c>
      <c r="J5976" s="406">
        <v>78.25</v>
      </c>
      <c r="K5976"/>
    </row>
    <row r="5977" spans="1:11" ht="25.5" customHeight="1" thickTop="1" x14ac:dyDescent="0.3">
      <c r="A5977" s="407"/>
      <c r="B5977" s="407"/>
      <c r="C5977" s="407"/>
      <c r="D5977" s="407"/>
      <c r="E5977" s="407"/>
      <c r="F5977" s="407"/>
      <c r="G5977" s="407"/>
      <c r="H5977" s="407"/>
      <c r="I5977" s="407"/>
      <c r="J5977" s="407"/>
      <c r="K5977" s="407"/>
    </row>
    <row r="5978" spans="1:11" ht="25.5" customHeight="1" x14ac:dyDescent="0.3">
      <c r="A5978" s="382" t="s">
        <v>3434</v>
      </c>
      <c r="B5978" s="312" t="s">
        <v>413</v>
      </c>
      <c r="C5978" s="382" t="s">
        <v>414</v>
      </c>
      <c r="D5978" s="382" t="s">
        <v>415</v>
      </c>
      <c r="E5978" s="586" t="s">
        <v>1029</v>
      </c>
      <c r="F5978" s="586"/>
      <c r="G5978" s="383" t="s">
        <v>416</v>
      </c>
      <c r="H5978" s="312" t="s">
        <v>1030</v>
      </c>
      <c r="I5978" s="312" t="s">
        <v>3016</v>
      </c>
      <c r="J5978" s="312" t="s">
        <v>1031</v>
      </c>
      <c r="K5978" s="312" t="s">
        <v>1032</v>
      </c>
    </row>
    <row r="5979" spans="1:11" ht="17.399999999999999" customHeight="1" x14ac:dyDescent="0.3">
      <c r="A5979" s="313" t="s">
        <v>1033</v>
      </c>
      <c r="B5979" s="315" t="s">
        <v>877</v>
      </c>
      <c r="C5979" s="313" t="s">
        <v>408</v>
      </c>
      <c r="D5979" s="313" t="s">
        <v>427</v>
      </c>
      <c r="E5979" s="603" t="s">
        <v>2255</v>
      </c>
      <c r="F5979" s="603"/>
      <c r="G5979" s="314" t="s">
        <v>4</v>
      </c>
      <c r="H5979" s="399">
        <v>1</v>
      </c>
      <c r="I5979" s="316"/>
      <c r="J5979" s="316">
        <v>26.05</v>
      </c>
      <c r="K5979" s="316">
        <v>26.05</v>
      </c>
    </row>
    <row r="5980" spans="1:11" ht="14.25" customHeight="1" x14ac:dyDescent="0.3">
      <c r="A5980" s="408" t="s">
        <v>1034</v>
      </c>
      <c r="B5980" s="409" t="s">
        <v>1037</v>
      </c>
      <c r="C5980" s="408" t="s">
        <v>395</v>
      </c>
      <c r="D5980" s="408" t="s">
        <v>135</v>
      </c>
      <c r="E5980" s="604" t="s">
        <v>7768</v>
      </c>
      <c r="F5980" s="604"/>
      <c r="G5980" s="410" t="s">
        <v>6</v>
      </c>
      <c r="H5980" s="412">
        <v>0.25800000000000001</v>
      </c>
      <c r="I5980" s="412">
        <v>0</v>
      </c>
      <c r="J5980" s="411">
        <v>41.81</v>
      </c>
      <c r="K5980" s="411">
        <v>10.78698</v>
      </c>
    </row>
    <row r="5981" spans="1:11" ht="15" customHeight="1" x14ac:dyDescent="0.3">
      <c r="A5981" s="408" t="s">
        <v>1034</v>
      </c>
      <c r="B5981" s="409" t="s">
        <v>1035</v>
      </c>
      <c r="C5981" s="408" t="s">
        <v>395</v>
      </c>
      <c r="D5981" s="408" t="s">
        <v>128</v>
      </c>
      <c r="E5981" s="604" t="s">
        <v>7768</v>
      </c>
      <c r="F5981" s="604"/>
      <c r="G5981" s="410" t="s">
        <v>6</v>
      </c>
      <c r="H5981" s="412">
        <v>0.25800000000000001</v>
      </c>
      <c r="I5981" s="412">
        <v>0</v>
      </c>
      <c r="J5981" s="411">
        <v>34.5</v>
      </c>
      <c r="K5981" s="411">
        <v>8.9009999999999998</v>
      </c>
    </row>
    <row r="5982" spans="1:11" ht="15" x14ac:dyDescent="0.3">
      <c r="A5982" s="400" t="s">
        <v>1038</v>
      </c>
      <c r="B5982" s="401" t="s">
        <v>1083</v>
      </c>
      <c r="C5982" s="400" t="s">
        <v>408</v>
      </c>
      <c r="D5982" s="400" t="s">
        <v>1084</v>
      </c>
      <c r="E5982" s="605" t="s">
        <v>1039</v>
      </c>
      <c r="F5982" s="605"/>
      <c r="G5982" s="402" t="s">
        <v>4</v>
      </c>
      <c r="H5982" s="403">
        <v>1</v>
      </c>
      <c r="I5982" s="403">
        <v>0</v>
      </c>
      <c r="J5982" s="404">
        <v>6.36</v>
      </c>
      <c r="K5982" s="404">
        <v>6.36</v>
      </c>
    </row>
    <row r="5983" spans="1:11" ht="15" customHeight="1" x14ac:dyDescent="0.3">
      <c r="A5983" s="405"/>
      <c r="B5983" s="405"/>
      <c r="C5983" s="405"/>
      <c r="D5983" s="405"/>
      <c r="E5983" s="405" t="s">
        <v>1046</v>
      </c>
      <c r="F5983" s="406">
        <v>14.36</v>
      </c>
      <c r="G5983" s="405" t="s">
        <v>1047</v>
      </c>
      <c r="H5983" s="406">
        <v>0</v>
      </c>
      <c r="I5983" s="405" t="s">
        <v>1048</v>
      </c>
      <c r="J5983" s="406">
        <v>14.36</v>
      </c>
      <c r="K5983"/>
    </row>
    <row r="5984" spans="1:11" ht="38.25" customHeight="1" thickBot="1" x14ac:dyDescent="0.35">
      <c r="A5984" s="405"/>
      <c r="B5984" s="405"/>
      <c r="C5984" s="405"/>
      <c r="D5984" s="405"/>
      <c r="E5984" s="405" t="s">
        <v>1049</v>
      </c>
      <c r="F5984" s="406">
        <v>0</v>
      </c>
      <c r="G5984" s="405"/>
      <c r="H5984" s="606"/>
      <c r="I5984" s="606" t="s">
        <v>1050</v>
      </c>
      <c r="J5984" s="406">
        <v>26.05</v>
      </c>
      <c r="K5984"/>
    </row>
    <row r="5985" spans="1:11" ht="25.5" customHeight="1" thickTop="1" x14ac:dyDescent="0.3">
      <c r="A5985" s="407"/>
      <c r="B5985" s="407"/>
      <c r="C5985" s="407"/>
      <c r="D5985" s="407"/>
      <c r="E5985" s="407"/>
      <c r="F5985" s="407"/>
      <c r="G5985" s="407"/>
      <c r="H5985" s="407"/>
      <c r="I5985" s="407"/>
      <c r="J5985" s="407"/>
      <c r="K5985" s="407"/>
    </row>
    <row r="5986" spans="1:11" ht="25.5" customHeight="1" x14ac:dyDescent="0.3">
      <c r="A5986" s="382" t="s">
        <v>3435</v>
      </c>
      <c r="B5986" s="312" t="s">
        <v>413</v>
      </c>
      <c r="C5986" s="382" t="s">
        <v>414</v>
      </c>
      <c r="D5986" s="382" t="s">
        <v>415</v>
      </c>
      <c r="E5986" s="586" t="s">
        <v>1029</v>
      </c>
      <c r="F5986" s="586"/>
      <c r="G5986" s="383" t="s">
        <v>416</v>
      </c>
      <c r="H5986" s="312" t="s">
        <v>1030</v>
      </c>
      <c r="I5986" s="312" t="s">
        <v>3016</v>
      </c>
      <c r="J5986" s="312" t="s">
        <v>1031</v>
      </c>
      <c r="K5986" s="312" t="s">
        <v>1032</v>
      </c>
    </row>
    <row r="5987" spans="1:11" ht="14.25" customHeight="1" x14ac:dyDescent="0.3">
      <c r="A5987" s="313" t="s">
        <v>1033</v>
      </c>
      <c r="B5987" s="315" t="s">
        <v>881</v>
      </c>
      <c r="C5987" s="313" t="s">
        <v>408</v>
      </c>
      <c r="D5987" s="313" t="s">
        <v>6098</v>
      </c>
      <c r="E5987" s="603" t="s">
        <v>2259</v>
      </c>
      <c r="F5987" s="603"/>
      <c r="G5987" s="314" t="s">
        <v>7</v>
      </c>
      <c r="H5987" s="399">
        <v>1</v>
      </c>
      <c r="I5987" s="316"/>
      <c r="J5987" s="316">
        <v>12.19</v>
      </c>
      <c r="K5987" s="316">
        <v>12.19</v>
      </c>
    </row>
    <row r="5988" spans="1:11" ht="25.5" customHeight="1" x14ac:dyDescent="0.3">
      <c r="A5988" s="400" t="s">
        <v>1038</v>
      </c>
      <c r="B5988" s="401" t="s">
        <v>1102</v>
      </c>
      <c r="C5988" s="400" t="s">
        <v>408</v>
      </c>
      <c r="D5988" s="400" t="s">
        <v>433</v>
      </c>
      <c r="E5988" s="605" t="s">
        <v>1039</v>
      </c>
      <c r="F5988" s="605"/>
      <c r="G5988" s="402" t="s">
        <v>7</v>
      </c>
      <c r="H5988" s="403">
        <v>1.05</v>
      </c>
      <c r="I5988" s="403">
        <v>0</v>
      </c>
      <c r="J5988" s="404">
        <v>6.95</v>
      </c>
      <c r="K5988" s="404">
        <v>7.2975000000000003</v>
      </c>
    </row>
    <row r="5989" spans="1:11" ht="25.5" customHeight="1" x14ac:dyDescent="0.3">
      <c r="A5989" s="400" t="s">
        <v>1038</v>
      </c>
      <c r="B5989" s="401" t="s">
        <v>6207</v>
      </c>
      <c r="C5989" s="400" t="s">
        <v>408</v>
      </c>
      <c r="D5989" s="400" t="s">
        <v>1093</v>
      </c>
      <c r="E5989" s="605" t="s">
        <v>1053</v>
      </c>
      <c r="F5989" s="605"/>
      <c r="G5989" s="402" t="s">
        <v>6</v>
      </c>
      <c r="H5989" s="403">
        <v>9.4E-2</v>
      </c>
      <c r="I5989" s="403">
        <v>0</v>
      </c>
      <c r="J5989" s="404">
        <v>30.51</v>
      </c>
      <c r="K5989" s="404">
        <v>2.8679399999999999</v>
      </c>
    </row>
    <row r="5990" spans="1:11" ht="15" x14ac:dyDescent="0.3">
      <c r="A5990" s="400" t="s">
        <v>1038</v>
      </c>
      <c r="B5990" s="401" t="s">
        <v>6196</v>
      </c>
      <c r="C5990" s="400" t="s">
        <v>408</v>
      </c>
      <c r="D5990" s="400" t="s">
        <v>1139</v>
      </c>
      <c r="E5990" s="605" t="s">
        <v>1053</v>
      </c>
      <c r="F5990" s="605"/>
      <c r="G5990" s="402" t="s">
        <v>6</v>
      </c>
      <c r="H5990" s="403">
        <v>9.4E-2</v>
      </c>
      <c r="I5990" s="403">
        <v>0</v>
      </c>
      <c r="J5990" s="404">
        <v>21.59</v>
      </c>
      <c r="K5990" s="404">
        <v>2.0294599999999998</v>
      </c>
    </row>
    <row r="5991" spans="1:11" ht="17.399999999999999" customHeight="1" x14ac:dyDescent="0.3">
      <c r="A5991" s="405"/>
      <c r="B5991" s="405"/>
      <c r="C5991" s="405"/>
      <c r="D5991" s="405"/>
      <c r="E5991" s="405" t="s">
        <v>1046</v>
      </c>
      <c r="F5991" s="406">
        <v>4.9000000000000004</v>
      </c>
      <c r="G5991" s="405" t="s">
        <v>1047</v>
      </c>
      <c r="H5991" s="406">
        <v>0</v>
      </c>
      <c r="I5991" s="405" t="s">
        <v>1048</v>
      </c>
      <c r="J5991" s="406">
        <v>4.9000000000000004</v>
      </c>
      <c r="K5991"/>
    </row>
    <row r="5992" spans="1:11" ht="14.25" customHeight="1" thickBot="1" x14ac:dyDescent="0.35">
      <c r="A5992" s="405"/>
      <c r="B5992" s="405"/>
      <c r="C5992" s="405"/>
      <c r="D5992" s="405"/>
      <c r="E5992" s="405" t="s">
        <v>1049</v>
      </c>
      <c r="F5992" s="406">
        <v>0</v>
      </c>
      <c r="G5992" s="405"/>
      <c r="H5992" s="606"/>
      <c r="I5992" s="606" t="s">
        <v>1050</v>
      </c>
      <c r="J5992" s="406">
        <v>12.19</v>
      </c>
      <c r="K5992"/>
    </row>
    <row r="5993" spans="1:11" ht="15.6" thickTop="1" x14ac:dyDescent="0.3">
      <c r="A5993" s="407"/>
      <c r="B5993" s="407"/>
      <c r="C5993" s="407"/>
      <c r="D5993" s="407"/>
      <c r="E5993" s="407"/>
      <c r="F5993" s="407"/>
      <c r="G5993" s="407"/>
      <c r="H5993" s="407"/>
      <c r="I5993" s="407"/>
      <c r="J5993" s="407"/>
      <c r="K5993" s="407"/>
    </row>
    <row r="5994" spans="1:11" ht="15" customHeight="1" x14ac:dyDescent="0.3">
      <c r="A5994" s="382" t="s">
        <v>3436</v>
      </c>
      <c r="B5994" s="312" t="s">
        <v>413</v>
      </c>
      <c r="C5994" s="382" t="s">
        <v>414</v>
      </c>
      <c r="D5994" s="382" t="s">
        <v>415</v>
      </c>
      <c r="E5994" s="586" t="s">
        <v>1029</v>
      </c>
      <c r="F5994" s="586"/>
      <c r="G5994" s="383" t="s">
        <v>416</v>
      </c>
      <c r="H5994" s="312" t="s">
        <v>1030</v>
      </c>
      <c r="I5994" s="312" t="s">
        <v>3016</v>
      </c>
      <c r="J5994" s="312" t="s">
        <v>1031</v>
      </c>
      <c r="K5994" s="312" t="s">
        <v>1032</v>
      </c>
    </row>
    <row r="5995" spans="1:11" ht="15" customHeight="1" x14ac:dyDescent="0.3">
      <c r="A5995" s="313" t="s">
        <v>1033</v>
      </c>
      <c r="B5995" s="315" t="s">
        <v>885</v>
      </c>
      <c r="C5995" s="313" t="s">
        <v>408</v>
      </c>
      <c r="D5995" s="313" t="s">
        <v>442</v>
      </c>
      <c r="E5995" s="603" t="s">
        <v>2256</v>
      </c>
      <c r="F5995" s="603"/>
      <c r="G5995" s="314" t="s">
        <v>4</v>
      </c>
      <c r="H5995" s="399">
        <v>1</v>
      </c>
      <c r="I5995" s="316"/>
      <c r="J5995" s="316">
        <v>207.19</v>
      </c>
      <c r="K5995" s="316">
        <v>207.19</v>
      </c>
    </row>
    <row r="5996" spans="1:11" ht="25.5" customHeight="1" x14ac:dyDescent="0.3">
      <c r="A5996" s="400" t="s">
        <v>1038</v>
      </c>
      <c r="B5996" s="401" t="s">
        <v>6916</v>
      </c>
      <c r="C5996" s="400" t="s">
        <v>408</v>
      </c>
      <c r="D5996" s="400" t="s">
        <v>6917</v>
      </c>
      <c r="E5996" s="605" t="s">
        <v>1039</v>
      </c>
      <c r="F5996" s="605"/>
      <c r="G5996" s="402" t="s">
        <v>380</v>
      </c>
      <c r="H5996" s="403">
        <v>3</v>
      </c>
      <c r="I5996" s="403">
        <v>0</v>
      </c>
      <c r="J5996" s="404">
        <v>15.75</v>
      </c>
      <c r="K5996" s="404">
        <v>47.25</v>
      </c>
    </row>
    <row r="5997" spans="1:11" ht="14.25" customHeight="1" x14ac:dyDescent="0.3">
      <c r="A5997" s="400" t="s">
        <v>1038</v>
      </c>
      <c r="B5997" s="401" t="s">
        <v>1116</v>
      </c>
      <c r="C5997" s="400" t="s">
        <v>408</v>
      </c>
      <c r="D5997" s="400" t="s">
        <v>1117</v>
      </c>
      <c r="E5997" s="605" t="s">
        <v>1039</v>
      </c>
      <c r="F5997" s="605"/>
      <c r="G5997" s="402" t="s">
        <v>4</v>
      </c>
      <c r="H5997" s="403">
        <v>1</v>
      </c>
      <c r="I5997" s="403">
        <v>0</v>
      </c>
      <c r="J5997" s="404">
        <v>100.08</v>
      </c>
      <c r="K5997" s="404">
        <v>100.08</v>
      </c>
    </row>
    <row r="5998" spans="1:11" ht="25.5" customHeight="1" x14ac:dyDescent="0.3">
      <c r="A5998" s="400" t="s">
        <v>1038</v>
      </c>
      <c r="B5998" s="401" t="s">
        <v>6207</v>
      </c>
      <c r="C5998" s="400" t="s">
        <v>408</v>
      </c>
      <c r="D5998" s="400" t="s">
        <v>1093</v>
      </c>
      <c r="E5998" s="605" t="s">
        <v>1053</v>
      </c>
      <c r="F5998" s="605"/>
      <c r="G5998" s="402" t="s">
        <v>6</v>
      </c>
      <c r="H5998" s="403">
        <v>1.149</v>
      </c>
      <c r="I5998" s="403">
        <v>0</v>
      </c>
      <c r="J5998" s="404">
        <v>30.51</v>
      </c>
      <c r="K5998" s="404">
        <v>35.055990000000001</v>
      </c>
    </row>
    <row r="5999" spans="1:11" ht="12.75" customHeight="1" x14ac:dyDescent="0.3">
      <c r="A5999" s="400" t="s">
        <v>1038</v>
      </c>
      <c r="B5999" s="401" t="s">
        <v>6196</v>
      </c>
      <c r="C5999" s="400" t="s">
        <v>408</v>
      </c>
      <c r="D5999" s="400" t="s">
        <v>1139</v>
      </c>
      <c r="E5999" s="605" t="s">
        <v>1053</v>
      </c>
      <c r="F5999" s="605"/>
      <c r="G5999" s="402" t="s">
        <v>6</v>
      </c>
      <c r="H5999" s="403">
        <v>1.149</v>
      </c>
      <c r="I5999" s="403">
        <v>0</v>
      </c>
      <c r="J5999" s="404">
        <v>21.59</v>
      </c>
      <c r="K5999" s="404">
        <v>24.806909999999998</v>
      </c>
    </row>
    <row r="6000" spans="1:11" ht="15" x14ac:dyDescent="0.3">
      <c r="A6000" s="405"/>
      <c r="B6000" s="405"/>
      <c r="C6000" s="405"/>
      <c r="D6000" s="405"/>
      <c r="E6000" s="405" t="s">
        <v>1046</v>
      </c>
      <c r="F6000" s="406">
        <v>59.87</v>
      </c>
      <c r="G6000" s="405" t="s">
        <v>1047</v>
      </c>
      <c r="H6000" s="406">
        <v>0</v>
      </c>
      <c r="I6000" s="405" t="s">
        <v>1048</v>
      </c>
      <c r="J6000" s="406">
        <v>59.87</v>
      </c>
      <c r="K6000"/>
    </row>
    <row r="6001" spans="1:11" ht="15.6" thickBot="1" x14ac:dyDescent="0.35">
      <c r="A6001" s="405"/>
      <c r="B6001" s="405"/>
      <c r="C6001" s="405"/>
      <c r="D6001" s="405"/>
      <c r="E6001" s="405" t="s">
        <v>1049</v>
      </c>
      <c r="F6001" s="406">
        <v>0</v>
      </c>
      <c r="G6001" s="405"/>
      <c r="H6001" s="606"/>
      <c r="I6001" s="606" t="s">
        <v>1050</v>
      </c>
      <c r="J6001" s="406">
        <v>207.19</v>
      </c>
      <c r="K6001"/>
    </row>
    <row r="6002" spans="1:11" ht="30" customHeight="1" thickTop="1" x14ac:dyDescent="0.3">
      <c r="A6002" s="407"/>
      <c r="B6002" s="407"/>
      <c r="C6002" s="407"/>
      <c r="D6002" s="407"/>
      <c r="E6002" s="407"/>
      <c r="F6002" s="407"/>
      <c r="G6002" s="407"/>
      <c r="H6002" s="407"/>
      <c r="I6002" s="407"/>
      <c r="J6002" s="407"/>
      <c r="K6002" s="407"/>
    </row>
    <row r="6003" spans="1:11" ht="30" customHeight="1" x14ac:dyDescent="0.3">
      <c r="A6003" s="382" t="s">
        <v>3437</v>
      </c>
      <c r="B6003" s="312" t="s">
        <v>413</v>
      </c>
      <c r="C6003" s="382" t="s">
        <v>414</v>
      </c>
      <c r="D6003" s="382" t="s">
        <v>415</v>
      </c>
      <c r="E6003" s="586" t="s">
        <v>1029</v>
      </c>
      <c r="F6003" s="586"/>
      <c r="G6003" s="383" t="s">
        <v>416</v>
      </c>
      <c r="H6003" s="312" t="s">
        <v>1030</v>
      </c>
      <c r="I6003" s="312" t="s">
        <v>3016</v>
      </c>
      <c r="J6003" s="312" t="s">
        <v>1031</v>
      </c>
      <c r="K6003" s="312" t="s">
        <v>1032</v>
      </c>
    </row>
    <row r="6004" spans="1:11" ht="14.25" customHeight="1" x14ac:dyDescent="0.3">
      <c r="A6004" s="313" t="s">
        <v>1033</v>
      </c>
      <c r="B6004" s="315" t="s">
        <v>888</v>
      </c>
      <c r="C6004" s="313" t="s">
        <v>408</v>
      </c>
      <c r="D6004" s="313" t="s">
        <v>445</v>
      </c>
      <c r="E6004" s="603" t="s">
        <v>2257</v>
      </c>
      <c r="F6004" s="603"/>
      <c r="G6004" s="314" t="s">
        <v>4</v>
      </c>
      <c r="H6004" s="399">
        <v>1</v>
      </c>
      <c r="I6004" s="316"/>
      <c r="J6004" s="316">
        <v>160.33000000000001</v>
      </c>
      <c r="K6004" s="316">
        <v>160.33000000000001</v>
      </c>
    </row>
    <row r="6005" spans="1:11" ht="30" customHeight="1" x14ac:dyDescent="0.3">
      <c r="A6005" s="400" t="s">
        <v>1038</v>
      </c>
      <c r="B6005" s="401" t="s">
        <v>1369</v>
      </c>
      <c r="C6005" s="400" t="s">
        <v>408</v>
      </c>
      <c r="D6005" s="400" t="s">
        <v>1370</v>
      </c>
      <c r="E6005" s="605" t="s">
        <v>1039</v>
      </c>
      <c r="F6005" s="605"/>
      <c r="G6005" s="402" t="s">
        <v>3</v>
      </c>
      <c r="H6005" s="403">
        <v>0.38</v>
      </c>
      <c r="I6005" s="403">
        <v>0</v>
      </c>
      <c r="J6005" s="404">
        <v>0.71</v>
      </c>
      <c r="K6005" s="404">
        <v>0.26979999999999998</v>
      </c>
    </row>
    <row r="6006" spans="1:11" ht="15" x14ac:dyDescent="0.3">
      <c r="A6006" s="400" t="s">
        <v>1038</v>
      </c>
      <c r="B6006" s="401" t="s">
        <v>1367</v>
      </c>
      <c r="C6006" s="400" t="s">
        <v>408</v>
      </c>
      <c r="D6006" s="400" t="s">
        <v>1368</v>
      </c>
      <c r="E6006" s="605" t="s">
        <v>1039</v>
      </c>
      <c r="F6006" s="605"/>
      <c r="G6006" s="402" t="s">
        <v>713</v>
      </c>
      <c r="H6006" s="403">
        <v>1E-3</v>
      </c>
      <c r="I6006" s="403">
        <v>0</v>
      </c>
      <c r="J6006" s="404">
        <v>106.37</v>
      </c>
      <c r="K6006" s="404">
        <v>0.10637000000000001</v>
      </c>
    </row>
    <row r="6007" spans="1:11" ht="15" customHeight="1" x14ac:dyDescent="0.3">
      <c r="A6007" s="400" t="s">
        <v>1038</v>
      </c>
      <c r="B6007" s="401" t="s">
        <v>1122</v>
      </c>
      <c r="C6007" s="400" t="s">
        <v>408</v>
      </c>
      <c r="D6007" s="400" t="s">
        <v>1123</v>
      </c>
      <c r="E6007" s="605" t="s">
        <v>1039</v>
      </c>
      <c r="F6007" s="605"/>
      <c r="G6007" s="402" t="s">
        <v>3</v>
      </c>
      <c r="H6007" s="403">
        <v>2.7E-2</v>
      </c>
      <c r="I6007" s="403">
        <v>0</v>
      </c>
      <c r="J6007" s="404">
        <v>28.92</v>
      </c>
      <c r="K6007" s="404">
        <v>0.78083999999999998</v>
      </c>
    </row>
    <row r="6008" spans="1:11" ht="25.5" customHeight="1" x14ac:dyDescent="0.3">
      <c r="A6008" s="400" t="s">
        <v>1038</v>
      </c>
      <c r="B6008" s="401" t="s">
        <v>3102</v>
      </c>
      <c r="C6008" s="400" t="s">
        <v>408</v>
      </c>
      <c r="D6008" s="400" t="s">
        <v>3103</v>
      </c>
      <c r="E6008" s="605" t="s">
        <v>1039</v>
      </c>
      <c r="F6008" s="605"/>
      <c r="G6008" s="402" t="s">
        <v>7</v>
      </c>
      <c r="H6008" s="403">
        <v>3.3</v>
      </c>
      <c r="I6008" s="403">
        <v>0</v>
      </c>
      <c r="J6008" s="404">
        <v>5.43</v>
      </c>
      <c r="K6008" s="404">
        <v>17.919</v>
      </c>
    </row>
    <row r="6009" spans="1:11" ht="25.5" customHeight="1" x14ac:dyDescent="0.3">
      <c r="A6009" s="400" t="s">
        <v>1038</v>
      </c>
      <c r="B6009" s="401" t="s">
        <v>7596</v>
      </c>
      <c r="C6009" s="400" t="s">
        <v>408</v>
      </c>
      <c r="D6009" s="400" t="s">
        <v>7597</v>
      </c>
      <c r="E6009" s="605" t="s">
        <v>1039</v>
      </c>
      <c r="F6009" s="605"/>
      <c r="G6009" s="402" t="s">
        <v>4</v>
      </c>
      <c r="H6009" s="403">
        <v>1</v>
      </c>
      <c r="I6009" s="403">
        <v>0</v>
      </c>
      <c r="J6009" s="404">
        <v>1.56</v>
      </c>
      <c r="K6009" s="404">
        <v>1.56</v>
      </c>
    </row>
    <row r="6010" spans="1:11" ht="25.5" customHeight="1" x14ac:dyDescent="0.3">
      <c r="A6010" s="400" t="s">
        <v>1038</v>
      </c>
      <c r="B6010" s="401" t="s">
        <v>7255</v>
      </c>
      <c r="C6010" s="400" t="s">
        <v>408</v>
      </c>
      <c r="D6010" s="400" t="s">
        <v>7256</v>
      </c>
      <c r="E6010" s="605" t="s">
        <v>1039</v>
      </c>
      <c r="F6010" s="605"/>
      <c r="G6010" s="402" t="s">
        <v>4</v>
      </c>
      <c r="H6010" s="403">
        <v>1.05</v>
      </c>
      <c r="I6010" s="403">
        <v>0</v>
      </c>
      <c r="J6010" s="404">
        <v>10.78</v>
      </c>
      <c r="K6010" s="404">
        <v>11.319000000000001</v>
      </c>
    </row>
    <row r="6011" spans="1:11" ht="25.5" customHeight="1" x14ac:dyDescent="0.3">
      <c r="A6011" s="400" t="s">
        <v>1038</v>
      </c>
      <c r="B6011" s="401" t="s">
        <v>3072</v>
      </c>
      <c r="C6011" s="400" t="s">
        <v>408</v>
      </c>
      <c r="D6011" s="400" t="s">
        <v>3073</v>
      </c>
      <c r="E6011" s="605" t="s">
        <v>1039</v>
      </c>
      <c r="F6011" s="605"/>
      <c r="G6011" s="402" t="s">
        <v>4</v>
      </c>
      <c r="H6011" s="403">
        <v>2.1</v>
      </c>
      <c r="I6011" s="403">
        <v>0</v>
      </c>
      <c r="J6011" s="404">
        <v>4.74</v>
      </c>
      <c r="K6011" s="404">
        <v>9.9540000000000006</v>
      </c>
    </row>
    <row r="6012" spans="1:11" ht="12.75" customHeight="1" x14ac:dyDescent="0.3">
      <c r="A6012" s="400" t="s">
        <v>1038</v>
      </c>
      <c r="B6012" s="401" t="s">
        <v>7461</v>
      </c>
      <c r="C6012" s="400" t="s">
        <v>408</v>
      </c>
      <c r="D6012" s="400" t="s">
        <v>7462</v>
      </c>
      <c r="E6012" s="605" t="s">
        <v>1039</v>
      </c>
      <c r="F6012" s="605"/>
      <c r="G6012" s="402" t="s">
        <v>380</v>
      </c>
      <c r="H6012" s="403">
        <v>2</v>
      </c>
      <c r="I6012" s="403">
        <v>0</v>
      </c>
      <c r="J6012" s="404">
        <v>1.56</v>
      </c>
      <c r="K6012" s="404">
        <v>3.12</v>
      </c>
    </row>
    <row r="6013" spans="1:11" ht="26.4" x14ac:dyDescent="0.3">
      <c r="A6013" s="400" t="s">
        <v>1038</v>
      </c>
      <c r="B6013" s="401" t="s">
        <v>7173</v>
      </c>
      <c r="C6013" s="400" t="s">
        <v>408</v>
      </c>
      <c r="D6013" s="400" t="s">
        <v>7174</v>
      </c>
      <c r="E6013" s="605" t="s">
        <v>1039</v>
      </c>
      <c r="F6013" s="605"/>
      <c r="G6013" s="402" t="s">
        <v>4</v>
      </c>
      <c r="H6013" s="403">
        <v>1</v>
      </c>
      <c r="I6013" s="403">
        <v>0</v>
      </c>
      <c r="J6013" s="404">
        <v>16.21</v>
      </c>
      <c r="K6013" s="404">
        <v>16.21</v>
      </c>
    </row>
    <row r="6014" spans="1:11" ht="17.399999999999999" customHeight="1" x14ac:dyDescent="0.3">
      <c r="A6014" s="400" t="s">
        <v>1038</v>
      </c>
      <c r="B6014" s="401" t="s">
        <v>6207</v>
      </c>
      <c r="C6014" s="400" t="s">
        <v>408</v>
      </c>
      <c r="D6014" s="400" t="s">
        <v>1093</v>
      </c>
      <c r="E6014" s="605" t="s">
        <v>1053</v>
      </c>
      <c r="F6014" s="605"/>
      <c r="G6014" s="402" t="s">
        <v>6</v>
      </c>
      <c r="H6014" s="403">
        <v>1.8979999999999999</v>
      </c>
      <c r="I6014" s="403">
        <v>0</v>
      </c>
      <c r="J6014" s="404">
        <v>30.51</v>
      </c>
      <c r="K6014" s="404">
        <v>57.907980000000002</v>
      </c>
    </row>
    <row r="6015" spans="1:11" ht="15" x14ac:dyDescent="0.3">
      <c r="A6015" s="400" t="s">
        <v>1038</v>
      </c>
      <c r="B6015" s="401" t="s">
        <v>6196</v>
      </c>
      <c r="C6015" s="400" t="s">
        <v>408</v>
      </c>
      <c r="D6015" s="400" t="s">
        <v>1139</v>
      </c>
      <c r="E6015" s="605" t="s">
        <v>1053</v>
      </c>
      <c r="F6015" s="605"/>
      <c r="G6015" s="402" t="s">
        <v>6</v>
      </c>
      <c r="H6015" s="403">
        <v>1.8979999999999999</v>
      </c>
      <c r="I6015" s="403">
        <v>0</v>
      </c>
      <c r="J6015" s="404">
        <v>21.59</v>
      </c>
      <c r="K6015" s="404">
        <v>40.977820000000001</v>
      </c>
    </row>
    <row r="6016" spans="1:11" ht="14.25" customHeight="1" x14ac:dyDescent="0.3">
      <c r="A6016" s="400" t="s">
        <v>1038</v>
      </c>
      <c r="B6016" s="401" t="s">
        <v>6167</v>
      </c>
      <c r="C6016" s="400" t="s">
        <v>408</v>
      </c>
      <c r="D6016" s="400" t="s">
        <v>1466</v>
      </c>
      <c r="E6016" s="605" t="s">
        <v>1053</v>
      </c>
      <c r="F6016" s="605"/>
      <c r="G6016" s="402" t="s">
        <v>6</v>
      </c>
      <c r="H6016" s="403">
        <v>0.01</v>
      </c>
      <c r="I6016" s="403">
        <v>0</v>
      </c>
      <c r="J6016" s="404">
        <v>20.48</v>
      </c>
      <c r="K6016" s="404">
        <v>0.20480000000000001</v>
      </c>
    </row>
    <row r="6017" spans="1:11" ht="15" customHeight="1" x14ac:dyDescent="0.3">
      <c r="A6017" s="405"/>
      <c r="B6017" s="405"/>
      <c r="C6017" s="405"/>
      <c r="D6017" s="405"/>
      <c r="E6017" s="405" t="s">
        <v>1046</v>
      </c>
      <c r="F6017" s="406">
        <v>99.09</v>
      </c>
      <c r="G6017" s="405" t="s">
        <v>1047</v>
      </c>
      <c r="H6017" s="406">
        <v>0</v>
      </c>
      <c r="I6017" s="405" t="s">
        <v>1048</v>
      </c>
      <c r="J6017" s="406">
        <v>99.09</v>
      </c>
      <c r="K6017"/>
    </row>
    <row r="6018" spans="1:11" ht="30" customHeight="1" thickBot="1" x14ac:dyDescent="0.35">
      <c r="A6018" s="405"/>
      <c r="B6018" s="405"/>
      <c r="C6018" s="405"/>
      <c r="D6018" s="405"/>
      <c r="E6018" s="405" t="s">
        <v>1049</v>
      </c>
      <c r="F6018" s="406">
        <v>0</v>
      </c>
      <c r="G6018" s="405"/>
      <c r="H6018" s="606"/>
      <c r="I6018" s="606" t="s">
        <v>1050</v>
      </c>
      <c r="J6018" s="406">
        <v>160.33000000000001</v>
      </c>
      <c r="K6018"/>
    </row>
    <row r="6019" spans="1:11" ht="30" customHeight="1" thickTop="1" x14ac:dyDescent="0.3">
      <c r="A6019" s="407"/>
      <c r="B6019" s="407"/>
      <c r="C6019" s="407"/>
      <c r="D6019" s="407"/>
      <c r="E6019" s="407"/>
      <c r="F6019" s="407"/>
      <c r="G6019" s="407"/>
      <c r="H6019" s="407"/>
      <c r="I6019" s="407"/>
      <c r="J6019" s="407"/>
      <c r="K6019" s="407"/>
    </row>
    <row r="6020" spans="1:11" ht="14.25" customHeight="1" x14ac:dyDescent="0.3">
      <c r="A6020" s="382" t="s">
        <v>3438</v>
      </c>
      <c r="B6020" s="312" t="s">
        <v>413</v>
      </c>
      <c r="C6020" s="382" t="s">
        <v>414</v>
      </c>
      <c r="D6020" s="382" t="s">
        <v>415</v>
      </c>
      <c r="E6020" s="586" t="s">
        <v>1029</v>
      </c>
      <c r="F6020" s="586"/>
      <c r="G6020" s="383" t="s">
        <v>416</v>
      </c>
      <c r="H6020" s="312" t="s">
        <v>1030</v>
      </c>
      <c r="I6020" s="312" t="s">
        <v>3016</v>
      </c>
      <c r="J6020" s="312" t="s">
        <v>1031</v>
      </c>
      <c r="K6020" s="312" t="s">
        <v>1032</v>
      </c>
    </row>
    <row r="6021" spans="1:11" ht="25.5" customHeight="1" x14ac:dyDescent="0.3">
      <c r="A6021" s="313" t="s">
        <v>1033</v>
      </c>
      <c r="B6021" s="315" t="s">
        <v>889</v>
      </c>
      <c r="C6021" s="313" t="s">
        <v>408</v>
      </c>
      <c r="D6021" s="313" t="s">
        <v>6099</v>
      </c>
      <c r="E6021" s="603" t="s">
        <v>2261</v>
      </c>
      <c r="F6021" s="603"/>
      <c r="G6021" s="314" t="s">
        <v>4</v>
      </c>
      <c r="H6021" s="399">
        <v>1</v>
      </c>
      <c r="I6021" s="316"/>
      <c r="J6021" s="316">
        <v>2.99</v>
      </c>
      <c r="K6021" s="316">
        <v>2.99</v>
      </c>
    </row>
    <row r="6022" spans="1:11" ht="25.5" customHeight="1" x14ac:dyDescent="0.3">
      <c r="A6022" s="400" t="s">
        <v>1038</v>
      </c>
      <c r="B6022" s="401" t="s">
        <v>1040</v>
      </c>
      <c r="C6022" s="400" t="s">
        <v>408</v>
      </c>
      <c r="D6022" s="400" t="s">
        <v>1041</v>
      </c>
      <c r="E6022" s="605" t="s">
        <v>1039</v>
      </c>
      <c r="F6022" s="605"/>
      <c r="G6022" s="402" t="s">
        <v>4</v>
      </c>
      <c r="H6022" s="403">
        <v>1</v>
      </c>
      <c r="I6022" s="403">
        <v>0</v>
      </c>
      <c r="J6022" s="404">
        <v>2.21</v>
      </c>
      <c r="K6022" s="404">
        <v>2.21</v>
      </c>
    </row>
    <row r="6023" spans="1:11" ht="15" x14ac:dyDescent="0.3">
      <c r="A6023" s="400" t="s">
        <v>1038</v>
      </c>
      <c r="B6023" s="401" t="s">
        <v>6207</v>
      </c>
      <c r="C6023" s="400" t="s">
        <v>408</v>
      </c>
      <c r="D6023" s="400" t="s">
        <v>1093</v>
      </c>
      <c r="E6023" s="605" t="s">
        <v>1053</v>
      </c>
      <c r="F6023" s="605"/>
      <c r="G6023" s="402" t="s">
        <v>6</v>
      </c>
      <c r="H6023" s="403">
        <v>1.4999999999999999E-2</v>
      </c>
      <c r="I6023" s="403">
        <v>0</v>
      </c>
      <c r="J6023" s="404">
        <v>30.51</v>
      </c>
      <c r="K6023" s="404">
        <v>0.45765</v>
      </c>
    </row>
    <row r="6024" spans="1:11" ht="25.5" customHeight="1" x14ac:dyDescent="0.3">
      <c r="A6024" s="400" t="s">
        <v>1038</v>
      </c>
      <c r="B6024" s="401" t="s">
        <v>6196</v>
      </c>
      <c r="C6024" s="400" t="s">
        <v>408</v>
      </c>
      <c r="D6024" s="400" t="s">
        <v>1139</v>
      </c>
      <c r="E6024" s="605" t="s">
        <v>1053</v>
      </c>
      <c r="F6024" s="605"/>
      <c r="G6024" s="402" t="s">
        <v>6</v>
      </c>
      <c r="H6024" s="403">
        <v>1.4999999999999999E-2</v>
      </c>
      <c r="I6024" s="403">
        <v>0</v>
      </c>
      <c r="J6024" s="404">
        <v>21.59</v>
      </c>
      <c r="K6024" s="404">
        <v>0.32385000000000003</v>
      </c>
    </row>
    <row r="6025" spans="1:11" ht="38.25" customHeight="1" x14ac:dyDescent="0.3">
      <c r="A6025" s="405"/>
      <c r="B6025" s="405"/>
      <c r="C6025" s="405"/>
      <c r="D6025" s="405"/>
      <c r="E6025" s="405" t="s">
        <v>1046</v>
      </c>
      <c r="F6025" s="406">
        <v>0.78</v>
      </c>
      <c r="G6025" s="405" t="s">
        <v>1047</v>
      </c>
      <c r="H6025" s="406">
        <v>0</v>
      </c>
      <c r="I6025" s="405" t="s">
        <v>1048</v>
      </c>
      <c r="J6025" s="406">
        <v>0.78</v>
      </c>
      <c r="K6025"/>
    </row>
    <row r="6026" spans="1:11" ht="25.5" customHeight="1" thickBot="1" x14ac:dyDescent="0.35">
      <c r="A6026" s="405"/>
      <c r="B6026" s="405"/>
      <c r="C6026" s="405"/>
      <c r="D6026" s="405"/>
      <c r="E6026" s="405" t="s">
        <v>1049</v>
      </c>
      <c r="F6026" s="406">
        <v>0</v>
      </c>
      <c r="G6026" s="405"/>
      <c r="H6026" s="606"/>
      <c r="I6026" s="606" t="s">
        <v>1050</v>
      </c>
      <c r="J6026" s="406">
        <v>2.99</v>
      </c>
      <c r="K6026"/>
    </row>
    <row r="6027" spans="1:11" ht="15" customHeight="1" thickTop="1" x14ac:dyDescent="0.3">
      <c r="A6027" s="407"/>
      <c r="B6027" s="407"/>
      <c r="C6027" s="407"/>
      <c r="D6027" s="407"/>
      <c r="E6027" s="407"/>
      <c r="F6027" s="407"/>
      <c r="G6027" s="407"/>
      <c r="H6027" s="407"/>
      <c r="I6027" s="407"/>
      <c r="J6027" s="407"/>
      <c r="K6027" s="407"/>
    </row>
    <row r="6028" spans="1:11" ht="14.25" customHeight="1" x14ac:dyDescent="0.3">
      <c r="A6028" s="382" t="s">
        <v>3440</v>
      </c>
      <c r="B6028" s="312" t="s">
        <v>413</v>
      </c>
      <c r="C6028" s="382" t="s">
        <v>414</v>
      </c>
      <c r="D6028" s="382" t="s">
        <v>415</v>
      </c>
      <c r="E6028" s="586" t="s">
        <v>1029</v>
      </c>
      <c r="F6028" s="586"/>
      <c r="G6028" s="383" t="s">
        <v>416</v>
      </c>
      <c r="H6028" s="312" t="s">
        <v>1030</v>
      </c>
      <c r="I6028" s="312" t="s">
        <v>3016</v>
      </c>
      <c r="J6028" s="312" t="s">
        <v>1031</v>
      </c>
      <c r="K6028" s="312" t="s">
        <v>1032</v>
      </c>
    </row>
    <row r="6029" spans="1:11" ht="15" x14ac:dyDescent="0.3">
      <c r="A6029" s="313" t="s">
        <v>1033</v>
      </c>
      <c r="B6029" s="315" t="s">
        <v>902</v>
      </c>
      <c r="C6029" s="313" t="s">
        <v>408</v>
      </c>
      <c r="D6029" s="313" t="s">
        <v>6100</v>
      </c>
      <c r="E6029" s="603" t="s">
        <v>2257</v>
      </c>
      <c r="F6029" s="603"/>
      <c r="G6029" s="314" t="s">
        <v>7</v>
      </c>
      <c r="H6029" s="399">
        <v>1</v>
      </c>
      <c r="I6029" s="316"/>
      <c r="J6029" s="316">
        <v>2.52</v>
      </c>
      <c r="K6029" s="316">
        <v>2.52</v>
      </c>
    </row>
    <row r="6030" spans="1:11" ht="15" x14ac:dyDescent="0.3">
      <c r="A6030" s="400" t="s">
        <v>1038</v>
      </c>
      <c r="B6030" s="401" t="s">
        <v>7634</v>
      </c>
      <c r="C6030" s="400" t="s">
        <v>408</v>
      </c>
      <c r="D6030" s="400" t="s">
        <v>7635</v>
      </c>
      <c r="E6030" s="605" t="s">
        <v>1039</v>
      </c>
      <c r="F6030" s="605"/>
      <c r="G6030" s="402" t="s">
        <v>4</v>
      </c>
      <c r="H6030" s="403">
        <v>0.03</v>
      </c>
      <c r="I6030" s="403">
        <v>0</v>
      </c>
      <c r="J6030" s="404">
        <v>33.25</v>
      </c>
      <c r="K6030" s="404">
        <v>0.99750000000000005</v>
      </c>
    </row>
    <row r="6031" spans="1:11" ht="25.5" customHeight="1" x14ac:dyDescent="0.3">
      <c r="A6031" s="400" t="s">
        <v>1038</v>
      </c>
      <c r="B6031" s="401" t="s">
        <v>6207</v>
      </c>
      <c r="C6031" s="400" t="s">
        <v>408</v>
      </c>
      <c r="D6031" s="400" t="s">
        <v>1093</v>
      </c>
      <c r="E6031" s="605" t="s">
        <v>1053</v>
      </c>
      <c r="F6031" s="605"/>
      <c r="G6031" s="402" t="s">
        <v>6</v>
      </c>
      <c r="H6031" s="403">
        <v>0.05</v>
      </c>
      <c r="I6031" s="403">
        <v>0</v>
      </c>
      <c r="J6031" s="404">
        <v>30.51</v>
      </c>
      <c r="K6031" s="404">
        <v>1.5255000000000001</v>
      </c>
    </row>
    <row r="6032" spans="1:11" ht="25.5" customHeight="1" x14ac:dyDescent="0.3">
      <c r="A6032" s="405"/>
      <c r="B6032" s="405"/>
      <c r="C6032" s="405"/>
      <c r="D6032" s="405"/>
      <c r="E6032" s="405" t="s">
        <v>1046</v>
      </c>
      <c r="F6032" s="406">
        <v>1.53</v>
      </c>
      <c r="G6032" s="405" t="s">
        <v>1047</v>
      </c>
      <c r="H6032" s="406">
        <v>0</v>
      </c>
      <c r="I6032" s="405" t="s">
        <v>1048</v>
      </c>
      <c r="J6032" s="406">
        <v>1.53</v>
      </c>
      <c r="K6032"/>
    </row>
    <row r="6033" spans="1:11" ht="14.25" customHeight="1" thickBot="1" x14ac:dyDescent="0.35">
      <c r="A6033" s="405"/>
      <c r="B6033" s="405"/>
      <c r="C6033" s="405"/>
      <c r="D6033" s="405"/>
      <c r="E6033" s="405" t="s">
        <v>1049</v>
      </c>
      <c r="F6033" s="406">
        <v>0</v>
      </c>
      <c r="G6033" s="405"/>
      <c r="H6033" s="606"/>
      <c r="I6033" s="606" t="s">
        <v>1050</v>
      </c>
      <c r="J6033" s="406">
        <v>2.52</v>
      </c>
      <c r="K6033"/>
    </row>
    <row r="6034" spans="1:11" ht="25.5" customHeight="1" thickTop="1" x14ac:dyDescent="0.3">
      <c r="A6034" s="407"/>
      <c r="B6034" s="407"/>
      <c r="C6034" s="407"/>
      <c r="D6034" s="407"/>
      <c r="E6034" s="407"/>
      <c r="F6034" s="407"/>
      <c r="G6034" s="407"/>
      <c r="H6034" s="407"/>
      <c r="I6034" s="407"/>
      <c r="J6034" s="407"/>
      <c r="K6034" s="407"/>
    </row>
    <row r="6035" spans="1:11" ht="17.399999999999999" customHeight="1" x14ac:dyDescent="0.3">
      <c r="A6035" s="382" t="s">
        <v>3441</v>
      </c>
      <c r="B6035" s="312" t="s">
        <v>413</v>
      </c>
      <c r="C6035" s="382" t="s">
        <v>414</v>
      </c>
      <c r="D6035" s="382" t="s">
        <v>415</v>
      </c>
      <c r="E6035" s="586" t="s">
        <v>1029</v>
      </c>
      <c r="F6035" s="586"/>
      <c r="G6035" s="383" t="s">
        <v>416</v>
      </c>
      <c r="H6035" s="312" t="s">
        <v>1030</v>
      </c>
      <c r="I6035" s="312" t="s">
        <v>3016</v>
      </c>
      <c r="J6035" s="312" t="s">
        <v>1031</v>
      </c>
      <c r="K6035" s="312" t="s">
        <v>1032</v>
      </c>
    </row>
    <row r="6036" spans="1:11" ht="15" x14ac:dyDescent="0.3">
      <c r="A6036" s="313" t="s">
        <v>1033</v>
      </c>
      <c r="B6036" s="315" t="s">
        <v>903</v>
      </c>
      <c r="C6036" s="313" t="s">
        <v>408</v>
      </c>
      <c r="D6036" s="313" t="s">
        <v>464</v>
      </c>
      <c r="E6036" s="603" t="s">
        <v>864</v>
      </c>
      <c r="F6036" s="603"/>
      <c r="G6036" s="314" t="s">
        <v>4</v>
      </c>
      <c r="H6036" s="399">
        <v>1</v>
      </c>
      <c r="I6036" s="316"/>
      <c r="J6036" s="316">
        <v>266.5</v>
      </c>
      <c r="K6036" s="316">
        <v>266.5</v>
      </c>
    </row>
    <row r="6037" spans="1:11" ht="25.5" customHeight="1" x14ac:dyDescent="0.3">
      <c r="A6037" s="400" t="s">
        <v>1038</v>
      </c>
      <c r="B6037" s="401" t="s">
        <v>7527</v>
      </c>
      <c r="C6037" s="400" t="s">
        <v>408</v>
      </c>
      <c r="D6037" s="400" t="s">
        <v>7528</v>
      </c>
      <c r="E6037" s="605" t="s">
        <v>1039</v>
      </c>
      <c r="F6037" s="605"/>
      <c r="G6037" s="402" t="s">
        <v>4</v>
      </c>
      <c r="H6037" s="403">
        <v>4</v>
      </c>
      <c r="I6037" s="403">
        <v>0</v>
      </c>
      <c r="J6037" s="404">
        <v>0.8</v>
      </c>
      <c r="K6037" s="404">
        <v>3.2</v>
      </c>
    </row>
    <row r="6038" spans="1:11" ht="25.5" customHeight="1" x14ac:dyDescent="0.3">
      <c r="A6038" s="400" t="s">
        <v>1038</v>
      </c>
      <c r="B6038" s="401" t="s">
        <v>1156</v>
      </c>
      <c r="C6038" s="400" t="s">
        <v>408</v>
      </c>
      <c r="D6038" s="400" t="s">
        <v>1157</v>
      </c>
      <c r="E6038" s="605" t="s">
        <v>1039</v>
      </c>
      <c r="F6038" s="605"/>
      <c r="G6038" s="402" t="s">
        <v>4</v>
      </c>
      <c r="H6038" s="403">
        <v>1</v>
      </c>
      <c r="I6038" s="403">
        <v>0</v>
      </c>
      <c r="J6038" s="404">
        <v>185.15</v>
      </c>
      <c r="K6038" s="404">
        <v>185.15</v>
      </c>
    </row>
    <row r="6039" spans="1:11" ht="25.5" customHeight="1" x14ac:dyDescent="0.3">
      <c r="A6039" s="400" t="s">
        <v>1038</v>
      </c>
      <c r="B6039" s="401" t="s">
        <v>6207</v>
      </c>
      <c r="C6039" s="400" t="s">
        <v>408</v>
      </c>
      <c r="D6039" s="400" t="s">
        <v>1093</v>
      </c>
      <c r="E6039" s="605" t="s">
        <v>1053</v>
      </c>
      <c r="F6039" s="605"/>
      <c r="G6039" s="402" t="s">
        <v>6</v>
      </c>
      <c r="H6039" s="403">
        <v>1.5</v>
      </c>
      <c r="I6039" s="403">
        <v>0</v>
      </c>
      <c r="J6039" s="404">
        <v>30.51</v>
      </c>
      <c r="K6039" s="404">
        <v>45.765000000000001</v>
      </c>
    </row>
    <row r="6040" spans="1:11" ht="15" customHeight="1" x14ac:dyDescent="0.3">
      <c r="A6040" s="400" t="s">
        <v>1038</v>
      </c>
      <c r="B6040" s="401" t="s">
        <v>6196</v>
      </c>
      <c r="C6040" s="400" t="s">
        <v>408</v>
      </c>
      <c r="D6040" s="400" t="s">
        <v>1139</v>
      </c>
      <c r="E6040" s="605" t="s">
        <v>1053</v>
      </c>
      <c r="F6040" s="605"/>
      <c r="G6040" s="402" t="s">
        <v>6</v>
      </c>
      <c r="H6040" s="403">
        <v>1.5</v>
      </c>
      <c r="I6040" s="403">
        <v>0</v>
      </c>
      <c r="J6040" s="404">
        <v>21.59</v>
      </c>
      <c r="K6040" s="404">
        <v>32.384999999999998</v>
      </c>
    </row>
    <row r="6041" spans="1:11" ht="30" customHeight="1" x14ac:dyDescent="0.3">
      <c r="A6041" s="405"/>
      <c r="B6041" s="405"/>
      <c r="C6041" s="405"/>
      <c r="D6041" s="405"/>
      <c r="E6041" s="405" t="s">
        <v>1046</v>
      </c>
      <c r="F6041" s="406">
        <v>78.16</v>
      </c>
      <c r="G6041" s="405" t="s">
        <v>1047</v>
      </c>
      <c r="H6041" s="406">
        <v>0</v>
      </c>
      <c r="I6041" s="405" t="s">
        <v>1048</v>
      </c>
      <c r="J6041" s="406">
        <v>78.16</v>
      </c>
      <c r="K6041"/>
    </row>
    <row r="6042" spans="1:11" ht="30" customHeight="1" thickBot="1" x14ac:dyDescent="0.35">
      <c r="A6042" s="405"/>
      <c r="B6042" s="405"/>
      <c r="C6042" s="405"/>
      <c r="D6042" s="405"/>
      <c r="E6042" s="405" t="s">
        <v>1049</v>
      </c>
      <c r="F6042" s="406">
        <v>0</v>
      </c>
      <c r="G6042" s="405"/>
      <c r="H6042" s="606"/>
      <c r="I6042" s="606" t="s">
        <v>1050</v>
      </c>
      <c r="J6042" s="406">
        <v>266.5</v>
      </c>
      <c r="K6042"/>
    </row>
    <row r="6043" spans="1:11" ht="15.6" thickTop="1" x14ac:dyDescent="0.3">
      <c r="A6043" s="407"/>
      <c r="B6043" s="407"/>
      <c r="C6043" s="407"/>
      <c r="D6043" s="407"/>
      <c r="E6043" s="407"/>
      <c r="F6043" s="407"/>
      <c r="G6043" s="407"/>
      <c r="H6043" s="407"/>
      <c r="I6043" s="407"/>
      <c r="J6043" s="407"/>
      <c r="K6043" s="407"/>
    </row>
    <row r="6044" spans="1:11" ht="25.5" customHeight="1" x14ac:dyDescent="0.3">
      <c r="A6044" s="382" t="s">
        <v>3442</v>
      </c>
      <c r="B6044" s="312" t="s">
        <v>413</v>
      </c>
      <c r="C6044" s="382" t="s">
        <v>414</v>
      </c>
      <c r="D6044" s="382" t="s">
        <v>415</v>
      </c>
      <c r="E6044" s="586" t="s">
        <v>1029</v>
      </c>
      <c r="F6044" s="586"/>
      <c r="G6044" s="383" t="s">
        <v>416</v>
      </c>
      <c r="H6044" s="312" t="s">
        <v>1030</v>
      </c>
      <c r="I6044" s="312" t="s">
        <v>3016</v>
      </c>
      <c r="J6044" s="312" t="s">
        <v>1031</v>
      </c>
      <c r="K6044" s="312" t="s">
        <v>1032</v>
      </c>
    </row>
    <row r="6045" spans="1:11" ht="25.5" customHeight="1" x14ac:dyDescent="0.3">
      <c r="A6045" s="313" t="s">
        <v>1033</v>
      </c>
      <c r="B6045" s="315" t="s">
        <v>904</v>
      </c>
      <c r="C6045" s="313" t="s">
        <v>408</v>
      </c>
      <c r="D6045" s="313" t="s">
        <v>1159</v>
      </c>
      <c r="E6045" s="603" t="s">
        <v>2259</v>
      </c>
      <c r="F6045" s="603"/>
      <c r="G6045" s="314" t="s">
        <v>7</v>
      </c>
      <c r="H6045" s="399">
        <v>1</v>
      </c>
      <c r="I6045" s="316"/>
      <c r="J6045" s="316">
        <v>53.31</v>
      </c>
      <c r="K6045" s="316">
        <v>53.31</v>
      </c>
    </row>
    <row r="6046" spans="1:11" ht="14.25" customHeight="1" x14ac:dyDescent="0.3">
      <c r="A6046" s="400" t="s">
        <v>1038</v>
      </c>
      <c r="B6046" s="401" t="s">
        <v>1158</v>
      </c>
      <c r="C6046" s="400" t="s">
        <v>408</v>
      </c>
      <c r="D6046" s="400" t="s">
        <v>1159</v>
      </c>
      <c r="E6046" s="605" t="s">
        <v>1039</v>
      </c>
      <c r="F6046" s="605"/>
      <c r="G6046" s="402" t="s">
        <v>7</v>
      </c>
      <c r="H6046" s="403">
        <v>1.05</v>
      </c>
      <c r="I6046" s="403">
        <v>0</v>
      </c>
      <c r="J6046" s="404">
        <v>40.5</v>
      </c>
      <c r="K6046" s="404">
        <v>42.524999999999999</v>
      </c>
    </row>
    <row r="6047" spans="1:11" ht="15" x14ac:dyDescent="0.3">
      <c r="A6047" s="400" t="s">
        <v>1038</v>
      </c>
      <c r="B6047" s="401" t="s">
        <v>6207</v>
      </c>
      <c r="C6047" s="400" t="s">
        <v>408</v>
      </c>
      <c r="D6047" s="400" t="s">
        <v>1093</v>
      </c>
      <c r="E6047" s="605" t="s">
        <v>1053</v>
      </c>
      <c r="F6047" s="605"/>
      <c r="G6047" s="402" t="s">
        <v>6</v>
      </c>
      <c r="H6047" s="403">
        <v>0.20699999999999999</v>
      </c>
      <c r="I6047" s="403">
        <v>0</v>
      </c>
      <c r="J6047" s="404">
        <v>30.51</v>
      </c>
      <c r="K6047" s="404">
        <v>6.3155700000000001</v>
      </c>
    </row>
    <row r="6048" spans="1:11" ht="30" customHeight="1" x14ac:dyDescent="0.3">
      <c r="A6048" s="400" t="s">
        <v>1038</v>
      </c>
      <c r="B6048" s="401" t="s">
        <v>6196</v>
      </c>
      <c r="C6048" s="400" t="s">
        <v>408</v>
      </c>
      <c r="D6048" s="400" t="s">
        <v>1139</v>
      </c>
      <c r="E6048" s="605" t="s">
        <v>1053</v>
      </c>
      <c r="F6048" s="605"/>
      <c r="G6048" s="402" t="s">
        <v>6</v>
      </c>
      <c r="H6048" s="403">
        <v>0.20699999999999999</v>
      </c>
      <c r="I6048" s="403">
        <v>0</v>
      </c>
      <c r="J6048" s="404">
        <v>21.59</v>
      </c>
      <c r="K6048" s="404">
        <v>4.4691299999999998</v>
      </c>
    </row>
    <row r="6049" spans="1:11" ht="25.5" customHeight="1" x14ac:dyDescent="0.3">
      <c r="A6049" s="405"/>
      <c r="B6049" s="405"/>
      <c r="C6049" s="405"/>
      <c r="D6049" s="405"/>
      <c r="E6049" s="405" t="s">
        <v>1046</v>
      </c>
      <c r="F6049" s="406">
        <v>10.79</v>
      </c>
      <c r="G6049" s="405" t="s">
        <v>1047</v>
      </c>
      <c r="H6049" s="406">
        <v>0</v>
      </c>
      <c r="I6049" s="405" t="s">
        <v>1048</v>
      </c>
      <c r="J6049" s="406">
        <v>10.79</v>
      </c>
      <c r="K6049"/>
    </row>
    <row r="6050" spans="1:11" ht="25.5" customHeight="1" thickBot="1" x14ac:dyDescent="0.35">
      <c r="A6050" s="405"/>
      <c r="B6050" s="405"/>
      <c r="C6050" s="405"/>
      <c r="D6050" s="405"/>
      <c r="E6050" s="405" t="s">
        <v>1049</v>
      </c>
      <c r="F6050" s="406">
        <v>0</v>
      </c>
      <c r="G6050" s="405"/>
      <c r="H6050" s="606"/>
      <c r="I6050" s="606" t="s">
        <v>1050</v>
      </c>
      <c r="J6050" s="406">
        <v>53.31</v>
      </c>
      <c r="K6050"/>
    </row>
    <row r="6051" spans="1:11" ht="25.5" customHeight="1" thickTop="1" x14ac:dyDescent="0.3">
      <c r="A6051" s="407"/>
      <c r="B6051" s="407"/>
      <c r="C6051" s="407"/>
      <c r="D6051" s="407"/>
      <c r="E6051" s="407"/>
      <c r="F6051" s="407"/>
      <c r="G6051" s="407"/>
      <c r="H6051" s="407"/>
      <c r="I6051" s="407"/>
      <c r="J6051" s="407"/>
      <c r="K6051" s="407"/>
    </row>
    <row r="6052" spans="1:11" ht="14.25" customHeight="1" x14ac:dyDescent="0.3">
      <c r="A6052" s="382" t="s">
        <v>3443</v>
      </c>
      <c r="B6052" s="312" t="s">
        <v>413</v>
      </c>
      <c r="C6052" s="382" t="s">
        <v>414</v>
      </c>
      <c r="D6052" s="382" t="s">
        <v>415</v>
      </c>
      <c r="E6052" s="586" t="s">
        <v>1029</v>
      </c>
      <c r="F6052" s="586"/>
      <c r="G6052" s="383" t="s">
        <v>416</v>
      </c>
      <c r="H6052" s="312" t="s">
        <v>1030</v>
      </c>
      <c r="I6052" s="312" t="s">
        <v>3016</v>
      </c>
      <c r="J6052" s="312" t="s">
        <v>1031</v>
      </c>
      <c r="K6052" s="312" t="s">
        <v>1032</v>
      </c>
    </row>
    <row r="6053" spans="1:11" ht="15" customHeight="1" x14ac:dyDescent="0.3">
      <c r="A6053" s="313" t="s">
        <v>1033</v>
      </c>
      <c r="B6053" s="315" t="s">
        <v>2941</v>
      </c>
      <c r="C6053" s="313" t="s">
        <v>395</v>
      </c>
      <c r="D6053" s="313" t="s">
        <v>2683</v>
      </c>
      <c r="E6053" s="603" t="s">
        <v>1227</v>
      </c>
      <c r="F6053" s="603"/>
      <c r="G6053" s="314" t="s">
        <v>4</v>
      </c>
      <c r="H6053" s="399">
        <v>1</v>
      </c>
      <c r="I6053" s="316"/>
      <c r="J6053" s="316">
        <v>441.68</v>
      </c>
      <c r="K6053" s="316">
        <v>441.68</v>
      </c>
    </row>
    <row r="6054" spans="1:11" ht="26.4" x14ac:dyDescent="0.3">
      <c r="A6054" s="408" t="s">
        <v>1034</v>
      </c>
      <c r="B6054" s="409" t="s">
        <v>1037</v>
      </c>
      <c r="C6054" s="408" t="s">
        <v>395</v>
      </c>
      <c r="D6054" s="408" t="s">
        <v>135</v>
      </c>
      <c r="E6054" s="604" t="s">
        <v>7768</v>
      </c>
      <c r="F6054" s="604"/>
      <c r="G6054" s="410" t="s">
        <v>6</v>
      </c>
      <c r="H6054" s="412">
        <v>2</v>
      </c>
      <c r="I6054" s="412">
        <v>0</v>
      </c>
      <c r="J6054" s="411">
        <v>41.81</v>
      </c>
      <c r="K6054" s="411">
        <v>83.62</v>
      </c>
    </row>
    <row r="6055" spans="1:11" ht="14.25" customHeight="1" x14ac:dyDescent="0.3">
      <c r="A6055" s="408" t="s">
        <v>1034</v>
      </c>
      <c r="B6055" s="409" t="s">
        <v>1035</v>
      </c>
      <c r="C6055" s="408" t="s">
        <v>395</v>
      </c>
      <c r="D6055" s="408" t="s">
        <v>128</v>
      </c>
      <c r="E6055" s="604" t="s">
        <v>7768</v>
      </c>
      <c r="F6055" s="604"/>
      <c r="G6055" s="410" t="s">
        <v>6</v>
      </c>
      <c r="H6055" s="412">
        <v>2</v>
      </c>
      <c r="I6055" s="412">
        <v>0</v>
      </c>
      <c r="J6055" s="411">
        <v>34.5</v>
      </c>
      <c r="K6055" s="411">
        <v>69</v>
      </c>
    </row>
    <row r="6056" spans="1:11" ht="12.75" customHeight="1" x14ac:dyDescent="0.3">
      <c r="A6056" s="400" t="s">
        <v>1038</v>
      </c>
      <c r="B6056" s="401" t="s">
        <v>3130</v>
      </c>
      <c r="C6056" s="400" t="s">
        <v>395</v>
      </c>
      <c r="D6056" s="400" t="s">
        <v>3131</v>
      </c>
      <c r="E6056" s="605" t="s">
        <v>1039</v>
      </c>
      <c r="F6056" s="605"/>
      <c r="G6056" s="402" t="s">
        <v>4</v>
      </c>
      <c r="H6056" s="403">
        <v>3</v>
      </c>
      <c r="I6056" s="403">
        <v>0</v>
      </c>
      <c r="J6056" s="404">
        <v>28.24</v>
      </c>
      <c r="K6056" s="404">
        <v>84.72</v>
      </c>
    </row>
    <row r="6057" spans="1:11" ht="25.5" customHeight="1" x14ac:dyDescent="0.3">
      <c r="A6057" s="400" t="s">
        <v>1038</v>
      </c>
      <c r="B6057" s="401" t="s">
        <v>3132</v>
      </c>
      <c r="C6057" s="400" t="s">
        <v>395</v>
      </c>
      <c r="D6057" s="400" t="s">
        <v>3133</v>
      </c>
      <c r="E6057" s="605" t="s">
        <v>1039</v>
      </c>
      <c r="F6057" s="605"/>
      <c r="G6057" s="402" t="s">
        <v>4</v>
      </c>
      <c r="H6057" s="403">
        <v>1</v>
      </c>
      <c r="I6057" s="403">
        <v>0</v>
      </c>
      <c r="J6057" s="404">
        <v>204.34</v>
      </c>
      <c r="K6057" s="404">
        <v>204.34</v>
      </c>
    </row>
    <row r="6058" spans="1:11" ht="30" customHeight="1" x14ac:dyDescent="0.3">
      <c r="A6058" s="405"/>
      <c r="B6058" s="405"/>
      <c r="C6058" s="405"/>
      <c r="D6058" s="405"/>
      <c r="E6058" s="405" t="s">
        <v>1046</v>
      </c>
      <c r="F6058" s="406">
        <v>111.34</v>
      </c>
      <c r="G6058" s="405" t="s">
        <v>1047</v>
      </c>
      <c r="H6058" s="406">
        <v>0</v>
      </c>
      <c r="I6058" s="405" t="s">
        <v>1048</v>
      </c>
      <c r="J6058" s="406">
        <v>111.34</v>
      </c>
      <c r="K6058"/>
    </row>
    <row r="6059" spans="1:11" ht="30" customHeight="1" thickBot="1" x14ac:dyDescent="0.35">
      <c r="A6059" s="405"/>
      <c r="B6059" s="405"/>
      <c r="C6059" s="405"/>
      <c r="D6059" s="405"/>
      <c r="E6059" s="405" t="s">
        <v>1049</v>
      </c>
      <c r="F6059" s="406">
        <v>0</v>
      </c>
      <c r="G6059" s="405"/>
      <c r="H6059" s="606"/>
      <c r="I6059" s="606" t="s">
        <v>1050</v>
      </c>
      <c r="J6059" s="406">
        <v>441.68</v>
      </c>
      <c r="K6059"/>
    </row>
    <row r="6060" spans="1:11" ht="15.6" thickTop="1" x14ac:dyDescent="0.3">
      <c r="A6060" s="407"/>
      <c r="B6060" s="407"/>
      <c r="C6060" s="407"/>
      <c r="D6060" s="407"/>
      <c r="E6060" s="407"/>
      <c r="F6060" s="407"/>
      <c r="G6060" s="407"/>
      <c r="H6060" s="407"/>
      <c r="I6060" s="407"/>
      <c r="J6060" s="407"/>
      <c r="K6060" s="407"/>
    </row>
    <row r="6061" spans="1:11" ht="25.5" customHeight="1" x14ac:dyDescent="0.3">
      <c r="A6061" s="382" t="s">
        <v>3444</v>
      </c>
      <c r="B6061" s="312" t="s">
        <v>413</v>
      </c>
      <c r="C6061" s="382" t="s">
        <v>414</v>
      </c>
      <c r="D6061" s="382" t="s">
        <v>415</v>
      </c>
      <c r="E6061" s="586" t="s">
        <v>1029</v>
      </c>
      <c r="F6061" s="586"/>
      <c r="G6061" s="383" t="s">
        <v>416</v>
      </c>
      <c r="H6061" s="312" t="s">
        <v>1030</v>
      </c>
      <c r="I6061" s="312" t="s">
        <v>3016</v>
      </c>
      <c r="J6061" s="312" t="s">
        <v>1031</v>
      </c>
      <c r="K6061" s="312" t="s">
        <v>1032</v>
      </c>
    </row>
    <row r="6062" spans="1:11" ht="25.5" customHeight="1" x14ac:dyDescent="0.3">
      <c r="A6062" s="313" t="s">
        <v>1033</v>
      </c>
      <c r="B6062" s="315" t="s">
        <v>2942</v>
      </c>
      <c r="C6062" s="313" t="s">
        <v>2661</v>
      </c>
      <c r="D6062" s="313" t="s">
        <v>2685</v>
      </c>
      <c r="E6062" s="603" t="s">
        <v>3134</v>
      </c>
      <c r="F6062" s="603"/>
      <c r="G6062" s="314" t="s">
        <v>4</v>
      </c>
      <c r="H6062" s="399">
        <v>1</v>
      </c>
      <c r="I6062" s="316"/>
      <c r="J6062" s="316">
        <v>559.08000000000004</v>
      </c>
      <c r="K6062" s="316">
        <v>559.08000000000004</v>
      </c>
    </row>
    <row r="6063" spans="1:11" ht="14.25" customHeight="1" x14ac:dyDescent="0.3">
      <c r="A6063" s="400" t="s">
        <v>1038</v>
      </c>
      <c r="B6063" s="401" t="s">
        <v>3135</v>
      </c>
      <c r="C6063" s="400" t="s">
        <v>2661</v>
      </c>
      <c r="D6063" s="400" t="s">
        <v>3136</v>
      </c>
      <c r="E6063" s="605" t="s">
        <v>1039</v>
      </c>
      <c r="F6063" s="605"/>
      <c r="G6063" s="402" t="s">
        <v>486</v>
      </c>
      <c r="H6063" s="403">
        <v>1</v>
      </c>
      <c r="I6063" s="403">
        <v>0</v>
      </c>
      <c r="J6063" s="404">
        <v>322.83999999999997</v>
      </c>
      <c r="K6063" s="404">
        <v>322.83999999999997</v>
      </c>
    </row>
    <row r="6064" spans="1:11" ht="15" x14ac:dyDescent="0.3">
      <c r="A6064" s="400" t="s">
        <v>1038</v>
      </c>
      <c r="B6064" s="401" t="s">
        <v>3137</v>
      </c>
      <c r="C6064" s="400" t="s">
        <v>2661</v>
      </c>
      <c r="D6064" s="400" t="s">
        <v>3138</v>
      </c>
      <c r="E6064" s="605" t="s">
        <v>1039</v>
      </c>
      <c r="F6064" s="605"/>
      <c r="G6064" s="402" t="s">
        <v>486</v>
      </c>
      <c r="H6064" s="403">
        <v>3</v>
      </c>
      <c r="I6064" s="403">
        <v>0</v>
      </c>
      <c r="J6064" s="404">
        <v>34.96</v>
      </c>
      <c r="K6064" s="404">
        <v>104.88</v>
      </c>
    </row>
    <row r="6065" spans="1:11" ht="14.25" customHeight="1" x14ac:dyDescent="0.3">
      <c r="A6065" s="400" t="s">
        <v>1038</v>
      </c>
      <c r="B6065" s="401" t="s">
        <v>3141</v>
      </c>
      <c r="C6065" s="400" t="s">
        <v>2661</v>
      </c>
      <c r="D6065" s="400" t="s">
        <v>3142</v>
      </c>
      <c r="E6065" s="605" t="s">
        <v>1053</v>
      </c>
      <c r="F6065" s="605"/>
      <c r="G6065" s="402" t="s">
        <v>6</v>
      </c>
      <c r="H6065" s="403">
        <v>2</v>
      </c>
      <c r="I6065" s="403">
        <v>0</v>
      </c>
      <c r="J6065" s="404">
        <v>29.854900000000001</v>
      </c>
      <c r="K6065" s="404">
        <v>59.709800000000001</v>
      </c>
    </row>
    <row r="6066" spans="1:11" ht="15" customHeight="1" x14ac:dyDescent="0.3">
      <c r="A6066" s="400" t="s">
        <v>1038</v>
      </c>
      <c r="B6066" s="401" t="s">
        <v>3139</v>
      </c>
      <c r="C6066" s="400" t="s">
        <v>2661</v>
      </c>
      <c r="D6066" s="400" t="s">
        <v>3140</v>
      </c>
      <c r="E6066" s="605" t="s">
        <v>1053</v>
      </c>
      <c r="F6066" s="605"/>
      <c r="G6066" s="402" t="s">
        <v>6</v>
      </c>
      <c r="H6066" s="403">
        <v>2</v>
      </c>
      <c r="I6066" s="403">
        <v>0</v>
      </c>
      <c r="J6066" s="404">
        <v>35.825899999999997</v>
      </c>
      <c r="K6066" s="404">
        <v>71.651799999999994</v>
      </c>
    </row>
    <row r="6067" spans="1:11" ht="30" customHeight="1" x14ac:dyDescent="0.3">
      <c r="A6067" s="405"/>
      <c r="B6067" s="405"/>
      <c r="C6067" s="405"/>
      <c r="D6067" s="405"/>
      <c r="E6067" s="405" t="s">
        <v>1046</v>
      </c>
      <c r="F6067" s="406">
        <v>131.36000000000001</v>
      </c>
      <c r="G6067" s="405" t="s">
        <v>1047</v>
      </c>
      <c r="H6067" s="406">
        <v>0</v>
      </c>
      <c r="I6067" s="405" t="s">
        <v>1048</v>
      </c>
      <c r="J6067" s="406">
        <v>131.36000000000001</v>
      </c>
      <c r="K6067"/>
    </row>
    <row r="6068" spans="1:11" ht="15.6" thickBot="1" x14ac:dyDescent="0.35">
      <c r="A6068" s="405"/>
      <c r="B6068" s="405"/>
      <c r="C6068" s="405"/>
      <c r="D6068" s="405"/>
      <c r="E6068" s="405" t="s">
        <v>1049</v>
      </c>
      <c r="F6068" s="406">
        <v>0</v>
      </c>
      <c r="G6068" s="405"/>
      <c r="H6068" s="606"/>
      <c r="I6068" s="606" t="s">
        <v>1050</v>
      </c>
      <c r="J6068" s="406">
        <v>559.08000000000004</v>
      </c>
      <c r="K6068"/>
    </row>
    <row r="6069" spans="1:11" ht="25.5" customHeight="1" thickTop="1" x14ac:dyDescent="0.3">
      <c r="A6069" s="407"/>
      <c r="B6069" s="407"/>
      <c r="C6069" s="407"/>
      <c r="D6069" s="407"/>
      <c r="E6069" s="407"/>
      <c r="F6069" s="407"/>
      <c r="G6069" s="407"/>
      <c r="H6069" s="407"/>
      <c r="I6069" s="407"/>
      <c r="J6069" s="407"/>
      <c r="K6069" s="407"/>
    </row>
    <row r="6070" spans="1:11" ht="25.5" customHeight="1" x14ac:dyDescent="0.3">
      <c r="A6070" s="382" t="s">
        <v>3445</v>
      </c>
      <c r="B6070" s="312" t="s">
        <v>413</v>
      </c>
      <c r="C6070" s="382" t="s">
        <v>414</v>
      </c>
      <c r="D6070" s="382" t="s">
        <v>415</v>
      </c>
      <c r="E6070" s="586" t="s">
        <v>1029</v>
      </c>
      <c r="F6070" s="586"/>
      <c r="G6070" s="383" t="s">
        <v>416</v>
      </c>
      <c r="H6070" s="312" t="s">
        <v>1030</v>
      </c>
      <c r="I6070" s="312" t="s">
        <v>3016</v>
      </c>
      <c r="J6070" s="312" t="s">
        <v>1031</v>
      </c>
      <c r="K6070" s="312" t="s">
        <v>1032</v>
      </c>
    </row>
    <row r="6071" spans="1:11" ht="14.25" customHeight="1" x14ac:dyDescent="0.3">
      <c r="A6071" s="313" t="s">
        <v>1033</v>
      </c>
      <c r="B6071" s="315" t="s">
        <v>2167</v>
      </c>
      <c r="C6071" s="313" t="s">
        <v>408</v>
      </c>
      <c r="D6071" s="313" t="s">
        <v>6101</v>
      </c>
      <c r="E6071" s="603" t="s">
        <v>2256</v>
      </c>
      <c r="F6071" s="603"/>
      <c r="G6071" s="314" t="s">
        <v>7</v>
      </c>
      <c r="H6071" s="399">
        <v>1</v>
      </c>
      <c r="I6071" s="316"/>
      <c r="J6071" s="316">
        <v>34.72</v>
      </c>
      <c r="K6071" s="316">
        <v>34.72</v>
      </c>
    </row>
    <row r="6072" spans="1:11" ht="17.399999999999999" customHeight="1" x14ac:dyDescent="0.3">
      <c r="A6072" s="400" t="s">
        <v>1038</v>
      </c>
      <c r="B6072" s="401" t="s">
        <v>1126</v>
      </c>
      <c r="C6072" s="400" t="s">
        <v>408</v>
      </c>
      <c r="D6072" s="400" t="s">
        <v>1127</v>
      </c>
      <c r="E6072" s="605" t="s">
        <v>1039</v>
      </c>
      <c r="F6072" s="605"/>
      <c r="G6072" s="402" t="s">
        <v>7</v>
      </c>
      <c r="H6072" s="403">
        <v>1.1000000000000001</v>
      </c>
      <c r="I6072" s="403">
        <v>0</v>
      </c>
      <c r="J6072" s="404">
        <v>8.39</v>
      </c>
      <c r="K6072" s="404">
        <v>9.2289999999999992</v>
      </c>
    </row>
    <row r="6073" spans="1:11" ht="25.5" customHeight="1" x14ac:dyDescent="0.3">
      <c r="A6073" s="400" t="s">
        <v>1038</v>
      </c>
      <c r="B6073" s="401" t="s">
        <v>2463</v>
      </c>
      <c r="C6073" s="400" t="s">
        <v>408</v>
      </c>
      <c r="D6073" s="400" t="s">
        <v>2464</v>
      </c>
      <c r="E6073" s="605" t="s">
        <v>1039</v>
      </c>
      <c r="F6073" s="605"/>
      <c r="G6073" s="402" t="s">
        <v>4</v>
      </c>
      <c r="H6073" s="403">
        <v>0.35</v>
      </c>
      <c r="I6073" s="403">
        <v>0</v>
      </c>
      <c r="J6073" s="404">
        <v>5.22</v>
      </c>
      <c r="K6073" s="404">
        <v>1.827</v>
      </c>
    </row>
    <row r="6074" spans="1:11" ht="25.5" customHeight="1" x14ac:dyDescent="0.3">
      <c r="A6074" s="400" t="s">
        <v>1038</v>
      </c>
      <c r="B6074" s="401" t="s">
        <v>2465</v>
      </c>
      <c r="C6074" s="400" t="s">
        <v>408</v>
      </c>
      <c r="D6074" s="400" t="s">
        <v>2466</v>
      </c>
      <c r="E6074" s="605" t="s">
        <v>1039</v>
      </c>
      <c r="F6074" s="605"/>
      <c r="G6074" s="402" t="s">
        <v>4</v>
      </c>
      <c r="H6074" s="403">
        <v>0.7</v>
      </c>
      <c r="I6074" s="403">
        <v>0</v>
      </c>
      <c r="J6074" s="404">
        <v>1.38</v>
      </c>
      <c r="K6074" s="404">
        <v>0.96599999999999997</v>
      </c>
    </row>
    <row r="6075" spans="1:11" ht="15" customHeight="1" x14ac:dyDescent="0.3">
      <c r="A6075" s="400" t="s">
        <v>1038</v>
      </c>
      <c r="B6075" s="401" t="s">
        <v>7659</v>
      </c>
      <c r="C6075" s="400" t="s">
        <v>408</v>
      </c>
      <c r="D6075" s="400" t="s">
        <v>7660</v>
      </c>
      <c r="E6075" s="605" t="s">
        <v>1039</v>
      </c>
      <c r="F6075" s="605"/>
      <c r="G6075" s="402" t="s">
        <v>7</v>
      </c>
      <c r="H6075" s="403">
        <v>1.2</v>
      </c>
      <c r="I6075" s="403">
        <v>0</v>
      </c>
      <c r="J6075" s="404">
        <v>0.16</v>
      </c>
      <c r="K6075" s="404">
        <v>0.192</v>
      </c>
    </row>
    <row r="6076" spans="1:11" ht="15" x14ac:dyDescent="0.3">
      <c r="A6076" s="400" t="s">
        <v>1038</v>
      </c>
      <c r="B6076" s="401" t="s">
        <v>6207</v>
      </c>
      <c r="C6076" s="400" t="s">
        <v>408</v>
      </c>
      <c r="D6076" s="400" t="s">
        <v>1093</v>
      </c>
      <c r="E6076" s="605" t="s">
        <v>1053</v>
      </c>
      <c r="F6076" s="605"/>
      <c r="G6076" s="402" t="s">
        <v>6</v>
      </c>
      <c r="H6076" s="403">
        <v>0.432</v>
      </c>
      <c r="I6076" s="403">
        <v>0</v>
      </c>
      <c r="J6076" s="404">
        <v>30.51</v>
      </c>
      <c r="K6076" s="404">
        <v>13.18032</v>
      </c>
    </row>
    <row r="6077" spans="1:11" ht="25.5" customHeight="1" x14ac:dyDescent="0.3">
      <c r="A6077" s="400" t="s">
        <v>1038</v>
      </c>
      <c r="B6077" s="401" t="s">
        <v>6196</v>
      </c>
      <c r="C6077" s="400" t="s">
        <v>408</v>
      </c>
      <c r="D6077" s="400" t="s">
        <v>1139</v>
      </c>
      <c r="E6077" s="605" t="s">
        <v>1053</v>
      </c>
      <c r="F6077" s="605"/>
      <c r="G6077" s="402" t="s">
        <v>6</v>
      </c>
      <c r="H6077" s="403">
        <v>0.432</v>
      </c>
      <c r="I6077" s="403">
        <v>0</v>
      </c>
      <c r="J6077" s="404">
        <v>21.59</v>
      </c>
      <c r="K6077" s="404">
        <v>9.3268799999999992</v>
      </c>
    </row>
    <row r="6078" spans="1:11" ht="25.5" customHeight="1" x14ac:dyDescent="0.3">
      <c r="A6078" s="405"/>
      <c r="B6078" s="405"/>
      <c r="C6078" s="405"/>
      <c r="D6078" s="405"/>
      <c r="E6078" s="405" t="s">
        <v>1046</v>
      </c>
      <c r="F6078" s="406">
        <v>22.51</v>
      </c>
      <c r="G6078" s="405" t="s">
        <v>1047</v>
      </c>
      <c r="H6078" s="406">
        <v>0</v>
      </c>
      <c r="I6078" s="405" t="s">
        <v>1048</v>
      </c>
      <c r="J6078" s="406">
        <v>22.51</v>
      </c>
      <c r="K6078"/>
    </row>
    <row r="6079" spans="1:11" ht="15.6" thickBot="1" x14ac:dyDescent="0.35">
      <c r="A6079" s="405"/>
      <c r="B6079" s="405"/>
      <c r="C6079" s="405"/>
      <c r="D6079" s="405"/>
      <c r="E6079" s="405" t="s">
        <v>1049</v>
      </c>
      <c r="F6079" s="406">
        <v>0</v>
      </c>
      <c r="G6079" s="405"/>
      <c r="H6079" s="606"/>
      <c r="I6079" s="606" t="s">
        <v>1050</v>
      </c>
      <c r="J6079" s="406">
        <v>34.72</v>
      </c>
      <c r="K6079"/>
    </row>
    <row r="6080" spans="1:11" ht="14.25" customHeight="1" thickTop="1" x14ac:dyDescent="0.3">
      <c r="A6080" s="407"/>
      <c r="B6080" s="407"/>
      <c r="C6080" s="407"/>
      <c r="D6080" s="407"/>
      <c r="E6080" s="407"/>
      <c r="F6080" s="407"/>
      <c r="G6080" s="407"/>
      <c r="H6080" s="407"/>
      <c r="I6080" s="407"/>
      <c r="J6080" s="407"/>
      <c r="K6080" s="407"/>
    </row>
    <row r="6081" spans="1:11" ht="25.5" customHeight="1" x14ac:dyDescent="0.3">
      <c r="A6081" s="382" t="s">
        <v>3446</v>
      </c>
      <c r="B6081" s="312" t="s">
        <v>413</v>
      </c>
      <c r="C6081" s="382" t="s">
        <v>414</v>
      </c>
      <c r="D6081" s="382" t="s">
        <v>415</v>
      </c>
      <c r="E6081" s="586" t="s">
        <v>1029</v>
      </c>
      <c r="F6081" s="586"/>
      <c r="G6081" s="383" t="s">
        <v>416</v>
      </c>
      <c r="H6081" s="312" t="s">
        <v>1030</v>
      </c>
      <c r="I6081" s="312" t="s">
        <v>3016</v>
      </c>
      <c r="J6081" s="312" t="s">
        <v>1031</v>
      </c>
      <c r="K6081" s="312" t="s">
        <v>1032</v>
      </c>
    </row>
    <row r="6082" spans="1:11" ht="25.5" customHeight="1" x14ac:dyDescent="0.3">
      <c r="A6082" s="313" t="s">
        <v>1033</v>
      </c>
      <c r="B6082" s="315" t="s">
        <v>2147</v>
      </c>
      <c r="C6082" s="313" t="s">
        <v>408</v>
      </c>
      <c r="D6082" s="313" t="s">
        <v>6102</v>
      </c>
      <c r="E6082" s="603" t="s">
        <v>2256</v>
      </c>
      <c r="F6082" s="603"/>
      <c r="G6082" s="314" t="s">
        <v>7</v>
      </c>
      <c r="H6082" s="399">
        <v>1</v>
      </c>
      <c r="I6082" s="316"/>
      <c r="J6082" s="316">
        <v>71.05</v>
      </c>
      <c r="K6082" s="316">
        <v>71.05</v>
      </c>
    </row>
    <row r="6083" spans="1:11" ht="15" customHeight="1" x14ac:dyDescent="0.3">
      <c r="A6083" s="400" t="s">
        <v>1038</v>
      </c>
      <c r="B6083" s="401" t="s">
        <v>2418</v>
      </c>
      <c r="C6083" s="400" t="s">
        <v>408</v>
      </c>
      <c r="D6083" s="400" t="s">
        <v>2419</v>
      </c>
      <c r="E6083" s="605" t="s">
        <v>1039</v>
      </c>
      <c r="F6083" s="605"/>
      <c r="G6083" s="402" t="s">
        <v>4</v>
      </c>
      <c r="H6083" s="403">
        <v>0.3</v>
      </c>
      <c r="I6083" s="403">
        <v>0</v>
      </c>
      <c r="J6083" s="404">
        <v>4.87</v>
      </c>
      <c r="K6083" s="404">
        <v>1.4610000000000001</v>
      </c>
    </row>
    <row r="6084" spans="1:11" ht="12.75" customHeight="1" x14ac:dyDescent="0.3">
      <c r="A6084" s="400" t="s">
        <v>1038</v>
      </c>
      <c r="B6084" s="401" t="s">
        <v>7437</v>
      </c>
      <c r="C6084" s="400" t="s">
        <v>408</v>
      </c>
      <c r="D6084" s="400" t="s">
        <v>7438</v>
      </c>
      <c r="E6084" s="605" t="s">
        <v>1039</v>
      </c>
      <c r="F6084" s="605"/>
      <c r="G6084" s="402" t="s">
        <v>422</v>
      </c>
      <c r="H6084" s="403">
        <v>0.35</v>
      </c>
      <c r="I6084" s="403">
        <v>0</v>
      </c>
      <c r="J6084" s="404">
        <v>15.43</v>
      </c>
      <c r="K6084" s="404">
        <v>5.4005000000000001</v>
      </c>
    </row>
    <row r="6085" spans="1:11" ht="25.5" customHeight="1" x14ac:dyDescent="0.3">
      <c r="A6085" s="400" t="s">
        <v>1038</v>
      </c>
      <c r="B6085" s="401" t="s">
        <v>6990</v>
      </c>
      <c r="C6085" s="400" t="s">
        <v>408</v>
      </c>
      <c r="D6085" s="400" t="s">
        <v>6991</v>
      </c>
      <c r="E6085" s="605" t="s">
        <v>1039</v>
      </c>
      <c r="F6085" s="605"/>
      <c r="G6085" s="402" t="s">
        <v>7</v>
      </c>
      <c r="H6085" s="403">
        <v>1.1000000000000001</v>
      </c>
      <c r="I6085" s="403">
        <v>0</v>
      </c>
      <c r="J6085" s="404">
        <v>31.8</v>
      </c>
      <c r="K6085" s="404">
        <v>34.979999999999997</v>
      </c>
    </row>
    <row r="6086" spans="1:11" ht="25.5" customHeight="1" x14ac:dyDescent="0.3">
      <c r="A6086" s="400" t="s">
        <v>1038</v>
      </c>
      <c r="B6086" s="401" t="s">
        <v>7659</v>
      </c>
      <c r="C6086" s="400" t="s">
        <v>408</v>
      </c>
      <c r="D6086" s="400" t="s">
        <v>7660</v>
      </c>
      <c r="E6086" s="605" t="s">
        <v>1039</v>
      </c>
      <c r="F6086" s="605"/>
      <c r="G6086" s="402" t="s">
        <v>7</v>
      </c>
      <c r="H6086" s="403">
        <v>1.2</v>
      </c>
      <c r="I6086" s="403">
        <v>0</v>
      </c>
      <c r="J6086" s="404">
        <v>0.16</v>
      </c>
      <c r="K6086" s="404">
        <v>0.192</v>
      </c>
    </row>
    <row r="6087" spans="1:11" ht="14.25" customHeight="1" x14ac:dyDescent="0.3">
      <c r="A6087" s="400" t="s">
        <v>1038</v>
      </c>
      <c r="B6087" s="401" t="s">
        <v>6207</v>
      </c>
      <c r="C6087" s="400" t="s">
        <v>408</v>
      </c>
      <c r="D6087" s="400" t="s">
        <v>1093</v>
      </c>
      <c r="E6087" s="605" t="s">
        <v>1053</v>
      </c>
      <c r="F6087" s="605"/>
      <c r="G6087" s="402" t="s">
        <v>6</v>
      </c>
      <c r="H6087" s="403">
        <v>0.55700000000000005</v>
      </c>
      <c r="I6087" s="403">
        <v>0</v>
      </c>
      <c r="J6087" s="404">
        <v>30.51</v>
      </c>
      <c r="K6087" s="404">
        <v>16.994070000000001</v>
      </c>
    </row>
    <row r="6088" spans="1:11" ht="15" x14ac:dyDescent="0.3">
      <c r="A6088" s="400" t="s">
        <v>1038</v>
      </c>
      <c r="B6088" s="401" t="s">
        <v>6196</v>
      </c>
      <c r="C6088" s="400" t="s">
        <v>408</v>
      </c>
      <c r="D6088" s="400" t="s">
        <v>1139</v>
      </c>
      <c r="E6088" s="605" t="s">
        <v>1053</v>
      </c>
      <c r="F6088" s="605"/>
      <c r="G6088" s="402" t="s">
        <v>6</v>
      </c>
      <c r="H6088" s="403">
        <v>0.55700000000000005</v>
      </c>
      <c r="I6088" s="403">
        <v>0</v>
      </c>
      <c r="J6088" s="404">
        <v>21.59</v>
      </c>
      <c r="K6088" s="404">
        <v>12.02563</v>
      </c>
    </row>
    <row r="6089" spans="1:11" ht="14.25" customHeight="1" x14ac:dyDescent="0.3">
      <c r="A6089" s="405"/>
      <c r="B6089" s="405"/>
      <c r="C6089" s="405"/>
      <c r="D6089" s="405"/>
      <c r="E6089" s="405" t="s">
        <v>1046</v>
      </c>
      <c r="F6089" s="406">
        <v>29.02</v>
      </c>
      <c r="G6089" s="405" t="s">
        <v>1047</v>
      </c>
      <c r="H6089" s="406">
        <v>0</v>
      </c>
      <c r="I6089" s="405" t="s">
        <v>1048</v>
      </c>
      <c r="J6089" s="406">
        <v>29.02</v>
      </c>
      <c r="K6089"/>
    </row>
    <row r="6090" spans="1:11" ht="15.6" thickBot="1" x14ac:dyDescent="0.35">
      <c r="A6090" s="405"/>
      <c r="B6090" s="405"/>
      <c r="C6090" s="405"/>
      <c r="D6090" s="405"/>
      <c r="E6090" s="405" t="s">
        <v>1049</v>
      </c>
      <c r="F6090" s="406">
        <v>0</v>
      </c>
      <c r="G6090" s="405"/>
      <c r="H6090" s="606"/>
      <c r="I6090" s="606" t="s">
        <v>1050</v>
      </c>
      <c r="J6090" s="406">
        <v>71.05</v>
      </c>
      <c r="K6090"/>
    </row>
    <row r="6091" spans="1:11" ht="15" customHeight="1" thickTop="1" x14ac:dyDescent="0.3">
      <c r="A6091" s="407"/>
      <c r="B6091" s="407"/>
      <c r="C6091" s="407"/>
      <c r="D6091" s="407"/>
      <c r="E6091" s="407"/>
      <c r="F6091" s="407"/>
      <c r="G6091" s="407"/>
      <c r="H6091" s="407"/>
      <c r="I6091" s="407"/>
      <c r="J6091" s="407"/>
      <c r="K6091" s="407"/>
    </row>
    <row r="6092" spans="1:11" ht="25.5" customHeight="1" x14ac:dyDescent="0.3">
      <c r="A6092" s="382" t="s">
        <v>3447</v>
      </c>
      <c r="B6092" s="312" t="s">
        <v>413</v>
      </c>
      <c r="C6092" s="382" t="s">
        <v>414</v>
      </c>
      <c r="D6092" s="382" t="s">
        <v>415</v>
      </c>
      <c r="E6092" s="586" t="s">
        <v>1029</v>
      </c>
      <c r="F6092" s="586"/>
      <c r="G6092" s="383" t="s">
        <v>416</v>
      </c>
      <c r="H6092" s="312" t="s">
        <v>1030</v>
      </c>
      <c r="I6092" s="312" t="s">
        <v>3016</v>
      </c>
      <c r="J6092" s="312" t="s">
        <v>1031</v>
      </c>
      <c r="K6092" s="312" t="s">
        <v>1032</v>
      </c>
    </row>
    <row r="6093" spans="1:11" ht="25.5" customHeight="1" x14ac:dyDescent="0.3">
      <c r="A6093" s="313" t="s">
        <v>1033</v>
      </c>
      <c r="B6093" s="315" t="s">
        <v>2169</v>
      </c>
      <c r="C6093" s="313" t="s">
        <v>408</v>
      </c>
      <c r="D6093" s="313" t="s">
        <v>6103</v>
      </c>
      <c r="E6093" s="603" t="s">
        <v>2256</v>
      </c>
      <c r="F6093" s="603"/>
      <c r="G6093" s="314" t="s">
        <v>7</v>
      </c>
      <c r="H6093" s="399">
        <v>1</v>
      </c>
      <c r="I6093" s="316"/>
      <c r="J6093" s="316">
        <v>99.23</v>
      </c>
      <c r="K6093" s="316">
        <v>99.23</v>
      </c>
    </row>
    <row r="6094" spans="1:11" ht="25.5" customHeight="1" x14ac:dyDescent="0.3">
      <c r="A6094" s="400" t="s">
        <v>1038</v>
      </c>
      <c r="B6094" s="401" t="s">
        <v>2428</v>
      </c>
      <c r="C6094" s="400" t="s">
        <v>408</v>
      </c>
      <c r="D6094" s="400" t="s">
        <v>2429</v>
      </c>
      <c r="E6094" s="605" t="s">
        <v>1039</v>
      </c>
      <c r="F6094" s="605"/>
      <c r="G6094" s="402" t="s">
        <v>4</v>
      </c>
      <c r="H6094" s="403">
        <v>0.35</v>
      </c>
      <c r="I6094" s="403">
        <v>0</v>
      </c>
      <c r="J6094" s="404">
        <v>45.65</v>
      </c>
      <c r="K6094" s="404">
        <v>15.977499999999999</v>
      </c>
    </row>
    <row r="6095" spans="1:11" ht="15" customHeight="1" x14ac:dyDescent="0.3">
      <c r="A6095" s="400" t="s">
        <v>1038</v>
      </c>
      <c r="B6095" s="401" t="s">
        <v>2469</v>
      </c>
      <c r="C6095" s="400" t="s">
        <v>408</v>
      </c>
      <c r="D6095" s="400" t="s">
        <v>2470</v>
      </c>
      <c r="E6095" s="605" t="s">
        <v>1039</v>
      </c>
      <c r="F6095" s="605"/>
      <c r="G6095" s="402" t="s">
        <v>4</v>
      </c>
      <c r="H6095" s="403">
        <v>0.7</v>
      </c>
      <c r="I6095" s="403">
        <v>0</v>
      </c>
      <c r="J6095" s="404">
        <v>8.3699999999999992</v>
      </c>
      <c r="K6095" s="404">
        <v>5.859</v>
      </c>
    </row>
    <row r="6096" spans="1:11" ht="14.25" customHeight="1" x14ac:dyDescent="0.3">
      <c r="A6096" s="400" t="s">
        <v>1038</v>
      </c>
      <c r="B6096" s="401" t="s">
        <v>6928</v>
      </c>
      <c r="C6096" s="400" t="s">
        <v>408</v>
      </c>
      <c r="D6096" s="400" t="s">
        <v>6929</v>
      </c>
      <c r="E6096" s="605" t="s">
        <v>1039</v>
      </c>
      <c r="F6096" s="605"/>
      <c r="G6096" s="402" t="s">
        <v>7</v>
      </c>
      <c r="H6096" s="403">
        <v>1.1000000000000001</v>
      </c>
      <c r="I6096" s="403">
        <v>0</v>
      </c>
      <c r="J6096" s="404">
        <v>41.2</v>
      </c>
      <c r="K6096" s="404">
        <v>45.32</v>
      </c>
    </row>
    <row r="6097" spans="1:11" ht="25.5" customHeight="1" x14ac:dyDescent="0.3">
      <c r="A6097" s="400" t="s">
        <v>1038</v>
      </c>
      <c r="B6097" s="401" t="s">
        <v>7659</v>
      </c>
      <c r="C6097" s="400" t="s">
        <v>408</v>
      </c>
      <c r="D6097" s="400" t="s">
        <v>7660</v>
      </c>
      <c r="E6097" s="605" t="s">
        <v>1039</v>
      </c>
      <c r="F6097" s="605"/>
      <c r="G6097" s="402" t="s">
        <v>7</v>
      </c>
      <c r="H6097" s="403">
        <v>1.2</v>
      </c>
      <c r="I6097" s="403">
        <v>0</v>
      </c>
      <c r="J6097" s="404">
        <v>0.16</v>
      </c>
      <c r="K6097" s="404">
        <v>0.192</v>
      </c>
    </row>
    <row r="6098" spans="1:11" ht="25.5" customHeight="1" x14ac:dyDescent="0.3">
      <c r="A6098" s="400" t="s">
        <v>1038</v>
      </c>
      <c r="B6098" s="401" t="s">
        <v>6207</v>
      </c>
      <c r="C6098" s="400" t="s">
        <v>408</v>
      </c>
      <c r="D6098" s="400" t="s">
        <v>1093</v>
      </c>
      <c r="E6098" s="605" t="s">
        <v>1053</v>
      </c>
      <c r="F6098" s="605"/>
      <c r="G6098" s="402" t="s">
        <v>6</v>
      </c>
      <c r="H6098" s="403">
        <v>0.61199999999999999</v>
      </c>
      <c r="I6098" s="403">
        <v>0</v>
      </c>
      <c r="J6098" s="404">
        <v>30.51</v>
      </c>
      <c r="K6098" s="404">
        <v>18.67212</v>
      </c>
    </row>
    <row r="6099" spans="1:11" ht="25.5" customHeight="1" x14ac:dyDescent="0.3">
      <c r="A6099" s="400" t="s">
        <v>1038</v>
      </c>
      <c r="B6099" s="401" t="s">
        <v>6196</v>
      </c>
      <c r="C6099" s="400" t="s">
        <v>408</v>
      </c>
      <c r="D6099" s="400" t="s">
        <v>1139</v>
      </c>
      <c r="E6099" s="605" t="s">
        <v>1053</v>
      </c>
      <c r="F6099" s="605"/>
      <c r="G6099" s="402" t="s">
        <v>6</v>
      </c>
      <c r="H6099" s="403">
        <v>0.61199999999999999</v>
      </c>
      <c r="I6099" s="403">
        <v>0</v>
      </c>
      <c r="J6099" s="404">
        <v>21.59</v>
      </c>
      <c r="K6099" s="404">
        <v>13.21308</v>
      </c>
    </row>
    <row r="6100" spans="1:11" ht="15" customHeight="1" x14ac:dyDescent="0.3">
      <c r="A6100" s="405"/>
      <c r="B6100" s="405"/>
      <c r="C6100" s="405"/>
      <c r="D6100" s="405"/>
      <c r="E6100" s="405" t="s">
        <v>1046</v>
      </c>
      <c r="F6100" s="406">
        <v>31.88</v>
      </c>
      <c r="G6100" s="405" t="s">
        <v>1047</v>
      </c>
      <c r="H6100" s="406">
        <v>0</v>
      </c>
      <c r="I6100" s="405" t="s">
        <v>1048</v>
      </c>
      <c r="J6100" s="406">
        <v>31.88</v>
      </c>
      <c r="K6100"/>
    </row>
    <row r="6101" spans="1:11" ht="25.5" customHeight="1" thickBot="1" x14ac:dyDescent="0.35">
      <c r="A6101" s="405"/>
      <c r="B6101" s="405"/>
      <c r="C6101" s="405"/>
      <c r="D6101" s="405"/>
      <c r="E6101" s="405" t="s">
        <v>1049</v>
      </c>
      <c r="F6101" s="406">
        <v>0</v>
      </c>
      <c r="G6101" s="405"/>
      <c r="H6101" s="606"/>
      <c r="I6101" s="606" t="s">
        <v>1050</v>
      </c>
      <c r="J6101" s="406">
        <v>99.23</v>
      </c>
      <c r="K6101"/>
    </row>
    <row r="6102" spans="1:11" ht="25.5" customHeight="1" thickTop="1" x14ac:dyDescent="0.3">
      <c r="A6102" s="407"/>
      <c r="B6102" s="407"/>
      <c r="C6102" s="407"/>
      <c r="D6102" s="407"/>
      <c r="E6102" s="407"/>
      <c r="F6102" s="407"/>
      <c r="G6102" s="407"/>
      <c r="H6102" s="407"/>
      <c r="I6102" s="407"/>
      <c r="J6102" s="407"/>
      <c r="K6102" s="407"/>
    </row>
    <row r="6103" spans="1:11" ht="15" x14ac:dyDescent="0.3">
      <c r="A6103" s="382" t="s">
        <v>3448</v>
      </c>
      <c r="B6103" s="312" t="s">
        <v>413</v>
      </c>
      <c r="C6103" s="382" t="s">
        <v>414</v>
      </c>
      <c r="D6103" s="382" t="s">
        <v>415</v>
      </c>
      <c r="E6103" s="586" t="s">
        <v>1029</v>
      </c>
      <c r="F6103" s="586"/>
      <c r="G6103" s="383" t="s">
        <v>416</v>
      </c>
      <c r="H6103" s="312" t="s">
        <v>1030</v>
      </c>
      <c r="I6103" s="312" t="s">
        <v>3016</v>
      </c>
      <c r="J6103" s="312" t="s">
        <v>1031</v>
      </c>
      <c r="K6103" s="312" t="s">
        <v>1032</v>
      </c>
    </row>
    <row r="6104" spans="1:11" ht="15" customHeight="1" x14ac:dyDescent="0.3">
      <c r="A6104" s="313" t="s">
        <v>1033</v>
      </c>
      <c r="B6104" s="315" t="s">
        <v>2148</v>
      </c>
      <c r="C6104" s="313" t="s">
        <v>408</v>
      </c>
      <c r="D6104" s="313" t="s">
        <v>1834</v>
      </c>
      <c r="E6104" s="603" t="s">
        <v>2257</v>
      </c>
      <c r="F6104" s="603"/>
      <c r="G6104" s="314" t="s">
        <v>4</v>
      </c>
      <c r="H6104" s="399">
        <v>1</v>
      </c>
      <c r="I6104" s="316"/>
      <c r="J6104" s="316">
        <v>34.06</v>
      </c>
      <c r="K6104" s="316">
        <v>34.06</v>
      </c>
    </row>
    <row r="6105" spans="1:11" ht="25.5" customHeight="1" x14ac:dyDescent="0.3">
      <c r="A6105" s="408" t="s">
        <v>1034</v>
      </c>
      <c r="B6105" s="409" t="s">
        <v>1037</v>
      </c>
      <c r="C6105" s="408" t="s">
        <v>395</v>
      </c>
      <c r="D6105" s="408" t="s">
        <v>135</v>
      </c>
      <c r="E6105" s="604" t="s">
        <v>7768</v>
      </c>
      <c r="F6105" s="604"/>
      <c r="G6105" s="410" t="s">
        <v>6</v>
      </c>
      <c r="H6105" s="412">
        <v>0.371</v>
      </c>
      <c r="I6105" s="412">
        <v>0</v>
      </c>
      <c r="J6105" s="411">
        <v>41.81</v>
      </c>
      <c r="K6105" s="411">
        <v>15.511509999999999</v>
      </c>
    </row>
    <row r="6106" spans="1:11" ht="25.5" customHeight="1" x14ac:dyDescent="0.3">
      <c r="A6106" s="408" t="s">
        <v>1034</v>
      </c>
      <c r="B6106" s="409" t="s">
        <v>1035</v>
      </c>
      <c r="C6106" s="408" t="s">
        <v>395</v>
      </c>
      <c r="D6106" s="408" t="s">
        <v>128</v>
      </c>
      <c r="E6106" s="604" t="s">
        <v>7768</v>
      </c>
      <c r="F6106" s="604"/>
      <c r="G6106" s="410" t="s">
        <v>6</v>
      </c>
      <c r="H6106" s="412">
        <v>0.371</v>
      </c>
      <c r="I6106" s="412">
        <v>0</v>
      </c>
      <c r="J6106" s="411">
        <v>34.5</v>
      </c>
      <c r="K6106" s="411">
        <v>12.7995</v>
      </c>
    </row>
    <row r="6107" spans="1:11" ht="15" customHeight="1" x14ac:dyDescent="0.3">
      <c r="A6107" s="400" t="s">
        <v>1038</v>
      </c>
      <c r="B6107" s="401" t="s">
        <v>2426</v>
      </c>
      <c r="C6107" s="400" t="s">
        <v>408</v>
      </c>
      <c r="D6107" s="400" t="s">
        <v>2427</v>
      </c>
      <c r="E6107" s="605" t="s">
        <v>1039</v>
      </c>
      <c r="F6107" s="605"/>
      <c r="G6107" s="402" t="s">
        <v>4</v>
      </c>
      <c r="H6107" s="403">
        <v>1</v>
      </c>
      <c r="I6107" s="403">
        <v>0</v>
      </c>
      <c r="J6107" s="404">
        <v>5.75</v>
      </c>
      <c r="K6107" s="404">
        <v>5.75</v>
      </c>
    </row>
    <row r="6108" spans="1:11" ht="45" customHeight="1" x14ac:dyDescent="0.3">
      <c r="A6108" s="405"/>
      <c r="B6108" s="405"/>
      <c r="C6108" s="405"/>
      <c r="D6108" s="405"/>
      <c r="E6108" s="405" t="s">
        <v>1046</v>
      </c>
      <c r="F6108" s="406">
        <v>20.65</v>
      </c>
      <c r="G6108" s="405" t="s">
        <v>1047</v>
      </c>
      <c r="H6108" s="406">
        <v>0</v>
      </c>
      <c r="I6108" s="405" t="s">
        <v>1048</v>
      </c>
      <c r="J6108" s="406">
        <v>20.65</v>
      </c>
      <c r="K6108"/>
    </row>
    <row r="6109" spans="1:11" ht="14.25" customHeight="1" thickBot="1" x14ac:dyDescent="0.35">
      <c r="A6109" s="405"/>
      <c r="B6109" s="405"/>
      <c r="C6109" s="405"/>
      <c r="D6109" s="405"/>
      <c r="E6109" s="405" t="s">
        <v>1049</v>
      </c>
      <c r="F6109" s="406">
        <v>0</v>
      </c>
      <c r="G6109" s="405"/>
      <c r="H6109" s="606"/>
      <c r="I6109" s="606" t="s">
        <v>1050</v>
      </c>
      <c r="J6109" s="406">
        <v>34.06</v>
      </c>
      <c r="K6109"/>
    </row>
    <row r="6110" spans="1:11" ht="25.5" customHeight="1" thickTop="1" x14ac:dyDescent="0.3">
      <c r="A6110" s="407"/>
      <c r="B6110" s="407"/>
      <c r="C6110" s="407"/>
      <c r="D6110" s="407"/>
      <c r="E6110" s="407"/>
      <c r="F6110" s="407"/>
      <c r="G6110" s="407"/>
      <c r="H6110" s="407"/>
      <c r="I6110" s="407"/>
      <c r="J6110" s="407"/>
      <c r="K6110" s="407"/>
    </row>
    <row r="6111" spans="1:11" ht="25.5" customHeight="1" x14ac:dyDescent="0.3">
      <c r="A6111" s="382" t="s">
        <v>3449</v>
      </c>
      <c r="B6111" s="312" t="s">
        <v>413</v>
      </c>
      <c r="C6111" s="382" t="s">
        <v>414</v>
      </c>
      <c r="D6111" s="382" t="s">
        <v>415</v>
      </c>
      <c r="E6111" s="586" t="s">
        <v>1029</v>
      </c>
      <c r="F6111" s="586"/>
      <c r="G6111" s="383" t="s">
        <v>416</v>
      </c>
      <c r="H6111" s="312" t="s">
        <v>1030</v>
      </c>
      <c r="I6111" s="312" t="s">
        <v>3016</v>
      </c>
      <c r="J6111" s="312" t="s">
        <v>1031</v>
      </c>
      <c r="K6111" s="312" t="s">
        <v>1032</v>
      </c>
    </row>
    <row r="6112" spans="1:11" ht="25.5" customHeight="1" x14ac:dyDescent="0.3">
      <c r="A6112" s="313" t="s">
        <v>1033</v>
      </c>
      <c r="B6112" s="315" t="s">
        <v>2150</v>
      </c>
      <c r="C6112" s="313" t="s">
        <v>408</v>
      </c>
      <c r="D6112" s="313" t="s">
        <v>6104</v>
      </c>
      <c r="E6112" s="603" t="s">
        <v>2256</v>
      </c>
      <c r="F6112" s="603"/>
      <c r="G6112" s="314" t="s">
        <v>7</v>
      </c>
      <c r="H6112" s="399">
        <v>1</v>
      </c>
      <c r="I6112" s="316"/>
      <c r="J6112" s="316">
        <v>10.43</v>
      </c>
      <c r="K6112" s="316">
        <v>10.43</v>
      </c>
    </row>
    <row r="6113" spans="1:11" ht="25.5" customHeight="1" x14ac:dyDescent="0.3">
      <c r="A6113" s="400" t="s">
        <v>1038</v>
      </c>
      <c r="B6113" s="401" t="s">
        <v>2430</v>
      </c>
      <c r="C6113" s="400" t="s">
        <v>408</v>
      </c>
      <c r="D6113" s="400" t="s">
        <v>2431</v>
      </c>
      <c r="E6113" s="605" t="s">
        <v>1039</v>
      </c>
      <c r="F6113" s="605"/>
      <c r="G6113" s="402" t="s">
        <v>7</v>
      </c>
      <c r="H6113" s="403">
        <v>1.1000000000000001</v>
      </c>
      <c r="I6113" s="403">
        <v>0</v>
      </c>
      <c r="J6113" s="404">
        <v>4.08</v>
      </c>
      <c r="K6113" s="404">
        <v>4.4880000000000004</v>
      </c>
    </row>
    <row r="6114" spans="1:11" ht="25.5" customHeight="1" x14ac:dyDescent="0.3">
      <c r="A6114" s="400" t="s">
        <v>1038</v>
      </c>
      <c r="B6114" s="401" t="s">
        <v>6207</v>
      </c>
      <c r="C6114" s="400" t="s">
        <v>408</v>
      </c>
      <c r="D6114" s="400" t="s">
        <v>1093</v>
      </c>
      <c r="E6114" s="605" t="s">
        <v>1053</v>
      </c>
      <c r="F6114" s="605"/>
      <c r="G6114" s="402" t="s">
        <v>6</v>
      </c>
      <c r="H6114" s="403">
        <v>0.114</v>
      </c>
      <c r="I6114" s="403">
        <v>0</v>
      </c>
      <c r="J6114" s="404">
        <v>30.51</v>
      </c>
      <c r="K6114" s="404">
        <v>3.4781399999999998</v>
      </c>
    </row>
    <row r="6115" spans="1:11" ht="25.5" customHeight="1" x14ac:dyDescent="0.3">
      <c r="A6115" s="400" t="s">
        <v>1038</v>
      </c>
      <c r="B6115" s="401" t="s">
        <v>6196</v>
      </c>
      <c r="C6115" s="400" t="s">
        <v>408</v>
      </c>
      <c r="D6115" s="400" t="s">
        <v>1139</v>
      </c>
      <c r="E6115" s="605" t="s">
        <v>1053</v>
      </c>
      <c r="F6115" s="605"/>
      <c r="G6115" s="402" t="s">
        <v>6</v>
      </c>
      <c r="H6115" s="403">
        <v>0.114</v>
      </c>
      <c r="I6115" s="403">
        <v>0</v>
      </c>
      <c r="J6115" s="404">
        <v>21.59</v>
      </c>
      <c r="K6115" s="404">
        <v>2.4612599999999998</v>
      </c>
    </row>
    <row r="6116" spans="1:11" ht="15" customHeight="1" x14ac:dyDescent="0.3">
      <c r="A6116" s="405"/>
      <c r="B6116" s="405"/>
      <c r="C6116" s="405"/>
      <c r="D6116" s="405"/>
      <c r="E6116" s="405" t="s">
        <v>1046</v>
      </c>
      <c r="F6116" s="406">
        <v>5.94</v>
      </c>
      <c r="G6116" s="405" t="s">
        <v>1047</v>
      </c>
      <c r="H6116" s="406">
        <v>0</v>
      </c>
      <c r="I6116" s="405" t="s">
        <v>1048</v>
      </c>
      <c r="J6116" s="406">
        <v>5.94</v>
      </c>
      <c r="K6116"/>
    </row>
    <row r="6117" spans="1:11" ht="25.5" customHeight="1" thickBot="1" x14ac:dyDescent="0.35">
      <c r="A6117" s="405"/>
      <c r="B6117" s="405"/>
      <c r="C6117" s="405"/>
      <c r="D6117" s="405"/>
      <c r="E6117" s="405" t="s">
        <v>1049</v>
      </c>
      <c r="F6117" s="406">
        <v>0</v>
      </c>
      <c r="G6117" s="405"/>
      <c r="H6117" s="606"/>
      <c r="I6117" s="606" t="s">
        <v>1050</v>
      </c>
      <c r="J6117" s="406">
        <v>10.43</v>
      </c>
      <c r="K6117"/>
    </row>
    <row r="6118" spans="1:11" ht="25.5" customHeight="1" thickTop="1" x14ac:dyDescent="0.3">
      <c r="A6118" s="407"/>
      <c r="B6118" s="407"/>
      <c r="C6118" s="407"/>
      <c r="D6118" s="407"/>
      <c r="E6118" s="407"/>
      <c r="F6118" s="407"/>
      <c r="G6118" s="407"/>
      <c r="H6118" s="407"/>
      <c r="I6118" s="407"/>
      <c r="J6118" s="407"/>
      <c r="K6118" s="407"/>
    </row>
    <row r="6119" spans="1:11" ht="14.25" customHeight="1" x14ac:dyDescent="0.3">
      <c r="A6119" s="382" t="s">
        <v>2159</v>
      </c>
      <c r="B6119" s="312" t="s">
        <v>413</v>
      </c>
      <c r="C6119" s="382" t="s">
        <v>414</v>
      </c>
      <c r="D6119" s="382" t="s">
        <v>415</v>
      </c>
      <c r="E6119" s="586" t="s">
        <v>1029</v>
      </c>
      <c r="F6119" s="586"/>
      <c r="G6119" s="383" t="s">
        <v>416</v>
      </c>
      <c r="H6119" s="312" t="s">
        <v>1030</v>
      </c>
      <c r="I6119" s="312" t="s">
        <v>3016</v>
      </c>
      <c r="J6119" s="312" t="s">
        <v>1031</v>
      </c>
      <c r="K6119" s="312" t="s">
        <v>1032</v>
      </c>
    </row>
    <row r="6120" spans="1:11" ht="15" customHeight="1" x14ac:dyDescent="0.3">
      <c r="A6120" s="313" t="s">
        <v>1033</v>
      </c>
      <c r="B6120" s="315" t="s">
        <v>946</v>
      </c>
      <c r="C6120" s="313" t="s">
        <v>408</v>
      </c>
      <c r="D6120" s="313" t="s">
        <v>564</v>
      </c>
      <c r="E6120" s="603" t="s">
        <v>2265</v>
      </c>
      <c r="F6120" s="603"/>
      <c r="G6120" s="314" t="s">
        <v>4</v>
      </c>
      <c r="H6120" s="399">
        <v>1</v>
      </c>
      <c r="I6120" s="316"/>
      <c r="J6120" s="316">
        <v>10.39</v>
      </c>
      <c r="K6120" s="316">
        <v>10.39</v>
      </c>
    </row>
    <row r="6121" spans="1:11" ht="25.5" customHeight="1" x14ac:dyDescent="0.3">
      <c r="A6121" s="400" t="s">
        <v>1038</v>
      </c>
      <c r="B6121" s="401" t="s">
        <v>1252</v>
      </c>
      <c r="C6121" s="400" t="s">
        <v>408</v>
      </c>
      <c r="D6121" s="400" t="s">
        <v>1253</v>
      </c>
      <c r="E6121" s="605" t="s">
        <v>1039</v>
      </c>
      <c r="F6121" s="605"/>
      <c r="G6121" s="402" t="s">
        <v>4</v>
      </c>
      <c r="H6121" s="403">
        <v>1</v>
      </c>
      <c r="I6121" s="403">
        <v>0</v>
      </c>
      <c r="J6121" s="404">
        <v>1.2</v>
      </c>
      <c r="K6121" s="404">
        <v>1.2</v>
      </c>
    </row>
    <row r="6122" spans="1:11" ht="25.5" customHeight="1" x14ac:dyDescent="0.3">
      <c r="A6122" s="400" t="s">
        <v>1038</v>
      </c>
      <c r="B6122" s="401" t="s">
        <v>6301</v>
      </c>
      <c r="C6122" s="400" t="s">
        <v>408</v>
      </c>
      <c r="D6122" s="400" t="s">
        <v>6302</v>
      </c>
      <c r="E6122" s="605" t="s">
        <v>1053</v>
      </c>
      <c r="F6122" s="605"/>
      <c r="G6122" s="402" t="s">
        <v>6</v>
      </c>
      <c r="H6122" s="403">
        <v>0.155</v>
      </c>
      <c r="I6122" s="403">
        <v>0</v>
      </c>
      <c r="J6122" s="404">
        <v>21.59</v>
      </c>
      <c r="K6122" s="404">
        <v>3.3464499999999999</v>
      </c>
    </row>
    <row r="6123" spans="1:11" ht="12.75" customHeight="1" x14ac:dyDescent="0.3">
      <c r="A6123" s="400" t="s">
        <v>1038</v>
      </c>
      <c r="B6123" s="401" t="s">
        <v>6235</v>
      </c>
      <c r="C6123" s="400" t="s">
        <v>408</v>
      </c>
      <c r="D6123" s="400" t="s">
        <v>6236</v>
      </c>
      <c r="E6123" s="605" t="s">
        <v>1053</v>
      </c>
      <c r="F6123" s="605"/>
      <c r="G6123" s="402" t="s">
        <v>6</v>
      </c>
      <c r="H6123" s="403">
        <v>0.20599999999999999</v>
      </c>
      <c r="I6123" s="403">
        <v>0</v>
      </c>
      <c r="J6123" s="404">
        <v>28.35</v>
      </c>
      <c r="K6123" s="404">
        <v>5.8400999999999996</v>
      </c>
    </row>
    <row r="6124" spans="1:11" ht="25.5" customHeight="1" x14ac:dyDescent="0.3">
      <c r="A6124" s="405"/>
      <c r="B6124" s="405"/>
      <c r="C6124" s="405"/>
      <c r="D6124" s="405"/>
      <c r="E6124" s="405" t="s">
        <v>1046</v>
      </c>
      <c r="F6124" s="406">
        <v>9.19</v>
      </c>
      <c r="G6124" s="405" t="s">
        <v>1047</v>
      </c>
      <c r="H6124" s="406">
        <v>0</v>
      </c>
      <c r="I6124" s="405" t="s">
        <v>1048</v>
      </c>
      <c r="J6124" s="406">
        <v>9.19</v>
      </c>
      <c r="K6124"/>
    </row>
    <row r="6125" spans="1:11" ht="25.5" customHeight="1" thickBot="1" x14ac:dyDescent="0.35">
      <c r="A6125" s="405"/>
      <c r="B6125" s="405"/>
      <c r="C6125" s="405"/>
      <c r="D6125" s="405"/>
      <c r="E6125" s="405" t="s">
        <v>1049</v>
      </c>
      <c r="F6125" s="406">
        <v>0</v>
      </c>
      <c r="G6125" s="405"/>
      <c r="H6125" s="606"/>
      <c r="I6125" s="606" t="s">
        <v>1050</v>
      </c>
      <c r="J6125" s="406">
        <v>10.39</v>
      </c>
      <c r="K6125"/>
    </row>
    <row r="6126" spans="1:11" ht="17.399999999999999" customHeight="1" thickTop="1" x14ac:dyDescent="0.3">
      <c r="A6126" s="407"/>
      <c r="B6126" s="407"/>
      <c r="C6126" s="407"/>
      <c r="D6126" s="407"/>
      <c r="E6126" s="407"/>
      <c r="F6126" s="407"/>
      <c r="G6126" s="407"/>
      <c r="H6126" s="407"/>
      <c r="I6126" s="407"/>
      <c r="J6126" s="407"/>
      <c r="K6126" s="407"/>
    </row>
    <row r="6127" spans="1:11" ht="15" x14ac:dyDescent="0.3">
      <c r="A6127" s="382" t="s">
        <v>3450</v>
      </c>
      <c r="B6127" s="312" t="s">
        <v>413</v>
      </c>
      <c r="C6127" s="382" t="s">
        <v>414</v>
      </c>
      <c r="D6127" s="382" t="s">
        <v>415</v>
      </c>
      <c r="E6127" s="586" t="s">
        <v>1029</v>
      </c>
      <c r="F6127" s="586"/>
      <c r="G6127" s="383" t="s">
        <v>416</v>
      </c>
      <c r="H6127" s="312" t="s">
        <v>1030</v>
      </c>
      <c r="I6127" s="312" t="s">
        <v>3016</v>
      </c>
      <c r="J6127" s="312" t="s">
        <v>1031</v>
      </c>
      <c r="K6127" s="312" t="s">
        <v>1032</v>
      </c>
    </row>
    <row r="6128" spans="1:11" ht="15" x14ac:dyDescent="0.3">
      <c r="A6128" s="313" t="s">
        <v>1033</v>
      </c>
      <c r="B6128" s="315" t="s">
        <v>947</v>
      </c>
      <c r="C6128" s="313" t="s">
        <v>408</v>
      </c>
      <c r="D6128" s="313" t="s">
        <v>565</v>
      </c>
      <c r="E6128" s="603" t="s">
        <v>2265</v>
      </c>
      <c r="F6128" s="603"/>
      <c r="G6128" s="314" t="s">
        <v>4</v>
      </c>
      <c r="H6128" s="399">
        <v>1</v>
      </c>
      <c r="I6128" s="316"/>
      <c r="J6128" s="316">
        <v>5.45</v>
      </c>
      <c r="K6128" s="316">
        <v>5.45</v>
      </c>
    </row>
    <row r="6129" spans="1:11" ht="15" customHeight="1" x14ac:dyDescent="0.3">
      <c r="A6129" s="400" t="s">
        <v>1038</v>
      </c>
      <c r="B6129" s="401" t="s">
        <v>1254</v>
      </c>
      <c r="C6129" s="400" t="s">
        <v>408</v>
      </c>
      <c r="D6129" s="400" t="s">
        <v>1255</v>
      </c>
      <c r="E6129" s="605" t="s">
        <v>1039</v>
      </c>
      <c r="F6129" s="605"/>
      <c r="G6129" s="402" t="s">
        <v>4</v>
      </c>
      <c r="H6129" s="403">
        <v>1</v>
      </c>
      <c r="I6129" s="403">
        <v>0</v>
      </c>
      <c r="J6129" s="404">
        <v>1.51</v>
      </c>
      <c r="K6129" s="404">
        <v>1.51</v>
      </c>
    </row>
    <row r="6130" spans="1:11" ht="25.5" customHeight="1" x14ac:dyDescent="0.3">
      <c r="A6130" s="400" t="s">
        <v>1038</v>
      </c>
      <c r="B6130" s="401" t="s">
        <v>6301</v>
      </c>
      <c r="C6130" s="400" t="s">
        <v>408</v>
      </c>
      <c r="D6130" s="400" t="s">
        <v>6302</v>
      </c>
      <c r="E6130" s="605" t="s">
        <v>1053</v>
      </c>
      <c r="F6130" s="605"/>
      <c r="G6130" s="402" t="s">
        <v>6</v>
      </c>
      <c r="H6130" s="403">
        <v>0.155</v>
      </c>
      <c r="I6130" s="403">
        <v>0</v>
      </c>
      <c r="J6130" s="404">
        <v>21.59</v>
      </c>
      <c r="K6130" s="404">
        <v>3.3464499999999999</v>
      </c>
    </row>
    <row r="6131" spans="1:11" ht="25.5" customHeight="1" x14ac:dyDescent="0.3">
      <c r="A6131" s="400" t="s">
        <v>1038</v>
      </c>
      <c r="B6131" s="401" t="s">
        <v>6235</v>
      </c>
      <c r="C6131" s="400" t="s">
        <v>408</v>
      </c>
      <c r="D6131" s="400" t="s">
        <v>6236</v>
      </c>
      <c r="E6131" s="605" t="s">
        <v>1053</v>
      </c>
      <c r="F6131" s="605"/>
      <c r="G6131" s="402" t="s">
        <v>6</v>
      </c>
      <c r="H6131" s="403">
        <v>2.1000000000000001E-2</v>
      </c>
      <c r="I6131" s="403">
        <v>0</v>
      </c>
      <c r="J6131" s="404">
        <v>28.35</v>
      </c>
      <c r="K6131" s="404">
        <v>0.59535000000000005</v>
      </c>
    </row>
    <row r="6132" spans="1:11" ht="14.25" customHeight="1" x14ac:dyDescent="0.3">
      <c r="A6132" s="405"/>
      <c r="B6132" s="405"/>
      <c r="C6132" s="405"/>
      <c r="D6132" s="405"/>
      <c r="E6132" s="405" t="s">
        <v>1046</v>
      </c>
      <c r="F6132" s="406">
        <v>3.95</v>
      </c>
      <c r="G6132" s="405" t="s">
        <v>1047</v>
      </c>
      <c r="H6132" s="406">
        <v>0</v>
      </c>
      <c r="I6132" s="405" t="s">
        <v>1048</v>
      </c>
      <c r="J6132" s="406">
        <v>3.95</v>
      </c>
      <c r="K6132"/>
    </row>
    <row r="6133" spans="1:11" ht="25.5" customHeight="1" thickBot="1" x14ac:dyDescent="0.35">
      <c r="A6133" s="405"/>
      <c r="B6133" s="405"/>
      <c r="C6133" s="405"/>
      <c r="D6133" s="405"/>
      <c r="E6133" s="405" t="s">
        <v>1049</v>
      </c>
      <c r="F6133" s="406">
        <v>0</v>
      </c>
      <c r="G6133" s="405"/>
      <c r="H6133" s="606"/>
      <c r="I6133" s="606" t="s">
        <v>1050</v>
      </c>
      <c r="J6133" s="406">
        <v>5.45</v>
      </c>
      <c r="K6133"/>
    </row>
    <row r="6134" spans="1:11" ht="25.5" customHeight="1" thickTop="1" x14ac:dyDescent="0.3">
      <c r="A6134" s="407"/>
      <c r="B6134" s="407"/>
      <c r="C6134" s="407"/>
      <c r="D6134" s="407"/>
      <c r="E6134" s="407"/>
      <c r="F6134" s="407"/>
      <c r="G6134" s="407"/>
      <c r="H6134" s="407"/>
      <c r="I6134" s="407"/>
      <c r="J6134" s="407"/>
      <c r="K6134" s="407"/>
    </row>
    <row r="6135" spans="1:11" ht="25.5" customHeight="1" x14ac:dyDescent="0.3">
      <c r="A6135" s="382" t="s">
        <v>3451</v>
      </c>
      <c r="B6135" s="312" t="s">
        <v>413</v>
      </c>
      <c r="C6135" s="382" t="s">
        <v>414</v>
      </c>
      <c r="D6135" s="382" t="s">
        <v>415</v>
      </c>
      <c r="E6135" s="586" t="s">
        <v>1029</v>
      </c>
      <c r="F6135" s="586"/>
      <c r="G6135" s="383" t="s">
        <v>416</v>
      </c>
      <c r="H6135" s="312" t="s">
        <v>1030</v>
      </c>
      <c r="I6135" s="312" t="s">
        <v>3016</v>
      </c>
      <c r="J6135" s="312" t="s">
        <v>1031</v>
      </c>
      <c r="K6135" s="312" t="s">
        <v>1032</v>
      </c>
    </row>
    <row r="6136" spans="1:11" ht="15" x14ac:dyDescent="0.3">
      <c r="A6136" s="313" t="s">
        <v>1033</v>
      </c>
      <c r="B6136" s="315" t="s">
        <v>948</v>
      </c>
      <c r="C6136" s="313" t="s">
        <v>408</v>
      </c>
      <c r="D6136" s="313" t="s">
        <v>566</v>
      </c>
      <c r="E6136" s="603" t="s">
        <v>2265</v>
      </c>
      <c r="F6136" s="603"/>
      <c r="G6136" s="314" t="s">
        <v>4</v>
      </c>
      <c r="H6136" s="399">
        <v>1</v>
      </c>
      <c r="I6136" s="316"/>
      <c r="J6136" s="316">
        <v>11.94</v>
      </c>
      <c r="K6136" s="316">
        <v>11.94</v>
      </c>
    </row>
    <row r="6137" spans="1:11" ht="25.5" customHeight="1" x14ac:dyDescent="0.3">
      <c r="A6137" s="400" t="s">
        <v>1038</v>
      </c>
      <c r="B6137" s="401" t="s">
        <v>1256</v>
      </c>
      <c r="C6137" s="400" t="s">
        <v>408</v>
      </c>
      <c r="D6137" s="400" t="s">
        <v>1257</v>
      </c>
      <c r="E6137" s="605" t="s">
        <v>1039</v>
      </c>
      <c r="F6137" s="605"/>
      <c r="G6137" s="402" t="s">
        <v>4</v>
      </c>
      <c r="H6137" s="403">
        <v>1</v>
      </c>
      <c r="I6137" s="403">
        <v>0</v>
      </c>
      <c r="J6137" s="404">
        <v>5.75</v>
      </c>
      <c r="K6137" s="404">
        <v>5.75</v>
      </c>
    </row>
    <row r="6138" spans="1:11" ht="25.5" customHeight="1" x14ac:dyDescent="0.3">
      <c r="A6138" s="400" t="s">
        <v>1038</v>
      </c>
      <c r="B6138" s="401" t="s">
        <v>6301</v>
      </c>
      <c r="C6138" s="400" t="s">
        <v>408</v>
      </c>
      <c r="D6138" s="400" t="s">
        <v>6302</v>
      </c>
      <c r="E6138" s="605" t="s">
        <v>1053</v>
      </c>
      <c r="F6138" s="605"/>
      <c r="G6138" s="402" t="s">
        <v>6</v>
      </c>
      <c r="H6138" s="403">
        <v>0.124</v>
      </c>
      <c r="I6138" s="403">
        <v>0</v>
      </c>
      <c r="J6138" s="404">
        <v>21.59</v>
      </c>
      <c r="K6138" s="404">
        <v>2.6771600000000002</v>
      </c>
    </row>
    <row r="6139" spans="1:11" ht="15" customHeight="1" x14ac:dyDescent="0.3">
      <c r="A6139" s="400" t="s">
        <v>1038</v>
      </c>
      <c r="B6139" s="401" t="s">
        <v>6235</v>
      </c>
      <c r="C6139" s="400" t="s">
        <v>408</v>
      </c>
      <c r="D6139" s="400" t="s">
        <v>6236</v>
      </c>
      <c r="E6139" s="605" t="s">
        <v>1053</v>
      </c>
      <c r="F6139" s="605"/>
      <c r="G6139" s="402" t="s">
        <v>6</v>
      </c>
      <c r="H6139" s="403">
        <v>0.124</v>
      </c>
      <c r="I6139" s="403">
        <v>0</v>
      </c>
      <c r="J6139" s="404">
        <v>28.35</v>
      </c>
      <c r="K6139" s="404">
        <v>3.5154000000000001</v>
      </c>
    </row>
    <row r="6140" spans="1:11" ht="15" x14ac:dyDescent="0.3">
      <c r="A6140" s="405"/>
      <c r="B6140" s="405"/>
      <c r="C6140" s="405"/>
      <c r="D6140" s="405"/>
      <c r="E6140" s="405" t="s">
        <v>1046</v>
      </c>
      <c r="F6140" s="406">
        <v>6.2</v>
      </c>
      <c r="G6140" s="405" t="s">
        <v>1047</v>
      </c>
      <c r="H6140" s="406">
        <v>0</v>
      </c>
      <c r="I6140" s="405" t="s">
        <v>1048</v>
      </c>
      <c r="J6140" s="406">
        <v>6.2</v>
      </c>
      <c r="K6140"/>
    </row>
    <row r="6141" spans="1:11" ht="14.25" customHeight="1" thickBot="1" x14ac:dyDescent="0.35">
      <c r="A6141" s="405"/>
      <c r="B6141" s="405"/>
      <c r="C6141" s="405"/>
      <c r="D6141" s="405"/>
      <c r="E6141" s="405" t="s">
        <v>1049</v>
      </c>
      <c r="F6141" s="406">
        <v>0</v>
      </c>
      <c r="G6141" s="405"/>
      <c r="H6141" s="606"/>
      <c r="I6141" s="606" t="s">
        <v>1050</v>
      </c>
      <c r="J6141" s="406">
        <v>11.94</v>
      </c>
      <c r="K6141"/>
    </row>
    <row r="6142" spans="1:11" ht="25.5" customHeight="1" thickTop="1" x14ac:dyDescent="0.3">
      <c r="A6142" s="407"/>
      <c r="B6142" s="407"/>
      <c r="C6142" s="407"/>
      <c r="D6142" s="407"/>
      <c r="E6142" s="407"/>
      <c r="F6142" s="407"/>
      <c r="G6142" s="407"/>
      <c r="H6142" s="407"/>
      <c r="I6142" s="407"/>
      <c r="J6142" s="407"/>
      <c r="K6142" s="407"/>
    </row>
    <row r="6143" spans="1:11" ht="15" customHeight="1" x14ac:dyDescent="0.3">
      <c r="A6143" s="382" t="s">
        <v>3452</v>
      </c>
      <c r="B6143" s="312" t="s">
        <v>413</v>
      </c>
      <c r="C6143" s="382" t="s">
        <v>414</v>
      </c>
      <c r="D6143" s="382" t="s">
        <v>415</v>
      </c>
      <c r="E6143" s="586" t="s">
        <v>1029</v>
      </c>
      <c r="F6143" s="586"/>
      <c r="G6143" s="383" t="s">
        <v>416</v>
      </c>
      <c r="H6143" s="312" t="s">
        <v>1030</v>
      </c>
      <c r="I6143" s="312" t="s">
        <v>3016</v>
      </c>
      <c r="J6143" s="312" t="s">
        <v>1031</v>
      </c>
      <c r="K6143" s="312" t="s">
        <v>1032</v>
      </c>
    </row>
    <row r="6144" spans="1:11" ht="25.5" customHeight="1" x14ac:dyDescent="0.3">
      <c r="A6144" s="313" t="s">
        <v>1033</v>
      </c>
      <c r="B6144" s="315" t="s">
        <v>2178</v>
      </c>
      <c r="C6144" s="313" t="s">
        <v>395</v>
      </c>
      <c r="D6144" s="313" t="s">
        <v>1888</v>
      </c>
      <c r="E6144" s="603" t="s">
        <v>1314</v>
      </c>
      <c r="F6144" s="603"/>
      <c r="G6144" s="314" t="s">
        <v>7</v>
      </c>
      <c r="H6144" s="399">
        <v>1</v>
      </c>
      <c r="I6144" s="316"/>
      <c r="J6144" s="316">
        <v>245.38</v>
      </c>
      <c r="K6144" s="316">
        <v>245.38</v>
      </c>
    </row>
    <row r="6145" spans="1:11" ht="25.5" customHeight="1" x14ac:dyDescent="0.3">
      <c r="A6145" s="408" t="s">
        <v>1034</v>
      </c>
      <c r="B6145" s="409" t="s">
        <v>2481</v>
      </c>
      <c r="C6145" s="408" t="s">
        <v>395</v>
      </c>
      <c r="D6145" s="408" t="s">
        <v>127</v>
      </c>
      <c r="E6145" s="604" t="s">
        <v>7768</v>
      </c>
      <c r="F6145" s="604"/>
      <c r="G6145" s="410" t="s">
        <v>6</v>
      </c>
      <c r="H6145" s="412">
        <v>0.1474</v>
      </c>
      <c r="I6145" s="412">
        <v>0</v>
      </c>
      <c r="J6145" s="411">
        <v>37.06</v>
      </c>
      <c r="K6145" s="411">
        <v>5.4626440000000001</v>
      </c>
    </row>
    <row r="6146" spans="1:11" ht="25.5" customHeight="1" x14ac:dyDescent="0.3">
      <c r="A6146" s="408" t="s">
        <v>1034</v>
      </c>
      <c r="B6146" s="409" t="s">
        <v>1290</v>
      </c>
      <c r="C6146" s="408" t="s">
        <v>395</v>
      </c>
      <c r="D6146" s="408" t="s">
        <v>147</v>
      </c>
      <c r="E6146" s="604" t="s">
        <v>7768</v>
      </c>
      <c r="F6146" s="604"/>
      <c r="G6146" s="410" t="s">
        <v>6</v>
      </c>
      <c r="H6146" s="412">
        <v>0.1474</v>
      </c>
      <c r="I6146" s="412">
        <v>0</v>
      </c>
      <c r="J6146" s="411">
        <v>32.82</v>
      </c>
      <c r="K6146" s="411">
        <v>4.8376679999999999</v>
      </c>
    </row>
    <row r="6147" spans="1:11" ht="25.5" customHeight="1" x14ac:dyDescent="0.3">
      <c r="A6147" s="400" t="s">
        <v>1038</v>
      </c>
      <c r="B6147" s="401" t="s">
        <v>1338</v>
      </c>
      <c r="C6147" s="400" t="s">
        <v>395</v>
      </c>
      <c r="D6147" s="400" t="s">
        <v>345</v>
      </c>
      <c r="E6147" s="605" t="s">
        <v>1039</v>
      </c>
      <c r="F6147" s="605"/>
      <c r="G6147" s="402" t="s">
        <v>4</v>
      </c>
      <c r="H6147" s="403">
        <v>2.0799999999999999E-2</v>
      </c>
      <c r="I6147" s="403">
        <v>0</v>
      </c>
      <c r="J6147" s="404">
        <v>32.67</v>
      </c>
      <c r="K6147" s="404">
        <v>0.67953600000000003</v>
      </c>
    </row>
    <row r="6148" spans="1:11" ht="15" x14ac:dyDescent="0.3">
      <c r="A6148" s="400" t="s">
        <v>1038</v>
      </c>
      <c r="B6148" s="401" t="s">
        <v>2483</v>
      </c>
      <c r="C6148" s="400" t="s">
        <v>395</v>
      </c>
      <c r="D6148" s="400" t="s">
        <v>289</v>
      </c>
      <c r="E6148" s="605" t="s">
        <v>1039</v>
      </c>
      <c r="F6148" s="605"/>
      <c r="G6148" s="402" t="s">
        <v>7</v>
      </c>
      <c r="H6148" s="403">
        <v>1.05</v>
      </c>
      <c r="I6148" s="403">
        <v>0</v>
      </c>
      <c r="J6148" s="404">
        <v>223.24</v>
      </c>
      <c r="K6148" s="404">
        <v>234.40199999999999</v>
      </c>
    </row>
    <row r="6149" spans="1:11" ht="14.25" customHeight="1" x14ac:dyDescent="0.3">
      <c r="A6149" s="405"/>
      <c r="B6149" s="405"/>
      <c r="C6149" s="405"/>
      <c r="D6149" s="405"/>
      <c r="E6149" s="405" t="s">
        <v>1046</v>
      </c>
      <c r="F6149" s="406">
        <v>7.47</v>
      </c>
      <c r="G6149" s="405" t="s">
        <v>1047</v>
      </c>
      <c r="H6149" s="406">
        <v>0</v>
      </c>
      <c r="I6149" s="405" t="s">
        <v>1048</v>
      </c>
      <c r="J6149" s="406">
        <v>7.47</v>
      </c>
      <c r="K6149"/>
    </row>
    <row r="6150" spans="1:11" ht="15.6" thickBot="1" x14ac:dyDescent="0.35">
      <c r="A6150" s="405"/>
      <c r="B6150" s="405"/>
      <c r="C6150" s="405"/>
      <c r="D6150" s="405"/>
      <c r="E6150" s="405" t="s">
        <v>1049</v>
      </c>
      <c r="F6150" s="406">
        <v>0</v>
      </c>
      <c r="G6150" s="405"/>
      <c r="H6150" s="606"/>
      <c r="I6150" s="606" t="s">
        <v>1050</v>
      </c>
      <c r="J6150" s="406">
        <v>245.38</v>
      </c>
      <c r="K6150"/>
    </row>
    <row r="6151" spans="1:11" ht="15.6" thickTop="1" x14ac:dyDescent="0.3">
      <c r="A6151" s="407"/>
      <c r="B6151" s="407"/>
      <c r="C6151" s="407"/>
      <c r="D6151" s="407"/>
      <c r="E6151" s="407"/>
      <c r="F6151" s="407"/>
      <c r="G6151" s="407"/>
      <c r="H6151" s="407"/>
      <c r="I6151" s="407"/>
      <c r="J6151" s="407"/>
      <c r="K6151" s="407"/>
    </row>
    <row r="6152" spans="1:11" ht="15" customHeight="1" x14ac:dyDescent="0.3">
      <c r="A6152" s="382" t="s">
        <v>3453</v>
      </c>
      <c r="B6152" s="312" t="s">
        <v>413</v>
      </c>
      <c r="C6152" s="382" t="s">
        <v>414</v>
      </c>
      <c r="D6152" s="382" t="s">
        <v>415</v>
      </c>
      <c r="E6152" s="586" t="s">
        <v>1029</v>
      </c>
      <c r="F6152" s="586"/>
      <c r="G6152" s="383" t="s">
        <v>416</v>
      </c>
      <c r="H6152" s="312" t="s">
        <v>1030</v>
      </c>
      <c r="I6152" s="312" t="s">
        <v>3016</v>
      </c>
      <c r="J6152" s="312" t="s">
        <v>1031</v>
      </c>
      <c r="K6152" s="312" t="s">
        <v>1032</v>
      </c>
    </row>
    <row r="6153" spans="1:11" ht="25.5" customHeight="1" x14ac:dyDescent="0.3">
      <c r="A6153" s="313" t="s">
        <v>1033</v>
      </c>
      <c r="B6153" s="315" t="s">
        <v>2927</v>
      </c>
      <c r="C6153" s="313" t="s">
        <v>395</v>
      </c>
      <c r="D6153" s="313" t="s">
        <v>74</v>
      </c>
      <c r="E6153" s="603" t="s">
        <v>1319</v>
      </c>
      <c r="F6153" s="603"/>
      <c r="G6153" s="314" t="s">
        <v>4</v>
      </c>
      <c r="H6153" s="399">
        <v>1</v>
      </c>
      <c r="I6153" s="316"/>
      <c r="J6153" s="316">
        <v>11.91</v>
      </c>
      <c r="K6153" s="316">
        <v>11.91</v>
      </c>
    </row>
    <row r="6154" spans="1:11" ht="25.5" customHeight="1" x14ac:dyDescent="0.3">
      <c r="A6154" s="408" t="s">
        <v>1034</v>
      </c>
      <c r="B6154" s="409" t="s">
        <v>1113</v>
      </c>
      <c r="C6154" s="408" t="s">
        <v>395</v>
      </c>
      <c r="D6154" s="408" t="s">
        <v>129</v>
      </c>
      <c r="E6154" s="604" t="s">
        <v>7768</v>
      </c>
      <c r="F6154" s="604"/>
      <c r="G6154" s="410" t="s">
        <v>6</v>
      </c>
      <c r="H6154" s="412">
        <v>0.08</v>
      </c>
      <c r="I6154" s="412">
        <v>0</v>
      </c>
      <c r="J6154" s="411">
        <v>33.450000000000003</v>
      </c>
      <c r="K6154" s="411">
        <v>2.6760000000000002</v>
      </c>
    </row>
    <row r="6155" spans="1:11" ht="25.5" customHeight="1" x14ac:dyDescent="0.3">
      <c r="A6155" s="408" t="s">
        <v>1034</v>
      </c>
      <c r="B6155" s="409" t="s">
        <v>1112</v>
      </c>
      <c r="C6155" s="408" t="s">
        <v>395</v>
      </c>
      <c r="D6155" s="408" t="s">
        <v>137</v>
      </c>
      <c r="E6155" s="604" t="s">
        <v>7768</v>
      </c>
      <c r="F6155" s="604"/>
      <c r="G6155" s="410" t="s">
        <v>6</v>
      </c>
      <c r="H6155" s="412">
        <v>0.08</v>
      </c>
      <c r="I6155" s="412">
        <v>0</v>
      </c>
      <c r="J6155" s="411">
        <v>40.299999999999997</v>
      </c>
      <c r="K6155" s="411">
        <v>3.2240000000000002</v>
      </c>
    </row>
    <row r="6156" spans="1:11" ht="30" customHeight="1" x14ac:dyDescent="0.3">
      <c r="A6156" s="400" t="s">
        <v>1038</v>
      </c>
      <c r="B6156" s="401" t="s">
        <v>2587</v>
      </c>
      <c r="C6156" s="400" t="s">
        <v>395</v>
      </c>
      <c r="D6156" s="400" t="s">
        <v>349</v>
      </c>
      <c r="E6156" s="605" t="s">
        <v>1039</v>
      </c>
      <c r="F6156" s="605"/>
      <c r="G6156" s="402" t="s">
        <v>4</v>
      </c>
      <c r="H6156" s="403">
        <v>1.0999999999999999E-2</v>
      </c>
      <c r="I6156" s="403">
        <v>0</v>
      </c>
      <c r="J6156" s="404">
        <v>79.17</v>
      </c>
      <c r="K6156" s="404">
        <v>0.87087000000000003</v>
      </c>
    </row>
    <row r="6157" spans="1:11" ht="25.5" customHeight="1" x14ac:dyDescent="0.3">
      <c r="A6157" s="400" t="s">
        <v>1038</v>
      </c>
      <c r="B6157" s="401" t="s">
        <v>1372</v>
      </c>
      <c r="C6157" s="400" t="s">
        <v>395</v>
      </c>
      <c r="D6157" s="400" t="s">
        <v>266</v>
      </c>
      <c r="E6157" s="605" t="s">
        <v>1039</v>
      </c>
      <c r="F6157" s="605"/>
      <c r="G6157" s="402" t="s">
        <v>4</v>
      </c>
      <c r="H6157" s="403">
        <v>0.02</v>
      </c>
      <c r="I6157" s="403">
        <v>0</v>
      </c>
      <c r="J6157" s="404">
        <v>2.09</v>
      </c>
      <c r="K6157" s="404">
        <v>4.1799999999999997E-2</v>
      </c>
    </row>
    <row r="6158" spans="1:11" ht="25.5" customHeight="1" x14ac:dyDescent="0.3">
      <c r="A6158" s="400" t="s">
        <v>1038</v>
      </c>
      <c r="B6158" s="401" t="s">
        <v>2588</v>
      </c>
      <c r="C6158" s="400" t="s">
        <v>395</v>
      </c>
      <c r="D6158" s="400" t="s">
        <v>350</v>
      </c>
      <c r="E6158" s="605" t="s">
        <v>1039</v>
      </c>
      <c r="F6158" s="605"/>
      <c r="G6158" s="402" t="s">
        <v>4</v>
      </c>
      <c r="H6158" s="403">
        <v>1.2E-2</v>
      </c>
      <c r="I6158" s="403">
        <v>0</v>
      </c>
      <c r="J6158" s="404">
        <v>89.7</v>
      </c>
      <c r="K6158" s="404">
        <v>1.0764</v>
      </c>
    </row>
    <row r="6159" spans="1:11" ht="25.5" customHeight="1" x14ac:dyDescent="0.3">
      <c r="A6159" s="400" t="s">
        <v>1038</v>
      </c>
      <c r="B6159" s="401" t="s">
        <v>3025</v>
      </c>
      <c r="C6159" s="400" t="s">
        <v>395</v>
      </c>
      <c r="D6159" s="400" t="s">
        <v>3026</v>
      </c>
      <c r="E6159" s="605" t="s">
        <v>1039</v>
      </c>
      <c r="F6159" s="605"/>
      <c r="G6159" s="402" t="s">
        <v>4</v>
      </c>
      <c r="H6159" s="403">
        <v>1</v>
      </c>
      <c r="I6159" s="403">
        <v>0</v>
      </c>
      <c r="J6159" s="404">
        <v>4.0199999999999996</v>
      </c>
      <c r="K6159" s="404">
        <v>4.0199999999999996</v>
      </c>
    </row>
    <row r="6160" spans="1:11" ht="15" x14ac:dyDescent="0.3">
      <c r="A6160" s="405"/>
      <c r="B6160" s="405"/>
      <c r="C6160" s="405"/>
      <c r="D6160" s="405"/>
      <c r="E6160" s="405" t="s">
        <v>1046</v>
      </c>
      <c r="F6160" s="406">
        <v>4.34</v>
      </c>
      <c r="G6160" s="405" t="s">
        <v>1047</v>
      </c>
      <c r="H6160" s="406">
        <v>0.01</v>
      </c>
      <c r="I6160" s="405" t="s">
        <v>1048</v>
      </c>
      <c r="J6160" s="406">
        <v>4.3499999999999996</v>
      </c>
      <c r="K6160"/>
    </row>
    <row r="6161" spans="1:11" ht="15" customHeight="1" thickBot="1" x14ac:dyDescent="0.35">
      <c r="A6161" s="405"/>
      <c r="B6161" s="405"/>
      <c r="C6161" s="405"/>
      <c r="D6161" s="405"/>
      <c r="E6161" s="405" t="s">
        <v>1049</v>
      </c>
      <c r="F6161" s="406">
        <v>0</v>
      </c>
      <c r="G6161" s="405"/>
      <c r="H6161" s="606"/>
      <c r="I6161" s="606" t="s">
        <v>1050</v>
      </c>
      <c r="J6161" s="406">
        <v>11.91</v>
      </c>
      <c r="K6161"/>
    </row>
    <row r="6162" spans="1:11" ht="25.5" customHeight="1" thickTop="1" x14ac:dyDescent="0.3">
      <c r="A6162" s="407"/>
      <c r="B6162" s="407"/>
      <c r="C6162" s="407"/>
      <c r="D6162" s="407"/>
      <c r="E6162" s="407"/>
      <c r="F6162" s="407"/>
      <c r="G6162" s="407"/>
      <c r="H6162" s="407"/>
      <c r="I6162" s="407"/>
      <c r="J6162" s="407"/>
      <c r="K6162" s="407"/>
    </row>
    <row r="6163" spans="1:11" ht="25.5" customHeight="1" x14ac:dyDescent="0.3">
      <c r="A6163" s="382" t="s">
        <v>3454</v>
      </c>
      <c r="B6163" s="312" t="s">
        <v>413</v>
      </c>
      <c r="C6163" s="382" t="s">
        <v>414</v>
      </c>
      <c r="D6163" s="382" t="s">
        <v>415</v>
      </c>
      <c r="E6163" s="586" t="s">
        <v>1029</v>
      </c>
      <c r="F6163" s="586"/>
      <c r="G6163" s="383" t="s">
        <v>416</v>
      </c>
      <c r="H6163" s="312" t="s">
        <v>1030</v>
      </c>
      <c r="I6163" s="312" t="s">
        <v>3016</v>
      </c>
      <c r="J6163" s="312" t="s">
        <v>1031</v>
      </c>
      <c r="K6163" s="312" t="s">
        <v>1032</v>
      </c>
    </row>
    <row r="6164" spans="1:11" ht="39.6" x14ac:dyDescent="0.3">
      <c r="A6164" s="313" t="s">
        <v>1033</v>
      </c>
      <c r="B6164" s="315" t="s">
        <v>2176</v>
      </c>
      <c r="C6164" s="313" t="s">
        <v>395</v>
      </c>
      <c r="D6164" s="313" t="s">
        <v>1885</v>
      </c>
      <c r="E6164" s="603" t="s">
        <v>1314</v>
      </c>
      <c r="F6164" s="603"/>
      <c r="G6164" s="314" t="s">
        <v>7</v>
      </c>
      <c r="H6164" s="399">
        <v>1</v>
      </c>
      <c r="I6164" s="316"/>
      <c r="J6164" s="316">
        <v>372.84</v>
      </c>
      <c r="K6164" s="316">
        <v>372.84</v>
      </c>
    </row>
    <row r="6165" spans="1:11" ht="25.5" customHeight="1" x14ac:dyDescent="0.3">
      <c r="A6165" s="408" t="s">
        <v>1034</v>
      </c>
      <c r="B6165" s="409" t="s">
        <v>2481</v>
      </c>
      <c r="C6165" s="408" t="s">
        <v>395</v>
      </c>
      <c r="D6165" s="408" t="s">
        <v>127</v>
      </c>
      <c r="E6165" s="604" t="s">
        <v>7768</v>
      </c>
      <c r="F6165" s="604"/>
      <c r="G6165" s="410" t="s">
        <v>6</v>
      </c>
      <c r="H6165" s="412">
        <v>0.16070000000000001</v>
      </c>
      <c r="I6165" s="412">
        <v>0</v>
      </c>
      <c r="J6165" s="411">
        <v>37.06</v>
      </c>
      <c r="K6165" s="411">
        <v>5.9555420000000003</v>
      </c>
    </row>
    <row r="6166" spans="1:11" ht="25.5" customHeight="1" x14ac:dyDescent="0.3">
      <c r="A6166" s="408" t="s">
        <v>1034</v>
      </c>
      <c r="B6166" s="409" t="s">
        <v>1290</v>
      </c>
      <c r="C6166" s="408" t="s">
        <v>395</v>
      </c>
      <c r="D6166" s="408" t="s">
        <v>147</v>
      </c>
      <c r="E6166" s="604" t="s">
        <v>7768</v>
      </c>
      <c r="F6166" s="604"/>
      <c r="G6166" s="410" t="s">
        <v>6</v>
      </c>
      <c r="H6166" s="412">
        <v>0.16070000000000001</v>
      </c>
      <c r="I6166" s="412">
        <v>0</v>
      </c>
      <c r="J6166" s="411">
        <v>32.82</v>
      </c>
      <c r="K6166" s="411">
        <v>5.2741740000000004</v>
      </c>
    </row>
    <row r="6167" spans="1:11" ht="25.5" customHeight="1" x14ac:dyDescent="0.3">
      <c r="A6167" s="400" t="s">
        <v>1038</v>
      </c>
      <c r="B6167" s="401" t="s">
        <v>1338</v>
      </c>
      <c r="C6167" s="400" t="s">
        <v>395</v>
      </c>
      <c r="D6167" s="400" t="s">
        <v>345</v>
      </c>
      <c r="E6167" s="605" t="s">
        <v>1039</v>
      </c>
      <c r="F6167" s="605"/>
      <c r="G6167" s="402" t="s">
        <v>4</v>
      </c>
      <c r="H6167" s="403">
        <v>2.5000000000000001E-2</v>
      </c>
      <c r="I6167" s="403">
        <v>0</v>
      </c>
      <c r="J6167" s="404">
        <v>32.67</v>
      </c>
      <c r="K6167" s="404">
        <v>0.81674999999999998</v>
      </c>
    </row>
    <row r="6168" spans="1:11" ht="15" x14ac:dyDescent="0.3">
      <c r="A6168" s="400" t="s">
        <v>1038</v>
      </c>
      <c r="B6168" s="401" t="s">
        <v>2482</v>
      </c>
      <c r="C6168" s="400" t="s">
        <v>395</v>
      </c>
      <c r="D6168" s="400" t="s">
        <v>290</v>
      </c>
      <c r="E6168" s="605" t="s">
        <v>1039</v>
      </c>
      <c r="F6168" s="605"/>
      <c r="G6168" s="402" t="s">
        <v>7</v>
      </c>
      <c r="H6168" s="403">
        <v>1.05</v>
      </c>
      <c r="I6168" s="403">
        <v>0</v>
      </c>
      <c r="J6168" s="404">
        <v>343.61</v>
      </c>
      <c r="K6168" s="404">
        <v>360.79050000000001</v>
      </c>
    </row>
    <row r="6169" spans="1:11" ht="38.25" customHeight="1" x14ac:dyDescent="0.3">
      <c r="A6169" s="405"/>
      <c r="B6169" s="405"/>
      <c r="C6169" s="405"/>
      <c r="D6169" s="405"/>
      <c r="E6169" s="405" t="s">
        <v>1046</v>
      </c>
      <c r="F6169" s="406">
        <v>8.15</v>
      </c>
      <c r="G6169" s="405" t="s">
        <v>1047</v>
      </c>
      <c r="H6169" s="406">
        <v>0</v>
      </c>
      <c r="I6169" s="405" t="s">
        <v>1048</v>
      </c>
      <c r="J6169" s="406">
        <v>8.15</v>
      </c>
      <c r="K6169"/>
    </row>
    <row r="6170" spans="1:11" ht="14.25" customHeight="1" thickBot="1" x14ac:dyDescent="0.35">
      <c r="A6170" s="405"/>
      <c r="B6170" s="405"/>
      <c r="C6170" s="405"/>
      <c r="D6170" s="405"/>
      <c r="E6170" s="405" t="s">
        <v>1049</v>
      </c>
      <c r="F6170" s="406">
        <v>0</v>
      </c>
      <c r="G6170" s="405"/>
      <c r="H6170" s="606"/>
      <c r="I6170" s="606" t="s">
        <v>1050</v>
      </c>
      <c r="J6170" s="406">
        <v>372.84</v>
      </c>
      <c r="K6170"/>
    </row>
    <row r="6171" spans="1:11" ht="25.5" customHeight="1" thickTop="1" x14ac:dyDescent="0.3">
      <c r="A6171" s="407"/>
      <c r="B6171" s="407"/>
      <c r="C6171" s="407"/>
      <c r="D6171" s="407"/>
      <c r="E6171" s="407"/>
      <c r="F6171" s="407"/>
      <c r="G6171" s="407"/>
      <c r="H6171" s="407"/>
      <c r="I6171" s="407"/>
      <c r="J6171" s="407"/>
      <c r="K6171" s="407"/>
    </row>
    <row r="6172" spans="1:11" ht="16.95" customHeight="1" x14ac:dyDescent="0.3">
      <c r="A6172" s="382" t="s">
        <v>3455</v>
      </c>
      <c r="B6172" s="312" t="s">
        <v>413</v>
      </c>
      <c r="C6172" s="382" t="s">
        <v>414</v>
      </c>
      <c r="D6172" s="382" t="s">
        <v>415</v>
      </c>
      <c r="E6172" s="586" t="s">
        <v>1029</v>
      </c>
      <c r="F6172" s="586"/>
      <c r="G6172" s="383" t="s">
        <v>416</v>
      </c>
      <c r="H6172" s="312" t="s">
        <v>1030</v>
      </c>
      <c r="I6172" s="312" t="s">
        <v>3016</v>
      </c>
      <c r="J6172" s="312" t="s">
        <v>1031</v>
      </c>
      <c r="K6172" s="312" t="s">
        <v>1032</v>
      </c>
    </row>
    <row r="6173" spans="1:11" ht="14.25" customHeight="1" x14ac:dyDescent="0.3">
      <c r="A6173" s="313" t="s">
        <v>1033</v>
      </c>
      <c r="B6173" s="315" t="s">
        <v>2205</v>
      </c>
      <c r="C6173" s="313" t="s">
        <v>395</v>
      </c>
      <c r="D6173" s="313" t="s">
        <v>1973</v>
      </c>
      <c r="E6173" s="603" t="s">
        <v>1314</v>
      </c>
      <c r="F6173" s="603"/>
      <c r="G6173" s="314" t="s">
        <v>7</v>
      </c>
      <c r="H6173" s="399">
        <v>1</v>
      </c>
      <c r="I6173" s="316"/>
      <c r="J6173" s="316">
        <v>235.77</v>
      </c>
      <c r="K6173" s="316">
        <v>235.77</v>
      </c>
    </row>
    <row r="6174" spans="1:11" ht="26.4" x14ac:dyDescent="0.3">
      <c r="A6174" s="408" t="s">
        <v>1034</v>
      </c>
      <c r="B6174" s="409" t="s">
        <v>1290</v>
      </c>
      <c r="C6174" s="408" t="s">
        <v>395</v>
      </c>
      <c r="D6174" s="408" t="s">
        <v>147</v>
      </c>
      <c r="E6174" s="604" t="s">
        <v>7768</v>
      </c>
      <c r="F6174" s="604"/>
      <c r="G6174" s="410" t="s">
        <v>6</v>
      </c>
      <c r="H6174" s="412">
        <v>0.16</v>
      </c>
      <c r="I6174" s="412">
        <v>0</v>
      </c>
      <c r="J6174" s="411">
        <v>32.82</v>
      </c>
      <c r="K6174" s="411">
        <v>5.2511999999999999</v>
      </c>
    </row>
    <row r="6175" spans="1:11" ht="16.95" customHeight="1" x14ac:dyDescent="0.3">
      <c r="A6175" s="400" t="s">
        <v>1038</v>
      </c>
      <c r="B6175" s="401" t="s">
        <v>2541</v>
      </c>
      <c r="C6175" s="400" t="s">
        <v>395</v>
      </c>
      <c r="D6175" s="400" t="s">
        <v>265</v>
      </c>
      <c r="E6175" s="605" t="s">
        <v>1039</v>
      </c>
      <c r="F6175" s="605"/>
      <c r="G6175" s="402" t="s">
        <v>4</v>
      </c>
      <c r="H6175" s="403">
        <v>1</v>
      </c>
      <c r="I6175" s="403">
        <v>0</v>
      </c>
      <c r="J6175" s="404">
        <v>230.52</v>
      </c>
      <c r="K6175" s="404">
        <v>230.52</v>
      </c>
    </row>
    <row r="6176" spans="1:11" ht="16.95" customHeight="1" x14ac:dyDescent="0.3">
      <c r="A6176" s="405"/>
      <c r="B6176" s="405"/>
      <c r="C6176" s="405"/>
      <c r="D6176" s="405"/>
      <c r="E6176" s="405" t="s">
        <v>1046</v>
      </c>
      <c r="F6176" s="406">
        <v>3.62</v>
      </c>
      <c r="G6176" s="405" t="s">
        <v>1047</v>
      </c>
      <c r="H6176" s="406">
        <v>0</v>
      </c>
      <c r="I6176" s="405" t="s">
        <v>1048</v>
      </c>
      <c r="J6176" s="406">
        <v>3.62</v>
      </c>
      <c r="K6176"/>
    </row>
    <row r="6177" spans="1:11" ht="15" customHeight="1" thickBot="1" x14ac:dyDescent="0.35">
      <c r="A6177" s="405"/>
      <c r="B6177" s="405"/>
      <c r="C6177" s="405"/>
      <c r="D6177" s="405"/>
      <c r="E6177" s="405" t="s">
        <v>1049</v>
      </c>
      <c r="F6177" s="406">
        <v>0</v>
      </c>
      <c r="G6177" s="405"/>
      <c r="H6177" s="606"/>
      <c r="I6177" s="606" t="s">
        <v>1050</v>
      </c>
      <c r="J6177" s="406">
        <v>235.77</v>
      </c>
      <c r="K6177"/>
    </row>
    <row r="6178" spans="1:11" ht="25.5" customHeight="1" thickTop="1" x14ac:dyDescent="0.3">
      <c r="A6178" s="407"/>
      <c r="B6178" s="407"/>
      <c r="C6178" s="407"/>
      <c r="D6178" s="407"/>
      <c r="E6178" s="407"/>
      <c r="F6178" s="407"/>
      <c r="G6178" s="407"/>
      <c r="H6178" s="407"/>
      <c r="I6178" s="407"/>
      <c r="J6178" s="407"/>
      <c r="K6178" s="407"/>
    </row>
    <row r="6179" spans="1:11" ht="25.5" customHeight="1" x14ac:dyDescent="0.3">
      <c r="A6179" s="382" t="s">
        <v>3456</v>
      </c>
      <c r="B6179" s="312" t="s">
        <v>413</v>
      </c>
      <c r="C6179" s="382" t="s">
        <v>414</v>
      </c>
      <c r="D6179" s="382" t="s">
        <v>415</v>
      </c>
      <c r="E6179" s="586" t="s">
        <v>1029</v>
      </c>
      <c r="F6179" s="586"/>
      <c r="G6179" s="383" t="s">
        <v>416</v>
      </c>
      <c r="H6179" s="312" t="s">
        <v>1030</v>
      </c>
      <c r="I6179" s="312" t="s">
        <v>3016</v>
      </c>
      <c r="J6179" s="312" t="s">
        <v>1031</v>
      </c>
      <c r="K6179" s="312" t="s">
        <v>1032</v>
      </c>
    </row>
    <row r="6180" spans="1:11" ht="15" x14ac:dyDescent="0.3">
      <c r="A6180" s="313" t="s">
        <v>1033</v>
      </c>
      <c r="B6180" s="315" t="s">
        <v>2175</v>
      </c>
      <c r="C6180" s="313" t="s">
        <v>408</v>
      </c>
      <c r="D6180" s="313" t="s">
        <v>1880</v>
      </c>
      <c r="E6180" s="603" t="s">
        <v>2265</v>
      </c>
      <c r="F6180" s="603"/>
      <c r="G6180" s="314" t="s">
        <v>4</v>
      </c>
      <c r="H6180" s="399">
        <v>1</v>
      </c>
      <c r="I6180" s="316"/>
      <c r="J6180" s="316">
        <v>152.21</v>
      </c>
      <c r="K6180" s="316">
        <v>152.21</v>
      </c>
    </row>
    <row r="6181" spans="1:11" ht="15" customHeight="1" x14ac:dyDescent="0.3">
      <c r="A6181" s="408" t="s">
        <v>1034</v>
      </c>
      <c r="B6181" s="409" t="s">
        <v>1113</v>
      </c>
      <c r="C6181" s="408" t="s">
        <v>395</v>
      </c>
      <c r="D6181" s="408" t="s">
        <v>129</v>
      </c>
      <c r="E6181" s="604" t="s">
        <v>7768</v>
      </c>
      <c r="F6181" s="604"/>
      <c r="G6181" s="410" t="s">
        <v>6</v>
      </c>
      <c r="H6181" s="412">
        <v>0.74399999999999999</v>
      </c>
      <c r="I6181" s="412">
        <v>0</v>
      </c>
      <c r="J6181" s="411">
        <v>33.450000000000003</v>
      </c>
      <c r="K6181" s="411">
        <v>24.886800000000001</v>
      </c>
    </row>
    <row r="6182" spans="1:11" ht="25.5" customHeight="1" x14ac:dyDescent="0.3">
      <c r="A6182" s="408" t="s">
        <v>1034</v>
      </c>
      <c r="B6182" s="409" t="s">
        <v>1112</v>
      </c>
      <c r="C6182" s="408" t="s">
        <v>395</v>
      </c>
      <c r="D6182" s="408" t="s">
        <v>137</v>
      </c>
      <c r="E6182" s="604" t="s">
        <v>7768</v>
      </c>
      <c r="F6182" s="604"/>
      <c r="G6182" s="410" t="s">
        <v>6</v>
      </c>
      <c r="H6182" s="412">
        <v>0.74</v>
      </c>
      <c r="I6182" s="412">
        <v>0</v>
      </c>
      <c r="J6182" s="411">
        <v>40.299999999999997</v>
      </c>
      <c r="K6182" s="411">
        <v>29.821999999999999</v>
      </c>
    </row>
    <row r="6183" spans="1:11" ht="25.5" customHeight="1" x14ac:dyDescent="0.3">
      <c r="A6183" s="400" t="s">
        <v>1038</v>
      </c>
      <c r="B6183" s="401" t="s">
        <v>2479</v>
      </c>
      <c r="C6183" s="400" t="s">
        <v>408</v>
      </c>
      <c r="D6183" s="400" t="s">
        <v>2480</v>
      </c>
      <c r="E6183" s="605" t="s">
        <v>1039</v>
      </c>
      <c r="F6183" s="605"/>
      <c r="G6183" s="402" t="s">
        <v>4</v>
      </c>
      <c r="H6183" s="403">
        <v>1</v>
      </c>
      <c r="I6183" s="403">
        <v>0</v>
      </c>
      <c r="J6183" s="404">
        <v>97.5</v>
      </c>
      <c r="K6183" s="404">
        <v>97.5</v>
      </c>
    </row>
    <row r="6184" spans="1:11" ht="15" x14ac:dyDescent="0.3">
      <c r="A6184" s="405"/>
      <c r="B6184" s="405"/>
      <c r="C6184" s="405"/>
      <c r="D6184" s="405"/>
      <c r="E6184" s="405" t="s">
        <v>1046</v>
      </c>
      <c r="F6184" s="406">
        <v>40.28</v>
      </c>
      <c r="G6184" s="405" t="s">
        <v>1047</v>
      </c>
      <c r="H6184" s="406">
        <v>0.01</v>
      </c>
      <c r="I6184" s="405" t="s">
        <v>1048</v>
      </c>
      <c r="J6184" s="406">
        <v>40.29</v>
      </c>
      <c r="K6184"/>
    </row>
    <row r="6185" spans="1:11" ht="14.25" customHeight="1" thickBot="1" x14ac:dyDescent="0.35">
      <c r="A6185" s="405"/>
      <c r="B6185" s="405"/>
      <c r="C6185" s="405"/>
      <c r="D6185" s="405"/>
      <c r="E6185" s="405" t="s">
        <v>1049</v>
      </c>
      <c r="F6185" s="406">
        <v>0</v>
      </c>
      <c r="G6185" s="405"/>
      <c r="H6185" s="606"/>
      <c r="I6185" s="606" t="s">
        <v>1050</v>
      </c>
      <c r="J6185" s="406">
        <v>152.21</v>
      </c>
      <c r="K6185"/>
    </row>
    <row r="6186" spans="1:11" ht="14.25" customHeight="1" thickTop="1" x14ac:dyDescent="0.3">
      <c r="A6186" s="407"/>
      <c r="B6186" s="407"/>
      <c r="C6186" s="407"/>
      <c r="D6186" s="407"/>
      <c r="E6186" s="407"/>
      <c r="F6186" s="407"/>
      <c r="G6186" s="407"/>
      <c r="H6186" s="407"/>
      <c r="I6186" s="407"/>
      <c r="J6186" s="407"/>
      <c r="K6186" s="407"/>
    </row>
    <row r="6187" spans="1:11" ht="15" x14ac:dyDescent="0.3">
      <c r="A6187" s="382" t="s">
        <v>3457</v>
      </c>
      <c r="B6187" s="312" t="s">
        <v>413</v>
      </c>
      <c r="C6187" s="382" t="s">
        <v>414</v>
      </c>
      <c r="D6187" s="382" t="s">
        <v>415</v>
      </c>
      <c r="E6187" s="586" t="s">
        <v>1029</v>
      </c>
      <c r="F6187" s="586"/>
      <c r="G6187" s="383" t="s">
        <v>416</v>
      </c>
      <c r="H6187" s="312" t="s">
        <v>1030</v>
      </c>
      <c r="I6187" s="312" t="s">
        <v>3016</v>
      </c>
      <c r="J6187" s="312" t="s">
        <v>1031</v>
      </c>
      <c r="K6187" s="312" t="s">
        <v>1032</v>
      </c>
    </row>
    <row r="6188" spans="1:11" ht="15" x14ac:dyDescent="0.3">
      <c r="A6188" s="313" t="s">
        <v>1033</v>
      </c>
      <c r="B6188" s="315" t="s">
        <v>944</v>
      </c>
      <c r="C6188" s="313" t="s">
        <v>408</v>
      </c>
      <c r="D6188" s="313" t="s">
        <v>562</v>
      </c>
      <c r="E6188" s="603" t="s">
        <v>2265</v>
      </c>
      <c r="F6188" s="603"/>
      <c r="G6188" s="314" t="s">
        <v>4</v>
      </c>
      <c r="H6188" s="399">
        <v>1</v>
      </c>
      <c r="I6188" s="316"/>
      <c r="J6188" s="316">
        <v>3.15</v>
      </c>
      <c r="K6188" s="316">
        <v>3.15</v>
      </c>
    </row>
    <row r="6189" spans="1:11" ht="38.25" customHeight="1" x14ac:dyDescent="0.3">
      <c r="A6189" s="400" t="s">
        <v>1038</v>
      </c>
      <c r="B6189" s="401" t="s">
        <v>1250</v>
      </c>
      <c r="C6189" s="400" t="s">
        <v>408</v>
      </c>
      <c r="D6189" s="400" t="s">
        <v>1251</v>
      </c>
      <c r="E6189" s="605" t="s">
        <v>1039</v>
      </c>
      <c r="F6189" s="605"/>
      <c r="G6189" s="402" t="s">
        <v>4</v>
      </c>
      <c r="H6189" s="403">
        <v>1</v>
      </c>
      <c r="I6189" s="403">
        <v>0</v>
      </c>
      <c r="J6189" s="404">
        <v>0.78</v>
      </c>
      <c r="K6189" s="404">
        <v>0.78</v>
      </c>
    </row>
    <row r="6190" spans="1:11" ht="15" customHeight="1" x14ac:dyDescent="0.3">
      <c r="A6190" s="400" t="s">
        <v>1038</v>
      </c>
      <c r="B6190" s="401" t="s">
        <v>6301</v>
      </c>
      <c r="C6190" s="400" t="s">
        <v>408</v>
      </c>
      <c r="D6190" s="400" t="s">
        <v>6302</v>
      </c>
      <c r="E6190" s="605" t="s">
        <v>1053</v>
      </c>
      <c r="F6190" s="605"/>
      <c r="G6190" s="402" t="s">
        <v>6</v>
      </c>
      <c r="H6190" s="403">
        <v>8.2000000000000003E-2</v>
      </c>
      <c r="I6190" s="403">
        <v>0</v>
      </c>
      <c r="J6190" s="404">
        <v>21.59</v>
      </c>
      <c r="K6190" s="404">
        <v>1.7703800000000001</v>
      </c>
    </row>
    <row r="6191" spans="1:11" ht="25.5" customHeight="1" x14ac:dyDescent="0.3">
      <c r="A6191" s="400" t="s">
        <v>1038</v>
      </c>
      <c r="B6191" s="401" t="s">
        <v>6235</v>
      </c>
      <c r="C6191" s="400" t="s">
        <v>408</v>
      </c>
      <c r="D6191" s="400" t="s">
        <v>6236</v>
      </c>
      <c r="E6191" s="605" t="s">
        <v>1053</v>
      </c>
      <c r="F6191" s="605"/>
      <c r="G6191" s="402" t="s">
        <v>6</v>
      </c>
      <c r="H6191" s="403">
        <v>2.1000000000000001E-2</v>
      </c>
      <c r="I6191" s="403">
        <v>0</v>
      </c>
      <c r="J6191" s="404">
        <v>28.35</v>
      </c>
      <c r="K6191" s="404">
        <v>0.59535000000000005</v>
      </c>
    </row>
    <row r="6192" spans="1:11" ht="15.6" customHeight="1" x14ac:dyDescent="0.3">
      <c r="A6192" s="405"/>
      <c r="B6192" s="405"/>
      <c r="C6192" s="405"/>
      <c r="D6192" s="405"/>
      <c r="E6192" s="405" t="s">
        <v>1046</v>
      </c>
      <c r="F6192" s="406">
        <v>2.37</v>
      </c>
      <c r="G6192" s="405" t="s">
        <v>1047</v>
      </c>
      <c r="H6192" s="406">
        <v>0</v>
      </c>
      <c r="I6192" s="405" t="s">
        <v>1048</v>
      </c>
      <c r="J6192" s="406">
        <v>2.37</v>
      </c>
      <c r="K6192"/>
    </row>
    <row r="6193" spans="1:11" ht="15.6" thickBot="1" x14ac:dyDescent="0.35">
      <c r="A6193" s="405"/>
      <c r="B6193" s="405"/>
      <c r="C6193" s="405"/>
      <c r="D6193" s="405"/>
      <c r="E6193" s="405" t="s">
        <v>1049</v>
      </c>
      <c r="F6193" s="406">
        <v>0</v>
      </c>
      <c r="G6193" s="405"/>
      <c r="H6193" s="606"/>
      <c r="I6193" s="606" t="s">
        <v>1050</v>
      </c>
      <c r="J6193" s="406">
        <v>3.15</v>
      </c>
      <c r="K6193"/>
    </row>
    <row r="6194" spans="1:11" ht="14.25" customHeight="1" thickTop="1" x14ac:dyDescent="0.3">
      <c r="A6194" s="407"/>
      <c r="B6194" s="407"/>
      <c r="C6194" s="407"/>
      <c r="D6194" s="407"/>
      <c r="E6194" s="407"/>
      <c r="F6194" s="407"/>
      <c r="G6194" s="407"/>
      <c r="H6194" s="407"/>
      <c r="I6194" s="407"/>
      <c r="J6194" s="407"/>
      <c r="K6194" s="407"/>
    </row>
    <row r="6195" spans="1:11" ht="25.5" customHeight="1" x14ac:dyDescent="0.3">
      <c r="A6195" s="382" t="s">
        <v>3458</v>
      </c>
      <c r="B6195" s="312" t="s">
        <v>413</v>
      </c>
      <c r="C6195" s="382" t="s">
        <v>414</v>
      </c>
      <c r="D6195" s="382" t="s">
        <v>415</v>
      </c>
      <c r="E6195" s="586" t="s">
        <v>1029</v>
      </c>
      <c r="F6195" s="586"/>
      <c r="G6195" s="383" t="s">
        <v>416</v>
      </c>
      <c r="H6195" s="312" t="s">
        <v>1030</v>
      </c>
      <c r="I6195" s="312" t="s">
        <v>3016</v>
      </c>
      <c r="J6195" s="312" t="s">
        <v>1031</v>
      </c>
      <c r="K6195" s="312" t="s">
        <v>1032</v>
      </c>
    </row>
    <row r="6196" spans="1:11" ht="15" x14ac:dyDescent="0.3">
      <c r="A6196" s="313" t="s">
        <v>1033</v>
      </c>
      <c r="B6196" s="315" t="s">
        <v>945</v>
      </c>
      <c r="C6196" s="313" t="s">
        <v>408</v>
      </c>
      <c r="D6196" s="313" t="s">
        <v>563</v>
      </c>
      <c r="E6196" s="603" t="s">
        <v>2265</v>
      </c>
      <c r="F6196" s="603"/>
      <c r="G6196" s="314" t="s">
        <v>4</v>
      </c>
      <c r="H6196" s="399">
        <v>1</v>
      </c>
      <c r="I6196" s="316"/>
      <c r="J6196" s="316">
        <v>10.24</v>
      </c>
      <c r="K6196" s="316">
        <v>10.24</v>
      </c>
    </row>
    <row r="6197" spans="1:11" ht="14.25" customHeight="1" x14ac:dyDescent="0.3">
      <c r="A6197" s="400" t="s">
        <v>1038</v>
      </c>
      <c r="B6197" s="401" t="s">
        <v>1250</v>
      </c>
      <c r="C6197" s="400" t="s">
        <v>408</v>
      </c>
      <c r="D6197" s="400" t="s">
        <v>1251</v>
      </c>
      <c r="E6197" s="605" t="s">
        <v>1039</v>
      </c>
      <c r="F6197" s="605"/>
      <c r="G6197" s="402" t="s">
        <v>4</v>
      </c>
      <c r="H6197" s="403">
        <v>1</v>
      </c>
      <c r="I6197" s="403">
        <v>0</v>
      </c>
      <c r="J6197" s="404">
        <v>0.78</v>
      </c>
      <c r="K6197" s="404">
        <v>0.78</v>
      </c>
    </row>
    <row r="6198" spans="1:11" ht="15" x14ac:dyDescent="0.3">
      <c r="A6198" s="400" t="s">
        <v>1038</v>
      </c>
      <c r="B6198" s="401" t="s">
        <v>6301</v>
      </c>
      <c r="C6198" s="400" t="s">
        <v>408</v>
      </c>
      <c r="D6198" s="400" t="s">
        <v>6302</v>
      </c>
      <c r="E6198" s="605" t="s">
        <v>1053</v>
      </c>
      <c r="F6198" s="605"/>
      <c r="G6198" s="402" t="s">
        <v>6</v>
      </c>
      <c r="H6198" s="403">
        <v>0.16</v>
      </c>
      <c r="I6198" s="403">
        <v>0</v>
      </c>
      <c r="J6198" s="404">
        <v>21.59</v>
      </c>
      <c r="K6198" s="404">
        <v>3.4544000000000001</v>
      </c>
    </row>
    <row r="6199" spans="1:11" ht="15" x14ac:dyDescent="0.3">
      <c r="A6199" s="400" t="s">
        <v>1038</v>
      </c>
      <c r="B6199" s="401" t="s">
        <v>6235</v>
      </c>
      <c r="C6199" s="400" t="s">
        <v>408</v>
      </c>
      <c r="D6199" s="400" t="s">
        <v>6236</v>
      </c>
      <c r="E6199" s="605" t="s">
        <v>1053</v>
      </c>
      <c r="F6199" s="605"/>
      <c r="G6199" s="402" t="s">
        <v>6</v>
      </c>
      <c r="H6199" s="403">
        <v>0.21199999999999999</v>
      </c>
      <c r="I6199" s="403">
        <v>0</v>
      </c>
      <c r="J6199" s="404">
        <v>28.35</v>
      </c>
      <c r="K6199" s="404">
        <v>6.0102000000000002</v>
      </c>
    </row>
    <row r="6200" spans="1:11" ht="15" x14ac:dyDescent="0.3">
      <c r="A6200" s="405"/>
      <c r="B6200" s="405"/>
      <c r="C6200" s="405"/>
      <c r="D6200" s="405"/>
      <c r="E6200" s="405" t="s">
        <v>1046</v>
      </c>
      <c r="F6200" s="406">
        <v>9.4600000000000009</v>
      </c>
      <c r="G6200" s="405" t="s">
        <v>1047</v>
      </c>
      <c r="H6200" s="406">
        <v>0</v>
      </c>
      <c r="I6200" s="405" t="s">
        <v>1048</v>
      </c>
      <c r="J6200" s="406">
        <v>9.4600000000000009</v>
      </c>
      <c r="K6200"/>
    </row>
    <row r="6201" spans="1:11" ht="38.25" customHeight="1" thickBot="1" x14ac:dyDescent="0.35">
      <c r="A6201" s="405"/>
      <c r="B6201" s="405"/>
      <c r="C6201" s="405"/>
      <c r="D6201" s="405"/>
      <c r="E6201" s="405" t="s">
        <v>1049</v>
      </c>
      <c r="F6201" s="406">
        <v>0</v>
      </c>
      <c r="G6201" s="405"/>
      <c r="H6201" s="606"/>
      <c r="I6201" s="606" t="s">
        <v>1050</v>
      </c>
      <c r="J6201" s="406">
        <v>10.24</v>
      </c>
      <c r="K6201"/>
    </row>
    <row r="6202" spans="1:11" ht="25.5" customHeight="1" thickTop="1" x14ac:dyDescent="0.3">
      <c r="A6202" s="407"/>
      <c r="B6202" s="407"/>
      <c r="C6202" s="407"/>
      <c r="D6202" s="407"/>
      <c r="E6202" s="407"/>
      <c r="F6202" s="407"/>
      <c r="G6202" s="407"/>
      <c r="H6202" s="407"/>
      <c r="I6202" s="407"/>
      <c r="J6202" s="407"/>
      <c r="K6202" s="407"/>
    </row>
    <row r="6203" spans="1:11" ht="25.5" customHeight="1" x14ac:dyDescent="0.3">
      <c r="A6203" s="382" t="s">
        <v>3469</v>
      </c>
      <c r="B6203" s="312" t="s">
        <v>413</v>
      </c>
      <c r="C6203" s="382" t="s">
        <v>414</v>
      </c>
      <c r="D6203" s="382" t="s">
        <v>415</v>
      </c>
      <c r="E6203" s="586" t="s">
        <v>1029</v>
      </c>
      <c r="F6203" s="586"/>
      <c r="G6203" s="383" t="s">
        <v>416</v>
      </c>
      <c r="H6203" s="312" t="s">
        <v>1030</v>
      </c>
      <c r="I6203" s="312" t="s">
        <v>3016</v>
      </c>
      <c r="J6203" s="312" t="s">
        <v>1031</v>
      </c>
      <c r="K6203" s="312" t="s">
        <v>1032</v>
      </c>
    </row>
    <row r="6204" spans="1:11" ht="15" x14ac:dyDescent="0.3">
      <c r="A6204" s="313" t="s">
        <v>1033</v>
      </c>
      <c r="B6204" s="315" t="s">
        <v>3997</v>
      </c>
      <c r="C6204" s="313" t="s">
        <v>408</v>
      </c>
      <c r="D6204" s="313" t="s">
        <v>6105</v>
      </c>
      <c r="E6204" s="603" t="s">
        <v>2259</v>
      </c>
      <c r="F6204" s="603"/>
      <c r="G6204" s="314" t="s">
        <v>4</v>
      </c>
      <c r="H6204" s="399">
        <v>1</v>
      </c>
      <c r="I6204" s="316"/>
      <c r="J6204" s="316">
        <v>135.83000000000001</v>
      </c>
      <c r="K6204" s="316">
        <v>135.83000000000001</v>
      </c>
    </row>
    <row r="6205" spans="1:11" ht="17.399999999999999" customHeight="1" x14ac:dyDescent="0.3">
      <c r="A6205" s="400" t="s">
        <v>1038</v>
      </c>
      <c r="B6205" s="401" t="s">
        <v>7505</v>
      </c>
      <c r="C6205" s="400" t="s">
        <v>408</v>
      </c>
      <c r="D6205" s="400" t="s">
        <v>7506</v>
      </c>
      <c r="E6205" s="605" t="s">
        <v>1039</v>
      </c>
      <c r="F6205" s="605"/>
      <c r="G6205" s="402" t="s">
        <v>4</v>
      </c>
      <c r="H6205" s="403">
        <v>24</v>
      </c>
      <c r="I6205" s="403">
        <v>0</v>
      </c>
      <c r="J6205" s="404">
        <v>0.1</v>
      </c>
      <c r="K6205" s="404">
        <v>2.4</v>
      </c>
    </row>
    <row r="6206" spans="1:11" ht="15" customHeight="1" x14ac:dyDescent="0.3">
      <c r="A6206" s="400" t="s">
        <v>1038</v>
      </c>
      <c r="B6206" s="401" t="s">
        <v>7464</v>
      </c>
      <c r="C6206" s="400" t="s">
        <v>408</v>
      </c>
      <c r="D6206" s="400" t="s">
        <v>7465</v>
      </c>
      <c r="E6206" s="605" t="s">
        <v>1039</v>
      </c>
      <c r="F6206" s="605"/>
      <c r="G6206" s="402" t="s">
        <v>4</v>
      </c>
      <c r="H6206" s="403">
        <v>24</v>
      </c>
      <c r="I6206" s="403">
        <v>0</v>
      </c>
      <c r="J6206" s="404">
        <v>0.13</v>
      </c>
      <c r="K6206" s="404">
        <v>3.12</v>
      </c>
    </row>
    <row r="6207" spans="1:11" ht="25.5" customHeight="1" x14ac:dyDescent="0.3">
      <c r="A6207" s="400" t="s">
        <v>1038</v>
      </c>
      <c r="B6207" s="401" t="s">
        <v>7306</v>
      </c>
      <c r="C6207" s="400" t="s">
        <v>408</v>
      </c>
      <c r="D6207" s="400" t="s">
        <v>7307</v>
      </c>
      <c r="E6207" s="605" t="s">
        <v>1039</v>
      </c>
      <c r="F6207" s="605"/>
      <c r="G6207" s="402" t="s">
        <v>4</v>
      </c>
      <c r="H6207" s="403">
        <v>48</v>
      </c>
      <c r="I6207" s="403">
        <v>0</v>
      </c>
      <c r="J6207" s="404">
        <v>0.13</v>
      </c>
      <c r="K6207" s="404">
        <v>6.24</v>
      </c>
    </row>
    <row r="6208" spans="1:11" ht="15" x14ac:dyDescent="0.3">
      <c r="A6208" s="400" t="s">
        <v>1038</v>
      </c>
      <c r="B6208" s="401" t="s">
        <v>7250</v>
      </c>
      <c r="C6208" s="400" t="s">
        <v>408</v>
      </c>
      <c r="D6208" s="400" t="s">
        <v>7251</v>
      </c>
      <c r="E6208" s="605" t="s">
        <v>1039</v>
      </c>
      <c r="F6208" s="605"/>
      <c r="G6208" s="402" t="s">
        <v>4</v>
      </c>
      <c r="H6208" s="403">
        <v>6</v>
      </c>
      <c r="I6208" s="403">
        <v>0</v>
      </c>
      <c r="J6208" s="404">
        <v>1.3</v>
      </c>
      <c r="K6208" s="404">
        <v>7.8</v>
      </c>
    </row>
    <row r="6209" spans="1:11" ht="14.25" customHeight="1" x14ac:dyDescent="0.3">
      <c r="A6209" s="400" t="s">
        <v>1038</v>
      </c>
      <c r="B6209" s="401" t="s">
        <v>6799</v>
      </c>
      <c r="C6209" s="400" t="s">
        <v>408</v>
      </c>
      <c r="D6209" s="400" t="s">
        <v>6800</v>
      </c>
      <c r="E6209" s="605" t="s">
        <v>1039</v>
      </c>
      <c r="F6209" s="605"/>
      <c r="G6209" s="402" t="s">
        <v>4</v>
      </c>
      <c r="H6209" s="403">
        <v>1</v>
      </c>
      <c r="I6209" s="403">
        <v>0</v>
      </c>
      <c r="J6209" s="404">
        <v>69.95</v>
      </c>
      <c r="K6209" s="404">
        <v>69.95</v>
      </c>
    </row>
    <row r="6210" spans="1:11" ht="14.25" customHeight="1" x14ac:dyDescent="0.3">
      <c r="A6210" s="400" t="s">
        <v>1038</v>
      </c>
      <c r="B6210" s="401" t="s">
        <v>6207</v>
      </c>
      <c r="C6210" s="400" t="s">
        <v>408</v>
      </c>
      <c r="D6210" s="400" t="s">
        <v>1093</v>
      </c>
      <c r="E6210" s="605" t="s">
        <v>1053</v>
      </c>
      <c r="F6210" s="605"/>
      <c r="G6210" s="402" t="s">
        <v>6</v>
      </c>
      <c r="H6210" s="403">
        <v>0.88900000000000001</v>
      </c>
      <c r="I6210" s="403">
        <v>0</v>
      </c>
      <c r="J6210" s="404">
        <v>30.51</v>
      </c>
      <c r="K6210" s="404">
        <v>27.123390000000001</v>
      </c>
    </row>
    <row r="6211" spans="1:11" ht="15" x14ac:dyDescent="0.3">
      <c r="A6211" s="400" t="s">
        <v>1038</v>
      </c>
      <c r="B6211" s="401" t="s">
        <v>6196</v>
      </c>
      <c r="C6211" s="400" t="s">
        <v>408</v>
      </c>
      <c r="D6211" s="400" t="s">
        <v>1139</v>
      </c>
      <c r="E6211" s="605" t="s">
        <v>1053</v>
      </c>
      <c r="F6211" s="605"/>
      <c r="G6211" s="402" t="s">
        <v>6</v>
      </c>
      <c r="H6211" s="403">
        <v>0.88900000000000001</v>
      </c>
      <c r="I6211" s="403">
        <v>0</v>
      </c>
      <c r="J6211" s="404">
        <v>21.59</v>
      </c>
      <c r="K6211" s="404">
        <v>19.19351</v>
      </c>
    </row>
    <row r="6212" spans="1:11" ht="16.95" customHeight="1" x14ac:dyDescent="0.3">
      <c r="A6212" s="405"/>
      <c r="B6212" s="405"/>
      <c r="C6212" s="405"/>
      <c r="D6212" s="405"/>
      <c r="E6212" s="405" t="s">
        <v>1046</v>
      </c>
      <c r="F6212" s="406">
        <v>46.31</v>
      </c>
      <c r="G6212" s="405" t="s">
        <v>1047</v>
      </c>
      <c r="H6212" s="406">
        <v>0</v>
      </c>
      <c r="I6212" s="405" t="s">
        <v>1048</v>
      </c>
      <c r="J6212" s="406">
        <v>46.31</v>
      </c>
      <c r="K6212"/>
    </row>
    <row r="6213" spans="1:11" ht="38.25" customHeight="1" thickBot="1" x14ac:dyDescent="0.35">
      <c r="A6213" s="405"/>
      <c r="B6213" s="405"/>
      <c r="C6213" s="405"/>
      <c r="D6213" s="405"/>
      <c r="E6213" s="405" t="s">
        <v>1049</v>
      </c>
      <c r="F6213" s="406">
        <v>0</v>
      </c>
      <c r="G6213" s="405"/>
      <c r="H6213" s="606"/>
      <c r="I6213" s="606" t="s">
        <v>1050</v>
      </c>
      <c r="J6213" s="406">
        <v>135.83000000000001</v>
      </c>
      <c r="K6213"/>
    </row>
    <row r="6214" spans="1:11" ht="15" customHeight="1" thickTop="1" x14ac:dyDescent="0.3">
      <c r="A6214" s="407"/>
      <c r="B6214" s="407"/>
      <c r="C6214" s="407"/>
      <c r="D6214" s="407"/>
      <c r="E6214" s="407"/>
      <c r="F6214" s="407"/>
      <c r="G6214" s="407"/>
      <c r="H6214" s="407"/>
      <c r="I6214" s="407"/>
      <c r="J6214" s="407"/>
      <c r="K6214" s="407"/>
    </row>
    <row r="6215" spans="1:11" ht="25.5" customHeight="1" x14ac:dyDescent="0.3">
      <c r="A6215" s="382" t="s">
        <v>3472</v>
      </c>
      <c r="B6215" s="312" t="s">
        <v>413</v>
      </c>
      <c r="C6215" s="382" t="s">
        <v>414</v>
      </c>
      <c r="D6215" s="382" t="s">
        <v>415</v>
      </c>
      <c r="E6215" s="586" t="s">
        <v>1029</v>
      </c>
      <c r="F6215" s="586"/>
      <c r="G6215" s="383" t="s">
        <v>416</v>
      </c>
      <c r="H6215" s="312" t="s">
        <v>1030</v>
      </c>
      <c r="I6215" s="312" t="s">
        <v>3016</v>
      </c>
      <c r="J6215" s="312" t="s">
        <v>1031</v>
      </c>
      <c r="K6215" s="312" t="s">
        <v>1032</v>
      </c>
    </row>
    <row r="6216" spans="1:11" ht="15" customHeight="1" x14ac:dyDescent="0.3">
      <c r="A6216" s="313" t="s">
        <v>1033</v>
      </c>
      <c r="B6216" s="315" t="s">
        <v>2926</v>
      </c>
      <c r="C6216" s="313" t="s">
        <v>395</v>
      </c>
      <c r="D6216" s="313" t="s">
        <v>104</v>
      </c>
      <c r="E6216" s="603" t="s">
        <v>1319</v>
      </c>
      <c r="F6216" s="603"/>
      <c r="G6216" s="314" t="s">
        <v>4</v>
      </c>
      <c r="H6216" s="399">
        <v>1</v>
      </c>
      <c r="I6216" s="316"/>
      <c r="J6216" s="316">
        <v>11.13</v>
      </c>
      <c r="K6216" s="316">
        <v>11.13</v>
      </c>
    </row>
    <row r="6217" spans="1:11" ht="15" customHeight="1" x14ac:dyDescent="0.3">
      <c r="A6217" s="408" t="s">
        <v>1034</v>
      </c>
      <c r="B6217" s="409" t="s">
        <v>1113</v>
      </c>
      <c r="C6217" s="408" t="s">
        <v>395</v>
      </c>
      <c r="D6217" s="408" t="s">
        <v>129</v>
      </c>
      <c r="E6217" s="604" t="s">
        <v>7768</v>
      </c>
      <c r="F6217" s="604"/>
      <c r="G6217" s="410" t="s">
        <v>6</v>
      </c>
      <c r="H6217" s="412">
        <v>0.04</v>
      </c>
      <c r="I6217" s="412">
        <v>0</v>
      </c>
      <c r="J6217" s="411">
        <v>33.450000000000003</v>
      </c>
      <c r="K6217" s="411">
        <v>1.3380000000000001</v>
      </c>
    </row>
    <row r="6218" spans="1:11" ht="25.5" customHeight="1" x14ac:dyDescent="0.3">
      <c r="A6218" s="408" t="s">
        <v>1034</v>
      </c>
      <c r="B6218" s="409" t="s">
        <v>1112</v>
      </c>
      <c r="C6218" s="408" t="s">
        <v>395</v>
      </c>
      <c r="D6218" s="408" t="s">
        <v>137</v>
      </c>
      <c r="E6218" s="604" t="s">
        <v>7768</v>
      </c>
      <c r="F6218" s="604"/>
      <c r="G6218" s="410" t="s">
        <v>6</v>
      </c>
      <c r="H6218" s="412">
        <v>0.04</v>
      </c>
      <c r="I6218" s="412">
        <v>0</v>
      </c>
      <c r="J6218" s="411">
        <v>40.299999999999997</v>
      </c>
      <c r="K6218" s="411">
        <v>1.6120000000000001</v>
      </c>
    </row>
    <row r="6219" spans="1:11" ht="25.5" customHeight="1" x14ac:dyDescent="0.3">
      <c r="A6219" s="400" t="s">
        <v>1038</v>
      </c>
      <c r="B6219" s="401" t="s">
        <v>2587</v>
      </c>
      <c r="C6219" s="400" t="s">
        <v>395</v>
      </c>
      <c r="D6219" s="400" t="s">
        <v>349</v>
      </c>
      <c r="E6219" s="605" t="s">
        <v>1039</v>
      </c>
      <c r="F6219" s="605"/>
      <c r="G6219" s="402" t="s">
        <v>4</v>
      </c>
      <c r="H6219" s="403">
        <v>7.0000000000000001E-3</v>
      </c>
      <c r="I6219" s="403">
        <v>0</v>
      </c>
      <c r="J6219" s="404">
        <v>79.17</v>
      </c>
      <c r="K6219" s="404">
        <v>0.55418999999999996</v>
      </c>
    </row>
    <row r="6220" spans="1:11" ht="14.25" customHeight="1" x14ac:dyDescent="0.3">
      <c r="A6220" s="400" t="s">
        <v>1038</v>
      </c>
      <c r="B6220" s="401" t="s">
        <v>1372</v>
      </c>
      <c r="C6220" s="400" t="s">
        <v>395</v>
      </c>
      <c r="D6220" s="400" t="s">
        <v>266</v>
      </c>
      <c r="E6220" s="605" t="s">
        <v>1039</v>
      </c>
      <c r="F6220" s="605"/>
      <c r="G6220" s="402" t="s">
        <v>4</v>
      </c>
      <c r="H6220" s="403">
        <v>1.2999999999999999E-2</v>
      </c>
      <c r="I6220" s="403">
        <v>0</v>
      </c>
      <c r="J6220" s="404">
        <v>2.09</v>
      </c>
      <c r="K6220" s="404">
        <v>2.717E-2</v>
      </c>
    </row>
    <row r="6221" spans="1:11" ht="14.25" customHeight="1" x14ac:dyDescent="0.3">
      <c r="A6221" s="400" t="s">
        <v>1038</v>
      </c>
      <c r="B6221" s="401" t="s">
        <v>3023</v>
      </c>
      <c r="C6221" s="400" t="s">
        <v>395</v>
      </c>
      <c r="D6221" s="400" t="s">
        <v>3024</v>
      </c>
      <c r="E6221" s="605" t="s">
        <v>1039</v>
      </c>
      <c r="F6221" s="605"/>
      <c r="G6221" s="402" t="s">
        <v>4</v>
      </c>
      <c r="H6221" s="403">
        <v>1</v>
      </c>
      <c r="I6221" s="403">
        <v>0</v>
      </c>
      <c r="J6221" s="404">
        <v>6.88</v>
      </c>
      <c r="K6221" s="404">
        <v>6.88</v>
      </c>
    </row>
    <row r="6222" spans="1:11" ht="26.4" x14ac:dyDescent="0.3">
      <c r="A6222" s="400" t="s">
        <v>1038</v>
      </c>
      <c r="B6222" s="401" t="s">
        <v>2588</v>
      </c>
      <c r="C6222" s="400" t="s">
        <v>395</v>
      </c>
      <c r="D6222" s="400" t="s">
        <v>350</v>
      </c>
      <c r="E6222" s="605" t="s">
        <v>1039</v>
      </c>
      <c r="F6222" s="605"/>
      <c r="G6222" s="402" t="s">
        <v>4</v>
      </c>
      <c r="H6222" s="403">
        <v>8.0000000000000002E-3</v>
      </c>
      <c r="I6222" s="403">
        <v>0</v>
      </c>
      <c r="J6222" s="404">
        <v>89.7</v>
      </c>
      <c r="K6222" s="404">
        <v>0.71760000000000002</v>
      </c>
    </row>
    <row r="6223" spans="1:11" ht="15" x14ac:dyDescent="0.3">
      <c r="A6223" s="405"/>
      <c r="B6223" s="405"/>
      <c r="C6223" s="405"/>
      <c r="D6223" s="405"/>
      <c r="E6223" s="405" t="s">
        <v>1046</v>
      </c>
      <c r="F6223" s="406">
        <v>2.17</v>
      </c>
      <c r="G6223" s="405" t="s">
        <v>1047</v>
      </c>
      <c r="H6223" s="406">
        <v>0</v>
      </c>
      <c r="I6223" s="405" t="s">
        <v>1048</v>
      </c>
      <c r="J6223" s="406">
        <v>2.17</v>
      </c>
      <c r="K6223"/>
    </row>
    <row r="6224" spans="1:11" ht="12.75" customHeight="1" thickBot="1" x14ac:dyDescent="0.35">
      <c r="A6224" s="405"/>
      <c r="B6224" s="405"/>
      <c r="C6224" s="405"/>
      <c r="D6224" s="405"/>
      <c r="E6224" s="405" t="s">
        <v>1049</v>
      </c>
      <c r="F6224" s="406">
        <v>0</v>
      </c>
      <c r="G6224" s="405"/>
      <c r="H6224" s="606"/>
      <c r="I6224" s="606" t="s">
        <v>1050</v>
      </c>
      <c r="J6224" s="406">
        <v>11.13</v>
      </c>
      <c r="K6224"/>
    </row>
    <row r="6225" spans="1:11" ht="25.5" customHeight="1" thickTop="1" x14ac:dyDescent="0.3">
      <c r="A6225" s="407"/>
      <c r="B6225" s="407"/>
      <c r="C6225" s="407"/>
      <c r="D6225" s="407"/>
      <c r="E6225" s="407"/>
      <c r="F6225" s="407"/>
      <c r="G6225" s="407"/>
      <c r="H6225" s="407"/>
      <c r="I6225" s="407"/>
      <c r="J6225" s="407"/>
      <c r="K6225" s="407"/>
    </row>
    <row r="6226" spans="1:11" ht="25.5" customHeight="1" x14ac:dyDescent="0.3">
      <c r="A6226" s="382" t="s">
        <v>3473</v>
      </c>
      <c r="B6226" s="312" t="s">
        <v>413</v>
      </c>
      <c r="C6226" s="382" t="s">
        <v>414</v>
      </c>
      <c r="D6226" s="382" t="s">
        <v>415</v>
      </c>
      <c r="E6226" s="586" t="s">
        <v>1029</v>
      </c>
      <c r="F6226" s="586"/>
      <c r="G6226" s="383" t="s">
        <v>416</v>
      </c>
      <c r="H6226" s="312" t="s">
        <v>1030</v>
      </c>
      <c r="I6226" s="312" t="s">
        <v>3016</v>
      </c>
      <c r="J6226" s="312" t="s">
        <v>1031</v>
      </c>
      <c r="K6226" s="312" t="s">
        <v>1032</v>
      </c>
    </row>
    <row r="6227" spans="1:11" ht="14.25" customHeight="1" x14ac:dyDescent="0.3">
      <c r="A6227" s="313" t="s">
        <v>1033</v>
      </c>
      <c r="B6227" s="315" t="s">
        <v>2923</v>
      </c>
      <c r="C6227" s="313" t="s">
        <v>395</v>
      </c>
      <c r="D6227" s="313" t="s">
        <v>199</v>
      </c>
      <c r="E6227" s="603" t="s">
        <v>1319</v>
      </c>
      <c r="F6227" s="603"/>
      <c r="G6227" s="314" t="s">
        <v>7</v>
      </c>
      <c r="H6227" s="399">
        <v>1</v>
      </c>
      <c r="I6227" s="316"/>
      <c r="J6227" s="316">
        <v>60.85</v>
      </c>
      <c r="K6227" s="316">
        <v>60.85</v>
      </c>
    </row>
    <row r="6228" spans="1:11" ht="26.4" x14ac:dyDescent="0.3">
      <c r="A6228" s="408" t="s">
        <v>1034</v>
      </c>
      <c r="B6228" s="409" t="s">
        <v>1113</v>
      </c>
      <c r="C6228" s="408" t="s">
        <v>395</v>
      </c>
      <c r="D6228" s="408" t="s">
        <v>129</v>
      </c>
      <c r="E6228" s="604" t="s">
        <v>7768</v>
      </c>
      <c r="F6228" s="604"/>
      <c r="G6228" s="410" t="s">
        <v>6</v>
      </c>
      <c r="H6228" s="412">
        <v>0.125</v>
      </c>
      <c r="I6228" s="412">
        <v>0</v>
      </c>
      <c r="J6228" s="411">
        <v>33.450000000000003</v>
      </c>
      <c r="K6228" s="411">
        <v>4.1812500000000004</v>
      </c>
    </row>
    <row r="6229" spans="1:11" ht="26.4" x14ac:dyDescent="0.3">
      <c r="A6229" s="408" t="s">
        <v>1034</v>
      </c>
      <c r="B6229" s="409" t="s">
        <v>1112</v>
      </c>
      <c r="C6229" s="408" t="s">
        <v>395</v>
      </c>
      <c r="D6229" s="408" t="s">
        <v>137</v>
      </c>
      <c r="E6229" s="604" t="s">
        <v>7768</v>
      </c>
      <c r="F6229" s="604"/>
      <c r="G6229" s="410" t="s">
        <v>6</v>
      </c>
      <c r="H6229" s="412">
        <v>0.125</v>
      </c>
      <c r="I6229" s="412">
        <v>0</v>
      </c>
      <c r="J6229" s="411">
        <v>40.299999999999997</v>
      </c>
      <c r="K6229" s="411">
        <v>5.0374999999999996</v>
      </c>
    </row>
    <row r="6230" spans="1:11" ht="15" customHeight="1" x14ac:dyDescent="0.3">
      <c r="A6230" s="400" t="s">
        <v>1038</v>
      </c>
      <c r="B6230" s="401" t="s">
        <v>3017</v>
      </c>
      <c r="C6230" s="400" t="s">
        <v>395</v>
      </c>
      <c r="D6230" s="400" t="s">
        <v>3018</v>
      </c>
      <c r="E6230" s="605" t="s">
        <v>1039</v>
      </c>
      <c r="F6230" s="605"/>
      <c r="G6230" s="402" t="s">
        <v>7</v>
      </c>
      <c r="H6230" s="403">
        <v>1.0210999999999999</v>
      </c>
      <c r="I6230" s="403">
        <v>0</v>
      </c>
      <c r="J6230" s="404">
        <v>50.56</v>
      </c>
      <c r="K6230" s="404">
        <v>51.626815999999998</v>
      </c>
    </row>
    <row r="6231" spans="1:11" ht="12.75" customHeight="1" x14ac:dyDescent="0.3">
      <c r="A6231" s="405"/>
      <c r="B6231" s="405"/>
      <c r="C6231" s="405"/>
      <c r="D6231" s="405"/>
      <c r="E6231" s="405" t="s">
        <v>1046</v>
      </c>
      <c r="F6231" s="406">
        <v>6.79</v>
      </c>
      <c r="G6231" s="405" t="s">
        <v>1047</v>
      </c>
      <c r="H6231" s="406">
        <v>0</v>
      </c>
      <c r="I6231" s="405" t="s">
        <v>1048</v>
      </c>
      <c r="J6231" s="406">
        <v>6.79</v>
      </c>
      <c r="K6231"/>
    </row>
    <row r="6232" spans="1:11" ht="17.399999999999999" customHeight="1" thickBot="1" x14ac:dyDescent="0.35">
      <c r="A6232" s="405"/>
      <c r="B6232" s="405"/>
      <c r="C6232" s="405"/>
      <c r="D6232" s="405"/>
      <c r="E6232" s="405" t="s">
        <v>1049</v>
      </c>
      <c r="F6232" s="406">
        <v>0</v>
      </c>
      <c r="G6232" s="405"/>
      <c r="H6232" s="606"/>
      <c r="I6232" s="606" t="s">
        <v>1050</v>
      </c>
      <c r="J6232" s="406">
        <v>60.85</v>
      </c>
      <c r="K6232"/>
    </row>
    <row r="6233" spans="1:11" ht="14.25" customHeight="1" thickTop="1" x14ac:dyDescent="0.3">
      <c r="A6233" s="407"/>
      <c r="B6233" s="407"/>
      <c r="C6233" s="407"/>
      <c r="D6233" s="407"/>
      <c r="E6233" s="407"/>
      <c r="F6233" s="407"/>
      <c r="G6233" s="407"/>
      <c r="H6233" s="407"/>
      <c r="I6233" s="407"/>
      <c r="J6233" s="407"/>
      <c r="K6233" s="407"/>
    </row>
    <row r="6234" spans="1:11" ht="15" customHeight="1" x14ac:dyDescent="0.3">
      <c r="A6234" s="382" t="s">
        <v>3474</v>
      </c>
      <c r="B6234" s="312" t="s">
        <v>413</v>
      </c>
      <c r="C6234" s="382" t="s">
        <v>414</v>
      </c>
      <c r="D6234" s="382" t="s">
        <v>415</v>
      </c>
      <c r="E6234" s="586" t="s">
        <v>1029</v>
      </c>
      <c r="F6234" s="586"/>
      <c r="G6234" s="383" t="s">
        <v>416</v>
      </c>
      <c r="H6234" s="312" t="s">
        <v>1030</v>
      </c>
      <c r="I6234" s="312" t="s">
        <v>3016</v>
      </c>
      <c r="J6234" s="312" t="s">
        <v>1031</v>
      </c>
      <c r="K6234" s="312" t="s">
        <v>1032</v>
      </c>
    </row>
    <row r="6235" spans="1:11" ht="15" customHeight="1" x14ac:dyDescent="0.3">
      <c r="A6235" s="313" t="s">
        <v>1033</v>
      </c>
      <c r="B6235" s="315" t="s">
        <v>2924</v>
      </c>
      <c r="C6235" s="313" t="s">
        <v>395</v>
      </c>
      <c r="D6235" s="313" t="s">
        <v>200</v>
      </c>
      <c r="E6235" s="603" t="s">
        <v>1319</v>
      </c>
      <c r="F6235" s="603"/>
      <c r="G6235" s="314" t="s">
        <v>7</v>
      </c>
      <c r="H6235" s="399">
        <v>1</v>
      </c>
      <c r="I6235" s="316"/>
      <c r="J6235" s="316">
        <v>94.17</v>
      </c>
      <c r="K6235" s="316">
        <v>94.17</v>
      </c>
    </row>
    <row r="6236" spans="1:11" ht="30" customHeight="1" x14ac:dyDescent="0.3">
      <c r="A6236" s="408" t="s">
        <v>1034</v>
      </c>
      <c r="B6236" s="409" t="s">
        <v>1113</v>
      </c>
      <c r="C6236" s="408" t="s">
        <v>395</v>
      </c>
      <c r="D6236" s="408" t="s">
        <v>129</v>
      </c>
      <c r="E6236" s="604" t="s">
        <v>7768</v>
      </c>
      <c r="F6236" s="604"/>
      <c r="G6236" s="410" t="s">
        <v>6</v>
      </c>
      <c r="H6236" s="412">
        <v>0.14399999999999999</v>
      </c>
      <c r="I6236" s="412">
        <v>0</v>
      </c>
      <c r="J6236" s="411">
        <v>33.450000000000003</v>
      </c>
      <c r="K6236" s="411">
        <v>4.8167999999999997</v>
      </c>
    </row>
    <row r="6237" spans="1:11" ht="12.75" customHeight="1" x14ac:dyDescent="0.3">
      <c r="A6237" s="408" t="s">
        <v>1034</v>
      </c>
      <c r="B6237" s="409" t="s">
        <v>1112</v>
      </c>
      <c r="C6237" s="408" t="s">
        <v>395</v>
      </c>
      <c r="D6237" s="408" t="s">
        <v>137</v>
      </c>
      <c r="E6237" s="604" t="s">
        <v>7768</v>
      </c>
      <c r="F6237" s="604"/>
      <c r="G6237" s="410" t="s">
        <v>6</v>
      </c>
      <c r="H6237" s="412">
        <v>0.14399999999999999</v>
      </c>
      <c r="I6237" s="412">
        <v>0</v>
      </c>
      <c r="J6237" s="411">
        <v>40.299999999999997</v>
      </c>
      <c r="K6237" s="411">
        <v>5.8032000000000004</v>
      </c>
    </row>
    <row r="6238" spans="1:11" ht="14.25" customHeight="1" x14ac:dyDescent="0.3">
      <c r="A6238" s="400" t="s">
        <v>1038</v>
      </c>
      <c r="B6238" s="401" t="s">
        <v>3019</v>
      </c>
      <c r="C6238" s="400" t="s">
        <v>395</v>
      </c>
      <c r="D6238" s="400" t="s">
        <v>3020</v>
      </c>
      <c r="E6238" s="605" t="s">
        <v>1039</v>
      </c>
      <c r="F6238" s="605"/>
      <c r="G6238" s="402" t="s">
        <v>7</v>
      </c>
      <c r="H6238" s="403">
        <v>1.0210999999999999</v>
      </c>
      <c r="I6238" s="403">
        <v>0</v>
      </c>
      <c r="J6238" s="404">
        <v>81.819999999999993</v>
      </c>
      <c r="K6238" s="404">
        <v>83.546402</v>
      </c>
    </row>
    <row r="6239" spans="1:11" ht="25.5" customHeight="1" x14ac:dyDescent="0.3">
      <c r="A6239" s="405"/>
      <c r="B6239" s="405"/>
      <c r="C6239" s="405"/>
      <c r="D6239" s="405"/>
      <c r="E6239" s="405" t="s">
        <v>1046</v>
      </c>
      <c r="F6239" s="406">
        <v>7.82</v>
      </c>
      <c r="G6239" s="405" t="s">
        <v>1047</v>
      </c>
      <c r="H6239" s="406">
        <v>0</v>
      </c>
      <c r="I6239" s="405" t="s">
        <v>1048</v>
      </c>
      <c r="J6239" s="406">
        <v>7.82</v>
      </c>
      <c r="K6239"/>
    </row>
    <row r="6240" spans="1:11" ht="15" customHeight="1" thickBot="1" x14ac:dyDescent="0.35">
      <c r="A6240" s="405"/>
      <c r="B6240" s="405"/>
      <c r="C6240" s="405"/>
      <c r="D6240" s="405"/>
      <c r="E6240" s="405" t="s">
        <v>1049</v>
      </c>
      <c r="F6240" s="406">
        <v>0</v>
      </c>
      <c r="G6240" s="405"/>
      <c r="H6240" s="606"/>
      <c r="I6240" s="606" t="s">
        <v>1050</v>
      </c>
      <c r="J6240" s="406">
        <v>94.17</v>
      </c>
      <c r="K6240"/>
    </row>
    <row r="6241" spans="1:11" ht="15.6" thickTop="1" x14ac:dyDescent="0.3">
      <c r="A6241" s="407"/>
      <c r="B6241" s="407"/>
      <c r="C6241" s="407"/>
      <c r="D6241" s="407"/>
      <c r="E6241" s="407"/>
      <c r="F6241" s="407"/>
      <c r="G6241" s="407"/>
      <c r="H6241" s="407"/>
      <c r="I6241" s="407"/>
      <c r="J6241" s="407"/>
      <c r="K6241" s="407"/>
    </row>
    <row r="6242" spans="1:11" ht="25.5" customHeight="1" x14ac:dyDescent="0.3">
      <c r="A6242" s="382" t="s">
        <v>3475</v>
      </c>
      <c r="B6242" s="312" t="s">
        <v>413</v>
      </c>
      <c r="C6242" s="382" t="s">
        <v>414</v>
      </c>
      <c r="D6242" s="382" t="s">
        <v>415</v>
      </c>
      <c r="E6242" s="586" t="s">
        <v>1029</v>
      </c>
      <c r="F6242" s="586"/>
      <c r="G6242" s="383" t="s">
        <v>416</v>
      </c>
      <c r="H6242" s="312" t="s">
        <v>1030</v>
      </c>
      <c r="I6242" s="312" t="s">
        <v>3016</v>
      </c>
      <c r="J6242" s="312" t="s">
        <v>1031</v>
      </c>
      <c r="K6242" s="312" t="s">
        <v>1032</v>
      </c>
    </row>
    <row r="6243" spans="1:11" ht="25.5" customHeight="1" x14ac:dyDescent="0.3">
      <c r="A6243" s="313" t="s">
        <v>1033</v>
      </c>
      <c r="B6243" s="315" t="s">
        <v>2925</v>
      </c>
      <c r="C6243" s="313" t="s">
        <v>395</v>
      </c>
      <c r="D6243" s="313" t="s">
        <v>201</v>
      </c>
      <c r="E6243" s="603" t="s">
        <v>1319</v>
      </c>
      <c r="F6243" s="603"/>
      <c r="G6243" s="314" t="s">
        <v>7</v>
      </c>
      <c r="H6243" s="399">
        <v>1</v>
      </c>
      <c r="I6243" s="316"/>
      <c r="J6243" s="316">
        <v>118.08</v>
      </c>
      <c r="K6243" s="316">
        <v>118.08</v>
      </c>
    </row>
    <row r="6244" spans="1:11" ht="15" customHeight="1" x14ac:dyDescent="0.3">
      <c r="A6244" s="408" t="s">
        <v>1034</v>
      </c>
      <c r="B6244" s="409" t="s">
        <v>1113</v>
      </c>
      <c r="C6244" s="408" t="s">
        <v>395</v>
      </c>
      <c r="D6244" s="408" t="s">
        <v>129</v>
      </c>
      <c r="E6244" s="604" t="s">
        <v>7768</v>
      </c>
      <c r="F6244" s="604"/>
      <c r="G6244" s="410" t="s">
        <v>6</v>
      </c>
      <c r="H6244" s="412">
        <v>0.16</v>
      </c>
      <c r="I6244" s="412">
        <v>0</v>
      </c>
      <c r="J6244" s="411">
        <v>33.450000000000003</v>
      </c>
      <c r="K6244" s="411">
        <v>5.3520000000000003</v>
      </c>
    </row>
    <row r="6245" spans="1:11" ht="25.5" customHeight="1" x14ac:dyDescent="0.3">
      <c r="A6245" s="408" t="s">
        <v>1034</v>
      </c>
      <c r="B6245" s="409" t="s">
        <v>1112</v>
      </c>
      <c r="C6245" s="408" t="s">
        <v>395</v>
      </c>
      <c r="D6245" s="408" t="s">
        <v>137</v>
      </c>
      <c r="E6245" s="604" t="s">
        <v>7768</v>
      </c>
      <c r="F6245" s="604"/>
      <c r="G6245" s="410" t="s">
        <v>6</v>
      </c>
      <c r="H6245" s="412">
        <v>0.16</v>
      </c>
      <c r="I6245" s="412">
        <v>0</v>
      </c>
      <c r="J6245" s="411">
        <v>40.299999999999997</v>
      </c>
      <c r="K6245" s="411">
        <v>6.4480000000000004</v>
      </c>
    </row>
    <row r="6246" spans="1:11" ht="26.4" x14ac:dyDescent="0.3">
      <c r="A6246" s="400" t="s">
        <v>1038</v>
      </c>
      <c r="B6246" s="401" t="s">
        <v>3021</v>
      </c>
      <c r="C6246" s="400" t="s">
        <v>395</v>
      </c>
      <c r="D6246" s="400" t="s">
        <v>3022</v>
      </c>
      <c r="E6246" s="605" t="s">
        <v>1039</v>
      </c>
      <c r="F6246" s="605"/>
      <c r="G6246" s="402" t="s">
        <v>7</v>
      </c>
      <c r="H6246" s="403">
        <v>1.0210999999999999</v>
      </c>
      <c r="I6246" s="403">
        <v>0</v>
      </c>
      <c r="J6246" s="404">
        <v>104.08</v>
      </c>
      <c r="K6246" s="404">
        <v>106.276088</v>
      </c>
    </row>
    <row r="6247" spans="1:11" ht="15" customHeight="1" x14ac:dyDescent="0.3">
      <c r="A6247" s="405"/>
      <c r="B6247" s="405"/>
      <c r="C6247" s="405"/>
      <c r="D6247" s="405"/>
      <c r="E6247" s="405" t="s">
        <v>1046</v>
      </c>
      <c r="F6247" s="406">
        <v>8.69</v>
      </c>
      <c r="G6247" s="405" t="s">
        <v>1047</v>
      </c>
      <c r="H6247" s="406">
        <v>0</v>
      </c>
      <c r="I6247" s="405" t="s">
        <v>1048</v>
      </c>
      <c r="J6247" s="406">
        <v>8.69</v>
      </c>
      <c r="K6247"/>
    </row>
    <row r="6248" spans="1:11" ht="30" customHeight="1" thickBot="1" x14ac:dyDescent="0.35">
      <c r="A6248" s="405"/>
      <c r="B6248" s="405"/>
      <c r="C6248" s="405"/>
      <c r="D6248" s="405"/>
      <c r="E6248" s="405" t="s">
        <v>1049</v>
      </c>
      <c r="F6248" s="406">
        <v>0</v>
      </c>
      <c r="G6248" s="405"/>
      <c r="H6248" s="606"/>
      <c r="I6248" s="606" t="s">
        <v>1050</v>
      </c>
      <c r="J6248" s="406">
        <v>118.08</v>
      </c>
      <c r="K6248"/>
    </row>
    <row r="6249" spans="1:11" ht="12.75" customHeight="1" thickTop="1" x14ac:dyDescent="0.3">
      <c r="A6249" s="407"/>
      <c r="B6249" s="407"/>
      <c r="C6249" s="407"/>
      <c r="D6249" s="407"/>
      <c r="E6249" s="407"/>
      <c r="F6249" s="407"/>
      <c r="G6249" s="407"/>
      <c r="H6249" s="407"/>
      <c r="I6249" s="407"/>
      <c r="J6249" s="407"/>
      <c r="K6249" s="407"/>
    </row>
    <row r="6250" spans="1:11" ht="25.5" customHeight="1" x14ac:dyDescent="0.3">
      <c r="A6250" s="382" t="s">
        <v>3476</v>
      </c>
      <c r="B6250" s="312" t="s">
        <v>413</v>
      </c>
      <c r="C6250" s="382" t="s">
        <v>414</v>
      </c>
      <c r="D6250" s="382" t="s">
        <v>415</v>
      </c>
      <c r="E6250" s="586" t="s">
        <v>1029</v>
      </c>
      <c r="F6250" s="586"/>
      <c r="G6250" s="383" t="s">
        <v>416</v>
      </c>
      <c r="H6250" s="312" t="s">
        <v>1030</v>
      </c>
      <c r="I6250" s="312" t="s">
        <v>3016</v>
      </c>
      <c r="J6250" s="312" t="s">
        <v>1031</v>
      </c>
      <c r="K6250" s="312" t="s">
        <v>1032</v>
      </c>
    </row>
    <row r="6251" spans="1:11" ht="15" customHeight="1" x14ac:dyDescent="0.3">
      <c r="A6251" s="313" t="s">
        <v>1033</v>
      </c>
      <c r="B6251" s="315" t="s">
        <v>2197</v>
      </c>
      <c r="C6251" s="313" t="s">
        <v>408</v>
      </c>
      <c r="D6251" s="313" t="s">
        <v>1950</v>
      </c>
      <c r="E6251" s="603" t="s">
        <v>2264</v>
      </c>
      <c r="F6251" s="603"/>
      <c r="G6251" s="314" t="s">
        <v>4</v>
      </c>
      <c r="H6251" s="399">
        <v>1</v>
      </c>
      <c r="I6251" s="316"/>
      <c r="J6251" s="316">
        <v>83.65</v>
      </c>
      <c r="K6251" s="316">
        <v>83.65</v>
      </c>
    </row>
    <row r="6252" spans="1:11" ht="17.399999999999999" customHeight="1" x14ac:dyDescent="0.3">
      <c r="A6252" s="400" t="s">
        <v>1038</v>
      </c>
      <c r="B6252" s="401" t="s">
        <v>2523</v>
      </c>
      <c r="C6252" s="400" t="s">
        <v>408</v>
      </c>
      <c r="D6252" s="400" t="s">
        <v>2524</v>
      </c>
      <c r="E6252" s="605" t="s">
        <v>1039</v>
      </c>
      <c r="F6252" s="605"/>
      <c r="G6252" s="402" t="s">
        <v>4</v>
      </c>
      <c r="H6252" s="403">
        <v>1</v>
      </c>
      <c r="I6252" s="403">
        <v>0</v>
      </c>
      <c r="J6252" s="404">
        <v>67.48</v>
      </c>
      <c r="K6252" s="404">
        <v>67.48</v>
      </c>
    </row>
    <row r="6253" spans="1:11" ht="15" x14ac:dyDescent="0.3">
      <c r="A6253" s="400" t="s">
        <v>1038</v>
      </c>
      <c r="B6253" s="401" t="s">
        <v>1114</v>
      </c>
      <c r="C6253" s="400" t="s">
        <v>408</v>
      </c>
      <c r="D6253" s="400" t="s">
        <v>1115</v>
      </c>
      <c r="E6253" s="605" t="s">
        <v>1039</v>
      </c>
      <c r="F6253" s="605"/>
      <c r="G6253" s="402" t="s">
        <v>7</v>
      </c>
      <c r="H6253" s="403">
        <v>3.2</v>
      </c>
      <c r="I6253" s="403">
        <v>0</v>
      </c>
      <c r="J6253" s="404">
        <v>0.23</v>
      </c>
      <c r="K6253" s="404">
        <v>0.73599999999999999</v>
      </c>
    </row>
    <row r="6254" spans="1:11" ht="25.5" customHeight="1" x14ac:dyDescent="0.3">
      <c r="A6254" s="400" t="s">
        <v>1038</v>
      </c>
      <c r="B6254" s="401" t="s">
        <v>6301</v>
      </c>
      <c r="C6254" s="400" t="s">
        <v>408</v>
      </c>
      <c r="D6254" s="400" t="s">
        <v>6302</v>
      </c>
      <c r="E6254" s="605" t="s">
        <v>1053</v>
      </c>
      <c r="F6254" s="605"/>
      <c r="G6254" s="402" t="s">
        <v>6</v>
      </c>
      <c r="H6254" s="403">
        <v>0.309</v>
      </c>
      <c r="I6254" s="403">
        <v>0</v>
      </c>
      <c r="J6254" s="404">
        <v>21.59</v>
      </c>
      <c r="K6254" s="404">
        <v>6.6713100000000001</v>
      </c>
    </row>
    <row r="6255" spans="1:11" ht="25.5" customHeight="1" x14ac:dyDescent="0.3">
      <c r="A6255" s="400" t="s">
        <v>1038</v>
      </c>
      <c r="B6255" s="401" t="s">
        <v>6235</v>
      </c>
      <c r="C6255" s="400" t="s">
        <v>408</v>
      </c>
      <c r="D6255" s="400" t="s">
        <v>6236</v>
      </c>
      <c r="E6255" s="605" t="s">
        <v>1053</v>
      </c>
      <c r="F6255" s="605"/>
      <c r="G6255" s="402" t="s">
        <v>6</v>
      </c>
      <c r="H6255" s="403">
        <v>0.309</v>
      </c>
      <c r="I6255" s="403">
        <v>0</v>
      </c>
      <c r="J6255" s="404">
        <v>28.35</v>
      </c>
      <c r="K6255" s="404">
        <v>8.7601499999999994</v>
      </c>
    </row>
    <row r="6256" spans="1:11" ht="14.25" customHeight="1" x14ac:dyDescent="0.3">
      <c r="A6256" s="405"/>
      <c r="B6256" s="405"/>
      <c r="C6256" s="405"/>
      <c r="D6256" s="405"/>
      <c r="E6256" s="405" t="s">
        <v>1046</v>
      </c>
      <c r="F6256" s="406">
        <v>15.43</v>
      </c>
      <c r="G6256" s="405" t="s">
        <v>1047</v>
      </c>
      <c r="H6256" s="406">
        <v>0</v>
      </c>
      <c r="I6256" s="405" t="s">
        <v>1048</v>
      </c>
      <c r="J6256" s="406">
        <v>15.43</v>
      </c>
      <c r="K6256"/>
    </row>
    <row r="6257" spans="1:11" ht="14.25" customHeight="1" thickBot="1" x14ac:dyDescent="0.35">
      <c r="A6257" s="405"/>
      <c r="B6257" s="405"/>
      <c r="C6257" s="405"/>
      <c r="D6257" s="405"/>
      <c r="E6257" s="405" t="s">
        <v>1049</v>
      </c>
      <c r="F6257" s="406">
        <v>0</v>
      </c>
      <c r="G6257" s="405"/>
      <c r="H6257" s="606"/>
      <c r="I6257" s="606" t="s">
        <v>1050</v>
      </c>
      <c r="J6257" s="406">
        <v>83.65</v>
      </c>
      <c r="K6257"/>
    </row>
    <row r="6258" spans="1:11" ht="15" customHeight="1" thickTop="1" x14ac:dyDescent="0.3">
      <c r="A6258" s="407"/>
      <c r="B6258" s="407"/>
      <c r="C6258" s="407"/>
      <c r="D6258" s="407"/>
      <c r="E6258" s="407"/>
      <c r="F6258" s="407"/>
      <c r="G6258" s="407"/>
      <c r="H6258" s="407"/>
      <c r="I6258" s="407"/>
      <c r="J6258" s="407"/>
      <c r="K6258" s="407"/>
    </row>
    <row r="6259" spans="1:11" ht="30" customHeight="1" x14ac:dyDescent="0.3">
      <c r="A6259" s="382" t="s">
        <v>3477</v>
      </c>
      <c r="B6259" s="312" t="s">
        <v>413</v>
      </c>
      <c r="C6259" s="382" t="s">
        <v>414</v>
      </c>
      <c r="D6259" s="382" t="s">
        <v>415</v>
      </c>
      <c r="E6259" s="586" t="s">
        <v>1029</v>
      </c>
      <c r="F6259" s="586"/>
      <c r="G6259" s="383" t="s">
        <v>416</v>
      </c>
      <c r="H6259" s="312" t="s">
        <v>1030</v>
      </c>
      <c r="I6259" s="312" t="s">
        <v>3016</v>
      </c>
      <c r="J6259" s="312" t="s">
        <v>1031</v>
      </c>
      <c r="K6259" s="312" t="s">
        <v>1032</v>
      </c>
    </row>
    <row r="6260" spans="1:11" ht="12.75" customHeight="1" x14ac:dyDescent="0.3">
      <c r="A6260" s="313" t="s">
        <v>1033</v>
      </c>
      <c r="B6260" s="315" t="s">
        <v>3998</v>
      </c>
      <c r="C6260" s="313" t="s">
        <v>5902</v>
      </c>
      <c r="D6260" s="313" t="s">
        <v>3470</v>
      </c>
      <c r="E6260" s="603">
        <v>3.01</v>
      </c>
      <c r="F6260" s="603"/>
      <c r="G6260" s="314" t="s">
        <v>713</v>
      </c>
      <c r="H6260" s="399">
        <v>1</v>
      </c>
      <c r="I6260" s="316"/>
      <c r="J6260" s="316">
        <v>249.81</v>
      </c>
      <c r="K6260" s="316">
        <v>249.81</v>
      </c>
    </row>
    <row r="6261" spans="1:11" ht="12.75" customHeight="1" x14ac:dyDescent="0.3">
      <c r="A6261" s="400" t="s">
        <v>1038</v>
      </c>
      <c r="B6261" s="401" t="s">
        <v>1467</v>
      </c>
      <c r="C6261" s="400" t="s">
        <v>5902</v>
      </c>
      <c r="D6261" s="400" t="s">
        <v>1468</v>
      </c>
      <c r="E6261" s="605" t="s">
        <v>1053</v>
      </c>
      <c r="F6261" s="605"/>
      <c r="G6261" s="402" t="s">
        <v>6</v>
      </c>
      <c r="H6261" s="403">
        <v>11</v>
      </c>
      <c r="I6261" s="403">
        <v>0</v>
      </c>
      <c r="J6261" s="404">
        <v>22.71</v>
      </c>
      <c r="K6261" s="404">
        <v>249.81</v>
      </c>
    </row>
    <row r="6262" spans="1:11" ht="25.5" customHeight="1" x14ac:dyDescent="0.3">
      <c r="A6262" s="405"/>
      <c r="B6262" s="405"/>
      <c r="C6262" s="405"/>
      <c r="D6262" s="405"/>
      <c r="E6262" s="405" t="s">
        <v>1046</v>
      </c>
      <c r="F6262" s="406">
        <v>249.81</v>
      </c>
      <c r="G6262" s="405" t="s">
        <v>1047</v>
      </c>
      <c r="H6262" s="406">
        <v>0</v>
      </c>
      <c r="I6262" s="405" t="s">
        <v>1048</v>
      </c>
      <c r="J6262" s="406">
        <v>249.81</v>
      </c>
      <c r="K6262"/>
    </row>
    <row r="6263" spans="1:11" ht="25.5" customHeight="1" thickBot="1" x14ac:dyDescent="0.35">
      <c r="A6263" s="405"/>
      <c r="B6263" s="405"/>
      <c r="C6263" s="405"/>
      <c r="D6263" s="405"/>
      <c r="E6263" s="405" t="s">
        <v>1049</v>
      </c>
      <c r="F6263" s="406">
        <v>0</v>
      </c>
      <c r="G6263" s="405"/>
      <c r="H6263" s="606"/>
      <c r="I6263" s="606" t="s">
        <v>1050</v>
      </c>
      <c r="J6263" s="406">
        <v>249.81</v>
      </c>
      <c r="K6263"/>
    </row>
    <row r="6264" spans="1:11" ht="30" customHeight="1" thickTop="1" x14ac:dyDescent="0.3">
      <c r="A6264" s="407"/>
      <c r="B6264" s="407"/>
      <c r="C6264" s="407"/>
      <c r="D6264" s="407"/>
      <c r="E6264" s="407"/>
      <c r="F6264" s="407"/>
      <c r="G6264" s="407"/>
      <c r="H6264" s="407"/>
      <c r="I6264" s="407"/>
      <c r="J6264" s="407"/>
      <c r="K6264" s="407"/>
    </row>
    <row r="6265" spans="1:11" ht="15" customHeight="1" x14ac:dyDescent="0.3">
      <c r="A6265" s="382" t="s">
        <v>3478</v>
      </c>
      <c r="B6265" s="312" t="s">
        <v>413</v>
      </c>
      <c r="C6265" s="382" t="s">
        <v>414</v>
      </c>
      <c r="D6265" s="382" t="s">
        <v>415</v>
      </c>
      <c r="E6265" s="586" t="s">
        <v>1029</v>
      </c>
      <c r="F6265" s="586"/>
      <c r="G6265" s="383" t="s">
        <v>416</v>
      </c>
      <c r="H6265" s="312" t="s">
        <v>1030</v>
      </c>
      <c r="I6265" s="312" t="s">
        <v>3016</v>
      </c>
      <c r="J6265" s="312" t="s">
        <v>1031</v>
      </c>
      <c r="K6265" s="312" t="s">
        <v>1032</v>
      </c>
    </row>
    <row r="6266" spans="1:11" ht="14.25" customHeight="1" x14ac:dyDescent="0.3">
      <c r="A6266" s="313" t="s">
        <v>1033</v>
      </c>
      <c r="B6266" s="315" t="s">
        <v>3999</v>
      </c>
      <c r="C6266" s="313" t="s">
        <v>5902</v>
      </c>
      <c r="D6266" s="313" t="s">
        <v>3462</v>
      </c>
      <c r="E6266" s="603">
        <v>5.09</v>
      </c>
      <c r="F6266" s="603"/>
      <c r="G6266" s="314" t="s">
        <v>11</v>
      </c>
      <c r="H6266" s="399">
        <v>1</v>
      </c>
      <c r="I6266" s="316"/>
      <c r="J6266" s="316">
        <v>48.06</v>
      </c>
      <c r="K6266" s="316">
        <v>48.06</v>
      </c>
    </row>
    <row r="6267" spans="1:11" ht="25.5" customHeight="1" x14ac:dyDescent="0.3">
      <c r="A6267" s="400" t="s">
        <v>1038</v>
      </c>
      <c r="B6267" s="401" t="s">
        <v>4496</v>
      </c>
      <c r="C6267" s="400" t="s">
        <v>5902</v>
      </c>
      <c r="D6267" s="400" t="s">
        <v>4497</v>
      </c>
      <c r="E6267" s="605" t="s">
        <v>1039</v>
      </c>
      <c r="F6267" s="605"/>
      <c r="G6267" s="402" t="s">
        <v>11</v>
      </c>
      <c r="H6267" s="403">
        <v>1</v>
      </c>
      <c r="I6267" s="403">
        <v>0</v>
      </c>
      <c r="J6267" s="404">
        <v>48.06</v>
      </c>
      <c r="K6267" s="404">
        <v>48.06</v>
      </c>
    </row>
    <row r="6268" spans="1:11" ht="15" x14ac:dyDescent="0.3">
      <c r="A6268" s="405"/>
      <c r="B6268" s="405"/>
      <c r="C6268" s="405"/>
      <c r="D6268" s="405"/>
      <c r="E6268" s="405" t="s">
        <v>1046</v>
      </c>
      <c r="F6268" s="406">
        <v>0</v>
      </c>
      <c r="G6268" s="405" t="s">
        <v>1047</v>
      </c>
      <c r="H6268" s="406">
        <v>0</v>
      </c>
      <c r="I6268" s="405" t="s">
        <v>1048</v>
      </c>
      <c r="J6268" s="406">
        <v>0</v>
      </c>
      <c r="K6268"/>
    </row>
    <row r="6269" spans="1:11" ht="15" customHeight="1" thickBot="1" x14ac:dyDescent="0.35">
      <c r="A6269" s="405"/>
      <c r="B6269" s="405"/>
      <c r="C6269" s="405"/>
      <c r="D6269" s="405"/>
      <c r="E6269" s="405" t="s">
        <v>1049</v>
      </c>
      <c r="F6269" s="406">
        <v>0</v>
      </c>
      <c r="G6269" s="405"/>
      <c r="H6269" s="606"/>
      <c r="I6269" s="606" t="s">
        <v>1050</v>
      </c>
      <c r="J6269" s="406">
        <v>48.06</v>
      </c>
      <c r="K6269"/>
    </row>
    <row r="6270" spans="1:11" ht="12.75" customHeight="1" thickTop="1" x14ac:dyDescent="0.3">
      <c r="A6270" s="407"/>
      <c r="B6270" s="407"/>
      <c r="C6270" s="407"/>
      <c r="D6270" s="407"/>
      <c r="E6270" s="407"/>
      <c r="F6270" s="407"/>
      <c r="G6270" s="407"/>
      <c r="H6270" s="407"/>
      <c r="I6270" s="407"/>
      <c r="J6270" s="407"/>
      <c r="K6270" s="407"/>
    </row>
    <row r="6271" spans="1:11" ht="25.5" customHeight="1" x14ac:dyDescent="0.3">
      <c r="A6271" s="382" t="s">
        <v>3479</v>
      </c>
      <c r="B6271" s="312" t="s">
        <v>413</v>
      </c>
      <c r="C6271" s="382" t="s">
        <v>414</v>
      </c>
      <c r="D6271" s="382" t="s">
        <v>415</v>
      </c>
      <c r="E6271" s="586" t="s">
        <v>1029</v>
      </c>
      <c r="F6271" s="586"/>
      <c r="G6271" s="383" t="s">
        <v>416</v>
      </c>
      <c r="H6271" s="312" t="s">
        <v>1030</v>
      </c>
      <c r="I6271" s="312" t="s">
        <v>3016</v>
      </c>
      <c r="J6271" s="312" t="s">
        <v>1031</v>
      </c>
      <c r="K6271" s="312" t="s">
        <v>1032</v>
      </c>
    </row>
    <row r="6272" spans="1:11" ht="25.5" customHeight="1" x14ac:dyDescent="0.3">
      <c r="A6272" s="313" t="s">
        <v>1033</v>
      </c>
      <c r="B6272" s="315" t="s">
        <v>4000</v>
      </c>
      <c r="C6272" s="313" t="s">
        <v>5902</v>
      </c>
      <c r="D6272" s="313" t="s">
        <v>6106</v>
      </c>
      <c r="E6272" s="603">
        <v>5.09</v>
      </c>
      <c r="F6272" s="603"/>
      <c r="G6272" s="314" t="s">
        <v>11</v>
      </c>
      <c r="H6272" s="399">
        <v>1</v>
      </c>
      <c r="I6272" s="316"/>
      <c r="J6272" s="316">
        <v>922.99</v>
      </c>
      <c r="K6272" s="316">
        <v>922.99</v>
      </c>
    </row>
    <row r="6273" spans="1:11" ht="12.75" customHeight="1" x14ac:dyDescent="0.3">
      <c r="A6273" s="400" t="s">
        <v>1038</v>
      </c>
      <c r="B6273" s="401" t="s">
        <v>6263</v>
      </c>
      <c r="C6273" s="400" t="s">
        <v>5902</v>
      </c>
      <c r="D6273" s="400" t="s">
        <v>6264</v>
      </c>
      <c r="E6273" s="605" t="s">
        <v>1039</v>
      </c>
      <c r="F6273" s="605"/>
      <c r="G6273" s="402" t="s">
        <v>11</v>
      </c>
      <c r="H6273" s="403">
        <v>1</v>
      </c>
      <c r="I6273" s="403">
        <v>0</v>
      </c>
      <c r="J6273" s="404">
        <v>922.99</v>
      </c>
      <c r="K6273" s="404">
        <v>922.99</v>
      </c>
    </row>
    <row r="6274" spans="1:11" ht="25.5" customHeight="1" x14ac:dyDescent="0.3">
      <c r="A6274" s="405"/>
      <c r="B6274" s="405"/>
      <c r="C6274" s="405"/>
      <c r="D6274" s="405"/>
      <c r="E6274" s="405" t="s">
        <v>1046</v>
      </c>
      <c r="F6274" s="406">
        <v>0</v>
      </c>
      <c r="G6274" s="405" t="s">
        <v>1047</v>
      </c>
      <c r="H6274" s="406">
        <v>0</v>
      </c>
      <c r="I6274" s="405" t="s">
        <v>1048</v>
      </c>
      <c r="J6274" s="406">
        <v>0</v>
      </c>
      <c r="K6274"/>
    </row>
    <row r="6275" spans="1:11" ht="25.5" customHeight="1" thickBot="1" x14ac:dyDescent="0.35">
      <c r="A6275" s="405"/>
      <c r="B6275" s="405"/>
      <c r="C6275" s="405"/>
      <c r="D6275" s="405"/>
      <c r="E6275" s="405" t="s">
        <v>1049</v>
      </c>
      <c r="F6275" s="406">
        <v>0</v>
      </c>
      <c r="G6275" s="405"/>
      <c r="H6275" s="606"/>
      <c r="I6275" s="606" t="s">
        <v>1050</v>
      </c>
      <c r="J6275" s="406">
        <v>922.99</v>
      </c>
      <c r="K6275"/>
    </row>
    <row r="6276" spans="1:11" ht="15" customHeight="1" thickTop="1" x14ac:dyDescent="0.3">
      <c r="A6276" s="407"/>
      <c r="B6276" s="407"/>
      <c r="C6276" s="407"/>
      <c r="D6276" s="407"/>
      <c r="E6276" s="407"/>
      <c r="F6276" s="407"/>
      <c r="G6276" s="407"/>
      <c r="H6276" s="407"/>
      <c r="I6276" s="407"/>
      <c r="J6276" s="407"/>
      <c r="K6276" s="407"/>
    </row>
    <row r="6277" spans="1:11" ht="38.25" customHeight="1" x14ac:dyDescent="0.3">
      <c r="A6277" s="382" t="s">
        <v>3480</v>
      </c>
      <c r="B6277" s="312" t="s">
        <v>413</v>
      </c>
      <c r="C6277" s="382" t="s">
        <v>414</v>
      </c>
      <c r="D6277" s="382" t="s">
        <v>415</v>
      </c>
      <c r="E6277" s="586" t="s">
        <v>1029</v>
      </c>
      <c r="F6277" s="586"/>
      <c r="G6277" s="383" t="s">
        <v>416</v>
      </c>
      <c r="H6277" s="312" t="s">
        <v>1030</v>
      </c>
      <c r="I6277" s="312" t="s">
        <v>3016</v>
      </c>
      <c r="J6277" s="312" t="s">
        <v>1031</v>
      </c>
      <c r="K6277" s="312" t="s">
        <v>1032</v>
      </c>
    </row>
    <row r="6278" spans="1:11" ht="25.5" customHeight="1" x14ac:dyDescent="0.3">
      <c r="A6278" s="313" t="s">
        <v>1033</v>
      </c>
      <c r="B6278" s="315" t="s">
        <v>4001</v>
      </c>
      <c r="C6278" s="313" t="s">
        <v>5902</v>
      </c>
      <c r="D6278" s="313" t="s">
        <v>3463</v>
      </c>
      <c r="E6278" s="603">
        <v>5.08</v>
      </c>
      <c r="F6278" s="603"/>
      <c r="G6278" s="314" t="s">
        <v>120</v>
      </c>
      <c r="H6278" s="399">
        <v>1</v>
      </c>
      <c r="I6278" s="316"/>
      <c r="J6278" s="316">
        <v>2.83</v>
      </c>
      <c r="K6278" s="316">
        <v>2.83</v>
      </c>
    </row>
    <row r="6279" spans="1:11" ht="25.5" customHeight="1" x14ac:dyDescent="0.3">
      <c r="A6279" s="400" t="s">
        <v>1038</v>
      </c>
      <c r="B6279" s="401" t="s">
        <v>4898</v>
      </c>
      <c r="C6279" s="400" t="s">
        <v>5902</v>
      </c>
      <c r="D6279" s="400" t="s">
        <v>4899</v>
      </c>
      <c r="E6279" s="605" t="s">
        <v>1039</v>
      </c>
      <c r="F6279" s="605"/>
      <c r="G6279" s="402" t="s">
        <v>6</v>
      </c>
      <c r="H6279" s="403">
        <v>1.09E-2</v>
      </c>
      <c r="I6279" s="403">
        <v>0</v>
      </c>
      <c r="J6279" s="404">
        <v>259.57</v>
      </c>
      <c r="K6279" s="404">
        <v>2.829313</v>
      </c>
    </row>
    <row r="6280" spans="1:11" ht="15" customHeight="1" x14ac:dyDescent="0.3">
      <c r="A6280" s="405"/>
      <c r="B6280" s="405"/>
      <c r="C6280" s="405"/>
      <c r="D6280" s="405"/>
      <c r="E6280" s="405" t="s">
        <v>1046</v>
      </c>
      <c r="F6280" s="406">
        <v>0</v>
      </c>
      <c r="G6280" s="405" t="s">
        <v>1047</v>
      </c>
      <c r="H6280" s="406">
        <v>0</v>
      </c>
      <c r="I6280" s="405" t="s">
        <v>1048</v>
      </c>
      <c r="J6280" s="406">
        <v>0</v>
      </c>
      <c r="K6280"/>
    </row>
    <row r="6281" spans="1:11" ht="25.5" customHeight="1" thickBot="1" x14ac:dyDescent="0.35">
      <c r="A6281" s="405"/>
      <c r="B6281" s="405"/>
      <c r="C6281" s="405"/>
      <c r="D6281" s="405"/>
      <c r="E6281" s="405" t="s">
        <v>1049</v>
      </c>
      <c r="F6281" s="406">
        <v>0</v>
      </c>
      <c r="G6281" s="405"/>
      <c r="H6281" s="606"/>
      <c r="I6281" s="606" t="s">
        <v>1050</v>
      </c>
      <c r="J6281" s="406">
        <v>2.83</v>
      </c>
      <c r="K6281"/>
    </row>
    <row r="6282" spans="1:11" ht="25.5" customHeight="1" thickTop="1" x14ac:dyDescent="0.3">
      <c r="A6282" s="407"/>
      <c r="B6282" s="407"/>
      <c r="C6282" s="407"/>
      <c r="D6282" s="407"/>
      <c r="E6282" s="407"/>
      <c r="F6282" s="407"/>
      <c r="G6282" s="407"/>
      <c r="H6282" s="407"/>
      <c r="I6282" s="407"/>
      <c r="J6282" s="407"/>
      <c r="K6282" s="407"/>
    </row>
    <row r="6283" spans="1:11" ht="15" x14ac:dyDescent="0.3">
      <c r="A6283" s="382" t="s">
        <v>3481</v>
      </c>
      <c r="B6283" s="312" t="s">
        <v>413</v>
      </c>
      <c r="C6283" s="382" t="s">
        <v>414</v>
      </c>
      <c r="D6283" s="382" t="s">
        <v>415</v>
      </c>
      <c r="E6283" s="586" t="s">
        <v>1029</v>
      </c>
      <c r="F6283" s="586"/>
      <c r="G6283" s="383" t="s">
        <v>416</v>
      </c>
      <c r="H6283" s="312" t="s">
        <v>1030</v>
      </c>
      <c r="I6283" s="312" t="s">
        <v>3016</v>
      </c>
      <c r="J6283" s="312" t="s">
        <v>1031</v>
      </c>
      <c r="K6283" s="312" t="s">
        <v>1032</v>
      </c>
    </row>
    <row r="6284" spans="1:11" ht="26.4" x14ac:dyDescent="0.3">
      <c r="A6284" s="313" t="s">
        <v>1033</v>
      </c>
      <c r="B6284" s="315" t="s">
        <v>4002</v>
      </c>
      <c r="C6284" s="313" t="s">
        <v>5902</v>
      </c>
      <c r="D6284" s="313" t="s">
        <v>3464</v>
      </c>
      <c r="E6284" s="603">
        <v>5.04</v>
      </c>
      <c r="F6284" s="603"/>
      <c r="G6284" s="314" t="s">
        <v>713</v>
      </c>
      <c r="H6284" s="399">
        <v>1</v>
      </c>
      <c r="I6284" s="316"/>
      <c r="J6284" s="316">
        <v>149.09</v>
      </c>
      <c r="K6284" s="316">
        <v>149.09</v>
      </c>
    </row>
    <row r="6285" spans="1:11" ht="12.75" customHeight="1" x14ac:dyDescent="0.3">
      <c r="A6285" s="400" t="s">
        <v>1038</v>
      </c>
      <c r="B6285" s="401" t="s">
        <v>4540</v>
      </c>
      <c r="C6285" s="400" t="s">
        <v>5902</v>
      </c>
      <c r="D6285" s="400" t="s">
        <v>4541</v>
      </c>
      <c r="E6285" s="605" t="s">
        <v>1039</v>
      </c>
      <c r="F6285" s="605"/>
      <c r="G6285" s="402" t="s">
        <v>4</v>
      </c>
      <c r="H6285" s="403">
        <v>9</v>
      </c>
      <c r="I6285" s="403">
        <v>0</v>
      </c>
      <c r="J6285" s="404">
        <v>2.94</v>
      </c>
      <c r="K6285" s="404">
        <v>26.46</v>
      </c>
    </row>
    <row r="6286" spans="1:11" ht="15" customHeight="1" x14ac:dyDescent="0.3">
      <c r="A6286" s="400" t="s">
        <v>1038</v>
      </c>
      <c r="B6286" s="401" t="s">
        <v>1467</v>
      </c>
      <c r="C6286" s="400" t="s">
        <v>5902</v>
      </c>
      <c r="D6286" s="400" t="s">
        <v>1468</v>
      </c>
      <c r="E6286" s="605" t="s">
        <v>1053</v>
      </c>
      <c r="F6286" s="605"/>
      <c r="G6286" s="402" t="s">
        <v>6</v>
      </c>
      <c r="H6286" s="403">
        <v>5.4</v>
      </c>
      <c r="I6286" s="403">
        <v>0</v>
      </c>
      <c r="J6286" s="404">
        <v>22.71</v>
      </c>
      <c r="K6286" s="404">
        <v>122.634</v>
      </c>
    </row>
    <row r="6287" spans="1:11" ht="25.5" customHeight="1" x14ac:dyDescent="0.3">
      <c r="A6287" s="405"/>
      <c r="B6287" s="405"/>
      <c r="C6287" s="405"/>
      <c r="D6287" s="405"/>
      <c r="E6287" s="405" t="s">
        <v>1046</v>
      </c>
      <c r="F6287" s="406">
        <v>122.63</v>
      </c>
      <c r="G6287" s="405" t="s">
        <v>1047</v>
      </c>
      <c r="H6287" s="406">
        <v>0</v>
      </c>
      <c r="I6287" s="405" t="s">
        <v>1048</v>
      </c>
      <c r="J6287" s="406">
        <v>122.63</v>
      </c>
      <c r="K6287"/>
    </row>
    <row r="6288" spans="1:11" ht="15.6" thickBot="1" x14ac:dyDescent="0.35">
      <c r="A6288" s="405"/>
      <c r="B6288" s="405"/>
      <c r="C6288" s="405"/>
      <c r="D6288" s="405"/>
      <c r="E6288" s="405" t="s">
        <v>1049</v>
      </c>
      <c r="F6288" s="406">
        <v>0</v>
      </c>
      <c r="G6288" s="405"/>
      <c r="H6288" s="606"/>
      <c r="I6288" s="606" t="s">
        <v>1050</v>
      </c>
      <c r="J6288" s="406">
        <v>149.09</v>
      </c>
      <c r="K6288"/>
    </row>
    <row r="6289" spans="1:11" ht="14.25" customHeight="1" thickTop="1" x14ac:dyDescent="0.3">
      <c r="A6289" s="407"/>
      <c r="B6289" s="407"/>
      <c r="C6289" s="407"/>
      <c r="D6289" s="407"/>
      <c r="E6289" s="407"/>
      <c r="F6289" s="407"/>
      <c r="G6289" s="407"/>
      <c r="H6289" s="407"/>
      <c r="I6289" s="407"/>
      <c r="J6289" s="407"/>
      <c r="K6289" s="407"/>
    </row>
    <row r="6290" spans="1:11" ht="15" customHeight="1" x14ac:dyDescent="0.3">
      <c r="A6290" s="382" t="s">
        <v>3482</v>
      </c>
      <c r="B6290" s="312" t="s">
        <v>413</v>
      </c>
      <c r="C6290" s="382" t="s">
        <v>414</v>
      </c>
      <c r="D6290" s="382" t="s">
        <v>415</v>
      </c>
      <c r="E6290" s="586" t="s">
        <v>1029</v>
      </c>
      <c r="F6290" s="586"/>
      <c r="G6290" s="383" t="s">
        <v>416</v>
      </c>
      <c r="H6290" s="312" t="s">
        <v>1030</v>
      </c>
      <c r="I6290" s="312" t="s">
        <v>3016</v>
      </c>
      <c r="J6290" s="312" t="s">
        <v>1031</v>
      </c>
      <c r="K6290" s="312" t="s">
        <v>1032</v>
      </c>
    </row>
    <row r="6291" spans="1:11" ht="25.5" customHeight="1" x14ac:dyDescent="0.3">
      <c r="A6291" s="313" t="s">
        <v>1033</v>
      </c>
      <c r="B6291" s="315" t="s">
        <v>4003</v>
      </c>
      <c r="C6291" s="313" t="s">
        <v>395</v>
      </c>
      <c r="D6291" s="313" t="s">
        <v>6107</v>
      </c>
      <c r="E6291" s="603" t="s">
        <v>7887</v>
      </c>
      <c r="F6291" s="603"/>
      <c r="G6291" s="314" t="s">
        <v>713</v>
      </c>
      <c r="H6291" s="399">
        <v>1</v>
      </c>
      <c r="I6291" s="316"/>
      <c r="J6291" s="316">
        <v>291.25</v>
      </c>
      <c r="K6291" s="316">
        <v>291.25</v>
      </c>
    </row>
    <row r="6292" spans="1:11" ht="25.5" customHeight="1" x14ac:dyDescent="0.3">
      <c r="A6292" s="408" t="s">
        <v>1034</v>
      </c>
      <c r="B6292" s="409" t="s">
        <v>5194</v>
      </c>
      <c r="C6292" s="408" t="s">
        <v>395</v>
      </c>
      <c r="D6292" s="408" t="s">
        <v>7822</v>
      </c>
      <c r="E6292" s="604" t="s">
        <v>7772</v>
      </c>
      <c r="F6292" s="604"/>
      <c r="G6292" s="410" t="s">
        <v>19</v>
      </c>
      <c r="H6292" s="412">
        <v>2.504</v>
      </c>
      <c r="I6292" s="412">
        <v>0</v>
      </c>
      <c r="J6292" s="411">
        <v>40.200000000000003</v>
      </c>
      <c r="K6292" s="411">
        <v>100.66079999999999</v>
      </c>
    </row>
    <row r="6293" spans="1:11" ht="12.75" customHeight="1" x14ac:dyDescent="0.3">
      <c r="A6293" s="408" t="s">
        <v>1034</v>
      </c>
      <c r="B6293" s="409" t="s">
        <v>5192</v>
      </c>
      <c r="C6293" s="408" t="s">
        <v>395</v>
      </c>
      <c r="D6293" s="408" t="s">
        <v>5193</v>
      </c>
      <c r="E6293" s="604" t="s">
        <v>7772</v>
      </c>
      <c r="F6293" s="604"/>
      <c r="G6293" s="410" t="s">
        <v>15</v>
      </c>
      <c r="H6293" s="412">
        <v>3.2467999999999999</v>
      </c>
      <c r="I6293" s="412">
        <v>0</v>
      </c>
      <c r="J6293" s="411">
        <v>43.32</v>
      </c>
      <c r="K6293" s="411">
        <v>140.651376</v>
      </c>
    </row>
    <row r="6294" spans="1:11" ht="25.5" customHeight="1" x14ac:dyDescent="0.3">
      <c r="A6294" s="408" t="s">
        <v>1034</v>
      </c>
      <c r="B6294" s="409" t="s">
        <v>1302</v>
      </c>
      <c r="C6294" s="408" t="s">
        <v>395</v>
      </c>
      <c r="D6294" s="408" t="s">
        <v>144</v>
      </c>
      <c r="E6294" s="604" t="s">
        <v>7768</v>
      </c>
      <c r="F6294" s="604"/>
      <c r="G6294" s="410" t="s">
        <v>6</v>
      </c>
      <c r="H6294" s="412">
        <v>0.2034</v>
      </c>
      <c r="I6294" s="412">
        <v>0</v>
      </c>
      <c r="J6294" s="411">
        <v>42.06</v>
      </c>
      <c r="K6294" s="411">
        <v>8.5550040000000003</v>
      </c>
    </row>
    <row r="6295" spans="1:11" ht="25.5" customHeight="1" x14ac:dyDescent="0.3">
      <c r="A6295" s="408" t="s">
        <v>1034</v>
      </c>
      <c r="B6295" s="409" t="s">
        <v>1290</v>
      </c>
      <c r="C6295" s="408" t="s">
        <v>395</v>
      </c>
      <c r="D6295" s="408" t="s">
        <v>147</v>
      </c>
      <c r="E6295" s="604" t="s">
        <v>7768</v>
      </c>
      <c r="F6295" s="604"/>
      <c r="G6295" s="410" t="s">
        <v>6</v>
      </c>
      <c r="H6295" s="412">
        <v>1.2608999999999999</v>
      </c>
      <c r="I6295" s="412">
        <v>0</v>
      </c>
      <c r="J6295" s="411">
        <v>32.82</v>
      </c>
      <c r="K6295" s="411">
        <v>41.382738000000003</v>
      </c>
    </row>
    <row r="6296" spans="1:11" ht="15" customHeight="1" x14ac:dyDescent="0.3">
      <c r="A6296" s="405"/>
      <c r="B6296" s="405"/>
      <c r="C6296" s="405"/>
      <c r="D6296" s="405"/>
      <c r="E6296" s="405" t="s">
        <v>1046</v>
      </c>
      <c r="F6296" s="406">
        <v>209.41</v>
      </c>
      <c r="G6296" s="405" t="s">
        <v>1047</v>
      </c>
      <c r="H6296" s="406">
        <v>0.01</v>
      </c>
      <c r="I6296" s="405" t="s">
        <v>1048</v>
      </c>
      <c r="J6296" s="406">
        <v>209.42</v>
      </c>
      <c r="K6296"/>
    </row>
    <row r="6297" spans="1:11" ht="15.6" thickBot="1" x14ac:dyDescent="0.35">
      <c r="A6297" s="405"/>
      <c r="B6297" s="405"/>
      <c r="C6297" s="405"/>
      <c r="D6297" s="405"/>
      <c r="E6297" s="405" t="s">
        <v>1049</v>
      </c>
      <c r="F6297" s="406">
        <v>0</v>
      </c>
      <c r="G6297" s="405"/>
      <c r="H6297" s="606"/>
      <c r="I6297" s="606" t="s">
        <v>1050</v>
      </c>
      <c r="J6297" s="406">
        <v>291.25</v>
      </c>
      <c r="K6297"/>
    </row>
    <row r="6298" spans="1:11" ht="25.5" customHeight="1" thickTop="1" x14ac:dyDescent="0.3">
      <c r="A6298" s="407"/>
      <c r="B6298" s="407"/>
      <c r="C6298" s="407"/>
      <c r="D6298" s="407"/>
      <c r="E6298" s="407"/>
      <c r="F6298" s="407"/>
      <c r="G6298" s="407"/>
      <c r="H6298" s="407"/>
      <c r="I6298" s="407"/>
      <c r="J6298" s="407"/>
      <c r="K6298" s="407"/>
    </row>
    <row r="6299" spans="1:11" ht="25.5" customHeight="1" x14ac:dyDescent="0.3">
      <c r="A6299" s="382" t="s">
        <v>3483</v>
      </c>
      <c r="B6299" s="312" t="s">
        <v>413</v>
      </c>
      <c r="C6299" s="382" t="s">
        <v>414</v>
      </c>
      <c r="D6299" s="382" t="s">
        <v>415</v>
      </c>
      <c r="E6299" s="586" t="s">
        <v>1029</v>
      </c>
      <c r="F6299" s="586"/>
      <c r="G6299" s="383" t="s">
        <v>416</v>
      </c>
      <c r="H6299" s="312" t="s">
        <v>1030</v>
      </c>
      <c r="I6299" s="312" t="s">
        <v>3016</v>
      </c>
      <c r="J6299" s="312" t="s">
        <v>1031</v>
      </c>
      <c r="K6299" s="312" t="s">
        <v>1032</v>
      </c>
    </row>
    <row r="6300" spans="1:11" ht="15" customHeight="1" x14ac:dyDescent="0.3">
      <c r="A6300" s="313" t="s">
        <v>1033</v>
      </c>
      <c r="B6300" s="315" t="s">
        <v>4004</v>
      </c>
      <c r="C6300" s="313" t="s">
        <v>395</v>
      </c>
      <c r="D6300" s="313" t="s">
        <v>6108</v>
      </c>
      <c r="E6300" s="603" t="s">
        <v>7887</v>
      </c>
      <c r="F6300" s="603"/>
      <c r="G6300" s="314" t="s">
        <v>713</v>
      </c>
      <c r="H6300" s="399">
        <v>1</v>
      </c>
      <c r="I6300" s="316"/>
      <c r="J6300" s="316">
        <v>65.03</v>
      </c>
      <c r="K6300" s="316">
        <v>65.03</v>
      </c>
    </row>
    <row r="6301" spans="1:11" ht="25.5" customHeight="1" x14ac:dyDescent="0.3">
      <c r="A6301" s="408" t="s">
        <v>1034</v>
      </c>
      <c r="B6301" s="409" t="s">
        <v>5260</v>
      </c>
      <c r="C6301" s="408" t="s">
        <v>395</v>
      </c>
      <c r="D6301" s="408" t="s">
        <v>5261</v>
      </c>
      <c r="E6301" s="604" t="s">
        <v>7772</v>
      </c>
      <c r="F6301" s="604"/>
      <c r="G6301" s="410" t="s">
        <v>15</v>
      </c>
      <c r="H6301" s="412">
        <v>0.24</v>
      </c>
      <c r="I6301" s="412">
        <v>0</v>
      </c>
      <c r="J6301" s="411">
        <v>213.39</v>
      </c>
      <c r="K6301" s="411">
        <v>51.2136</v>
      </c>
    </row>
    <row r="6302" spans="1:11" ht="25.5" customHeight="1" x14ac:dyDescent="0.3">
      <c r="A6302" s="408" t="s">
        <v>1034</v>
      </c>
      <c r="B6302" s="409" t="s">
        <v>5262</v>
      </c>
      <c r="C6302" s="408" t="s">
        <v>395</v>
      </c>
      <c r="D6302" s="408" t="s">
        <v>5263</v>
      </c>
      <c r="E6302" s="604" t="s">
        <v>7772</v>
      </c>
      <c r="F6302" s="604"/>
      <c r="G6302" s="410" t="s">
        <v>19</v>
      </c>
      <c r="H6302" s="412">
        <v>0.1394</v>
      </c>
      <c r="I6302" s="412">
        <v>0</v>
      </c>
      <c r="J6302" s="411">
        <v>99.1</v>
      </c>
      <c r="K6302" s="411">
        <v>13.814539999999999</v>
      </c>
    </row>
    <row r="6303" spans="1:11" ht="15" x14ac:dyDescent="0.3">
      <c r="A6303" s="405"/>
      <c r="B6303" s="405"/>
      <c r="C6303" s="405"/>
      <c r="D6303" s="405"/>
      <c r="E6303" s="405" t="s">
        <v>1046</v>
      </c>
      <c r="F6303" s="406">
        <v>11.1</v>
      </c>
      <c r="G6303" s="405" t="s">
        <v>1047</v>
      </c>
      <c r="H6303" s="406">
        <v>0</v>
      </c>
      <c r="I6303" s="405" t="s">
        <v>1048</v>
      </c>
      <c r="J6303" s="406">
        <v>11.1</v>
      </c>
      <c r="K6303"/>
    </row>
    <row r="6304" spans="1:11" ht="17.399999999999999" customHeight="1" thickBot="1" x14ac:dyDescent="0.35">
      <c r="A6304" s="405"/>
      <c r="B6304" s="405"/>
      <c r="C6304" s="405"/>
      <c r="D6304" s="405"/>
      <c r="E6304" s="405" t="s">
        <v>1049</v>
      </c>
      <c r="F6304" s="406">
        <v>0</v>
      </c>
      <c r="G6304" s="405"/>
      <c r="H6304" s="606"/>
      <c r="I6304" s="606" t="s">
        <v>1050</v>
      </c>
      <c r="J6304" s="406">
        <v>65.03</v>
      </c>
      <c r="K6304"/>
    </row>
    <row r="6305" spans="1:11" ht="14.25" customHeight="1" thickTop="1" x14ac:dyDescent="0.3">
      <c r="A6305" s="407"/>
      <c r="B6305" s="407"/>
      <c r="C6305" s="407"/>
      <c r="D6305" s="407"/>
      <c r="E6305" s="407"/>
      <c r="F6305" s="407"/>
      <c r="G6305" s="407"/>
      <c r="H6305" s="407"/>
      <c r="I6305" s="407"/>
      <c r="J6305" s="407"/>
      <c r="K6305" s="407"/>
    </row>
    <row r="6306" spans="1:11" ht="14.25" customHeight="1" x14ac:dyDescent="0.3">
      <c r="A6306" s="382" t="s">
        <v>5834</v>
      </c>
      <c r="B6306" s="312" t="s">
        <v>413</v>
      </c>
      <c r="C6306" s="382" t="s">
        <v>414</v>
      </c>
      <c r="D6306" s="382" t="s">
        <v>415</v>
      </c>
      <c r="E6306" s="586" t="s">
        <v>1029</v>
      </c>
      <c r="F6306" s="586"/>
      <c r="G6306" s="383" t="s">
        <v>416</v>
      </c>
      <c r="H6306" s="312" t="s">
        <v>1030</v>
      </c>
      <c r="I6306" s="312" t="s">
        <v>3016</v>
      </c>
      <c r="J6306" s="312" t="s">
        <v>1031</v>
      </c>
      <c r="K6306" s="312" t="s">
        <v>1032</v>
      </c>
    </row>
    <row r="6307" spans="1:11" ht="26.4" x14ac:dyDescent="0.3">
      <c r="A6307" s="313" t="s">
        <v>1033</v>
      </c>
      <c r="B6307" s="315" t="s">
        <v>4005</v>
      </c>
      <c r="C6307" s="313" t="s">
        <v>395</v>
      </c>
      <c r="D6307" s="313" t="s">
        <v>6109</v>
      </c>
      <c r="E6307" s="603" t="s">
        <v>7887</v>
      </c>
      <c r="F6307" s="603"/>
      <c r="G6307" s="314" t="s">
        <v>675</v>
      </c>
      <c r="H6307" s="399">
        <v>1</v>
      </c>
      <c r="I6307" s="316"/>
      <c r="J6307" s="316">
        <v>37.85</v>
      </c>
      <c r="K6307" s="316">
        <v>37.85</v>
      </c>
    </row>
    <row r="6308" spans="1:11" ht="30" customHeight="1" x14ac:dyDescent="0.3">
      <c r="A6308" s="408" t="s">
        <v>1034</v>
      </c>
      <c r="B6308" s="409" t="s">
        <v>1302</v>
      </c>
      <c r="C6308" s="408" t="s">
        <v>395</v>
      </c>
      <c r="D6308" s="408" t="s">
        <v>144</v>
      </c>
      <c r="E6308" s="604" t="s">
        <v>7768</v>
      </c>
      <c r="F6308" s="604"/>
      <c r="G6308" s="410" t="s">
        <v>6</v>
      </c>
      <c r="H6308" s="412">
        <v>0.28070000000000001</v>
      </c>
      <c r="I6308" s="412">
        <v>0</v>
      </c>
      <c r="J6308" s="411">
        <v>42.06</v>
      </c>
      <c r="K6308" s="411">
        <v>11.806241999999999</v>
      </c>
    </row>
    <row r="6309" spans="1:11" ht="15" customHeight="1" x14ac:dyDescent="0.3">
      <c r="A6309" s="408" t="s">
        <v>1034</v>
      </c>
      <c r="B6309" s="409" t="s">
        <v>1290</v>
      </c>
      <c r="C6309" s="408" t="s">
        <v>395</v>
      </c>
      <c r="D6309" s="408" t="s">
        <v>147</v>
      </c>
      <c r="E6309" s="604" t="s">
        <v>7768</v>
      </c>
      <c r="F6309" s="604"/>
      <c r="G6309" s="410" t="s">
        <v>6</v>
      </c>
      <c r="H6309" s="412">
        <v>0.79359999999999997</v>
      </c>
      <c r="I6309" s="412">
        <v>0</v>
      </c>
      <c r="J6309" s="411">
        <v>32.82</v>
      </c>
      <c r="K6309" s="411">
        <v>26.045952</v>
      </c>
    </row>
    <row r="6310" spans="1:11" ht="14.25" customHeight="1" x14ac:dyDescent="0.3">
      <c r="A6310" s="405"/>
      <c r="B6310" s="405"/>
      <c r="C6310" s="405"/>
      <c r="D6310" s="405"/>
      <c r="E6310" s="405" t="s">
        <v>1046</v>
      </c>
      <c r="F6310" s="406">
        <v>26.88</v>
      </c>
      <c r="G6310" s="405" t="s">
        <v>1047</v>
      </c>
      <c r="H6310" s="406">
        <v>0</v>
      </c>
      <c r="I6310" s="405" t="s">
        <v>1048</v>
      </c>
      <c r="J6310" s="406">
        <v>26.88</v>
      </c>
      <c r="K6310"/>
    </row>
    <row r="6311" spans="1:11" ht="25.5" customHeight="1" thickBot="1" x14ac:dyDescent="0.35">
      <c r="A6311" s="405"/>
      <c r="B6311" s="405"/>
      <c r="C6311" s="405"/>
      <c r="D6311" s="405"/>
      <c r="E6311" s="405" t="s">
        <v>1049</v>
      </c>
      <c r="F6311" s="406">
        <v>0</v>
      </c>
      <c r="G6311" s="405"/>
      <c r="H6311" s="606"/>
      <c r="I6311" s="606" t="s">
        <v>1050</v>
      </c>
      <c r="J6311" s="406">
        <v>37.85</v>
      </c>
      <c r="K6311"/>
    </row>
    <row r="6312" spans="1:11" ht="15.6" thickTop="1" x14ac:dyDescent="0.3">
      <c r="A6312" s="407"/>
      <c r="B6312" s="407"/>
      <c r="C6312" s="407"/>
      <c r="D6312" s="407"/>
      <c r="E6312" s="407"/>
      <c r="F6312" s="407"/>
      <c r="G6312" s="407"/>
      <c r="H6312" s="407"/>
      <c r="I6312" s="407"/>
      <c r="J6312" s="407"/>
      <c r="K6312" s="407"/>
    </row>
    <row r="6313" spans="1:11" ht="15" customHeight="1" x14ac:dyDescent="0.3">
      <c r="A6313" s="382" t="s">
        <v>5837</v>
      </c>
      <c r="B6313" s="312" t="s">
        <v>413</v>
      </c>
      <c r="C6313" s="382" t="s">
        <v>414</v>
      </c>
      <c r="D6313" s="382" t="s">
        <v>415</v>
      </c>
      <c r="E6313" s="586" t="s">
        <v>1029</v>
      </c>
      <c r="F6313" s="586"/>
      <c r="G6313" s="383" t="s">
        <v>416</v>
      </c>
      <c r="H6313" s="312" t="s">
        <v>1030</v>
      </c>
      <c r="I6313" s="312" t="s">
        <v>3016</v>
      </c>
      <c r="J6313" s="312" t="s">
        <v>1031</v>
      </c>
      <c r="K6313" s="312" t="s">
        <v>1032</v>
      </c>
    </row>
    <row r="6314" spans="1:11" ht="25.5" customHeight="1" x14ac:dyDescent="0.3">
      <c r="A6314" s="313" t="s">
        <v>1033</v>
      </c>
      <c r="B6314" s="315" t="s">
        <v>4006</v>
      </c>
      <c r="C6314" s="313" t="s">
        <v>395</v>
      </c>
      <c r="D6314" s="313" t="s">
        <v>6110</v>
      </c>
      <c r="E6314" s="603" t="s">
        <v>7887</v>
      </c>
      <c r="F6314" s="603"/>
      <c r="G6314" s="314" t="s">
        <v>675</v>
      </c>
      <c r="H6314" s="399">
        <v>1</v>
      </c>
      <c r="I6314" s="316"/>
      <c r="J6314" s="316">
        <v>14.66</v>
      </c>
      <c r="K6314" s="316">
        <v>14.66</v>
      </c>
    </row>
    <row r="6315" spans="1:11" ht="25.5" customHeight="1" x14ac:dyDescent="0.3">
      <c r="A6315" s="408" t="s">
        <v>1034</v>
      </c>
      <c r="B6315" s="409" t="s">
        <v>1302</v>
      </c>
      <c r="C6315" s="408" t="s">
        <v>395</v>
      </c>
      <c r="D6315" s="408" t="s">
        <v>144</v>
      </c>
      <c r="E6315" s="604" t="s">
        <v>7768</v>
      </c>
      <c r="F6315" s="604"/>
      <c r="G6315" s="410" t="s">
        <v>6</v>
      </c>
      <c r="H6315" s="412">
        <v>0.1087</v>
      </c>
      <c r="I6315" s="412">
        <v>0</v>
      </c>
      <c r="J6315" s="411">
        <v>42.06</v>
      </c>
      <c r="K6315" s="411">
        <v>4.5719219999999998</v>
      </c>
    </row>
    <row r="6316" spans="1:11" ht="25.5" customHeight="1" x14ac:dyDescent="0.3">
      <c r="A6316" s="408" t="s">
        <v>1034</v>
      </c>
      <c r="B6316" s="409" t="s">
        <v>1290</v>
      </c>
      <c r="C6316" s="408" t="s">
        <v>395</v>
      </c>
      <c r="D6316" s="408" t="s">
        <v>147</v>
      </c>
      <c r="E6316" s="604" t="s">
        <v>7768</v>
      </c>
      <c r="F6316" s="604"/>
      <c r="G6316" s="410" t="s">
        <v>6</v>
      </c>
      <c r="H6316" s="412">
        <v>0.3075</v>
      </c>
      <c r="I6316" s="412">
        <v>0</v>
      </c>
      <c r="J6316" s="411">
        <v>32.82</v>
      </c>
      <c r="K6316" s="411">
        <v>10.09215</v>
      </c>
    </row>
    <row r="6317" spans="1:11" ht="14.25" customHeight="1" x14ac:dyDescent="0.3">
      <c r="A6317" s="405"/>
      <c r="B6317" s="405"/>
      <c r="C6317" s="405"/>
      <c r="D6317" s="405"/>
      <c r="E6317" s="405" t="s">
        <v>1046</v>
      </c>
      <c r="F6317" s="406">
        <v>10.41</v>
      </c>
      <c r="G6317" s="405" t="s">
        <v>1047</v>
      </c>
      <c r="H6317" s="406">
        <v>0</v>
      </c>
      <c r="I6317" s="405" t="s">
        <v>1048</v>
      </c>
      <c r="J6317" s="406">
        <v>10.41</v>
      </c>
      <c r="K6317"/>
    </row>
    <row r="6318" spans="1:11" ht="15.6" thickBot="1" x14ac:dyDescent="0.35">
      <c r="A6318" s="405"/>
      <c r="B6318" s="405"/>
      <c r="C6318" s="405"/>
      <c r="D6318" s="405"/>
      <c r="E6318" s="405" t="s">
        <v>1049</v>
      </c>
      <c r="F6318" s="406">
        <v>0</v>
      </c>
      <c r="G6318" s="405"/>
      <c r="H6318" s="606"/>
      <c r="I6318" s="606" t="s">
        <v>1050</v>
      </c>
      <c r="J6318" s="406">
        <v>14.66</v>
      </c>
      <c r="K6318"/>
    </row>
    <row r="6319" spans="1:11" ht="14.25" customHeight="1" thickTop="1" x14ac:dyDescent="0.3">
      <c r="A6319" s="407"/>
      <c r="B6319" s="407"/>
      <c r="C6319" s="407"/>
      <c r="D6319" s="407"/>
      <c r="E6319" s="407"/>
      <c r="F6319" s="407"/>
      <c r="G6319" s="407"/>
      <c r="H6319" s="407"/>
      <c r="I6319" s="407"/>
      <c r="J6319" s="407"/>
      <c r="K6319" s="407"/>
    </row>
    <row r="6320" spans="1:11" ht="15" x14ac:dyDescent="0.3">
      <c r="A6320" s="382" t="s">
        <v>8483</v>
      </c>
      <c r="B6320" s="312" t="s">
        <v>413</v>
      </c>
      <c r="C6320" s="382" t="s">
        <v>414</v>
      </c>
      <c r="D6320" s="382" t="s">
        <v>415</v>
      </c>
      <c r="E6320" s="586" t="s">
        <v>1029</v>
      </c>
      <c r="F6320" s="586"/>
      <c r="G6320" s="383" t="s">
        <v>416</v>
      </c>
      <c r="H6320" s="312" t="s">
        <v>1030</v>
      </c>
      <c r="I6320" s="312" t="s">
        <v>3016</v>
      </c>
      <c r="J6320" s="312" t="s">
        <v>1031</v>
      </c>
      <c r="K6320" s="312" t="s">
        <v>1032</v>
      </c>
    </row>
    <row r="6321" spans="1:11" ht="25.5" customHeight="1" x14ac:dyDescent="0.3">
      <c r="A6321" s="313" t="s">
        <v>1033</v>
      </c>
      <c r="B6321" s="315" t="s">
        <v>4007</v>
      </c>
      <c r="C6321" s="313" t="s">
        <v>395</v>
      </c>
      <c r="D6321" s="313" t="s">
        <v>6111</v>
      </c>
      <c r="E6321" s="603" t="s">
        <v>7887</v>
      </c>
      <c r="F6321" s="603"/>
      <c r="G6321" s="314" t="s">
        <v>4</v>
      </c>
      <c r="H6321" s="399">
        <v>1</v>
      </c>
      <c r="I6321" s="316"/>
      <c r="J6321" s="316">
        <v>19.28</v>
      </c>
      <c r="K6321" s="316">
        <v>19.28</v>
      </c>
    </row>
    <row r="6322" spans="1:11" ht="15" customHeight="1" x14ac:dyDescent="0.3">
      <c r="A6322" s="408" t="s">
        <v>1034</v>
      </c>
      <c r="B6322" s="409" t="s">
        <v>1112</v>
      </c>
      <c r="C6322" s="408" t="s">
        <v>395</v>
      </c>
      <c r="D6322" s="408" t="s">
        <v>137</v>
      </c>
      <c r="E6322" s="604" t="s">
        <v>7768</v>
      </c>
      <c r="F6322" s="604"/>
      <c r="G6322" s="410" t="s">
        <v>6</v>
      </c>
      <c r="H6322" s="412">
        <v>0.14480000000000001</v>
      </c>
      <c r="I6322" s="412">
        <v>0</v>
      </c>
      <c r="J6322" s="411">
        <v>40.299999999999997</v>
      </c>
      <c r="K6322" s="411">
        <v>5.8354400000000002</v>
      </c>
    </row>
    <row r="6323" spans="1:11" ht="14.25" customHeight="1" x14ac:dyDescent="0.3">
      <c r="A6323" s="408" t="s">
        <v>1034</v>
      </c>
      <c r="B6323" s="409" t="s">
        <v>1290</v>
      </c>
      <c r="C6323" s="408" t="s">
        <v>395</v>
      </c>
      <c r="D6323" s="408" t="s">
        <v>147</v>
      </c>
      <c r="E6323" s="604" t="s">
        <v>7768</v>
      </c>
      <c r="F6323" s="604"/>
      <c r="G6323" s="410" t="s">
        <v>6</v>
      </c>
      <c r="H6323" s="412">
        <v>0.40960000000000002</v>
      </c>
      <c r="I6323" s="412">
        <v>0</v>
      </c>
      <c r="J6323" s="411">
        <v>32.82</v>
      </c>
      <c r="K6323" s="411">
        <v>13.443072000000001</v>
      </c>
    </row>
    <row r="6324" spans="1:11" ht="15" x14ac:dyDescent="0.3">
      <c r="A6324" s="405"/>
      <c r="B6324" s="405"/>
      <c r="C6324" s="405"/>
      <c r="D6324" s="405"/>
      <c r="E6324" s="405" t="s">
        <v>1046</v>
      </c>
      <c r="F6324" s="406">
        <v>13.69</v>
      </c>
      <c r="G6324" s="405" t="s">
        <v>1047</v>
      </c>
      <c r="H6324" s="406">
        <v>0</v>
      </c>
      <c r="I6324" s="405" t="s">
        <v>1048</v>
      </c>
      <c r="J6324" s="406">
        <v>13.69</v>
      </c>
      <c r="K6324"/>
    </row>
    <row r="6325" spans="1:11" ht="15.6" thickBot="1" x14ac:dyDescent="0.35">
      <c r="A6325" s="405"/>
      <c r="B6325" s="405"/>
      <c r="C6325" s="405"/>
      <c r="D6325" s="405"/>
      <c r="E6325" s="405" t="s">
        <v>1049</v>
      </c>
      <c r="F6325" s="406">
        <v>0</v>
      </c>
      <c r="G6325" s="405"/>
      <c r="H6325" s="606"/>
      <c r="I6325" s="606" t="s">
        <v>1050</v>
      </c>
      <c r="J6325" s="406">
        <v>19.28</v>
      </c>
      <c r="K6325"/>
    </row>
    <row r="6326" spans="1:11" ht="14.25" customHeight="1" thickTop="1" x14ac:dyDescent="0.3">
      <c r="A6326" s="407"/>
      <c r="B6326" s="407"/>
      <c r="C6326" s="407"/>
      <c r="D6326" s="407"/>
      <c r="E6326" s="407"/>
      <c r="F6326" s="407"/>
      <c r="G6326" s="407"/>
      <c r="H6326" s="407"/>
      <c r="I6326" s="407"/>
      <c r="J6326" s="407"/>
      <c r="K6326" s="407"/>
    </row>
    <row r="6327" spans="1:11" ht="12.75" customHeight="1" x14ac:dyDescent="0.3">
      <c r="A6327" s="382" t="s">
        <v>8494</v>
      </c>
      <c r="B6327" s="312" t="s">
        <v>413</v>
      </c>
      <c r="C6327" s="382" t="s">
        <v>414</v>
      </c>
      <c r="D6327" s="382" t="s">
        <v>415</v>
      </c>
      <c r="E6327" s="586" t="s">
        <v>1029</v>
      </c>
      <c r="F6327" s="586"/>
      <c r="G6327" s="383" t="s">
        <v>416</v>
      </c>
      <c r="H6327" s="312" t="s">
        <v>1030</v>
      </c>
      <c r="I6327" s="312" t="s">
        <v>3016</v>
      </c>
      <c r="J6327" s="312" t="s">
        <v>1031</v>
      </c>
      <c r="K6327" s="312" t="s">
        <v>1032</v>
      </c>
    </row>
    <row r="6328" spans="1:11" ht="25.5" customHeight="1" x14ac:dyDescent="0.3">
      <c r="A6328" s="313" t="s">
        <v>1033</v>
      </c>
      <c r="B6328" s="315" t="s">
        <v>4008</v>
      </c>
      <c r="C6328" s="313" t="s">
        <v>395</v>
      </c>
      <c r="D6328" s="313" t="s">
        <v>6112</v>
      </c>
      <c r="E6328" s="603" t="s">
        <v>7887</v>
      </c>
      <c r="F6328" s="603"/>
      <c r="G6328" s="314" t="s">
        <v>675</v>
      </c>
      <c r="H6328" s="399">
        <v>1</v>
      </c>
      <c r="I6328" s="316"/>
      <c r="J6328" s="316">
        <v>6.64</v>
      </c>
      <c r="K6328" s="316">
        <v>6.64</v>
      </c>
    </row>
    <row r="6329" spans="1:11" ht="25.5" customHeight="1" x14ac:dyDescent="0.3">
      <c r="A6329" s="408" t="s">
        <v>1034</v>
      </c>
      <c r="B6329" s="409" t="s">
        <v>1290</v>
      </c>
      <c r="C6329" s="408" t="s">
        <v>395</v>
      </c>
      <c r="D6329" s="408" t="s">
        <v>147</v>
      </c>
      <c r="E6329" s="604" t="s">
        <v>7768</v>
      </c>
      <c r="F6329" s="604"/>
      <c r="G6329" s="410" t="s">
        <v>6</v>
      </c>
      <c r="H6329" s="412">
        <v>0.1222</v>
      </c>
      <c r="I6329" s="412">
        <v>0</v>
      </c>
      <c r="J6329" s="411">
        <v>32.82</v>
      </c>
      <c r="K6329" s="411">
        <v>4.0106039999999998</v>
      </c>
    </row>
    <row r="6330" spans="1:11" ht="15" customHeight="1" x14ac:dyDescent="0.3">
      <c r="A6330" s="408" t="s">
        <v>1034</v>
      </c>
      <c r="B6330" s="409" t="s">
        <v>5264</v>
      </c>
      <c r="C6330" s="408" t="s">
        <v>395</v>
      </c>
      <c r="D6330" s="408" t="s">
        <v>5265</v>
      </c>
      <c r="E6330" s="604" t="s">
        <v>7768</v>
      </c>
      <c r="F6330" s="604"/>
      <c r="G6330" s="410" t="s">
        <v>6</v>
      </c>
      <c r="H6330" s="412">
        <v>4.3200000000000002E-2</v>
      </c>
      <c r="I6330" s="412">
        <v>0</v>
      </c>
      <c r="J6330" s="411">
        <v>41.69</v>
      </c>
      <c r="K6330" s="411">
        <v>1.8010079999999999</v>
      </c>
    </row>
    <row r="6331" spans="1:11" ht="25.5" customHeight="1" x14ac:dyDescent="0.3">
      <c r="A6331" s="408" t="s">
        <v>1034</v>
      </c>
      <c r="B6331" s="409" t="s">
        <v>5258</v>
      </c>
      <c r="C6331" s="408" t="s">
        <v>395</v>
      </c>
      <c r="D6331" s="408" t="s">
        <v>5259</v>
      </c>
      <c r="E6331" s="604" t="s">
        <v>7772</v>
      </c>
      <c r="F6331" s="604"/>
      <c r="G6331" s="410" t="s">
        <v>15</v>
      </c>
      <c r="H6331" s="412">
        <v>5.9999999999999995E-4</v>
      </c>
      <c r="I6331" s="412">
        <v>0</v>
      </c>
      <c r="J6331" s="411">
        <v>370.74</v>
      </c>
      <c r="K6331" s="411">
        <v>0.222444</v>
      </c>
    </row>
    <row r="6332" spans="1:11" ht="25.5" customHeight="1" x14ac:dyDescent="0.3">
      <c r="A6332" s="408" t="s">
        <v>1034</v>
      </c>
      <c r="B6332" s="409" t="s">
        <v>5256</v>
      </c>
      <c r="C6332" s="408" t="s">
        <v>395</v>
      </c>
      <c r="D6332" s="408" t="s">
        <v>5257</v>
      </c>
      <c r="E6332" s="604" t="s">
        <v>7772</v>
      </c>
      <c r="F6332" s="604"/>
      <c r="G6332" s="410" t="s">
        <v>19</v>
      </c>
      <c r="H6332" s="412">
        <v>3.0999999999999999E-3</v>
      </c>
      <c r="I6332" s="412">
        <v>0</v>
      </c>
      <c r="J6332" s="411">
        <v>193.93</v>
      </c>
      <c r="K6332" s="411">
        <v>0.60118300000000002</v>
      </c>
    </row>
    <row r="6333" spans="1:11" ht="25.5" customHeight="1" x14ac:dyDescent="0.3">
      <c r="A6333" s="405"/>
      <c r="B6333" s="405"/>
      <c r="C6333" s="405"/>
      <c r="D6333" s="405"/>
      <c r="E6333" s="405" t="s">
        <v>1046</v>
      </c>
      <c r="F6333" s="406">
        <v>4.2699999999999996</v>
      </c>
      <c r="G6333" s="405" t="s">
        <v>1047</v>
      </c>
      <c r="H6333" s="406">
        <v>0</v>
      </c>
      <c r="I6333" s="405" t="s">
        <v>1048</v>
      </c>
      <c r="J6333" s="406">
        <v>4.2699999999999996</v>
      </c>
      <c r="K6333"/>
    </row>
    <row r="6334" spans="1:11" ht="15" customHeight="1" thickBot="1" x14ac:dyDescent="0.35">
      <c r="A6334" s="405"/>
      <c r="B6334" s="405"/>
      <c r="C6334" s="405"/>
      <c r="D6334" s="405"/>
      <c r="E6334" s="405" t="s">
        <v>1049</v>
      </c>
      <c r="F6334" s="406">
        <v>0</v>
      </c>
      <c r="G6334" s="405"/>
      <c r="H6334" s="606"/>
      <c r="I6334" s="606" t="s">
        <v>1050</v>
      </c>
      <c r="J6334" s="406">
        <v>6.64</v>
      </c>
      <c r="K6334"/>
    </row>
    <row r="6335" spans="1:11" ht="25.5" customHeight="1" thickTop="1" x14ac:dyDescent="0.3">
      <c r="A6335" s="407"/>
      <c r="B6335" s="407"/>
      <c r="C6335" s="407"/>
      <c r="D6335" s="407"/>
      <c r="E6335" s="407"/>
      <c r="F6335" s="407"/>
      <c r="G6335" s="407"/>
      <c r="H6335" s="407"/>
      <c r="I6335" s="407"/>
      <c r="J6335" s="407"/>
      <c r="K6335" s="407"/>
    </row>
    <row r="6336" spans="1:11" ht="25.5" customHeight="1" x14ac:dyDescent="0.3">
      <c r="A6336" s="382" t="s">
        <v>5840</v>
      </c>
      <c r="B6336" s="312" t="s">
        <v>413</v>
      </c>
      <c r="C6336" s="382" t="s">
        <v>414</v>
      </c>
      <c r="D6336" s="382" t="s">
        <v>415</v>
      </c>
      <c r="E6336" s="586" t="s">
        <v>1029</v>
      </c>
      <c r="F6336" s="586"/>
      <c r="G6336" s="383" t="s">
        <v>416</v>
      </c>
      <c r="H6336" s="312" t="s">
        <v>1030</v>
      </c>
      <c r="I6336" s="312" t="s">
        <v>3016</v>
      </c>
      <c r="J6336" s="312" t="s">
        <v>1031</v>
      </c>
      <c r="K6336" s="312" t="s">
        <v>1032</v>
      </c>
    </row>
    <row r="6337" spans="1:11" ht="15" customHeight="1" x14ac:dyDescent="0.3">
      <c r="A6337" s="313" t="s">
        <v>1033</v>
      </c>
      <c r="B6337" s="315" t="s">
        <v>4009</v>
      </c>
      <c r="C6337" s="313" t="s">
        <v>395</v>
      </c>
      <c r="D6337" s="313" t="s">
        <v>6113</v>
      </c>
      <c r="E6337" s="603" t="s">
        <v>7887</v>
      </c>
      <c r="F6337" s="603"/>
      <c r="G6337" s="314" t="s">
        <v>675</v>
      </c>
      <c r="H6337" s="399">
        <v>1</v>
      </c>
      <c r="I6337" s="316"/>
      <c r="J6337" s="316">
        <v>48.31</v>
      </c>
      <c r="K6337" s="316">
        <v>48.31</v>
      </c>
    </row>
    <row r="6338" spans="1:11" ht="12.75" customHeight="1" x14ac:dyDescent="0.3">
      <c r="A6338" s="408" t="s">
        <v>1034</v>
      </c>
      <c r="B6338" s="409" t="s">
        <v>1290</v>
      </c>
      <c r="C6338" s="408" t="s">
        <v>395</v>
      </c>
      <c r="D6338" s="408" t="s">
        <v>147</v>
      </c>
      <c r="E6338" s="604" t="s">
        <v>7768</v>
      </c>
      <c r="F6338" s="604"/>
      <c r="G6338" s="410" t="s">
        <v>6</v>
      </c>
      <c r="H6338" s="412">
        <v>0.56520000000000004</v>
      </c>
      <c r="I6338" s="412">
        <v>0</v>
      </c>
      <c r="J6338" s="411">
        <v>32.82</v>
      </c>
      <c r="K6338" s="411">
        <v>18.549863999999999</v>
      </c>
    </row>
    <row r="6339" spans="1:11" ht="26.4" x14ac:dyDescent="0.3">
      <c r="A6339" s="408" t="s">
        <v>1034</v>
      </c>
      <c r="B6339" s="409" t="s">
        <v>5264</v>
      </c>
      <c r="C6339" s="408" t="s">
        <v>395</v>
      </c>
      <c r="D6339" s="408" t="s">
        <v>5265</v>
      </c>
      <c r="E6339" s="604" t="s">
        <v>7768</v>
      </c>
      <c r="F6339" s="604"/>
      <c r="G6339" s="410" t="s">
        <v>6</v>
      </c>
      <c r="H6339" s="412">
        <v>0.19989999999999999</v>
      </c>
      <c r="I6339" s="412">
        <v>0</v>
      </c>
      <c r="J6339" s="411">
        <v>41.69</v>
      </c>
      <c r="K6339" s="411">
        <v>8.333831</v>
      </c>
    </row>
    <row r="6340" spans="1:11" ht="12.75" customHeight="1" x14ac:dyDescent="0.3">
      <c r="A6340" s="408" t="s">
        <v>1034</v>
      </c>
      <c r="B6340" s="409" t="s">
        <v>5267</v>
      </c>
      <c r="C6340" s="408" t="s">
        <v>395</v>
      </c>
      <c r="D6340" s="408" t="s">
        <v>7833</v>
      </c>
      <c r="E6340" s="604" t="s">
        <v>7772</v>
      </c>
      <c r="F6340" s="604"/>
      <c r="G6340" s="410" t="s">
        <v>15</v>
      </c>
      <c r="H6340" s="412">
        <v>0.184</v>
      </c>
      <c r="I6340" s="412">
        <v>0</v>
      </c>
      <c r="J6340" s="411">
        <v>115.52</v>
      </c>
      <c r="K6340" s="411">
        <v>21.255680000000002</v>
      </c>
    </row>
    <row r="6341" spans="1:11" ht="38.25" customHeight="1" x14ac:dyDescent="0.3">
      <c r="A6341" s="408" t="s">
        <v>1034</v>
      </c>
      <c r="B6341" s="409" t="s">
        <v>5266</v>
      </c>
      <c r="C6341" s="408" t="s">
        <v>395</v>
      </c>
      <c r="D6341" s="408" t="s">
        <v>7888</v>
      </c>
      <c r="E6341" s="604" t="s">
        <v>7772</v>
      </c>
      <c r="F6341" s="604"/>
      <c r="G6341" s="410" t="s">
        <v>19</v>
      </c>
      <c r="H6341" s="412">
        <v>0.4491</v>
      </c>
      <c r="I6341" s="412">
        <v>0</v>
      </c>
      <c r="J6341" s="411">
        <v>0.39</v>
      </c>
      <c r="K6341" s="411">
        <v>0.175149</v>
      </c>
    </row>
    <row r="6342" spans="1:11" ht="25.5" customHeight="1" x14ac:dyDescent="0.3">
      <c r="A6342" s="405"/>
      <c r="B6342" s="405"/>
      <c r="C6342" s="405"/>
      <c r="D6342" s="405"/>
      <c r="E6342" s="405" t="s">
        <v>1046</v>
      </c>
      <c r="F6342" s="406">
        <v>19.149999999999999</v>
      </c>
      <c r="G6342" s="405" t="s">
        <v>1047</v>
      </c>
      <c r="H6342" s="406">
        <v>0</v>
      </c>
      <c r="I6342" s="405" t="s">
        <v>1048</v>
      </c>
      <c r="J6342" s="406">
        <v>19.149999999999999</v>
      </c>
      <c r="K6342"/>
    </row>
    <row r="6343" spans="1:11" ht="15" customHeight="1" thickBot="1" x14ac:dyDescent="0.35">
      <c r="A6343" s="405"/>
      <c r="B6343" s="405"/>
      <c r="C6343" s="405"/>
      <c r="D6343" s="405"/>
      <c r="E6343" s="405" t="s">
        <v>1049</v>
      </c>
      <c r="F6343" s="406">
        <v>0</v>
      </c>
      <c r="G6343" s="405"/>
      <c r="H6343" s="606"/>
      <c r="I6343" s="606" t="s">
        <v>1050</v>
      </c>
      <c r="J6343" s="406">
        <v>48.31</v>
      </c>
      <c r="K6343"/>
    </row>
    <row r="6344" spans="1:11" ht="15.6" thickTop="1" x14ac:dyDescent="0.3">
      <c r="A6344" s="407"/>
      <c r="B6344" s="407"/>
      <c r="C6344" s="407"/>
      <c r="D6344" s="407"/>
      <c r="E6344" s="407"/>
      <c r="F6344" s="407"/>
      <c r="G6344" s="407"/>
      <c r="H6344" s="407"/>
      <c r="I6344" s="407"/>
      <c r="J6344" s="407"/>
      <c r="K6344" s="407"/>
    </row>
    <row r="6345" spans="1:11" ht="15" x14ac:dyDescent="0.3">
      <c r="A6345" s="382" t="s">
        <v>5841</v>
      </c>
      <c r="B6345" s="312" t="s">
        <v>413</v>
      </c>
      <c r="C6345" s="382" t="s">
        <v>414</v>
      </c>
      <c r="D6345" s="382" t="s">
        <v>415</v>
      </c>
      <c r="E6345" s="586" t="s">
        <v>1029</v>
      </c>
      <c r="F6345" s="586"/>
      <c r="G6345" s="383" t="s">
        <v>416</v>
      </c>
      <c r="H6345" s="312" t="s">
        <v>1030</v>
      </c>
      <c r="I6345" s="312" t="s">
        <v>3016</v>
      </c>
      <c r="J6345" s="312" t="s">
        <v>1031</v>
      </c>
      <c r="K6345" s="312" t="s">
        <v>1032</v>
      </c>
    </row>
    <row r="6346" spans="1:11" ht="14.25" customHeight="1" x14ac:dyDescent="0.3">
      <c r="A6346" s="313" t="s">
        <v>1033</v>
      </c>
      <c r="B6346" s="315" t="s">
        <v>1015</v>
      </c>
      <c r="C6346" s="313" t="s">
        <v>408</v>
      </c>
      <c r="D6346" s="313" t="s">
        <v>761</v>
      </c>
      <c r="E6346" s="603" t="s">
        <v>2273</v>
      </c>
      <c r="F6346" s="603"/>
      <c r="G6346" s="314" t="s">
        <v>713</v>
      </c>
      <c r="H6346" s="399">
        <v>1</v>
      </c>
      <c r="I6346" s="316"/>
      <c r="J6346" s="316">
        <v>105.66</v>
      </c>
      <c r="K6346" s="316">
        <v>105.66</v>
      </c>
    </row>
    <row r="6347" spans="1:11" ht="15" customHeight="1" x14ac:dyDescent="0.3">
      <c r="A6347" s="408" t="s">
        <v>1034</v>
      </c>
      <c r="B6347" s="409" t="s">
        <v>1153</v>
      </c>
      <c r="C6347" s="408" t="s">
        <v>395</v>
      </c>
      <c r="D6347" s="408" t="s">
        <v>125</v>
      </c>
      <c r="E6347" s="604" t="s">
        <v>7768</v>
      </c>
      <c r="F6347" s="604"/>
      <c r="G6347" s="410" t="s">
        <v>6</v>
      </c>
      <c r="H6347" s="412">
        <v>0.34</v>
      </c>
      <c r="I6347" s="412">
        <v>0</v>
      </c>
      <c r="J6347" s="411">
        <v>34.17</v>
      </c>
      <c r="K6347" s="411">
        <v>11.617800000000001</v>
      </c>
    </row>
    <row r="6348" spans="1:11" ht="25.5" customHeight="1" x14ac:dyDescent="0.3">
      <c r="A6348" s="408" t="s">
        <v>1034</v>
      </c>
      <c r="B6348" s="409" t="s">
        <v>1538</v>
      </c>
      <c r="C6348" s="408" t="s">
        <v>395</v>
      </c>
      <c r="D6348" s="408" t="s">
        <v>141</v>
      </c>
      <c r="E6348" s="604" t="s">
        <v>7768</v>
      </c>
      <c r="F6348" s="604"/>
      <c r="G6348" s="410" t="s">
        <v>6</v>
      </c>
      <c r="H6348" s="412">
        <v>0.26600000000000001</v>
      </c>
      <c r="I6348" s="412">
        <v>0</v>
      </c>
      <c r="J6348" s="411">
        <v>42.37</v>
      </c>
      <c r="K6348" s="411">
        <v>11.27042</v>
      </c>
    </row>
    <row r="6349" spans="1:11" ht="25.5" customHeight="1" x14ac:dyDescent="0.3">
      <c r="A6349" s="408" t="s">
        <v>1034</v>
      </c>
      <c r="B6349" s="409" t="s">
        <v>1289</v>
      </c>
      <c r="C6349" s="408" t="s">
        <v>395</v>
      </c>
      <c r="D6349" s="408" t="s">
        <v>142</v>
      </c>
      <c r="E6349" s="604" t="s">
        <v>7768</v>
      </c>
      <c r="F6349" s="604"/>
      <c r="G6349" s="410" t="s">
        <v>6</v>
      </c>
      <c r="H6349" s="412">
        <v>0.106</v>
      </c>
      <c r="I6349" s="412">
        <v>0</v>
      </c>
      <c r="J6349" s="411">
        <v>43.16</v>
      </c>
      <c r="K6349" s="411">
        <v>4.5749599999999999</v>
      </c>
    </row>
    <row r="6350" spans="1:11" ht="38.25" customHeight="1" x14ac:dyDescent="0.3">
      <c r="A6350" s="400" t="s">
        <v>1038</v>
      </c>
      <c r="B6350" s="401" t="s">
        <v>1539</v>
      </c>
      <c r="C6350" s="400" t="s">
        <v>408</v>
      </c>
      <c r="D6350" s="400" t="s">
        <v>1540</v>
      </c>
      <c r="E6350" s="605" t="s">
        <v>1039</v>
      </c>
      <c r="F6350" s="605"/>
      <c r="G6350" s="402" t="s">
        <v>713</v>
      </c>
      <c r="H6350" s="403">
        <v>1</v>
      </c>
      <c r="I6350" s="403">
        <v>0</v>
      </c>
      <c r="J6350" s="404">
        <v>78.2</v>
      </c>
      <c r="K6350" s="404">
        <v>78.2</v>
      </c>
    </row>
    <row r="6351" spans="1:11" ht="12.75" customHeight="1" x14ac:dyDescent="0.3">
      <c r="A6351" s="405"/>
      <c r="B6351" s="405"/>
      <c r="C6351" s="405"/>
      <c r="D6351" s="405"/>
      <c r="E6351" s="405" t="s">
        <v>1046</v>
      </c>
      <c r="F6351" s="406">
        <v>20.66</v>
      </c>
      <c r="G6351" s="405" t="s">
        <v>1047</v>
      </c>
      <c r="H6351" s="406">
        <v>0.01</v>
      </c>
      <c r="I6351" s="405" t="s">
        <v>1048</v>
      </c>
      <c r="J6351" s="406">
        <v>20.67</v>
      </c>
      <c r="K6351"/>
    </row>
    <row r="6352" spans="1:11" ht="25.5" customHeight="1" thickBot="1" x14ac:dyDescent="0.35">
      <c r="A6352" s="405"/>
      <c r="B6352" s="405"/>
      <c r="C6352" s="405"/>
      <c r="D6352" s="405"/>
      <c r="E6352" s="405" t="s">
        <v>1049</v>
      </c>
      <c r="F6352" s="406">
        <v>0</v>
      </c>
      <c r="G6352" s="405"/>
      <c r="H6352" s="606"/>
      <c r="I6352" s="606" t="s">
        <v>1050</v>
      </c>
      <c r="J6352" s="406">
        <v>105.66</v>
      </c>
      <c r="K6352"/>
    </row>
    <row r="6353" spans="1:11" ht="12.75" customHeight="1" thickTop="1" x14ac:dyDescent="0.3">
      <c r="A6353" s="407"/>
      <c r="B6353" s="407"/>
      <c r="C6353" s="407"/>
      <c r="D6353" s="407"/>
      <c r="E6353" s="407"/>
      <c r="F6353" s="407"/>
      <c r="G6353" s="407"/>
      <c r="H6353" s="407"/>
      <c r="I6353" s="407"/>
      <c r="J6353" s="407"/>
      <c r="K6353" s="407"/>
    </row>
    <row r="6354" spans="1:11" ht="17.399999999999999" customHeight="1" x14ac:dyDescent="0.3">
      <c r="A6354" s="382" t="s">
        <v>8496</v>
      </c>
      <c r="B6354" s="312" t="s">
        <v>413</v>
      </c>
      <c r="C6354" s="382" t="s">
        <v>414</v>
      </c>
      <c r="D6354" s="382" t="s">
        <v>415</v>
      </c>
      <c r="E6354" s="586" t="s">
        <v>1029</v>
      </c>
      <c r="F6354" s="586"/>
      <c r="G6354" s="383" t="s">
        <v>416</v>
      </c>
      <c r="H6354" s="312" t="s">
        <v>1030</v>
      </c>
      <c r="I6354" s="312" t="s">
        <v>3016</v>
      </c>
      <c r="J6354" s="312" t="s">
        <v>1031</v>
      </c>
      <c r="K6354" s="312" t="s">
        <v>1032</v>
      </c>
    </row>
    <row r="6355" spans="1:11" ht="15" x14ac:dyDescent="0.3">
      <c r="A6355" s="313" t="s">
        <v>1033</v>
      </c>
      <c r="B6355" s="315" t="s">
        <v>2168</v>
      </c>
      <c r="C6355" s="313" t="s">
        <v>408</v>
      </c>
      <c r="D6355" s="313" t="s">
        <v>1833</v>
      </c>
      <c r="E6355" s="603" t="s">
        <v>2256</v>
      </c>
      <c r="F6355" s="603"/>
      <c r="G6355" s="314" t="s">
        <v>7</v>
      </c>
      <c r="H6355" s="399">
        <v>1</v>
      </c>
      <c r="I6355" s="316"/>
      <c r="J6355" s="316">
        <v>83.19</v>
      </c>
      <c r="K6355" s="316">
        <v>83.19</v>
      </c>
    </row>
    <row r="6356" spans="1:11" ht="15" customHeight="1" x14ac:dyDescent="0.3">
      <c r="A6356" s="408" t="s">
        <v>1034</v>
      </c>
      <c r="B6356" s="409" t="s">
        <v>1037</v>
      </c>
      <c r="C6356" s="408" t="s">
        <v>395</v>
      </c>
      <c r="D6356" s="408" t="s">
        <v>135</v>
      </c>
      <c r="E6356" s="604" t="s">
        <v>7768</v>
      </c>
      <c r="F6356" s="604"/>
      <c r="G6356" s="410" t="s">
        <v>6</v>
      </c>
      <c r="H6356" s="412">
        <v>0.40400000000000003</v>
      </c>
      <c r="I6356" s="412">
        <v>0</v>
      </c>
      <c r="J6356" s="411">
        <v>41.81</v>
      </c>
      <c r="K6356" s="411">
        <v>16.89124</v>
      </c>
    </row>
    <row r="6357" spans="1:11" ht="26.4" x14ac:dyDescent="0.3">
      <c r="A6357" s="408" t="s">
        <v>1034</v>
      </c>
      <c r="B6357" s="409" t="s">
        <v>1035</v>
      </c>
      <c r="C6357" s="408" t="s">
        <v>395</v>
      </c>
      <c r="D6357" s="408" t="s">
        <v>128</v>
      </c>
      <c r="E6357" s="604" t="s">
        <v>7768</v>
      </c>
      <c r="F6357" s="604"/>
      <c r="G6357" s="410" t="s">
        <v>6</v>
      </c>
      <c r="H6357" s="412">
        <v>0.40400000000000003</v>
      </c>
      <c r="I6357" s="412">
        <v>0</v>
      </c>
      <c r="J6357" s="411">
        <v>34.5</v>
      </c>
      <c r="K6357" s="411">
        <v>13.938000000000001</v>
      </c>
    </row>
    <row r="6358" spans="1:11" ht="12.75" customHeight="1" x14ac:dyDescent="0.3">
      <c r="A6358" s="400" t="s">
        <v>1038</v>
      </c>
      <c r="B6358" s="401" t="s">
        <v>2420</v>
      </c>
      <c r="C6358" s="400" t="s">
        <v>408</v>
      </c>
      <c r="D6358" s="400" t="s">
        <v>2421</v>
      </c>
      <c r="E6358" s="605" t="s">
        <v>1039</v>
      </c>
      <c r="F6358" s="605"/>
      <c r="G6358" s="402" t="s">
        <v>4</v>
      </c>
      <c r="H6358" s="403">
        <v>0.3</v>
      </c>
      <c r="I6358" s="403">
        <v>0</v>
      </c>
      <c r="J6358" s="404">
        <v>12</v>
      </c>
      <c r="K6358" s="404">
        <v>3.6</v>
      </c>
    </row>
    <row r="6359" spans="1:11" ht="45" customHeight="1" x14ac:dyDescent="0.3">
      <c r="A6359" s="400" t="s">
        <v>1038</v>
      </c>
      <c r="B6359" s="401" t="s">
        <v>2467</v>
      </c>
      <c r="C6359" s="400" t="s">
        <v>408</v>
      </c>
      <c r="D6359" s="400" t="s">
        <v>2468</v>
      </c>
      <c r="E6359" s="605" t="s">
        <v>1039</v>
      </c>
      <c r="F6359" s="605"/>
      <c r="G6359" s="402" t="s">
        <v>7</v>
      </c>
      <c r="H6359" s="403">
        <v>1.05</v>
      </c>
      <c r="I6359" s="403">
        <v>0</v>
      </c>
      <c r="J6359" s="404">
        <v>45.52</v>
      </c>
      <c r="K6359" s="404">
        <v>47.795999999999999</v>
      </c>
    </row>
    <row r="6360" spans="1:11" ht="15" customHeight="1" x14ac:dyDescent="0.3">
      <c r="A6360" s="400" t="s">
        <v>1038</v>
      </c>
      <c r="B6360" s="401" t="s">
        <v>2424</v>
      </c>
      <c r="C6360" s="400" t="s">
        <v>408</v>
      </c>
      <c r="D6360" s="400" t="s">
        <v>2425</v>
      </c>
      <c r="E6360" s="605" t="s">
        <v>1039</v>
      </c>
      <c r="F6360" s="605"/>
      <c r="G6360" s="402" t="s">
        <v>4</v>
      </c>
      <c r="H6360" s="403">
        <v>0.3</v>
      </c>
      <c r="I6360" s="403">
        <v>0</v>
      </c>
      <c r="J6360" s="404">
        <v>3.23</v>
      </c>
      <c r="K6360" s="404">
        <v>0.96899999999999997</v>
      </c>
    </row>
    <row r="6361" spans="1:11" ht="15" x14ac:dyDescent="0.3">
      <c r="A6361" s="405"/>
      <c r="B6361" s="405"/>
      <c r="C6361" s="405"/>
      <c r="D6361" s="405"/>
      <c r="E6361" s="405" t="s">
        <v>1046</v>
      </c>
      <c r="F6361" s="406">
        <v>22.49</v>
      </c>
      <c r="G6361" s="405" t="s">
        <v>1047</v>
      </c>
      <c r="H6361" s="406">
        <v>0</v>
      </c>
      <c r="I6361" s="405" t="s">
        <v>1048</v>
      </c>
      <c r="J6361" s="406">
        <v>22.49</v>
      </c>
      <c r="K6361"/>
    </row>
    <row r="6362" spans="1:11" ht="14.25" customHeight="1" thickBot="1" x14ac:dyDescent="0.35">
      <c r="A6362" s="405"/>
      <c r="B6362" s="405"/>
      <c r="C6362" s="405"/>
      <c r="D6362" s="405"/>
      <c r="E6362" s="405" t="s">
        <v>1049</v>
      </c>
      <c r="F6362" s="406">
        <v>0</v>
      </c>
      <c r="G6362" s="405"/>
      <c r="H6362" s="606"/>
      <c r="I6362" s="606" t="s">
        <v>1050</v>
      </c>
      <c r="J6362" s="406">
        <v>83.19</v>
      </c>
      <c r="K6362"/>
    </row>
    <row r="6363" spans="1:11" ht="25.5" customHeight="1" thickTop="1" x14ac:dyDescent="0.3">
      <c r="A6363" s="407"/>
      <c r="B6363" s="407"/>
      <c r="C6363" s="407"/>
      <c r="D6363" s="407"/>
      <c r="E6363" s="407"/>
      <c r="F6363" s="407"/>
      <c r="G6363" s="407"/>
      <c r="H6363" s="407"/>
      <c r="I6363" s="407"/>
      <c r="J6363" s="407"/>
      <c r="K6363" s="407"/>
    </row>
    <row r="6364" spans="1:11" ht="12.75" customHeight="1" x14ac:dyDescent="0.3">
      <c r="A6364" s="382" t="s">
        <v>8497</v>
      </c>
      <c r="B6364" s="312" t="s">
        <v>413</v>
      </c>
      <c r="C6364" s="382" t="s">
        <v>414</v>
      </c>
      <c r="D6364" s="382" t="s">
        <v>415</v>
      </c>
      <c r="E6364" s="586" t="s">
        <v>1029</v>
      </c>
      <c r="F6364" s="586"/>
      <c r="G6364" s="383" t="s">
        <v>416</v>
      </c>
      <c r="H6364" s="312" t="s">
        <v>1030</v>
      </c>
      <c r="I6364" s="312" t="s">
        <v>3016</v>
      </c>
      <c r="J6364" s="312" t="s">
        <v>1031</v>
      </c>
      <c r="K6364" s="312" t="s">
        <v>1032</v>
      </c>
    </row>
    <row r="6365" spans="1:11" ht="26.4" x14ac:dyDescent="0.3">
      <c r="A6365" s="313" t="s">
        <v>1033</v>
      </c>
      <c r="B6365" s="315" t="s">
        <v>5835</v>
      </c>
      <c r="C6365" s="313" t="s">
        <v>5902</v>
      </c>
      <c r="D6365" s="313" t="s">
        <v>5836</v>
      </c>
      <c r="E6365" s="603">
        <v>3.01</v>
      </c>
      <c r="F6365" s="603"/>
      <c r="G6365" s="314" t="s">
        <v>713</v>
      </c>
      <c r="H6365" s="399">
        <v>1</v>
      </c>
      <c r="I6365" s="316"/>
      <c r="J6365" s="316">
        <v>275.57</v>
      </c>
      <c r="K6365" s="316">
        <v>275.57</v>
      </c>
    </row>
    <row r="6366" spans="1:11" ht="12.75" customHeight="1" x14ac:dyDescent="0.3">
      <c r="A6366" s="400" t="s">
        <v>1038</v>
      </c>
      <c r="B6366" s="401" t="s">
        <v>1467</v>
      </c>
      <c r="C6366" s="400" t="s">
        <v>5902</v>
      </c>
      <c r="D6366" s="400" t="s">
        <v>1468</v>
      </c>
      <c r="E6366" s="605" t="s">
        <v>1053</v>
      </c>
      <c r="F6366" s="605"/>
      <c r="G6366" s="402" t="s">
        <v>6</v>
      </c>
      <c r="H6366" s="403">
        <v>4</v>
      </c>
      <c r="I6366" s="403">
        <v>0</v>
      </c>
      <c r="J6366" s="404">
        <v>22.71</v>
      </c>
      <c r="K6366" s="404">
        <v>90.84</v>
      </c>
    </row>
    <row r="6367" spans="1:11" ht="25.5" customHeight="1" x14ac:dyDescent="0.3">
      <c r="A6367" s="400" t="s">
        <v>1038</v>
      </c>
      <c r="B6367" s="401" t="s">
        <v>5849</v>
      </c>
      <c r="C6367" s="400" t="s">
        <v>5902</v>
      </c>
      <c r="D6367" s="400" t="s">
        <v>5850</v>
      </c>
      <c r="E6367" s="605" t="s">
        <v>1039</v>
      </c>
      <c r="F6367" s="605"/>
      <c r="G6367" s="402" t="s">
        <v>6</v>
      </c>
      <c r="H6367" s="403">
        <v>1</v>
      </c>
      <c r="I6367" s="403">
        <v>0</v>
      </c>
      <c r="J6367" s="404">
        <v>108.37</v>
      </c>
      <c r="K6367" s="404">
        <v>108.37</v>
      </c>
    </row>
    <row r="6368" spans="1:11" ht="25.5" customHeight="1" x14ac:dyDescent="0.3">
      <c r="A6368" s="400" t="s">
        <v>1038</v>
      </c>
      <c r="B6368" s="401" t="s">
        <v>5878</v>
      </c>
      <c r="C6368" s="400" t="s">
        <v>5902</v>
      </c>
      <c r="D6368" s="400" t="s">
        <v>5879</v>
      </c>
      <c r="E6368" s="605" t="s">
        <v>1039</v>
      </c>
      <c r="F6368" s="605"/>
      <c r="G6368" s="402" t="s">
        <v>6</v>
      </c>
      <c r="H6368" s="403">
        <v>2</v>
      </c>
      <c r="I6368" s="403">
        <v>0</v>
      </c>
      <c r="J6368" s="404">
        <v>38.18</v>
      </c>
      <c r="K6368" s="404">
        <v>76.36</v>
      </c>
    </row>
    <row r="6369" spans="1:11" ht="15" customHeight="1" x14ac:dyDescent="0.3">
      <c r="A6369" s="405"/>
      <c r="B6369" s="405"/>
      <c r="C6369" s="405"/>
      <c r="D6369" s="405"/>
      <c r="E6369" s="405" t="s">
        <v>1046</v>
      </c>
      <c r="F6369" s="406">
        <v>90.84</v>
      </c>
      <c r="G6369" s="405" t="s">
        <v>1047</v>
      </c>
      <c r="H6369" s="406">
        <v>0</v>
      </c>
      <c r="I6369" s="405" t="s">
        <v>1048</v>
      </c>
      <c r="J6369" s="406">
        <v>90.84</v>
      </c>
      <c r="K6369"/>
    </row>
    <row r="6370" spans="1:11" ht="12.75" customHeight="1" thickBot="1" x14ac:dyDescent="0.35">
      <c r="A6370" s="405"/>
      <c r="B6370" s="405"/>
      <c r="C6370" s="405"/>
      <c r="D6370" s="405"/>
      <c r="E6370" s="405" t="s">
        <v>1049</v>
      </c>
      <c r="F6370" s="406">
        <v>0</v>
      </c>
      <c r="G6370" s="405"/>
      <c r="H6370" s="606"/>
      <c r="I6370" s="606" t="s">
        <v>1050</v>
      </c>
      <c r="J6370" s="406">
        <v>275.57</v>
      </c>
      <c r="K6370"/>
    </row>
    <row r="6371" spans="1:11" ht="15" customHeight="1" thickTop="1" x14ac:dyDescent="0.3">
      <c r="A6371" s="407"/>
      <c r="B6371" s="407"/>
      <c r="C6371" s="407"/>
      <c r="D6371" s="407"/>
      <c r="E6371" s="407"/>
      <c r="F6371" s="407"/>
      <c r="G6371" s="407"/>
      <c r="H6371" s="407"/>
      <c r="I6371" s="407"/>
      <c r="J6371" s="407"/>
      <c r="K6371" s="407"/>
    </row>
    <row r="6372" spans="1:11" ht="16.95" customHeight="1" x14ac:dyDescent="0.3">
      <c r="A6372" s="382" t="s">
        <v>8499</v>
      </c>
      <c r="B6372" s="312" t="s">
        <v>413</v>
      </c>
      <c r="C6372" s="382" t="s">
        <v>414</v>
      </c>
      <c r="D6372" s="382" t="s">
        <v>415</v>
      </c>
      <c r="E6372" s="586" t="s">
        <v>1029</v>
      </c>
      <c r="F6372" s="586"/>
      <c r="G6372" s="383" t="s">
        <v>416</v>
      </c>
      <c r="H6372" s="312" t="s">
        <v>1030</v>
      </c>
      <c r="I6372" s="312" t="s">
        <v>3016</v>
      </c>
      <c r="J6372" s="312" t="s">
        <v>1031</v>
      </c>
      <c r="K6372" s="312" t="s">
        <v>1032</v>
      </c>
    </row>
    <row r="6373" spans="1:11" ht="15" customHeight="1" x14ac:dyDescent="0.3">
      <c r="A6373" s="313" t="s">
        <v>1033</v>
      </c>
      <c r="B6373" s="315" t="s">
        <v>5838</v>
      </c>
      <c r="C6373" s="313" t="s">
        <v>408</v>
      </c>
      <c r="D6373" s="313" t="s">
        <v>5839</v>
      </c>
      <c r="E6373" s="603" t="s">
        <v>5889</v>
      </c>
      <c r="F6373" s="603"/>
      <c r="G6373" s="314" t="s">
        <v>675</v>
      </c>
      <c r="H6373" s="399">
        <v>1</v>
      </c>
      <c r="I6373" s="316"/>
      <c r="J6373" s="316">
        <v>36.590000000000003</v>
      </c>
      <c r="K6373" s="316">
        <v>36.590000000000003</v>
      </c>
    </row>
    <row r="6374" spans="1:11" ht="38.25" customHeight="1" x14ac:dyDescent="0.3">
      <c r="A6374" s="408" t="s">
        <v>1034</v>
      </c>
      <c r="B6374" s="409" t="s">
        <v>1287</v>
      </c>
      <c r="C6374" s="408" t="s">
        <v>395</v>
      </c>
      <c r="D6374" s="408" t="s">
        <v>134</v>
      </c>
      <c r="E6374" s="604" t="s">
        <v>7768</v>
      </c>
      <c r="F6374" s="604"/>
      <c r="G6374" s="410" t="s">
        <v>6</v>
      </c>
      <c r="H6374" s="412">
        <v>0.25800000000000001</v>
      </c>
      <c r="I6374" s="412">
        <v>0</v>
      </c>
      <c r="J6374" s="411">
        <v>42.08</v>
      </c>
      <c r="K6374" s="411">
        <v>10.856640000000001</v>
      </c>
    </row>
    <row r="6375" spans="1:11" ht="14.25" customHeight="1" x14ac:dyDescent="0.3">
      <c r="A6375" s="408" t="s">
        <v>1034</v>
      </c>
      <c r="B6375" s="409" t="s">
        <v>1290</v>
      </c>
      <c r="C6375" s="408" t="s">
        <v>395</v>
      </c>
      <c r="D6375" s="408" t="s">
        <v>147</v>
      </c>
      <c r="E6375" s="604" t="s">
        <v>7768</v>
      </c>
      <c r="F6375" s="604"/>
      <c r="G6375" s="410" t="s">
        <v>6</v>
      </c>
      <c r="H6375" s="412">
        <v>0.78400000000000003</v>
      </c>
      <c r="I6375" s="412">
        <v>0</v>
      </c>
      <c r="J6375" s="411">
        <v>32.82</v>
      </c>
      <c r="K6375" s="411">
        <v>25.730879999999999</v>
      </c>
    </row>
    <row r="6376" spans="1:11" ht="25.5" customHeight="1" x14ac:dyDescent="0.3">
      <c r="A6376" s="405"/>
      <c r="B6376" s="405"/>
      <c r="C6376" s="405"/>
      <c r="D6376" s="405"/>
      <c r="E6376" s="405" t="s">
        <v>1046</v>
      </c>
      <c r="F6376" s="406">
        <v>26.05</v>
      </c>
      <c r="G6376" s="405" t="s">
        <v>1047</v>
      </c>
      <c r="H6376" s="406">
        <v>0</v>
      </c>
      <c r="I6376" s="405" t="s">
        <v>1048</v>
      </c>
      <c r="J6376" s="406">
        <v>26.05</v>
      </c>
      <c r="K6376"/>
    </row>
    <row r="6377" spans="1:11" ht="25.5" customHeight="1" thickBot="1" x14ac:dyDescent="0.35">
      <c r="A6377" s="405"/>
      <c r="B6377" s="405"/>
      <c r="C6377" s="405"/>
      <c r="D6377" s="405"/>
      <c r="E6377" s="405" t="s">
        <v>1049</v>
      </c>
      <c r="F6377" s="406">
        <v>0</v>
      </c>
      <c r="G6377" s="405"/>
      <c r="H6377" s="606"/>
      <c r="I6377" s="606" t="s">
        <v>1050</v>
      </c>
      <c r="J6377" s="406">
        <v>36.590000000000003</v>
      </c>
      <c r="K6377"/>
    </row>
    <row r="6378" spans="1:11" ht="25.5" customHeight="1" thickTop="1" x14ac:dyDescent="0.3">
      <c r="A6378" s="407"/>
      <c r="B6378" s="407"/>
      <c r="C6378" s="407"/>
      <c r="D6378" s="407"/>
      <c r="E6378" s="407"/>
      <c r="F6378" s="407"/>
      <c r="G6378" s="407"/>
      <c r="H6378" s="407"/>
      <c r="I6378" s="407"/>
      <c r="J6378" s="407"/>
      <c r="K6378" s="407"/>
    </row>
    <row r="6379" spans="1:11" ht="25.5" customHeight="1" x14ac:dyDescent="0.3">
      <c r="A6379" s="382" t="s">
        <v>8504</v>
      </c>
      <c r="B6379" s="312" t="s">
        <v>413</v>
      </c>
      <c r="C6379" s="382" t="s">
        <v>414</v>
      </c>
      <c r="D6379" s="382" t="s">
        <v>415</v>
      </c>
      <c r="E6379" s="586" t="s">
        <v>1029</v>
      </c>
      <c r="F6379" s="586"/>
      <c r="G6379" s="383" t="s">
        <v>416</v>
      </c>
      <c r="H6379" s="312" t="s">
        <v>1030</v>
      </c>
      <c r="I6379" s="312" t="s">
        <v>3016</v>
      </c>
      <c r="J6379" s="312" t="s">
        <v>1031</v>
      </c>
      <c r="K6379" s="312" t="s">
        <v>1032</v>
      </c>
    </row>
    <row r="6380" spans="1:11" ht="25.5" customHeight="1" x14ac:dyDescent="0.3">
      <c r="A6380" s="313" t="s">
        <v>1033</v>
      </c>
      <c r="B6380" s="315" t="s">
        <v>5842</v>
      </c>
      <c r="C6380" s="313" t="s">
        <v>408</v>
      </c>
      <c r="D6380" s="313" t="s">
        <v>5843</v>
      </c>
      <c r="E6380" s="603" t="s">
        <v>5889</v>
      </c>
      <c r="F6380" s="603"/>
      <c r="G6380" s="314" t="s">
        <v>675</v>
      </c>
      <c r="H6380" s="399">
        <v>1</v>
      </c>
      <c r="I6380" s="316"/>
      <c r="J6380" s="316">
        <v>33.31</v>
      </c>
      <c r="K6380" s="316">
        <v>33.31</v>
      </c>
    </row>
    <row r="6381" spans="1:11" ht="25.5" customHeight="1" x14ac:dyDescent="0.3">
      <c r="A6381" s="408" t="s">
        <v>1034</v>
      </c>
      <c r="B6381" s="409" t="s">
        <v>1302</v>
      </c>
      <c r="C6381" s="408" t="s">
        <v>395</v>
      </c>
      <c r="D6381" s="408" t="s">
        <v>144</v>
      </c>
      <c r="E6381" s="604" t="s">
        <v>7768</v>
      </c>
      <c r="F6381" s="604"/>
      <c r="G6381" s="410" t="s">
        <v>6</v>
      </c>
      <c r="H6381" s="412">
        <v>0.309</v>
      </c>
      <c r="I6381" s="412">
        <v>0</v>
      </c>
      <c r="J6381" s="411">
        <v>42.06</v>
      </c>
      <c r="K6381" s="411">
        <v>12.99654</v>
      </c>
    </row>
    <row r="6382" spans="1:11" ht="15" customHeight="1" x14ac:dyDescent="0.3">
      <c r="A6382" s="408" t="s">
        <v>1034</v>
      </c>
      <c r="B6382" s="409" t="s">
        <v>1290</v>
      </c>
      <c r="C6382" s="408" t="s">
        <v>395</v>
      </c>
      <c r="D6382" s="408" t="s">
        <v>147</v>
      </c>
      <c r="E6382" s="604" t="s">
        <v>7768</v>
      </c>
      <c r="F6382" s="604"/>
      <c r="G6382" s="410" t="s">
        <v>6</v>
      </c>
      <c r="H6382" s="412">
        <v>0.61899999999999999</v>
      </c>
      <c r="I6382" s="412">
        <v>0</v>
      </c>
      <c r="J6382" s="411">
        <v>32.82</v>
      </c>
      <c r="K6382" s="411">
        <v>20.315580000000001</v>
      </c>
    </row>
    <row r="6383" spans="1:11" ht="15.6" customHeight="1" x14ac:dyDescent="0.3">
      <c r="A6383" s="405"/>
      <c r="B6383" s="405"/>
      <c r="C6383" s="405"/>
      <c r="D6383" s="405"/>
      <c r="E6383" s="405" t="s">
        <v>1046</v>
      </c>
      <c r="F6383" s="406">
        <v>23.84</v>
      </c>
      <c r="G6383" s="405" t="s">
        <v>1047</v>
      </c>
      <c r="H6383" s="406">
        <v>0</v>
      </c>
      <c r="I6383" s="405" t="s">
        <v>1048</v>
      </c>
      <c r="J6383" s="406">
        <v>23.84</v>
      </c>
      <c r="K6383"/>
    </row>
    <row r="6384" spans="1:11" ht="15.6" thickBot="1" x14ac:dyDescent="0.35">
      <c r="A6384" s="405"/>
      <c r="B6384" s="405"/>
      <c r="C6384" s="405"/>
      <c r="D6384" s="405"/>
      <c r="E6384" s="405" t="s">
        <v>1049</v>
      </c>
      <c r="F6384" s="406">
        <v>0</v>
      </c>
      <c r="G6384" s="405"/>
      <c r="H6384" s="606"/>
      <c r="I6384" s="606" t="s">
        <v>1050</v>
      </c>
      <c r="J6384" s="406">
        <v>33.31</v>
      </c>
      <c r="K6384"/>
    </row>
    <row r="6385" spans="1:11" ht="14.25" customHeight="1" thickTop="1" x14ac:dyDescent="0.3">
      <c r="A6385" s="407"/>
      <c r="B6385" s="407"/>
      <c r="C6385" s="407"/>
      <c r="D6385" s="407"/>
      <c r="E6385" s="407"/>
      <c r="F6385" s="407"/>
      <c r="G6385" s="407"/>
      <c r="H6385" s="407"/>
      <c r="I6385" s="407"/>
      <c r="J6385" s="407"/>
      <c r="K6385" s="407"/>
    </row>
    <row r="6386" spans="1:11" ht="15" customHeight="1" x14ac:dyDescent="0.3">
      <c r="A6386" s="382" t="s">
        <v>8506</v>
      </c>
      <c r="B6386" s="312" t="s">
        <v>413</v>
      </c>
      <c r="C6386" s="382" t="s">
        <v>414</v>
      </c>
      <c r="D6386" s="382" t="s">
        <v>415</v>
      </c>
      <c r="E6386" s="586" t="s">
        <v>1029</v>
      </c>
      <c r="F6386" s="586"/>
      <c r="G6386" s="383" t="s">
        <v>416</v>
      </c>
      <c r="H6386" s="312" t="s">
        <v>1030</v>
      </c>
      <c r="I6386" s="312" t="s">
        <v>3016</v>
      </c>
      <c r="J6386" s="312" t="s">
        <v>1031</v>
      </c>
      <c r="K6386" s="312" t="s">
        <v>1032</v>
      </c>
    </row>
    <row r="6387" spans="1:11" ht="25.5" customHeight="1" x14ac:dyDescent="0.3">
      <c r="A6387" s="313" t="s">
        <v>1033</v>
      </c>
      <c r="B6387" s="315" t="s">
        <v>3348</v>
      </c>
      <c r="C6387" s="313" t="s">
        <v>575</v>
      </c>
      <c r="D6387" s="313" t="s">
        <v>6114</v>
      </c>
      <c r="E6387" s="603" t="s">
        <v>1496</v>
      </c>
      <c r="F6387" s="603"/>
      <c r="G6387" s="314" t="s">
        <v>675</v>
      </c>
      <c r="H6387" s="399">
        <v>1</v>
      </c>
      <c r="I6387" s="316"/>
      <c r="J6387" s="316">
        <v>511.35</v>
      </c>
      <c r="K6387" s="316">
        <v>511.35</v>
      </c>
    </row>
    <row r="6388" spans="1:11" ht="25.5" customHeight="1" x14ac:dyDescent="0.3">
      <c r="A6388" s="408" t="s">
        <v>1034</v>
      </c>
      <c r="B6388" s="409" t="s">
        <v>1365</v>
      </c>
      <c r="C6388" s="408" t="s">
        <v>395</v>
      </c>
      <c r="D6388" s="408" t="s">
        <v>146</v>
      </c>
      <c r="E6388" s="604" t="s">
        <v>7768</v>
      </c>
      <c r="F6388" s="604"/>
      <c r="G6388" s="410" t="s">
        <v>6</v>
      </c>
      <c r="H6388" s="412">
        <v>2.835</v>
      </c>
      <c r="I6388" s="412">
        <v>0</v>
      </c>
      <c r="J6388" s="411">
        <v>41.76</v>
      </c>
      <c r="K6388" s="411">
        <v>118.3896</v>
      </c>
    </row>
    <row r="6389" spans="1:11" ht="25.5" customHeight="1" x14ac:dyDescent="0.3">
      <c r="A6389" s="408" t="s">
        <v>1034</v>
      </c>
      <c r="B6389" s="409" t="s">
        <v>1153</v>
      </c>
      <c r="C6389" s="408" t="s">
        <v>395</v>
      </c>
      <c r="D6389" s="408" t="s">
        <v>125</v>
      </c>
      <c r="E6389" s="604" t="s">
        <v>7768</v>
      </c>
      <c r="F6389" s="604"/>
      <c r="G6389" s="410" t="s">
        <v>6</v>
      </c>
      <c r="H6389" s="412">
        <v>2.8410000000000002</v>
      </c>
      <c r="I6389" s="412">
        <v>0</v>
      </c>
      <c r="J6389" s="411">
        <v>34.17</v>
      </c>
      <c r="K6389" s="411">
        <v>97.076970000000003</v>
      </c>
    </row>
    <row r="6390" spans="1:11" ht="25.5" customHeight="1" x14ac:dyDescent="0.3">
      <c r="A6390" s="408" t="s">
        <v>1034</v>
      </c>
      <c r="B6390" s="409" t="s">
        <v>7889</v>
      </c>
      <c r="C6390" s="408" t="s">
        <v>5902</v>
      </c>
      <c r="D6390" s="408" t="s">
        <v>7890</v>
      </c>
      <c r="E6390" s="604">
        <v>15.03</v>
      </c>
      <c r="F6390" s="604"/>
      <c r="G6390" s="410" t="s">
        <v>3</v>
      </c>
      <c r="H6390" s="412">
        <v>4</v>
      </c>
      <c r="I6390" s="412">
        <v>0</v>
      </c>
      <c r="J6390" s="411">
        <v>16.97</v>
      </c>
      <c r="K6390" s="411">
        <v>67.88</v>
      </c>
    </row>
    <row r="6391" spans="1:11" ht="25.5" customHeight="1" x14ac:dyDescent="0.3">
      <c r="A6391" s="408" t="s">
        <v>1034</v>
      </c>
      <c r="B6391" s="409" t="s">
        <v>7891</v>
      </c>
      <c r="C6391" s="408" t="s">
        <v>5902</v>
      </c>
      <c r="D6391" s="408" t="s">
        <v>7892</v>
      </c>
      <c r="E6391" s="604">
        <v>33.07</v>
      </c>
      <c r="F6391" s="604"/>
      <c r="G6391" s="410" t="s">
        <v>3</v>
      </c>
      <c r="H6391" s="412">
        <v>4</v>
      </c>
      <c r="I6391" s="412">
        <v>0</v>
      </c>
      <c r="J6391" s="411">
        <v>4.5</v>
      </c>
      <c r="K6391" s="411">
        <v>18</v>
      </c>
    </row>
    <row r="6392" spans="1:11" ht="17.399999999999999" customHeight="1" x14ac:dyDescent="0.3">
      <c r="A6392" s="400" t="s">
        <v>1038</v>
      </c>
      <c r="B6392" s="401" t="s">
        <v>6484</v>
      </c>
      <c r="C6392" s="400" t="s">
        <v>575</v>
      </c>
      <c r="D6392" s="400" t="s">
        <v>6114</v>
      </c>
      <c r="E6392" s="605" t="s">
        <v>1039</v>
      </c>
      <c r="F6392" s="605"/>
      <c r="G6392" s="402" t="s">
        <v>675</v>
      </c>
      <c r="H6392" s="403">
        <v>1.05</v>
      </c>
      <c r="I6392" s="403">
        <v>0</v>
      </c>
      <c r="J6392" s="404">
        <v>200</v>
      </c>
      <c r="K6392" s="404">
        <v>210</v>
      </c>
    </row>
    <row r="6393" spans="1:11" ht="25.5" customHeight="1" x14ac:dyDescent="0.3">
      <c r="A6393" s="405"/>
      <c r="B6393" s="405"/>
      <c r="C6393" s="405"/>
      <c r="D6393" s="405"/>
      <c r="E6393" s="405" t="s">
        <v>1046</v>
      </c>
      <c r="F6393" s="406">
        <v>183.39</v>
      </c>
      <c r="G6393" s="405" t="s">
        <v>1047</v>
      </c>
      <c r="H6393" s="406">
        <v>0</v>
      </c>
      <c r="I6393" s="405" t="s">
        <v>1048</v>
      </c>
      <c r="J6393" s="406">
        <v>183.39</v>
      </c>
      <c r="K6393"/>
    </row>
    <row r="6394" spans="1:11" ht="25.5" customHeight="1" thickBot="1" x14ac:dyDescent="0.35">
      <c r="A6394" s="405"/>
      <c r="B6394" s="405"/>
      <c r="C6394" s="405"/>
      <c r="D6394" s="405"/>
      <c r="E6394" s="405" t="s">
        <v>1049</v>
      </c>
      <c r="F6394" s="406">
        <v>0</v>
      </c>
      <c r="G6394" s="405"/>
      <c r="H6394" s="606"/>
      <c r="I6394" s="606" t="s">
        <v>1050</v>
      </c>
      <c r="J6394" s="406">
        <v>511.35</v>
      </c>
      <c r="K6394"/>
    </row>
    <row r="6395" spans="1:11" ht="15" customHeight="1" thickTop="1" x14ac:dyDescent="0.3">
      <c r="A6395" s="407"/>
      <c r="B6395" s="407"/>
      <c r="C6395" s="407"/>
      <c r="D6395" s="407"/>
      <c r="E6395" s="407"/>
      <c r="F6395" s="407"/>
      <c r="G6395" s="407"/>
      <c r="H6395" s="407"/>
      <c r="I6395" s="407"/>
      <c r="J6395" s="407"/>
      <c r="K6395" s="407"/>
    </row>
    <row r="6396" spans="1:11" ht="30" customHeight="1" x14ac:dyDescent="0.3">
      <c r="A6396" s="382" t="s">
        <v>8507</v>
      </c>
      <c r="B6396" s="312" t="s">
        <v>413</v>
      </c>
      <c r="C6396" s="382" t="s">
        <v>414</v>
      </c>
      <c r="D6396" s="382" t="s">
        <v>415</v>
      </c>
      <c r="E6396" s="586" t="s">
        <v>1029</v>
      </c>
      <c r="F6396" s="586"/>
      <c r="G6396" s="383" t="s">
        <v>416</v>
      </c>
      <c r="H6396" s="312" t="s">
        <v>1030</v>
      </c>
      <c r="I6396" s="312" t="s">
        <v>3016</v>
      </c>
      <c r="J6396" s="312" t="s">
        <v>1031</v>
      </c>
      <c r="K6396" s="312" t="s">
        <v>1032</v>
      </c>
    </row>
    <row r="6397" spans="1:11" ht="14.25" customHeight="1" x14ac:dyDescent="0.3">
      <c r="A6397" s="313" t="s">
        <v>1033</v>
      </c>
      <c r="B6397" s="315" t="s">
        <v>9665</v>
      </c>
      <c r="C6397" s="313" t="s">
        <v>8393</v>
      </c>
      <c r="D6397" s="313" t="s">
        <v>8394</v>
      </c>
      <c r="E6397" s="603" t="s">
        <v>781</v>
      </c>
      <c r="F6397" s="603"/>
      <c r="G6397" s="314" t="s">
        <v>675</v>
      </c>
      <c r="H6397" s="399">
        <v>1</v>
      </c>
      <c r="I6397" s="316"/>
      <c r="J6397" s="316">
        <v>44.18</v>
      </c>
      <c r="K6397" s="316">
        <v>44.18</v>
      </c>
    </row>
    <row r="6398" spans="1:11" ht="15" x14ac:dyDescent="0.3">
      <c r="A6398" s="400" t="s">
        <v>1038</v>
      </c>
      <c r="B6398" s="401" t="s">
        <v>9561</v>
      </c>
      <c r="C6398" s="400" t="s">
        <v>8393</v>
      </c>
      <c r="D6398" s="400" t="s">
        <v>9562</v>
      </c>
      <c r="E6398" s="605" t="s">
        <v>1039</v>
      </c>
      <c r="F6398" s="605"/>
      <c r="G6398" s="402" t="s">
        <v>422</v>
      </c>
      <c r="H6398" s="403">
        <v>0.5</v>
      </c>
      <c r="I6398" s="403">
        <v>0</v>
      </c>
      <c r="J6398" s="404">
        <v>1.5</v>
      </c>
      <c r="K6398" s="404">
        <v>0.75</v>
      </c>
    </row>
    <row r="6399" spans="1:11" ht="14.25" customHeight="1" x14ac:dyDescent="0.3">
      <c r="A6399" s="400" t="s">
        <v>1038</v>
      </c>
      <c r="B6399" s="401" t="s">
        <v>9584</v>
      </c>
      <c r="C6399" s="400" t="s">
        <v>8393</v>
      </c>
      <c r="D6399" s="400" t="s">
        <v>9585</v>
      </c>
      <c r="E6399" s="605" t="s">
        <v>1039</v>
      </c>
      <c r="F6399" s="605"/>
      <c r="G6399" s="402" t="s">
        <v>1562</v>
      </c>
      <c r="H6399" s="403">
        <v>2.5000000000000001E-2</v>
      </c>
      <c r="I6399" s="403">
        <v>0</v>
      </c>
      <c r="J6399" s="404">
        <v>12.56</v>
      </c>
      <c r="K6399" s="404">
        <v>0.314</v>
      </c>
    </row>
    <row r="6400" spans="1:11" ht="25.5" customHeight="1" x14ac:dyDescent="0.3">
      <c r="A6400" s="400" t="s">
        <v>1038</v>
      </c>
      <c r="B6400" s="401" t="s">
        <v>9462</v>
      </c>
      <c r="C6400" s="400" t="s">
        <v>8393</v>
      </c>
      <c r="D6400" s="400" t="s">
        <v>9463</v>
      </c>
      <c r="E6400" s="605" t="s">
        <v>1039</v>
      </c>
      <c r="F6400" s="605"/>
      <c r="G6400" s="402" t="s">
        <v>9464</v>
      </c>
      <c r="H6400" s="403">
        <v>7.0000000000000007E-2</v>
      </c>
      <c r="I6400" s="403">
        <v>0</v>
      </c>
      <c r="J6400" s="404">
        <v>169</v>
      </c>
      <c r="K6400" s="404">
        <v>11.83</v>
      </c>
    </row>
    <row r="6401" spans="1:11" ht="25.5" customHeight="1" x14ac:dyDescent="0.3">
      <c r="A6401" s="400" t="s">
        <v>1038</v>
      </c>
      <c r="B6401" s="401" t="s">
        <v>9488</v>
      </c>
      <c r="C6401" s="400" t="s">
        <v>8393</v>
      </c>
      <c r="D6401" s="400" t="s">
        <v>9489</v>
      </c>
      <c r="E6401" s="605" t="s">
        <v>1039</v>
      </c>
      <c r="F6401" s="605"/>
      <c r="G6401" s="402" t="s">
        <v>9464</v>
      </c>
      <c r="H6401" s="403">
        <v>0.05</v>
      </c>
      <c r="I6401" s="403">
        <v>0</v>
      </c>
      <c r="J6401" s="404">
        <v>172</v>
      </c>
      <c r="K6401" s="404">
        <v>8.6</v>
      </c>
    </row>
    <row r="6402" spans="1:11" ht="25.5" customHeight="1" x14ac:dyDescent="0.3">
      <c r="A6402" s="400" t="s">
        <v>1038</v>
      </c>
      <c r="B6402" s="401" t="s">
        <v>9425</v>
      </c>
      <c r="C6402" s="400" t="s">
        <v>8393</v>
      </c>
      <c r="D6402" s="400" t="s">
        <v>9426</v>
      </c>
      <c r="E6402" s="605" t="s">
        <v>1053</v>
      </c>
      <c r="F6402" s="605"/>
      <c r="G6402" s="402" t="s">
        <v>1070</v>
      </c>
      <c r="H6402" s="403">
        <v>0.55000000000000004</v>
      </c>
      <c r="I6402" s="403">
        <v>0</v>
      </c>
      <c r="J6402" s="404">
        <v>31.86</v>
      </c>
      <c r="K6402" s="404">
        <v>17.523</v>
      </c>
    </row>
    <row r="6403" spans="1:11" ht="25.5" customHeight="1" x14ac:dyDescent="0.3">
      <c r="A6403" s="400" t="s">
        <v>1038</v>
      </c>
      <c r="B6403" s="401" t="s">
        <v>9523</v>
      </c>
      <c r="C6403" s="400" t="s">
        <v>8393</v>
      </c>
      <c r="D6403" s="400" t="s">
        <v>9524</v>
      </c>
      <c r="E6403" s="605" t="s">
        <v>1053</v>
      </c>
      <c r="F6403" s="605"/>
      <c r="G6403" s="402" t="s">
        <v>1070</v>
      </c>
      <c r="H6403" s="403">
        <v>0.18</v>
      </c>
      <c r="I6403" s="403">
        <v>0</v>
      </c>
      <c r="J6403" s="404">
        <v>24.99</v>
      </c>
      <c r="K6403" s="404">
        <v>4.4981999999999998</v>
      </c>
    </row>
    <row r="6404" spans="1:11" ht="39.6" x14ac:dyDescent="0.3">
      <c r="A6404" s="400" t="s">
        <v>1038</v>
      </c>
      <c r="B6404" s="401" t="s">
        <v>9592</v>
      </c>
      <c r="C6404" s="400" t="s">
        <v>8393</v>
      </c>
      <c r="D6404" s="400" t="s">
        <v>9593</v>
      </c>
      <c r="E6404" s="605" t="s">
        <v>4030</v>
      </c>
      <c r="F6404" s="605"/>
      <c r="G6404" s="402" t="s">
        <v>163</v>
      </c>
      <c r="H6404" s="403">
        <v>22.02</v>
      </c>
      <c r="I6404" s="403">
        <v>0.03</v>
      </c>
      <c r="J6404" s="404">
        <v>1</v>
      </c>
      <c r="K6404" s="404">
        <v>0.66059999999999997</v>
      </c>
    </row>
    <row r="6405" spans="1:11" ht="17.399999999999999" customHeight="1" x14ac:dyDescent="0.3">
      <c r="A6405" s="405"/>
      <c r="B6405" s="405"/>
      <c r="C6405" s="405"/>
      <c r="D6405" s="405"/>
      <c r="E6405" s="405" t="s">
        <v>1046</v>
      </c>
      <c r="F6405" s="406">
        <v>22.02</v>
      </c>
      <c r="G6405" s="405" t="s">
        <v>1047</v>
      </c>
      <c r="H6405" s="406">
        <v>0</v>
      </c>
      <c r="I6405" s="405" t="s">
        <v>1048</v>
      </c>
      <c r="J6405" s="406">
        <v>22.02</v>
      </c>
      <c r="K6405"/>
    </row>
    <row r="6406" spans="1:11" ht="14.25" customHeight="1" thickBot="1" x14ac:dyDescent="0.35">
      <c r="A6406" s="405"/>
      <c r="B6406" s="405"/>
      <c r="C6406" s="405"/>
      <c r="D6406" s="405"/>
      <c r="E6406" s="405" t="s">
        <v>1049</v>
      </c>
      <c r="F6406" s="406">
        <v>0</v>
      </c>
      <c r="G6406" s="405"/>
      <c r="H6406" s="606"/>
      <c r="I6406" s="606" t="s">
        <v>1050</v>
      </c>
      <c r="J6406" s="406">
        <v>44.18</v>
      </c>
      <c r="K6406"/>
    </row>
    <row r="6407" spans="1:11" ht="15.6" thickTop="1" x14ac:dyDescent="0.3">
      <c r="A6407" s="407"/>
      <c r="B6407" s="407"/>
      <c r="C6407" s="407"/>
      <c r="D6407" s="407"/>
      <c r="E6407" s="407"/>
      <c r="F6407" s="407"/>
      <c r="G6407" s="407"/>
      <c r="H6407" s="407"/>
      <c r="I6407" s="407"/>
      <c r="J6407" s="407"/>
      <c r="K6407" s="407"/>
    </row>
    <row r="6408" spans="1:11" ht="15" customHeight="1" x14ac:dyDescent="0.3">
      <c r="A6408" s="382" t="s">
        <v>8526</v>
      </c>
      <c r="B6408" s="312" t="s">
        <v>413</v>
      </c>
      <c r="C6408" s="382" t="s">
        <v>414</v>
      </c>
      <c r="D6408" s="382" t="s">
        <v>415</v>
      </c>
      <c r="E6408" s="586" t="s">
        <v>1029</v>
      </c>
      <c r="F6408" s="586"/>
      <c r="G6408" s="383" t="s">
        <v>416</v>
      </c>
      <c r="H6408" s="312" t="s">
        <v>1030</v>
      </c>
      <c r="I6408" s="312" t="s">
        <v>3016</v>
      </c>
      <c r="J6408" s="312" t="s">
        <v>1031</v>
      </c>
      <c r="K6408" s="312" t="s">
        <v>1032</v>
      </c>
    </row>
    <row r="6409" spans="1:11" ht="16.95" customHeight="1" x14ac:dyDescent="0.3">
      <c r="A6409" s="313" t="s">
        <v>1033</v>
      </c>
      <c r="B6409" s="315" t="s">
        <v>9666</v>
      </c>
      <c r="C6409" s="313" t="s">
        <v>408</v>
      </c>
      <c r="D6409" s="313" t="s">
        <v>8477</v>
      </c>
      <c r="E6409" s="603" t="s">
        <v>2270</v>
      </c>
      <c r="F6409" s="603"/>
      <c r="G6409" s="314" t="s">
        <v>4</v>
      </c>
      <c r="H6409" s="399">
        <v>1</v>
      </c>
      <c r="I6409" s="316"/>
      <c r="J6409" s="316">
        <v>1732.49</v>
      </c>
      <c r="K6409" s="316">
        <v>1732.49</v>
      </c>
    </row>
    <row r="6410" spans="1:11" ht="38.25" customHeight="1" x14ac:dyDescent="0.3">
      <c r="A6410" s="400" t="s">
        <v>1038</v>
      </c>
      <c r="B6410" s="401" t="s">
        <v>1369</v>
      </c>
      <c r="C6410" s="400" t="s">
        <v>408</v>
      </c>
      <c r="D6410" s="400" t="s">
        <v>1370</v>
      </c>
      <c r="E6410" s="605" t="s">
        <v>1039</v>
      </c>
      <c r="F6410" s="605"/>
      <c r="G6410" s="402" t="s">
        <v>3</v>
      </c>
      <c r="H6410" s="403">
        <v>5.1840000000000002</v>
      </c>
      <c r="I6410" s="403">
        <v>0</v>
      </c>
      <c r="J6410" s="404">
        <v>0.71</v>
      </c>
      <c r="K6410" s="404">
        <v>3.6806399999999999</v>
      </c>
    </row>
    <row r="6411" spans="1:11" ht="25.5" customHeight="1" x14ac:dyDescent="0.3">
      <c r="A6411" s="400" t="s">
        <v>1038</v>
      </c>
      <c r="B6411" s="401" t="s">
        <v>1367</v>
      </c>
      <c r="C6411" s="400" t="s">
        <v>408</v>
      </c>
      <c r="D6411" s="400" t="s">
        <v>1368</v>
      </c>
      <c r="E6411" s="605" t="s">
        <v>1039</v>
      </c>
      <c r="F6411" s="605"/>
      <c r="G6411" s="402" t="s">
        <v>713</v>
      </c>
      <c r="H6411" s="403">
        <v>1.2E-2</v>
      </c>
      <c r="I6411" s="403">
        <v>0</v>
      </c>
      <c r="J6411" s="404">
        <v>106.37</v>
      </c>
      <c r="K6411" s="404">
        <v>1.27644</v>
      </c>
    </row>
    <row r="6412" spans="1:11" ht="25.5" customHeight="1" x14ac:dyDescent="0.3">
      <c r="A6412" s="400" t="s">
        <v>1038</v>
      </c>
      <c r="B6412" s="401" t="s">
        <v>9428</v>
      </c>
      <c r="C6412" s="400" t="s">
        <v>408</v>
      </c>
      <c r="D6412" s="400" t="s">
        <v>9429</v>
      </c>
      <c r="E6412" s="605" t="s">
        <v>1039</v>
      </c>
      <c r="F6412" s="605"/>
      <c r="G6412" s="402" t="s">
        <v>675</v>
      </c>
      <c r="H6412" s="403">
        <v>0.12</v>
      </c>
      <c r="I6412" s="403">
        <v>0</v>
      </c>
      <c r="J6412" s="404">
        <v>139.5</v>
      </c>
      <c r="K6412" s="404">
        <v>16.739999999999998</v>
      </c>
    </row>
    <row r="6413" spans="1:11" ht="25.5" customHeight="1" x14ac:dyDescent="0.3">
      <c r="A6413" s="400" t="s">
        <v>1038</v>
      </c>
      <c r="B6413" s="401" t="s">
        <v>1439</v>
      </c>
      <c r="C6413" s="400" t="s">
        <v>408</v>
      </c>
      <c r="D6413" s="400" t="s">
        <v>1440</v>
      </c>
      <c r="E6413" s="605" t="s">
        <v>1039</v>
      </c>
      <c r="F6413" s="605"/>
      <c r="G6413" s="402" t="s">
        <v>7</v>
      </c>
      <c r="H6413" s="403">
        <v>11</v>
      </c>
      <c r="I6413" s="403">
        <v>0</v>
      </c>
      <c r="J6413" s="404">
        <v>13.68</v>
      </c>
      <c r="K6413" s="404">
        <v>150.47999999999999</v>
      </c>
    </row>
    <row r="6414" spans="1:11" ht="25.5" customHeight="1" x14ac:dyDescent="0.3">
      <c r="A6414" s="400" t="s">
        <v>1038</v>
      </c>
      <c r="B6414" s="401" t="s">
        <v>1414</v>
      </c>
      <c r="C6414" s="400" t="s">
        <v>408</v>
      </c>
      <c r="D6414" s="400" t="s">
        <v>1415</v>
      </c>
      <c r="E6414" s="605" t="s">
        <v>1039</v>
      </c>
      <c r="F6414" s="605"/>
      <c r="G6414" s="402" t="s">
        <v>4</v>
      </c>
      <c r="H6414" s="403">
        <v>6</v>
      </c>
      <c r="I6414" s="403">
        <v>0</v>
      </c>
      <c r="J6414" s="404">
        <v>1</v>
      </c>
      <c r="K6414" s="404">
        <v>6</v>
      </c>
    </row>
    <row r="6415" spans="1:11" ht="14.25" customHeight="1" x14ac:dyDescent="0.3">
      <c r="A6415" s="400" t="s">
        <v>1038</v>
      </c>
      <c r="B6415" s="401" t="s">
        <v>1445</v>
      </c>
      <c r="C6415" s="400" t="s">
        <v>408</v>
      </c>
      <c r="D6415" s="400" t="s">
        <v>1446</v>
      </c>
      <c r="E6415" s="605" t="s">
        <v>1039</v>
      </c>
      <c r="F6415" s="605"/>
      <c r="G6415" s="402" t="s">
        <v>3</v>
      </c>
      <c r="H6415" s="403">
        <v>9.1999999999999998E-2</v>
      </c>
      <c r="I6415" s="403">
        <v>0</v>
      </c>
      <c r="J6415" s="404">
        <v>23.22</v>
      </c>
      <c r="K6415" s="404">
        <v>2.1362399999999999</v>
      </c>
    </row>
    <row r="6416" spans="1:11" ht="15" x14ac:dyDescent="0.3">
      <c r="A6416" s="400" t="s">
        <v>1038</v>
      </c>
      <c r="B6416" s="401" t="s">
        <v>9000</v>
      </c>
      <c r="C6416" s="400" t="s">
        <v>408</v>
      </c>
      <c r="D6416" s="400" t="s">
        <v>9001</v>
      </c>
      <c r="E6416" s="605" t="s">
        <v>1039</v>
      </c>
      <c r="F6416" s="605"/>
      <c r="G6416" s="402" t="s">
        <v>4</v>
      </c>
      <c r="H6416" s="403">
        <v>2</v>
      </c>
      <c r="I6416" s="403">
        <v>0</v>
      </c>
      <c r="J6416" s="404">
        <v>139</v>
      </c>
      <c r="K6416" s="404">
        <v>278</v>
      </c>
    </row>
    <row r="6417" spans="1:11" ht="15" customHeight="1" x14ac:dyDescent="0.3">
      <c r="A6417" s="400" t="s">
        <v>1038</v>
      </c>
      <c r="B6417" s="401" t="s">
        <v>1443</v>
      </c>
      <c r="C6417" s="400" t="s">
        <v>408</v>
      </c>
      <c r="D6417" s="400" t="s">
        <v>1444</v>
      </c>
      <c r="E6417" s="605" t="s">
        <v>1039</v>
      </c>
      <c r="F6417" s="605"/>
      <c r="G6417" s="402" t="s">
        <v>3</v>
      </c>
      <c r="H6417" s="403">
        <v>2.8000000000000001E-2</v>
      </c>
      <c r="I6417" s="403">
        <v>0</v>
      </c>
      <c r="J6417" s="404">
        <v>39.44</v>
      </c>
      <c r="K6417" s="404">
        <v>1.10432</v>
      </c>
    </row>
    <row r="6418" spans="1:11" ht="16.95" customHeight="1" x14ac:dyDescent="0.3">
      <c r="A6418" s="400" t="s">
        <v>1038</v>
      </c>
      <c r="B6418" s="401" t="s">
        <v>9062</v>
      </c>
      <c r="C6418" s="400" t="s">
        <v>408</v>
      </c>
      <c r="D6418" s="400" t="s">
        <v>9063</v>
      </c>
      <c r="E6418" s="605" t="s">
        <v>1039</v>
      </c>
      <c r="F6418" s="605"/>
      <c r="G6418" s="402" t="s">
        <v>4</v>
      </c>
      <c r="H6418" s="403">
        <v>2</v>
      </c>
      <c r="I6418" s="403">
        <v>0</v>
      </c>
      <c r="J6418" s="404">
        <v>104.9</v>
      </c>
      <c r="K6418" s="404">
        <v>209.8</v>
      </c>
    </row>
    <row r="6419" spans="1:11" ht="12.75" customHeight="1" x14ac:dyDescent="0.3">
      <c r="A6419" s="400" t="s">
        <v>1038</v>
      </c>
      <c r="B6419" s="401" t="s">
        <v>1437</v>
      </c>
      <c r="C6419" s="400" t="s">
        <v>408</v>
      </c>
      <c r="D6419" s="400" t="s">
        <v>1438</v>
      </c>
      <c r="E6419" s="605" t="s">
        <v>1039</v>
      </c>
      <c r="F6419" s="605"/>
      <c r="G6419" s="402" t="s">
        <v>4</v>
      </c>
      <c r="H6419" s="403">
        <v>1</v>
      </c>
      <c r="I6419" s="403">
        <v>0</v>
      </c>
      <c r="J6419" s="404">
        <v>239.9</v>
      </c>
      <c r="K6419" s="404">
        <v>239.9</v>
      </c>
    </row>
    <row r="6420" spans="1:11" ht="25.5" customHeight="1" x14ac:dyDescent="0.3">
      <c r="A6420" s="400" t="s">
        <v>1038</v>
      </c>
      <c r="B6420" s="401" t="s">
        <v>6290</v>
      </c>
      <c r="C6420" s="400" t="s">
        <v>408</v>
      </c>
      <c r="D6420" s="400" t="s">
        <v>6291</v>
      </c>
      <c r="E6420" s="605" t="s">
        <v>1053</v>
      </c>
      <c r="F6420" s="605"/>
      <c r="G6420" s="402" t="s">
        <v>6</v>
      </c>
      <c r="H6420" s="403">
        <v>18</v>
      </c>
      <c r="I6420" s="403">
        <v>0</v>
      </c>
      <c r="J6420" s="404">
        <v>30.51</v>
      </c>
      <c r="K6420" s="404">
        <v>549.17999999999995</v>
      </c>
    </row>
    <row r="6421" spans="1:11" ht="25.5" customHeight="1" x14ac:dyDescent="0.3">
      <c r="A6421" s="400" t="s">
        <v>1038</v>
      </c>
      <c r="B6421" s="401" t="s">
        <v>6285</v>
      </c>
      <c r="C6421" s="400" t="s">
        <v>408</v>
      </c>
      <c r="D6421" s="400" t="s">
        <v>1566</v>
      </c>
      <c r="E6421" s="605" t="s">
        <v>1053</v>
      </c>
      <c r="F6421" s="605"/>
      <c r="G6421" s="402" t="s">
        <v>6</v>
      </c>
      <c r="H6421" s="403">
        <v>12.7</v>
      </c>
      <c r="I6421" s="403">
        <v>0</v>
      </c>
      <c r="J6421" s="404">
        <v>21.59</v>
      </c>
      <c r="K6421" s="404">
        <v>274.19299999999998</v>
      </c>
    </row>
    <row r="6422" spans="1:11" ht="25.5" customHeight="1" x14ac:dyDescent="0.3">
      <c r="A6422" s="405"/>
      <c r="B6422" s="405"/>
      <c r="C6422" s="405"/>
      <c r="D6422" s="405"/>
      <c r="E6422" s="405" t="s">
        <v>1046</v>
      </c>
      <c r="F6422" s="406">
        <v>823.37</v>
      </c>
      <c r="G6422" s="405" t="s">
        <v>1047</v>
      </c>
      <c r="H6422" s="406">
        <v>0</v>
      </c>
      <c r="I6422" s="405" t="s">
        <v>1048</v>
      </c>
      <c r="J6422" s="406">
        <v>823.37</v>
      </c>
      <c r="K6422"/>
    </row>
    <row r="6423" spans="1:11" ht="25.5" customHeight="1" thickBot="1" x14ac:dyDescent="0.35">
      <c r="A6423" s="405"/>
      <c r="B6423" s="405"/>
      <c r="C6423" s="405"/>
      <c r="D6423" s="405"/>
      <c r="E6423" s="405" t="s">
        <v>1049</v>
      </c>
      <c r="F6423" s="406">
        <v>0</v>
      </c>
      <c r="G6423" s="405"/>
      <c r="H6423" s="606"/>
      <c r="I6423" s="606" t="s">
        <v>1050</v>
      </c>
      <c r="J6423" s="406">
        <v>1732.49</v>
      </c>
      <c r="K6423"/>
    </row>
    <row r="6424" spans="1:11" ht="14.25" customHeight="1" thickTop="1" x14ac:dyDescent="0.3">
      <c r="A6424" s="407"/>
      <c r="B6424" s="407"/>
      <c r="C6424" s="407"/>
      <c r="D6424" s="407"/>
      <c r="E6424" s="407"/>
      <c r="F6424" s="407"/>
      <c r="G6424" s="407"/>
      <c r="H6424" s="407"/>
      <c r="I6424" s="407"/>
      <c r="J6424" s="407"/>
      <c r="K6424" s="407"/>
    </row>
    <row r="6425" spans="1:11" ht="12.75" customHeight="1" x14ac:dyDescent="0.3">
      <c r="A6425" s="382" t="s">
        <v>8538</v>
      </c>
      <c r="B6425" s="312" t="s">
        <v>413</v>
      </c>
      <c r="C6425" s="382" t="s">
        <v>414</v>
      </c>
      <c r="D6425" s="382" t="s">
        <v>415</v>
      </c>
      <c r="E6425" s="586" t="s">
        <v>1029</v>
      </c>
      <c r="F6425" s="586"/>
      <c r="G6425" s="383" t="s">
        <v>416</v>
      </c>
      <c r="H6425" s="312" t="s">
        <v>1030</v>
      </c>
      <c r="I6425" s="312" t="s">
        <v>3016</v>
      </c>
      <c r="J6425" s="312" t="s">
        <v>1031</v>
      </c>
      <c r="K6425" s="312" t="s">
        <v>1032</v>
      </c>
    </row>
    <row r="6426" spans="1:11" ht="15" customHeight="1" x14ac:dyDescent="0.3">
      <c r="A6426" s="313" t="s">
        <v>1033</v>
      </c>
      <c r="B6426" s="315" t="s">
        <v>9667</v>
      </c>
      <c r="C6426" s="313" t="s">
        <v>408</v>
      </c>
      <c r="D6426" s="313" t="s">
        <v>8524</v>
      </c>
      <c r="E6426" s="603" t="s">
        <v>2272</v>
      </c>
      <c r="F6426" s="603"/>
      <c r="G6426" s="314" t="s">
        <v>675</v>
      </c>
      <c r="H6426" s="399">
        <v>1</v>
      </c>
      <c r="I6426" s="316"/>
      <c r="J6426" s="316">
        <v>49.27</v>
      </c>
      <c r="K6426" s="316">
        <v>49.27</v>
      </c>
    </row>
    <row r="6427" spans="1:11" ht="14.25" customHeight="1" x14ac:dyDescent="0.3">
      <c r="A6427" s="400" t="s">
        <v>1038</v>
      </c>
      <c r="B6427" s="401" t="s">
        <v>1428</v>
      </c>
      <c r="C6427" s="400" t="s">
        <v>408</v>
      </c>
      <c r="D6427" s="400" t="s">
        <v>1429</v>
      </c>
      <c r="E6427" s="605" t="s">
        <v>1039</v>
      </c>
      <c r="F6427" s="605"/>
      <c r="G6427" s="402" t="s">
        <v>4</v>
      </c>
      <c r="H6427" s="403">
        <v>1.5</v>
      </c>
      <c r="I6427" s="403">
        <v>0</v>
      </c>
      <c r="J6427" s="404">
        <v>1.5</v>
      </c>
      <c r="K6427" s="404">
        <v>2.25</v>
      </c>
    </row>
    <row r="6428" spans="1:11" ht="12.75" customHeight="1" x14ac:dyDescent="0.3">
      <c r="A6428" s="400" t="s">
        <v>1038</v>
      </c>
      <c r="B6428" s="401" t="s">
        <v>9582</v>
      </c>
      <c r="C6428" s="400" t="s">
        <v>408</v>
      </c>
      <c r="D6428" s="400" t="s">
        <v>9583</v>
      </c>
      <c r="E6428" s="605" t="s">
        <v>1039</v>
      </c>
      <c r="F6428" s="605"/>
      <c r="G6428" s="402" t="s">
        <v>3</v>
      </c>
      <c r="H6428" s="403">
        <v>3.4000000000000002E-2</v>
      </c>
      <c r="I6428" s="403">
        <v>0</v>
      </c>
      <c r="J6428" s="404">
        <v>9.94</v>
      </c>
      <c r="K6428" s="404">
        <v>0.33795999999999998</v>
      </c>
    </row>
    <row r="6429" spans="1:11" ht="25.5" customHeight="1" x14ac:dyDescent="0.3">
      <c r="A6429" s="400" t="s">
        <v>1038</v>
      </c>
      <c r="B6429" s="401" t="s">
        <v>1430</v>
      </c>
      <c r="C6429" s="400" t="s">
        <v>408</v>
      </c>
      <c r="D6429" s="400" t="s">
        <v>1431</v>
      </c>
      <c r="E6429" s="605" t="s">
        <v>1039</v>
      </c>
      <c r="F6429" s="605"/>
      <c r="G6429" s="402" t="s">
        <v>4</v>
      </c>
      <c r="H6429" s="403">
        <v>0.08</v>
      </c>
      <c r="I6429" s="403">
        <v>0</v>
      </c>
      <c r="J6429" s="404">
        <v>219.9</v>
      </c>
      <c r="K6429" s="404">
        <v>17.591999999999999</v>
      </c>
    </row>
    <row r="6430" spans="1:11" ht="25.5" customHeight="1" x14ac:dyDescent="0.3">
      <c r="A6430" s="400" t="s">
        <v>1038</v>
      </c>
      <c r="B6430" s="401" t="s">
        <v>6327</v>
      </c>
      <c r="C6430" s="400" t="s">
        <v>408</v>
      </c>
      <c r="D6430" s="400" t="s">
        <v>6328</v>
      </c>
      <c r="E6430" s="605" t="s">
        <v>1053</v>
      </c>
      <c r="F6430" s="605"/>
      <c r="G6430" s="402" t="s">
        <v>6</v>
      </c>
      <c r="H6430" s="403">
        <v>0.63</v>
      </c>
      <c r="I6430" s="403">
        <v>0</v>
      </c>
      <c r="J6430" s="404">
        <v>28.35</v>
      </c>
      <c r="K6430" s="404">
        <v>17.860499999999998</v>
      </c>
    </row>
    <row r="6431" spans="1:11" ht="25.5" customHeight="1" x14ac:dyDescent="0.3">
      <c r="A6431" s="400" t="s">
        <v>1038</v>
      </c>
      <c r="B6431" s="401" t="s">
        <v>9468</v>
      </c>
      <c r="C6431" s="400" t="s">
        <v>408</v>
      </c>
      <c r="D6431" s="400" t="s">
        <v>9469</v>
      </c>
      <c r="E6431" s="605" t="s">
        <v>1053</v>
      </c>
      <c r="F6431" s="605"/>
      <c r="G6431" s="402" t="s">
        <v>6</v>
      </c>
      <c r="H6431" s="403">
        <v>0.52</v>
      </c>
      <c r="I6431" s="403">
        <v>0</v>
      </c>
      <c r="J6431" s="404">
        <v>21.59</v>
      </c>
      <c r="K6431" s="404">
        <v>11.226800000000001</v>
      </c>
    </row>
    <row r="6432" spans="1:11" ht="25.5" customHeight="1" x14ac:dyDescent="0.3">
      <c r="A6432" s="405"/>
      <c r="B6432" s="405"/>
      <c r="C6432" s="405"/>
      <c r="D6432" s="405"/>
      <c r="E6432" s="405" t="s">
        <v>1046</v>
      </c>
      <c r="F6432" s="406">
        <v>29.09</v>
      </c>
      <c r="G6432" s="405" t="s">
        <v>1047</v>
      </c>
      <c r="H6432" s="406">
        <v>0</v>
      </c>
      <c r="I6432" s="405" t="s">
        <v>1048</v>
      </c>
      <c r="J6432" s="406">
        <v>29.09</v>
      </c>
      <c r="K6432"/>
    </row>
    <row r="6433" spans="1:11" ht="14.25" customHeight="1" thickBot="1" x14ac:dyDescent="0.35">
      <c r="A6433" s="405"/>
      <c r="B6433" s="405"/>
      <c r="C6433" s="405"/>
      <c r="D6433" s="405"/>
      <c r="E6433" s="405" t="s">
        <v>1049</v>
      </c>
      <c r="F6433" s="406">
        <v>0</v>
      </c>
      <c r="G6433" s="405"/>
      <c r="H6433" s="606"/>
      <c r="I6433" s="606" t="s">
        <v>1050</v>
      </c>
      <c r="J6433" s="406">
        <v>49.27</v>
      </c>
      <c r="K6433"/>
    </row>
    <row r="6434" spans="1:11" ht="12.75" customHeight="1" thickTop="1" x14ac:dyDescent="0.3">
      <c r="A6434" s="407"/>
      <c r="B6434" s="407"/>
      <c r="C6434" s="407"/>
      <c r="D6434" s="407"/>
      <c r="E6434" s="407"/>
      <c r="F6434" s="407"/>
      <c r="G6434" s="407"/>
      <c r="H6434" s="407"/>
      <c r="I6434" s="407"/>
      <c r="J6434" s="407"/>
      <c r="K6434" s="407"/>
    </row>
    <row r="6435" spans="1:11" ht="15" customHeight="1" x14ac:dyDescent="0.3">
      <c r="A6435" s="382" t="s">
        <v>8618</v>
      </c>
      <c r="B6435" s="312" t="s">
        <v>413</v>
      </c>
      <c r="C6435" s="382" t="s">
        <v>414</v>
      </c>
      <c r="D6435" s="382" t="s">
        <v>415</v>
      </c>
      <c r="E6435" s="586" t="s">
        <v>1029</v>
      </c>
      <c r="F6435" s="586"/>
      <c r="G6435" s="383" t="s">
        <v>416</v>
      </c>
      <c r="H6435" s="312" t="s">
        <v>1030</v>
      </c>
      <c r="I6435" s="312" t="s">
        <v>3016</v>
      </c>
      <c r="J6435" s="312" t="s">
        <v>1031</v>
      </c>
      <c r="K6435" s="312" t="s">
        <v>1032</v>
      </c>
    </row>
    <row r="6436" spans="1:11" ht="25.5" customHeight="1" x14ac:dyDescent="0.3">
      <c r="A6436" s="313" t="s">
        <v>1033</v>
      </c>
      <c r="B6436" s="315" t="s">
        <v>9668</v>
      </c>
      <c r="C6436" s="313" t="s">
        <v>2661</v>
      </c>
      <c r="D6436" s="313" t="s">
        <v>8619</v>
      </c>
      <c r="E6436" s="603" t="s">
        <v>9669</v>
      </c>
      <c r="F6436" s="603"/>
      <c r="G6436" s="314" t="s">
        <v>7</v>
      </c>
      <c r="H6436" s="399">
        <v>1</v>
      </c>
      <c r="I6436" s="316"/>
      <c r="J6436" s="316">
        <v>5.09</v>
      </c>
      <c r="K6436" s="316">
        <v>5.09</v>
      </c>
    </row>
    <row r="6437" spans="1:11" ht="12.75" customHeight="1" x14ac:dyDescent="0.3">
      <c r="A6437" s="400" t="s">
        <v>1038</v>
      </c>
      <c r="B6437" s="401" t="s">
        <v>9518</v>
      </c>
      <c r="C6437" s="400" t="s">
        <v>2661</v>
      </c>
      <c r="D6437" s="400" t="s">
        <v>9519</v>
      </c>
      <c r="E6437" s="605" t="s">
        <v>1039</v>
      </c>
      <c r="F6437" s="605"/>
      <c r="G6437" s="402" t="s">
        <v>7</v>
      </c>
      <c r="H6437" s="403">
        <v>1.03</v>
      </c>
      <c r="I6437" s="403">
        <v>0</v>
      </c>
      <c r="J6437" s="404">
        <v>4.9400000000000004</v>
      </c>
      <c r="K6437" s="404">
        <v>5.0881999999999996</v>
      </c>
    </row>
    <row r="6438" spans="1:11" ht="25.5" customHeight="1" x14ac:dyDescent="0.3">
      <c r="A6438" s="405"/>
      <c r="B6438" s="405"/>
      <c r="C6438" s="405"/>
      <c r="D6438" s="405"/>
      <c r="E6438" s="405" t="s">
        <v>1046</v>
      </c>
      <c r="F6438" s="406">
        <v>0</v>
      </c>
      <c r="G6438" s="405" t="s">
        <v>1047</v>
      </c>
      <c r="H6438" s="406">
        <v>0</v>
      </c>
      <c r="I6438" s="405" t="s">
        <v>1048</v>
      </c>
      <c r="J6438" s="406">
        <v>0</v>
      </c>
      <c r="K6438"/>
    </row>
    <row r="6439" spans="1:11" ht="15" customHeight="1" thickBot="1" x14ac:dyDescent="0.35">
      <c r="A6439" s="405"/>
      <c r="B6439" s="405"/>
      <c r="C6439" s="405"/>
      <c r="D6439" s="405"/>
      <c r="E6439" s="405" t="s">
        <v>1049</v>
      </c>
      <c r="F6439" s="406">
        <v>0</v>
      </c>
      <c r="G6439" s="405"/>
      <c r="H6439" s="606"/>
      <c r="I6439" s="606" t="s">
        <v>1050</v>
      </c>
      <c r="J6439" s="406">
        <v>5.09</v>
      </c>
      <c r="K6439"/>
    </row>
    <row r="6440" spans="1:11" ht="25.5" customHeight="1" thickTop="1" x14ac:dyDescent="0.3">
      <c r="A6440" s="407"/>
      <c r="B6440" s="407"/>
      <c r="C6440" s="407"/>
      <c r="D6440" s="407"/>
      <c r="E6440" s="407"/>
      <c r="F6440" s="407"/>
      <c r="G6440" s="407"/>
      <c r="H6440" s="407"/>
      <c r="I6440" s="407"/>
      <c r="J6440" s="407"/>
      <c r="K6440" s="407"/>
    </row>
    <row r="6441" spans="1:11" ht="25.5" customHeight="1" x14ac:dyDescent="0.3">
      <c r="A6441" s="588" t="s">
        <v>7893</v>
      </c>
      <c r="B6441" s="589"/>
      <c r="C6441" s="589"/>
      <c r="D6441" s="589"/>
      <c r="E6441" s="589"/>
      <c r="F6441" s="589"/>
      <c r="G6441" s="589"/>
      <c r="H6441" s="589"/>
      <c r="I6441" s="589"/>
      <c r="J6441" s="589"/>
      <c r="K6441" s="589"/>
    </row>
    <row r="6442" spans="1:11" ht="14.25" customHeight="1" x14ac:dyDescent="0.3">
      <c r="A6442" s="382"/>
      <c r="B6442" s="312" t="s">
        <v>413</v>
      </c>
      <c r="C6442" s="382" t="s">
        <v>414</v>
      </c>
      <c r="D6442" s="382" t="s">
        <v>415</v>
      </c>
      <c r="E6442" s="586" t="s">
        <v>1029</v>
      </c>
      <c r="F6442" s="586"/>
      <c r="G6442" s="383" t="s">
        <v>416</v>
      </c>
      <c r="H6442" s="312" t="s">
        <v>1030</v>
      </c>
      <c r="I6442" s="312" t="s">
        <v>3016</v>
      </c>
      <c r="J6442" s="312" t="s">
        <v>1031</v>
      </c>
      <c r="K6442" s="312" t="s">
        <v>1032</v>
      </c>
    </row>
    <row r="6443" spans="1:11" ht="38.25" customHeight="1" x14ac:dyDescent="0.3">
      <c r="A6443" s="313" t="s">
        <v>1033</v>
      </c>
      <c r="B6443" s="315" t="s">
        <v>5168</v>
      </c>
      <c r="C6443" s="313" t="s">
        <v>395</v>
      </c>
      <c r="D6443" s="313" t="s">
        <v>7810</v>
      </c>
      <c r="E6443" s="603" t="s">
        <v>7806</v>
      </c>
      <c r="F6443" s="603"/>
      <c r="G6443" s="314" t="s">
        <v>4</v>
      </c>
      <c r="H6443" s="399">
        <v>1</v>
      </c>
      <c r="I6443" s="316"/>
      <c r="J6443" s="316">
        <v>23.4</v>
      </c>
      <c r="K6443" s="316">
        <v>23.4</v>
      </c>
    </row>
    <row r="6444" spans="1:11" ht="15" customHeight="1" x14ac:dyDescent="0.3">
      <c r="A6444" s="408" t="s">
        <v>1034</v>
      </c>
      <c r="B6444" s="409" t="s">
        <v>1113</v>
      </c>
      <c r="C6444" s="408" t="s">
        <v>395</v>
      </c>
      <c r="D6444" s="408" t="s">
        <v>129</v>
      </c>
      <c r="E6444" s="604" t="s">
        <v>7768</v>
      </c>
      <c r="F6444" s="604"/>
      <c r="G6444" s="410" t="s">
        <v>6</v>
      </c>
      <c r="H6444" s="412">
        <v>0.1338</v>
      </c>
      <c r="I6444" s="412">
        <v>0</v>
      </c>
      <c r="J6444" s="411">
        <v>33.450000000000003</v>
      </c>
      <c r="K6444" s="411">
        <v>4.4756099999999996</v>
      </c>
    </row>
    <row r="6445" spans="1:11" ht="25.5" customHeight="1" x14ac:dyDescent="0.3">
      <c r="A6445" s="408" t="s">
        <v>1034</v>
      </c>
      <c r="B6445" s="409" t="s">
        <v>1112</v>
      </c>
      <c r="C6445" s="408" t="s">
        <v>395</v>
      </c>
      <c r="D6445" s="408" t="s">
        <v>137</v>
      </c>
      <c r="E6445" s="604" t="s">
        <v>7768</v>
      </c>
      <c r="F6445" s="604"/>
      <c r="G6445" s="410" t="s">
        <v>6</v>
      </c>
      <c r="H6445" s="412">
        <v>0.1338</v>
      </c>
      <c r="I6445" s="412">
        <v>0</v>
      </c>
      <c r="J6445" s="411">
        <v>40.299999999999997</v>
      </c>
      <c r="K6445" s="411">
        <v>5.3921400000000004</v>
      </c>
    </row>
    <row r="6446" spans="1:11" ht="12.75" customHeight="1" x14ac:dyDescent="0.3">
      <c r="A6446" s="400" t="s">
        <v>1038</v>
      </c>
      <c r="B6446" s="401" t="s">
        <v>4684</v>
      </c>
      <c r="C6446" s="400" t="s">
        <v>395</v>
      </c>
      <c r="D6446" s="400" t="s">
        <v>4685</v>
      </c>
      <c r="E6446" s="605" t="s">
        <v>1039</v>
      </c>
      <c r="F6446" s="605"/>
      <c r="G6446" s="402" t="s">
        <v>4</v>
      </c>
      <c r="H6446" s="403">
        <v>1</v>
      </c>
      <c r="I6446" s="403">
        <v>0</v>
      </c>
      <c r="J6446" s="404">
        <v>12.9</v>
      </c>
      <c r="K6446" s="404">
        <v>12.9</v>
      </c>
    </row>
    <row r="6447" spans="1:11" ht="25.5" customHeight="1" x14ac:dyDescent="0.3">
      <c r="A6447" s="400" t="s">
        <v>1038</v>
      </c>
      <c r="B6447" s="401" t="s">
        <v>2587</v>
      </c>
      <c r="C6447" s="400" t="s">
        <v>395</v>
      </c>
      <c r="D6447" s="400" t="s">
        <v>349</v>
      </c>
      <c r="E6447" s="605" t="s">
        <v>1039</v>
      </c>
      <c r="F6447" s="605"/>
      <c r="G6447" s="402" t="s">
        <v>4</v>
      </c>
      <c r="H6447" s="403">
        <v>3.5000000000000001E-3</v>
      </c>
      <c r="I6447" s="403">
        <v>0</v>
      </c>
      <c r="J6447" s="404">
        <v>79.17</v>
      </c>
      <c r="K6447" s="404">
        <v>0.27709499999999998</v>
      </c>
    </row>
    <row r="6448" spans="1:11" ht="15" customHeight="1" x14ac:dyDescent="0.3">
      <c r="A6448" s="400" t="s">
        <v>1038</v>
      </c>
      <c r="B6448" s="401" t="s">
        <v>2588</v>
      </c>
      <c r="C6448" s="400" t="s">
        <v>395</v>
      </c>
      <c r="D6448" s="400" t="s">
        <v>350</v>
      </c>
      <c r="E6448" s="605" t="s">
        <v>1039</v>
      </c>
      <c r="F6448" s="605"/>
      <c r="G6448" s="402" t="s">
        <v>4</v>
      </c>
      <c r="H6448" s="403">
        <v>4.0000000000000001E-3</v>
      </c>
      <c r="I6448" s="403">
        <v>0</v>
      </c>
      <c r="J6448" s="404">
        <v>89.7</v>
      </c>
      <c r="K6448" s="404">
        <v>0.35880000000000001</v>
      </c>
    </row>
    <row r="6449" spans="1:11" ht="25.5" customHeight="1" x14ac:dyDescent="0.3">
      <c r="A6449" s="405"/>
      <c r="B6449" s="405"/>
      <c r="C6449" s="405"/>
      <c r="D6449" s="405"/>
      <c r="E6449" s="405" t="s">
        <v>1046</v>
      </c>
      <c r="F6449" s="406">
        <v>7.27</v>
      </c>
      <c r="G6449" s="405" t="s">
        <v>1047</v>
      </c>
      <c r="H6449" s="406">
        <v>0</v>
      </c>
      <c r="I6449" s="405" t="s">
        <v>1048</v>
      </c>
      <c r="J6449" s="406">
        <v>7.27</v>
      </c>
      <c r="K6449"/>
    </row>
    <row r="6450" spans="1:11" ht="25.5" customHeight="1" thickBot="1" x14ac:dyDescent="0.35">
      <c r="A6450" s="405"/>
      <c r="B6450" s="405"/>
      <c r="C6450" s="405"/>
      <c r="D6450" s="405"/>
      <c r="E6450" s="405" t="s">
        <v>1049</v>
      </c>
      <c r="F6450" s="406">
        <v>0</v>
      </c>
      <c r="G6450" s="405"/>
      <c r="H6450" s="606"/>
      <c r="I6450" s="606" t="s">
        <v>1050</v>
      </c>
      <c r="J6450" s="406">
        <v>23.4</v>
      </c>
      <c r="K6450"/>
    </row>
    <row r="6451" spans="1:11" ht="14.25" customHeight="1" thickTop="1" x14ac:dyDescent="0.3">
      <c r="A6451" s="407"/>
      <c r="B6451" s="407"/>
      <c r="C6451" s="407"/>
      <c r="D6451" s="407"/>
      <c r="E6451" s="407"/>
      <c r="F6451" s="407"/>
      <c r="G6451" s="407"/>
      <c r="H6451" s="407"/>
      <c r="I6451" s="407"/>
      <c r="J6451" s="407"/>
      <c r="K6451"/>
    </row>
    <row r="6452" spans="1:11" ht="15" x14ac:dyDescent="0.3">
      <c r="A6452" s="382"/>
      <c r="B6452" s="312" t="s">
        <v>413</v>
      </c>
      <c r="C6452" s="382" t="s">
        <v>414</v>
      </c>
      <c r="D6452" s="382" t="s">
        <v>415</v>
      </c>
      <c r="E6452" s="586" t="s">
        <v>1029</v>
      </c>
      <c r="F6452" s="586"/>
      <c r="G6452" s="383" t="s">
        <v>416</v>
      </c>
      <c r="H6452" s="312" t="s">
        <v>1030</v>
      </c>
      <c r="I6452" s="312" t="s">
        <v>3016</v>
      </c>
      <c r="J6452" s="312" t="s">
        <v>1031</v>
      </c>
      <c r="K6452" s="312" t="s">
        <v>1032</v>
      </c>
    </row>
    <row r="6453" spans="1:11" ht="15" customHeight="1" x14ac:dyDescent="0.3">
      <c r="A6453" s="313" t="s">
        <v>1033</v>
      </c>
      <c r="B6453" s="315" t="s">
        <v>7894</v>
      </c>
      <c r="C6453" s="313" t="s">
        <v>395</v>
      </c>
      <c r="D6453" s="313" t="s">
        <v>7895</v>
      </c>
      <c r="E6453" s="603" t="s">
        <v>7808</v>
      </c>
      <c r="F6453" s="603"/>
      <c r="G6453" s="314" t="s">
        <v>4</v>
      </c>
      <c r="H6453" s="399">
        <v>1</v>
      </c>
      <c r="I6453" s="316"/>
      <c r="J6453" s="316">
        <v>9.0500000000000007</v>
      </c>
      <c r="K6453" s="316">
        <v>9.0500000000000007</v>
      </c>
    </row>
    <row r="6454" spans="1:11" ht="15" customHeight="1" x14ac:dyDescent="0.3">
      <c r="A6454" s="408" t="s">
        <v>1034</v>
      </c>
      <c r="B6454" s="409" t="s">
        <v>1113</v>
      </c>
      <c r="C6454" s="408" t="s">
        <v>395</v>
      </c>
      <c r="D6454" s="408" t="s">
        <v>129</v>
      </c>
      <c r="E6454" s="604" t="s">
        <v>7768</v>
      </c>
      <c r="F6454" s="604"/>
      <c r="G6454" s="410" t="s">
        <v>6</v>
      </c>
      <c r="H6454" s="412">
        <v>9.4399999999999998E-2</v>
      </c>
      <c r="I6454" s="412">
        <v>0</v>
      </c>
      <c r="J6454" s="411">
        <v>33.450000000000003</v>
      </c>
      <c r="K6454" s="411">
        <v>3.15768</v>
      </c>
    </row>
    <row r="6455" spans="1:11" ht="12.75" customHeight="1" x14ac:dyDescent="0.3">
      <c r="A6455" s="408" t="s">
        <v>1034</v>
      </c>
      <c r="B6455" s="409" t="s">
        <v>1112</v>
      </c>
      <c r="C6455" s="408" t="s">
        <v>395</v>
      </c>
      <c r="D6455" s="408" t="s">
        <v>137</v>
      </c>
      <c r="E6455" s="604" t="s">
        <v>7768</v>
      </c>
      <c r="F6455" s="604"/>
      <c r="G6455" s="410" t="s">
        <v>6</v>
      </c>
      <c r="H6455" s="412">
        <v>9.4399999999999998E-2</v>
      </c>
      <c r="I6455" s="412">
        <v>0</v>
      </c>
      <c r="J6455" s="411">
        <v>40.299999999999997</v>
      </c>
      <c r="K6455" s="411">
        <v>3.8043200000000001</v>
      </c>
    </row>
    <row r="6456" spans="1:11" ht="25.5" customHeight="1" x14ac:dyDescent="0.3">
      <c r="A6456" s="400" t="s">
        <v>1038</v>
      </c>
      <c r="B6456" s="401" t="s">
        <v>4870</v>
      </c>
      <c r="C6456" s="400" t="s">
        <v>395</v>
      </c>
      <c r="D6456" s="400" t="s">
        <v>4871</v>
      </c>
      <c r="E6456" s="605" t="s">
        <v>1039</v>
      </c>
      <c r="F6456" s="605"/>
      <c r="G6456" s="402" t="s">
        <v>4</v>
      </c>
      <c r="H6456" s="403">
        <v>1</v>
      </c>
      <c r="I6456" s="403">
        <v>0</v>
      </c>
      <c r="J6456" s="404">
        <v>0.93</v>
      </c>
      <c r="K6456" s="404">
        <v>0.93</v>
      </c>
    </row>
    <row r="6457" spans="1:11" ht="15" customHeight="1" x14ac:dyDescent="0.3">
      <c r="A6457" s="400" t="s">
        <v>1038</v>
      </c>
      <c r="B6457" s="401" t="s">
        <v>2587</v>
      </c>
      <c r="C6457" s="400" t="s">
        <v>395</v>
      </c>
      <c r="D6457" s="400" t="s">
        <v>349</v>
      </c>
      <c r="E6457" s="605" t="s">
        <v>1039</v>
      </c>
      <c r="F6457" s="605"/>
      <c r="G6457" s="402" t="s">
        <v>4</v>
      </c>
      <c r="H6457" s="403">
        <v>5.8999999999999999E-3</v>
      </c>
      <c r="I6457" s="403">
        <v>0</v>
      </c>
      <c r="J6457" s="404">
        <v>79.17</v>
      </c>
      <c r="K6457" s="404">
        <v>0.46710299999999999</v>
      </c>
    </row>
    <row r="6458" spans="1:11" ht="25.5" customHeight="1" x14ac:dyDescent="0.3">
      <c r="A6458" s="400" t="s">
        <v>1038</v>
      </c>
      <c r="B6458" s="401" t="s">
        <v>2588</v>
      </c>
      <c r="C6458" s="400" t="s">
        <v>395</v>
      </c>
      <c r="D6458" s="400" t="s">
        <v>350</v>
      </c>
      <c r="E6458" s="605" t="s">
        <v>1039</v>
      </c>
      <c r="F6458" s="605"/>
      <c r="G6458" s="402" t="s">
        <v>4</v>
      </c>
      <c r="H6458" s="403">
        <v>7.0000000000000001E-3</v>
      </c>
      <c r="I6458" s="403">
        <v>0</v>
      </c>
      <c r="J6458" s="404">
        <v>89.7</v>
      </c>
      <c r="K6458" s="404">
        <v>0.62790000000000001</v>
      </c>
    </row>
    <row r="6459" spans="1:11" ht="25.5" customHeight="1" x14ac:dyDescent="0.3">
      <c r="A6459" s="400" t="s">
        <v>1038</v>
      </c>
      <c r="B6459" s="401" t="s">
        <v>1372</v>
      </c>
      <c r="C6459" s="400" t="s">
        <v>395</v>
      </c>
      <c r="D6459" s="400" t="s">
        <v>266</v>
      </c>
      <c r="E6459" s="605" t="s">
        <v>1039</v>
      </c>
      <c r="F6459" s="605"/>
      <c r="G6459" s="402" t="s">
        <v>4</v>
      </c>
      <c r="H6459" s="403">
        <v>3.15E-2</v>
      </c>
      <c r="I6459" s="403">
        <v>0</v>
      </c>
      <c r="J6459" s="404">
        <v>2.09</v>
      </c>
      <c r="K6459" s="404">
        <v>6.5835000000000005E-2</v>
      </c>
    </row>
    <row r="6460" spans="1:11" ht="14.25" customHeight="1" x14ac:dyDescent="0.3">
      <c r="A6460" s="405"/>
      <c r="B6460" s="405"/>
      <c r="C6460" s="405"/>
      <c r="D6460" s="405"/>
      <c r="E6460" s="405" t="s">
        <v>1046</v>
      </c>
      <c r="F6460" s="406">
        <v>5.13</v>
      </c>
      <c r="G6460" s="405" t="s">
        <v>1047</v>
      </c>
      <c r="H6460" s="406">
        <v>0</v>
      </c>
      <c r="I6460" s="405" t="s">
        <v>1048</v>
      </c>
      <c r="J6460" s="406">
        <v>5.13</v>
      </c>
      <c r="K6460"/>
    </row>
    <row r="6461" spans="1:11" ht="15.6" thickBot="1" x14ac:dyDescent="0.35">
      <c r="A6461" s="405"/>
      <c r="B6461" s="405"/>
      <c r="C6461" s="405"/>
      <c r="D6461" s="405"/>
      <c r="E6461" s="405" t="s">
        <v>1049</v>
      </c>
      <c r="F6461" s="406">
        <v>0</v>
      </c>
      <c r="G6461" s="405"/>
      <c r="H6461" s="606"/>
      <c r="I6461" s="606" t="s">
        <v>1050</v>
      </c>
      <c r="J6461" s="406">
        <v>9.0500000000000007</v>
      </c>
      <c r="K6461"/>
    </row>
    <row r="6462" spans="1:11" ht="15" customHeight="1" thickTop="1" x14ac:dyDescent="0.3">
      <c r="A6462" s="407"/>
      <c r="B6462" s="407"/>
      <c r="C6462" s="407"/>
      <c r="D6462" s="407"/>
      <c r="E6462" s="407"/>
      <c r="F6462" s="407"/>
      <c r="G6462" s="407"/>
      <c r="H6462" s="407"/>
      <c r="I6462" s="407"/>
      <c r="J6462" s="407"/>
      <c r="K6462"/>
    </row>
    <row r="6463" spans="1:11" ht="17.399999999999999" customHeight="1" x14ac:dyDescent="0.3">
      <c r="A6463" s="382"/>
      <c r="B6463" s="312" t="s">
        <v>413</v>
      </c>
      <c r="C6463" s="382" t="s">
        <v>414</v>
      </c>
      <c r="D6463" s="382" t="s">
        <v>415</v>
      </c>
      <c r="E6463" s="586" t="s">
        <v>1029</v>
      </c>
      <c r="F6463" s="586"/>
      <c r="G6463" s="383" t="s">
        <v>416</v>
      </c>
      <c r="H6463" s="312" t="s">
        <v>1030</v>
      </c>
      <c r="I6463" s="312" t="s">
        <v>3016</v>
      </c>
      <c r="J6463" s="312" t="s">
        <v>1031</v>
      </c>
      <c r="K6463" s="312" t="s">
        <v>1032</v>
      </c>
    </row>
    <row r="6464" spans="1:11" ht="12.75" customHeight="1" x14ac:dyDescent="0.3">
      <c r="A6464" s="313" t="s">
        <v>1033</v>
      </c>
      <c r="B6464" s="315" t="s">
        <v>1315</v>
      </c>
      <c r="C6464" s="313" t="s">
        <v>395</v>
      </c>
      <c r="D6464" s="313" t="s">
        <v>123</v>
      </c>
      <c r="E6464" s="603" t="s">
        <v>7768</v>
      </c>
      <c r="F6464" s="603"/>
      <c r="G6464" s="314" t="s">
        <v>6</v>
      </c>
      <c r="H6464" s="399">
        <v>1</v>
      </c>
      <c r="I6464" s="316"/>
      <c r="J6464" s="316">
        <v>33.79</v>
      </c>
      <c r="K6464" s="316">
        <v>33.79</v>
      </c>
    </row>
    <row r="6465" spans="1:11" ht="25.5" customHeight="1" x14ac:dyDescent="0.3">
      <c r="A6465" s="408" t="s">
        <v>1034</v>
      </c>
      <c r="B6465" s="409" t="s">
        <v>7896</v>
      </c>
      <c r="C6465" s="408" t="s">
        <v>395</v>
      </c>
      <c r="D6465" s="408" t="s">
        <v>7897</v>
      </c>
      <c r="E6465" s="604" t="s">
        <v>7768</v>
      </c>
      <c r="F6465" s="604"/>
      <c r="G6465" s="410" t="s">
        <v>6</v>
      </c>
      <c r="H6465" s="412">
        <v>1</v>
      </c>
      <c r="I6465" s="412">
        <v>0</v>
      </c>
      <c r="J6465" s="411">
        <v>0.27</v>
      </c>
      <c r="K6465" s="411">
        <v>0.27</v>
      </c>
    </row>
    <row r="6466" spans="1:11" ht="15" customHeight="1" x14ac:dyDescent="0.3">
      <c r="A6466" s="400" t="s">
        <v>1038</v>
      </c>
      <c r="B6466" s="401" t="s">
        <v>4681</v>
      </c>
      <c r="C6466" s="400" t="s">
        <v>395</v>
      </c>
      <c r="D6466" s="400" t="s">
        <v>4682</v>
      </c>
      <c r="E6466" s="605" t="s">
        <v>1053</v>
      </c>
      <c r="F6466" s="605"/>
      <c r="G6466" s="402" t="s">
        <v>6</v>
      </c>
      <c r="H6466" s="403">
        <v>1</v>
      </c>
      <c r="I6466" s="403">
        <v>0</v>
      </c>
      <c r="J6466" s="404">
        <v>23.31</v>
      </c>
      <c r="K6466" s="404">
        <v>23.31</v>
      </c>
    </row>
    <row r="6467" spans="1:11" ht="25.5" customHeight="1" x14ac:dyDescent="0.3">
      <c r="A6467" s="400" t="s">
        <v>1038</v>
      </c>
      <c r="B6467" s="401" t="s">
        <v>4028</v>
      </c>
      <c r="C6467" s="400" t="s">
        <v>395</v>
      </c>
      <c r="D6467" s="400" t="s">
        <v>4029</v>
      </c>
      <c r="E6467" s="605" t="s">
        <v>4030</v>
      </c>
      <c r="F6467" s="605"/>
      <c r="G6467" s="402" t="s">
        <v>6</v>
      </c>
      <c r="H6467" s="403">
        <v>1</v>
      </c>
      <c r="I6467" s="403">
        <v>0</v>
      </c>
      <c r="J6467" s="404">
        <v>4.78</v>
      </c>
      <c r="K6467" s="404">
        <v>4.78</v>
      </c>
    </row>
    <row r="6468" spans="1:11" ht="25.5" customHeight="1" x14ac:dyDescent="0.3">
      <c r="A6468" s="400" t="s">
        <v>1038</v>
      </c>
      <c r="B6468" s="401" t="s">
        <v>4066</v>
      </c>
      <c r="C6468" s="400" t="s">
        <v>395</v>
      </c>
      <c r="D6468" s="400" t="s">
        <v>4067</v>
      </c>
      <c r="E6468" s="605" t="s">
        <v>2381</v>
      </c>
      <c r="F6468" s="605"/>
      <c r="G6468" s="402" t="s">
        <v>6</v>
      </c>
      <c r="H6468" s="403">
        <v>1</v>
      </c>
      <c r="I6468" s="403">
        <v>0</v>
      </c>
      <c r="J6468" s="404">
        <v>1.72</v>
      </c>
      <c r="K6468" s="404">
        <v>1.72</v>
      </c>
    </row>
    <row r="6469" spans="1:11" ht="14.25" customHeight="1" x14ac:dyDescent="0.3">
      <c r="A6469" s="400" t="s">
        <v>1038</v>
      </c>
      <c r="B6469" s="401" t="s">
        <v>4078</v>
      </c>
      <c r="C6469" s="400" t="s">
        <v>395</v>
      </c>
      <c r="D6469" s="400" t="s">
        <v>4079</v>
      </c>
      <c r="E6469" s="605" t="s">
        <v>4030</v>
      </c>
      <c r="F6469" s="605"/>
      <c r="G6469" s="402" t="s">
        <v>6</v>
      </c>
      <c r="H6469" s="403">
        <v>1</v>
      </c>
      <c r="I6469" s="403">
        <v>0</v>
      </c>
      <c r="J6469" s="404">
        <v>1.25</v>
      </c>
      <c r="K6469" s="404">
        <v>1.25</v>
      </c>
    </row>
    <row r="6470" spans="1:11" ht="25.5" customHeight="1" x14ac:dyDescent="0.3">
      <c r="A6470" s="400" t="s">
        <v>1038</v>
      </c>
      <c r="B6470" s="401" t="s">
        <v>4274</v>
      </c>
      <c r="C6470" s="400" t="s">
        <v>395</v>
      </c>
      <c r="D6470" s="400" t="s">
        <v>4275</v>
      </c>
      <c r="E6470" s="605" t="s">
        <v>2386</v>
      </c>
      <c r="F6470" s="605"/>
      <c r="G6470" s="402" t="s">
        <v>6</v>
      </c>
      <c r="H6470" s="403">
        <v>1</v>
      </c>
      <c r="I6470" s="403">
        <v>0</v>
      </c>
      <c r="J6470" s="404">
        <v>0.11</v>
      </c>
      <c r="K6470" s="404">
        <v>0.11</v>
      </c>
    </row>
    <row r="6471" spans="1:11" ht="15" customHeight="1" x14ac:dyDescent="0.3">
      <c r="A6471" s="400" t="s">
        <v>1038</v>
      </c>
      <c r="B6471" s="401" t="s">
        <v>4268</v>
      </c>
      <c r="C6471" s="400" t="s">
        <v>395</v>
      </c>
      <c r="D6471" s="400" t="s">
        <v>4269</v>
      </c>
      <c r="E6471" s="605" t="s">
        <v>1317</v>
      </c>
      <c r="F6471" s="605"/>
      <c r="G6471" s="402" t="s">
        <v>6</v>
      </c>
      <c r="H6471" s="403">
        <v>1</v>
      </c>
      <c r="I6471" s="403">
        <v>0</v>
      </c>
      <c r="J6471" s="404">
        <v>0.64</v>
      </c>
      <c r="K6471" s="404">
        <v>0.64</v>
      </c>
    </row>
    <row r="6472" spans="1:11" ht="26.4" x14ac:dyDescent="0.3">
      <c r="A6472" s="400" t="s">
        <v>1038</v>
      </c>
      <c r="B6472" s="401" t="s">
        <v>4218</v>
      </c>
      <c r="C6472" s="400" t="s">
        <v>395</v>
      </c>
      <c r="D6472" s="400" t="s">
        <v>4219</v>
      </c>
      <c r="E6472" s="605" t="s">
        <v>1317</v>
      </c>
      <c r="F6472" s="605"/>
      <c r="G6472" s="402" t="s">
        <v>6</v>
      </c>
      <c r="H6472" s="403">
        <v>1</v>
      </c>
      <c r="I6472" s="403">
        <v>0</v>
      </c>
      <c r="J6472" s="404">
        <v>1.71</v>
      </c>
      <c r="K6472" s="404">
        <v>1.71</v>
      </c>
    </row>
    <row r="6473" spans="1:11" ht="38.25" customHeight="1" x14ac:dyDescent="0.3">
      <c r="A6473" s="405"/>
      <c r="B6473" s="405"/>
      <c r="C6473" s="405"/>
      <c r="D6473" s="405"/>
      <c r="E6473" s="405" t="s">
        <v>1046</v>
      </c>
      <c r="F6473" s="406">
        <v>23.58</v>
      </c>
      <c r="G6473" s="405" t="s">
        <v>1047</v>
      </c>
      <c r="H6473" s="406">
        <v>0</v>
      </c>
      <c r="I6473" s="405" t="s">
        <v>1048</v>
      </c>
      <c r="J6473" s="406">
        <v>23.58</v>
      </c>
      <c r="K6473"/>
    </row>
    <row r="6474" spans="1:11" ht="25.5" customHeight="1" thickBot="1" x14ac:dyDescent="0.35">
      <c r="A6474" s="405"/>
      <c r="B6474" s="405"/>
      <c r="C6474" s="405"/>
      <c r="D6474" s="405"/>
      <c r="E6474" s="405" t="s">
        <v>1049</v>
      </c>
      <c r="F6474" s="406">
        <v>0</v>
      </c>
      <c r="G6474" s="405"/>
      <c r="H6474" s="606"/>
      <c r="I6474" s="606" t="s">
        <v>1050</v>
      </c>
      <c r="J6474" s="406">
        <v>33.79</v>
      </c>
      <c r="K6474"/>
    </row>
    <row r="6475" spans="1:11" ht="15" customHeight="1" thickTop="1" x14ac:dyDescent="0.3">
      <c r="A6475" s="407"/>
      <c r="B6475" s="407"/>
      <c r="C6475" s="407"/>
      <c r="D6475" s="407"/>
      <c r="E6475" s="407"/>
      <c r="F6475" s="407"/>
      <c r="G6475" s="407"/>
      <c r="H6475" s="407"/>
      <c r="I6475" s="407"/>
      <c r="J6475" s="407"/>
      <c r="K6475"/>
    </row>
    <row r="6476" spans="1:11" ht="25.5" customHeight="1" x14ac:dyDescent="0.3">
      <c r="A6476" s="382"/>
      <c r="B6476" s="312" t="s">
        <v>413</v>
      </c>
      <c r="C6476" s="382" t="s">
        <v>414</v>
      </c>
      <c r="D6476" s="382" t="s">
        <v>415</v>
      </c>
      <c r="E6476" s="586" t="s">
        <v>1029</v>
      </c>
      <c r="F6476" s="586"/>
      <c r="G6476" s="383" t="s">
        <v>416</v>
      </c>
      <c r="H6476" s="312" t="s">
        <v>1030</v>
      </c>
      <c r="I6476" s="312" t="s">
        <v>3016</v>
      </c>
      <c r="J6476" s="312" t="s">
        <v>1031</v>
      </c>
      <c r="K6476" s="312" t="s">
        <v>1032</v>
      </c>
    </row>
    <row r="6477" spans="1:11" ht="25.5" customHeight="1" x14ac:dyDescent="0.3">
      <c r="A6477" s="313" t="s">
        <v>1033</v>
      </c>
      <c r="B6477" s="315" t="s">
        <v>2529</v>
      </c>
      <c r="C6477" s="313" t="s">
        <v>439</v>
      </c>
      <c r="D6477" s="313" t="s">
        <v>2530</v>
      </c>
      <c r="E6477" s="603" t="s">
        <v>781</v>
      </c>
      <c r="F6477" s="603"/>
      <c r="G6477" s="314" t="s">
        <v>1109</v>
      </c>
      <c r="H6477" s="399">
        <v>1</v>
      </c>
      <c r="I6477" s="316"/>
      <c r="J6477" s="316">
        <v>26.84</v>
      </c>
      <c r="K6477" s="316">
        <v>26.84</v>
      </c>
    </row>
    <row r="6478" spans="1:11" ht="38.25" customHeight="1" x14ac:dyDescent="0.3">
      <c r="A6478" s="400" t="s">
        <v>1038</v>
      </c>
      <c r="B6478" s="401" t="s">
        <v>7124</v>
      </c>
      <c r="C6478" s="400" t="s">
        <v>439</v>
      </c>
      <c r="D6478" s="400" t="s">
        <v>4687</v>
      </c>
      <c r="E6478" s="605" t="s">
        <v>1053</v>
      </c>
      <c r="F6478" s="605"/>
      <c r="G6478" s="402" t="s">
        <v>6</v>
      </c>
      <c r="H6478" s="403">
        <v>1</v>
      </c>
      <c r="I6478" s="403">
        <v>0</v>
      </c>
      <c r="J6478" s="404">
        <v>20.001200000000001</v>
      </c>
      <c r="K6478" s="404">
        <v>20.001200000000001</v>
      </c>
    </row>
    <row r="6479" spans="1:11" ht="25.5" customHeight="1" x14ac:dyDescent="0.3">
      <c r="A6479" s="400" t="s">
        <v>1038</v>
      </c>
      <c r="B6479" s="401" t="s">
        <v>7004</v>
      </c>
      <c r="C6479" s="400" t="s">
        <v>439</v>
      </c>
      <c r="D6479" s="400" t="s">
        <v>4618</v>
      </c>
      <c r="E6479" s="605" t="s">
        <v>1039</v>
      </c>
      <c r="F6479" s="605"/>
      <c r="G6479" s="402" t="s">
        <v>1109</v>
      </c>
      <c r="H6479" s="403">
        <v>1</v>
      </c>
      <c r="I6479" s="403">
        <v>0</v>
      </c>
      <c r="J6479" s="404">
        <v>2.41</v>
      </c>
      <c r="K6479" s="404">
        <v>2.41</v>
      </c>
    </row>
    <row r="6480" spans="1:11" ht="15" customHeight="1" x14ac:dyDescent="0.3">
      <c r="A6480" s="400" t="s">
        <v>1038</v>
      </c>
      <c r="B6480" s="401" t="s">
        <v>7092</v>
      </c>
      <c r="C6480" s="400" t="s">
        <v>439</v>
      </c>
      <c r="D6480" s="400" t="s">
        <v>4716</v>
      </c>
      <c r="E6480" s="605" t="s">
        <v>1039</v>
      </c>
      <c r="F6480" s="605"/>
      <c r="G6480" s="402" t="s">
        <v>1109</v>
      </c>
      <c r="H6480" s="403">
        <v>1</v>
      </c>
      <c r="I6480" s="403">
        <v>0</v>
      </c>
      <c r="J6480" s="404">
        <v>1.57</v>
      </c>
      <c r="K6480" s="404">
        <v>1.57</v>
      </c>
    </row>
    <row r="6481" spans="1:11" ht="15" x14ac:dyDescent="0.3">
      <c r="A6481" s="400" t="s">
        <v>1038</v>
      </c>
      <c r="B6481" s="401" t="s">
        <v>7598</v>
      </c>
      <c r="C6481" s="400" t="s">
        <v>439</v>
      </c>
      <c r="D6481" s="400" t="s">
        <v>4974</v>
      </c>
      <c r="E6481" s="605" t="s">
        <v>1039</v>
      </c>
      <c r="F6481" s="605"/>
      <c r="G6481" s="402" t="s">
        <v>1109</v>
      </c>
      <c r="H6481" s="403">
        <v>1</v>
      </c>
      <c r="I6481" s="403">
        <v>0</v>
      </c>
      <c r="J6481" s="404">
        <v>0.11</v>
      </c>
      <c r="K6481" s="404">
        <v>0.11</v>
      </c>
    </row>
    <row r="6482" spans="1:11" ht="15" x14ac:dyDescent="0.3">
      <c r="A6482" s="400" t="s">
        <v>1038</v>
      </c>
      <c r="B6482" s="401" t="s">
        <v>7233</v>
      </c>
      <c r="C6482" s="400" t="s">
        <v>439</v>
      </c>
      <c r="D6482" s="400" t="s">
        <v>4723</v>
      </c>
      <c r="E6482" s="605" t="s">
        <v>1039</v>
      </c>
      <c r="F6482" s="605"/>
      <c r="G6482" s="402" t="s">
        <v>1109</v>
      </c>
      <c r="H6482" s="403">
        <v>1</v>
      </c>
      <c r="I6482" s="403">
        <v>0</v>
      </c>
      <c r="J6482" s="404">
        <v>0.9</v>
      </c>
      <c r="K6482" s="404">
        <v>0.9</v>
      </c>
    </row>
    <row r="6483" spans="1:11" ht="26.4" x14ac:dyDescent="0.3">
      <c r="A6483" s="400" t="s">
        <v>1038</v>
      </c>
      <c r="B6483" s="401" t="s">
        <v>5039</v>
      </c>
      <c r="C6483" s="400" t="s">
        <v>439</v>
      </c>
      <c r="D6483" s="400" t="s">
        <v>5040</v>
      </c>
      <c r="E6483" s="605" t="s">
        <v>2381</v>
      </c>
      <c r="F6483" s="605"/>
      <c r="G6483" s="402" t="s">
        <v>1109</v>
      </c>
      <c r="H6483" s="403">
        <v>1</v>
      </c>
      <c r="I6483" s="403">
        <v>0</v>
      </c>
      <c r="J6483" s="404">
        <v>0.26</v>
      </c>
      <c r="K6483" s="404">
        <v>0.26</v>
      </c>
    </row>
    <row r="6484" spans="1:11" ht="15" customHeight="1" x14ac:dyDescent="0.3">
      <c r="A6484" s="400" t="s">
        <v>1038</v>
      </c>
      <c r="B6484" s="401" t="s">
        <v>4968</v>
      </c>
      <c r="C6484" s="400" t="s">
        <v>439</v>
      </c>
      <c r="D6484" s="400" t="s">
        <v>4969</v>
      </c>
      <c r="E6484" s="605" t="s">
        <v>2381</v>
      </c>
      <c r="F6484" s="605"/>
      <c r="G6484" s="402" t="s">
        <v>1109</v>
      </c>
      <c r="H6484" s="403">
        <v>1</v>
      </c>
      <c r="I6484" s="403">
        <v>0</v>
      </c>
      <c r="J6484" s="404">
        <v>1.19</v>
      </c>
      <c r="K6484" s="404">
        <v>1.19</v>
      </c>
    </row>
    <row r="6485" spans="1:11" ht="25.5" customHeight="1" x14ac:dyDescent="0.3">
      <c r="A6485" s="400" t="s">
        <v>1038</v>
      </c>
      <c r="B6485" s="401" t="s">
        <v>5011</v>
      </c>
      <c r="C6485" s="400" t="s">
        <v>439</v>
      </c>
      <c r="D6485" s="400" t="s">
        <v>5012</v>
      </c>
      <c r="E6485" s="605" t="s">
        <v>2381</v>
      </c>
      <c r="F6485" s="605"/>
      <c r="G6485" s="402" t="s">
        <v>1109</v>
      </c>
      <c r="H6485" s="403">
        <v>1</v>
      </c>
      <c r="I6485" s="403">
        <v>0</v>
      </c>
      <c r="J6485" s="404">
        <v>0.4</v>
      </c>
      <c r="K6485" s="404">
        <v>0.4</v>
      </c>
    </row>
    <row r="6486" spans="1:11" ht="25.5" customHeight="1" x14ac:dyDescent="0.3">
      <c r="A6486" s="405"/>
      <c r="B6486" s="405"/>
      <c r="C6486" s="405"/>
      <c r="D6486" s="405"/>
      <c r="E6486" s="405" t="s">
        <v>1046</v>
      </c>
      <c r="F6486" s="406">
        <v>20</v>
      </c>
      <c r="G6486" s="405" t="s">
        <v>1047</v>
      </c>
      <c r="H6486" s="406">
        <v>0</v>
      </c>
      <c r="I6486" s="405" t="s">
        <v>1048</v>
      </c>
      <c r="J6486" s="406">
        <v>20</v>
      </c>
      <c r="K6486"/>
    </row>
    <row r="6487" spans="1:11" ht="15.6" thickBot="1" x14ac:dyDescent="0.35">
      <c r="A6487" s="405"/>
      <c r="B6487" s="405"/>
      <c r="C6487" s="405"/>
      <c r="D6487" s="405"/>
      <c r="E6487" s="405" t="s">
        <v>1049</v>
      </c>
      <c r="F6487" s="406">
        <v>0</v>
      </c>
      <c r="G6487" s="405"/>
      <c r="H6487" s="606"/>
      <c r="I6487" s="606" t="s">
        <v>1050</v>
      </c>
      <c r="J6487" s="406">
        <v>26.84</v>
      </c>
      <c r="K6487"/>
    </row>
    <row r="6488" spans="1:11" ht="15.6" thickTop="1" x14ac:dyDescent="0.3">
      <c r="A6488" s="407"/>
      <c r="B6488" s="407"/>
      <c r="C6488" s="407"/>
      <c r="D6488" s="407"/>
      <c r="E6488" s="407"/>
      <c r="F6488" s="407"/>
      <c r="G6488" s="407"/>
      <c r="H6488" s="407"/>
      <c r="I6488" s="407"/>
      <c r="J6488" s="407"/>
      <c r="K6488"/>
    </row>
    <row r="6489" spans="1:11" ht="15" customHeight="1" x14ac:dyDescent="0.3">
      <c r="A6489" s="382"/>
      <c r="B6489" s="312" t="s">
        <v>413</v>
      </c>
      <c r="C6489" s="382" t="s">
        <v>414</v>
      </c>
      <c r="D6489" s="382" t="s">
        <v>415</v>
      </c>
      <c r="E6489" s="586" t="s">
        <v>1029</v>
      </c>
      <c r="F6489" s="586"/>
      <c r="G6489" s="383" t="s">
        <v>416</v>
      </c>
      <c r="H6489" s="312" t="s">
        <v>1030</v>
      </c>
      <c r="I6489" s="312" t="s">
        <v>3016</v>
      </c>
      <c r="J6489" s="312" t="s">
        <v>1031</v>
      </c>
      <c r="K6489" s="312" t="s">
        <v>1032</v>
      </c>
    </row>
    <row r="6490" spans="1:11" ht="12.75" customHeight="1" x14ac:dyDescent="0.3">
      <c r="A6490" s="313" t="s">
        <v>1033</v>
      </c>
      <c r="B6490" s="315" t="s">
        <v>1288</v>
      </c>
      <c r="C6490" s="313" t="s">
        <v>395</v>
      </c>
      <c r="D6490" s="313" t="s">
        <v>124</v>
      </c>
      <c r="E6490" s="603" t="s">
        <v>7768</v>
      </c>
      <c r="F6490" s="603"/>
      <c r="G6490" s="314" t="s">
        <v>6</v>
      </c>
      <c r="H6490" s="399">
        <v>1</v>
      </c>
      <c r="I6490" s="316"/>
      <c r="J6490" s="316">
        <v>33.47</v>
      </c>
      <c r="K6490" s="316">
        <v>33.47</v>
      </c>
    </row>
    <row r="6491" spans="1:11" ht="14.25" customHeight="1" x14ac:dyDescent="0.3">
      <c r="A6491" s="408" t="s">
        <v>1034</v>
      </c>
      <c r="B6491" s="409" t="s">
        <v>7898</v>
      </c>
      <c r="C6491" s="408" t="s">
        <v>395</v>
      </c>
      <c r="D6491" s="408" t="s">
        <v>7899</v>
      </c>
      <c r="E6491" s="604" t="s">
        <v>7768</v>
      </c>
      <c r="F6491" s="604"/>
      <c r="G6491" s="410" t="s">
        <v>6</v>
      </c>
      <c r="H6491" s="412">
        <v>1</v>
      </c>
      <c r="I6491" s="412">
        <v>0</v>
      </c>
      <c r="J6491" s="411">
        <v>0.34</v>
      </c>
      <c r="K6491" s="411">
        <v>0.34</v>
      </c>
    </row>
    <row r="6492" spans="1:11" ht="15" customHeight="1" x14ac:dyDescent="0.3">
      <c r="A6492" s="400" t="s">
        <v>1038</v>
      </c>
      <c r="B6492" s="401" t="s">
        <v>4045</v>
      </c>
      <c r="C6492" s="400" t="s">
        <v>395</v>
      </c>
      <c r="D6492" s="400" t="s">
        <v>4046</v>
      </c>
      <c r="E6492" s="605" t="s">
        <v>1053</v>
      </c>
      <c r="F6492" s="605"/>
      <c r="G6492" s="402" t="s">
        <v>6</v>
      </c>
      <c r="H6492" s="403">
        <v>1</v>
      </c>
      <c r="I6492" s="403">
        <v>0</v>
      </c>
      <c r="J6492" s="404">
        <v>23.31</v>
      </c>
      <c r="K6492" s="404">
        <v>23.31</v>
      </c>
    </row>
    <row r="6493" spans="1:11" ht="38.25" customHeight="1" x14ac:dyDescent="0.3">
      <c r="A6493" s="400" t="s">
        <v>1038</v>
      </c>
      <c r="B6493" s="401" t="s">
        <v>4028</v>
      </c>
      <c r="C6493" s="400" t="s">
        <v>395</v>
      </c>
      <c r="D6493" s="400" t="s">
        <v>4029</v>
      </c>
      <c r="E6493" s="605" t="s">
        <v>4030</v>
      </c>
      <c r="F6493" s="605"/>
      <c r="G6493" s="402" t="s">
        <v>6</v>
      </c>
      <c r="H6493" s="403">
        <v>1</v>
      </c>
      <c r="I6493" s="403">
        <v>0</v>
      </c>
      <c r="J6493" s="404">
        <v>4.78</v>
      </c>
      <c r="K6493" s="404">
        <v>4.78</v>
      </c>
    </row>
    <row r="6494" spans="1:11" ht="25.5" customHeight="1" x14ac:dyDescent="0.3">
      <c r="A6494" s="400" t="s">
        <v>1038</v>
      </c>
      <c r="B6494" s="401" t="s">
        <v>4066</v>
      </c>
      <c r="C6494" s="400" t="s">
        <v>395</v>
      </c>
      <c r="D6494" s="400" t="s">
        <v>4067</v>
      </c>
      <c r="E6494" s="605" t="s">
        <v>2381</v>
      </c>
      <c r="F6494" s="605"/>
      <c r="G6494" s="402" t="s">
        <v>6</v>
      </c>
      <c r="H6494" s="403">
        <v>1</v>
      </c>
      <c r="I6494" s="403">
        <v>0</v>
      </c>
      <c r="J6494" s="404">
        <v>1.72</v>
      </c>
      <c r="K6494" s="404">
        <v>1.72</v>
      </c>
    </row>
    <row r="6495" spans="1:11" ht="25.5" customHeight="1" x14ac:dyDescent="0.3">
      <c r="A6495" s="400" t="s">
        <v>1038</v>
      </c>
      <c r="B6495" s="401" t="s">
        <v>4078</v>
      </c>
      <c r="C6495" s="400" t="s">
        <v>395</v>
      </c>
      <c r="D6495" s="400" t="s">
        <v>4079</v>
      </c>
      <c r="E6495" s="605" t="s">
        <v>4030</v>
      </c>
      <c r="F6495" s="605"/>
      <c r="G6495" s="402" t="s">
        <v>6</v>
      </c>
      <c r="H6495" s="403">
        <v>1</v>
      </c>
      <c r="I6495" s="403">
        <v>0</v>
      </c>
      <c r="J6495" s="404">
        <v>1.25</v>
      </c>
      <c r="K6495" s="404">
        <v>1.25</v>
      </c>
    </row>
    <row r="6496" spans="1:11" ht="25.5" customHeight="1" x14ac:dyDescent="0.3">
      <c r="A6496" s="400" t="s">
        <v>1038</v>
      </c>
      <c r="B6496" s="401" t="s">
        <v>4274</v>
      </c>
      <c r="C6496" s="400" t="s">
        <v>395</v>
      </c>
      <c r="D6496" s="400" t="s">
        <v>4275</v>
      </c>
      <c r="E6496" s="605" t="s">
        <v>2386</v>
      </c>
      <c r="F6496" s="605"/>
      <c r="G6496" s="402" t="s">
        <v>6</v>
      </c>
      <c r="H6496" s="403">
        <v>1</v>
      </c>
      <c r="I6496" s="403">
        <v>0</v>
      </c>
      <c r="J6496" s="404">
        <v>0.11</v>
      </c>
      <c r="K6496" s="404">
        <v>0.11</v>
      </c>
    </row>
    <row r="6497" spans="1:11" ht="25.5" customHeight="1" x14ac:dyDescent="0.3">
      <c r="A6497" s="400" t="s">
        <v>1038</v>
      </c>
      <c r="B6497" s="401" t="s">
        <v>4212</v>
      </c>
      <c r="C6497" s="400" t="s">
        <v>395</v>
      </c>
      <c r="D6497" s="400" t="s">
        <v>4213</v>
      </c>
      <c r="E6497" s="605" t="s">
        <v>1317</v>
      </c>
      <c r="F6497" s="605"/>
      <c r="G6497" s="402" t="s">
        <v>6</v>
      </c>
      <c r="H6497" s="403">
        <v>1</v>
      </c>
      <c r="I6497" s="403">
        <v>0</v>
      </c>
      <c r="J6497" s="404">
        <v>0.28000000000000003</v>
      </c>
      <c r="K6497" s="404">
        <v>0.28000000000000003</v>
      </c>
    </row>
    <row r="6498" spans="1:11" ht="26.4" x14ac:dyDescent="0.3">
      <c r="A6498" s="400" t="s">
        <v>1038</v>
      </c>
      <c r="B6498" s="401" t="s">
        <v>4129</v>
      </c>
      <c r="C6498" s="400" t="s">
        <v>395</v>
      </c>
      <c r="D6498" s="400" t="s">
        <v>4130</v>
      </c>
      <c r="E6498" s="605" t="s">
        <v>1317</v>
      </c>
      <c r="F6498" s="605"/>
      <c r="G6498" s="402" t="s">
        <v>6</v>
      </c>
      <c r="H6498" s="403">
        <v>1</v>
      </c>
      <c r="I6498" s="403">
        <v>0</v>
      </c>
      <c r="J6498" s="404">
        <v>1.68</v>
      </c>
      <c r="K6498" s="404">
        <v>1.68</v>
      </c>
    </row>
    <row r="6499" spans="1:11" ht="14.25" customHeight="1" x14ac:dyDescent="0.3">
      <c r="A6499" s="405"/>
      <c r="B6499" s="405"/>
      <c r="C6499" s="405"/>
      <c r="D6499" s="405"/>
      <c r="E6499" s="405" t="s">
        <v>1046</v>
      </c>
      <c r="F6499" s="406">
        <v>23.65</v>
      </c>
      <c r="G6499" s="405" t="s">
        <v>1047</v>
      </c>
      <c r="H6499" s="406">
        <v>0</v>
      </c>
      <c r="I6499" s="405" t="s">
        <v>1048</v>
      </c>
      <c r="J6499" s="406">
        <v>23.65</v>
      </c>
      <c r="K6499"/>
    </row>
    <row r="6500" spans="1:11" ht="15" customHeight="1" thickBot="1" x14ac:dyDescent="0.35">
      <c r="A6500" s="405"/>
      <c r="B6500" s="405"/>
      <c r="C6500" s="405"/>
      <c r="D6500" s="405"/>
      <c r="E6500" s="405" t="s">
        <v>1049</v>
      </c>
      <c r="F6500" s="406">
        <v>0</v>
      </c>
      <c r="G6500" s="405"/>
      <c r="H6500" s="606"/>
      <c r="I6500" s="606" t="s">
        <v>1050</v>
      </c>
      <c r="J6500" s="406">
        <v>33.47</v>
      </c>
      <c r="K6500"/>
    </row>
    <row r="6501" spans="1:11" ht="25.5" customHeight="1" thickTop="1" x14ac:dyDescent="0.3">
      <c r="A6501" s="407"/>
      <c r="B6501" s="407"/>
      <c r="C6501" s="407"/>
      <c r="D6501" s="407"/>
      <c r="E6501" s="407"/>
      <c r="F6501" s="407"/>
      <c r="G6501" s="407"/>
      <c r="H6501" s="407"/>
      <c r="I6501" s="407"/>
      <c r="J6501" s="407"/>
      <c r="K6501"/>
    </row>
    <row r="6502" spans="1:11" ht="14.25" customHeight="1" x14ac:dyDescent="0.3">
      <c r="A6502" s="382"/>
      <c r="B6502" s="312" t="s">
        <v>413</v>
      </c>
      <c r="C6502" s="382" t="s">
        <v>414</v>
      </c>
      <c r="D6502" s="382" t="s">
        <v>415</v>
      </c>
      <c r="E6502" s="586" t="s">
        <v>1029</v>
      </c>
      <c r="F6502" s="586"/>
      <c r="G6502" s="383" t="s">
        <v>416</v>
      </c>
      <c r="H6502" s="312" t="s">
        <v>1030</v>
      </c>
      <c r="I6502" s="312" t="s">
        <v>3016</v>
      </c>
      <c r="J6502" s="312" t="s">
        <v>1031</v>
      </c>
      <c r="K6502" s="312" t="s">
        <v>1032</v>
      </c>
    </row>
    <row r="6503" spans="1:11" ht="12.75" customHeight="1" x14ac:dyDescent="0.3">
      <c r="A6503" s="313" t="s">
        <v>1033</v>
      </c>
      <c r="B6503" s="315" t="s">
        <v>7900</v>
      </c>
      <c r="C6503" s="313" t="s">
        <v>439</v>
      </c>
      <c r="D6503" s="313" t="s">
        <v>124</v>
      </c>
      <c r="E6503" s="603" t="s">
        <v>7770</v>
      </c>
      <c r="F6503" s="603"/>
      <c r="G6503" s="314" t="s">
        <v>1109</v>
      </c>
      <c r="H6503" s="399">
        <v>1</v>
      </c>
      <c r="I6503" s="316"/>
      <c r="J6503" s="316">
        <v>27.03</v>
      </c>
      <c r="K6503" s="316">
        <v>27.03</v>
      </c>
    </row>
    <row r="6504" spans="1:11" ht="38.25" customHeight="1" x14ac:dyDescent="0.3">
      <c r="A6504" s="586" t="s">
        <v>3312</v>
      </c>
      <c r="B6504" s="584" t="s">
        <v>413</v>
      </c>
      <c r="C6504" s="586" t="s">
        <v>414</v>
      </c>
      <c r="D6504" s="586" t="s">
        <v>7901</v>
      </c>
      <c r="E6504" s="585" t="s">
        <v>7902</v>
      </c>
      <c r="F6504" s="584"/>
      <c r="G6504" s="585" t="s">
        <v>7903</v>
      </c>
      <c r="H6504" s="584"/>
      <c r="I6504" s="584" t="s">
        <v>7904</v>
      </c>
      <c r="J6504" s="584" t="s">
        <v>7905</v>
      </c>
      <c r="K6504"/>
    </row>
    <row r="6505" spans="1:11" ht="25.5" customHeight="1" x14ac:dyDescent="0.3">
      <c r="A6505" s="584"/>
      <c r="B6505" s="584"/>
      <c r="C6505" s="584"/>
      <c r="D6505" s="584"/>
      <c r="E6505" s="312" t="s">
        <v>4013</v>
      </c>
      <c r="F6505" s="312" t="s">
        <v>4014</v>
      </c>
      <c r="G6505" s="312" t="s">
        <v>4013</v>
      </c>
      <c r="H6505" s="312" t="s">
        <v>4014</v>
      </c>
      <c r="I6505" s="584"/>
      <c r="J6505" s="584"/>
      <c r="K6505"/>
    </row>
    <row r="6506" spans="1:11" ht="25.5" customHeight="1" x14ac:dyDescent="0.3">
      <c r="A6506" s="581"/>
      <c r="B6506" s="581"/>
      <c r="C6506" s="581"/>
      <c r="D6506" s="581"/>
      <c r="E6506" s="581"/>
      <c r="F6506" s="581" t="s">
        <v>7906</v>
      </c>
      <c r="G6506" s="581"/>
      <c r="H6506" s="581"/>
      <c r="I6506" s="581"/>
      <c r="J6506" s="381">
        <v>0</v>
      </c>
      <c r="K6506"/>
    </row>
    <row r="6507" spans="1:11" ht="25.5" customHeight="1" x14ac:dyDescent="0.3">
      <c r="A6507" s="382" t="s">
        <v>371</v>
      </c>
      <c r="B6507" s="312" t="s">
        <v>413</v>
      </c>
      <c r="C6507" s="382" t="s">
        <v>414</v>
      </c>
      <c r="D6507" s="382" t="s">
        <v>1053</v>
      </c>
      <c r="E6507" s="312"/>
      <c r="F6507" s="584"/>
      <c r="G6507" s="584" t="s">
        <v>7907</v>
      </c>
      <c r="H6507" s="584" t="s">
        <v>7908</v>
      </c>
      <c r="I6507" s="584" t="s">
        <v>7904</v>
      </c>
      <c r="J6507" s="312" t="s">
        <v>7905</v>
      </c>
      <c r="K6507"/>
    </row>
    <row r="6508" spans="1:11" ht="25.5" customHeight="1" x14ac:dyDescent="0.3">
      <c r="A6508" s="400" t="s">
        <v>1038</v>
      </c>
      <c r="B6508" s="401" t="s">
        <v>7909</v>
      </c>
      <c r="C6508" s="400" t="s">
        <v>439</v>
      </c>
      <c r="D6508" s="400" t="s">
        <v>7693</v>
      </c>
      <c r="E6508" s="403"/>
      <c r="F6508" s="400"/>
      <c r="G6508" s="400" t="s">
        <v>6</v>
      </c>
      <c r="H6508" s="400">
        <v>20</v>
      </c>
      <c r="I6508" s="404">
        <v>1</v>
      </c>
      <c r="J6508" s="404">
        <v>20</v>
      </c>
      <c r="K6508"/>
    </row>
    <row r="6509" spans="1:11" ht="15" x14ac:dyDescent="0.3">
      <c r="A6509" s="581"/>
      <c r="B6509" s="581"/>
      <c r="C6509" s="581"/>
      <c r="D6509" s="581"/>
      <c r="E6509" s="581"/>
      <c r="F6509" s="581" t="s">
        <v>7910</v>
      </c>
      <c r="G6509" s="581"/>
      <c r="H6509" s="581"/>
      <c r="I6509" s="581"/>
      <c r="J6509" s="381">
        <v>20</v>
      </c>
      <c r="K6509"/>
    </row>
    <row r="6510" spans="1:11" ht="25.5" customHeight="1" x14ac:dyDescent="0.3">
      <c r="A6510" s="581"/>
      <c r="B6510" s="581"/>
      <c r="C6510" s="581"/>
      <c r="D6510" s="581"/>
      <c r="E6510" s="581"/>
      <c r="F6510" s="581" t="s">
        <v>7911</v>
      </c>
      <c r="G6510" s="581"/>
      <c r="H6510" s="581"/>
      <c r="I6510" s="581"/>
      <c r="J6510" s="381">
        <v>20</v>
      </c>
      <c r="K6510"/>
    </row>
    <row r="6511" spans="1:11" ht="15" customHeight="1" x14ac:dyDescent="0.3">
      <c r="A6511" s="581"/>
      <c r="B6511" s="581"/>
      <c r="C6511" s="581"/>
      <c r="D6511" s="581"/>
      <c r="E6511" s="581"/>
      <c r="F6511" s="581" t="s">
        <v>7912</v>
      </c>
      <c r="G6511" s="581"/>
      <c r="H6511" s="581"/>
      <c r="I6511" s="581"/>
      <c r="J6511" s="381">
        <v>1</v>
      </c>
      <c r="K6511"/>
    </row>
    <row r="6512" spans="1:11" ht="14.25" customHeight="1" x14ac:dyDescent="0.3">
      <c r="A6512" s="581"/>
      <c r="B6512" s="581"/>
      <c r="C6512" s="581"/>
      <c r="D6512" s="581"/>
      <c r="E6512" s="581"/>
      <c r="F6512" s="581" t="s">
        <v>7913</v>
      </c>
      <c r="G6512" s="581"/>
      <c r="H6512" s="581"/>
      <c r="I6512" s="581"/>
      <c r="J6512" s="381">
        <v>20</v>
      </c>
      <c r="K6512"/>
    </row>
    <row r="6513" spans="1:11" ht="17.399999999999999" customHeight="1" x14ac:dyDescent="0.3">
      <c r="A6513" s="382" t="s">
        <v>7914</v>
      </c>
      <c r="B6513" s="312" t="s">
        <v>414</v>
      </c>
      <c r="C6513" s="382" t="s">
        <v>413</v>
      </c>
      <c r="D6513" s="382" t="s">
        <v>1039</v>
      </c>
      <c r="E6513" s="312"/>
      <c r="F6513" s="312"/>
      <c r="G6513" s="312" t="s">
        <v>7907</v>
      </c>
      <c r="H6513" s="312" t="s">
        <v>7908</v>
      </c>
      <c r="I6513" s="312" t="s">
        <v>1552</v>
      </c>
      <c r="J6513" s="312" t="s">
        <v>7905</v>
      </c>
      <c r="K6513"/>
    </row>
    <row r="6514" spans="1:11" ht="39.6" x14ac:dyDescent="0.3">
      <c r="A6514" s="400" t="s">
        <v>1038</v>
      </c>
      <c r="B6514" s="401" t="s">
        <v>439</v>
      </c>
      <c r="C6514" s="400" t="s">
        <v>7915</v>
      </c>
      <c r="D6514" s="400" t="s">
        <v>4618</v>
      </c>
      <c r="E6514" s="400"/>
      <c r="F6514" s="400" t="s">
        <v>7916</v>
      </c>
      <c r="G6514" s="402" t="s">
        <v>1109</v>
      </c>
      <c r="H6514" s="404">
        <v>2.41</v>
      </c>
      <c r="I6514" s="403">
        <v>1</v>
      </c>
      <c r="J6514" s="404">
        <v>2.41</v>
      </c>
      <c r="K6514"/>
    </row>
    <row r="6515" spans="1:11" ht="38.25" customHeight="1" x14ac:dyDescent="0.3">
      <c r="A6515" s="400" t="s">
        <v>1038</v>
      </c>
      <c r="B6515" s="401" t="s">
        <v>439</v>
      </c>
      <c r="C6515" s="400" t="s">
        <v>7917</v>
      </c>
      <c r="D6515" s="400" t="s">
        <v>4723</v>
      </c>
      <c r="E6515" s="400"/>
      <c r="F6515" s="400" t="s">
        <v>7916</v>
      </c>
      <c r="G6515" s="402" t="s">
        <v>1109</v>
      </c>
      <c r="H6515" s="404">
        <v>0.9</v>
      </c>
      <c r="I6515" s="403">
        <v>1</v>
      </c>
      <c r="J6515" s="404">
        <v>0.9</v>
      </c>
      <c r="K6515"/>
    </row>
    <row r="6516" spans="1:11" ht="25.5" customHeight="1" x14ac:dyDescent="0.3">
      <c r="A6516" s="400" t="s">
        <v>1038</v>
      </c>
      <c r="B6516" s="401" t="s">
        <v>439</v>
      </c>
      <c r="C6516" s="400" t="s">
        <v>7918</v>
      </c>
      <c r="D6516" s="400" t="s">
        <v>4974</v>
      </c>
      <c r="E6516" s="400"/>
      <c r="F6516" s="400" t="s">
        <v>7916</v>
      </c>
      <c r="G6516" s="402" t="s">
        <v>1109</v>
      </c>
      <c r="H6516" s="404">
        <v>0.11</v>
      </c>
      <c r="I6516" s="403">
        <v>1</v>
      </c>
      <c r="J6516" s="404">
        <v>0.11</v>
      </c>
      <c r="K6516"/>
    </row>
    <row r="6517" spans="1:11" ht="25.5" customHeight="1" x14ac:dyDescent="0.3">
      <c r="A6517" s="400" t="s">
        <v>1038</v>
      </c>
      <c r="B6517" s="401" t="s">
        <v>439</v>
      </c>
      <c r="C6517" s="400" t="s">
        <v>7919</v>
      </c>
      <c r="D6517" s="400" t="s">
        <v>4716</v>
      </c>
      <c r="E6517" s="400"/>
      <c r="F6517" s="400" t="s">
        <v>7916</v>
      </c>
      <c r="G6517" s="402" t="s">
        <v>1109</v>
      </c>
      <c r="H6517" s="404">
        <v>1.57</v>
      </c>
      <c r="I6517" s="403">
        <v>1</v>
      </c>
      <c r="J6517" s="404">
        <v>1.57</v>
      </c>
      <c r="K6517"/>
    </row>
    <row r="6518" spans="1:11" ht="25.5" customHeight="1" x14ac:dyDescent="0.3">
      <c r="A6518" s="581"/>
      <c r="B6518" s="581"/>
      <c r="C6518" s="581"/>
      <c r="D6518" s="581"/>
      <c r="E6518" s="581"/>
      <c r="F6518" s="581" t="s">
        <v>7920</v>
      </c>
      <c r="G6518" s="581"/>
      <c r="H6518" s="581"/>
      <c r="I6518" s="581"/>
      <c r="J6518" s="381">
        <v>4.99</v>
      </c>
      <c r="K6518"/>
    </row>
    <row r="6519" spans="1:11" ht="27.6" x14ac:dyDescent="0.3">
      <c r="A6519" s="382" t="s">
        <v>7921</v>
      </c>
      <c r="B6519" s="312" t="s">
        <v>414</v>
      </c>
      <c r="C6519" s="382" t="s">
        <v>413</v>
      </c>
      <c r="D6519" s="382" t="s">
        <v>2381</v>
      </c>
      <c r="E6519" s="312"/>
      <c r="F6519" s="312"/>
      <c r="G6519" s="312" t="s">
        <v>7907</v>
      </c>
      <c r="H6519" s="312" t="s">
        <v>7908</v>
      </c>
      <c r="I6519" s="312" t="s">
        <v>1552</v>
      </c>
      <c r="J6519" s="312" t="s">
        <v>7905</v>
      </c>
      <c r="K6519"/>
    </row>
    <row r="6520" spans="1:11" ht="25.5" customHeight="1" x14ac:dyDescent="0.3">
      <c r="A6520" s="408" t="s">
        <v>7922</v>
      </c>
      <c r="B6520" s="409" t="s">
        <v>439</v>
      </c>
      <c r="C6520" s="408" t="s">
        <v>7923</v>
      </c>
      <c r="D6520" s="408" t="s">
        <v>7924</v>
      </c>
      <c r="E6520" s="408"/>
      <c r="F6520" s="408" t="s">
        <v>7916</v>
      </c>
      <c r="G6520" s="410" t="s">
        <v>1109</v>
      </c>
      <c r="H6520" s="411">
        <v>1.41</v>
      </c>
      <c r="I6520" s="412">
        <v>1</v>
      </c>
      <c r="J6520" s="411">
        <v>1.41</v>
      </c>
      <c r="K6520"/>
    </row>
    <row r="6521" spans="1:11" ht="25.5" customHeight="1" x14ac:dyDescent="0.3">
      <c r="A6521" s="408" t="s">
        <v>7922</v>
      </c>
      <c r="B6521" s="409" t="s">
        <v>439</v>
      </c>
      <c r="C6521" s="408" t="s">
        <v>7925</v>
      </c>
      <c r="D6521" s="408" t="s">
        <v>7926</v>
      </c>
      <c r="E6521" s="408"/>
      <c r="F6521" s="408" t="s">
        <v>7916</v>
      </c>
      <c r="G6521" s="410" t="s">
        <v>1109</v>
      </c>
      <c r="H6521" s="411">
        <v>0.34</v>
      </c>
      <c r="I6521" s="412">
        <v>1</v>
      </c>
      <c r="J6521" s="411">
        <v>0.34</v>
      </c>
      <c r="K6521"/>
    </row>
    <row r="6522" spans="1:11" ht="15" customHeight="1" x14ac:dyDescent="0.3">
      <c r="A6522" s="408" t="s">
        <v>7922</v>
      </c>
      <c r="B6522" s="409" t="s">
        <v>439</v>
      </c>
      <c r="C6522" s="408" t="s">
        <v>7927</v>
      </c>
      <c r="D6522" s="408" t="s">
        <v>7928</v>
      </c>
      <c r="E6522" s="408"/>
      <c r="F6522" s="408" t="s">
        <v>7916</v>
      </c>
      <c r="G6522" s="410" t="s">
        <v>1109</v>
      </c>
      <c r="H6522" s="411">
        <v>0.28999999999999998</v>
      </c>
      <c r="I6522" s="412">
        <v>1</v>
      </c>
      <c r="J6522" s="411">
        <v>0.28999999999999998</v>
      </c>
      <c r="K6522"/>
    </row>
    <row r="6523" spans="1:11" ht="16.95" customHeight="1" x14ac:dyDescent="0.3">
      <c r="A6523" s="581"/>
      <c r="B6523" s="581"/>
      <c r="C6523" s="581"/>
      <c r="D6523" s="581"/>
      <c r="E6523" s="581"/>
      <c r="F6523" s="581" t="s">
        <v>7929</v>
      </c>
      <c r="G6523" s="581"/>
      <c r="H6523" s="581"/>
      <c r="I6523" s="581"/>
      <c r="J6523" s="381">
        <v>2.04</v>
      </c>
      <c r="K6523"/>
    </row>
    <row r="6524" spans="1:11" ht="16.95" customHeight="1" x14ac:dyDescent="0.3">
      <c r="A6524" s="382" t="s">
        <v>6</v>
      </c>
      <c r="B6524" s="312" t="s">
        <v>414</v>
      </c>
      <c r="C6524" s="382" t="s">
        <v>413</v>
      </c>
      <c r="D6524" s="382" t="s">
        <v>7930</v>
      </c>
      <c r="E6524" s="312" t="s">
        <v>7931</v>
      </c>
      <c r="F6524" s="312" t="s">
        <v>7932</v>
      </c>
      <c r="G6524" s="312" t="s">
        <v>7907</v>
      </c>
      <c r="H6524" s="312" t="s">
        <v>7908</v>
      </c>
      <c r="I6524" s="312" t="s">
        <v>1552</v>
      </c>
      <c r="J6524" s="312" t="s">
        <v>7905</v>
      </c>
      <c r="K6524"/>
    </row>
    <row r="6525" spans="1:11" ht="15" x14ac:dyDescent="0.3">
      <c r="A6525" s="581"/>
      <c r="B6525" s="581"/>
      <c r="C6525" s="581"/>
      <c r="D6525" s="581"/>
      <c r="E6525" s="581"/>
      <c r="F6525" s="581" t="s">
        <v>7933</v>
      </c>
      <c r="G6525" s="581"/>
      <c r="H6525" s="581"/>
      <c r="I6525" s="581"/>
      <c r="J6525" s="381">
        <v>0</v>
      </c>
      <c r="K6525"/>
    </row>
    <row r="6526" spans="1:11" ht="15" customHeight="1" x14ac:dyDescent="0.3">
      <c r="A6526" s="405"/>
      <c r="B6526" s="405"/>
      <c r="C6526" s="405"/>
      <c r="D6526" s="405"/>
      <c r="E6526" s="405" t="s">
        <v>1046</v>
      </c>
      <c r="F6526" s="406">
        <v>20.296417712</v>
      </c>
      <c r="G6526" s="405" t="s">
        <v>1047</v>
      </c>
      <c r="H6526" s="406">
        <v>0</v>
      </c>
      <c r="I6526" s="405" t="s">
        <v>1048</v>
      </c>
      <c r="J6526" s="406">
        <v>20.29</v>
      </c>
      <c r="K6526"/>
    </row>
    <row r="6527" spans="1:11" ht="25.5" customHeight="1" thickBot="1" x14ac:dyDescent="0.35">
      <c r="A6527" s="405"/>
      <c r="B6527" s="405"/>
      <c r="C6527" s="405"/>
      <c r="D6527" s="405"/>
      <c r="E6527" s="405" t="s">
        <v>1049</v>
      </c>
      <c r="F6527" s="406">
        <v>0</v>
      </c>
      <c r="G6527" s="405"/>
      <c r="H6527" s="606"/>
      <c r="I6527" s="606" t="s">
        <v>1050</v>
      </c>
      <c r="J6527" s="406">
        <v>27.03</v>
      </c>
      <c r="K6527"/>
    </row>
    <row r="6528" spans="1:11" ht="25.5" customHeight="1" thickTop="1" x14ac:dyDescent="0.3">
      <c r="A6528" s="407"/>
      <c r="B6528" s="407"/>
      <c r="C6528" s="407"/>
      <c r="D6528" s="407"/>
      <c r="E6528" s="407"/>
      <c r="F6528" s="407"/>
      <c r="G6528" s="407"/>
      <c r="H6528" s="407"/>
      <c r="I6528" s="407"/>
      <c r="J6528" s="407"/>
      <c r="K6528"/>
    </row>
    <row r="6529" spans="1:11" ht="15" x14ac:dyDescent="0.3">
      <c r="A6529" s="382"/>
      <c r="B6529" s="312" t="s">
        <v>413</v>
      </c>
      <c r="C6529" s="382" t="s">
        <v>414</v>
      </c>
      <c r="D6529" s="382" t="s">
        <v>415</v>
      </c>
      <c r="E6529" s="586" t="s">
        <v>1029</v>
      </c>
      <c r="F6529" s="586"/>
      <c r="G6529" s="383" t="s">
        <v>416</v>
      </c>
      <c r="H6529" s="312" t="s">
        <v>1030</v>
      </c>
      <c r="I6529" s="312" t="s">
        <v>3016</v>
      </c>
      <c r="J6529" s="312" t="s">
        <v>1031</v>
      </c>
      <c r="K6529" s="312" t="s">
        <v>1032</v>
      </c>
    </row>
    <row r="6530" spans="1:11" ht="25.5" customHeight="1" x14ac:dyDescent="0.3">
      <c r="A6530" s="313" t="s">
        <v>1033</v>
      </c>
      <c r="B6530" s="315" t="s">
        <v>1108</v>
      </c>
      <c r="C6530" s="313" t="s">
        <v>439</v>
      </c>
      <c r="D6530" s="313" t="s">
        <v>296</v>
      </c>
      <c r="E6530" s="603" t="s">
        <v>781</v>
      </c>
      <c r="F6530" s="603"/>
      <c r="G6530" s="314" t="s">
        <v>1109</v>
      </c>
      <c r="H6530" s="399">
        <v>1</v>
      </c>
      <c r="I6530" s="316"/>
      <c r="J6530" s="316">
        <v>27.9</v>
      </c>
      <c r="K6530" s="316">
        <v>27.9</v>
      </c>
    </row>
    <row r="6531" spans="1:11" ht="38.25" customHeight="1" x14ac:dyDescent="0.3">
      <c r="A6531" s="400" t="s">
        <v>1038</v>
      </c>
      <c r="B6531" s="401" t="s">
        <v>6701</v>
      </c>
      <c r="C6531" s="400" t="s">
        <v>439</v>
      </c>
      <c r="D6531" s="400" t="s">
        <v>1139</v>
      </c>
      <c r="E6531" s="605" t="s">
        <v>1053</v>
      </c>
      <c r="F6531" s="605"/>
      <c r="G6531" s="402" t="s">
        <v>6</v>
      </c>
      <c r="H6531" s="403">
        <v>1</v>
      </c>
      <c r="I6531" s="403">
        <v>0</v>
      </c>
      <c r="J6531" s="404">
        <v>20.001200000000001</v>
      </c>
      <c r="K6531" s="404">
        <v>20.001200000000001</v>
      </c>
    </row>
    <row r="6532" spans="1:11" ht="15" customHeight="1" x14ac:dyDescent="0.3">
      <c r="A6532" s="400" t="s">
        <v>1038</v>
      </c>
      <c r="B6532" s="401" t="s">
        <v>7004</v>
      </c>
      <c r="C6532" s="400" t="s">
        <v>439</v>
      </c>
      <c r="D6532" s="400" t="s">
        <v>4618</v>
      </c>
      <c r="E6532" s="605" t="s">
        <v>1039</v>
      </c>
      <c r="F6532" s="605"/>
      <c r="G6532" s="402" t="s">
        <v>1109</v>
      </c>
      <c r="H6532" s="403">
        <v>1</v>
      </c>
      <c r="I6532" s="403">
        <v>0</v>
      </c>
      <c r="J6532" s="404">
        <v>2.41</v>
      </c>
      <c r="K6532" s="404">
        <v>2.41</v>
      </c>
    </row>
    <row r="6533" spans="1:11" ht="25.5" customHeight="1" x14ac:dyDescent="0.3">
      <c r="A6533" s="400" t="s">
        <v>1038</v>
      </c>
      <c r="B6533" s="401" t="s">
        <v>7092</v>
      </c>
      <c r="C6533" s="400" t="s">
        <v>439</v>
      </c>
      <c r="D6533" s="400" t="s">
        <v>4716</v>
      </c>
      <c r="E6533" s="605" t="s">
        <v>1039</v>
      </c>
      <c r="F6533" s="605"/>
      <c r="G6533" s="402" t="s">
        <v>1109</v>
      </c>
      <c r="H6533" s="403">
        <v>1</v>
      </c>
      <c r="I6533" s="403">
        <v>0</v>
      </c>
      <c r="J6533" s="404">
        <v>1.57</v>
      </c>
      <c r="K6533" s="404">
        <v>1.57</v>
      </c>
    </row>
    <row r="6534" spans="1:11" ht="15" x14ac:dyDescent="0.3">
      <c r="A6534" s="400" t="s">
        <v>1038</v>
      </c>
      <c r="B6534" s="401" t="s">
        <v>7598</v>
      </c>
      <c r="C6534" s="400" t="s">
        <v>439</v>
      </c>
      <c r="D6534" s="400" t="s">
        <v>4974</v>
      </c>
      <c r="E6534" s="605" t="s">
        <v>1039</v>
      </c>
      <c r="F6534" s="605"/>
      <c r="G6534" s="402" t="s">
        <v>1109</v>
      </c>
      <c r="H6534" s="403">
        <v>1</v>
      </c>
      <c r="I6534" s="403">
        <v>0</v>
      </c>
      <c r="J6534" s="404">
        <v>0.11</v>
      </c>
      <c r="K6534" s="404">
        <v>0.11</v>
      </c>
    </row>
    <row r="6535" spans="1:11" ht="15" x14ac:dyDescent="0.3">
      <c r="A6535" s="400" t="s">
        <v>1038</v>
      </c>
      <c r="B6535" s="401" t="s">
        <v>7233</v>
      </c>
      <c r="C6535" s="400" t="s">
        <v>439</v>
      </c>
      <c r="D6535" s="400" t="s">
        <v>4723</v>
      </c>
      <c r="E6535" s="605" t="s">
        <v>1039</v>
      </c>
      <c r="F6535" s="605"/>
      <c r="G6535" s="402" t="s">
        <v>1109</v>
      </c>
      <c r="H6535" s="403">
        <v>1</v>
      </c>
      <c r="I6535" s="403">
        <v>0</v>
      </c>
      <c r="J6535" s="404">
        <v>0.9</v>
      </c>
      <c r="K6535" s="404">
        <v>0.9</v>
      </c>
    </row>
    <row r="6536" spans="1:11" ht="15" customHeight="1" x14ac:dyDescent="0.3">
      <c r="A6536" s="400" t="s">
        <v>1038</v>
      </c>
      <c r="B6536" s="401" t="s">
        <v>4924</v>
      </c>
      <c r="C6536" s="400" t="s">
        <v>439</v>
      </c>
      <c r="D6536" s="400" t="s">
        <v>4925</v>
      </c>
      <c r="E6536" s="605" t="s">
        <v>2381</v>
      </c>
      <c r="F6536" s="605"/>
      <c r="G6536" s="402" t="s">
        <v>1109</v>
      </c>
      <c r="H6536" s="403">
        <v>1</v>
      </c>
      <c r="I6536" s="403">
        <v>0</v>
      </c>
      <c r="J6536" s="404">
        <v>0.56000000000000005</v>
      </c>
      <c r="K6536" s="404">
        <v>0.56000000000000005</v>
      </c>
    </row>
    <row r="6537" spans="1:11" ht="25.5" customHeight="1" x14ac:dyDescent="0.3">
      <c r="A6537" s="400" t="s">
        <v>1038</v>
      </c>
      <c r="B6537" s="401" t="s">
        <v>4828</v>
      </c>
      <c r="C6537" s="400" t="s">
        <v>439</v>
      </c>
      <c r="D6537" s="400" t="s">
        <v>4829</v>
      </c>
      <c r="E6537" s="605" t="s">
        <v>2381</v>
      </c>
      <c r="F6537" s="605"/>
      <c r="G6537" s="402" t="s">
        <v>1109</v>
      </c>
      <c r="H6537" s="403">
        <v>1</v>
      </c>
      <c r="I6537" s="403">
        <v>0</v>
      </c>
      <c r="J6537" s="404">
        <v>1.36</v>
      </c>
      <c r="K6537" s="404">
        <v>1.36</v>
      </c>
    </row>
    <row r="6538" spans="1:11" ht="25.5" customHeight="1" x14ac:dyDescent="0.3">
      <c r="A6538" s="400" t="s">
        <v>1038</v>
      </c>
      <c r="B6538" s="401" t="s">
        <v>4866</v>
      </c>
      <c r="C6538" s="400" t="s">
        <v>439</v>
      </c>
      <c r="D6538" s="400" t="s">
        <v>4867</v>
      </c>
      <c r="E6538" s="605" t="s">
        <v>2381</v>
      </c>
      <c r="F6538" s="605"/>
      <c r="G6538" s="402" t="s">
        <v>1109</v>
      </c>
      <c r="H6538" s="403">
        <v>1</v>
      </c>
      <c r="I6538" s="403">
        <v>0</v>
      </c>
      <c r="J6538" s="404">
        <v>0.99</v>
      </c>
      <c r="K6538" s="404">
        <v>0.99</v>
      </c>
    </row>
    <row r="6539" spans="1:11" ht="30" customHeight="1" x14ac:dyDescent="0.3">
      <c r="A6539" s="405"/>
      <c r="B6539" s="405"/>
      <c r="C6539" s="405"/>
      <c r="D6539" s="405"/>
      <c r="E6539" s="405" t="s">
        <v>1046</v>
      </c>
      <c r="F6539" s="406">
        <v>20</v>
      </c>
      <c r="G6539" s="405" t="s">
        <v>1047</v>
      </c>
      <c r="H6539" s="406">
        <v>0</v>
      </c>
      <c r="I6539" s="405" t="s">
        <v>1048</v>
      </c>
      <c r="J6539" s="406">
        <v>20</v>
      </c>
      <c r="K6539"/>
    </row>
    <row r="6540" spans="1:11" ht="25.5" customHeight="1" thickBot="1" x14ac:dyDescent="0.35">
      <c r="A6540" s="405"/>
      <c r="B6540" s="405"/>
      <c r="C6540" s="405"/>
      <c r="D6540" s="405"/>
      <c r="E6540" s="405" t="s">
        <v>1049</v>
      </c>
      <c r="F6540" s="406">
        <v>0</v>
      </c>
      <c r="G6540" s="405"/>
      <c r="H6540" s="606"/>
      <c r="I6540" s="606" t="s">
        <v>1050</v>
      </c>
      <c r="J6540" s="406">
        <v>27.9</v>
      </c>
      <c r="K6540"/>
    </row>
    <row r="6541" spans="1:11" ht="38.25" customHeight="1" thickTop="1" x14ac:dyDescent="0.3">
      <c r="A6541" s="407"/>
      <c r="B6541" s="407"/>
      <c r="C6541" s="407"/>
      <c r="D6541" s="407"/>
      <c r="E6541" s="407"/>
      <c r="F6541" s="407"/>
      <c r="G6541" s="407"/>
      <c r="H6541" s="407"/>
      <c r="I6541" s="407"/>
      <c r="J6541" s="407"/>
      <c r="K6541"/>
    </row>
    <row r="6542" spans="1:11" ht="15" customHeight="1" x14ac:dyDescent="0.3">
      <c r="A6542" s="382"/>
      <c r="B6542" s="312" t="s">
        <v>413</v>
      </c>
      <c r="C6542" s="382" t="s">
        <v>414</v>
      </c>
      <c r="D6542" s="382" t="s">
        <v>415</v>
      </c>
      <c r="E6542" s="586" t="s">
        <v>1029</v>
      </c>
      <c r="F6542" s="586"/>
      <c r="G6542" s="383" t="s">
        <v>416</v>
      </c>
      <c r="H6542" s="312" t="s">
        <v>1030</v>
      </c>
      <c r="I6542" s="312" t="s">
        <v>3016</v>
      </c>
      <c r="J6542" s="312" t="s">
        <v>1031</v>
      </c>
      <c r="K6542" s="312" t="s">
        <v>1032</v>
      </c>
    </row>
    <row r="6543" spans="1:11" ht="14.25" customHeight="1" x14ac:dyDescent="0.3">
      <c r="A6543" s="313" t="s">
        <v>1033</v>
      </c>
      <c r="B6543" s="315" t="s">
        <v>7934</v>
      </c>
      <c r="C6543" s="313" t="s">
        <v>439</v>
      </c>
      <c r="D6543" s="313" t="s">
        <v>296</v>
      </c>
      <c r="E6543" s="603" t="s">
        <v>7770</v>
      </c>
      <c r="F6543" s="603"/>
      <c r="G6543" s="314" t="s">
        <v>1109</v>
      </c>
      <c r="H6543" s="399">
        <v>1</v>
      </c>
      <c r="I6543" s="316"/>
      <c r="J6543" s="316">
        <v>28.03</v>
      </c>
      <c r="K6543" s="316">
        <v>28.03</v>
      </c>
    </row>
    <row r="6544" spans="1:11" ht="17.399999999999999" customHeight="1" x14ac:dyDescent="0.3">
      <c r="A6544" s="586" t="s">
        <v>3312</v>
      </c>
      <c r="B6544" s="584" t="s">
        <v>413</v>
      </c>
      <c r="C6544" s="586" t="s">
        <v>414</v>
      </c>
      <c r="D6544" s="586" t="s">
        <v>7901</v>
      </c>
      <c r="E6544" s="585" t="s">
        <v>7902</v>
      </c>
      <c r="F6544" s="584"/>
      <c r="G6544" s="585" t="s">
        <v>7903</v>
      </c>
      <c r="H6544" s="584"/>
      <c r="I6544" s="584" t="s">
        <v>7904</v>
      </c>
      <c r="J6544" s="584" t="s">
        <v>7905</v>
      </c>
      <c r="K6544"/>
    </row>
    <row r="6545" spans="1:11" ht="15" x14ac:dyDescent="0.3">
      <c r="A6545" s="584"/>
      <c r="B6545" s="584"/>
      <c r="C6545" s="584"/>
      <c r="D6545" s="584"/>
      <c r="E6545" s="312" t="s">
        <v>4013</v>
      </c>
      <c r="F6545" s="312" t="s">
        <v>4014</v>
      </c>
      <c r="G6545" s="312" t="s">
        <v>4013</v>
      </c>
      <c r="H6545" s="312" t="s">
        <v>4014</v>
      </c>
      <c r="I6545" s="584"/>
      <c r="J6545" s="584"/>
      <c r="K6545"/>
    </row>
    <row r="6546" spans="1:11" ht="15" customHeight="1" x14ac:dyDescent="0.3">
      <c r="A6546" s="581"/>
      <c r="B6546" s="581"/>
      <c r="C6546" s="581"/>
      <c r="D6546" s="581"/>
      <c r="E6546" s="581"/>
      <c r="F6546" s="581" t="s">
        <v>7906</v>
      </c>
      <c r="G6546" s="581"/>
      <c r="H6546" s="581"/>
      <c r="I6546" s="581"/>
      <c r="J6546" s="381">
        <v>0</v>
      </c>
      <c r="K6546"/>
    </row>
    <row r="6547" spans="1:11" ht="25.5" customHeight="1" x14ac:dyDescent="0.3">
      <c r="A6547" s="382" t="s">
        <v>371</v>
      </c>
      <c r="B6547" s="312" t="s">
        <v>413</v>
      </c>
      <c r="C6547" s="382" t="s">
        <v>414</v>
      </c>
      <c r="D6547" s="382" t="s">
        <v>1053</v>
      </c>
      <c r="E6547" s="312"/>
      <c r="F6547" s="584"/>
      <c r="G6547" s="584" t="s">
        <v>7907</v>
      </c>
      <c r="H6547" s="584" t="s">
        <v>7908</v>
      </c>
      <c r="I6547" s="584" t="s">
        <v>7904</v>
      </c>
      <c r="J6547" s="312" t="s">
        <v>7905</v>
      </c>
      <c r="K6547"/>
    </row>
    <row r="6548" spans="1:11" ht="25.5" customHeight="1" x14ac:dyDescent="0.3">
      <c r="A6548" s="400" t="s">
        <v>1038</v>
      </c>
      <c r="B6548" s="401" t="s">
        <v>7935</v>
      </c>
      <c r="C6548" s="400" t="s">
        <v>439</v>
      </c>
      <c r="D6548" s="400" t="s">
        <v>1139</v>
      </c>
      <c r="E6548" s="403"/>
      <c r="F6548" s="400"/>
      <c r="G6548" s="400" t="s">
        <v>6</v>
      </c>
      <c r="H6548" s="400">
        <v>20</v>
      </c>
      <c r="I6548" s="404">
        <v>1</v>
      </c>
      <c r="J6548" s="404">
        <v>20</v>
      </c>
      <c r="K6548"/>
    </row>
    <row r="6549" spans="1:11" ht="25.5" customHeight="1" x14ac:dyDescent="0.3">
      <c r="A6549" s="581"/>
      <c r="B6549" s="581"/>
      <c r="C6549" s="581"/>
      <c r="D6549" s="581"/>
      <c r="E6549" s="581"/>
      <c r="F6549" s="581" t="s">
        <v>7910</v>
      </c>
      <c r="G6549" s="581"/>
      <c r="H6549" s="581"/>
      <c r="I6549" s="581"/>
      <c r="J6549" s="381">
        <v>20</v>
      </c>
      <c r="K6549"/>
    </row>
    <row r="6550" spans="1:11" ht="25.5" customHeight="1" x14ac:dyDescent="0.3">
      <c r="A6550" s="581"/>
      <c r="B6550" s="581"/>
      <c r="C6550" s="581"/>
      <c r="D6550" s="581"/>
      <c r="E6550" s="581"/>
      <c r="F6550" s="581" t="s">
        <v>7911</v>
      </c>
      <c r="G6550" s="581"/>
      <c r="H6550" s="581"/>
      <c r="I6550" s="581"/>
      <c r="J6550" s="381">
        <v>20</v>
      </c>
      <c r="K6550"/>
    </row>
    <row r="6551" spans="1:11" ht="38.25" customHeight="1" x14ac:dyDescent="0.3">
      <c r="A6551" s="581"/>
      <c r="B6551" s="581"/>
      <c r="C6551" s="581"/>
      <c r="D6551" s="581"/>
      <c r="E6551" s="581"/>
      <c r="F6551" s="581" t="s">
        <v>7912</v>
      </c>
      <c r="G6551" s="581"/>
      <c r="H6551" s="581"/>
      <c r="I6551" s="581"/>
      <c r="J6551" s="381">
        <v>1</v>
      </c>
      <c r="K6551"/>
    </row>
    <row r="6552" spans="1:11" ht="15" customHeight="1" x14ac:dyDescent="0.3">
      <c r="A6552" s="581"/>
      <c r="B6552" s="581"/>
      <c r="C6552" s="581"/>
      <c r="D6552" s="581"/>
      <c r="E6552" s="581"/>
      <c r="F6552" s="581" t="s">
        <v>7913</v>
      </c>
      <c r="G6552" s="581"/>
      <c r="H6552" s="581"/>
      <c r="I6552" s="581"/>
      <c r="J6552" s="381">
        <v>20</v>
      </c>
      <c r="K6552"/>
    </row>
    <row r="6553" spans="1:11" ht="25.5" customHeight="1" x14ac:dyDescent="0.3">
      <c r="A6553" s="382" t="s">
        <v>7914</v>
      </c>
      <c r="B6553" s="312" t="s">
        <v>414</v>
      </c>
      <c r="C6553" s="382" t="s">
        <v>413</v>
      </c>
      <c r="D6553" s="382" t="s">
        <v>1039</v>
      </c>
      <c r="E6553" s="312"/>
      <c r="F6553" s="312"/>
      <c r="G6553" s="312" t="s">
        <v>7907</v>
      </c>
      <c r="H6553" s="312" t="s">
        <v>7908</v>
      </c>
      <c r="I6553" s="312" t="s">
        <v>1552</v>
      </c>
      <c r="J6553" s="312" t="s">
        <v>7905</v>
      </c>
      <c r="K6553"/>
    </row>
    <row r="6554" spans="1:11" ht="17.399999999999999" customHeight="1" x14ac:dyDescent="0.3">
      <c r="A6554" s="400" t="s">
        <v>1038</v>
      </c>
      <c r="B6554" s="401" t="s">
        <v>439</v>
      </c>
      <c r="C6554" s="400" t="s">
        <v>7915</v>
      </c>
      <c r="D6554" s="400" t="s">
        <v>4618</v>
      </c>
      <c r="E6554" s="400"/>
      <c r="F6554" s="400" t="s">
        <v>7916</v>
      </c>
      <c r="G6554" s="402" t="s">
        <v>1109</v>
      </c>
      <c r="H6554" s="404">
        <v>2.41</v>
      </c>
      <c r="I6554" s="403">
        <v>1</v>
      </c>
      <c r="J6554" s="404">
        <v>2.41</v>
      </c>
      <c r="K6554"/>
    </row>
    <row r="6555" spans="1:11" ht="39.6" x14ac:dyDescent="0.3">
      <c r="A6555" s="400" t="s">
        <v>1038</v>
      </c>
      <c r="B6555" s="401" t="s">
        <v>439</v>
      </c>
      <c r="C6555" s="400" t="s">
        <v>7917</v>
      </c>
      <c r="D6555" s="400" t="s">
        <v>4723</v>
      </c>
      <c r="E6555" s="400"/>
      <c r="F6555" s="400" t="s">
        <v>7916</v>
      </c>
      <c r="G6555" s="402" t="s">
        <v>1109</v>
      </c>
      <c r="H6555" s="404">
        <v>0.9</v>
      </c>
      <c r="I6555" s="403">
        <v>1</v>
      </c>
      <c r="J6555" s="404">
        <v>0.9</v>
      </c>
      <c r="K6555"/>
    </row>
    <row r="6556" spans="1:11" ht="15" customHeight="1" x14ac:dyDescent="0.3">
      <c r="A6556" s="400" t="s">
        <v>1038</v>
      </c>
      <c r="B6556" s="401" t="s">
        <v>439</v>
      </c>
      <c r="C6556" s="400" t="s">
        <v>7918</v>
      </c>
      <c r="D6556" s="400" t="s">
        <v>4974</v>
      </c>
      <c r="E6556" s="400"/>
      <c r="F6556" s="400" t="s">
        <v>7916</v>
      </c>
      <c r="G6556" s="402" t="s">
        <v>1109</v>
      </c>
      <c r="H6556" s="404">
        <v>0.11</v>
      </c>
      <c r="I6556" s="403">
        <v>1</v>
      </c>
      <c r="J6556" s="404">
        <v>0.11</v>
      </c>
      <c r="K6556"/>
    </row>
    <row r="6557" spans="1:11" ht="25.5" customHeight="1" x14ac:dyDescent="0.3">
      <c r="A6557" s="400" t="s">
        <v>1038</v>
      </c>
      <c r="B6557" s="401" t="s">
        <v>439</v>
      </c>
      <c r="C6557" s="400" t="s">
        <v>7919</v>
      </c>
      <c r="D6557" s="400" t="s">
        <v>4716</v>
      </c>
      <c r="E6557" s="400"/>
      <c r="F6557" s="400" t="s">
        <v>7916</v>
      </c>
      <c r="G6557" s="402" t="s">
        <v>1109</v>
      </c>
      <c r="H6557" s="404">
        <v>1.57</v>
      </c>
      <c r="I6557" s="403">
        <v>1</v>
      </c>
      <c r="J6557" s="404">
        <v>1.57</v>
      </c>
      <c r="K6557"/>
    </row>
    <row r="6558" spans="1:11" ht="25.5" customHeight="1" x14ac:dyDescent="0.3">
      <c r="A6558" s="581"/>
      <c r="B6558" s="581"/>
      <c r="C6558" s="581"/>
      <c r="D6558" s="581"/>
      <c r="E6558" s="581"/>
      <c r="F6558" s="581" t="s">
        <v>7920</v>
      </c>
      <c r="G6558" s="581"/>
      <c r="H6558" s="581"/>
      <c r="I6558" s="581"/>
      <c r="J6558" s="381">
        <v>4.99</v>
      </c>
      <c r="K6558"/>
    </row>
    <row r="6559" spans="1:11" ht="27.6" x14ac:dyDescent="0.3">
      <c r="A6559" s="382" t="s">
        <v>7921</v>
      </c>
      <c r="B6559" s="312" t="s">
        <v>414</v>
      </c>
      <c r="C6559" s="382" t="s">
        <v>413</v>
      </c>
      <c r="D6559" s="382" t="s">
        <v>2381</v>
      </c>
      <c r="E6559" s="312"/>
      <c r="F6559" s="312"/>
      <c r="G6559" s="312" t="s">
        <v>7907</v>
      </c>
      <c r="H6559" s="312" t="s">
        <v>7908</v>
      </c>
      <c r="I6559" s="312" t="s">
        <v>1552</v>
      </c>
      <c r="J6559" s="312" t="s">
        <v>7905</v>
      </c>
      <c r="K6559"/>
    </row>
    <row r="6560" spans="1:11" ht="12.75" customHeight="1" x14ac:dyDescent="0.3">
      <c r="A6560" s="408" t="s">
        <v>7922</v>
      </c>
      <c r="B6560" s="409" t="s">
        <v>439</v>
      </c>
      <c r="C6560" s="408" t="s">
        <v>7936</v>
      </c>
      <c r="D6560" s="408" t="s">
        <v>7937</v>
      </c>
      <c r="E6560" s="408"/>
      <c r="F6560" s="408" t="s">
        <v>7916</v>
      </c>
      <c r="G6560" s="410" t="s">
        <v>1109</v>
      </c>
      <c r="H6560" s="411">
        <v>1.34</v>
      </c>
      <c r="I6560" s="412">
        <v>1</v>
      </c>
      <c r="J6560" s="411">
        <v>1.34</v>
      </c>
      <c r="K6560"/>
    </row>
    <row r="6561" spans="1:11" ht="25.5" customHeight="1" x14ac:dyDescent="0.3">
      <c r="A6561" s="408" t="s">
        <v>7922</v>
      </c>
      <c r="B6561" s="409" t="s">
        <v>439</v>
      </c>
      <c r="C6561" s="408" t="s">
        <v>7938</v>
      </c>
      <c r="D6561" s="408" t="s">
        <v>7939</v>
      </c>
      <c r="E6561" s="408"/>
      <c r="F6561" s="408" t="s">
        <v>7916</v>
      </c>
      <c r="G6561" s="410" t="s">
        <v>1109</v>
      </c>
      <c r="H6561" s="411">
        <v>0.96</v>
      </c>
      <c r="I6561" s="412">
        <v>1</v>
      </c>
      <c r="J6561" s="411">
        <v>0.96</v>
      </c>
      <c r="K6561"/>
    </row>
    <row r="6562" spans="1:11" ht="25.5" customHeight="1" x14ac:dyDescent="0.3">
      <c r="A6562" s="408" t="s">
        <v>7922</v>
      </c>
      <c r="B6562" s="409" t="s">
        <v>439</v>
      </c>
      <c r="C6562" s="408" t="s">
        <v>7940</v>
      </c>
      <c r="D6562" s="408" t="s">
        <v>7941</v>
      </c>
      <c r="E6562" s="408"/>
      <c r="F6562" s="408" t="s">
        <v>7916</v>
      </c>
      <c r="G6562" s="410" t="s">
        <v>1109</v>
      </c>
      <c r="H6562" s="411">
        <v>0.74</v>
      </c>
      <c r="I6562" s="412">
        <v>1</v>
      </c>
      <c r="J6562" s="411">
        <v>0.74</v>
      </c>
      <c r="K6562"/>
    </row>
    <row r="6563" spans="1:11" ht="15" customHeight="1" x14ac:dyDescent="0.3">
      <c r="A6563" s="581"/>
      <c r="B6563" s="581"/>
      <c r="C6563" s="581"/>
      <c r="D6563" s="581"/>
      <c r="E6563" s="581"/>
      <c r="F6563" s="581" t="s">
        <v>7929</v>
      </c>
      <c r="G6563" s="581"/>
      <c r="H6563" s="581"/>
      <c r="I6563" s="581"/>
      <c r="J6563" s="381">
        <v>3.04</v>
      </c>
      <c r="K6563"/>
    </row>
    <row r="6564" spans="1:11" ht="27.6" x14ac:dyDescent="0.3">
      <c r="A6564" s="382" t="s">
        <v>6</v>
      </c>
      <c r="B6564" s="312" t="s">
        <v>414</v>
      </c>
      <c r="C6564" s="382" t="s">
        <v>413</v>
      </c>
      <c r="D6564" s="382" t="s">
        <v>7930</v>
      </c>
      <c r="E6564" s="312" t="s">
        <v>7931</v>
      </c>
      <c r="F6564" s="312" t="s">
        <v>7932</v>
      </c>
      <c r="G6564" s="312" t="s">
        <v>7907</v>
      </c>
      <c r="H6564" s="312" t="s">
        <v>7908</v>
      </c>
      <c r="I6564" s="312" t="s">
        <v>1552</v>
      </c>
      <c r="J6564" s="312" t="s">
        <v>7905</v>
      </c>
      <c r="K6564"/>
    </row>
    <row r="6565" spans="1:11" ht="14.25" customHeight="1" x14ac:dyDescent="0.3">
      <c r="A6565" s="581"/>
      <c r="B6565" s="581"/>
      <c r="C6565" s="581"/>
      <c r="D6565" s="581"/>
      <c r="E6565" s="581"/>
      <c r="F6565" s="581" t="s">
        <v>7933</v>
      </c>
      <c r="G6565" s="581"/>
      <c r="H6565" s="581"/>
      <c r="I6565" s="581"/>
      <c r="J6565" s="381">
        <v>0</v>
      </c>
      <c r="K6565"/>
    </row>
    <row r="6566" spans="1:11" ht="17.399999999999999" customHeight="1" x14ac:dyDescent="0.3">
      <c r="A6566" s="405"/>
      <c r="B6566" s="405"/>
      <c r="C6566" s="405"/>
      <c r="D6566" s="405"/>
      <c r="E6566" s="405" t="s">
        <v>1046</v>
      </c>
      <c r="F6566" s="406">
        <v>20.747644783999998</v>
      </c>
      <c r="G6566" s="405" t="s">
        <v>1047</v>
      </c>
      <c r="H6566" s="406">
        <v>0</v>
      </c>
      <c r="I6566" s="405" t="s">
        <v>1048</v>
      </c>
      <c r="J6566" s="406">
        <v>20.74</v>
      </c>
      <c r="K6566"/>
    </row>
    <row r="6567" spans="1:11" ht="15" customHeight="1" thickBot="1" x14ac:dyDescent="0.35">
      <c r="A6567" s="405"/>
      <c r="B6567" s="405"/>
      <c r="C6567" s="405"/>
      <c r="D6567" s="405"/>
      <c r="E6567" s="405" t="s">
        <v>1049</v>
      </c>
      <c r="F6567" s="406">
        <v>0</v>
      </c>
      <c r="G6567" s="405"/>
      <c r="H6567" s="606"/>
      <c r="I6567" s="606" t="s">
        <v>1050</v>
      </c>
      <c r="J6567" s="406">
        <v>28.03</v>
      </c>
      <c r="K6567"/>
    </row>
    <row r="6568" spans="1:11" ht="25.5" customHeight="1" thickTop="1" x14ac:dyDescent="0.3">
      <c r="A6568" s="407"/>
      <c r="B6568" s="407"/>
      <c r="C6568" s="407"/>
      <c r="D6568" s="407"/>
      <c r="E6568" s="407"/>
      <c r="F6568" s="407"/>
      <c r="G6568" s="407"/>
      <c r="H6568" s="407"/>
      <c r="I6568" s="407"/>
      <c r="J6568" s="407"/>
      <c r="K6568"/>
    </row>
    <row r="6569" spans="1:11" ht="25.5" customHeight="1" x14ac:dyDescent="0.3">
      <c r="A6569" s="382"/>
      <c r="B6569" s="312" t="s">
        <v>413</v>
      </c>
      <c r="C6569" s="382" t="s">
        <v>414</v>
      </c>
      <c r="D6569" s="382" t="s">
        <v>415</v>
      </c>
      <c r="E6569" s="586" t="s">
        <v>1029</v>
      </c>
      <c r="F6569" s="586"/>
      <c r="G6569" s="383" t="s">
        <v>416</v>
      </c>
      <c r="H6569" s="312" t="s">
        <v>1030</v>
      </c>
      <c r="I6569" s="312" t="s">
        <v>3016</v>
      </c>
      <c r="J6569" s="312" t="s">
        <v>1031</v>
      </c>
      <c r="K6569" s="312" t="s">
        <v>1032</v>
      </c>
    </row>
    <row r="6570" spans="1:11" ht="25.5" customHeight="1" x14ac:dyDescent="0.3">
      <c r="A6570" s="313" t="s">
        <v>1033</v>
      </c>
      <c r="B6570" s="315" t="s">
        <v>1153</v>
      </c>
      <c r="C6570" s="313" t="s">
        <v>395</v>
      </c>
      <c r="D6570" s="313" t="s">
        <v>125</v>
      </c>
      <c r="E6570" s="603" t="s">
        <v>7768</v>
      </c>
      <c r="F6570" s="603"/>
      <c r="G6570" s="314" t="s">
        <v>6</v>
      </c>
      <c r="H6570" s="399">
        <v>1</v>
      </c>
      <c r="I6570" s="316"/>
      <c r="J6570" s="316">
        <v>34.17</v>
      </c>
      <c r="K6570" s="316">
        <v>34.17</v>
      </c>
    </row>
    <row r="6571" spans="1:11" ht="25.5" customHeight="1" x14ac:dyDescent="0.3">
      <c r="A6571" s="408" t="s">
        <v>1034</v>
      </c>
      <c r="B6571" s="409" t="s">
        <v>7942</v>
      </c>
      <c r="C6571" s="408" t="s">
        <v>395</v>
      </c>
      <c r="D6571" s="408" t="s">
        <v>7943</v>
      </c>
      <c r="E6571" s="604" t="s">
        <v>7768</v>
      </c>
      <c r="F6571" s="604"/>
      <c r="G6571" s="410" t="s">
        <v>6</v>
      </c>
      <c r="H6571" s="412">
        <v>1</v>
      </c>
      <c r="I6571" s="412">
        <v>0</v>
      </c>
      <c r="J6571" s="411">
        <v>0.27</v>
      </c>
      <c r="K6571" s="411">
        <v>0.27</v>
      </c>
    </row>
    <row r="6572" spans="1:11" ht="17.399999999999999" customHeight="1" x14ac:dyDescent="0.3">
      <c r="A6572" s="400" t="s">
        <v>1038</v>
      </c>
      <c r="B6572" s="401" t="s">
        <v>4208</v>
      </c>
      <c r="C6572" s="400" t="s">
        <v>395</v>
      </c>
      <c r="D6572" s="400" t="s">
        <v>4209</v>
      </c>
      <c r="E6572" s="605" t="s">
        <v>1053</v>
      </c>
      <c r="F6572" s="605"/>
      <c r="G6572" s="402" t="s">
        <v>6</v>
      </c>
      <c r="H6572" s="403">
        <v>1</v>
      </c>
      <c r="I6572" s="403">
        <v>0</v>
      </c>
      <c r="J6572" s="404">
        <v>23.69</v>
      </c>
      <c r="K6572" s="404">
        <v>23.69</v>
      </c>
    </row>
    <row r="6573" spans="1:11" ht="25.5" customHeight="1" x14ac:dyDescent="0.3">
      <c r="A6573" s="400" t="s">
        <v>1038</v>
      </c>
      <c r="B6573" s="401" t="s">
        <v>4028</v>
      </c>
      <c r="C6573" s="400" t="s">
        <v>395</v>
      </c>
      <c r="D6573" s="400" t="s">
        <v>4029</v>
      </c>
      <c r="E6573" s="605" t="s">
        <v>4030</v>
      </c>
      <c r="F6573" s="605"/>
      <c r="G6573" s="402" t="s">
        <v>6</v>
      </c>
      <c r="H6573" s="403">
        <v>1</v>
      </c>
      <c r="I6573" s="403">
        <v>0</v>
      </c>
      <c r="J6573" s="404">
        <v>4.78</v>
      </c>
      <c r="K6573" s="404">
        <v>4.78</v>
      </c>
    </row>
    <row r="6574" spans="1:11" ht="25.5" customHeight="1" x14ac:dyDescent="0.3">
      <c r="A6574" s="400" t="s">
        <v>1038</v>
      </c>
      <c r="B6574" s="401" t="s">
        <v>4066</v>
      </c>
      <c r="C6574" s="400" t="s">
        <v>395</v>
      </c>
      <c r="D6574" s="400" t="s">
        <v>4067</v>
      </c>
      <c r="E6574" s="605" t="s">
        <v>2381</v>
      </c>
      <c r="F6574" s="605"/>
      <c r="G6574" s="402" t="s">
        <v>6</v>
      </c>
      <c r="H6574" s="403">
        <v>1</v>
      </c>
      <c r="I6574" s="403">
        <v>0</v>
      </c>
      <c r="J6574" s="404">
        <v>1.72</v>
      </c>
      <c r="K6574" s="404">
        <v>1.72</v>
      </c>
    </row>
    <row r="6575" spans="1:11" ht="25.5" customHeight="1" x14ac:dyDescent="0.3">
      <c r="A6575" s="400" t="s">
        <v>1038</v>
      </c>
      <c r="B6575" s="401" t="s">
        <v>4078</v>
      </c>
      <c r="C6575" s="400" t="s">
        <v>395</v>
      </c>
      <c r="D6575" s="400" t="s">
        <v>4079</v>
      </c>
      <c r="E6575" s="605" t="s">
        <v>4030</v>
      </c>
      <c r="F6575" s="605"/>
      <c r="G6575" s="402" t="s">
        <v>6</v>
      </c>
      <c r="H6575" s="403">
        <v>1</v>
      </c>
      <c r="I6575" s="403">
        <v>0</v>
      </c>
      <c r="J6575" s="404">
        <v>1.25</v>
      </c>
      <c r="K6575" s="404">
        <v>1.25</v>
      </c>
    </row>
    <row r="6576" spans="1:11" ht="15" customHeight="1" x14ac:dyDescent="0.3">
      <c r="A6576" s="400" t="s">
        <v>1038</v>
      </c>
      <c r="B6576" s="401" t="s">
        <v>4274</v>
      </c>
      <c r="C6576" s="400" t="s">
        <v>395</v>
      </c>
      <c r="D6576" s="400" t="s">
        <v>4275</v>
      </c>
      <c r="E6576" s="605" t="s">
        <v>2386</v>
      </c>
      <c r="F6576" s="605"/>
      <c r="G6576" s="402" t="s">
        <v>6</v>
      </c>
      <c r="H6576" s="403">
        <v>1</v>
      </c>
      <c r="I6576" s="403">
        <v>0</v>
      </c>
      <c r="J6576" s="404">
        <v>0.11</v>
      </c>
      <c r="K6576" s="404">
        <v>0.11</v>
      </c>
    </row>
    <row r="6577" spans="1:11" ht="14.25" customHeight="1" x14ac:dyDescent="0.3">
      <c r="A6577" s="400" t="s">
        <v>1038</v>
      </c>
      <c r="B6577" s="401" t="s">
        <v>4200</v>
      </c>
      <c r="C6577" s="400" t="s">
        <v>395</v>
      </c>
      <c r="D6577" s="400" t="s">
        <v>4201</v>
      </c>
      <c r="E6577" s="605" t="s">
        <v>1317</v>
      </c>
      <c r="F6577" s="605"/>
      <c r="G6577" s="402" t="s">
        <v>6</v>
      </c>
      <c r="H6577" s="403">
        <v>1</v>
      </c>
      <c r="I6577" s="403">
        <v>0</v>
      </c>
      <c r="J6577" s="404">
        <v>0.56000000000000005</v>
      </c>
      <c r="K6577" s="404">
        <v>0.56000000000000005</v>
      </c>
    </row>
    <row r="6578" spans="1:11" ht="17.399999999999999" customHeight="1" x14ac:dyDescent="0.3">
      <c r="A6578" s="400" t="s">
        <v>1038</v>
      </c>
      <c r="B6578" s="401" t="s">
        <v>4146</v>
      </c>
      <c r="C6578" s="400" t="s">
        <v>395</v>
      </c>
      <c r="D6578" s="400" t="s">
        <v>4147</v>
      </c>
      <c r="E6578" s="605" t="s">
        <v>1317</v>
      </c>
      <c r="F6578" s="605"/>
      <c r="G6578" s="402" t="s">
        <v>6</v>
      </c>
      <c r="H6578" s="403">
        <v>1</v>
      </c>
      <c r="I6578" s="403">
        <v>0</v>
      </c>
      <c r="J6578" s="404">
        <v>1.79</v>
      </c>
      <c r="K6578" s="404">
        <v>1.79</v>
      </c>
    </row>
    <row r="6579" spans="1:11" ht="14.25" customHeight="1" x14ac:dyDescent="0.3">
      <c r="A6579" s="405"/>
      <c r="B6579" s="405"/>
      <c r="C6579" s="405"/>
      <c r="D6579" s="405"/>
      <c r="E6579" s="405" t="s">
        <v>1046</v>
      </c>
      <c r="F6579" s="406">
        <v>23.96</v>
      </c>
      <c r="G6579" s="405" t="s">
        <v>1047</v>
      </c>
      <c r="H6579" s="406">
        <v>0</v>
      </c>
      <c r="I6579" s="405" t="s">
        <v>1048</v>
      </c>
      <c r="J6579" s="406">
        <v>23.96</v>
      </c>
      <c r="K6579"/>
    </row>
    <row r="6580" spans="1:11" ht="15" customHeight="1" thickBot="1" x14ac:dyDescent="0.35">
      <c r="A6580" s="405"/>
      <c r="B6580" s="405"/>
      <c r="C6580" s="405"/>
      <c r="D6580" s="405"/>
      <c r="E6580" s="405" t="s">
        <v>1049</v>
      </c>
      <c r="F6580" s="406">
        <v>0</v>
      </c>
      <c r="G6580" s="405"/>
      <c r="H6580" s="606"/>
      <c r="I6580" s="606" t="s">
        <v>1050</v>
      </c>
      <c r="J6580" s="406">
        <v>34.17</v>
      </c>
      <c r="K6580"/>
    </row>
    <row r="6581" spans="1:11" ht="25.5" customHeight="1" thickTop="1" x14ac:dyDescent="0.3">
      <c r="A6581" s="407"/>
      <c r="B6581" s="407"/>
      <c r="C6581" s="407"/>
      <c r="D6581" s="407"/>
      <c r="E6581" s="407"/>
      <c r="F6581" s="407"/>
      <c r="G6581" s="407"/>
      <c r="H6581" s="407"/>
      <c r="I6581" s="407"/>
      <c r="J6581" s="407"/>
      <c r="K6581"/>
    </row>
    <row r="6582" spans="1:11" ht="25.5" customHeight="1" x14ac:dyDescent="0.3">
      <c r="A6582" s="382"/>
      <c r="B6582" s="312" t="s">
        <v>413</v>
      </c>
      <c r="C6582" s="382" t="s">
        <v>414</v>
      </c>
      <c r="D6582" s="382" t="s">
        <v>415</v>
      </c>
      <c r="E6582" s="586" t="s">
        <v>1029</v>
      </c>
      <c r="F6582" s="586"/>
      <c r="G6582" s="383" t="s">
        <v>416</v>
      </c>
      <c r="H6582" s="312" t="s">
        <v>1030</v>
      </c>
      <c r="I6582" s="312" t="s">
        <v>3016</v>
      </c>
      <c r="J6582" s="312" t="s">
        <v>1031</v>
      </c>
      <c r="K6582" s="312" t="s">
        <v>1032</v>
      </c>
    </row>
    <row r="6583" spans="1:11" ht="25.5" customHeight="1" x14ac:dyDescent="0.3">
      <c r="A6583" s="313" t="s">
        <v>1033</v>
      </c>
      <c r="B6583" s="315" t="s">
        <v>5266</v>
      </c>
      <c r="C6583" s="313" t="s">
        <v>395</v>
      </c>
      <c r="D6583" s="313" t="s">
        <v>7888</v>
      </c>
      <c r="E6583" s="603" t="s">
        <v>7772</v>
      </c>
      <c r="F6583" s="603"/>
      <c r="G6583" s="314" t="s">
        <v>19</v>
      </c>
      <c r="H6583" s="399">
        <v>1</v>
      </c>
      <c r="I6583" s="316"/>
      <c r="J6583" s="316">
        <v>0.39</v>
      </c>
      <c r="K6583" s="316">
        <v>0.39</v>
      </c>
    </row>
    <row r="6584" spans="1:11" ht="25.5" customHeight="1" x14ac:dyDescent="0.3">
      <c r="A6584" s="408" t="s">
        <v>1034</v>
      </c>
      <c r="B6584" s="409" t="s">
        <v>7944</v>
      </c>
      <c r="C6584" s="408" t="s">
        <v>395</v>
      </c>
      <c r="D6584" s="408" t="s">
        <v>7945</v>
      </c>
      <c r="E6584" s="604" t="s">
        <v>7946</v>
      </c>
      <c r="F6584" s="604"/>
      <c r="G6584" s="410" t="s">
        <v>6</v>
      </c>
      <c r="H6584" s="412">
        <v>1</v>
      </c>
      <c r="I6584" s="412">
        <v>0</v>
      </c>
      <c r="J6584" s="411">
        <v>0.32</v>
      </c>
      <c r="K6584" s="411">
        <v>0.32</v>
      </c>
    </row>
    <row r="6585" spans="1:11" ht="15" customHeight="1" x14ac:dyDescent="0.3">
      <c r="A6585" s="408" t="s">
        <v>1034</v>
      </c>
      <c r="B6585" s="409" t="s">
        <v>7947</v>
      </c>
      <c r="C6585" s="408" t="s">
        <v>395</v>
      </c>
      <c r="D6585" s="408" t="s">
        <v>7948</v>
      </c>
      <c r="E6585" s="604" t="s">
        <v>7946</v>
      </c>
      <c r="F6585" s="604"/>
      <c r="G6585" s="410" t="s">
        <v>6</v>
      </c>
      <c r="H6585" s="412">
        <v>1</v>
      </c>
      <c r="I6585" s="412">
        <v>0</v>
      </c>
      <c r="J6585" s="411">
        <v>7.0000000000000007E-2</v>
      </c>
      <c r="K6585" s="411">
        <v>7.0000000000000007E-2</v>
      </c>
    </row>
    <row r="6586" spans="1:11" ht="12.75" customHeight="1" x14ac:dyDescent="0.3">
      <c r="A6586" s="405"/>
      <c r="B6586" s="405"/>
      <c r="C6586" s="405"/>
      <c r="D6586" s="405"/>
      <c r="E6586" s="405" t="s">
        <v>1046</v>
      </c>
      <c r="F6586" s="406">
        <v>0</v>
      </c>
      <c r="G6586" s="405" t="s">
        <v>1047</v>
      </c>
      <c r="H6586" s="406">
        <v>0</v>
      </c>
      <c r="I6586" s="405" t="s">
        <v>1048</v>
      </c>
      <c r="J6586" s="406">
        <v>0</v>
      </c>
      <c r="K6586"/>
    </row>
    <row r="6587" spans="1:11" ht="15.6" thickBot="1" x14ac:dyDescent="0.35">
      <c r="A6587" s="405"/>
      <c r="B6587" s="405"/>
      <c r="C6587" s="405"/>
      <c r="D6587" s="405"/>
      <c r="E6587" s="405" t="s">
        <v>1049</v>
      </c>
      <c r="F6587" s="406">
        <v>0</v>
      </c>
      <c r="G6587" s="405"/>
      <c r="H6587" s="606"/>
      <c r="I6587" s="606" t="s">
        <v>1050</v>
      </c>
      <c r="J6587" s="406">
        <v>0.39</v>
      </c>
      <c r="K6587"/>
    </row>
    <row r="6588" spans="1:11" ht="45" customHeight="1" thickTop="1" x14ac:dyDescent="0.3">
      <c r="A6588" s="407"/>
      <c r="B6588" s="407"/>
      <c r="C6588" s="407"/>
      <c r="D6588" s="407"/>
      <c r="E6588" s="407"/>
      <c r="F6588" s="407"/>
      <c r="G6588" s="407"/>
      <c r="H6588" s="407"/>
      <c r="I6588" s="407"/>
      <c r="J6588" s="407"/>
      <c r="K6588"/>
    </row>
    <row r="6589" spans="1:11" ht="25.5" customHeight="1" x14ac:dyDescent="0.3">
      <c r="A6589" s="382"/>
      <c r="B6589" s="312" t="s">
        <v>413</v>
      </c>
      <c r="C6589" s="382" t="s">
        <v>414</v>
      </c>
      <c r="D6589" s="382" t="s">
        <v>415</v>
      </c>
      <c r="E6589" s="586" t="s">
        <v>1029</v>
      </c>
      <c r="F6589" s="586"/>
      <c r="G6589" s="383" t="s">
        <v>416</v>
      </c>
      <c r="H6589" s="312" t="s">
        <v>1030</v>
      </c>
      <c r="I6589" s="312" t="s">
        <v>3016</v>
      </c>
      <c r="J6589" s="312" t="s">
        <v>1031</v>
      </c>
      <c r="K6589" s="312" t="s">
        <v>1032</v>
      </c>
    </row>
    <row r="6590" spans="1:11" ht="25.5" customHeight="1" x14ac:dyDescent="0.3">
      <c r="A6590" s="313" t="s">
        <v>1033</v>
      </c>
      <c r="B6590" s="315" t="s">
        <v>5267</v>
      </c>
      <c r="C6590" s="313" t="s">
        <v>395</v>
      </c>
      <c r="D6590" s="313" t="s">
        <v>7833</v>
      </c>
      <c r="E6590" s="603" t="s">
        <v>7772</v>
      </c>
      <c r="F6590" s="603"/>
      <c r="G6590" s="314" t="s">
        <v>15</v>
      </c>
      <c r="H6590" s="399">
        <v>1</v>
      </c>
      <c r="I6590" s="316"/>
      <c r="J6590" s="316">
        <v>115.52</v>
      </c>
      <c r="K6590" s="316">
        <v>115.52</v>
      </c>
    </row>
    <row r="6591" spans="1:11" ht="25.5" customHeight="1" x14ac:dyDescent="0.3">
      <c r="A6591" s="408" t="s">
        <v>1034</v>
      </c>
      <c r="B6591" s="409" t="s">
        <v>7944</v>
      </c>
      <c r="C6591" s="408" t="s">
        <v>395</v>
      </c>
      <c r="D6591" s="408" t="s">
        <v>7945</v>
      </c>
      <c r="E6591" s="604" t="s">
        <v>7946</v>
      </c>
      <c r="F6591" s="604"/>
      <c r="G6591" s="410" t="s">
        <v>6</v>
      </c>
      <c r="H6591" s="412">
        <v>1</v>
      </c>
      <c r="I6591" s="412">
        <v>0</v>
      </c>
      <c r="J6591" s="411">
        <v>0.32</v>
      </c>
      <c r="K6591" s="411">
        <v>0.32</v>
      </c>
    </row>
    <row r="6592" spans="1:11" ht="45" customHeight="1" x14ac:dyDescent="0.3">
      <c r="A6592" s="408" t="s">
        <v>1034</v>
      </c>
      <c r="B6592" s="409" t="s">
        <v>7947</v>
      </c>
      <c r="C6592" s="408" t="s">
        <v>395</v>
      </c>
      <c r="D6592" s="408" t="s">
        <v>7948</v>
      </c>
      <c r="E6592" s="604" t="s">
        <v>7946</v>
      </c>
      <c r="F6592" s="604"/>
      <c r="G6592" s="410" t="s">
        <v>6</v>
      </c>
      <c r="H6592" s="412">
        <v>1</v>
      </c>
      <c r="I6592" s="412">
        <v>0</v>
      </c>
      <c r="J6592" s="411">
        <v>7.0000000000000007E-2</v>
      </c>
      <c r="K6592" s="411">
        <v>7.0000000000000007E-2</v>
      </c>
    </row>
    <row r="6593" spans="1:11" ht="25.5" customHeight="1" x14ac:dyDescent="0.3">
      <c r="A6593" s="408" t="s">
        <v>1034</v>
      </c>
      <c r="B6593" s="409" t="s">
        <v>7949</v>
      </c>
      <c r="C6593" s="408" t="s">
        <v>395</v>
      </c>
      <c r="D6593" s="408" t="s">
        <v>7950</v>
      </c>
      <c r="E6593" s="604" t="s">
        <v>7946</v>
      </c>
      <c r="F6593" s="604"/>
      <c r="G6593" s="410" t="s">
        <v>6</v>
      </c>
      <c r="H6593" s="412">
        <v>1</v>
      </c>
      <c r="I6593" s="412">
        <v>0</v>
      </c>
      <c r="J6593" s="411">
        <v>0.4</v>
      </c>
      <c r="K6593" s="411">
        <v>0.4</v>
      </c>
    </row>
    <row r="6594" spans="1:11" ht="25.5" customHeight="1" x14ac:dyDescent="0.3">
      <c r="A6594" s="408" t="s">
        <v>1034</v>
      </c>
      <c r="B6594" s="409" t="s">
        <v>7951</v>
      </c>
      <c r="C6594" s="408" t="s">
        <v>395</v>
      </c>
      <c r="D6594" s="408" t="s">
        <v>7952</v>
      </c>
      <c r="E6594" s="604" t="s">
        <v>7946</v>
      </c>
      <c r="F6594" s="604"/>
      <c r="G6594" s="410" t="s">
        <v>6</v>
      </c>
      <c r="H6594" s="412">
        <v>1</v>
      </c>
      <c r="I6594" s="412">
        <v>0</v>
      </c>
      <c r="J6594" s="411">
        <v>114.73</v>
      </c>
      <c r="K6594" s="411">
        <v>114.73</v>
      </c>
    </row>
    <row r="6595" spans="1:11" ht="25.5" customHeight="1" x14ac:dyDescent="0.3">
      <c r="A6595" s="405"/>
      <c r="B6595" s="405"/>
      <c r="C6595" s="405"/>
      <c r="D6595" s="405"/>
      <c r="E6595" s="405" t="s">
        <v>1046</v>
      </c>
      <c r="F6595" s="406">
        <v>0</v>
      </c>
      <c r="G6595" s="405" t="s">
        <v>1047</v>
      </c>
      <c r="H6595" s="406">
        <v>0</v>
      </c>
      <c r="I6595" s="405" t="s">
        <v>1048</v>
      </c>
      <c r="J6595" s="406">
        <v>0</v>
      </c>
      <c r="K6595"/>
    </row>
    <row r="6596" spans="1:11" ht="15.6" thickBot="1" x14ac:dyDescent="0.35">
      <c r="A6596" s="405"/>
      <c r="B6596" s="405"/>
      <c r="C6596" s="405"/>
      <c r="D6596" s="405"/>
      <c r="E6596" s="405" t="s">
        <v>1049</v>
      </c>
      <c r="F6596" s="406">
        <v>0</v>
      </c>
      <c r="G6596" s="405"/>
      <c r="H6596" s="606"/>
      <c r="I6596" s="606" t="s">
        <v>1050</v>
      </c>
      <c r="J6596" s="406">
        <v>115.52</v>
      </c>
      <c r="K6596"/>
    </row>
    <row r="6597" spans="1:11" ht="15" customHeight="1" thickTop="1" x14ac:dyDescent="0.3">
      <c r="A6597" s="407"/>
      <c r="B6597" s="407"/>
      <c r="C6597" s="407"/>
      <c r="D6597" s="407"/>
      <c r="E6597" s="407"/>
      <c r="F6597" s="407"/>
      <c r="G6597" s="407"/>
      <c r="H6597" s="407"/>
      <c r="I6597" s="407"/>
      <c r="J6597" s="407"/>
      <c r="K6597"/>
    </row>
    <row r="6598" spans="1:11" ht="14.25" customHeight="1" x14ac:dyDescent="0.3">
      <c r="A6598" s="382"/>
      <c r="B6598" s="312" t="s">
        <v>413</v>
      </c>
      <c r="C6598" s="382" t="s">
        <v>414</v>
      </c>
      <c r="D6598" s="382" t="s">
        <v>415</v>
      </c>
      <c r="E6598" s="586" t="s">
        <v>1029</v>
      </c>
      <c r="F6598" s="586"/>
      <c r="G6598" s="383" t="s">
        <v>416</v>
      </c>
      <c r="H6598" s="312" t="s">
        <v>1030</v>
      </c>
      <c r="I6598" s="312" t="s">
        <v>3016</v>
      </c>
      <c r="J6598" s="312" t="s">
        <v>1031</v>
      </c>
      <c r="K6598" s="312" t="s">
        <v>1032</v>
      </c>
    </row>
    <row r="6599" spans="1:11" ht="14.25" customHeight="1" x14ac:dyDescent="0.3">
      <c r="A6599" s="313" t="s">
        <v>1033</v>
      </c>
      <c r="B6599" s="315" t="s">
        <v>7944</v>
      </c>
      <c r="C6599" s="313" t="s">
        <v>395</v>
      </c>
      <c r="D6599" s="313" t="s">
        <v>7945</v>
      </c>
      <c r="E6599" s="603" t="s">
        <v>7946</v>
      </c>
      <c r="F6599" s="603"/>
      <c r="G6599" s="314" t="s">
        <v>6</v>
      </c>
      <c r="H6599" s="399">
        <v>1</v>
      </c>
      <c r="I6599" s="316"/>
      <c r="J6599" s="316">
        <v>0.32</v>
      </c>
      <c r="K6599" s="316">
        <v>0.32</v>
      </c>
    </row>
    <row r="6600" spans="1:11" ht="17.399999999999999" customHeight="1" x14ac:dyDescent="0.3">
      <c r="A6600" s="400" t="s">
        <v>1038</v>
      </c>
      <c r="B6600" s="401" t="s">
        <v>5045</v>
      </c>
      <c r="C6600" s="400" t="s">
        <v>395</v>
      </c>
      <c r="D6600" s="400" t="s">
        <v>5046</v>
      </c>
      <c r="E6600" s="605" t="s">
        <v>1039</v>
      </c>
      <c r="F6600" s="605"/>
      <c r="G6600" s="402" t="s">
        <v>4</v>
      </c>
      <c r="H6600" s="403">
        <v>6.3999999999999997E-5</v>
      </c>
      <c r="I6600" s="403">
        <v>0</v>
      </c>
      <c r="J6600" s="404">
        <v>4980.16</v>
      </c>
      <c r="K6600" s="404">
        <v>0.31873020000000002</v>
      </c>
    </row>
    <row r="6601" spans="1:11" ht="25.5" customHeight="1" x14ac:dyDescent="0.3">
      <c r="A6601" s="405"/>
      <c r="B6601" s="405"/>
      <c r="C6601" s="405"/>
      <c r="D6601" s="405"/>
      <c r="E6601" s="405" t="s">
        <v>1046</v>
      </c>
      <c r="F6601" s="406">
        <v>0</v>
      </c>
      <c r="G6601" s="405" t="s">
        <v>1047</v>
      </c>
      <c r="H6601" s="406">
        <v>0</v>
      </c>
      <c r="I6601" s="405" t="s">
        <v>1048</v>
      </c>
      <c r="J6601" s="406">
        <v>0</v>
      </c>
      <c r="K6601"/>
    </row>
    <row r="6602" spans="1:11" ht="25.5" customHeight="1" thickBot="1" x14ac:dyDescent="0.35">
      <c r="A6602" s="405"/>
      <c r="B6602" s="405"/>
      <c r="C6602" s="405"/>
      <c r="D6602" s="405"/>
      <c r="E6602" s="405" t="s">
        <v>1049</v>
      </c>
      <c r="F6602" s="406">
        <v>0</v>
      </c>
      <c r="G6602" s="405"/>
      <c r="H6602" s="606"/>
      <c r="I6602" s="606" t="s">
        <v>1050</v>
      </c>
      <c r="J6602" s="406">
        <v>0.32</v>
      </c>
      <c r="K6602"/>
    </row>
    <row r="6603" spans="1:11" ht="25.5" customHeight="1" thickTop="1" x14ac:dyDescent="0.3">
      <c r="A6603" s="407"/>
      <c r="B6603" s="407"/>
      <c r="C6603" s="407"/>
      <c r="D6603" s="407"/>
      <c r="E6603" s="407"/>
      <c r="F6603" s="407"/>
      <c r="G6603" s="407"/>
      <c r="H6603" s="407"/>
      <c r="I6603" s="407"/>
      <c r="J6603" s="407"/>
      <c r="K6603"/>
    </row>
    <row r="6604" spans="1:11" ht="25.5" customHeight="1" x14ac:dyDescent="0.3">
      <c r="A6604" s="382"/>
      <c r="B6604" s="312" t="s">
        <v>413</v>
      </c>
      <c r="C6604" s="382" t="s">
        <v>414</v>
      </c>
      <c r="D6604" s="382" t="s">
        <v>415</v>
      </c>
      <c r="E6604" s="586" t="s">
        <v>1029</v>
      </c>
      <c r="F6604" s="586"/>
      <c r="G6604" s="383" t="s">
        <v>416</v>
      </c>
      <c r="H6604" s="312" t="s">
        <v>1030</v>
      </c>
      <c r="I6604" s="312" t="s">
        <v>3016</v>
      </c>
      <c r="J6604" s="312" t="s">
        <v>1031</v>
      </c>
      <c r="K6604" s="312" t="s">
        <v>1032</v>
      </c>
    </row>
    <row r="6605" spans="1:11" ht="38.25" customHeight="1" x14ac:dyDescent="0.3">
      <c r="A6605" s="313" t="s">
        <v>1033</v>
      </c>
      <c r="B6605" s="315" t="s">
        <v>7947</v>
      </c>
      <c r="C6605" s="313" t="s">
        <v>395</v>
      </c>
      <c r="D6605" s="313" t="s">
        <v>7948</v>
      </c>
      <c r="E6605" s="603" t="s">
        <v>7946</v>
      </c>
      <c r="F6605" s="603"/>
      <c r="G6605" s="314" t="s">
        <v>6</v>
      </c>
      <c r="H6605" s="399">
        <v>1</v>
      </c>
      <c r="I6605" s="316"/>
      <c r="J6605" s="316">
        <v>7.0000000000000007E-2</v>
      </c>
      <c r="K6605" s="316">
        <v>7.0000000000000007E-2</v>
      </c>
    </row>
    <row r="6606" spans="1:11" ht="25.5" customHeight="1" x14ac:dyDescent="0.3">
      <c r="A6606" s="400" t="s">
        <v>1038</v>
      </c>
      <c r="B6606" s="401" t="s">
        <v>5045</v>
      </c>
      <c r="C6606" s="400" t="s">
        <v>395</v>
      </c>
      <c r="D6606" s="400" t="s">
        <v>5046</v>
      </c>
      <c r="E6606" s="605" t="s">
        <v>1039</v>
      </c>
      <c r="F6606" s="605"/>
      <c r="G6606" s="402" t="s">
        <v>4</v>
      </c>
      <c r="H6606" s="403">
        <v>1.4800000000000001E-5</v>
      </c>
      <c r="I6606" s="403">
        <v>0</v>
      </c>
      <c r="J6606" s="404">
        <v>4980.16</v>
      </c>
      <c r="K6606" s="404">
        <v>7.3706400000000005E-2</v>
      </c>
    </row>
    <row r="6607" spans="1:11" ht="25.5" customHeight="1" x14ac:dyDescent="0.3">
      <c r="A6607" s="405"/>
      <c r="B6607" s="405"/>
      <c r="C6607" s="405"/>
      <c r="D6607" s="405"/>
      <c r="E6607" s="405" t="s">
        <v>1046</v>
      </c>
      <c r="F6607" s="406">
        <v>0</v>
      </c>
      <c r="G6607" s="405" t="s">
        <v>1047</v>
      </c>
      <c r="H6607" s="406">
        <v>0</v>
      </c>
      <c r="I6607" s="405" t="s">
        <v>1048</v>
      </c>
      <c r="J6607" s="406">
        <v>0</v>
      </c>
      <c r="K6607"/>
    </row>
    <row r="6608" spans="1:11" ht="15.6" thickBot="1" x14ac:dyDescent="0.35">
      <c r="A6608" s="405"/>
      <c r="B6608" s="405"/>
      <c r="C6608" s="405"/>
      <c r="D6608" s="405"/>
      <c r="E6608" s="405" t="s">
        <v>1049</v>
      </c>
      <c r="F6608" s="406">
        <v>0</v>
      </c>
      <c r="G6608" s="405"/>
      <c r="H6608" s="606"/>
      <c r="I6608" s="606" t="s">
        <v>1050</v>
      </c>
      <c r="J6608" s="406">
        <v>7.0000000000000007E-2</v>
      </c>
      <c r="K6608"/>
    </row>
    <row r="6609" spans="1:11" ht="15" customHeight="1" thickTop="1" x14ac:dyDescent="0.3">
      <c r="A6609" s="407"/>
      <c r="B6609" s="407"/>
      <c r="C6609" s="407"/>
      <c r="D6609" s="407"/>
      <c r="E6609" s="407"/>
      <c r="F6609" s="407"/>
      <c r="G6609" s="407"/>
      <c r="H6609" s="407"/>
      <c r="I6609" s="407"/>
      <c r="J6609" s="407"/>
      <c r="K6609"/>
    </row>
    <row r="6610" spans="1:11" ht="15" x14ac:dyDescent="0.3">
      <c r="A6610" s="382"/>
      <c r="B6610" s="312" t="s">
        <v>413</v>
      </c>
      <c r="C6610" s="382" t="s">
        <v>414</v>
      </c>
      <c r="D6610" s="382" t="s">
        <v>415</v>
      </c>
      <c r="E6610" s="586" t="s">
        <v>1029</v>
      </c>
      <c r="F6610" s="586"/>
      <c r="G6610" s="383" t="s">
        <v>416</v>
      </c>
      <c r="H6610" s="312" t="s">
        <v>1030</v>
      </c>
      <c r="I6610" s="312" t="s">
        <v>3016</v>
      </c>
      <c r="J6610" s="312" t="s">
        <v>1031</v>
      </c>
      <c r="K6610" s="312" t="s">
        <v>1032</v>
      </c>
    </row>
    <row r="6611" spans="1:11" ht="26.4" x14ac:dyDescent="0.3">
      <c r="A6611" s="313" t="s">
        <v>1033</v>
      </c>
      <c r="B6611" s="315" t="s">
        <v>7949</v>
      </c>
      <c r="C6611" s="313" t="s">
        <v>395</v>
      </c>
      <c r="D6611" s="313" t="s">
        <v>7950</v>
      </c>
      <c r="E6611" s="603" t="s">
        <v>7946</v>
      </c>
      <c r="F6611" s="603"/>
      <c r="G6611" s="314" t="s">
        <v>6</v>
      </c>
      <c r="H6611" s="399">
        <v>1</v>
      </c>
      <c r="I6611" s="316"/>
      <c r="J6611" s="316">
        <v>0.4</v>
      </c>
      <c r="K6611" s="316">
        <v>0.4</v>
      </c>
    </row>
    <row r="6612" spans="1:11" ht="14.25" customHeight="1" x14ac:dyDescent="0.3">
      <c r="A6612" s="400" t="s">
        <v>1038</v>
      </c>
      <c r="B6612" s="401" t="s">
        <v>5045</v>
      </c>
      <c r="C6612" s="400" t="s">
        <v>395</v>
      </c>
      <c r="D6612" s="400" t="s">
        <v>5046</v>
      </c>
      <c r="E6612" s="605" t="s">
        <v>1039</v>
      </c>
      <c r="F6612" s="605"/>
      <c r="G6612" s="402" t="s">
        <v>4</v>
      </c>
      <c r="H6612" s="403">
        <v>8.0000000000000007E-5</v>
      </c>
      <c r="I6612" s="403">
        <v>0</v>
      </c>
      <c r="J6612" s="404">
        <v>4980.16</v>
      </c>
      <c r="K6612" s="404">
        <v>0.39841280000000001</v>
      </c>
    </row>
    <row r="6613" spans="1:11" ht="25.5" customHeight="1" x14ac:dyDescent="0.3">
      <c r="A6613" s="405"/>
      <c r="B6613" s="405"/>
      <c r="C6613" s="405"/>
      <c r="D6613" s="405"/>
      <c r="E6613" s="405" t="s">
        <v>1046</v>
      </c>
      <c r="F6613" s="406">
        <v>0</v>
      </c>
      <c r="G6613" s="405" t="s">
        <v>1047</v>
      </c>
      <c r="H6613" s="406">
        <v>0</v>
      </c>
      <c r="I6613" s="405" t="s">
        <v>1048</v>
      </c>
      <c r="J6613" s="406">
        <v>0</v>
      </c>
      <c r="K6613"/>
    </row>
    <row r="6614" spans="1:11" ht="25.5" customHeight="1" thickBot="1" x14ac:dyDescent="0.35">
      <c r="A6614" s="405"/>
      <c r="B6614" s="405"/>
      <c r="C6614" s="405"/>
      <c r="D6614" s="405"/>
      <c r="E6614" s="405" t="s">
        <v>1049</v>
      </c>
      <c r="F6614" s="406">
        <v>0</v>
      </c>
      <c r="G6614" s="405"/>
      <c r="H6614" s="606"/>
      <c r="I6614" s="606" t="s">
        <v>1050</v>
      </c>
      <c r="J6614" s="406">
        <v>0.4</v>
      </c>
      <c r="K6614"/>
    </row>
    <row r="6615" spans="1:11" ht="25.5" customHeight="1" thickTop="1" x14ac:dyDescent="0.3">
      <c r="A6615" s="407"/>
      <c r="B6615" s="407"/>
      <c r="C6615" s="407"/>
      <c r="D6615" s="407"/>
      <c r="E6615" s="407"/>
      <c r="F6615" s="407"/>
      <c r="G6615" s="407"/>
      <c r="H6615" s="407"/>
      <c r="I6615" s="407"/>
      <c r="J6615" s="407"/>
      <c r="K6615"/>
    </row>
    <row r="6616" spans="1:11" ht="38.25" customHeight="1" x14ac:dyDescent="0.3">
      <c r="A6616" s="382"/>
      <c r="B6616" s="312" t="s">
        <v>413</v>
      </c>
      <c r="C6616" s="382" t="s">
        <v>414</v>
      </c>
      <c r="D6616" s="382" t="s">
        <v>415</v>
      </c>
      <c r="E6616" s="586" t="s">
        <v>1029</v>
      </c>
      <c r="F6616" s="586"/>
      <c r="G6616" s="383" t="s">
        <v>416</v>
      </c>
      <c r="H6616" s="312" t="s">
        <v>1030</v>
      </c>
      <c r="I6616" s="312" t="s">
        <v>3016</v>
      </c>
      <c r="J6616" s="312" t="s">
        <v>1031</v>
      </c>
      <c r="K6616" s="312" t="s">
        <v>1032</v>
      </c>
    </row>
    <row r="6617" spans="1:11" ht="25.5" customHeight="1" x14ac:dyDescent="0.3">
      <c r="A6617" s="313" t="s">
        <v>1033</v>
      </c>
      <c r="B6617" s="315" t="s">
        <v>7951</v>
      </c>
      <c r="C6617" s="313" t="s">
        <v>395</v>
      </c>
      <c r="D6617" s="313" t="s">
        <v>7952</v>
      </c>
      <c r="E6617" s="603" t="s">
        <v>7946</v>
      </c>
      <c r="F6617" s="603"/>
      <c r="G6617" s="314" t="s">
        <v>6</v>
      </c>
      <c r="H6617" s="399">
        <v>1</v>
      </c>
      <c r="I6617" s="316"/>
      <c r="J6617" s="316">
        <v>114.73</v>
      </c>
      <c r="K6617" s="316">
        <v>114.73</v>
      </c>
    </row>
    <row r="6618" spans="1:11" ht="25.5" customHeight="1" x14ac:dyDescent="0.3">
      <c r="A6618" s="400" t="s">
        <v>1038</v>
      </c>
      <c r="B6618" s="401" t="s">
        <v>4882</v>
      </c>
      <c r="C6618" s="400" t="s">
        <v>395</v>
      </c>
      <c r="D6618" s="400" t="s">
        <v>4883</v>
      </c>
      <c r="E6618" s="605" t="s">
        <v>1039</v>
      </c>
      <c r="F6618" s="605"/>
      <c r="G6618" s="402" t="s">
        <v>3</v>
      </c>
      <c r="H6618" s="403">
        <v>0.44051000000000001</v>
      </c>
      <c r="I6618" s="403">
        <v>0</v>
      </c>
      <c r="J6618" s="404">
        <v>110</v>
      </c>
      <c r="K6618" s="404">
        <v>48.456099999999999</v>
      </c>
    </row>
    <row r="6619" spans="1:11" ht="14.25" customHeight="1" x14ac:dyDescent="0.3">
      <c r="A6619" s="400" t="s">
        <v>1038</v>
      </c>
      <c r="B6619" s="401" t="s">
        <v>4978</v>
      </c>
      <c r="C6619" s="400" t="s">
        <v>395</v>
      </c>
      <c r="D6619" s="400" t="s">
        <v>4979</v>
      </c>
      <c r="E6619" s="605" t="s">
        <v>1039</v>
      </c>
      <c r="F6619" s="605"/>
      <c r="G6619" s="402" t="s">
        <v>713</v>
      </c>
      <c r="H6619" s="403">
        <v>2.75</v>
      </c>
      <c r="I6619" s="403">
        <v>0</v>
      </c>
      <c r="J6619" s="404">
        <v>24.1</v>
      </c>
      <c r="K6619" s="404">
        <v>66.275000000000006</v>
      </c>
    </row>
    <row r="6620" spans="1:11" ht="15" x14ac:dyDescent="0.3">
      <c r="A6620" s="405"/>
      <c r="B6620" s="405"/>
      <c r="C6620" s="405"/>
      <c r="D6620" s="405"/>
      <c r="E6620" s="405" t="s">
        <v>1046</v>
      </c>
      <c r="F6620" s="406">
        <v>0</v>
      </c>
      <c r="G6620" s="405" t="s">
        <v>1047</v>
      </c>
      <c r="H6620" s="406">
        <v>0</v>
      </c>
      <c r="I6620" s="405" t="s">
        <v>1048</v>
      </c>
      <c r="J6620" s="406">
        <v>0</v>
      </c>
      <c r="K6620"/>
    </row>
    <row r="6621" spans="1:11" ht="15" customHeight="1" thickBot="1" x14ac:dyDescent="0.35">
      <c r="A6621" s="405"/>
      <c r="B6621" s="405"/>
      <c r="C6621" s="405"/>
      <c r="D6621" s="405"/>
      <c r="E6621" s="405" t="s">
        <v>1049</v>
      </c>
      <c r="F6621" s="406">
        <v>0</v>
      </c>
      <c r="G6621" s="405"/>
      <c r="H6621" s="606"/>
      <c r="I6621" s="606" t="s">
        <v>1050</v>
      </c>
      <c r="J6621" s="406">
        <v>114.73</v>
      </c>
      <c r="K6621"/>
    </row>
    <row r="6622" spans="1:11" ht="45" customHeight="1" thickTop="1" x14ac:dyDescent="0.3">
      <c r="A6622" s="407"/>
      <c r="B6622" s="407"/>
      <c r="C6622" s="407"/>
      <c r="D6622" s="407"/>
      <c r="E6622" s="407"/>
      <c r="F6622" s="407"/>
      <c r="G6622" s="407"/>
      <c r="H6622" s="407"/>
      <c r="I6622" s="407"/>
      <c r="J6622" s="407"/>
      <c r="K6622"/>
    </row>
    <row r="6623" spans="1:11" ht="14.25" customHeight="1" x14ac:dyDescent="0.3">
      <c r="A6623" s="382"/>
      <c r="B6623" s="312" t="s">
        <v>413</v>
      </c>
      <c r="C6623" s="382" t="s">
        <v>414</v>
      </c>
      <c r="D6623" s="382" t="s">
        <v>415</v>
      </c>
      <c r="E6623" s="586" t="s">
        <v>1029</v>
      </c>
      <c r="F6623" s="586"/>
      <c r="G6623" s="383" t="s">
        <v>416</v>
      </c>
      <c r="H6623" s="312" t="s">
        <v>1030</v>
      </c>
      <c r="I6623" s="312" t="s">
        <v>3016</v>
      </c>
      <c r="J6623" s="312" t="s">
        <v>1031</v>
      </c>
      <c r="K6623" s="312" t="s">
        <v>1032</v>
      </c>
    </row>
    <row r="6624" spans="1:11" ht="25.5" customHeight="1" x14ac:dyDescent="0.3">
      <c r="A6624" s="313" t="s">
        <v>1033</v>
      </c>
      <c r="B6624" s="315" t="s">
        <v>5254</v>
      </c>
      <c r="C6624" s="313" t="s">
        <v>395</v>
      </c>
      <c r="D6624" s="313" t="s">
        <v>5255</v>
      </c>
      <c r="E6624" s="603" t="s">
        <v>7840</v>
      </c>
      <c r="F6624" s="603"/>
      <c r="G6624" s="314" t="s">
        <v>713</v>
      </c>
      <c r="H6624" s="399">
        <v>1</v>
      </c>
      <c r="I6624" s="316"/>
      <c r="J6624" s="316">
        <v>837.23</v>
      </c>
      <c r="K6624" s="316">
        <v>837.23</v>
      </c>
    </row>
    <row r="6625" spans="1:11" ht="38.25" customHeight="1" x14ac:dyDescent="0.3">
      <c r="A6625" s="408" t="s">
        <v>1034</v>
      </c>
      <c r="B6625" s="409" t="s">
        <v>1290</v>
      </c>
      <c r="C6625" s="408" t="s">
        <v>395</v>
      </c>
      <c r="D6625" s="408" t="s">
        <v>147</v>
      </c>
      <c r="E6625" s="604" t="s">
        <v>7768</v>
      </c>
      <c r="F6625" s="604"/>
      <c r="G6625" s="410" t="s">
        <v>6</v>
      </c>
      <c r="H6625" s="412">
        <v>11.23</v>
      </c>
      <c r="I6625" s="412">
        <v>0</v>
      </c>
      <c r="J6625" s="411">
        <v>32.82</v>
      </c>
      <c r="K6625" s="411">
        <v>368.5686</v>
      </c>
    </row>
    <row r="6626" spans="1:11" ht="25.5" customHeight="1" x14ac:dyDescent="0.3">
      <c r="A6626" s="400" t="s">
        <v>1038</v>
      </c>
      <c r="B6626" s="401" t="s">
        <v>1303</v>
      </c>
      <c r="C6626" s="400" t="s">
        <v>395</v>
      </c>
      <c r="D6626" s="400" t="s">
        <v>239</v>
      </c>
      <c r="E6626" s="605" t="s">
        <v>1039</v>
      </c>
      <c r="F6626" s="605"/>
      <c r="G6626" s="402" t="s">
        <v>713</v>
      </c>
      <c r="H6626" s="403">
        <v>1.1599999999999999</v>
      </c>
      <c r="I6626" s="403">
        <v>0</v>
      </c>
      <c r="J6626" s="404">
        <v>105</v>
      </c>
      <c r="K6626" s="404">
        <v>121.8</v>
      </c>
    </row>
    <row r="6627" spans="1:11" ht="25.5" customHeight="1" x14ac:dyDescent="0.3">
      <c r="A6627" s="400" t="s">
        <v>1038</v>
      </c>
      <c r="B6627" s="401" t="s">
        <v>2284</v>
      </c>
      <c r="C6627" s="400" t="s">
        <v>395</v>
      </c>
      <c r="D6627" s="400" t="s">
        <v>249</v>
      </c>
      <c r="E6627" s="605" t="s">
        <v>1039</v>
      </c>
      <c r="F6627" s="605"/>
      <c r="G6627" s="402" t="s">
        <v>3</v>
      </c>
      <c r="H6627" s="403">
        <v>116.4</v>
      </c>
      <c r="I6627" s="403">
        <v>0</v>
      </c>
      <c r="J6627" s="404">
        <v>1.36</v>
      </c>
      <c r="K6627" s="404">
        <v>158.304</v>
      </c>
    </row>
    <row r="6628" spans="1:11" ht="25.5" customHeight="1" x14ac:dyDescent="0.3">
      <c r="A6628" s="400" t="s">
        <v>1038</v>
      </c>
      <c r="B6628" s="401" t="s">
        <v>1304</v>
      </c>
      <c r="C6628" s="400" t="s">
        <v>395</v>
      </c>
      <c r="D6628" s="400" t="s">
        <v>251</v>
      </c>
      <c r="E6628" s="605" t="s">
        <v>1039</v>
      </c>
      <c r="F6628" s="605"/>
      <c r="G6628" s="402" t="s">
        <v>3</v>
      </c>
      <c r="H6628" s="403">
        <v>261.89</v>
      </c>
      <c r="I6628" s="403">
        <v>0</v>
      </c>
      <c r="J6628" s="404">
        <v>0.72</v>
      </c>
      <c r="K6628" s="404">
        <v>188.5608</v>
      </c>
    </row>
    <row r="6629" spans="1:11" ht="25.5" customHeight="1" x14ac:dyDescent="0.3">
      <c r="A6629" s="405"/>
      <c r="B6629" s="405"/>
      <c r="C6629" s="405"/>
      <c r="D6629" s="405"/>
      <c r="E6629" s="405" t="s">
        <v>1046</v>
      </c>
      <c r="F6629" s="406">
        <v>253.91</v>
      </c>
      <c r="G6629" s="405" t="s">
        <v>1047</v>
      </c>
      <c r="H6629" s="406">
        <v>0</v>
      </c>
      <c r="I6629" s="405" t="s">
        <v>1048</v>
      </c>
      <c r="J6629" s="406">
        <v>253.91</v>
      </c>
      <c r="K6629"/>
    </row>
    <row r="6630" spans="1:11" ht="45" customHeight="1" thickBot="1" x14ac:dyDescent="0.35">
      <c r="A6630" s="405"/>
      <c r="B6630" s="405"/>
      <c r="C6630" s="405"/>
      <c r="D6630" s="405"/>
      <c r="E6630" s="405" t="s">
        <v>1049</v>
      </c>
      <c r="F6630" s="406">
        <v>0</v>
      </c>
      <c r="G6630" s="405"/>
      <c r="H6630" s="606"/>
      <c r="I6630" s="606" t="s">
        <v>1050</v>
      </c>
      <c r="J6630" s="406">
        <v>837.23</v>
      </c>
      <c r="K6630"/>
    </row>
    <row r="6631" spans="1:11" ht="25.5" customHeight="1" thickTop="1" x14ac:dyDescent="0.3">
      <c r="A6631" s="407"/>
      <c r="B6631" s="407"/>
      <c r="C6631" s="407"/>
      <c r="D6631" s="407"/>
      <c r="E6631" s="407"/>
      <c r="F6631" s="407"/>
      <c r="G6631" s="407"/>
      <c r="H6631" s="407"/>
      <c r="I6631" s="407"/>
      <c r="J6631" s="407"/>
      <c r="K6631"/>
    </row>
    <row r="6632" spans="1:11" ht="15" customHeight="1" x14ac:dyDescent="0.3">
      <c r="A6632" s="382"/>
      <c r="B6632" s="312" t="s">
        <v>413</v>
      </c>
      <c r="C6632" s="382" t="s">
        <v>414</v>
      </c>
      <c r="D6632" s="382" t="s">
        <v>415</v>
      </c>
      <c r="E6632" s="586" t="s">
        <v>1029</v>
      </c>
      <c r="F6632" s="586"/>
      <c r="G6632" s="383" t="s">
        <v>416</v>
      </c>
      <c r="H6632" s="312" t="s">
        <v>1030</v>
      </c>
      <c r="I6632" s="312" t="s">
        <v>3016</v>
      </c>
      <c r="J6632" s="312" t="s">
        <v>1031</v>
      </c>
      <c r="K6632" s="312" t="s">
        <v>1032</v>
      </c>
    </row>
    <row r="6633" spans="1:11" ht="25.5" customHeight="1" x14ac:dyDescent="0.3">
      <c r="A6633" s="313" t="s">
        <v>1033</v>
      </c>
      <c r="B6633" s="315" t="s">
        <v>5217</v>
      </c>
      <c r="C6633" s="313" t="s">
        <v>395</v>
      </c>
      <c r="D6633" s="313" t="s">
        <v>5218</v>
      </c>
      <c r="E6633" s="603" t="s">
        <v>7840</v>
      </c>
      <c r="F6633" s="603"/>
      <c r="G6633" s="314" t="s">
        <v>713</v>
      </c>
      <c r="H6633" s="399">
        <v>1</v>
      </c>
      <c r="I6633" s="316"/>
      <c r="J6633" s="316">
        <v>855.35</v>
      </c>
      <c r="K6633" s="316">
        <v>855.35</v>
      </c>
    </row>
    <row r="6634" spans="1:11" ht="25.5" customHeight="1" x14ac:dyDescent="0.3">
      <c r="A6634" s="408" t="s">
        <v>1034</v>
      </c>
      <c r="B6634" s="409" t="s">
        <v>1290</v>
      </c>
      <c r="C6634" s="408" t="s">
        <v>395</v>
      </c>
      <c r="D6634" s="408" t="s">
        <v>147</v>
      </c>
      <c r="E6634" s="604" t="s">
        <v>7768</v>
      </c>
      <c r="F6634" s="604"/>
      <c r="G6634" s="410" t="s">
        <v>6</v>
      </c>
      <c r="H6634" s="412">
        <v>11.1</v>
      </c>
      <c r="I6634" s="412">
        <v>0</v>
      </c>
      <c r="J6634" s="411">
        <v>32.82</v>
      </c>
      <c r="K6634" s="411">
        <v>364.30200000000002</v>
      </c>
    </row>
    <row r="6635" spans="1:11" ht="14.25" customHeight="1" x14ac:dyDescent="0.3">
      <c r="A6635" s="400" t="s">
        <v>1038</v>
      </c>
      <c r="B6635" s="401" t="s">
        <v>1303</v>
      </c>
      <c r="C6635" s="400" t="s">
        <v>395</v>
      </c>
      <c r="D6635" s="400" t="s">
        <v>239</v>
      </c>
      <c r="E6635" s="605" t="s">
        <v>1039</v>
      </c>
      <c r="F6635" s="605"/>
      <c r="G6635" s="402" t="s">
        <v>713</v>
      </c>
      <c r="H6635" s="403">
        <v>1.1399999999999999</v>
      </c>
      <c r="I6635" s="403">
        <v>0</v>
      </c>
      <c r="J6635" s="404">
        <v>105</v>
      </c>
      <c r="K6635" s="404">
        <v>119.7</v>
      </c>
    </row>
    <row r="6636" spans="1:11" ht="38.25" customHeight="1" x14ac:dyDescent="0.3">
      <c r="A6636" s="400" t="s">
        <v>1038</v>
      </c>
      <c r="B6636" s="401" t="s">
        <v>2284</v>
      </c>
      <c r="C6636" s="400" t="s">
        <v>395</v>
      </c>
      <c r="D6636" s="400" t="s">
        <v>249</v>
      </c>
      <c r="E6636" s="605" t="s">
        <v>1039</v>
      </c>
      <c r="F6636" s="605"/>
      <c r="G6636" s="402" t="s">
        <v>3</v>
      </c>
      <c r="H6636" s="403">
        <v>171.13</v>
      </c>
      <c r="I6636" s="403">
        <v>0</v>
      </c>
      <c r="J6636" s="404">
        <v>1.36</v>
      </c>
      <c r="K6636" s="404">
        <v>232.73679999999999</v>
      </c>
    </row>
    <row r="6637" spans="1:11" ht="25.5" customHeight="1" x14ac:dyDescent="0.3">
      <c r="A6637" s="400" t="s">
        <v>1038</v>
      </c>
      <c r="B6637" s="401" t="s">
        <v>1304</v>
      </c>
      <c r="C6637" s="400" t="s">
        <v>395</v>
      </c>
      <c r="D6637" s="400" t="s">
        <v>251</v>
      </c>
      <c r="E6637" s="605" t="s">
        <v>1039</v>
      </c>
      <c r="F6637" s="605"/>
      <c r="G6637" s="402" t="s">
        <v>3</v>
      </c>
      <c r="H6637" s="403">
        <v>192.52</v>
      </c>
      <c r="I6637" s="403">
        <v>0</v>
      </c>
      <c r="J6637" s="404">
        <v>0.72</v>
      </c>
      <c r="K6637" s="404">
        <v>138.61439999999999</v>
      </c>
    </row>
    <row r="6638" spans="1:11" ht="25.5" customHeight="1" x14ac:dyDescent="0.3">
      <c r="A6638" s="405"/>
      <c r="B6638" s="405"/>
      <c r="C6638" s="405"/>
      <c r="D6638" s="405"/>
      <c r="E6638" s="405" t="s">
        <v>1046</v>
      </c>
      <c r="F6638" s="406">
        <v>250.97</v>
      </c>
      <c r="G6638" s="405" t="s">
        <v>1047</v>
      </c>
      <c r="H6638" s="406">
        <v>0</v>
      </c>
      <c r="I6638" s="405" t="s">
        <v>1048</v>
      </c>
      <c r="J6638" s="406">
        <v>250.97</v>
      </c>
      <c r="K6638"/>
    </row>
    <row r="6639" spans="1:11" ht="14.25" customHeight="1" thickBot="1" x14ac:dyDescent="0.35">
      <c r="A6639" s="405"/>
      <c r="B6639" s="405"/>
      <c r="C6639" s="405"/>
      <c r="D6639" s="405"/>
      <c r="E6639" s="405" t="s">
        <v>1049</v>
      </c>
      <c r="F6639" s="406">
        <v>0</v>
      </c>
      <c r="G6639" s="405"/>
      <c r="H6639" s="606"/>
      <c r="I6639" s="606" t="s">
        <v>1050</v>
      </c>
      <c r="J6639" s="406">
        <v>855.35</v>
      </c>
      <c r="K6639"/>
    </row>
    <row r="6640" spans="1:11" ht="25.5" customHeight="1" thickTop="1" x14ac:dyDescent="0.3">
      <c r="A6640" s="407"/>
      <c r="B6640" s="407"/>
      <c r="C6640" s="407"/>
      <c r="D6640" s="407"/>
      <c r="E6640" s="407"/>
      <c r="F6640" s="407"/>
      <c r="G6640" s="407"/>
      <c r="H6640" s="407"/>
      <c r="I6640" s="407"/>
      <c r="J6640" s="407"/>
      <c r="K6640"/>
    </row>
    <row r="6641" spans="1:11" ht="14.25" customHeight="1" x14ac:dyDescent="0.3">
      <c r="A6641" s="382"/>
      <c r="B6641" s="312" t="s">
        <v>413</v>
      </c>
      <c r="C6641" s="382" t="s">
        <v>414</v>
      </c>
      <c r="D6641" s="382" t="s">
        <v>415</v>
      </c>
      <c r="E6641" s="586" t="s">
        <v>1029</v>
      </c>
      <c r="F6641" s="586"/>
      <c r="G6641" s="383" t="s">
        <v>416</v>
      </c>
      <c r="H6641" s="312" t="s">
        <v>1030</v>
      </c>
      <c r="I6641" s="312" t="s">
        <v>3016</v>
      </c>
      <c r="J6641" s="312" t="s">
        <v>1031</v>
      </c>
      <c r="K6641" s="312" t="s">
        <v>1032</v>
      </c>
    </row>
    <row r="6642" spans="1:11" ht="39.6" x14ac:dyDescent="0.3">
      <c r="A6642" s="313" t="s">
        <v>1033</v>
      </c>
      <c r="B6642" s="315" t="s">
        <v>5212</v>
      </c>
      <c r="C6642" s="313" t="s">
        <v>395</v>
      </c>
      <c r="D6642" s="313" t="s">
        <v>5213</v>
      </c>
      <c r="E6642" s="603" t="s">
        <v>7840</v>
      </c>
      <c r="F6642" s="603"/>
      <c r="G6642" s="314" t="s">
        <v>713</v>
      </c>
      <c r="H6642" s="399">
        <v>1</v>
      </c>
      <c r="I6642" s="316"/>
      <c r="J6642" s="316">
        <v>657.31</v>
      </c>
      <c r="K6642" s="316">
        <v>657.31</v>
      </c>
    </row>
    <row r="6643" spans="1:11" ht="15" customHeight="1" x14ac:dyDescent="0.3">
      <c r="A6643" s="408" t="s">
        <v>1034</v>
      </c>
      <c r="B6643" s="409" t="s">
        <v>2280</v>
      </c>
      <c r="C6643" s="408" t="s">
        <v>395</v>
      </c>
      <c r="D6643" s="408" t="s">
        <v>151</v>
      </c>
      <c r="E6643" s="604" t="s">
        <v>7768</v>
      </c>
      <c r="F6643" s="604"/>
      <c r="G6643" s="410" t="s">
        <v>6</v>
      </c>
      <c r="H6643" s="412">
        <v>4.5</v>
      </c>
      <c r="I6643" s="412">
        <v>0</v>
      </c>
      <c r="J6643" s="411">
        <v>34.119999999999997</v>
      </c>
      <c r="K6643" s="411">
        <v>153.54</v>
      </c>
    </row>
    <row r="6644" spans="1:11" ht="25.5" customHeight="1" x14ac:dyDescent="0.3">
      <c r="A6644" s="408" t="s">
        <v>1034</v>
      </c>
      <c r="B6644" s="409" t="s">
        <v>2278</v>
      </c>
      <c r="C6644" s="408" t="s">
        <v>395</v>
      </c>
      <c r="D6644" s="408" t="s">
        <v>7828</v>
      </c>
      <c r="E6644" s="604" t="s">
        <v>7772</v>
      </c>
      <c r="F6644" s="604"/>
      <c r="G6644" s="410" t="s">
        <v>15</v>
      </c>
      <c r="H6644" s="412">
        <v>1.05</v>
      </c>
      <c r="I6644" s="412">
        <v>0</v>
      </c>
      <c r="J6644" s="411">
        <v>2.46</v>
      </c>
      <c r="K6644" s="411">
        <v>2.5830000000000002</v>
      </c>
    </row>
    <row r="6645" spans="1:11" ht="25.5" customHeight="1" x14ac:dyDescent="0.3">
      <c r="A6645" s="408" t="s">
        <v>1034</v>
      </c>
      <c r="B6645" s="409" t="s">
        <v>2279</v>
      </c>
      <c r="C6645" s="408" t="s">
        <v>395</v>
      </c>
      <c r="D6645" s="408" t="s">
        <v>7829</v>
      </c>
      <c r="E6645" s="604" t="s">
        <v>7772</v>
      </c>
      <c r="F6645" s="604"/>
      <c r="G6645" s="410" t="s">
        <v>19</v>
      </c>
      <c r="H6645" s="412">
        <v>3.45</v>
      </c>
      <c r="I6645" s="412">
        <v>0</v>
      </c>
      <c r="J6645" s="411">
        <v>0.46</v>
      </c>
      <c r="K6645" s="411">
        <v>1.587</v>
      </c>
    </row>
    <row r="6646" spans="1:11" ht="17.399999999999999" customHeight="1" x14ac:dyDescent="0.3">
      <c r="A6646" s="400" t="s">
        <v>1038</v>
      </c>
      <c r="B6646" s="401" t="s">
        <v>1303</v>
      </c>
      <c r="C6646" s="400" t="s">
        <v>395</v>
      </c>
      <c r="D6646" s="400" t="s">
        <v>239</v>
      </c>
      <c r="E6646" s="605" t="s">
        <v>1039</v>
      </c>
      <c r="F6646" s="605"/>
      <c r="G6646" s="402" t="s">
        <v>713</v>
      </c>
      <c r="H6646" s="403">
        <v>1.1599999999999999</v>
      </c>
      <c r="I6646" s="403">
        <v>0</v>
      </c>
      <c r="J6646" s="404">
        <v>105</v>
      </c>
      <c r="K6646" s="404">
        <v>121.8</v>
      </c>
    </row>
    <row r="6647" spans="1:11" ht="38.25" customHeight="1" x14ac:dyDescent="0.3">
      <c r="A6647" s="400" t="s">
        <v>1038</v>
      </c>
      <c r="B6647" s="401" t="s">
        <v>2284</v>
      </c>
      <c r="C6647" s="400" t="s">
        <v>395</v>
      </c>
      <c r="D6647" s="400" t="s">
        <v>249</v>
      </c>
      <c r="E6647" s="605" t="s">
        <v>1039</v>
      </c>
      <c r="F6647" s="605"/>
      <c r="G6647" s="402" t="s">
        <v>3</v>
      </c>
      <c r="H6647" s="403">
        <v>174.1</v>
      </c>
      <c r="I6647" s="403">
        <v>0</v>
      </c>
      <c r="J6647" s="404">
        <v>1.36</v>
      </c>
      <c r="K6647" s="404">
        <v>236.77600000000001</v>
      </c>
    </row>
    <row r="6648" spans="1:11" ht="25.5" customHeight="1" x14ac:dyDescent="0.3">
      <c r="A6648" s="400" t="s">
        <v>1038</v>
      </c>
      <c r="B6648" s="401" t="s">
        <v>1304</v>
      </c>
      <c r="C6648" s="400" t="s">
        <v>395</v>
      </c>
      <c r="D6648" s="400" t="s">
        <v>251</v>
      </c>
      <c r="E6648" s="605" t="s">
        <v>1039</v>
      </c>
      <c r="F6648" s="605"/>
      <c r="G6648" s="402" t="s">
        <v>3</v>
      </c>
      <c r="H6648" s="403">
        <v>195.86</v>
      </c>
      <c r="I6648" s="403">
        <v>0</v>
      </c>
      <c r="J6648" s="404">
        <v>0.72</v>
      </c>
      <c r="K6648" s="404">
        <v>141.01920000000001</v>
      </c>
    </row>
    <row r="6649" spans="1:11" ht="25.5" customHeight="1" x14ac:dyDescent="0.3">
      <c r="A6649" s="405"/>
      <c r="B6649" s="405"/>
      <c r="C6649" s="405"/>
      <c r="D6649" s="405"/>
      <c r="E6649" s="405" t="s">
        <v>1046</v>
      </c>
      <c r="F6649" s="406">
        <v>113.27</v>
      </c>
      <c r="G6649" s="405" t="s">
        <v>1047</v>
      </c>
      <c r="H6649" s="406">
        <v>0</v>
      </c>
      <c r="I6649" s="405" t="s">
        <v>1048</v>
      </c>
      <c r="J6649" s="406">
        <v>113.27</v>
      </c>
      <c r="K6649"/>
    </row>
    <row r="6650" spans="1:11" ht="15.6" thickBot="1" x14ac:dyDescent="0.35">
      <c r="A6650" s="405"/>
      <c r="B6650" s="405"/>
      <c r="C6650" s="405"/>
      <c r="D6650" s="405"/>
      <c r="E6650" s="405" t="s">
        <v>1049</v>
      </c>
      <c r="F6650" s="406">
        <v>0</v>
      </c>
      <c r="G6650" s="405"/>
      <c r="H6650" s="606"/>
      <c r="I6650" s="606" t="s">
        <v>1050</v>
      </c>
      <c r="J6650" s="406">
        <v>657.31</v>
      </c>
      <c r="K6650"/>
    </row>
    <row r="6651" spans="1:11" ht="12.75" customHeight="1" thickTop="1" x14ac:dyDescent="0.3">
      <c r="A6651" s="407"/>
      <c r="B6651" s="407"/>
      <c r="C6651" s="407"/>
      <c r="D6651" s="407"/>
      <c r="E6651" s="407"/>
      <c r="F6651" s="407"/>
      <c r="G6651" s="407"/>
      <c r="H6651" s="407"/>
      <c r="I6651" s="407"/>
      <c r="J6651" s="407"/>
      <c r="K6651"/>
    </row>
    <row r="6652" spans="1:11" ht="25.5" customHeight="1" x14ac:dyDescent="0.3">
      <c r="A6652" s="382"/>
      <c r="B6652" s="312" t="s">
        <v>413</v>
      </c>
      <c r="C6652" s="382" t="s">
        <v>414</v>
      </c>
      <c r="D6652" s="382" t="s">
        <v>415</v>
      </c>
      <c r="E6652" s="586" t="s">
        <v>1029</v>
      </c>
      <c r="F6652" s="586"/>
      <c r="G6652" s="383" t="s">
        <v>416</v>
      </c>
      <c r="H6652" s="312" t="s">
        <v>1030</v>
      </c>
      <c r="I6652" s="312" t="s">
        <v>3016</v>
      </c>
      <c r="J6652" s="312" t="s">
        <v>1031</v>
      </c>
      <c r="K6652" s="312" t="s">
        <v>1032</v>
      </c>
    </row>
    <row r="6653" spans="1:11" ht="25.5" customHeight="1" x14ac:dyDescent="0.3">
      <c r="A6653" s="313" t="s">
        <v>1033</v>
      </c>
      <c r="B6653" s="315" t="s">
        <v>5215</v>
      </c>
      <c r="C6653" s="313" t="s">
        <v>395</v>
      </c>
      <c r="D6653" s="313" t="s">
        <v>5216</v>
      </c>
      <c r="E6653" s="603" t="s">
        <v>7840</v>
      </c>
      <c r="F6653" s="603"/>
      <c r="G6653" s="314" t="s">
        <v>713</v>
      </c>
      <c r="H6653" s="399">
        <v>1</v>
      </c>
      <c r="I6653" s="316"/>
      <c r="J6653" s="316">
        <v>765.96</v>
      </c>
      <c r="K6653" s="316">
        <v>765.96</v>
      </c>
    </row>
    <row r="6654" spans="1:11" ht="26.4" x14ac:dyDescent="0.3">
      <c r="A6654" s="408" t="s">
        <v>1034</v>
      </c>
      <c r="B6654" s="409" t="s">
        <v>1290</v>
      </c>
      <c r="C6654" s="408" t="s">
        <v>395</v>
      </c>
      <c r="D6654" s="408" t="s">
        <v>147</v>
      </c>
      <c r="E6654" s="604" t="s">
        <v>7768</v>
      </c>
      <c r="F6654" s="604"/>
      <c r="G6654" s="410" t="s">
        <v>6</v>
      </c>
      <c r="H6654" s="412">
        <v>11.02</v>
      </c>
      <c r="I6654" s="412">
        <v>0</v>
      </c>
      <c r="J6654" s="411">
        <v>32.82</v>
      </c>
      <c r="K6654" s="411">
        <v>361.6764</v>
      </c>
    </row>
    <row r="6655" spans="1:11" ht="15" customHeight="1" x14ac:dyDescent="0.3">
      <c r="A6655" s="400" t="s">
        <v>1038</v>
      </c>
      <c r="B6655" s="401" t="s">
        <v>2282</v>
      </c>
      <c r="C6655" s="400" t="s">
        <v>395</v>
      </c>
      <c r="D6655" s="400" t="s">
        <v>238</v>
      </c>
      <c r="E6655" s="605" t="s">
        <v>1039</v>
      </c>
      <c r="F6655" s="605"/>
      <c r="G6655" s="402" t="s">
        <v>713</v>
      </c>
      <c r="H6655" s="403">
        <v>0.94</v>
      </c>
      <c r="I6655" s="403">
        <v>0</v>
      </c>
      <c r="J6655" s="404">
        <v>106.37</v>
      </c>
      <c r="K6655" s="404">
        <v>99.987799999999993</v>
      </c>
    </row>
    <row r="6656" spans="1:11" ht="12.75" customHeight="1" x14ac:dyDescent="0.3">
      <c r="A6656" s="400" t="s">
        <v>1038</v>
      </c>
      <c r="B6656" s="401" t="s">
        <v>1304</v>
      </c>
      <c r="C6656" s="400" t="s">
        <v>395</v>
      </c>
      <c r="D6656" s="400" t="s">
        <v>251</v>
      </c>
      <c r="E6656" s="605" t="s">
        <v>1039</v>
      </c>
      <c r="F6656" s="605"/>
      <c r="G6656" s="402" t="s">
        <v>3</v>
      </c>
      <c r="H6656" s="403">
        <v>422.63</v>
      </c>
      <c r="I6656" s="403">
        <v>0</v>
      </c>
      <c r="J6656" s="404">
        <v>0.72</v>
      </c>
      <c r="K6656" s="404">
        <v>304.29360000000003</v>
      </c>
    </row>
    <row r="6657" spans="1:11" ht="15" x14ac:dyDescent="0.3">
      <c r="A6657" s="405"/>
      <c r="B6657" s="405"/>
      <c r="C6657" s="405"/>
      <c r="D6657" s="405"/>
      <c r="E6657" s="405" t="s">
        <v>1046</v>
      </c>
      <c r="F6657" s="406">
        <v>249.16</v>
      </c>
      <c r="G6657" s="405" t="s">
        <v>1047</v>
      </c>
      <c r="H6657" s="406">
        <v>0</v>
      </c>
      <c r="I6657" s="405" t="s">
        <v>1048</v>
      </c>
      <c r="J6657" s="406">
        <v>249.16</v>
      </c>
      <c r="K6657"/>
    </row>
    <row r="6658" spans="1:11" ht="14.25" customHeight="1" thickBot="1" x14ac:dyDescent="0.35">
      <c r="A6658" s="405"/>
      <c r="B6658" s="405"/>
      <c r="C6658" s="405"/>
      <c r="D6658" s="405"/>
      <c r="E6658" s="405" t="s">
        <v>1049</v>
      </c>
      <c r="F6658" s="406">
        <v>0</v>
      </c>
      <c r="G6658" s="405"/>
      <c r="H6658" s="606"/>
      <c r="I6658" s="606" t="s">
        <v>1050</v>
      </c>
      <c r="J6658" s="406">
        <v>765.96</v>
      </c>
      <c r="K6658"/>
    </row>
    <row r="6659" spans="1:11" ht="15.6" thickTop="1" x14ac:dyDescent="0.3">
      <c r="A6659" s="407"/>
      <c r="B6659" s="407"/>
      <c r="C6659" s="407"/>
      <c r="D6659" s="407"/>
      <c r="E6659" s="407"/>
      <c r="F6659" s="407"/>
      <c r="G6659" s="407"/>
      <c r="H6659" s="407"/>
      <c r="I6659" s="407"/>
      <c r="J6659" s="407"/>
      <c r="K6659"/>
    </row>
    <row r="6660" spans="1:11" ht="25.5" customHeight="1" x14ac:dyDescent="0.3">
      <c r="A6660" s="382"/>
      <c r="B6660" s="312" t="s">
        <v>413</v>
      </c>
      <c r="C6660" s="382" t="s">
        <v>414</v>
      </c>
      <c r="D6660" s="382" t="s">
        <v>415</v>
      </c>
      <c r="E6660" s="586" t="s">
        <v>1029</v>
      </c>
      <c r="F6660" s="586"/>
      <c r="G6660" s="383" t="s">
        <v>416</v>
      </c>
      <c r="H6660" s="312" t="s">
        <v>1030</v>
      </c>
      <c r="I6660" s="312" t="s">
        <v>3016</v>
      </c>
      <c r="J6660" s="312" t="s">
        <v>1031</v>
      </c>
      <c r="K6660" s="312" t="s">
        <v>1032</v>
      </c>
    </row>
    <row r="6661" spans="1:11" ht="15" customHeight="1" x14ac:dyDescent="0.3">
      <c r="A6661" s="313" t="s">
        <v>1033</v>
      </c>
      <c r="B6661" s="315" t="s">
        <v>7953</v>
      </c>
      <c r="C6661" s="313" t="s">
        <v>395</v>
      </c>
      <c r="D6661" s="313" t="s">
        <v>7954</v>
      </c>
      <c r="E6661" s="603" t="s">
        <v>7840</v>
      </c>
      <c r="F6661" s="603"/>
      <c r="G6661" s="314" t="s">
        <v>713</v>
      </c>
      <c r="H6661" s="399">
        <v>1</v>
      </c>
      <c r="I6661" s="316"/>
      <c r="J6661" s="316">
        <v>726.15</v>
      </c>
      <c r="K6661" s="316">
        <v>726.15</v>
      </c>
    </row>
    <row r="6662" spans="1:11" ht="38.25" customHeight="1" x14ac:dyDescent="0.3">
      <c r="A6662" s="408" t="s">
        <v>1034</v>
      </c>
      <c r="B6662" s="409" t="s">
        <v>2280</v>
      </c>
      <c r="C6662" s="408" t="s">
        <v>395</v>
      </c>
      <c r="D6662" s="408" t="s">
        <v>151</v>
      </c>
      <c r="E6662" s="604" t="s">
        <v>7768</v>
      </c>
      <c r="F6662" s="604"/>
      <c r="G6662" s="410" t="s">
        <v>6</v>
      </c>
      <c r="H6662" s="412">
        <v>3.75</v>
      </c>
      <c r="I6662" s="412">
        <v>0</v>
      </c>
      <c r="J6662" s="411">
        <v>34.119999999999997</v>
      </c>
      <c r="K6662" s="411">
        <v>127.95</v>
      </c>
    </row>
    <row r="6663" spans="1:11" ht="14.25" customHeight="1" x14ac:dyDescent="0.3">
      <c r="A6663" s="408" t="s">
        <v>1034</v>
      </c>
      <c r="B6663" s="409" t="s">
        <v>2278</v>
      </c>
      <c r="C6663" s="408" t="s">
        <v>395</v>
      </c>
      <c r="D6663" s="408" t="s">
        <v>7828</v>
      </c>
      <c r="E6663" s="604" t="s">
        <v>7772</v>
      </c>
      <c r="F6663" s="604"/>
      <c r="G6663" s="410" t="s">
        <v>15</v>
      </c>
      <c r="H6663" s="412">
        <v>0.87</v>
      </c>
      <c r="I6663" s="412">
        <v>0</v>
      </c>
      <c r="J6663" s="411">
        <v>2.46</v>
      </c>
      <c r="K6663" s="411">
        <v>2.1402000000000001</v>
      </c>
    </row>
    <row r="6664" spans="1:11" ht="25.5" customHeight="1" x14ac:dyDescent="0.3">
      <c r="A6664" s="408" t="s">
        <v>1034</v>
      </c>
      <c r="B6664" s="409" t="s">
        <v>2279</v>
      </c>
      <c r="C6664" s="408" t="s">
        <v>395</v>
      </c>
      <c r="D6664" s="408" t="s">
        <v>7829</v>
      </c>
      <c r="E6664" s="604" t="s">
        <v>7772</v>
      </c>
      <c r="F6664" s="604"/>
      <c r="G6664" s="410" t="s">
        <v>19</v>
      </c>
      <c r="H6664" s="412">
        <v>2.88</v>
      </c>
      <c r="I6664" s="412">
        <v>0</v>
      </c>
      <c r="J6664" s="411">
        <v>0.46</v>
      </c>
      <c r="K6664" s="411">
        <v>1.3248</v>
      </c>
    </row>
    <row r="6665" spans="1:11" ht="26.4" x14ac:dyDescent="0.3">
      <c r="A6665" s="400" t="s">
        <v>1038</v>
      </c>
      <c r="B6665" s="401" t="s">
        <v>4997</v>
      </c>
      <c r="C6665" s="400" t="s">
        <v>395</v>
      </c>
      <c r="D6665" s="400" t="s">
        <v>4998</v>
      </c>
      <c r="E6665" s="605" t="s">
        <v>1039</v>
      </c>
      <c r="F6665" s="605"/>
      <c r="G6665" s="402" t="s">
        <v>8</v>
      </c>
      <c r="H6665" s="403">
        <v>19.440000000000001</v>
      </c>
      <c r="I6665" s="403">
        <v>0</v>
      </c>
      <c r="J6665" s="404">
        <v>6.76</v>
      </c>
      <c r="K6665" s="404">
        <v>131.4144</v>
      </c>
    </row>
    <row r="6666" spans="1:11" ht="26.4" x14ac:dyDescent="0.3">
      <c r="A6666" s="400" t="s">
        <v>1038</v>
      </c>
      <c r="B6666" s="401" t="s">
        <v>1303</v>
      </c>
      <c r="C6666" s="400" t="s">
        <v>395</v>
      </c>
      <c r="D6666" s="400" t="s">
        <v>239</v>
      </c>
      <c r="E6666" s="605" t="s">
        <v>1039</v>
      </c>
      <c r="F6666" s="605"/>
      <c r="G6666" s="402" t="s">
        <v>713</v>
      </c>
      <c r="H6666" s="403">
        <v>1.08</v>
      </c>
      <c r="I6666" s="403">
        <v>0</v>
      </c>
      <c r="J6666" s="404">
        <v>105</v>
      </c>
      <c r="K6666" s="404">
        <v>113.4</v>
      </c>
    </row>
    <row r="6667" spans="1:11" ht="15" customHeight="1" x14ac:dyDescent="0.3">
      <c r="A6667" s="400" t="s">
        <v>1038</v>
      </c>
      <c r="B6667" s="401" t="s">
        <v>1304</v>
      </c>
      <c r="C6667" s="400" t="s">
        <v>395</v>
      </c>
      <c r="D6667" s="400" t="s">
        <v>251</v>
      </c>
      <c r="E6667" s="605" t="s">
        <v>1039</v>
      </c>
      <c r="F6667" s="605"/>
      <c r="G6667" s="402" t="s">
        <v>3</v>
      </c>
      <c r="H6667" s="403">
        <v>486</v>
      </c>
      <c r="I6667" s="403">
        <v>0</v>
      </c>
      <c r="J6667" s="404">
        <v>0.72</v>
      </c>
      <c r="K6667" s="404">
        <v>349.92</v>
      </c>
    </row>
    <row r="6668" spans="1:11" ht="15" x14ac:dyDescent="0.3">
      <c r="A6668" s="405"/>
      <c r="B6668" s="405"/>
      <c r="C6668" s="405"/>
      <c r="D6668" s="405"/>
      <c r="E6668" s="405" t="s">
        <v>1046</v>
      </c>
      <c r="F6668" s="406">
        <v>94.39</v>
      </c>
      <c r="G6668" s="405" t="s">
        <v>1047</v>
      </c>
      <c r="H6668" s="406">
        <v>0</v>
      </c>
      <c r="I6668" s="405" t="s">
        <v>1048</v>
      </c>
      <c r="J6668" s="406">
        <v>94.39</v>
      </c>
      <c r="K6668"/>
    </row>
    <row r="6669" spans="1:11" ht="15.6" thickBot="1" x14ac:dyDescent="0.35">
      <c r="A6669" s="405"/>
      <c r="B6669" s="405"/>
      <c r="C6669" s="405"/>
      <c r="D6669" s="405"/>
      <c r="E6669" s="405" t="s">
        <v>1049</v>
      </c>
      <c r="F6669" s="406">
        <v>0</v>
      </c>
      <c r="G6669" s="405"/>
      <c r="H6669" s="606"/>
      <c r="I6669" s="606" t="s">
        <v>1050</v>
      </c>
      <c r="J6669" s="406">
        <v>726.15</v>
      </c>
      <c r="K6669"/>
    </row>
    <row r="6670" spans="1:11" ht="15.6" thickTop="1" x14ac:dyDescent="0.3">
      <c r="A6670" s="407"/>
      <c r="B6670" s="407"/>
      <c r="C6670" s="407"/>
      <c r="D6670" s="407"/>
      <c r="E6670" s="407"/>
      <c r="F6670" s="407"/>
      <c r="G6670" s="407"/>
      <c r="H6670" s="407"/>
      <c r="I6670" s="407"/>
      <c r="J6670" s="407"/>
      <c r="K6670"/>
    </row>
    <row r="6671" spans="1:11" ht="15" customHeight="1" x14ac:dyDescent="0.3">
      <c r="A6671" s="382"/>
      <c r="B6671" s="312" t="s">
        <v>413</v>
      </c>
      <c r="C6671" s="382" t="s">
        <v>414</v>
      </c>
      <c r="D6671" s="382" t="s">
        <v>415</v>
      </c>
      <c r="E6671" s="586" t="s">
        <v>1029</v>
      </c>
      <c r="F6671" s="586"/>
      <c r="G6671" s="383" t="s">
        <v>416</v>
      </c>
      <c r="H6671" s="312" t="s">
        <v>1030</v>
      </c>
      <c r="I6671" s="312" t="s">
        <v>3016</v>
      </c>
      <c r="J6671" s="312" t="s">
        <v>1031</v>
      </c>
      <c r="K6671" s="312" t="s">
        <v>1032</v>
      </c>
    </row>
    <row r="6672" spans="1:11" ht="25.5" customHeight="1" x14ac:dyDescent="0.3">
      <c r="A6672" s="313" t="s">
        <v>1033</v>
      </c>
      <c r="B6672" s="315" t="s">
        <v>1230</v>
      </c>
      <c r="C6672" s="313" t="s">
        <v>395</v>
      </c>
      <c r="D6672" s="313" t="s">
        <v>220</v>
      </c>
      <c r="E6672" s="603" t="s">
        <v>7840</v>
      </c>
      <c r="F6672" s="603"/>
      <c r="G6672" s="314" t="s">
        <v>713</v>
      </c>
      <c r="H6672" s="399">
        <v>1</v>
      </c>
      <c r="I6672" s="316"/>
      <c r="J6672" s="316">
        <v>741.35</v>
      </c>
      <c r="K6672" s="316">
        <v>741.35</v>
      </c>
    </row>
    <row r="6673" spans="1:11" ht="25.5" customHeight="1" x14ac:dyDescent="0.3">
      <c r="A6673" s="408" t="s">
        <v>1034</v>
      </c>
      <c r="B6673" s="409" t="s">
        <v>1290</v>
      </c>
      <c r="C6673" s="408" t="s">
        <v>395</v>
      </c>
      <c r="D6673" s="408" t="s">
        <v>147</v>
      </c>
      <c r="E6673" s="604" t="s">
        <v>7768</v>
      </c>
      <c r="F6673" s="604"/>
      <c r="G6673" s="410" t="s">
        <v>6</v>
      </c>
      <c r="H6673" s="412">
        <v>8.57</v>
      </c>
      <c r="I6673" s="412">
        <v>0</v>
      </c>
      <c r="J6673" s="411">
        <v>32.82</v>
      </c>
      <c r="K6673" s="411">
        <v>281.26740000000001</v>
      </c>
    </row>
    <row r="6674" spans="1:11" ht="30" customHeight="1" x14ac:dyDescent="0.3">
      <c r="A6674" s="400" t="s">
        <v>1038</v>
      </c>
      <c r="B6674" s="401" t="s">
        <v>1303</v>
      </c>
      <c r="C6674" s="400" t="s">
        <v>395</v>
      </c>
      <c r="D6674" s="400" t="s">
        <v>239</v>
      </c>
      <c r="E6674" s="605" t="s">
        <v>1039</v>
      </c>
      <c r="F6674" s="605"/>
      <c r="G6674" s="402" t="s">
        <v>713</v>
      </c>
      <c r="H6674" s="403">
        <v>1.07</v>
      </c>
      <c r="I6674" s="403">
        <v>0</v>
      </c>
      <c r="J6674" s="404">
        <v>105</v>
      </c>
      <c r="K6674" s="404">
        <v>112.35</v>
      </c>
    </row>
    <row r="6675" spans="1:11" ht="38.25" customHeight="1" x14ac:dyDescent="0.3">
      <c r="A6675" s="400" t="s">
        <v>1038</v>
      </c>
      <c r="B6675" s="401" t="s">
        <v>1304</v>
      </c>
      <c r="C6675" s="400" t="s">
        <v>395</v>
      </c>
      <c r="D6675" s="400" t="s">
        <v>251</v>
      </c>
      <c r="E6675" s="605" t="s">
        <v>1039</v>
      </c>
      <c r="F6675" s="605"/>
      <c r="G6675" s="402" t="s">
        <v>3</v>
      </c>
      <c r="H6675" s="403">
        <v>482.96</v>
      </c>
      <c r="I6675" s="403">
        <v>0</v>
      </c>
      <c r="J6675" s="404">
        <v>0.72</v>
      </c>
      <c r="K6675" s="404">
        <v>347.7312</v>
      </c>
    </row>
    <row r="6676" spans="1:11" ht="25.5" customHeight="1" x14ac:dyDescent="0.3">
      <c r="A6676" s="405"/>
      <c r="B6676" s="405"/>
      <c r="C6676" s="405"/>
      <c r="D6676" s="405"/>
      <c r="E6676" s="405" t="s">
        <v>1046</v>
      </c>
      <c r="F6676" s="406">
        <v>193.77</v>
      </c>
      <c r="G6676" s="405" t="s">
        <v>1047</v>
      </c>
      <c r="H6676" s="406">
        <v>0</v>
      </c>
      <c r="I6676" s="405" t="s">
        <v>1048</v>
      </c>
      <c r="J6676" s="406">
        <v>193.77</v>
      </c>
      <c r="K6676"/>
    </row>
    <row r="6677" spans="1:11" ht="25.5" customHeight="1" thickBot="1" x14ac:dyDescent="0.35">
      <c r="A6677" s="405"/>
      <c r="B6677" s="405"/>
      <c r="C6677" s="405"/>
      <c r="D6677" s="405"/>
      <c r="E6677" s="405" t="s">
        <v>1049</v>
      </c>
      <c r="F6677" s="406">
        <v>0</v>
      </c>
      <c r="G6677" s="405"/>
      <c r="H6677" s="606"/>
      <c r="I6677" s="606" t="s">
        <v>1050</v>
      </c>
      <c r="J6677" s="406">
        <v>741.35</v>
      </c>
      <c r="K6677"/>
    </row>
    <row r="6678" spans="1:11" ht="15.6" thickTop="1" x14ac:dyDescent="0.3">
      <c r="A6678" s="407"/>
      <c r="B6678" s="407"/>
      <c r="C6678" s="407"/>
      <c r="D6678" s="407"/>
      <c r="E6678" s="407"/>
      <c r="F6678" s="407"/>
      <c r="G6678" s="407"/>
      <c r="H6678" s="407"/>
      <c r="I6678" s="407"/>
      <c r="J6678" s="407"/>
      <c r="K6678"/>
    </row>
    <row r="6679" spans="1:11" ht="15" x14ac:dyDescent="0.3">
      <c r="A6679" s="382"/>
      <c r="B6679" s="312" t="s">
        <v>413</v>
      </c>
      <c r="C6679" s="382" t="s">
        <v>414</v>
      </c>
      <c r="D6679" s="382" t="s">
        <v>415</v>
      </c>
      <c r="E6679" s="586" t="s">
        <v>1029</v>
      </c>
      <c r="F6679" s="586"/>
      <c r="G6679" s="383" t="s">
        <v>416</v>
      </c>
      <c r="H6679" s="312" t="s">
        <v>1030</v>
      </c>
      <c r="I6679" s="312" t="s">
        <v>3016</v>
      </c>
      <c r="J6679" s="312" t="s">
        <v>1031</v>
      </c>
      <c r="K6679" s="312" t="s">
        <v>1032</v>
      </c>
    </row>
    <row r="6680" spans="1:11" ht="14.25" customHeight="1" x14ac:dyDescent="0.3">
      <c r="A6680" s="313" t="s">
        <v>1033</v>
      </c>
      <c r="B6680" s="315" t="s">
        <v>3125</v>
      </c>
      <c r="C6680" s="313" t="s">
        <v>395</v>
      </c>
      <c r="D6680" s="313" t="s">
        <v>219</v>
      </c>
      <c r="E6680" s="603" t="s">
        <v>7840</v>
      </c>
      <c r="F6680" s="603"/>
      <c r="G6680" s="314" t="s">
        <v>713</v>
      </c>
      <c r="H6680" s="399">
        <v>1</v>
      </c>
      <c r="I6680" s="316"/>
      <c r="J6680" s="316">
        <v>613.9</v>
      </c>
      <c r="K6680" s="316">
        <v>613.9</v>
      </c>
    </row>
    <row r="6681" spans="1:11" ht="38.25" customHeight="1" x14ac:dyDescent="0.3">
      <c r="A6681" s="408" t="s">
        <v>1034</v>
      </c>
      <c r="B6681" s="409" t="s">
        <v>1290</v>
      </c>
      <c r="C6681" s="408" t="s">
        <v>395</v>
      </c>
      <c r="D6681" s="408" t="s">
        <v>147</v>
      </c>
      <c r="E6681" s="604" t="s">
        <v>7768</v>
      </c>
      <c r="F6681" s="604"/>
      <c r="G6681" s="410" t="s">
        <v>6</v>
      </c>
      <c r="H6681" s="412">
        <v>0.76</v>
      </c>
      <c r="I6681" s="412">
        <v>0</v>
      </c>
      <c r="J6681" s="411">
        <v>32.82</v>
      </c>
      <c r="K6681" s="411">
        <v>24.943200000000001</v>
      </c>
    </row>
    <row r="6682" spans="1:11" ht="25.5" customHeight="1" x14ac:dyDescent="0.3">
      <c r="A6682" s="408" t="s">
        <v>1034</v>
      </c>
      <c r="B6682" s="409" t="s">
        <v>2280</v>
      </c>
      <c r="C6682" s="408" t="s">
        <v>395</v>
      </c>
      <c r="D6682" s="408" t="s">
        <v>151</v>
      </c>
      <c r="E6682" s="604" t="s">
        <v>7768</v>
      </c>
      <c r="F6682" s="604"/>
      <c r="G6682" s="410" t="s">
        <v>6</v>
      </c>
      <c r="H6682" s="412">
        <v>3.17</v>
      </c>
      <c r="I6682" s="412">
        <v>0</v>
      </c>
      <c r="J6682" s="411">
        <v>34.119999999999997</v>
      </c>
      <c r="K6682" s="411">
        <v>108.1604</v>
      </c>
    </row>
    <row r="6683" spans="1:11" ht="15" customHeight="1" x14ac:dyDescent="0.3">
      <c r="A6683" s="408" t="s">
        <v>1034</v>
      </c>
      <c r="B6683" s="409" t="s">
        <v>7955</v>
      </c>
      <c r="C6683" s="408" t="s">
        <v>395</v>
      </c>
      <c r="D6683" s="408" t="s">
        <v>7956</v>
      </c>
      <c r="E6683" s="604" t="s">
        <v>7772</v>
      </c>
      <c r="F6683" s="604"/>
      <c r="G6683" s="410" t="s">
        <v>15</v>
      </c>
      <c r="H6683" s="412">
        <v>0.74</v>
      </c>
      <c r="I6683" s="412">
        <v>0</v>
      </c>
      <c r="J6683" s="411">
        <v>6.71</v>
      </c>
      <c r="K6683" s="411">
        <v>4.9653999999999998</v>
      </c>
    </row>
    <row r="6684" spans="1:11" ht="38.25" customHeight="1" x14ac:dyDescent="0.3">
      <c r="A6684" s="408" t="s">
        <v>1034</v>
      </c>
      <c r="B6684" s="409" t="s">
        <v>7957</v>
      </c>
      <c r="C6684" s="408" t="s">
        <v>395</v>
      </c>
      <c r="D6684" s="408" t="s">
        <v>7958</v>
      </c>
      <c r="E6684" s="604" t="s">
        <v>7772</v>
      </c>
      <c r="F6684" s="604"/>
      <c r="G6684" s="410" t="s">
        <v>19</v>
      </c>
      <c r="H6684" s="412">
        <v>2.4300000000000002</v>
      </c>
      <c r="I6684" s="412">
        <v>0</v>
      </c>
      <c r="J6684" s="411">
        <v>1.86</v>
      </c>
      <c r="K6684" s="411">
        <v>4.5198</v>
      </c>
    </row>
    <row r="6685" spans="1:11" ht="25.5" customHeight="1" x14ac:dyDescent="0.3">
      <c r="A6685" s="400" t="s">
        <v>1038</v>
      </c>
      <c r="B6685" s="401" t="s">
        <v>1303</v>
      </c>
      <c r="C6685" s="400" t="s">
        <v>395</v>
      </c>
      <c r="D6685" s="400" t="s">
        <v>239</v>
      </c>
      <c r="E6685" s="605" t="s">
        <v>1039</v>
      </c>
      <c r="F6685" s="605"/>
      <c r="G6685" s="402" t="s">
        <v>713</v>
      </c>
      <c r="H6685" s="403">
        <v>1.21</v>
      </c>
      <c r="I6685" s="403">
        <v>0</v>
      </c>
      <c r="J6685" s="404">
        <v>105</v>
      </c>
      <c r="K6685" s="404">
        <v>127.05</v>
      </c>
    </row>
    <row r="6686" spans="1:11" ht="25.5" customHeight="1" x14ac:dyDescent="0.3">
      <c r="A6686" s="400" t="s">
        <v>1038</v>
      </c>
      <c r="B6686" s="401" t="s">
        <v>2284</v>
      </c>
      <c r="C6686" s="400" t="s">
        <v>395</v>
      </c>
      <c r="D6686" s="400" t="s">
        <v>249</v>
      </c>
      <c r="E6686" s="605" t="s">
        <v>1039</v>
      </c>
      <c r="F6686" s="605"/>
      <c r="G6686" s="402" t="s">
        <v>3</v>
      </c>
      <c r="H6686" s="403">
        <v>181.19</v>
      </c>
      <c r="I6686" s="403">
        <v>0</v>
      </c>
      <c r="J6686" s="404">
        <v>1.36</v>
      </c>
      <c r="K6686" s="404">
        <v>246.41839999999999</v>
      </c>
    </row>
    <row r="6687" spans="1:11" ht="25.5" customHeight="1" x14ac:dyDescent="0.3">
      <c r="A6687" s="400" t="s">
        <v>1038</v>
      </c>
      <c r="B6687" s="401" t="s">
        <v>1304</v>
      </c>
      <c r="C6687" s="400" t="s">
        <v>395</v>
      </c>
      <c r="D6687" s="400" t="s">
        <v>251</v>
      </c>
      <c r="E6687" s="605" t="s">
        <v>1039</v>
      </c>
      <c r="F6687" s="605"/>
      <c r="G6687" s="402" t="s">
        <v>3</v>
      </c>
      <c r="H6687" s="403">
        <v>135.88999999999999</v>
      </c>
      <c r="I6687" s="403">
        <v>0</v>
      </c>
      <c r="J6687" s="404">
        <v>0.72</v>
      </c>
      <c r="K6687" s="404">
        <v>97.840800000000002</v>
      </c>
    </row>
    <row r="6688" spans="1:11" ht="15" x14ac:dyDescent="0.3">
      <c r="A6688" s="405"/>
      <c r="B6688" s="405"/>
      <c r="C6688" s="405"/>
      <c r="D6688" s="405"/>
      <c r="E6688" s="405" t="s">
        <v>1046</v>
      </c>
      <c r="F6688" s="406">
        <v>96.97</v>
      </c>
      <c r="G6688" s="405" t="s">
        <v>1047</v>
      </c>
      <c r="H6688" s="406">
        <v>0</v>
      </c>
      <c r="I6688" s="405" t="s">
        <v>1048</v>
      </c>
      <c r="J6688" s="406">
        <v>96.97</v>
      </c>
      <c r="K6688"/>
    </row>
    <row r="6689" spans="1:11" ht="14.25" customHeight="1" thickBot="1" x14ac:dyDescent="0.35">
      <c r="A6689" s="405"/>
      <c r="B6689" s="405"/>
      <c r="C6689" s="405"/>
      <c r="D6689" s="405"/>
      <c r="E6689" s="405" t="s">
        <v>1049</v>
      </c>
      <c r="F6689" s="406">
        <v>0</v>
      </c>
      <c r="G6689" s="405"/>
      <c r="H6689" s="606"/>
      <c r="I6689" s="606" t="s">
        <v>1050</v>
      </c>
      <c r="J6689" s="406">
        <v>613.9</v>
      </c>
      <c r="K6689"/>
    </row>
    <row r="6690" spans="1:11" ht="15.6" thickTop="1" x14ac:dyDescent="0.3">
      <c r="A6690" s="407"/>
      <c r="B6690" s="407"/>
      <c r="C6690" s="407"/>
      <c r="D6690" s="407"/>
      <c r="E6690" s="407"/>
      <c r="F6690" s="407"/>
      <c r="G6690" s="407"/>
      <c r="H6690" s="407"/>
      <c r="I6690" s="407"/>
      <c r="J6690" s="407"/>
      <c r="K6690"/>
    </row>
    <row r="6691" spans="1:11" ht="15" customHeight="1" x14ac:dyDescent="0.3">
      <c r="A6691" s="382"/>
      <c r="B6691" s="312" t="s">
        <v>413</v>
      </c>
      <c r="C6691" s="382" t="s">
        <v>414</v>
      </c>
      <c r="D6691" s="382" t="s">
        <v>415</v>
      </c>
      <c r="E6691" s="586" t="s">
        <v>1029</v>
      </c>
      <c r="F6691" s="586"/>
      <c r="G6691" s="383" t="s">
        <v>416</v>
      </c>
      <c r="H6691" s="312" t="s">
        <v>1030</v>
      </c>
      <c r="I6691" s="312" t="s">
        <v>3016</v>
      </c>
      <c r="J6691" s="312" t="s">
        <v>1031</v>
      </c>
      <c r="K6691" s="312" t="s">
        <v>1032</v>
      </c>
    </row>
    <row r="6692" spans="1:11" ht="39.6" x14ac:dyDescent="0.3">
      <c r="A6692" s="313" t="s">
        <v>1033</v>
      </c>
      <c r="B6692" s="315" t="s">
        <v>7959</v>
      </c>
      <c r="C6692" s="313" t="s">
        <v>395</v>
      </c>
      <c r="D6692" s="313" t="s">
        <v>7960</v>
      </c>
      <c r="E6692" s="603" t="s">
        <v>7840</v>
      </c>
      <c r="F6692" s="603"/>
      <c r="G6692" s="314" t="s">
        <v>713</v>
      </c>
      <c r="H6692" s="399">
        <v>1</v>
      </c>
      <c r="I6692" s="316"/>
      <c r="J6692" s="316">
        <v>518.44000000000005</v>
      </c>
      <c r="K6692" s="316">
        <v>518.44000000000005</v>
      </c>
    </row>
    <row r="6693" spans="1:11" ht="38.25" customHeight="1" x14ac:dyDescent="0.3">
      <c r="A6693" s="408" t="s">
        <v>1034</v>
      </c>
      <c r="B6693" s="409" t="s">
        <v>2280</v>
      </c>
      <c r="C6693" s="408" t="s">
        <v>395</v>
      </c>
      <c r="D6693" s="408" t="s">
        <v>151</v>
      </c>
      <c r="E6693" s="604" t="s">
        <v>7768</v>
      </c>
      <c r="F6693" s="604"/>
      <c r="G6693" s="410" t="s">
        <v>6</v>
      </c>
      <c r="H6693" s="412">
        <v>4.6399999999999997</v>
      </c>
      <c r="I6693" s="412">
        <v>0</v>
      </c>
      <c r="J6693" s="411">
        <v>34.119999999999997</v>
      </c>
      <c r="K6693" s="411">
        <v>158.3168</v>
      </c>
    </row>
    <row r="6694" spans="1:11" ht="25.5" customHeight="1" x14ac:dyDescent="0.3">
      <c r="A6694" s="408" t="s">
        <v>1034</v>
      </c>
      <c r="B6694" s="409" t="s">
        <v>2278</v>
      </c>
      <c r="C6694" s="408" t="s">
        <v>395</v>
      </c>
      <c r="D6694" s="408" t="s">
        <v>7828</v>
      </c>
      <c r="E6694" s="604" t="s">
        <v>7772</v>
      </c>
      <c r="F6694" s="604"/>
      <c r="G6694" s="410" t="s">
        <v>15</v>
      </c>
      <c r="H6694" s="412">
        <v>1.08</v>
      </c>
      <c r="I6694" s="412">
        <v>0</v>
      </c>
      <c r="J6694" s="411">
        <v>2.46</v>
      </c>
      <c r="K6694" s="411">
        <v>2.6568000000000001</v>
      </c>
    </row>
    <row r="6695" spans="1:11" ht="25.5" customHeight="1" x14ac:dyDescent="0.3">
      <c r="A6695" s="408" t="s">
        <v>1034</v>
      </c>
      <c r="B6695" s="409" t="s">
        <v>2279</v>
      </c>
      <c r="C6695" s="408" t="s">
        <v>395</v>
      </c>
      <c r="D6695" s="408" t="s">
        <v>7829</v>
      </c>
      <c r="E6695" s="604" t="s">
        <v>7772</v>
      </c>
      <c r="F6695" s="604"/>
      <c r="G6695" s="410" t="s">
        <v>19</v>
      </c>
      <c r="H6695" s="412">
        <v>3.56</v>
      </c>
      <c r="I6695" s="412">
        <v>0</v>
      </c>
      <c r="J6695" s="411">
        <v>0.46</v>
      </c>
      <c r="K6695" s="411">
        <v>1.6375999999999999</v>
      </c>
    </row>
    <row r="6696" spans="1:11" ht="30" customHeight="1" x14ac:dyDescent="0.3">
      <c r="A6696" s="400" t="s">
        <v>1038</v>
      </c>
      <c r="B6696" s="401" t="s">
        <v>2282</v>
      </c>
      <c r="C6696" s="400" t="s">
        <v>395</v>
      </c>
      <c r="D6696" s="400" t="s">
        <v>238</v>
      </c>
      <c r="E6696" s="605" t="s">
        <v>1039</v>
      </c>
      <c r="F6696" s="605"/>
      <c r="G6696" s="402" t="s">
        <v>713</v>
      </c>
      <c r="H6696" s="403">
        <v>1.02</v>
      </c>
      <c r="I6696" s="403">
        <v>0</v>
      </c>
      <c r="J6696" s="404">
        <v>106.37</v>
      </c>
      <c r="K6696" s="404">
        <v>108.4974</v>
      </c>
    </row>
    <row r="6697" spans="1:11" ht="30" customHeight="1" x14ac:dyDescent="0.3">
      <c r="A6697" s="400" t="s">
        <v>1038</v>
      </c>
      <c r="B6697" s="401" t="s">
        <v>1304</v>
      </c>
      <c r="C6697" s="400" t="s">
        <v>395</v>
      </c>
      <c r="D6697" s="400" t="s">
        <v>251</v>
      </c>
      <c r="E6697" s="605" t="s">
        <v>1039</v>
      </c>
      <c r="F6697" s="605"/>
      <c r="G6697" s="402" t="s">
        <v>3</v>
      </c>
      <c r="H6697" s="403">
        <v>343.52</v>
      </c>
      <c r="I6697" s="403">
        <v>0</v>
      </c>
      <c r="J6697" s="404">
        <v>0.72</v>
      </c>
      <c r="K6697" s="404">
        <v>247.33439999999999</v>
      </c>
    </row>
    <row r="6698" spans="1:11" ht="14.25" customHeight="1" x14ac:dyDescent="0.3">
      <c r="A6698" s="405"/>
      <c r="B6698" s="405"/>
      <c r="C6698" s="405"/>
      <c r="D6698" s="405"/>
      <c r="E6698" s="405" t="s">
        <v>1046</v>
      </c>
      <c r="F6698" s="406">
        <v>116.79</v>
      </c>
      <c r="G6698" s="405" t="s">
        <v>1047</v>
      </c>
      <c r="H6698" s="406">
        <v>0</v>
      </c>
      <c r="I6698" s="405" t="s">
        <v>1048</v>
      </c>
      <c r="J6698" s="406">
        <v>116.79</v>
      </c>
      <c r="K6698"/>
    </row>
    <row r="6699" spans="1:11" ht="15.6" thickBot="1" x14ac:dyDescent="0.35">
      <c r="A6699" s="405"/>
      <c r="B6699" s="405"/>
      <c r="C6699" s="405"/>
      <c r="D6699" s="405"/>
      <c r="E6699" s="405" t="s">
        <v>1049</v>
      </c>
      <c r="F6699" s="406">
        <v>0</v>
      </c>
      <c r="G6699" s="405"/>
      <c r="H6699" s="606"/>
      <c r="I6699" s="606" t="s">
        <v>1050</v>
      </c>
      <c r="J6699" s="406">
        <v>518.44000000000005</v>
      </c>
      <c r="K6699"/>
    </row>
    <row r="6700" spans="1:11" ht="15.6" thickTop="1" x14ac:dyDescent="0.3">
      <c r="A6700" s="407"/>
      <c r="B6700" s="407"/>
      <c r="C6700" s="407"/>
      <c r="D6700" s="407"/>
      <c r="E6700" s="407"/>
      <c r="F6700" s="407"/>
      <c r="G6700" s="407"/>
      <c r="H6700" s="407"/>
      <c r="I6700" s="407"/>
      <c r="J6700" s="407"/>
      <c r="K6700"/>
    </row>
    <row r="6701" spans="1:11" ht="12.75" customHeight="1" x14ac:dyDescent="0.3">
      <c r="A6701" s="382"/>
      <c r="B6701" s="312" t="s">
        <v>413</v>
      </c>
      <c r="C6701" s="382" t="s">
        <v>414</v>
      </c>
      <c r="D6701" s="382" t="s">
        <v>415</v>
      </c>
      <c r="E6701" s="586" t="s">
        <v>1029</v>
      </c>
      <c r="F6701" s="586"/>
      <c r="G6701" s="383" t="s">
        <v>416</v>
      </c>
      <c r="H6701" s="312" t="s">
        <v>1030</v>
      </c>
      <c r="I6701" s="312" t="s">
        <v>3016</v>
      </c>
      <c r="J6701" s="312" t="s">
        <v>1031</v>
      </c>
      <c r="K6701" s="312" t="s">
        <v>1032</v>
      </c>
    </row>
    <row r="6702" spans="1:11" ht="38.25" customHeight="1" x14ac:dyDescent="0.3">
      <c r="A6702" s="313" t="s">
        <v>1033</v>
      </c>
      <c r="B6702" s="315" t="s">
        <v>7857</v>
      </c>
      <c r="C6702" s="313" t="s">
        <v>395</v>
      </c>
      <c r="D6702" s="313" t="s">
        <v>7858</v>
      </c>
      <c r="E6702" s="603" t="s">
        <v>7840</v>
      </c>
      <c r="F6702" s="603"/>
      <c r="G6702" s="314" t="s">
        <v>713</v>
      </c>
      <c r="H6702" s="399">
        <v>1</v>
      </c>
      <c r="I6702" s="316"/>
      <c r="J6702" s="316">
        <v>583.15</v>
      </c>
      <c r="K6702" s="316">
        <v>583.15</v>
      </c>
    </row>
    <row r="6703" spans="1:11" ht="25.5" customHeight="1" x14ac:dyDescent="0.3">
      <c r="A6703" s="581"/>
      <c r="B6703" s="581"/>
      <c r="C6703" s="581"/>
      <c r="D6703" s="581"/>
      <c r="E6703" s="581"/>
      <c r="F6703" s="581" t="s">
        <v>7961</v>
      </c>
      <c r="G6703" s="581"/>
      <c r="H6703" s="581"/>
      <c r="I6703" s="581"/>
      <c r="J6703" s="413">
        <v>0</v>
      </c>
      <c r="K6703"/>
    </row>
    <row r="6704" spans="1:11" ht="25.5" customHeight="1" x14ac:dyDescent="0.3">
      <c r="A6704" s="581"/>
      <c r="B6704" s="581"/>
      <c r="C6704" s="581"/>
      <c r="D6704" s="581"/>
      <c r="E6704" s="581"/>
      <c r="F6704" s="581" t="s">
        <v>7962</v>
      </c>
      <c r="G6704" s="581"/>
      <c r="H6704" s="581"/>
      <c r="I6704" s="581"/>
      <c r="J6704" s="413">
        <v>0</v>
      </c>
      <c r="K6704"/>
    </row>
    <row r="6705" spans="1:11" ht="38.25" customHeight="1" x14ac:dyDescent="0.3">
      <c r="A6705" s="581"/>
      <c r="B6705" s="581"/>
      <c r="C6705" s="581"/>
      <c r="D6705" s="581"/>
      <c r="E6705" s="581"/>
      <c r="F6705" s="581" t="s">
        <v>7963</v>
      </c>
      <c r="G6705" s="581"/>
      <c r="H6705" s="581"/>
      <c r="I6705" s="581"/>
      <c r="J6705" s="413">
        <v>0</v>
      </c>
      <c r="K6705"/>
    </row>
    <row r="6706" spans="1:11" ht="14.25" customHeight="1" x14ac:dyDescent="0.3">
      <c r="A6706" s="581"/>
      <c r="B6706" s="581"/>
      <c r="C6706" s="581"/>
      <c r="D6706" s="581"/>
      <c r="E6706" s="581"/>
      <c r="F6706" s="581" t="s">
        <v>7964</v>
      </c>
      <c r="G6706" s="581"/>
      <c r="H6706" s="581"/>
      <c r="I6706" s="581"/>
      <c r="J6706" s="413">
        <v>0</v>
      </c>
      <c r="K6706"/>
    </row>
    <row r="6707" spans="1:11" ht="25.5" customHeight="1" x14ac:dyDescent="0.3">
      <c r="A6707" s="581"/>
      <c r="B6707" s="581"/>
      <c r="C6707" s="581"/>
      <c r="D6707" s="581"/>
      <c r="E6707" s="581"/>
      <c r="F6707" s="581" t="s">
        <v>7965</v>
      </c>
      <c r="G6707" s="581"/>
      <c r="H6707" s="581"/>
      <c r="I6707" s="581"/>
      <c r="J6707" s="413">
        <v>0</v>
      </c>
      <c r="K6707"/>
    </row>
    <row r="6708" spans="1:11" ht="15" x14ac:dyDescent="0.3">
      <c r="A6708" s="382" t="s">
        <v>7966</v>
      </c>
      <c r="B6708" s="312" t="s">
        <v>414</v>
      </c>
      <c r="C6708" s="382" t="s">
        <v>413</v>
      </c>
      <c r="D6708" s="382" t="s">
        <v>1039</v>
      </c>
      <c r="E6708" s="312" t="s">
        <v>1552</v>
      </c>
      <c r="F6708" s="312" t="s">
        <v>7907</v>
      </c>
      <c r="G6708" s="584" t="s">
        <v>7967</v>
      </c>
      <c r="H6708" s="584"/>
      <c r="I6708" s="584"/>
      <c r="J6708" s="312" t="s">
        <v>7905</v>
      </c>
      <c r="K6708"/>
    </row>
    <row r="6709" spans="1:11" ht="26.4" x14ac:dyDescent="0.3">
      <c r="A6709" s="400" t="s">
        <v>1038</v>
      </c>
      <c r="B6709" s="401" t="s">
        <v>395</v>
      </c>
      <c r="C6709" s="400">
        <v>370</v>
      </c>
      <c r="D6709" s="400" t="s">
        <v>239</v>
      </c>
      <c r="E6709" s="403">
        <v>1.43</v>
      </c>
      <c r="F6709" s="402" t="s">
        <v>713</v>
      </c>
      <c r="G6709" s="607">
        <v>105</v>
      </c>
      <c r="H6709" s="607"/>
      <c r="I6709" s="605"/>
      <c r="J6709" s="414">
        <v>150.15</v>
      </c>
      <c r="K6709"/>
    </row>
    <row r="6710" spans="1:11" ht="14.25" customHeight="1" x14ac:dyDescent="0.3">
      <c r="A6710" s="400" t="s">
        <v>1038</v>
      </c>
      <c r="B6710" s="401" t="s">
        <v>395</v>
      </c>
      <c r="C6710" s="400">
        <v>1379</v>
      </c>
      <c r="D6710" s="400" t="s">
        <v>251</v>
      </c>
      <c r="E6710" s="403">
        <v>387.2</v>
      </c>
      <c r="F6710" s="402" t="s">
        <v>3</v>
      </c>
      <c r="G6710" s="607">
        <v>0.72</v>
      </c>
      <c r="H6710" s="607"/>
      <c r="I6710" s="605"/>
      <c r="J6710" s="414">
        <v>278.78399999999999</v>
      </c>
      <c r="K6710"/>
    </row>
    <row r="6711" spans="1:11" ht="15" x14ac:dyDescent="0.3">
      <c r="A6711" s="581"/>
      <c r="B6711" s="581"/>
      <c r="C6711" s="581"/>
      <c r="D6711" s="581"/>
      <c r="E6711" s="581"/>
      <c r="F6711" s="581" t="s">
        <v>7968</v>
      </c>
      <c r="G6711" s="581"/>
      <c r="H6711" s="581"/>
      <c r="I6711" s="581"/>
      <c r="J6711" s="413">
        <v>428.93400000000003</v>
      </c>
      <c r="K6711"/>
    </row>
    <row r="6712" spans="1:11" ht="15" x14ac:dyDescent="0.3">
      <c r="A6712" s="382" t="s">
        <v>7969</v>
      </c>
      <c r="B6712" s="312" t="s">
        <v>414</v>
      </c>
      <c r="C6712" s="382" t="s">
        <v>413</v>
      </c>
      <c r="D6712" s="382" t="s">
        <v>7970</v>
      </c>
      <c r="E6712" s="312" t="s">
        <v>1552</v>
      </c>
      <c r="F6712" s="312" t="s">
        <v>7907</v>
      </c>
      <c r="G6712" s="584" t="s">
        <v>7967</v>
      </c>
      <c r="H6712" s="584"/>
      <c r="I6712" s="584"/>
      <c r="J6712" s="312" t="s">
        <v>7905</v>
      </c>
      <c r="K6712"/>
    </row>
    <row r="6713" spans="1:11" ht="12.75" customHeight="1" x14ac:dyDescent="0.3">
      <c r="A6713" s="408" t="s">
        <v>7922</v>
      </c>
      <c r="B6713" s="409" t="s">
        <v>395</v>
      </c>
      <c r="C6713" s="408">
        <v>88377</v>
      </c>
      <c r="D6713" s="408" t="s">
        <v>151</v>
      </c>
      <c r="E6713" s="412">
        <v>4.4000000000000004</v>
      </c>
      <c r="F6713" s="410" t="s">
        <v>6</v>
      </c>
      <c r="G6713" s="608">
        <v>34.119999999999997</v>
      </c>
      <c r="H6713" s="608"/>
      <c r="I6713" s="604"/>
      <c r="J6713" s="415">
        <v>150.12799999999999</v>
      </c>
      <c r="K6713"/>
    </row>
    <row r="6714" spans="1:11" ht="38.25" customHeight="1" x14ac:dyDescent="0.3">
      <c r="A6714" s="408" t="s">
        <v>7922</v>
      </c>
      <c r="B6714" s="409" t="s">
        <v>395</v>
      </c>
      <c r="C6714" s="408">
        <v>88830</v>
      </c>
      <c r="D6714" s="408" t="s">
        <v>7828</v>
      </c>
      <c r="E6714" s="412">
        <v>1.03</v>
      </c>
      <c r="F6714" s="410" t="s">
        <v>15</v>
      </c>
      <c r="G6714" s="608">
        <v>2.46</v>
      </c>
      <c r="H6714" s="608"/>
      <c r="I6714" s="604"/>
      <c r="J6714" s="415">
        <v>2.5337999999999998</v>
      </c>
      <c r="K6714"/>
    </row>
    <row r="6715" spans="1:11" ht="25.5" customHeight="1" x14ac:dyDescent="0.3">
      <c r="A6715" s="408" t="s">
        <v>7922</v>
      </c>
      <c r="B6715" s="409" t="s">
        <v>395</v>
      </c>
      <c r="C6715" s="408">
        <v>88831</v>
      </c>
      <c r="D6715" s="408" t="s">
        <v>7829</v>
      </c>
      <c r="E6715" s="412">
        <v>3.37</v>
      </c>
      <c r="F6715" s="410" t="s">
        <v>19</v>
      </c>
      <c r="G6715" s="608">
        <v>0.46</v>
      </c>
      <c r="H6715" s="608"/>
      <c r="I6715" s="604"/>
      <c r="J6715" s="415">
        <v>1.5502</v>
      </c>
      <c r="K6715"/>
    </row>
    <row r="6716" spans="1:11" ht="25.5" customHeight="1" x14ac:dyDescent="0.3">
      <c r="A6716" s="581"/>
      <c r="B6716" s="581"/>
      <c r="C6716" s="581"/>
      <c r="D6716" s="581"/>
      <c r="E6716" s="581"/>
      <c r="F6716" s="581" t="s">
        <v>7971</v>
      </c>
      <c r="G6716" s="581"/>
      <c r="H6716" s="581"/>
      <c r="I6716" s="581"/>
      <c r="J6716" s="413">
        <v>154.21199999999999</v>
      </c>
      <c r="K6716"/>
    </row>
    <row r="6717" spans="1:11" ht="14.25" customHeight="1" x14ac:dyDescent="0.3">
      <c r="A6717" s="405"/>
      <c r="B6717" s="405"/>
      <c r="C6717" s="405"/>
      <c r="D6717" s="405"/>
      <c r="E6717" s="405" t="s">
        <v>1046</v>
      </c>
      <c r="F6717" s="406">
        <v>110.748</v>
      </c>
      <c r="G6717" s="405" t="s">
        <v>1047</v>
      </c>
      <c r="H6717" s="406">
        <v>0</v>
      </c>
      <c r="I6717" s="405" t="s">
        <v>1048</v>
      </c>
      <c r="J6717" s="406">
        <v>110.74</v>
      </c>
      <c r="K6717"/>
    </row>
    <row r="6718" spans="1:11" ht="14.25" customHeight="1" thickBot="1" x14ac:dyDescent="0.35">
      <c r="A6718" s="405"/>
      <c r="B6718" s="405"/>
      <c r="C6718" s="405"/>
      <c r="D6718" s="405"/>
      <c r="E6718" s="405" t="s">
        <v>1049</v>
      </c>
      <c r="F6718" s="406">
        <v>0</v>
      </c>
      <c r="G6718" s="405"/>
      <c r="H6718" s="606"/>
      <c r="I6718" s="606" t="s">
        <v>1050</v>
      </c>
      <c r="J6718" s="406">
        <v>583.15</v>
      </c>
      <c r="K6718"/>
    </row>
    <row r="6719" spans="1:11" ht="14.25" customHeight="1" thickTop="1" x14ac:dyDescent="0.3">
      <c r="A6719" s="407"/>
      <c r="B6719" s="407"/>
      <c r="C6719" s="407"/>
      <c r="D6719" s="407"/>
      <c r="E6719" s="407"/>
      <c r="F6719" s="407"/>
      <c r="G6719" s="407"/>
      <c r="H6719" s="407"/>
      <c r="I6719" s="407"/>
      <c r="J6719" s="407"/>
      <c r="K6719"/>
    </row>
    <row r="6720" spans="1:11" ht="60" customHeight="1" x14ac:dyDescent="0.3">
      <c r="A6720" s="382"/>
      <c r="B6720" s="312" t="s">
        <v>413</v>
      </c>
      <c r="C6720" s="382" t="s">
        <v>414</v>
      </c>
      <c r="D6720" s="382" t="s">
        <v>415</v>
      </c>
      <c r="E6720" s="586" t="s">
        <v>1029</v>
      </c>
      <c r="F6720" s="586"/>
      <c r="G6720" s="383" t="s">
        <v>416</v>
      </c>
      <c r="H6720" s="312" t="s">
        <v>1030</v>
      </c>
      <c r="I6720" s="312" t="s">
        <v>3016</v>
      </c>
      <c r="J6720" s="312" t="s">
        <v>1031</v>
      </c>
      <c r="K6720" s="312" t="s">
        <v>1032</v>
      </c>
    </row>
    <row r="6721" spans="1:11" ht="60" customHeight="1" x14ac:dyDescent="0.3">
      <c r="A6721" s="313" t="s">
        <v>1033</v>
      </c>
      <c r="B6721" s="315" t="s">
        <v>9660</v>
      </c>
      <c r="C6721" s="313" t="s">
        <v>395</v>
      </c>
      <c r="D6721" s="313" t="s">
        <v>9661</v>
      </c>
      <c r="E6721" s="603" t="s">
        <v>7840</v>
      </c>
      <c r="F6721" s="603"/>
      <c r="G6721" s="314" t="s">
        <v>713</v>
      </c>
      <c r="H6721" s="399">
        <v>1</v>
      </c>
      <c r="I6721" s="316"/>
      <c r="J6721" s="316">
        <v>492.92</v>
      </c>
      <c r="K6721" s="316">
        <v>492.92</v>
      </c>
    </row>
    <row r="6722" spans="1:11" ht="14.25" customHeight="1" x14ac:dyDescent="0.3">
      <c r="A6722" s="408" t="s">
        <v>1034</v>
      </c>
      <c r="B6722" s="409" t="s">
        <v>2280</v>
      </c>
      <c r="C6722" s="408" t="s">
        <v>395</v>
      </c>
      <c r="D6722" s="408" t="s">
        <v>151</v>
      </c>
      <c r="E6722" s="604" t="s">
        <v>7768</v>
      </c>
      <c r="F6722" s="604"/>
      <c r="G6722" s="410" t="s">
        <v>6</v>
      </c>
      <c r="H6722" s="412">
        <v>4.33</v>
      </c>
      <c r="I6722" s="412">
        <v>0</v>
      </c>
      <c r="J6722" s="411">
        <v>34.119999999999997</v>
      </c>
      <c r="K6722" s="411">
        <v>147.7396</v>
      </c>
    </row>
    <row r="6723" spans="1:11" ht="25.5" customHeight="1" x14ac:dyDescent="0.3">
      <c r="A6723" s="408" t="s">
        <v>1034</v>
      </c>
      <c r="B6723" s="409" t="s">
        <v>2278</v>
      </c>
      <c r="C6723" s="408" t="s">
        <v>395</v>
      </c>
      <c r="D6723" s="408" t="s">
        <v>7828</v>
      </c>
      <c r="E6723" s="604" t="s">
        <v>7772</v>
      </c>
      <c r="F6723" s="604"/>
      <c r="G6723" s="410" t="s">
        <v>15</v>
      </c>
      <c r="H6723" s="412">
        <v>3.3319999999999999</v>
      </c>
      <c r="I6723" s="412">
        <v>0</v>
      </c>
      <c r="J6723" s="411">
        <v>2.46</v>
      </c>
      <c r="K6723" s="411">
        <v>8.1967199999999991</v>
      </c>
    </row>
    <row r="6724" spans="1:11" ht="25.5" customHeight="1" x14ac:dyDescent="0.3">
      <c r="A6724" s="408" t="s">
        <v>1034</v>
      </c>
      <c r="B6724" s="409" t="s">
        <v>2279</v>
      </c>
      <c r="C6724" s="408" t="s">
        <v>395</v>
      </c>
      <c r="D6724" s="408" t="s">
        <v>7829</v>
      </c>
      <c r="E6724" s="604" t="s">
        <v>7772</v>
      </c>
      <c r="F6724" s="604"/>
      <c r="G6724" s="410" t="s">
        <v>19</v>
      </c>
      <c r="H6724" s="412">
        <v>1.01</v>
      </c>
      <c r="I6724" s="412">
        <v>0</v>
      </c>
      <c r="J6724" s="411">
        <v>0.46</v>
      </c>
      <c r="K6724" s="411">
        <v>0.46460000000000001</v>
      </c>
    </row>
    <row r="6725" spans="1:11" ht="25.5" customHeight="1" x14ac:dyDescent="0.3">
      <c r="A6725" s="400" t="s">
        <v>1038</v>
      </c>
      <c r="B6725" s="401" t="s">
        <v>1303</v>
      </c>
      <c r="C6725" s="400" t="s">
        <v>395</v>
      </c>
      <c r="D6725" s="400" t="s">
        <v>239</v>
      </c>
      <c r="E6725" s="605" t="s">
        <v>1039</v>
      </c>
      <c r="F6725" s="605"/>
      <c r="G6725" s="402" t="s">
        <v>713</v>
      </c>
      <c r="H6725" s="403">
        <v>1.27</v>
      </c>
      <c r="I6725" s="403">
        <v>0</v>
      </c>
      <c r="J6725" s="404">
        <v>105</v>
      </c>
      <c r="K6725" s="404">
        <v>133.35</v>
      </c>
    </row>
    <row r="6726" spans="1:11" ht="25.5" customHeight="1" x14ac:dyDescent="0.3">
      <c r="A6726" s="400" t="s">
        <v>1038</v>
      </c>
      <c r="B6726" s="401" t="s">
        <v>1304</v>
      </c>
      <c r="C6726" s="400" t="s">
        <v>395</v>
      </c>
      <c r="D6726" s="400" t="s">
        <v>251</v>
      </c>
      <c r="E6726" s="605" t="s">
        <v>1039</v>
      </c>
      <c r="F6726" s="605"/>
      <c r="G6726" s="402" t="s">
        <v>3</v>
      </c>
      <c r="H6726" s="403">
        <v>281.52999999999997</v>
      </c>
      <c r="I6726" s="403">
        <v>0</v>
      </c>
      <c r="J6726" s="404">
        <v>0.72</v>
      </c>
      <c r="K6726" s="404">
        <v>202.70160000000001</v>
      </c>
    </row>
    <row r="6727" spans="1:11" ht="25.5" customHeight="1" x14ac:dyDescent="0.3">
      <c r="A6727" s="400" t="s">
        <v>1038</v>
      </c>
      <c r="B6727" s="401" t="s">
        <v>9599</v>
      </c>
      <c r="C6727" s="400" t="s">
        <v>395</v>
      </c>
      <c r="D6727" s="400" t="s">
        <v>9600</v>
      </c>
      <c r="E6727" s="605" t="s">
        <v>1039</v>
      </c>
      <c r="F6727" s="605"/>
      <c r="G6727" s="402" t="s">
        <v>8</v>
      </c>
      <c r="H6727" s="403">
        <v>6.3E-2</v>
      </c>
      <c r="I6727" s="403">
        <v>0</v>
      </c>
      <c r="J6727" s="404">
        <v>7.49</v>
      </c>
      <c r="K6727" s="404">
        <v>0.47187000000000001</v>
      </c>
    </row>
    <row r="6728" spans="1:11" ht="25.5" customHeight="1" x14ac:dyDescent="0.3">
      <c r="A6728" s="405"/>
      <c r="B6728" s="405"/>
      <c r="C6728" s="405"/>
      <c r="D6728" s="405"/>
      <c r="E6728" s="405" t="s">
        <v>1046</v>
      </c>
      <c r="F6728" s="406">
        <v>108.99</v>
      </c>
      <c r="G6728" s="405" t="s">
        <v>1047</v>
      </c>
      <c r="H6728" s="406">
        <v>0</v>
      </c>
      <c r="I6728" s="405" t="s">
        <v>1048</v>
      </c>
      <c r="J6728" s="406">
        <v>108.99</v>
      </c>
      <c r="K6728"/>
    </row>
    <row r="6729" spans="1:11" ht="14.25" customHeight="1" thickBot="1" x14ac:dyDescent="0.35">
      <c r="A6729" s="405"/>
      <c r="B6729" s="405"/>
      <c r="C6729" s="405"/>
      <c r="D6729" s="405"/>
      <c r="E6729" s="405" t="s">
        <v>1049</v>
      </c>
      <c r="F6729" s="406">
        <v>0</v>
      </c>
      <c r="G6729" s="405"/>
      <c r="H6729" s="606"/>
      <c r="I6729" s="606" t="s">
        <v>1050</v>
      </c>
      <c r="J6729" s="406">
        <v>492.92</v>
      </c>
      <c r="K6729"/>
    </row>
    <row r="6730" spans="1:11" ht="60" customHeight="1" thickTop="1" x14ac:dyDescent="0.3">
      <c r="A6730" s="407"/>
      <c r="B6730" s="407"/>
      <c r="C6730" s="407"/>
      <c r="D6730" s="407"/>
      <c r="E6730" s="407"/>
      <c r="F6730" s="407"/>
      <c r="G6730" s="407"/>
      <c r="H6730" s="407"/>
      <c r="I6730" s="407"/>
      <c r="J6730" s="407"/>
      <c r="K6730"/>
    </row>
    <row r="6731" spans="1:11" ht="14.25" customHeight="1" x14ac:dyDescent="0.3">
      <c r="A6731" s="382"/>
      <c r="B6731" s="312" t="s">
        <v>413</v>
      </c>
      <c r="C6731" s="382" t="s">
        <v>414</v>
      </c>
      <c r="D6731" s="382" t="s">
        <v>415</v>
      </c>
      <c r="E6731" s="586" t="s">
        <v>1029</v>
      </c>
      <c r="F6731" s="586"/>
      <c r="G6731" s="383" t="s">
        <v>416</v>
      </c>
      <c r="H6731" s="312" t="s">
        <v>1030</v>
      </c>
      <c r="I6731" s="312" t="s">
        <v>3016</v>
      </c>
      <c r="J6731" s="312" t="s">
        <v>1031</v>
      </c>
      <c r="K6731" s="312" t="s">
        <v>1032</v>
      </c>
    </row>
    <row r="6732" spans="1:11" ht="60" customHeight="1" x14ac:dyDescent="0.3">
      <c r="A6732" s="313" t="s">
        <v>1033</v>
      </c>
      <c r="B6732" s="315" t="s">
        <v>2432</v>
      </c>
      <c r="C6732" s="313" t="s">
        <v>439</v>
      </c>
      <c r="D6732" s="313" t="s">
        <v>2433</v>
      </c>
      <c r="E6732" s="603" t="s">
        <v>781</v>
      </c>
      <c r="F6732" s="603"/>
      <c r="G6732" s="314" t="s">
        <v>713</v>
      </c>
      <c r="H6732" s="399">
        <v>1</v>
      </c>
      <c r="I6732" s="316"/>
      <c r="J6732" s="316">
        <v>641.48</v>
      </c>
      <c r="K6732" s="316">
        <v>641.48</v>
      </c>
    </row>
    <row r="6733" spans="1:11" ht="25.5" customHeight="1" x14ac:dyDescent="0.3">
      <c r="A6733" s="408" t="s">
        <v>1034</v>
      </c>
      <c r="B6733" s="409" t="s">
        <v>7972</v>
      </c>
      <c r="C6733" s="408" t="s">
        <v>439</v>
      </c>
      <c r="D6733" s="408" t="s">
        <v>7973</v>
      </c>
      <c r="E6733" s="604" t="s">
        <v>781</v>
      </c>
      <c r="F6733" s="604"/>
      <c r="G6733" s="410" t="s">
        <v>1109</v>
      </c>
      <c r="H6733" s="412">
        <v>4.7</v>
      </c>
      <c r="I6733" s="412">
        <v>0</v>
      </c>
      <c r="J6733" s="411">
        <v>32.159999999999997</v>
      </c>
      <c r="K6733" s="411">
        <v>151.15199999999999</v>
      </c>
    </row>
    <row r="6734" spans="1:11" ht="14.25" customHeight="1" x14ac:dyDescent="0.3">
      <c r="A6734" s="400" t="s">
        <v>1038</v>
      </c>
      <c r="B6734" s="401" t="s">
        <v>7750</v>
      </c>
      <c r="C6734" s="400" t="s">
        <v>439</v>
      </c>
      <c r="D6734" s="400" t="s">
        <v>5101</v>
      </c>
      <c r="E6734" s="605" t="s">
        <v>1317</v>
      </c>
      <c r="F6734" s="605"/>
      <c r="G6734" s="402" t="s">
        <v>6</v>
      </c>
      <c r="H6734" s="403">
        <v>1</v>
      </c>
      <c r="I6734" s="403">
        <v>0</v>
      </c>
      <c r="J6734" s="404">
        <v>2.5672000000000001</v>
      </c>
      <c r="K6734" s="404">
        <v>2.5672000000000001</v>
      </c>
    </row>
    <row r="6735" spans="1:11" ht="25.5" customHeight="1" x14ac:dyDescent="0.3">
      <c r="A6735" s="400" t="s">
        <v>1038</v>
      </c>
      <c r="B6735" s="401" t="s">
        <v>7552</v>
      </c>
      <c r="C6735" s="400" t="s">
        <v>439</v>
      </c>
      <c r="D6735" s="400" t="s">
        <v>4955</v>
      </c>
      <c r="E6735" s="605" t="s">
        <v>1039</v>
      </c>
      <c r="F6735" s="605"/>
      <c r="G6735" s="402" t="s">
        <v>713</v>
      </c>
      <c r="H6735" s="403">
        <v>1.216</v>
      </c>
      <c r="I6735" s="403">
        <v>0</v>
      </c>
      <c r="J6735" s="404">
        <v>185</v>
      </c>
      <c r="K6735" s="404">
        <v>224.96</v>
      </c>
    </row>
    <row r="6736" spans="1:11" ht="25.5" customHeight="1" x14ac:dyDescent="0.3">
      <c r="A6736" s="400" t="s">
        <v>1038</v>
      </c>
      <c r="B6736" s="401" t="s">
        <v>7537</v>
      </c>
      <c r="C6736" s="400" t="s">
        <v>439</v>
      </c>
      <c r="D6736" s="400" t="s">
        <v>4912</v>
      </c>
      <c r="E6736" s="605" t="s">
        <v>1039</v>
      </c>
      <c r="F6736" s="605"/>
      <c r="G6736" s="402" t="s">
        <v>1562</v>
      </c>
      <c r="H6736" s="403">
        <v>365</v>
      </c>
      <c r="I6736" s="403">
        <v>0</v>
      </c>
      <c r="J6736" s="404">
        <v>0.72</v>
      </c>
      <c r="K6736" s="404">
        <v>262.8</v>
      </c>
    </row>
    <row r="6737" spans="1:11" ht="25.5" customHeight="1" x14ac:dyDescent="0.3">
      <c r="A6737" s="405"/>
      <c r="B6737" s="405"/>
      <c r="C6737" s="405"/>
      <c r="D6737" s="405"/>
      <c r="E6737" s="405" t="s">
        <v>1046</v>
      </c>
      <c r="F6737" s="406">
        <v>123.36</v>
      </c>
      <c r="G6737" s="405" t="s">
        <v>1047</v>
      </c>
      <c r="H6737" s="406">
        <v>0.02</v>
      </c>
      <c r="I6737" s="405" t="s">
        <v>1048</v>
      </c>
      <c r="J6737" s="406">
        <v>123.38</v>
      </c>
      <c r="K6737"/>
    </row>
    <row r="6738" spans="1:11" ht="15.6" thickBot="1" x14ac:dyDescent="0.35">
      <c r="A6738" s="405"/>
      <c r="B6738" s="405"/>
      <c r="C6738" s="405"/>
      <c r="D6738" s="405"/>
      <c r="E6738" s="405" t="s">
        <v>1049</v>
      </c>
      <c r="F6738" s="406">
        <v>0</v>
      </c>
      <c r="G6738" s="405"/>
      <c r="H6738" s="606"/>
      <c r="I6738" s="606" t="s">
        <v>1050</v>
      </c>
      <c r="J6738" s="406">
        <v>641.48</v>
      </c>
      <c r="K6738"/>
    </row>
    <row r="6739" spans="1:11" ht="15.6" thickTop="1" x14ac:dyDescent="0.3">
      <c r="A6739" s="407"/>
      <c r="B6739" s="407"/>
      <c r="C6739" s="407"/>
      <c r="D6739" s="407"/>
      <c r="E6739" s="407"/>
      <c r="F6739" s="407"/>
      <c r="G6739" s="407"/>
      <c r="H6739" s="407"/>
      <c r="I6739" s="407"/>
      <c r="J6739" s="407"/>
      <c r="K6739"/>
    </row>
    <row r="6740" spans="1:11" ht="15" x14ac:dyDescent="0.3">
      <c r="A6740" s="382"/>
      <c r="B6740" s="312" t="s">
        <v>413</v>
      </c>
      <c r="C6740" s="382" t="s">
        <v>414</v>
      </c>
      <c r="D6740" s="382" t="s">
        <v>415</v>
      </c>
      <c r="E6740" s="586" t="s">
        <v>1029</v>
      </c>
      <c r="F6740" s="586"/>
      <c r="G6740" s="383" t="s">
        <v>416</v>
      </c>
      <c r="H6740" s="312" t="s">
        <v>1030</v>
      </c>
      <c r="I6740" s="312" t="s">
        <v>3016</v>
      </c>
      <c r="J6740" s="312" t="s">
        <v>1031</v>
      </c>
      <c r="K6740" s="312" t="s">
        <v>1032</v>
      </c>
    </row>
    <row r="6741" spans="1:11" ht="14.25" customHeight="1" x14ac:dyDescent="0.3">
      <c r="A6741" s="313" t="s">
        <v>1033</v>
      </c>
      <c r="B6741" s="315" t="s">
        <v>1301</v>
      </c>
      <c r="C6741" s="313" t="s">
        <v>395</v>
      </c>
      <c r="D6741" s="313" t="s">
        <v>126</v>
      </c>
      <c r="E6741" s="603" t="s">
        <v>7768</v>
      </c>
      <c r="F6741" s="603"/>
      <c r="G6741" s="314" t="s">
        <v>6</v>
      </c>
      <c r="H6741" s="399">
        <v>1</v>
      </c>
      <c r="I6741" s="316"/>
      <c r="J6741" s="316">
        <v>40.86</v>
      </c>
      <c r="K6741" s="316">
        <v>40.86</v>
      </c>
    </row>
    <row r="6742" spans="1:11" ht="14.25" customHeight="1" x14ac:dyDescent="0.3">
      <c r="A6742" s="408" t="s">
        <v>1034</v>
      </c>
      <c r="B6742" s="409" t="s">
        <v>7974</v>
      </c>
      <c r="C6742" s="408" t="s">
        <v>395</v>
      </c>
      <c r="D6742" s="408" t="s">
        <v>7975</v>
      </c>
      <c r="E6742" s="604" t="s">
        <v>7768</v>
      </c>
      <c r="F6742" s="604"/>
      <c r="G6742" s="410" t="s">
        <v>6</v>
      </c>
      <c r="H6742" s="412">
        <v>1</v>
      </c>
      <c r="I6742" s="412">
        <v>0</v>
      </c>
      <c r="J6742" s="411">
        <v>0.35</v>
      </c>
      <c r="K6742" s="411">
        <v>0.35</v>
      </c>
    </row>
    <row r="6743" spans="1:11" ht="14.25" customHeight="1" x14ac:dyDescent="0.3">
      <c r="A6743" s="400" t="s">
        <v>1038</v>
      </c>
      <c r="B6743" s="401" t="s">
        <v>1518</v>
      </c>
      <c r="C6743" s="400" t="s">
        <v>395</v>
      </c>
      <c r="D6743" s="400" t="s">
        <v>401</v>
      </c>
      <c r="E6743" s="605" t="s">
        <v>1053</v>
      </c>
      <c r="F6743" s="605"/>
      <c r="G6743" s="402" t="s">
        <v>6</v>
      </c>
      <c r="H6743" s="403">
        <v>1</v>
      </c>
      <c r="I6743" s="403">
        <v>0</v>
      </c>
      <c r="J6743" s="404">
        <v>30.3</v>
      </c>
      <c r="K6743" s="404">
        <v>30.3</v>
      </c>
    </row>
    <row r="6744" spans="1:11" ht="60" customHeight="1" x14ac:dyDescent="0.3">
      <c r="A6744" s="400" t="s">
        <v>1038</v>
      </c>
      <c r="B6744" s="401" t="s">
        <v>4028</v>
      </c>
      <c r="C6744" s="400" t="s">
        <v>395</v>
      </c>
      <c r="D6744" s="400" t="s">
        <v>4029</v>
      </c>
      <c r="E6744" s="605" t="s">
        <v>4030</v>
      </c>
      <c r="F6744" s="605"/>
      <c r="G6744" s="402" t="s">
        <v>6</v>
      </c>
      <c r="H6744" s="403">
        <v>1</v>
      </c>
      <c r="I6744" s="403">
        <v>0</v>
      </c>
      <c r="J6744" s="404">
        <v>4.78</v>
      </c>
      <c r="K6744" s="404">
        <v>4.78</v>
      </c>
    </row>
    <row r="6745" spans="1:11" ht="12.75" customHeight="1" x14ac:dyDescent="0.3">
      <c r="A6745" s="400" t="s">
        <v>1038</v>
      </c>
      <c r="B6745" s="401" t="s">
        <v>4066</v>
      </c>
      <c r="C6745" s="400" t="s">
        <v>395</v>
      </c>
      <c r="D6745" s="400" t="s">
        <v>4067</v>
      </c>
      <c r="E6745" s="605" t="s">
        <v>2381</v>
      </c>
      <c r="F6745" s="605"/>
      <c r="G6745" s="402" t="s">
        <v>6</v>
      </c>
      <c r="H6745" s="403">
        <v>1</v>
      </c>
      <c r="I6745" s="403">
        <v>0</v>
      </c>
      <c r="J6745" s="404">
        <v>1.72</v>
      </c>
      <c r="K6745" s="404">
        <v>1.72</v>
      </c>
    </row>
    <row r="6746" spans="1:11" ht="25.5" customHeight="1" x14ac:dyDescent="0.3">
      <c r="A6746" s="400" t="s">
        <v>1038</v>
      </c>
      <c r="B6746" s="401" t="s">
        <v>4078</v>
      </c>
      <c r="C6746" s="400" t="s">
        <v>395</v>
      </c>
      <c r="D6746" s="400" t="s">
        <v>4079</v>
      </c>
      <c r="E6746" s="605" t="s">
        <v>4030</v>
      </c>
      <c r="F6746" s="605"/>
      <c r="G6746" s="402" t="s">
        <v>6</v>
      </c>
      <c r="H6746" s="403">
        <v>1</v>
      </c>
      <c r="I6746" s="403">
        <v>0</v>
      </c>
      <c r="J6746" s="404">
        <v>1.25</v>
      </c>
      <c r="K6746" s="404">
        <v>1.25</v>
      </c>
    </row>
    <row r="6747" spans="1:11" ht="25.5" customHeight="1" x14ac:dyDescent="0.3">
      <c r="A6747" s="400" t="s">
        <v>1038</v>
      </c>
      <c r="B6747" s="401" t="s">
        <v>4274</v>
      </c>
      <c r="C6747" s="400" t="s">
        <v>395</v>
      </c>
      <c r="D6747" s="400" t="s">
        <v>4275</v>
      </c>
      <c r="E6747" s="605" t="s">
        <v>2386</v>
      </c>
      <c r="F6747" s="605"/>
      <c r="G6747" s="402" t="s">
        <v>6</v>
      </c>
      <c r="H6747" s="403">
        <v>1</v>
      </c>
      <c r="I6747" s="403">
        <v>0</v>
      </c>
      <c r="J6747" s="404">
        <v>0.11</v>
      </c>
      <c r="K6747" s="404">
        <v>0.11</v>
      </c>
    </row>
    <row r="6748" spans="1:11" ht="25.5" customHeight="1" x14ac:dyDescent="0.3">
      <c r="A6748" s="400" t="s">
        <v>1038</v>
      </c>
      <c r="B6748" s="401" t="s">
        <v>4268</v>
      </c>
      <c r="C6748" s="400" t="s">
        <v>395</v>
      </c>
      <c r="D6748" s="400" t="s">
        <v>4269</v>
      </c>
      <c r="E6748" s="605" t="s">
        <v>1317</v>
      </c>
      <c r="F6748" s="605"/>
      <c r="G6748" s="402" t="s">
        <v>6</v>
      </c>
      <c r="H6748" s="403">
        <v>1</v>
      </c>
      <c r="I6748" s="403">
        <v>0</v>
      </c>
      <c r="J6748" s="404">
        <v>0.64</v>
      </c>
      <c r="K6748" s="404">
        <v>0.64</v>
      </c>
    </row>
    <row r="6749" spans="1:11" ht="25.5" customHeight="1" x14ac:dyDescent="0.3">
      <c r="A6749" s="400" t="s">
        <v>1038</v>
      </c>
      <c r="B6749" s="401" t="s">
        <v>4218</v>
      </c>
      <c r="C6749" s="400" t="s">
        <v>395</v>
      </c>
      <c r="D6749" s="400" t="s">
        <v>4219</v>
      </c>
      <c r="E6749" s="605" t="s">
        <v>1317</v>
      </c>
      <c r="F6749" s="605"/>
      <c r="G6749" s="402" t="s">
        <v>6</v>
      </c>
      <c r="H6749" s="403">
        <v>1</v>
      </c>
      <c r="I6749" s="403">
        <v>0</v>
      </c>
      <c r="J6749" s="404">
        <v>1.71</v>
      </c>
      <c r="K6749" s="404">
        <v>1.71</v>
      </c>
    </row>
    <row r="6750" spans="1:11" ht="25.5" customHeight="1" x14ac:dyDescent="0.3">
      <c r="A6750" s="405"/>
      <c r="B6750" s="405"/>
      <c r="C6750" s="405"/>
      <c r="D6750" s="405"/>
      <c r="E6750" s="405" t="s">
        <v>1046</v>
      </c>
      <c r="F6750" s="406">
        <v>30.65</v>
      </c>
      <c r="G6750" s="405" t="s">
        <v>1047</v>
      </c>
      <c r="H6750" s="406">
        <v>0</v>
      </c>
      <c r="I6750" s="405" t="s">
        <v>1048</v>
      </c>
      <c r="J6750" s="406">
        <v>30.65</v>
      </c>
      <c r="K6750"/>
    </row>
    <row r="6751" spans="1:11" ht="25.5" customHeight="1" thickBot="1" x14ac:dyDescent="0.35">
      <c r="A6751" s="405"/>
      <c r="B6751" s="405"/>
      <c r="C6751" s="405"/>
      <c r="D6751" s="405"/>
      <c r="E6751" s="405" t="s">
        <v>1049</v>
      </c>
      <c r="F6751" s="406">
        <v>0</v>
      </c>
      <c r="G6751" s="405"/>
      <c r="H6751" s="606"/>
      <c r="I6751" s="606" t="s">
        <v>1050</v>
      </c>
      <c r="J6751" s="406">
        <v>40.86</v>
      </c>
      <c r="K6751"/>
    </row>
    <row r="6752" spans="1:11" ht="25.5" customHeight="1" thickTop="1" x14ac:dyDescent="0.3">
      <c r="A6752" s="407"/>
      <c r="B6752" s="407"/>
      <c r="C6752" s="407"/>
      <c r="D6752" s="407"/>
      <c r="E6752" s="407"/>
      <c r="F6752" s="407"/>
      <c r="G6752" s="407"/>
      <c r="H6752" s="407"/>
      <c r="I6752" s="407"/>
      <c r="J6752" s="407"/>
      <c r="K6752"/>
    </row>
    <row r="6753" spans="1:11" ht="25.5" customHeight="1" x14ac:dyDescent="0.3">
      <c r="A6753" s="382"/>
      <c r="B6753" s="312" t="s">
        <v>413</v>
      </c>
      <c r="C6753" s="382" t="s">
        <v>414</v>
      </c>
      <c r="D6753" s="382" t="s">
        <v>415</v>
      </c>
      <c r="E6753" s="586" t="s">
        <v>1029</v>
      </c>
      <c r="F6753" s="586"/>
      <c r="G6753" s="383" t="s">
        <v>416</v>
      </c>
      <c r="H6753" s="312" t="s">
        <v>1030</v>
      </c>
      <c r="I6753" s="312" t="s">
        <v>3016</v>
      </c>
      <c r="J6753" s="312" t="s">
        <v>1031</v>
      </c>
      <c r="K6753" s="312" t="s">
        <v>1032</v>
      </c>
    </row>
    <row r="6754" spans="1:11" ht="25.5" customHeight="1" x14ac:dyDescent="0.3">
      <c r="A6754" s="313" t="s">
        <v>1033</v>
      </c>
      <c r="B6754" s="315" t="s">
        <v>7976</v>
      </c>
      <c r="C6754" s="313" t="s">
        <v>395</v>
      </c>
      <c r="D6754" s="313" t="s">
        <v>7977</v>
      </c>
      <c r="E6754" s="603" t="s">
        <v>7820</v>
      </c>
      <c r="F6754" s="603"/>
      <c r="G6754" s="314" t="s">
        <v>3</v>
      </c>
      <c r="H6754" s="399">
        <v>1</v>
      </c>
      <c r="I6754" s="316"/>
      <c r="J6754" s="316">
        <v>18.78</v>
      </c>
      <c r="K6754" s="316">
        <v>18.78</v>
      </c>
    </row>
    <row r="6755" spans="1:11" ht="12.75" customHeight="1" x14ac:dyDescent="0.3">
      <c r="A6755" s="581"/>
      <c r="B6755" s="581"/>
      <c r="C6755" s="581"/>
      <c r="D6755" s="581"/>
      <c r="E6755" s="581"/>
      <c r="F6755" s="581" t="s">
        <v>7961</v>
      </c>
      <c r="G6755" s="581"/>
      <c r="H6755" s="581"/>
      <c r="I6755" s="581"/>
      <c r="J6755" s="413">
        <v>0</v>
      </c>
      <c r="K6755"/>
    </row>
    <row r="6756" spans="1:11" ht="14.25" customHeight="1" x14ac:dyDescent="0.3">
      <c r="A6756" s="581"/>
      <c r="B6756" s="581"/>
      <c r="C6756" s="581"/>
      <c r="D6756" s="581"/>
      <c r="E6756" s="581"/>
      <c r="F6756" s="581" t="s">
        <v>7962</v>
      </c>
      <c r="G6756" s="581"/>
      <c r="H6756" s="581"/>
      <c r="I6756" s="581"/>
      <c r="J6756" s="413">
        <v>0</v>
      </c>
      <c r="K6756"/>
    </row>
    <row r="6757" spans="1:11" ht="14.25" customHeight="1" x14ac:dyDescent="0.3">
      <c r="A6757" s="581"/>
      <c r="B6757" s="581"/>
      <c r="C6757" s="581"/>
      <c r="D6757" s="581"/>
      <c r="E6757" s="581"/>
      <c r="F6757" s="581" t="s">
        <v>7963</v>
      </c>
      <c r="G6757" s="581"/>
      <c r="H6757" s="581"/>
      <c r="I6757" s="581"/>
      <c r="J6757" s="413">
        <v>0</v>
      </c>
      <c r="K6757"/>
    </row>
    <row r="6758" spans="1:11" ht="25.5" customHeight="1" x14ac:dyDescent="0.3">
      <c r="A6758" s="581"/>
      <c r="B6758" s="581"/>
      <c r="C6758" s="581"/>
      <c r="D6758" s="581"/>
      <c r="E6758" s="581"/>
      <c r="F6758" s="581" t="s">
        <v>7964</v>
      </c>
      <c r="G6758" s="581"/>
      <c r="H6758" s="581"/>
      <c r="I6758" s="581"/>
      <c r="J6758" s="413">
        <v>0</v>
      </c>
      <c r="K6758"/>
    </row>
    <row r="6759" spans="1:11" ht="25.5" customHeight="1" x14ac:dyDescent="0.3">
      <c r="A6759" s="581"/>
      <c r="B6759" s="581"/>
      <c r="C6759" s="581"/>
      <c r="D6759" s="581"/>
      <c r="E6759" s="581"/>
      <c r="F6759" s="581" t="s">
        <v>7965</v>
      </c>
      <c r="G6759" s="581"/>
      <c r="H6759" s="581"/>
      <c r="I6759" s="581"/>
      <c r="J6759" s="413">
        <v>0</v>
      </c>
      <c r="K6759"/>
    </row>
    <row r="6760" spans="1:11" ht="12.75" customHeight="1" x14ac:dyDescent="0.3">
      <c r="A6760" s="382" t="s">
        <v>7966</v>
      </c>
      <c r="B6760" s="312" t="s">
        <v>414</v>
      </c>
      <c r="C6760" s="382" t="s">
        <v>413</v>
      </c>
      <c r="D6760" s="382" t="s">
        <v>1039</v>
      </c>
      <c r="E6760" s="312" t="s">
        <v>1552</v>
      </c>
      <c r="F6760" s="312" t="s">
        <v>7907</v>
      </c>
      <c r="G6760" s="584" t="s">
        <v>7967</v>
      </c>
      <c r="H6760" s="584"/>
      <c r="I6760" s="584"/>
      <c r="J6760" s="312" t="s">
        <v>7905</v>
      </c>
      <c r="K6760"/>
    </row>
    <row r="6761" spans="1:11" ht="25.5" customHeight="1" x14ac:dyDescent="0.3">
      <c r="A6761" s="400" t="s">
        <v>1038</v>
      </c>
      <c r="B6761" s="401" t="s">
        <v>395</v>
      </c>
      <c r="C6761" s="400">
        <v>39017</v>
      </c>
      <c r="D6761" s="400" t="s">
        <v>4916</v>
      </c>
      <c r="E6761" s="403">
        <v>2.8159999999999998</v>
      </c>
      <c r="F6761" s="402" t="s">
        <v>4</v>
      </c>
      <c r="G6761" s="607">
        <v>0.22</v>
      </c>
      <c r="H6761" s="607"/>
      <c r="I6761" s="605"/>
      <c r="J6761" s="414">
        <v>0.61950000000000005</v>
      </c>
      <c r="K6761"/>
    </row>
    <row r="6762" spans="1:11" ht="25.5" customHeight="1" x14ac:dyDescent="0.3">
      <c r="A6762" s="400" t="s">
        <v>1038</v>
      </c>
      <c r="B6762" s="401" t="s">
        <v>395</v>
      </c>
      <c r="C6762" s="400">
        <v>43132</v>
      </c>
      <c r="D6762" s="400" t="s">
        <v>237</v>
      </c>
      <c r="E6762" s="403">
        <v>2.5000000000000001E-2</v>
      </c>
      <c r="F6762" s="402" t="s">
        <v>3</v>
      </c>
      <c r="G6762" s="607">
        <v>22.25</v>
      </c>
      <c r="H6762" s="607"/>
      <c r="I6762" s="605"/>
      <c r="J6762" s="414">
        <v>0.55630000000000002</v>
      </c>
      <c r="K6762"/>
    </row>
    <row r="6763" spans="1:11" ht="25.5" customHeight="1" x14ac:dyDescent="0.3">
      <c r="A6763" s="581"/>
      <c r="B6763" s="581"/>
      <c r="C6763" s="581"/>
      <c r="D6763" s="581"/>
      <c r="E6763" s="581"/>
      <c r="F6763" s="581" t="s">
        <v>7968</v>
      </c>
      <c r="G6763" s="581"/>
      <c r="H6763" s="581"/>
      <c r="I6763" s="581"/>
      <c r="J6763" s="413">
        <v>1.1758</v>
      </c>
      <c r="K6763"/>
    </row>
    <row r="6764" spans="1:11" ht="25.5" customHeight="1" x14ac:dyDescent="0.3">
      <c r="A6764" s="382" t="s">
        <v>7969</v>
      </c>
      <c r="B6764" s="312" t="s">
        <v>414</v>
      </c>
      <c r="C6764" s="382" t="s">
        <v>413</v>
      </c>
      <c r="D6764" s="382" t="s">
        <v>7970</v>
      </c>
      <c r="E6764" s="312" t="s">
        <v>1552</v>
      </c>
      <c r="F6764" s="312" t="s">
        <v>7907</v>
      </c>
      <c r="G6764" s="584" t="s">
        <v>7967</v>
      </c>
      <c r="H6764" s="584"/>
      <c r="I6764" s="584"/>
      <c r="J6764" s="312" t="s">
        <v>7905</v>
      </c>
      <c r="K6764"/>
    </row>
    <row r="6765" spans="1:11" ht="25.5" customHeight="1" x14ac:dyDescent="0.3">
      <c r="A6765" s="408" t="s">
        <v>7922</v>
      </c>
      <c r="B6765" s="409" t="s">
        <v>395</v>
      </c>
      <c r="C6765" s="408">
        <v>88238</v>
      </c>
      <c r="D6765" s="408" t="s">
        <v>123</v>
      </c>
      <c r="E6765" s="412">
        <v>1.72E-2</v>
      </c>
      <c r="F6765" s="410" t="s">
        <v>6</v>
      </c>
      <c r="G6765" s="608">
        <v>33.79</v>
      </c>
      <c r="H6765" s="608"/>
      <c r="I6765" s="604"/>
      <c r="J6765" s="415">
        <v>0.58120000000000005</v>
      </c>
      <c r="K6765"/>
    </row>
    <row r="6766" spans="1:11" ht="25.5" customHeight="1" x14ac:dyDescent="0.3">
      <c r="A6766" s="408" t="s">
        <v>7922</v>
      </c>
      <c r="B6766" s="409" t="s">
        <v>395</v>
      </c>
      <c r="C6766" s="408">
        <v>88245</v>
      </c>
      <c r="D6766" s="408" t="s">
        <v>126</v>
      </c>
      <c r="E6766" s="412">
        <v>0.1055</v>
      </c>
      <c r="F6766" s="410" t="s">
        <v>6</v>
      </c>
      <c r="G6766" s="608">
        <v>40.86</v>
      </c>
      <c r="H6766" s="608"/>
      <c r="I6766" s="604"/>
      <c r="J6766" s="415">
        <v>4.3106999999999998</v>
      </c>
      <c r="K6766"/>
    </row>
    <row r="6767" spans="1:11" ht="12.75" customHeight="1" x14ac:dyDescent="0.3">
      <c r="A6767" s="408" t="s">
        <v>7922</v>
      </c>
      <c r="B6767" s="409" t="s">
        <v>395</v>
      </c>
      <c r="C6767" s="408">
        <v>92799</v>
      </c>
      <c r="D6767" s="408" t="s">
        <v>7978</v>
      </c>
      <c r="E6767" s="412">
        <v>1</v>
      </c>
      <c r="F6767" s="410" t="s">
        <v>3</v>
      </c>
      <c r="G6767" s="608">
        <v>12.71</v>
      </c>
      <c r="H6767" s="608"/>
      <c r="I6767" s="604"/>
      <c r="J6767" s="415">
        <v>12.71</v>
      </c>
      <c r="K6767"/>
    </row>
    <row r="6768" spans="1:11" ht="38.25" customHeight="1" x14ac:dyDescent="0.3">
      <c r="A6768" s="581"/>
      <c r="B6768" s="581"/>
      <c r="C6768" s="581"/>
      <c r="D6768" s="581"/>
      <c r="E6768" s="581"/>
      <c r="F6768" s="581" t="s">
        <v>7971</v>
      </c>
      <c r="G6768" s="581"/>
      <c r="H6768" s="581"/>
      <c r="I6768" s="581"/>
      <c r="J6768" s="413">
        <v>17.601900000000001</v>
      </c>
      <c r="K6768"/>
    </row>
    <row r="6769" spans="1:11" ht="14.25" customHeight="1" x14ac:dyDescent="0.3">
      <c r="A6769" s="405"/>
      <c r="B6769" s="405"/>
      <c r="C6769" s="405"/>
      <c r="D6769" s="405"/>
      <c r="E6769" s="405" t="s">
        <v>1046</v>
      </c>
      <c r="F6769" s="406">
        <v>6.8591509999999998</v>
      </c>
      <c r="G6769" s="405" t="s">
        <v>1047</v>
      </c>
      <c r="H6769" s="406">
        <v>0</v>
      </c>
      <c r="I6769" s="405" t="s">
        <v>1048</v>
      </c>
      <c r="J6769" s="406">
        <v>6.85</v>
      </c>
      <c r="K6769"/>
    </row>
    <row r="6770" spans="1:11" ht="25.5" customHeight="1" thickBot="1" x14ac:dyDescent="0.35">
      <c r="A6770" s="405"/>
      <c r="B6770" s="405"/>
      <c r="C6770" s="405"/>
      <c r="D6770" s="405"/>
      <c r="E6770" s="405" t="s">
        <v>1049</v>
      </c>
      <c r="F6770" s="406">
        <v>0</v>
      </c>
      <c r="G6770" s="405"/>
      <c r="H6770" s="606"/>
      <c r="I6770" s="606" t="s">
        <v>1050</v>
      </c>
      <c r="J6770" s="406">
        <v>18.78</v>
      </c>
      <c r="K6770"/>
    </row>
    <row r="6771" spans="1:11" ht="45" customHeight="1" thickTop="1" x14ac:dyDescent="0.3">
      <c r="A6771" s="407"/>
      <c r="B6771" s="407"/>
      <c r="C6771" s="407"/>
      <c r="D6771" s="407"/>
      <c r="E6771" s="407"/>
      <c r="F6771" s="407"/>
      <c r="G6771" s="407"/>
      <c r="H6771" s="407"/>
      <c r="I6771" s="407"/>
      <c r="J6771" s="407"/>
      <c r="K6771"/>
    </row>
    <row r="6772" spans="1:11" ht="45" customHeight="1" x14ac:dyDescent="0.3">
      <c r="A6772" s="382"/>
      <c r="B6772" s="312" t="s">
        <v>413</v>
      </c>
      <c r="C6772" s="382" t="s">
        <v>414</v>
      </c>
      <c r="D6772" s="382" t="s">
        <v>415</v>
      </c>
      <c r="E6772" s="586" t="s">
        <v>1029</v>
      </c>
      <c r="F6772" s="586"/>
      <c r="G6772" s="383" t="s">
        <v>416</v>
      </c>
      <c r="H6772" s="312" t="s">
        <v>1030</v>
      </c>
      <c r="I6772" s="312" t="s">
        <v>3016</v>
      </c>
      <c r="J6772" s="312" t="s">
        <v>1031</v>
      </c>
      <c r="K6772" s="312" t="s">
        <v>1032</v>
      </c>
    </row>
    <row r="6773" spans="1:11" ht="25.5" customHeight="1" x14ac:dyDescent="0.3">
      <c r="A6773" s="313" t="s">
        <v>1033</v>
      </c>
      <c r="B6773" s="315" t="s">
        <v>2481</v>
      </c>
      <c r="C6773" s="313" t="s">
        <v>395</v>
      </c>
      <c r="D6773" s="313" t="s">
        <v>127</v>
      </c>
      <c r="E6773" s="603" t="s">
        <v>7768</v>
      </c>
      <c r="F6773" s="603"/>
      <c r="G6773" s="314" t="s">
        <v>6</v>
      </c>
      <c r="H6773" s="399">
        <v>1</v>
      </c>
      <c r="I6773" s="316"/>
      <c r="J6773" s="316">
        <v>37.06</v>
      </c>
      <c r="K6773" s="316">
        <v>37.06</v>
      </c>
    </row>
    <row r="6774" spans="1:11" ht="25.5" customHeight="1" x14ac:dyDescent="0.3">
      <c r="A6774" s="408" t="s">
        <v>1034</v>
      </c>
      <c r="B6774" s="409" t="s">
        <v>7979</v>
      </c>
      <c r="C6774" s="408" t="s">
        <v>395</v>
      </c>
      <c r="D6774" s="408" t="s">
        <v>7980</v>
      </c>
      <c r="E6774" s="604" t="s">
        <v>7768</v>
      </c>
      <c r="F6774" s="604"/>
      <c r="G6774" s="410" t="s">
        <v>6</v>
      </c>
      <c r="H6774" s="412">
        <v>1</v>
      </c>
      <c r="I6774" s="412">
        <v>0</v>
      </c>
      <c r="J6774" s="411">
        <v>0.41</v>
      </c>
      <c r="K6774" s="411">
        <v>0.41</v>
      </c>
    </row>
    <row r="6775" spans="1:11" ht="25.5" customHeight="1" x14ac:dyDescent="0.3">
      <c r="A6775" s="400" t="s">
        <v>1038</v>
      </c>
      <c r="B6775" s="401" t="s">
        <v>4028</v>
      </c>
      <c r="C6775" s="400" t="s">
        <v>395</v>
      </c>
      <c r="D6775" s="400" t="s">
        <v>4029</v>
      </c>
      <c r="E6775" s="605" t="s">
        <v>4030</v>
      </c>
      <c r="F6775" s="605"/>
      <c r="G6775" s="402" t="s">
        <v>6</v>
      </c>
      <c r="H6775" s="403">
        <v>1</v>
      </c>
      <c r="I6775" s="403">
        <v>0</v>
      </c>
      <c r="J6775" s="404">
        <v>4.78</v>
      </c>
      <c r="K6775" s="404">
        <v>4.78</v>
      </c>
    </row>
    <row r="6776" spans="1:11" ht="25.5" customHeight="1" x14ac:dyDescent="0.3">
      <c r="A6776" s="400" t="s">
        <v>1038</v>
      </c>
      <c r="B6776" s="401" t="s">
        <v>4066</v>
      </c>
      <c r="C6776" s="400" t="s">
        <v>395</v>
      </c>
      <c r="D6776" s="400" t="s">
        <v>4067</v>
      </c>
      <c r="E6776" s="605" t="s">
        <v>2381</v>
      </c>
      <c r="F6776" s="605"/>
      <c r="G6776" s="402" t="s">
        <v>6</v>
      </c>
      <c r="H6776" s="403">
        <v>1</v>
      </c>
      <c r="I6776" s="403">
        <v>0</v>
      </c>
      <c r="J6776" s="404">
        <v>1.72</v>
      </c>
      <c r="K6776" s="404">
        <v>1.72</v>
      </c>
    </row>
    <row r="6777" spans="1:11" ht="25.5" customHeight="1" x14ac:dyDescent="0.3">
      <c r="A6777" s="400" t="s">
        <v>1038</v>
      </c>
      <c r="B6777" s="401" t="s">
        <v>4078</v>
      </c>
      <c r="C6777" s="400" t="s">
        <v>395</v>
      </c>
      <c r="D6777" s="400" t="s">
        <v>4079</v>
      </c>
      <c r="E6777" s="605" t="s">
        <v>4030</v>
      </c>
      <c r="F6777" s="605"/>
      <c r="G6777" s="402" t="s">
        <v>6</v>
      </c>
      <c r="H6777" s="403">
        <v>1</v>
      </c>
      <c r="I6777" s="403">
        <v>0</v>
      </c>
      <c r="J6777" s="404">
        <v>1.25</v>
      </c>
      <c r="K6777" s="404">
        <v>1.25</v>
      </c>
    </row>
    <row r="6778" spans="1:11" ht="12.75" customHeight="1" x14ac:dyDescent="0.3">
      <c r="A6778" s="400" t="s">
        <v>1038</v>
      </c>
      <c r="B6778" s="401" t="s">
        <v>4274</v>
      </c>
      <c r="C6778" s="400" t="s">
        <v>395</v>
      </c>
      <c r="D6778" s="400" t="s">
        <v>4275</v>
      </c>
      <c r="E6778" s="605" t="s">
        <v>2386</v>
      </c>
      <c r="F6778" s="605"/>
      <c r="G6778" s="402" t="s">
        <v>6</v>
      </c>
      <c r="H6778" s="403">
        <v>1</v>
      </c>
      <c r="I6778" s="403">
        <v>0</v>
      </c>
      <c r="J6778" s="404">
        <v>0.11</v>
      </c>
      <c r="K6778" s="404">
        <v>0.11</v>
      </c>
    </row>
    <row r="6779" spans="1:11" ht="12.75" customHeight="1" x14ac:dyDescent="0.3">
      <c r="A6779" s="400" t="s">
        <v>1038</v>
      </c>
      <c r="B6779" s="401" t="s">
        <v>4634</v>
      </c>
      <c r="C6779" s="400" t="s">
        <v>395</v>
      </c>
      <c r="D6779" s="400" t="s">
        <v>4635</v>
      </c>
      <c r="E6779" s="605" t="s">
        <v>1053</v>
      </c>
      <c r="F6779" s="605"/>
      <c r="G6779" s="402" t="s">
        <v>6</v>
      </c>
      <c r="H6779" s="403">
        <v>1</v>
      </c>
      <c r="I6779" s="403">
        <v>0</v>
      </c>
      <c r="J6779" s="404">
        <v>27.7</v>
      </c>
      <c r="K6779" s="404">
        <v>27.7</v>
      </c>
    </row>
    <row r="6780" spans="1:11" ht="38.25" customHeight="1" x14ac:dyDescent="0.3">
      <c r="A6780" s="400" t="s">
        <v>1038</v>
      </c>
      <c r="B6780" s="401" t="s">
        <v>5001</v>
      </c>
      <c r="C6780" s="400" t="s">
        <v>395</v>
      </c>
      <c r="D6780" s="400" t="s">
        <v>5002</v>
      </c>
      <c r="E6780" s="605" t="s">
        <v>1317</v>
      </c>
      <c r="F6780" s="605"/>
      <c r="G6780" s="402" t="s">
        <v>6</v>
      </c>
      <c r="H6780" s="403">
        <v>1</v>
      </c>
      <c r="I6780" s="403">
        <v>0</v>
      </c>
      <c r="J6780" s="404">
        <v>0.02</v>
      </c>
      <c r="K6780" s="404">
        <v>0.02</v>
      </c>
    </row>
    <row r="6781" spans="1:11" ht="14.25" customHeight="1" x14ac:dyDescent="0.3">
      <c r="A6781" s="400" t="s">
        <v>1038</v>
      </c>
      <c r="B6781" s="401" t="s">
        <v>4508</v>
      </c>
      <c r="C6781" s="400" t="s">
        <v>395</v>
      </c>
      <c r="D6781" s="400" t="s">
        <v>4509</v>
      </c>
      <c r="E6781" s="605" t="s">
        <v>1317</v>
      </c>
      <c r="F6781" s="605"/>
      <c r="G6781" s="402" t="s">
        <v>6</v>
      </c>
      <c r="H6781" s="403">
        <v>1</v>
      </c>
      <c r="I6781" s="403">
        <v>0</v>
      </c>
      <c r="J6781" s="404">
        <v>1.07</v>
      </c>
      <c r="K6781" s="404">
        <v>1.07</v>
      </c>
    </row>
    <row r="6782" spans="1:11" ht="25.5" customHeight="1" x14ac:dyDescent="0.3">
      <c r="A6782" s="405"/>
      <c r="B6782" s="405"/>
      <c r="C6782" s="405"/>
      <c r="D6782" s="405"/>
      <c r="E6782" s="405" t="s">
        <v>1046</v>
      </c>
      <c r="F6782" s="406">
        <v>28.11</v>
      </c>
      <c r="G6782" s="405" t="s">
        <v>1047</v>
      </c>
      <c r="H6782" s="406">
        <v>0</v>
      </c>
      <c r="I6782" s="405" t="s">
        <v>1048</v>
      </c>
      <c r="J6782" s="406">
        <v>28.11</v>
      </c>
      <c r="K6782"/>
    </row>
    <row r="6783" spans="1:11" ht="45" customHeight="1" thickBot="1" x14ac:dyDescent="0.35">
      <c r="A6783" s="405"/>
      <c r="B6783" s="405"/>
      <c r="C6783" s="405"/>
      <c r="D6783" s="405"/>
      <c r="E6783" s="405" t="s">
        <v>1049</v>
      </c>
      <c r="F6783" s="406">
        <v>0</v>
      </c>
      <c r="G6783" s="405"/>
      <c r="H6783" s="606"/>
      <c r="I6783" s="606" t="s">
        <v>1050</v>
      </c>
      <c r="J6783" s="406">
        <v>37.06</v>
      </c>
      <c r="K6783"/>
    </row>
    <row r="6784" spans="1:11" ht="45" customHeight="1" thickTop="1" x14ac:dyDescent="0.3">
      <c r="A6784" s="407"/>
      <c r="B6784" s="407"/>
      <c r="C6784" s="407"/>
      <c r="D6784" s="407"/>
      <c r="E6784" s="407"/>
      <c r="F6784" s="407"/>
      <c r="G6784" s="407"/>
      <c r="H6784" s="407"/>
      <c r="I6784" s="407"/>
      <c r="J6784" s="407"/>
      <c r="K6784"/>
    </row>
    <row r="6785" spans="1:11" ht="25.5" customHeight="1" x14ac:dyDescent="0.3">
      <c r="A6785" s="382"/>
      <c r="B6785" s="312" t="s">
        <v>413</v>
      </c>
      <c r="C6785" s="382" t="s">
        <v>414</v>
      </c>
      <c r="D6785" s="382" t="s">
        <v>415</v>
      </c>
      <c r="E6785" s="586" t="s">
        <v>1029</v>
      </c>
      <c r="F6785" s="586"/>
      <c r="G6785" s="383" t="s">
        <v>416</v>
      </c>
      <c r="H6785" s="312" t="s">
        <v>1030</v>
      </c>
      <c r="I6785" s="312" t="s">
        <v>3016</v>
      </c>
      <c r="J6785" s="312" t="s">
        <v>1031</v>
      </c>
      <c r="K6785" s="312" t="s">
        <v>1032</v>
      </c>
    </row>
    <row r="6786" spans="1:11" ht="25.5" customHeight="1" x14ac:dyDescent="0.3">
      <c r="A6786" s="313" t="s">
        <v>1033</v>
      </c>
      <c r="B6786" s="315" t="s">
        <v>1035</v>
      </c>
      <c r="C6786" s="313" t="s">
        <v>395</v>
      </c>
      <c r="D6786" s="313" t="s">
        <v>128</v>
      </c>
      <c r="E6786" s="603" t="s">
        <v>7768</v>
      </c>
      <c r="F6786" s="603"/>
      <c r="G6786" s="314" t="s">
        <v>6</v>
      </c>
      <c r="H6786" s="399">
        <v>1</v>
      </c>
      <c r="I6786" s="316"/>
      <c r="J6786" s="316">
        <v>34.5</v>
      </c>
      <c r="K6786" s="316">
        <v>34.5</v>
      </c>
    </row>
    <row r="6787" spans="1:11" ht="25.5" customHeight="1" x14ac:dyDescent="0.3">
      <c r="A6787" s="408" t="s">
        <v>1034</v>
      </c>
      <c r="B6787" s="409" t="s">
        <v>7981</v>
      </c>
      <c r="C6787" s="408" t="s">
        <v>395</v>
      </c>
      <c r="D6787" s="408" t="s">
        <v>4925</v>
      </c>
      <c r="E6787" s="604" t="s">
        <v>7768</v>
      </c>
      <c r="F6787" s="604"/>
      <c r="G6787" s="410" t="s">
        <v>6</v>
      </c>
      <c r="H6787" s="412">
        <v>1</v>
      </c>
      <c r="I6787" s="412">
        <v>0</v>
      </c>
      <c r="J6787" s="411">
        <v>0.87</v>
      </c>
      <c r="K6787" s="411">
        <v>0.87</v>
      </c>
    </row>
    <row r="6788" spans="1:11" ht="17.399999999999999" customHeight="1" x14ac:dyDescent="0.3">
      <c r="A6788" s="400" t="s">
        <v>1038</v>
      </c>
      <c r="B6788" s="401" t="s">
        <v>4035</v>
      </c>
      <c r="C6788" s="400" t="s">
        <v>395</v>
      </c>
      <c r="D6788" s="400" t="s">
        <v>4036</v>
      </c>
      <c r="E6788" s="605" t="s">
        <v>1053</v>
      </c>
      <c r="F6788" s="605"/>
      <c r="G6788" s="402" t="s">
        <v>6</v>
      </c>
      <c r="H6788" s="403">
        <v>1</v>
      </c>
      <c r="I6788" s="403">
        <v>0</v>
      </c>
      <c r="J6788" s="404">
        <v>23.31</v>
      </c>
      <c r="K6788" s="404">
        <v>23.31</v>
      </c>
    </row>
    <row r="6789" spans="1:11" ht="15" x14ac:dyDescent="0.3">
      <c r="A6789" s="400" t="s">
        <v>1038</v>
      </c>
      <c r="B6789" s="401" t="s">
        <v>4028</v>
      </c>
      <c r="C6789" s="400" t="s">
        <v>395</v>
      </c>
      <c r="D6789" s="400" t="s">
        <v>4029</v>
      </c>
      <c r="E6789" s="605" t="s">
        <v>4030</v>
      </c>
      <c r="F6789" s="605"/>
      <c r="G6789" s="402" t="s">
        <v>6</v>
      </c>
      <c r="H6789" s="403">
        <v>1</v>
      </c>
      <c r="I6789" s="403">
        <v>0</v>
      </c>
      <c r="J6789" s="404">
        <v>4.78</v>
      </c>
      <c r="K6789" s="404">
        <v>4.78</v>
      </c>
    </row>
    <row r="6790" spans="1:11" ht="14.25" customHeight="1" x14ac:dyDescent="0.3">
      <c r="A6790" s="400" t="s">
        <v>1038</v>
      </c>
      <c r="B6790" s="401" t="s">
        <v>4066</v>
      </c>
      <c r="C6790" s="400" t="s">
        <v>395</v>
      </c>
      <c r="D6790" s="400" t="s">
        <v>4067</v>
      </c>
      <c r="E6790" s="605" t="s">
        <v>2381</v>
      </c>
      <c r="F6790" s="605"/>
      <c r="G6790" s="402" t="s">
        <v>6</v>
      </c>
      <c r="H6790" s="403">
        <v>1</v>
      </c>
      <c r="I6790" s="403">
        <v>0</v>
      </c>
      <c r="J6790" s="404">
        <v>1.72</v>
      </c>
      <c r="K6790" s="404">
        <v>1.72</v>
      </c>
    </row>
    <row r="6791" spans="1:11" ht="38.25" customHeight="1" x14ac:dyDescent="0.3">
      <c r="A6791" s="400" t="s">
        <v>1038</v>
      </c>
      <c r="B6791" s="401" t="s">
        <v>4078</v>
      </c>
      <c r="C6791" s="400" t="s">
        <v>395</v>
      </c>
      <c r="D6791" s="400" t="s">
        <v>4079</v>
      </c>
      <c r="E6791" s="605" t="s">
        <v>4030</v>
      </c>
      <c r="F6791" s="605"/>
      <c r="G6791" s="402" t="s">
        <v>6</v>
      </c>
      <c r="H6791" s="403">
        <v>1</v>
      </c>
      <c r="I6791" s="403">
        <v>0</v>
      </c>
      <c r="J6791" s="404">
        <v>1.25</v>
      </c>
      <c r="K6791" s="404">
        <v>1.25</v>
      </c>
    </row>
    <row r="6792" spans="1:11" ht="25.5" customHeight="1" x14ac:dyDescent="0.3">
      <c r="A6792" s="400" t="s">
        <v>1038</v>
      </c>
      <c r="B6792" s="401" t="s">
        <v>4274</v>
      </c>
      <c r="C6792" s="400" t="s">
        <v>395</v>
      </c>
      <c r="D6792" s="400" t="s">
        <v>4275</v>
      </c>
      <c r="E6792" s="605" t="s">
        <v>2386</v>
      </c>
      <c r="F6792" s="605"/>
      <c r="G6792" s="402" t="s">
        <v>6</v>
      </c>
      <c r="H6792" s="403">
        <v>1</v>
      </c>
      <c r="I6792" s="403">
        <v>0</v>
      </c>
      <c r="J6792" s="404">
        <v>0.11</v>
      </c>
      <c r="K6792" s="404">
        <v>0.11</v>
      </c>
    </row>
    <row r="6793" spans="1:11" ht="25.5" customHeight="1" x14ac:dyDescent="0.3">
      <c r="A6793" s="400" t="s">
        <v>1038</v>
      </c>
      <c r="B6793" s="401" t="s">
        <v>4148</v>
      </c>
      <c r="C6793" s="400" t="s">
        <v>395</v>
      </c>
      <c r="D6793" s="400" t="s">
        <v>4149</v>
      </c>
      <c r="E6793" s="605" t="s">
        <v>1317</v>
      </c>
      <c r="F6793" s="605"/>
      <c r="G6793" s="402" t="s">
        <v>6</v>
      </c>
      <c r="H6793" s="403">
        <v>1</v>
      </c>
      <c r="I6793" s="403">
        <v>0</v>
      </c>
      <c r="J6793" s="404">
        <v>0.86</v>
      </c>
      <c r="K6793" s="404">
        <v>0.86</v>
      </c>
    </row>
    <row r="6794" spans="1:11" ht="25.5" customHeight="1" x14ac:dyDescent="0.3">
      <c r="A6794" s="400" t="s">
        <v>1038</v>
      </c>
      <c r="B6794" s="401" t="s">
        <v>4116</v>
      </c>
      <c r="C6794" s="400" t="s">
        <v>395</v>
      </c>
      <c r="D6794" s="400" t="s">
        <v>4117</v>
      </c>
      <c r="E6794" s="605" t="s">
        <v>1317</v>
      </c>
      <c r="F6794" s="605"/>
      <c r="G6794" s="402" t="s">
        <v>6</v>
      </c>
      <c r="H6794" s="403">
        <v>1</v>
      </c>
      <c r="I6794" s="403">
        <v>0</v>
      </c>
      <c r="J6794" s="404">
        <v>1.6</v>
      </c>
      <c r="K6794" s="404">
        <v>1.6</v>
      </c>
    </row>
    <row r="6795" spans="1:11" ht="38.25" customHeight="1" x14ac:dyDescent="0.3">
      <c r="A6795" s="405"/>
      <c r="B6795" s="405"/>
      <c r="C6795" s="405"/>
      <c r="D6795" s="405"/>
      <c r="E6795" s="405" t="s">
        <v>1046</v>
      </c>
      <c r="F6795" s="406">
        <v>24.18</v>
      </c>
      <c r="G6795" s="405" t="s">
        <v>1047</v>
      </c>
      <c r="H6795" s="406">
        <v>0</v>
      </c>
      <c r="I6795" s="405" t="s">
        <v>1048</v>
      </c>
      <c r="J6795" s="406">
        <v>24.18</v>
      </c>
      <c r="K6795"/>
    </row>
    <row r="6796" spans="1:11" ht="38.25" customHeight="1" thickBot="1" x14ac:dyDescent="0.35">
      <c r="A6796" s="405"/>
      <c r="B6796" s="405"/>
      <c r="C6796" s="405"/>
      <c r="D6796" s="405"/>
      <c r="E6796" s="405" t="s">
        <v>1049</v>
      </c>
      <c r="F6796" s="406">
        <v>0</v>
      </c>
      <c r="G6796" s="405"/>
      <c r="H6796" s="606"/>
      <c r="I6796" s="606" t="s">
        <v>1050</v>
      </c>
      <c r="J6796" s="406">
        <v>34.5</v>
      </c>
      <c r="K6796"/>
    </row>
    <row r="6797" spans="1:11" ht="25.5" customHeight="1" thickTop="1" x14ac:dyDescent="0.3">
      <c r="A6797" s="407"/>
      <c r="B6797" s="407"/>
      <c r="C6797" s="407"/>
      <c r="D6797" s="407"/>
      <c r="E6797" s="407"/>
      <c r="F6797" s="407"/>
      <c r="G6797" s="407"/>
      <c r="H6797" s="407"/>
      <c r="I6797" s="407"/>
      <c r="J6797" s="407"/>
      <c r="K6797"/>
    </row>
    <row r="6798" spans="1:11" ht="25.5" customHeight="1" x14ac:dyDescent="0.3">
      <c r="A6798" s="382"/>
      <c r="B6798" s="312" t="s">
        <v>413</v>
      </c>
      <c r="C6798" s="382" t="s">
        <v>414</v>
      </c>
      <c r="D6798" s="382" t="s">
        <v>415</v>
      </c>
      <c r="E6798" s="586" t="s">
        <v>1029</v>
      </c>
      <c r="F6798" s="586"/>
      <c r="G6798" s="383" t="s">
        <v>416</v>
      </c>
      <c r="H6798" s="312" t="s">
        <v>1030</v>
      </c>
      <c r="I6798" s="312" t="s">
        <v>3016</v>
      </c>
      <c r="J6798" s="312" t="s">
        <v>1031</v>
      </c>
      <c r="K6798" s="312" t="s">
        <v>1032</v>
      </c>
    </row>
    <row r="6799" spans="1:11" ht="26.4" x14ac:dyDescent="0.3">
      <c r="A6799" s="313" t="s">
        <v>1033</v>
      </c>
      <c r="B6799" s="315" t="s">
        <v>1113</v>
      </c>
      <c r="C6799" s="313" t="s">
        <v>395</v>
      </c>
      <c r="D6799" s="313" t="s">
        <v>129</v>
      </c>
      <c r="E6799" s="603" t="s">
        <v>7768</v>
      </c>
      <c r="F6799" s="603"/>
      <c r="G6799" s="314" t="s">
        <v>6</v>
      </c>
      <c r="H6799" s="399">
        <v>1</v>
      </c>
      <c r="I6799" s="316"/>
      <c r="J6799" s="316">
        <v>33.450000000000003</v>
      </c>
      <c r="K6799" s="316">
        <v>33.450000000000003</v>
      </c>
    </row>
    <row r="6800" spans="1:11" ht="26.4" x14ac:dyDescent="0.3">
      <c r="A6800" s="408" t="s">
        <v>1034</v>
      </c>
      <c r="B6800" s="409" t="s">
        <v>7982</v>
      </c>
      <c r="C6800" s="408" t="s">
        <v>395</v>
      </c>
      <c r="D6800" s="408" t="s">
        <v>7983</v>
      </c>
      <c r="E6800" s="604" t="s">
        <v>7768</v>
      </c>
      <c r="F6800" s="604"/>
      <c r="G6800" s="410" t="s">
        <v>6</v>
      </c>
      <c r="H6800" s="412">
        <v>1</v>
      </c>
      <c r="I6800" s="412">
        <v>0</v>
      </c>
      <c r="J6800" s="411">
        <v>0.42</v>
      </c>
      <c r="K6800" s="411">
        <v>0.42</v>
      </c>
    </row>
    <row r="6801" spans="1:11" ht="14.25" customHeight="1" x14ac:dyDescent="0.3">
      <c r="A6801" s="400" t="s">
        <v>1038</v>
      </c>
      <c r="B6801" s="401" t="s">
        <v>4054</v>
      </c>
      <c r="C6801" s="400" t="s">
        <v>395</v>
      </c>
      <c r="D6801" s="400" t="s">
        <v>4055</v>
      </c>
      <c r="E6801" s="605" t="s">
        <v>1053</v>
      </c>
      <c r="F6801" s="605"/>
      <c r="G6801" s="402" t="s">
        <v>6</v>
      </c>
      <c r="H6801" s="403">
        <v>1</v>
      </c>
      <c r="I6801" s="403">
        <v>0</v>
      </c>
      <c r="J6801" s="404">
        <v>23.31</v>
      </c>
      <c r="K6801" s="404">
        <v>23.31</v>
      </c>
    </row>
    <row r="6802" spans="1:11" ht="38.25" customHeight="1" x14ac:dyDescent="0.3">
      <c r="A6802" s="400" t="s">
        <v>1038</v>
      </c>
      <c r="B6802" s="401" t="s">
        <v>4028</v>
      </c>
      <c r="C6802" s="400" t="s">
        <v>395</v>
      </c>
      <c r="D6802" s="400" t="s">
        <v>4029</v>
      </c>
      <c r="E6802" s="605" t="s">
        <v>4030</v>
      </c>
      <c r="F6802" s="605"/>
      <c r="G6802" s="402" t="s">
        <v>6</v>
      </c>
      <c r="H6802" s="403">
        <v>1</v>
      </c>
      <c r="I6802" s="403">
        <v>0</v>
      </c>
      <c r="J6802" s="404">
        <v>4.78</v>
      </c>
      <c r="K6802" s="404">
        <v>4.78</v>
      </c>
    </row>
    <row r="6803" spans="1:11" ht="25.5" customHeight="1" x14ac:dyDescent="0.3">
      <c r="A6803" s="400" t="s">
        <v>1038</v>
      </c>
      <c r="B6803" s="401" t="s">
        <v>4066</v>
      </c>
      <c r="C6803" s="400" t="s">
        <v>395</v>
      </c>
      <c r="D6803" s="400" t="s">
        <v>4067</v>
      </c>
      <c r="E6803" s="605" t="s">
        <v>2381</v>
      </c>
      <c r="F6803" s="605"/>
      <c r="G6803" s="402" t="s">
        <v>6</v>
      </c>
      <c r="H6803" s="403">
        <v>1</v>
      </c>
      <c r="I6803" s="403">
        <v>0</v>
      </c>
      <c r="J6803" s="404">
        <v>1.72</v>
      </c>
      <c r="K6803" s="404">
        <v>1.72</v>
      </c>
    </row>
    <row r="6804" spans="1:11" ht="25.5" customHeight="1" x14ac:dyDescent="0.3">
      <c r="A6804" s="400" t="s">
        <v>1038</v>
      </c>
      <c r="B6804" s="401" t="s">
        <v>4078</v>
      </c>
      <c r="C6804" s="400" t="s">
        <v>395</v>
      </c>
      <c r="D6804" s="400" t="s">
        <v>4079</v>
      </c>
      <c r="E6804" s="605" t="s">
        <v>4030</v>
      </c>
      <c r="F6804" s="605"/>
      <c r="G6804" s="402" t="s">
        <v>6</v>
      </c>
      <c r="H6804" s="403">
        <v>1</v>
      </c>
      <c r="I6804" s="403">
        <v>0</v>
      </c>
      <c r="J6804" s="404">
        <v>1.25</v>
      </c>
      <c r="K6804" s="404">
        <v>1.25</v>
      </c>
    </row>
    <row r="6805" spans="1:11" ht="38.25" customHeight="1" x14ac:dyDescent="0.3">
      <c r="A6805" s="400" t="s">
        <v>1038</v>
      </c>
      <c r="B6805" s="401" t="s">
        <v>4274</v>
      </c>
      <c r="C6805" s="400" t="s">
        <v>395</v>
      </c>
      <c r="D6805" s="400" t="s">
        <v>4275</v>
      </c>
      <c r="E6805" s="605" t="s">
        <v>2386</v>
      </c>
      <c r="F6805" s="605"/>
      <c r="G6805" s="402" t="s">
        <v>6</v>
      </c>
      <c r="H6805" s="403">
        <v>1</v>
      </c>
      <c r="I6805" s="403">
        <v>0</v>
      </c>
      <c r="J6805" s="404">
        <v>0.11</v>
      </c>
      <c r="K6805" s="404">
        <v>0.11</v>
      </c>
    </row>
    <row r="6806" spans="1:11" ht="14.25" customHeight="1" x14ac:dyDescent="0.3">
      <c r="A6806" s="400" t="s">
        <v>1038</v>
      </c>
      <c r="B6806" s="401" t="s">
        <v>4299</v>
      </c>
      <c r="C6806" s="400" t="s">
        <v>395</v>
      </c>
      <c r="D6806" s="400" t="s">
        <v>4300</v>
      </c>
      <c r="E6806" s="605" t="s">
        <v>1317</v>
      </c>
      <c r="F6806" s="605"/>
      <c r="G6806" s="402" t="s">
        <v>6</v>
      </c>
      <c r="H6806" s="403">
        <v>1</v>
      </c>
      <c r="I6806" s="403">
        <v>0</v>
      </c>
      <c r="J6806" s="404">
        <v>0.43</v>
      </c>
      <c r="K6806" s="404">
        <v>0.43</v>
      </c>
    </row>
    <row r="6807" spans="1:11" ht="25.5" customHeight="1" x14ac:dyDescent="0.3">
      <c r="A6807" s="400" t="s">
        <v>1038</v>
      </c>
      <c r="B6807" s="401" t="s">
        <v>4172</v>
      </c>
      <c r="C6807" s="400" t="s">
        <v>395</v>
      </c>
      <c r="D6807" s="400" t="s">
        <v>4173</v>
      </c>
      <c r="E6807" s="605" t="s">
        <v>1317</v>
      </c>
      <c r="F6807" s="605"/>
      <c r="G6807" s="402" t="s">
        <v>6</v>
      </c>
      <c r="H6807" s="403">
        <v>1</v>
      </c>
      <c r="I6807" s="403">
        <v>0</v>
      </c>
      <c r="J6807" s="404">
        <v>1.43</v>
      </c>
      <c r="K6807" s="404">
        <v>1.43</v>
      </c>
    </row>
    <row r="6808" spans="1:11" ht="15" x14ac:dyDescent="0.3">
      <c r="A6808" s="405"/>
      <c r="B6808" s="405"/>
      <c r="C6808" s="405"/>
      <c r="D6808" s="405"/>
      <c r="E6808" s="405" t="s">
        <v>1046</v>
      </c>
      <c r="F6808" s="406">
        <v>23.73</v>
      </c>
      <c r="G6808" s="405" t="s">
        <v>1047</v>
      </c>
      <c r="H6808" s="406">
        <v>0</v>
      </c>
      <c r="I6808" s="405" t="s">
        <v>1048</v>
      </c>
      <c r="J6808" s="406">
        <v>23.73</v>
      </c>
      <c r="K6808"/>
    </row>
    <row r="6809" spans="1:11" ht="12.75" customHeight="1" thickBot="1" x14ac:dyDescent="0.35">
      <c r="A6809" s="405"/>
      <c r="B6809" s="405"/>
      <c r="C6809" s="405"/>
      <c r="D6809" s="405"/>
      <c r="E6809" s="405" t="s">
        <v>1049</v>
      </c>
      <c r="F6809" s="406">
        <v>0</v>
      </c>
      <c r="G6809" s="405"/>
      <c r="H6809" s="606"/>
      <c r="I6809" s="606" t="s">
        <v>1050</v>
      </c>
      <c r="J6809" s="406">
        <v>33.450000000000003</v>
      </c>
      <c r="K6809"/>
    </row>
    <row r="6810" spans="1:11" ht="15.6" thickTop="1" x14ac:dyDescent="0.3">
      <c r="A6810" s="407"/>
      <c r="B6810" s="407"/>
      <c r="C6810" s="407"/>
      <c r="D6810" s="407"/>
      <c r="E6810" s="407"/>
      <c r="F6810" s="407"/>
      <c r="G6810" s="407"/>
      <c r="H6810" s="407"/>
      <c r="I6810" s="407"/>
      <c r="J6810" s="407"/>
      <c r="K6810"/>
    </row>
    <row r="6811" spans="1:11" ht="14.25" customHeight="1" x14ac:dyDescent="0.3">
      <c r="A6811" s="382"/>
      <c r="B6811" s="312" t="s">
        <v>413</v>
      </c>
      <c r="C6811" s="382" t="s">
        <v>414</v>
      </c>
      <c r="D6811" s="382" t="s">
        <v>415</v>
      </c>
      <c r="E6811" s="586" t="s">
        <v>1029</v>
      </c>
      <c r="F6811" s="586"/>
      <c r="G6811" s="383" t="s">
        <v>416</v>
      </c>
      <c r="H6811" s="312" t="s">
        <v>1030</v>
      </c>
      <c r="I6811" s="312" t="s">
        <v>3016</v>
      </c>
      <c r="J6811" s="312" t="s">
        <v>1031</v>
      </c>
      <c r="K6811" s="312" t="s">
        <v>1032</v>
      </c>
    </row>
    <row r="6812" spans="1:11" ht="45" customHeight="1" x14ac:dyDescent="0.3">
      <c r="A6812" s="313" t="s">
        <v>1033</v>
      </c>
      <c r="B6812" s="315" t="s">
        <v>2584</v>
      </c>
      <c r="C6812" s="313" t="s">
        <v>395</v>
      </c>
      <c r="D6812" s="313" t="s">
        <v>130</v>
      </c>
      <c r="E6812" s="603" t="s">
        <v>7768</v>
      </c>
      <c r="F6812" s="603"/>
      <c r="G6812" s="314" t="s">
        <v>6</v>
      </c>
      <c r="H6812" s="399">
        <v>1</v>
      </c>
      <c r="I6812" s="316"/>
      <c r="J6812" s="316">
        <v>32.53</v>
      </c>
      <c r="K6812" s="316">
        <v>32.53</v>
      </c>
    </row>
    <row r="6813" spans="1:11" ht="38.25" customHeight="1" x14ac:dyDescent="0.3">
      <c r="A6813" s="408" t="s">
        <v>1034</v>
      </c>
      <c r="B6813" s="409" t="s">
        <v>7984</v>
      </c>
      <c r="C6813" s="408" t="s">
        <v>395</v>
      </c>
      <c r="D6813" s="408" t="s">
        <v>7985</v>
      </c>
      <c r="E6813" s="604" t="s">
        <v>7768</v>
      </c>
      <c r="F6813" s="604"/>
      <c r="G6813" s="410" t="s">
        <v>6</v>
      </c>
      <c r="H6813" s="412">
        <v>1</v>
      </c>
      <c r="I6813" s="412">
        <v>0</v>
      </c>
      <c r="J6813" s="411">
        <v>0.27</v>
      </c>
      <c r="K6813" s="411">
        <v>0.27</v>
      </c>
    </row>
    <row r="6814" spans="1:11" ht="25.5" customHeight="1" x14ac:dyDescent="0.3">
      <c r="A6814" s="400" t="s">
        <v>1038</v>
      </c>
      <c r="B6814" s="401" t="s">
        <v>4195</v>
      </c>
      <c r="C6814" s="400" t="s">
        <v>395</v>
      </c>
      <c r="D6814" s="400" t="s">
        <v>4196</v>
      </c>
      <c r="E6814" s="605" t="s">
        <v>1053</v>
      </c>
      <c r="F6814" s="605"/>
      <c r="G6814" s="402" t="s">
        <v>6</v>
      </c>
      <c r="H6814" s="403">
        <v>1</v>
      </c>
      <c r="I6814" s="403">
        <v>0</v>
      </c>
      <c r="J6814" s="404">
        <v>23.31</v>
      </c>
      <c r="K6814" s="404">
        <v>23.31</v>
      </c>
    </row>
    <row r="6815" spans="1:11" ht="38.25" customHeight="1" x14ac:dyDescent="0.3">
      <c r="A6815" s="400" t="s">
        <v>1038</v>
      </c>
      <c r="B6815" s="401" t="s">
        <v>4028</v>
      </c>
      <c r="C6815" s="400" t="s">
        <v>395</v>
      </c>
      <c r="D6815" s="400" t="s">
        <v>4029</v>
      </c>
      <c r="E6815" s="605" t="s">
        <v>4030</v>
      </c>
      <c r="F6815" s="605"/>
      <c r="G6815" s="402" t="s">
        <v>6</v>
      </c>
      <c r="H6815" s="403">
        <v>1</v>
      </c>
      <c r="I6815" s="403">
        <v>0</v>
      </c>
      <c r="J6815" s="404">
        <v>4.78</v>
      </c>
      <c r="K6815" s="404">
        <v>4.78</v>
      </c>
    </row>
    <row r="6816" spans="1:11" ht="14.25" customHeight="1" x14ac:dyDescent="0.3">
      <c r="A6816" s="400" t="s">
        <v>1038</v>
      </c>
      <c r="B6816" s="401" t="s">
        <v>4066</v>
      </c>
      <c r="C6816" s="400" t="s">
        <v>395</v>
      </c>
      <c r="D6816" s="400" t="s">
        <v>4067</v>
      </c>
      <c r="E6816" s="605" t="s">
        <v>2381</v>
      </c>
      <c r="F6816" s="605"/>
      <c r="G6816" s="402" t="s">
        <v>6</v>
      </c>
      <c r="H6816" s="403">
        <v>1</v>
      </c>
      <c r="I6816" s="403">
        <v>0</v>
      </c>
      <c r="J6816" s="404">
        <v>1.72</v>
      </c>
      <c r="K6816" s="404">
        <v>1.72</v>
      </c>
    </row>
    <row r="6817" spans="1:11" ht="25.5" customHeight="1" x14ac:dyDescent="0.3">
      <c r="A6817" s="400" t="s">
        <v>1038</v>
      </c>
      <c r="B6817" s="401" t="s">
        <v>4078</v>
      </c>
      <c r="C6817" s="400" t="s">
        <v>395</v>
      </c>
      <c r="D6817" s="400" t="s">
        <v>4079</v>
      </c>
      <c r="E6817" s="605" t="s">
        <v>4030</v>
      </c>
      <c r="F6817" s="605"/>
      <c r="G6817" s="402" t="s">
        <v>6</v>
      </c>
      <c r="H6817" s="403">
        <v>1</v>
      </c>
      <c r="I6817" s="403">
        <v>0</v>
      </c>
      <c r="J6817" s="404">
        <v>1.25</v>
      </c>
      <c r="K6817" s="404">
        <v>1.25</v>
      </c>
    </row>
    <row r="6818" spans="1:11" ht="15" x14ac:dyDescent="0.3">
      <c r="A6818" s="400" t="s">
        <v>1038</v>
      </c>
      <c r="B6818" s="401" t="s">
        <v>4274</v>
      </c>
      <c r="C6818" s="400" t="s">
        <v>395</v>
      </c>
      <c r="D6818" s="400" t="s">
        <v>4275</v>
      </c>
      <c r="E6818" s="605" t="s">
        <v>2386</v>
      </c>
      <c r="F6818" s="605"/>
      <c r="G6818" s="402" t="s">
        <v>6</v>
      </c>
      <c r="H6818" s="403">
        <v>1</v>
      </c>
      <c r="I6818" s="403">
        <v>0</v>
      </c>
      <c r="J6818" s="404">
        <v>0.11</v>
      </c>
      <c r="K6818" s="404">
        <v>0.11</v>
      </c>
    </row>
    <row r="6819" spans="1:11" ht="45" customHeight="1" x14ac:dyDescent="0.3">
      <c r="A6819" s="400" t="s">
        <v>1038</v>
      </c>
      <c r="B6819" s="401" t="s">
        <v>5001</v>
      </c>
      <c r="C6819" s="400" t="s">
        <v>395</v>
      </c>
      <c r="D6819" s="400" t="s">
        <v>5002</v>
      </c>
      <c r="E6819" s="605" t="s">
        <v>1317</v>
      </c>
      <c r="F6819" s="605"/>
      <c r="G6819" s="402" t="s">
        <v>6</v>
      </c>
      <c r="H6819" s="403">
        <v>1</v>
      </c>
      <c r="I6819" s="403">
        <v>0</v>
      </c>
      <c r="J6819" s="404">
        <v>0.02</v>
      </c>
      <c r="K6819" s="404">
        <v>0.02</v>
      </c>
    </row>
    <row r="6820" spans="1:11" ht="12.75" customHeight="1" x14ac:dyDescent="0.3">
      <c r="A6820" s="400" t="s">
        <v>1038</v>
      </c>
      <c r="B6820" s="401" t="s">
        <v>4508</v>
      </c>
      <c r="C6820" s="400" t="s">
        <v>395</v>
      </c>
      <c r="D6820" s="400" t="s">
        <v>4509</v>
      </c>
      <c r="E6820" s="605" t="s">
        <v>1317</v>
      </c>
      <c r="F6820" s="605"/>
      <c r="G6820" s="402" t="s">
        <v>6</v>
      </c>
      <c r="H6820" s="403">
        <v>1</v>
      </c>
      <c r="I6820" s="403">
        <v>0</v>
      </c>
      <c r="J6820" s="404">
        <v>1.07</v>
      </c>
      <c r="K6820" s="404">
        <v>1.07</v>
      </c>
    </row>
    <row r="6821" spans="1:11" ht="12.75" customHeight="1" x14ac:dyDescent="0.3">
      <c r="A6821" s="405"/>
      <c r="B6821" s="405"/>
      <c r="C6821" s="405"/>
      <c r="D6821" s="405"/>
      <c r="E6821" s="405" t="s">
        <v>1046</v>
      </c>
      <c r="F6821" s="406">
        <v>23.58</v>
      </c>
      <c r="G6821" s="405" t="s">
        <v>1047</v>
      </c>
      <c r="H6821" s="406">
        <v>0</v>
      </c>
      <c r="I6821" s="405" t="s">
        <v>1048</v>
      </c>
      <c r="J6821" s="406">
        <v>23.58</v>
      </c>
      <c r="K6821"/>
    </row>
    <row r="6822" spans="1:11" ht="17.399999999999999" customHeight="1" thickBot="1" x14ac:dyDescent="0.35">
      <c r="A6822" s="405"/>
      <c r="B6822" s="405"/>
      <c r="C6822" s="405"/>
      <c r="D6822" s="405"/>
      <c r="E6822" s="405" t="s">
        <v>1049</v>
      </c>
      <c r="F6822" s="406">
        <v>0</v>
      </c>
      <c r="G6822" s="405"/>
      <c r="H6822" s="606"/>
      <c r="I6822" s="606" t="s">
        <v>1050</v>
      </c>
      <c r="J6822" s="406">
        <v>32.53</v>
      </c>
      <c r="K6822"/>
    </row>
    <row r="6823" spans="1:11" ht="14.25" customHeight="1" thickTop="1" x14ac:dyDescent="0.3">
      <c r="A6823" s="407"/>
      <c r="B6823" s="407"/>
      <c r="C6823" s="407"/>
      <c r="D6823" s="407"/>
      <c r="E6823" s="407"/>
      <c r="F6823" s="407"/>
      <c r="G6823" s="407"/>
      <c r="H6823" s="407"/>
      <c r="I6823" s="407"/>
      <c r="J6823" s="407"/>
      <c r="K6823"/>
    </row>
    <row r="6824" spans="1:11" ht="15" x14ac:dyDescent="0.3">
      <c r="A6824" s="382"/>
      <c r="B6824" s="312" t="s">
        <v>413</v>
      </c>
      <c r="C6824" s="382" t="s">
        <v>414</v>
      </c>
      <c r="D6824" s="382" t="s">
        <v>415</v>
      </c>
      <c r="E6824" s="586" t="s">
        <v>1029</v>
      </c>
      <c r="F6824" s="586"/>
      <c r="G6824" s="383" t="s">
        <v>416</v>
      </c>
      <c r="H6824" s="312" t="s">
        <v>1030</v>
      </c>
      <c r="I6824" s="312" t="s">
        <v>3016</v>
      </c>
      <c r="J6824" s="312" t="s">
        <v>1031</v>
      </c>
      <c r="K6824" s="312" t="s">
        <v>1032</v>
      </c>
    </row>
    <row r="6825" spans="1:11" ht="38.25" customHeight="1" x14ac:dyDescent="0.3">
      <c r="A6825" s="313" t="s">
        <v>1033</v>
      </c>
      <c r="B6825" s="315" t="s">
        <v>1364</v>
      </c>
      <c r="C6825" s="313" t="s">
        <v>395</v>
      </c>
      <c r="D6825" s="313" t="s">
        <v>131</v>
      </c>
      <c r="E6825" s="603" t="s">
        <v>7768</v>
      </c>
      <c r="F6825" s="603"/>
      <c r="G6825" s="314" t="s">
        <v>6</v>
      </c>
      <c r="H6825" s="399">
        <v>1</v>
      </c>
      <c r="I6825" s="316"/>
      <c r="J6825" s="316">
        <v>33.79</v>
      </c>
      <c r="K6825" s="316">
        <v>33.79</v>
      </c>
    </row>
    <row r="6826" spans="1:11" ht="25.5" customHeight="1" x14ac:dyDescent="0.3">
      <c r="A6826" s="408" t="s">
        <v>1034</v>
      </c>
      <c r="B6826" s="409" t="s">
        <v>7986</v>
      </c>
      <c r="C6826" s="408" t="s">
        <v>395</v>
      </c>
      <c r="D6826" s="408" t="s">
        <v>7987</v>
      </c>
      <c r="E6826" s="604" t="s">
        <v>7768</v>
      </c>
      <c r="F6826" s="604"/>
      <c r="G6826" s="410" t="s">
        <v>6</v>
      </c>
      <c r="H6826" s="412">
        <v>1</v>
      </c>
      <c r="I6826" s="412">
        <v>0</v>
      </c>
      <c r="J6826" s="411">
        <v>0.27</v>
      </c>
      <c r="K6826" s="411">
        <v>0.27</v>
      </c>
    </row>
    <row r="6827" spans="1:11" ht="38.25" customHeight="1" x14ac:dyDescent="0.3">
      <c r="A6827" s="400" t="s">
        <v>1038</v>
      </c>
      <c r="B6827" s="401" t="s">
        <v>4632</v>
      </c>
      <c r="C6827" s="400" t="s">
        <v>395</v>
      </c>
      <c r="D6827" s="400" t="s">
        <v>4633</v>
      </c>
      <c r="E6827" s="605" t="s">
        <v>1053</v>
      </c>
      <c r="F6827" s="605"/>
      <c r="G6827" s="402" t="s">
        <v>6</v>
      </c>
      <c r="H6827" s="403">
        <v>1</v>
      </c>
      <c r="I6827" s="403">
        <v>0</v>
      </c>
      <c r="J6827" s="404">
        <v>23.31</v>
      </c>
      <c r="K6827" s="404">
        <v>23.31</v>
      </c>
    </row>
    <row r="6828" spans="1:11" ht="25.5" customHeight="1" x14ac:dyDescent="0.3">
      <c r="A6828" s="400" t="s">
        <v>1038</v>
      </c>
      <c r="B6828" s="401" t="s">
        <v>4028</v>
      </c>
      <c r="C6828" s="400" t="s">
        <v>395</v>
      </c>
      <c r="D6828" s="400" t="s">
        <v>4029</v>
      </c>
      <c r="E6828" s="605" t="s">
        <v>4030</v>
      </c>
      <c r="F6828" s="605"/>
      <c r="G6828" s="402" t="s">
        <v>6</v>
      </c>
      <c r="H6828" s="403">
        <v>1</v>
      </c>
      <c r="I6828" s="403">
        <v>0</v>
      </c>
      <c r="J6828" s="404">
        <v>4.78</v>
      </c>
      <c r="K6828" s="404">
        <v>4.78</v>
      </c>
    </row>
    <row r="6829" spans="1:11" ht="25.5" customHeight="1" x14ac:dyDescent="0.3">
      <c r="A6829" s="400" t="s">
        <v>1038</v>
      </c>
      <c r="B6829" s="401" t="s">
        <v>4066</v>
      </c>
      <c r="C6829" s="400" t="s">
        <v>395</v>
      </c>
      <c r="D6829" s="400" t="s">
        <v>4067</v>
      </c>
      <c r="E6829" s="605" t="s">
        <v>2381</v>
      </c>
      <c r="F6829" s="605"/>
      <c r="G6829" s="402" t="s">
        <v>6</v>
      </c>
      <c r="H6829" s="403">
        <v>1</v>
      </c>
      <c r="I6829" s="403">
        <v>0</v>
      </c>
      <c r="J6829" s="404">
        <v>1.72</v>
      </c>
      <c r="K6829" s="404">
        <v>1.72</v>
      </c>
    </row>
    <row r="6830" spans="1:11" ht="15" x14ac:dyDescent="0.3">
      <c r="A6830" s="400" t="s">
        <v>1038</v>
      </c>
      <c r="B6830" s="401" t="s">
        <v>4078</v>
      </c>
      <c r="C6830" s="400" t="s">
        <v>395</v>
      </c>
      <c r="D6830" s="400" t="s">
        <v>4079</v>
      </c>
      <c r="E6830" s="605" t="s">
        <v>4030</v>
      </c>
      <c r="F6830" s="605"/>
      <c r="G6830" s="402" t="s">
        <v>6</v>
      </c>
      <c r="H6830" s="403">
        <v>1</v>
      </c>
      <c r="I6830" s="403">
        <v>0</v>
      </c>
      <c r="J6830" s="404">
        <v>1.25</v>
      </c>
      <c r="K6830" s="404">
        <v>1.25</v>
      </c>
    </row>
    <row r="6831" spans="1:11" ht="17.399999999999999" customHeight="1" x14ac:dyDescent="0.3">
      <c r="A6831" s="400" t="s">
        <v>1038</v>
      </c>
      <c r="B6831" s="401" t="s">
        <v>4274</v>
      </c>
      <c r="C6831" s="400" t="s">
        <v>395</v>
      </c>
      <c r="D6831" s="400" t="s">
        <v>4275</v>
      </c>
      <c r="E6831" s="605" t="s">
        <v>2386</v>
      </c>
      <c r="F6831" s="605"/>
      <c r="G6831" s="402" t="s">
        <v>6</v>
      </c>
      <c r="H6831" s="403">
        <v>1</v>
      </c>
      <c r="I6831" s="403">
        <v>0</v>
      </c>
      <c r="J6831" s="404">
        <v>0.11</v>
      </c>
      <c r="K6831" s="404">
        <v>0.11</v>
      </c>
    </row>
    <row r="6832" spans="1:11" ht="12.75" customHeight="1" x14ac:dyDescent="0.3">
      <c r="A6832" s="400" t="s">
        <v>1038</v>
      </c>
      <c r="B6832" s="401" t="s">
        <v>4268</v>
      </c>
      <c r="C6832" s="400" t="s">
        <v>395</v>
      </c>
      <c r="D6832" s="400" t="s">
        <v>4269</v>
      </c>
      <c r="E6832" s="605" t="s">
        <v>1317</v>
      </c>
      <c r="F6832" s="605"/>
      <c r="G6832" s="402" t="s">
        <v>6</v>
      </c>
      <c r="H6832" s="403">
        <v>1</v>
      </c>
      <c r="I6832" s="403">
        <v>0</v>
      </c>
      <c r="J6832" s="404">
        <v>0.64</v>
      </c>
      <c r="K6832" s="404">
        <v>0.64</v>
      </c>
    </row>
    <row r="6833" spans="1:11" ht="14.25" customHeight="1" x14ac:dyDescent="0.3">
      <c r="A6833" s="400" t="s">
        <v>1038</v>
      </c>
      <c r="B6833" s="401" t="s">
        <v>4218</v>
      </c>
      <c r="C6833" s="400" t="s">
        <v>395</v>
      </c>
      <c r="D6833" s="400" t="s">
        <v>4219</v>
      </c>
      <c r="E6833" s="605" t="s">
        <v>1317</v>
      </c>
      <c r="F6833" s="605"/>
      <c r="G6833" s="402" t="s">
        <v>6</v>
      </c>
      <c r="H6833" s="403">
        <v>1</v>
      </c>
      <c r="I6833" s="403">
        <v>0</v>
      </c>
      <c r="J6833" s="404">
        <v>1.71</v>
      </c>
      <c r="K6833" s="404">
        <v>1.71</v>
      </c>
    </row>
    <row r="6834" spans="1:11" ht="15" x14ac:dyDescent="0.3">
      <c r="A6834" s="405"/>
      <c r="B6834" s="405"/>
      <c r="C6834" s="405"/>
      <c r="D6834" s="405"/>
      <c r="E6834" s="405" t="s">
        <v>1046</v>
      </c>
      <c r="F6834" s="406">
        <v>23.58</v>
      </c>
      <c r="G6834" s="405" t="s">
        <v>1047</v>
      </c>
      <c r="H6834" s="406">
        <v>0</v>
      </c>
      <c r="I6834" s="405" t="s">
        <v>1048</v>
      </c>
      <c r="J6834" s="406">
        <v>23.58</v>
      </c>
      <c r="K6834"/>
    </row>
    <row r="6835" spans="1:11" ht="14.25" customHeight="1" thickBot="1" x14ac:dyDescent="0.35">
      <c r="A6835" s="405"/>
      <c r="B6835" s="405"/>
      <c r="C6835" s="405"/>
      <c r="D6835" s="405"/>
      <c r="E6835" s="405" t="s">
        <v>1049</v>
      </c>
      <c r="F6835" s="406">
        <v>0</v>
      </c>
      <c r="G6835" s="405"/>
      <c r="H6835" s="606"/>
      <c r="I6835" s="606" t="s">
        <v>1050</v>
      </c>
      <c r="J6835" s="406">
        <v>33.79</v>
      </c>
      <c r="K6835"/>
    </row>
    <row r="6836" spans="1:11" ht="38.25" customHeight="1" thickTop="1" x14ac:dyDescent="0.3">
      <c r="A6836" s="407"/>
      <c r="B6836" s="407"/>
      <c r="C6836" s="407"/>
      <c r="D6836" s="407"/>
      <c r="E6836" s="407"/>
      <c r="F6836" s="407"/>
      <c r="G6836" s="407"/>
      <c r="H6836" s="407"/>
      <c r="I6836" s="407"/>
      <c r="J6836" s="407"/>
      <c r="K6836"/>
    </row>
    <row r="6837" spans="1:11" ht="12.75" customHeight="1" x14ac:dyDescent="0.3">
      <c r="A6837" s="382"/>
      <c r="B6837" s="312" t="s">
        <v>413</v>
      </c>
      <c r="C6837" s="382" t="s">
        <v>414</v>
      </c>
      <c r="D6837" s="382" t="s">
        <v>415</v>
      </c>
      <c r="E6837" s="586" t="s">
        <v>1029</v>
      </c>
      <c r="F6837" s="586"/>
      <c r="G6837" s="383" t="s">
        <v>416</v>
      </c>
      <c r="H6837" s="312" t="s">
        <v>1030</v>
      </c>
      <c r="I6837" s="312" t="s">
        <v>3016</v>
      </c>
      <c r="J6837" s="312" t="s">
        <v>1031</v>
      </c>
      <c r="K6837" s="312" t="s">
        <v>1032</v>
      </c>
    </row>
    <row r="6838" spans="1:11" ht="25.5" customHeight="1" x14ac:dyDescent="0.3">
      <c r="A6838" s="313" t="s">
        <v>1033</v>
      </c>
      <c r="B6838" s="315" t="s">
        <v>1420</v>
      </c>
      <c r="C6838" s="313" t="s">
        <v>395</v>
      </c>
      <c r="D6838" s="313" t="s">
        <v>7860</v>
      </c>
      <c r="E6838" s="603" t="s">
        <v>7768</v>
      </c>
      <c r="F6838" s="603"/>
      <c r="G6838" s="314" t="s">
        <v>6</v>
      </c>
      <c r="H6838" s="399">
        <v>1</v>
      </c>
      <c r="I6838" s="316"/>
      <c r="J6838" s="316">
        <v>44.41</v>
      </c>
      <c r="K6838" s="316">
        <v>44.41</v>
      </c>
    </row>
    <row r="6839" spans="1:11" ht="25.5" customHeight="1" x14ac:dyDescent="0.3">
      <c r="A6839" s="408" t="s">
        <v>1034</v>
      </c>
      <c r="B6839" s="409" t="s">
        <v>7988</v>
      </c>
      <c r="C6839" s="408" t="s">
        <v>395</v>
      </c>
      <c r="D6839" s="408" t="s">
        <v>7989</v>
      </c>
      <c r="E6839" s="604" t="s">
        <v>7768</v>
      </c>
      <c r="F6839" s="604"/>
      <c r="G6839" s="410" t="s">
        <v>6</v>
      </c>
      <c r="H6839" s="412">
        <v>1</v>
      </c>
      <c r="I6839" s="412">
        <v>0</v>
      </c>
      <c r="J6839" s="411">
        <v>0.5</v>
      </c>
      <c r="K6839" s="411">
        <v>0.5</v>
      </c>
    </row>
    <row r="6840" spans="1:11" ht="25.5" customHeight="1" x14ac:dyDescent="0.3">
      <c r="A6840" s="400" t="s">
        <v>1038</v>
      </c>
      <c r="B6840" s="401" t="s">
        <v>4464</v>
      </c>
      <c r="C6840" s="400" t="s">
        <v>395</v>
      </c>
      <c r="D6840" s="400" t="s">
        <v>4465</v>
      </c>
      <c r="E6840" s="605" t="s">
        <v>1053</v>
      </c>
      <c r="F6840" s="605"/>
      <c r="G6840" s="402" t="s">
        <v>6</v>
      </c>
      <c r="H6840" s="403">
        <v>1</v>
      </c>
      <c r="I6840" s="403">
        <v>0</v>
      </c>
      <c r="J6840" s="404">
        <v>33.700000000000003</v>
      </c>
      <c r="K6840" s="404">
        <v>33.700000000000003</v>
      </c>
    </row>
    <row r="6841" spans="1:11" ht="25.5" customHeight="1" x14ac:dyDescent="0.3">
      <c r="A6841" s="400" t="s">
        <v>1038</v>
      </c>
      <c r="B6841" s="401" t="s">
        <v>4028</v>
      </c>
      <c r="C6841" s="400" t="s">
        <v>395</v>
      </c>
      <c r="D6841" s="400" t="s">
        <v>4029</v>
      </c>
      <c r="E6841" s="605" t="s">
        <v>4030</v>
      </c>
      <c r="F6841" s="605"/>
      <c r="G6841" s="402" t="s">
        <v>6</v>
      </c>
      <c r="H6841" s="403">
        <v>1</v>
      </c>
      <c r="I6841" s="403">
        <v>0</v>
      </c>
      <c r="J6841" s="404">
        <v>4.78</v>
      </c>
      <c r="K6841" s="404">
        <v>4.78</v>
      </c>
    </row>
    <row r="6842" spans="1:11" ht="17.399999999999999" customHeight="1" x14ac:dyDescent="0.3">
      <c r="A6842" s="400" t="s">
        <v>1038</v>
      </c>
      <c r="B6842" s="401" t="s">
        <v>4066</v>
      </c>
      <c r="C6842" s="400" t="s">
        <v>395</v>
      </c>
      <c r="D6842" s="400" t="s">
        <v>4067</v>
      </c>
      <c r="E6842" s="605" t="s">
        <v>2381</v>
      </c>
      <c r="F6842" s="605"/>
      <c r="G6842" s="402" t="s">
        <v>6</v>
      </c>
      <c r="H6842" s="403">
        <v>1</v>
      </c>
      <c r="I6842" s="403">
        <v>0</v>
      </c>
      <c r="J6842" s="404">
        <v>1.72</v>
      </c>
      <c r="K6842" s="404">
        <v>1.72</v>
      </c>
    </row>
    <row r="6843" spans="1:11" ht="12.75" customHeight="1" x14ac:dyDescent="0.3">
      <c r="A6843" s="400" t="s">
        <v>1038</v>
      </c>
      <c r="B6843" s="401" t="s">
        <v>4078</v>
      </c>
      <c r="C6843" s="400" t="s">
        <v>395</v>
      </c>
      <c r="D6843" s="400" t="s">
        <v>4079</v>
      </c>
      <c r="E6843" s="605" t="s">
        <v>4030</v>
      </c>
      <c r="F6843" s="605"/>
      <c r="G6843" s="402" t="s">
        <v>6</v>
      </c>
      <c r="H6843" s="403">
        <v>1</v>
      </c>
      <c r="I6843" s="403">
        <v>0</v>
      </c>
      <c r="J6843" s="404">
        <v>1.25</v>
      </c>
      <c r="K6843" s="404">
        <v>1.25</v>
      </c>
    </row>
    <row r="6844" spans="1:11" ht="15" x14ac:dyDescent="0.3">
      <c r="A6844" s="400" t="s">
        <v>1038</v>
      </c>
      <c r="B6844" s="401" t="s">
        <v>4274</v>
      </c>
      <c r="C6844" s="400" t="s">
        <v>395</v>
      </c>
      <c r="D6844" s="400" t="s">
        <v>4275</v>
      </c>
      <c r="E6844" s="605" t="s">
        <v>2386</v>
      </c>
      <c r="F6844" s="605"/>
      <c r="G6844" s="402" t="s">
        <v>6</v>
      </c>
      <c r="H6844" s="403">
        <v>1</v>
      </c>
      <c r="I6844" s="403">
        <v>0</v>
      </c>
      <c r="J6844" s="404">
        <v>0.11</v>
      </c>
      <c r="K6844" s="404">
        <v>0.11</v>
      </c>
    </row>
    <row r="6845" spans="1:11" ht="60" customHeight="1" x14ac:dyDescent="0.3">
      <c r="A6845" s="400" t="s">
        <v>1038</v>
      </c>
      <c r="B6845" s="401" t="s">
        <v>4268</v>
      </c>
      <c r="C6845" s="400" t="s">
        <v>395</v>
      </c>
      <c r="D6845" s="400" t="s">
        <v>4269</v>
      </c>
      <c r="E6845" s="605" t="s">
        <v>1317</v>
      </c>
      <c r="F6845" s="605"/>
      <c r="G6845" s="402" t="s">
        <v>6</v>
      </c>
      <c r="H6845" s="403">
        <v>1</v>
      </c>
      <c r="I6845" s="403">
        <v>0</v>
      </c>
      <c r="J6845" s="404">
        <v>0.64</v>
      </c>
      <c r="K6845" s="404">
        <v>0.64</v>
      </c>
    </row>
    <row r="6846" spans="1:11" ht="26.4" x14ac:dyDescent="0.3">
      <c r="A6846" s="400" t="s">
        <v>1038</v>
      </c>
      <c r="B6846" s="401" t="s">
        <v>4218</v>
      </c>
      <c r="C6846" s="400" t="s">
        <v>395</v>
      </c>
      <c r="D6846" s="400" t="s">
        <v>4219</v>
      </c>
      <c r="E6846" s="605" t="s">
        <v>1317</v>
      </c>
      <c r="F6846" s="605"/>
      <c r="G6846" s="402" t="s">
        <v>6</v>
      </c>
      <c r="H6846" s="403">
        <v>1</v>
      </c>
      <c r="I6846" s="403">
        <v>0</v>
      </c>
      <c r="J6846" s="404">
        <v>1.71</v>
      </c>
      <c r="K6846" s="404">
        <v>1.71</v>
      </c>
    </row>
    <row r="6847" spans="1:11" ht="14.25" customHeight="1" x14ac:dyDescent="0.3">
      <c r="A6847" s="405"/>
      <c r="B6847" s="405"/>
      <c r="C6847" s="405"/>
      <c r="D6847" s="405"/>
      <c r="E6847" s="405" t="s">
        <v>1046</v>
      </c>
      <c r="F6847" s="406">
        <v>34.200000000000003</v>
      </c>
      <c r="G6847" s="405" t="s">
        <v>1047</v>
      </c>
      <c r="H6847" s="406">
        <v>0</v>
      </c>
      <c r="I6847" s="405" t="s">
        <v>1048</v>
      </c>
      <c r="J6847" s="406">
        <v>34.200000000000003</v>
      </c>
      <c r="K6847"/>
    </row>
    <row r="6848" spans="1:11" ht="25.5" customHeight="1" thickBot="1" x14ac:dyDescent="0.35">
      <c r="A6848" s="405"/>
      <c r="B6848" s="405"/>
      <c r="C6848" s="405"/>
      <c r="D6848" s="405"/>
      <c r="E6848" s="405" t="s">
        <v>1049</v>
      </c>
      <c r="F6848" s="406">
        <v>0</v>
      </c>
      <c r="G6848" s="405"/>
      <c r="H6848" s="606"/>
      <c r="I6848" s="606" t="s">
        <v>1050</v>
      </c>
      <c r="J6848" s="406">
        <v>44.41</v>
      </c>
      <c r="K6848"/>
    </row>
    <row r="6849" spans="1:11" ht="14.25" customHeight="1" thickTop="1" x14ac:dyDescent="0.3">
      <c r="A6849" s="407"/>
      <c r="B6849" s="407"/>
      <c r="C6849" s="407"/>
      <c r="D6849" s="407"/>
      <c r="E6849" s="407"/>
      <c r="F6849" s="407"/>
      <c r="G6849" s="407"/>
      <c r="H6849" s="407"/>
      <c r="I6849" s="407"/>
      <c r="J6849" s="407"/>
      <c r="K6849"/>
    </row>
    <row r="6850" spans="1:11" ht="15" x14ac:dyDescent="0.3">
      <c r="A6850" s="382"/>
      <c r="B6850" s="312" t="s">
        <v>413</v>
      </c>
      <c r="C6850" s="382" t="s">
        <v>414</v>
      </c>
      <c r="D6850" s="382" t="s">
        <v>415</v>
      </c>
      <c r="E6850" s="586" t="s">
        <v>1029</v>
      </c>
      <c r="F6850" s="586"/>
      <c r="G6850" s="383" t="s">
        <v>416</v>
      </c>
      <c r="H6850" s="312" t="s">
        <v>1030</v>
      </c>
      <c r="I6850" s="312" t="s">
        <v>3016</v>
      </c>
      <c r="J6850" s="312" t="s">
        <v>1031</v>
      </c>
      <c r="K6850" s="312" t="s">
        <v>1032</v>
      </c>
    </row>
    <row r="6851" spans="1:11" ht="12.75" customHeight="1" x14ac:dyDescent="0.3">
      <c r="A6851" s="313" t="s">
        <v>1033</v>
      </c>
      <c r="B6851" s="315" t="s">
        <v>5246</v>
      </c>
      <c r="C6851" s="313" t="s">
        <v>395</v>
      </c>
      <c r="D6851" s="313" t="s">
        <v>7864</v>
      </c>
      <c r="E6851" s="603" t="s">
        <v>7862</v>
      </c>
      <c r="F6851" s="603"/>
      <c r="G6851" s="314" t="s">
        <v>4</v>
      </c>
      <c r="H6851" s="399">
        <v>1</v>
      </c>
      <c r="I6851" s="316"/>
      <c r="J6851" s="316">
        <v>553.16</v>
      </c>
      <c r="K6851" s="316">
        <v>553.16</v>
      </c>
    </row>
    <row r="6852" spans="1:11" ht="60" customHeight="1" x14ac:dyDescent="0.3">
      <c r="A6852" s="408" t="s">
        <v>1034</v>
      </c>
      <c r="B6852" s="409" t="s">
        <v>1112</v>
      </c>
      <c r="C6852" s="408" t="s">
        <v>395</v>
      </c>
      <c r="D6852" s="408" t="s">
        <v>137</v>
      </c>
      <c r="E6852" s="604" t="s">
        <v>7768</v>
      </c>
      <c r="F6852" s="604"/>
      <c r="G6852" s="410" t="s">
        <v>6</v>
      </c>
      <c r="H6852" s="412">
        <v>0.86248199999999997</v>
      </c>
      <c r="I6852" s="412">
        <v>0</v>
      </c>
      <c r="J6852" s="411">
        <v>40.299999999999997</v>
      </c>
      <c r="K6852" s="411">
        <v>34.758024599999999</v>
      </c>
    </row>
    <row r="6853" spans="1:11" ht="14.25" customHeight="1" x14ac:dyDescent="0.3">
      <c r="A6853" s="408" t="s">
        <v>1034</v>
      </c>
      <c r="B6853" s="409" t="s">
        <v>1290</v>
      </c>
      <c r="C6853" s="408" t="s">
        <v>395</v>
      </c>
      <c r="D6853" s="408" t="s">
        <v>147</v>
      </c>
      <c r="E6853" s="604" t="s">
        <v>7768</v>
      </c>
      <c r="F6853" s="604"/>
      <c r="G6853" s="410" t="s">
        <v>6</v>
      </c>
      <c r="H6853" s="412">
        <v>0.58025950000000004</v>
      </c>
      <c r="I6853" s="412">
        <v>0</v>
      </c>
      <c r="J6853" s="411">
        <v>32.82</v>
      </c>
      <c r="K6853" s="411">
        <v>19.044116800000001</v>
      </c>
    </row>
    <row r="6854" spans="1:11" ht="14.25" customHeight="1" x14ac:dyDescent="0.3">
      <c r="A6854" s="400" t="s">
        <v>1038</v>
      </c>
      <c r="B6854" s="401" t="s">
        <v>4320</v>
      </c>
      <c r="C6854" s="400" t="s">
        <v>395</v>
      </c>
      <c r="D6854" s="400" t="s">
        <v>4321</v>
      </c>
      <c r="E6854" s="605" t="s">
        <v>1039</v>
      </c>
      <c r="F6854" s="605"/>
      <c r="G6854" s="402" t="s">
        <v>4</v>
      </c>
      <c r="H6854" s="403">
        <v>2</v>
      </c>
      <c r="I6854" s="403">
        <v>0</v>
      </c>
      <c r="J6854" s="404">
        <v>26.08</v>
      </c>
      <c r="K6854" s="404">
        <v>52.16</v>
      </c>
    </row>
    <row r="6855" spans="1:11" ht="26.4" x14ac:dyDescent="0.3">
      <c r="A6855" s="400" t="s">
        <v>1038</v>
      </c>
      <c r="B6855" s="401" t="s">
        <v>1260</v>
      </c>
      <c r="C6855" s="400" t="s">
        <v>395</v>
      </c>
      <c r="D6855" s="400" t="s">
        <v>351</v>
      </c>
      <c r="E6855" s="605" t="s">
        <v>1039</v>
      </c>
      <c r="F6855" s="605"/>
      <c r="G6855" s="402" t="s">
        <v>4</v>
      </c>
      <c r="H6855" s="403">
        <v>1</v>
      </c>
      <c r="I6855" s="403">
        <v>0</v>
      </c>
      <c r="J6855" s="404">
        <v>15.64</v>
      </c>
      <c r="K6855" s="404">
        <v>15.64</v>
      </c>
    </row>
    <row r="6856" spans="1:11" ht="14.25" customHeight="1" x14ac:dyDescent="0.3">
      <c r="A6856" s="400" t="s">
        <v>1038</v>
      </c>
      <c r="B6856" s="401" t="s">
        <v>4120</v>
      </c>
      <c r="C6856" s="400" t="s">
        <v>395</v>
      </c>
      <c r="D6856" s="400" t="s">
        <v>4121</v>
      </c>
      <c r="E6856" s="605" t="s">
        <v>1039</v>
      </c>
      <c r="F6856" s="605"/>
      <c r="G6856" s="402" t="s">
        <v>4</v>
      </c>
      <c r="H6856" s="403">
        <v>1</v>
      </c>
      <c r="I6856" s="403">
        <v>0</v>
      </c>
      <c r="J6856" s="404">
        <v>429.54</v>
      </c>
      <c r="K6856" s="404">
        <v>429.54</v>
      </c>
    </row>
    <row r="6857" spans="1:11" ht="38.25" customHeight="1" x14ac:dyDescent="0.3">
      <c r="A6857" s="400" t="s">
        <v>1038</v>
      </c>
      <c r="B6857" s="401" t="s">
        <v>2352</v>
      </c>
      <c r="C6857" s="400" t="s">
        <v>395</v>
      </c>
      <c r="D6857" s="400" t="s">
        <v>278</v>
      </c>
      <c r="E6857" s="605" t="s">
        <v>1039</v>
      </c>
      <c r="F6857" s="605"/>
      <c r="G6857" s="402" t="s">
        <v>3</v>
      </c>
      <c r="H6857" s="403">
        <v>2.2034999999999999E-2</v>
      </c>
      <c r="I6857" s="403">
        <v>0</v>
      </c>
      <c r="J6857" s="404">
        <v>91.51</v>
      </c>
      <c r="K6857" s="404">
        <v>2.0164228999999998</v>
      </c>
    </row>
    <row r="6858" spans="1:11" ht="25.5" customHeight="1" x14ac:dyDescent="0.3">
      <c r="A6858" s="405"/>
      <c r="B6858" s="405"/>
      <c r="C6858" s="405"/>
      <c r="D6858" s="405"/>
      <c r="E6858" s="405" t="s">
        <v>1046</v>
      </c>
      <c r="F6858" s="406">
        <v>39.49</v>
      </c>
      <c r="G6858" s="405" t="s">
        <v>1047</v>
      </c>
      <c r="H6858" s="406">
        <v>0</v>
      </c>
      <c r="I6858" s="405" t="s">
        <v>1048</v>
      </c>
      <c r="J6858" s="406">
        <v>39.49</v>
      </c>
      <c r="K6858"/>
    </row>
    <row r="6859" spans="1:11" ht="25.5" customHeight="1" thickBot="1" x14ac:dyDescent="0.35">
      <c r="A6859" s="405"/>
      <c r="B6859" s="405"/>
      <c r="C6859" s="405"/>
      <c r="D6859" s="405"/>
      <c r="E6859" s="405" t="s">
        <v>1049</v>
      </c>
      <c r="F6859" s="406">
        <v>0</v>
      </c>
      <c r="G6859" s="405"/>
      <c r="H6859" s="606"/>
      <c r="I6859" s="606" t="s">
        <v>1050</v>
      </c>
      <c r="J6859" s="406">
        <v>553.16</v>
      </c>
      <c r="K6859"/>
    </row>
    <row r="6860" spans="1:11" ht="15.6" thickTop="1" x14ac:dyDescent="0.3">
      <c r="A6860" s="407"/>
      <c r="B6860" s="407"/>
      <c r="C6860" s="407"/>
      <c r="D6860" s="407"/>
      <c r="E6860" s="407"/>
      <c r="F6860" s="407"/>
      <c r="G6860" s="407"/>
      <c r="H6860" s="407"/>
      <c r="I6860" s="407"/>
      <c r="J6860" s="407"/>
      <c r="K6860"/>
    </row>
    <row r="6861" spans="1:11" ht="15" x14ac:dyDescent="0.3">
      <c r="A6861" s="382"/>
      <c r="B6861" s="312" t="s">
        <v>413</v>
      </c>
      <c r="C6861" s="382" t="s">
        <v>414</v>
      </c>
      <c r="D6861" s="382" t="s">
        <v>415</v>
      </c>
      <c r="E6861" s="586" t="s">
        <v>1029</v>
      </c>
      <c r="F6861" s="586"/>
      <c r="G6861" s="383" t="s">
        <v>416</v>
      </c>
      <c r="H6861" s="312" t="s">
        <v>1030</v>
      </c>
      <c r="I6861" s="312" t="s">
        <v>3016</v>
      </c>
      <c r="J6861" s="312" t="s">
        <v>1031</v>
      </c>
      <c r="K6861" s="312" t="s">
        <v>1032</v>
      </c>
    </row>
    <row r="6862" spans="1:11" ht="26.4" x14ac:dyDescent="0.3">
      <c r="A6862" s="313" t="s">
        <v>1033</v>
      </c>
      <c r="B6862" s="315" t="s">
        <v>3097</v>
      </c>
      <c r="C6862" s="313" t="s">
        <v>439</v>
      </c>
      <c r="D6862" s="313" t="s">
        <v>7769</v>
      </c>
      <c r="E6862" s="603" t="s">
        <v>7770</v>
      </c>
      <c r="F6862" s="603"/>
      <c r="G6862" s="314" t="s">
        <v>422</v>
      </c>
      <c r="H6862" s="399">
        <v>1</v>
      </c>
      <c r="I6862" s="316"/>
      <c r="J6862" s="316">
        <v>55.9</v>
      </c>
      <c r="K6862" s="316">
        <v>55.9</v>
      </c>
    </row>
    <row r="6863" spans="1:11" ht="17.399999999999999" customHeight="1" x14ac:dyDescent="0.3">
      <c r="A6863" s="586" t="s">
        <v>3312</v>
      </c>
      <c r="B6863" s="584" t="s">
        <v>413</v>
      </c>
      <c r="C6863" s="586" t="s">
        <v>414</v>
      </c>
      <c r="D6863" s="586" t="s">
        <v>7901</v>
      </c>
      <c r="E6863" s="585" t="s">
        <v>7902</v>
      </c>
      <c r="F6863" s="584"/>
      <c r="G6863" s="585" t="s">
        <v>7903</v>
      </c>
      <c r="H6863" s="584"/>
      <c r="I6863" s="584" t="s">
        <v>7904</v>
      </c>
      <c r="J6863" s="584" t="s">
        <v>7905</v>
      </c>
      <c r="K6863"/>
    </row>
    <row r="6864" spans="1:11" ht="15" x14ac:dyDescent="0.3">
      <c r="A6864" s="584"/>
      <c r="B6864" s="584"/>
      <c r="C6864" s="584"/>
      <c r="D6864" s="584"/>
      <c r="E6864" s="312" t="s">
        <v>4013</v>
      </c>
      <c r="F6864" s="312" t="s">
        <v>4014</v>
      </c>
      <c r="G6864" s="312" t="s">
        <v>4013</v>
      </c>
      <c r="H6864" s="312" t="s">
        <v>4014</v>
      </c>
      <c r="I6864" s="584"/>
      <c r="J6864" s="584"/>
      <c r="K6864"/>
    </row>
    <row r="6865" spans="1:11" ht="14.25" customHeight="1" x14ac:dyDescent="0.3">
      <c r="A6865" s="581"/>
      <c r="B6865" s="581"/>
      <c r="C6865" s="581"/>
      <c r="D6865" s="581"/>
      <c r="E6865" s="581"/>
      <c r="F6865" s="581" t="s">
        <v>7906</v>
      </c>
      <c r="G6865" s="581"/>
      <c r="H6865" s="581"/>
      <c r="I6865" s="581"/>
      <c r="J6865" s="381">
        <v>0</v>
      </c>
      <c r="K6865"/>
    </row>
    <row r="6866" spans="1:11" ht="60" customHeight="1" x14ac:dyDescent="0.3">
      <c r="A6866" s="382" t="s">
        <v>371</v>
      </c>
      <c r="B6866" s="312" t="s">
        <v>413</v>
      </c>
      <c r="C6866" s="382" t="s">
        <v>414</v>
      </c>
      <c r="D6866" s="382" t="s">
        <v>1053</v>
      </c>
      <c r="E6866" s="312"/>
      <c r="F6866" s="584"/>
      <c r="G6866" s="584" t="s">
        <v>7907</v>
      </c>
      <c r="H6866" s="584" t="s">
        <v>7908</v>
      </c>
      <c r="I6866" s="584" t="s">
        <v>7904</v>
      </c>
      <c r="J6866" s="312" t="s">
        <v>7905</v>
      </c>
      <c r="K6866"/>
    </row>
    <row r="6867" spans="1:11" ht="14.25" customHeight="1" x14ac:dyDescent="0.3">
      <c r="A6867" s="581"/>
      <c r="B6867" s="581"/>
      <c r="C6867" s="581"/>
      <c r="D6867" s="581"/>
      <c r="E6867" s="581"/>
      <c r="F6867" s="581" t="s">
        <v>7910</v>
      </c>
      <c r="G6867" s="581"/>
      <c r="H6867" s="581"/>
      <c r="I6867" s="581"/>
      <c r="J6867" s="381">
        <v>0</v>
      </c>
      <c r="K6867"/>
    </row>
    <row r="6868" spans="1:11" ht="15" x14ac:dyDescent="0.3">
      <c r="A6868" s="581"/>
      <c r="B6868" s="581"/>
      <c r="C6868" s="581"/>
      <c r="D6868" s="581"/>
      <c r="E6868" s="581"/>
      <c r="F6868" s="581" t="s">
        <v>7911</v>
      </c>
      <c r="G6868" s="581"/>
      <c r="H6868" s="581"/>
      <c r="I6868" s="581"/>
      <c r="J6868" s="381">
        <v>0</v>
      </c>
      <c r="K6868"/>
    </row>
    <row r="6869" spans="1:11" ht="25.5" customHeight="1" x14ac:dyDescent="0.3">
      <c r="A6869" s="581"/>
      <c r="B6869" s="581"/>
      <c r="C6869" s="581"/>
      <c r="D6869" s="581"/>
      <c r="E6869" s="581"/>
      <c r="F6869" s="581" t="s">
        <v>7912</v>
      </c>
      <c r="G6869" s="581"/>
      <c r="H6869" s="581"/>
      <c r="I6869" s="581"/>
      <c r="J6869" s="381">
        <v>1</v>
      </c>
      <c r="K6869"/>
    </row>
    <row r="6870" spans="1:11" ht="25.5" customHeight="1" x14ac:dyDescent="0.3">
      <c r="A6870" s="581"/>
      <c r="B6870" s="581"/>
      <c r="C6870" s="581"/>
      <c r="D6870" s="581"/>
      <c r="E6870" s="581"/>
      <c r="F6870" s="581" t="s">
        <v>7913</v>
      </c>
      <c r="G6870" s="581"/>
      <c r="H6870" s="581"/>
      <c r="I6870" s="581"/>
      <c r="J6870" s="381">
        <v>0</v>
      </c>
      <c r="K6870"/>
    </row>
    <row r="6871" spans="1:11" ht="25.5" customHeight="1" x14ac:dyDescent="0.3">
      <c r="A6871" s="382" t="s">
        <v>7914</v>
      </c>
      <c r="B6871" s="312" t="s">
        <v>414</v>
      </c>
      <c r="C6871" s="382" t="s">
        <v>413</v>
      </c>
      <c r="D6871" s="382" t="s">
        <v>1039</v>
      </c>
      <c r="E6871" s="312"/>
      <c r="F6871" s="312"/>
      <c r="G6871" s="312" t="s">
        <v>7907</v>
      </c>
      <c r="H6871" s="312" t="s">
        <v>7908</v>
      </c>
      <c r="I6871" s="312" t="s">
        <v>1552</v>
      </c>
      <c r="J6871" s="312" t="s">
        <v>7905</v>
      </c>
      <c r="K6871"/>
    </row>
    <row r="6872" spans="1:11" ht="52.8" x14ac:dyDescent="0.3">
      <c r="A6872" s="400" t="s">
        <v>1038</v>
      </c>
      <c r="B6872" s="401" t="s">
        <v>439</v>
      </c>
      <c r="C6872" s="400" t="s">
        <v>7990</v>
      </c>
      <c r="D6872" s="400" t="s">
        <v>7559</v>
      </c>
      <c r="E6872" s="400"/>
      <c r="F6872" s="400" t="s">
        <v>7916</v>
      </c>
      <c r="G6872" s="402" t="s">
        <v>675</v>
      </c>
      <c r="H6872" s="404">
        <v>41.11</v>
      </c>
      <c r="I6872" s="403">
        <v>0.78749999999999998</v>
      </c>
      <c r="J6872" s="404">
        <v>32.369999999999997</v>
      </c>
      <c r="K6872"/>
    </row>
    <row r="6873" spans="1:11" ht="60" customHeight="1" x14ac:dyDescent="0.3">
      <c r="A6873" s="400" t="s">
        <v>1038</v>
      </c>
      <c r="B6873" s="401" t="s">
        <v>439</v>
      </c>
      <c r="C6873" s="400" t="s">
        <v>7991</v>
      </c>
      <c r="D6873" s="400" t="s">
        <v>7686</v>
      </c>
      <c r="E6873" s="400"/>
      <c r="F6873" s="400" t="s">
        <v>7916</v>
      </c>
      <c r="G6873" s="402" t="s">
        <v>422</v>
      </c>
      <c r="H6873" s="404">
        <v>1.07</v>
      </c>
      <c r="I6873" s="403">
        <v>8</v>
      </c>
      <c r="J6873" s="404">
        <v>8.56</v>
      </c>
      <c r="K6873"/>
    </row>
    <row r="6874" spans="1:11" ht="15" x14ac:dyDescent="0.3">
      <c r="A6874" s="581"/>
      <c r="B6874" s="581"/>
      <c r="C6874" s="581"/>
      <c r="D6874" s="581"/>
      <c r="E6874" s="581"/>
      <c r="F6874" s="581" t="s">
        <v>7920</v>
      </c>
      <c r="G6874" s="581"/>
      <c r="H6874" s="581"/>
      <c r="I6874" s="581"/>
      <c r="J6874" s="381">
        <v>40.93</v>
      </c>
      <c r="K6874"/>
    </row>
    <row r="6875" spans="1:11" ht="14.25" customHeight="1" x14ac:dyDescent="0.3">
      <c r="A6875" s="382" t="s">
        <v>7921</v>
      </c>
      <c r="B6875" s="312" t="s">
        <v>414</v>
      </c>
      <c r="C6875" s="382" t="s">
        <v>413</v>
      </c>
      <c r="D6875" s="382" t="s">
        <v>2381</v>
      </c>
      <c r="E6875" s="312"/>
      <c r="F6875" s="312"/>
      <c r="G6875" s="312" t="s">
        <v>7907</v>
      </c>
      <c r="H6875" s="312" t="s">
        <v>7908</v>
      </c>
      <c r="I6875" s="312" t="s">
        <v>1552</v>
      </c>
      <c r="J6875" s="312" t="s">
        <v>7905</v>
      </c>
      <c r="K6875"/>
    </row>
    <row r="6876" spans="1:11" ht="14.25" customHeight="1" x14ac:dyDescent="0.3">
      <c r="A6876" s="408" t="s">
        <v>7922</v>
      </c>
      <c r="B6876" s="409" t="s">
        <v>439</v>
      </c>
      <c r="C6876" s="408" t="s">
        <v>7992</v>
      </c>
      <c r="D6876" s="408" t="s">
        <v>124</v>
      </c>
      <c r="E6876" s="408"/>
      <c r="F6876" s="408" t="s">
        <v>7916</v>
      </c>
      <c r="G6876" s="410" t="s">
        <v>1109</v>
      </c>
      <c r="H6876" s="411">
        <v>27.03</v>
      </c>
      <c r="I6876" s="412">
        <v>0.25</v>
      </c>
      <c r="J6876" s="411">
        <v>6.75</v>
      </c>
      <c r="K6876"/>
    </row>
    <row r="6877" spans="1:11" ht="39.6" x14ac:dyDescent="0.3">
      <c r="A6877" s="408" t="s">
        <v>7922</v>
      </c>
      <c r="B6877" s="409" t="s">
        <v>439</v>
      </c>
      <c r="C6877" s="408" t="s">
        <v>7993</v>
      </c>
      <c r="D6877" s="408" t="s">
        <v>7994</v>
      </c>
      <c r="E6877" s="408"/>
      <c r="F6877" s="408" t="s">
        <v>7916</v>
      </c>
      <c r="G6877" s="410" t="s">
        <v>1109</v>
      </c>
      <c r="H6877" s="411">
        <v>32.89</v>
      </c>
      <c r="I6877" s="412">
        <v>0.25</v>
      </c>
      <c r="J6877" s="411">
        <v>8.2200000000000006</v>
      </c>
      <c r="K6877"/>
    </row>
    <row r="6878" spans="1:11" ht="15" x14ac:dyDescent="0.3">
      <c r="A6878" s="581"/>
      <c r="B6878" s="581"/>
      <c r="C6878" s="581"/>
      <c r="D6878" s="581"/>
      <c r="E6878" s="581"/>
      <c r="F6878" s="581" t="s">
        <v>7929</v>
      </c>
      <c r="G6878" s="581"/>
      <c r="H6878" s="581"/>
      <c r="I6878" s="581"/>
      <c r="J6878" s="381">
        <v>14.97</v>
      </c>
      <c r="K6878"/>
    </row>
    <row r="6879" spans="1:11" ht="27.6" x14ac:dyDescent="0.3">
      <c r="A6879" s="382" t="s">
        <v>6</v>
      </c>
      <c r="B6879" s="312" t="s">
        <v>414</v>
      </c>
      <c r="C6879" s="382" t="s">
        <v>413</v>
      </c>
      <c r="D6879" s="382" t="s">
        <v>7930</v>
      </c>
      <c r="E6879" s="312" t="s">
        <v>7931</v>
      </c>
      <c r="F6879" s="312" t="s">
        <v>7932</v>
      </c>
      <c r="G6879" s="312" t="s">
        <v>7907</v>
      </c>
      <c r="H6879" s="312" t="s">
        <v>7908</v>
      </c>
      <c r="I6879" s="312" t="s">
        <v>1552</v>
      </c>
      <c r="J6879" s="312" t="s">
        <v>7905</v>
      </c>
      <c r="K6879"/>
    </row>
    <row r="6880" spans="1:11" ht="38.25" customHeight="1" x14ac:dyDescent="0.3">
      <c r="A6880" s="581"/>
      <c r="B6880" s="581"/>
      <c r="C6880" s="581"/>
      <c r="D6880" s="581"/>
      <c r="E6880" s="581"/>
      <c r="F6880" s="581" t="s">
        <v>7933</v>
      </c>
      <c r="G6880" s="581"/>
      <c r="H6880" s="581"/>
      <c r="I6880" s="581"/>
      <c r="J6880" s="381">
        <v>0</v>
      </c>
      <c r="K6880"/>
    </row>
    <row r="6881" spans="1:11" ht="25.5" customHeight="1" x14ac:dyDescent="0.3">
      <c r="A6881" s="405"/>
      <c r="B6881" s="405"/>
      <c r="C6881" s="405"/>
      <c r="D6881" s="405"/>
      <c r="E6881" s="405" t="s">
        <v>1046</v>
      </c>
      <c r="F6881" s="406">
        <v>11.61</v>
      </c>
      <c r="G6881" s="405" t="s">
        <v>1047</v>
      </c>
      <c r="H6881" s="406">
        <v>0</v>
      </c>
      <c r="I6881" s="405" t="s">
        <v>1048</v>
      </c>
      <c r="J6881" s="406">
        <v>11.61</v>
      </c>
      <c r="K6881"/>
    </row>
    <row r="6882" spans="1:11" ht="25.5" customHeight="1" thickBot="1" x14ac:dyDescent="0.35">
      <c r="A6882" s="405"/>
      <c r="B6882" s="405"/>
      <c r="C6882" s="405"/>
      <c r="D6882" s="405"/>
      <c r="E6882" s="405" t="s">
        <v>1049</v>
      </c>
      <c r="F6882" s="406">
        <v>0</v>
      </c>
      <c r="G6882" s="405"/>
      <c r="H6882" s="606"/>
      <c r="I6882" s="606" t="s">
        <v>1050</v>
      </c>
      <c r="J6882" s="406">
        <v>55.9</v>
      </c>
      <c r="K6882"/>
    </row>
    <row r="6883" spans="1:11" ht="15.6" thickTop="1" x14ac:dyDescent="0.3">
      <c r="A6883" s="407"/>
      <c r="B6883" s="407"/>
      <c r="C6883" s="407"/>
      <c r="D6883" s="407"/>
      <c r="E6883" s="407"/>
      <c r="F6883" s="407"/>
      <c r="G6883" s="407"/>
      <c r="H6883" s="407"/>
      <c r="I6883" s="407"/>
      <c r="J6883" s="407"/>
      <c r="K6883"/>
    </row>
    <row r="6884" spans="1:11" ht="14.25" customHeight="1" x14ac:dyDescent="0.3">
      <c r="A6884" s="382"/>
      <c r="B6884" s="312" t="s">
        <v>413</v>
      </c>
      <c r="C6884" s="382" t="s">
        <v>414</v>
      </c>
      <c r="D6884" s="382" t="s">
        <v>415</v>
      </c>
      <c r="E6884" s="586" t="s">
        <v>1029</v>
      </c>
      <c r="F6884" s="586"/>
      <c r="G6884" s="383" t="s">
        <v>416</v>
      </c>
      <c r="H6884" s="312" t="s">
        <v>1030</v>
      </c>
      <c r="I6884" s="312" t="s">
        <v>3016</v>
      </c>
      <c r="J6884" s="312" t="s">
        <v>1031</v>
      </c>
      <c r="K6884" s="312" t="s">
        <v>1032</v>
      </c>
    </row>
    <row r="6885" spans="1:11" ht="17.399999999999999" customHeight="1" x14ac:dyDescent="0.3">
      <c r="A6885" s="313" t="s">
        <v>1033</v>
      </c>
      <c r="B6885" s="315" t="s">
        <v>5207</v>
      </c>
      <c r="C6885" s="313" t="s">
        <v>395</v>
      </c>
      <c r="D6885" s="313" t="s">
        <v>5208</v>
      </c>
      <c r="E6885" s="603" t="s">
        <v>7772</v>
      </c>
      <c r="F6885" s="603"/>
      <c r="G6885" s="314" t="s">
        <v>19</v>
      </c>
      <c r="H6885" s="399">
        <v>1</v>
      </c>
      <c r="I6885" s="316"/>
      <c r="J6885" s="316">
        <v>121.51</v>
      </c>
      <c r="K6885" s="316">
        <v>121.51</v>
      </c>
    </row>
    <row r="6886" spans="1:11" ht="26.4" x14ac:dyDescent="0.3">
      <c r="A6886" s="408" t="s">
        <v>1034</v>
      </c>
      <c r="B6886" s="409" t="s">
        <v>1553</v>
      </c>
      <c r="C6886" s="408" t="s">
        <v>395</v>
      </c>
      <c r="D6886" s="408" t="s">
        <v>143</v>
      </c>
      <c r="E6886" s="604" t="s">
        <v>7768</v>
      </c>
      <c r="F6886" s="604"/>
      <c r="G6886" s="410" t="s">
        <v>6</v>
      </c>
      <c r="H6886" s="412">
        <v>2</v>
      </c>
      <c r="I6886" s="412">
        <v>0</v>
      </c>
      <c r="J6886" s="411">
        <v>41.28</v>
      </c>
      <c r="K6886" s="411">
        <v>82.56</v>
      </c>
    </row>
    <row r="6887" spans="1:11" ht="14.25" customHeight="1" x14ac:dyDescent="0.3">
      <c r="A6887" s="408" t="s">
        <v>1034</v>
      </c>
      <c r="B6887" s="409" t="s">
        <v>7995</v>
      </c>
      <c r="C6887" s="408" t="s">
        <v>395</v>
      </c>
      <c r="D6887" s="408" t="s">
        <v>7996</v>
      </c>
      <c r="E6887" s="604" t="s">
        <v>7946</v>
      </c>
      <c r="F6887" s="604"/>
      <c r="G6887" s="410" t="s">
        <v>6</v>
      </c>
      <c r="H6887" s="412">
        <v>1</v>
      </c>
      <c r="I6887" s="412">
        <v>0</v>
      </c>
      <c r="J6887" s="411">
        <v>29.77</v>
      </c>
      <c r="K6887" s="411">
        <v>29.77</v>
      </c>
    </row>
    <row r="6888" spans="1:11" ht="15" customHeight="1" x14ac:dyDescent="0.3">
      <c r="A6888" s="408" t="s">
        <v>1034</v>
      </c>
      <c r="B6888" s="409" t="s">
        <v>7997</v>
      </c>
      <c r="C6888" s="408" t="s">
        <v>395</v>
      </c>
      <c r="D6888" s="408" t="s">
        <v>7998</v>
      </c>
      <c r="E6888" s="604" t="s">
        <v>7946</v>
      </c>
      <c r="F6888" s="604"/>
      <c r="G6888" s="410" t="s">
        <v>6</v>
      </c>
      <c r="H6888" s="412">
        <v>1</v>
      </c>
      <c r="I6888" s="412">
        <v>0</v>
      </c>
      <c r="J6888" s="411">
        <v>9.18</v>
      </c>
      <c r="K6888" s="411">
        <v>9.18</v>
      </c>
    </row>
    <row r="6889" spans="1:11" ht="30" customHeight="1" x14ac:dyDescent="0.3">
      <c r="A6889" s="405"/>
      <c r="B6889" s="405"/>
      <c r="C6889" s="405"/>
      <c r="D6889" s="405"/>
      <c r="E6889" s="405" t="s">
        <v>1046</v>
      </c>
      <c r="F6889" s="406">
        <v>64.66</v>
      </c>
      <c r="G6889" s="405" t="s">
        <v>1047</v>
      </c>
      <c r="H6889" s="406">
        <v>0</v>
      </c>
      <c r="I6889" s="405" t="s">
        <v>1048</v>
      </c>
      <c r="J6889" s="406">
        <v>64.66</v>
      </c>
      <c r="K6889"/>
    </row>
    <row r="6890" spans="1:11" ht="15.6" thickBot="1" x14ac:dyDescent="0.35">
      <c r="A6890" s="405"/>
      <c r="B6890" s="405"/>
      <c r="C6890" s="405"/>
      <c r="D6890" s="405"/>
      <c r="E6890" s="405" t="s">
        <v>1049</v>
      </c>
      <c r="F6890" s="406">
        <v>0</v>
      </c>
      <c r="G6890" s="405"/>
      <c r="H6890" s="606"/>
      <c r="I6890" s="606" t="s">
        <v>1050</v>
      </c>
      <c r="J6890" s="406">
        <v>121.51</v>
      </c>
      <c r="K6890"/>
    </row>
    <row r="6891" spans="1:11" ht="38.25" customHeight="1" thickTop="1" x14ac:dyDescent="0.3">
      <c r="A6891" s="407"/>
      <c r="B6891" s="407"/>
      <c r="C6891" s="407"/>
      <c r="D6891" s="407"/>
      <c r="E6891" s="407"/>
      <c r="F6891" s="407"/>
      <c r="G6891" s="407"/>
      <c r="H6891" s="407"/>
      <c r="I6891" s="407"/>
      <c r="J6891" s="407"/>
      <c r="K6891"/>
    </row>
    <row r="6892" spans="1:11" ht="25.5" customHeight="1" x14ac:dyDescent="0.3">
      <c r="A6892" s="382"/>
      <c r="B6892" s="312" t="s">
        <v>413</v>
      </c>
      <c r="C6892" s="382" t="s">
        <v>414</v>
      </c>
      <c r="D6892" s="382" t="s">
        <v>415</v>
      </c>
      <c r="E6892" s="586" t="s">
        <v>1029</v>
      </c>
      <c r="F6892" s="586"/>
      <c r="G6892" s="383" t="s">
        <v>416</v>
      </c>
      <c r="H6892" s="312" t="s">
        <v>1030</v>
      </c>
      <c r="I6892" s="312" t="s">
        <v>3016</v>
      </c>
      <c r="J6892" s="312" t="s">
        <v>1031</v>
      </c>
      <c r="K6892" s="312" t="s">
        <v>1032</v>
      </c>
    </row>
    <row r="6893" spans="1:11" ht="14.25" customHeight="1" x14ac:dyDescent="0.3">
      <c r="A6893" s="313" t="s">
        <v>1033</v>
      </c>
      <c r="B6893" s="315" t="s">
        <v>5205</v>
      </c>
      <c r="C6893" s="313" t="s">
        <v>395</v>
      </c>
      <c r="D6893" s="313" t="s">
        <v>5206</v>
      </c>
      <c r="E6893" s="603" t="s">
        <v>7772</v>
      </c>
      <c r="F6893" s="603"/>
      <c r="G6893" s="314" t="s">
        <v>15</v>
      </c>
      <c r="H6893" s="399">
        <v>1</v>
      </c>
      <c r="I6893" s="316"/>
      <c r="J6893" s="316">
        <v>259.33</v>
      </c>
      <c r="K6893" s="316">
        <v>259.33</v>
      </c>
    </row>
    <row r="6894" spans="1:11" ht="26.4" x14ac:dyDescent="0.3">
      <c r="A6894" s="408" t="s">
        <v>1034</v>
      </c>
      <c r="B6894" s="409" t="s">
        <v>1553</v>
      </c>
      <c r="C6894" s="408" t="s">
        <v>395</v>
      </c>
      <c r="D6894" s="408" t="s">
        <v>143</v>
      </c>
      <c r="E6894" s="604" t="s">
        <v>7768</v>
      </c>
      <c r="F6894" s="604"/>
      <c r="G6894" s="410" t="s">
        <v>6</v>
      </c>
      <c r="H6894" s="412">
        <v>2</v>
      </c>
      <c r="I6894" s="412">
        <v>0</v>
      </c>
      <c r="J6894" s="411">
        <v>41.28</v>
      </c>
      <c r="K6894" s="411">
        <v>82.56</v>
      </c>
    </row>
    <row r="6895" spans="1:11" ht="26.4" x14ac:dyDescent="0.3">
      <c r="A6895" s="408" t="s">
        <v>1034</v>
      </c>
      <c r="B6895" s="409" t="s">
        <v>7995</v>
      </c>
      <c r="C6895" s="408" t="s">
        <v>395</v>
      </c>
      <c r="D6895" s="408" t="s">
        <v>7996</v>
      </c>
      <c r="E6895" s="604" t="s">
        <v>7946</v>
      </c>
      <c r="F6895" s="604"/>
      <c r="G6895" s="410" t="s">
        <v>6</v>
      </c>
      <c r="H6895" s="412">
        <v>1</v>
      </c>
      <c r="I6895" s="412">
        <v>0</v>
      </c>
      <c r="J6895" s="411">
        <v>29.77</v>
      </c>
      <c r="K6895" s="411">
        <v>29.77</v>
      </c>
    </row>
    <row r="6896" spans="1:11" ht="26.4" x14ac:dyDescent="0.3">
      <c r="A6896" s="408" t="s">
        <v>1034</v>
      </c>
      <c r="B6896" s="409" t="s">
        <v>7997</v>
      </c>
      <c r="C6896" s="408" t="s">
        <v>395</v>
      </c>
      <c r="D6896" s="408" t="s">
        <v>7998</v>
      </c>
      <c r="E6896" s="604" t="s">
        <v>7946</v>
      </c>
      <c r="F6896" s="604"/>
      <c r="G6896" s="410" t="s">
        <v>6</v>
      </c>
      <c r="H6896" s="412">
        <v>1</v>
      </c>
      <c r="I6896" s="412">
        <v>0</v>
      </c>
      <c r="J6896" s="411">
        <v>9.18</v>
      </c>
      <c r="K6896" s="411">
        <v>9.18</v>
      </c>
    </row>
    <row r="6897" spans="1:11" ht="12.75" customHeight="1" x14ac:dyDescent="0.3">
      <c r="A6897" s="408" t="s">
        <v>1034</v>
      </c>
      <c r="B6897" s="409" t="s">
        <v>7999</v>
      </c>
      <c r="C6897" s="408" t="s">
        <v>395</v>
      </c>
      <c r="D6897" s="408" t="s">
        <v>8000</v>
      </c>
      <c r="E6897" s="604" t="s">
        <v>7946</v>
      </c>
      <c r="F6897" s="604"/>
      <c r="G6897" s="410" t="s">
        <v>6</v>
      </c>
      <c r="H6897" s="412">
        <v>1</v>
      </c>
      <c r="I6897" s="412">
        <v>0</v>
      </c>
      <c r="J6897" s="411">
        <v>27.94</v>
      </c>
      <c r="K6897" s="411">
        <v>27.94</v>
      </c>
    </row>
    <row r="6898" spans="1:11" ht="25.5" customHeight="1" x14ac:dyDescent="0.3">
      <c r="A6898" s="408" t="s">
        <v>1034</v>
      </c>
      <c r="B6898" s="409" t="s">
        <v>8001</v>
      </c>
      <c r="C6898" s="408" t="s">
        <v>395</v>
      </c>
      <c r="D6898" s="408" t="s">
        <v>8002</v>
      </c>
      <c r="E6898" s="604" t="s">
        <v>7946</v>
      </c>
      <c r="F6898" s="604"/>
      <c r="G6898" s="410" t="s">
        <v>6</v>
      </c>
      <c r="H6898" s="412">
        <v>1</v>
      </c>
      <c r="I6898" s="412">
        <v>0</v>
      </c>
      <c r="J6898" s="411">
        <v>109.88</v>
      </c>
      <c r="K6898" s="411">
        <v>109.88</v>
      </c>
    </row>
    <row r="6899" spans="1:11" ht="14.25" customHeight="1" x14ac:dyDescent="0.3">
      <c r="A6899" s="405"/>
      <c r="B6899" s="405"/>
      <c r="C6899" s="405"/>
      <c r="D6899" s="405"/>
      <c r="E6899" s="405" t="s">
        <v>1046</v>
      </c>
      <c r="F6899" s="406">
        <v>64.66</v>
      </c>
      <c r="G6899" s="405" t="s">
        <v>1047</v>
      </c>
      <c r="H6899" s="406">
        <v>0</v>
      </c>
      <c r="I6899" s="405" t="s">
        <v>1048</v>
      </c>
      <c r="J6899" s="406">
        <v>64.66</v>
      </c>
      <c r="K6899"/>
    </row>
    <row r="6900" spans="1:11" ht="15.6" thickBot="1" x14ac:dyDescent="0.35">
      <c r="A6900" s="405"/>
      <c r="B6900" s="405"/>
      <c r="C6900" s="405"/>
      <c r="D6900" s="405"/>
      <c r="E6900" s="405" t="s">
        <v>1049</v>
      </c>
      <c r="F6900" s="406">
        <v>0</v>
      </c>
      <c r="G6900" s="405"/>
      <c r="H6900" s="606"/>
      <c r="I6900" s="606" t="s">
        <v>1050</v>
      </c>
      <c r="J6900" s="406">
        <v>259.33</v>
      </c>
      <c r="K6900"/>
    </row>
    <row r="6901" spans="1:11" ht="15.6" thickTop="1" x14ac:dyDescent="0.3">
      <c r="A6901" s="407"/>
      <c r="B6901" s="407"/>
      <c r="C6901" s="407"/>
      <c r="D6901" s="407"/>
      <c r="E6901" s="407"/>
      <c r="F6901" s="407"/>
      <c r="G6901" s="407"/>
      <c r="H6901" s="407"/>
      <c r="I6901" s="407"/>
      <c r="J6901" s="407"/>
      <c r="K6901"/>
    </row>
    <row r="6902" spans="1:11" ht="16.95" customHeight="1" x14ac:dyDescent="0.3">
      <c r="A6902" s="382"/>
      <c r="B6902" s="312" t="s">
        <v>413</v>
      </c>
      <c r="C6902" s="382" t="s">
        <v>414</v>
      </c>
      <c r="D6902" s="382" t="s">
        <v>415</v>
      </c>
      <c r="E6902" s="586" t="s">
        <v>1029</v>
      </c>
      <c r="F6902" s="586"/>
      <c r="G6902" s="383" t="s">
        <v>416</v>
      </c>
      <c r="H6902" s="312" t="s">
        <v>1030</v>
      </c>
      <c r="I6902" s="312" t="s">
        <v>3016</v>
      </c>
      <c r="J6902" s="312" t="s">
        <v>1031</v>
      </c>
      <c r="K6902" s="312" t="s">
        <v>1032</v>
      </c>
    </row>
    <row r="6903" spans="1:11" ht="38.25" customHeight="1" x14ac:dyDescent="0.3">
      <c r="A6903" s="313" t="s">
        <v>1033</v>
      </c>
      <c r="B6903" s="315" t="s">
        <v>7995</v>
      </c>
      <c r="C6903" s="313" t="s">
        <v>395</v>
      </c>
      <c r="D6903" s="313" t="s">
        <v>7996</v>
      </c>
      <c r="E6903" s="603" t="s">
        <v>7946</v>
      </c>
      <c r="F6903" s="603"/>
      <c r="G6903" s="314" t="s">
        <v>6</v>
      </c>
      <c r="H6903" s="399">
        <v>1</v>
      </c>
      <c r="I6903" s="316"/>
      <c r="J6903" s="316">
        <v>29.77</v>
      </c>
      <c r="K6903" s="316">
        <v>29.77</v>
      </c>
    </row>
    <row r="6904" spans="1:11" ht="14.25" customHeight="1" x14ac:dyDescent="0.3">
      <c r="A6904" s="400" t="s">
        <v>1038</v>
      </c>
      <c r="B6904" s="401" t="s">
        <v>5081</v>
      </c>
      <c r="C6904" s="400" t="s">
        <v>395</v>
      </c>
      <c r="D6904" s="400" t="s">
        <v>5082</v>
      </c>
      <c r="E6904" s="605" t="s">
        <v>1317</v>
      </c>
      <c r="F6904" s="605"/>
      <c r="G6904" s="402" t="s">
        <v>4</v>
      </c>
      <c r="H6904" s="403">
        <v>4.57E-5</v>
      </c>
      <c r="I6904" s="403">
        <v>0</v>
      </c>
      <c r="J6904" s="404">
        <v>651367.18000000005</v>
      </c>
      <c r="K6904" s="404">
        <v>29.7674801</v>
      </c>
    </row>
    <row r="6905" spans="1:11" ht="25.5" customHeight="1" x14ac:dyDescent="0.3">
      <c r="A6905" s="405"/>
      <c r="B6905" s="405"/>
      <c r="C6905" s="405"/>
      <c r="D6905" s="405"/>
      <c r="E6905" s="405" t="s">
        <v>1046</v>
      </c>
      <c r="F6905" s="406">
        <v>0</v>
      </c>
      <c r="G6905" s="405" t="s">
        <v>1047</v>
      </c>
      <c r="H6905" s="406">
        <v>0</v>
      </c>
      <c r="I6905" s="405" t="s">
        <v>1048</v>
      </c>
      <c r="J6905" s="406">
        <v>0</v>
      </c>
      <c r="K6905"/>
    </row>
    <row r="6906" spans="1:11" ht="15.6" thickBot="1" x14ac:dyDescent="0.35">
      <c r="A6906" s="405"/>
      <c r="B6906" s="405"/>
      <c r="C6906" s="405"/>
      <c r="D6906" s="405"/>
      <c r="E6906" s="405" t="s">
        <v>1049</v>
      </c>
      <c r="F6906" s="406">
        <v>0</v>
      </c>
      <c r="G6906" s="405"/>
      <c r="H6906" s="606"/>
      <c r="I6906" s="606" t="s">
        <v>1050</v>
      </c>
      <c r="J6906" s="406">
        <v>29.77</v>
      </c>
      <c r="K6906"/>
    </row>
    <row r="6907" spans="1:11" ht="15.6" thickTop="1" x14ac:dyDescent="0.3">
      <c r="A6907" s="407"/>
      <c r="B6907" s="407"/>
      <c r="C6907" s="407"/>
      <c r="D6907" s="407"/>
      <c r="E6907" s="407"/>
      <c r="F6907" s="407"/>
      <c r="G6907" s="407"/>
      <c r="H6907" s="407"/>
      <c r="I6907" s="407"/>
      <c r="J6907" s="407"/>
      <c r="K6907"/>
    </row>
    <row r="6908" spans="1:11" ht="12.75" customHeight="1" x14ac:dyDescent="0.3">
      <c r="A6908" s="382"/>
      <c r="B6908" s="312" t="s">
        <v>413</v>
      </c>
      <c r="C6908" s="382" t="s">
        <v>414</v>
      </c>
      <c r="D6908" s="382" t="s">
        <v>415</v>
      </c>
      <c r="E6908" s="586" t="s">
        <v>1029</v>
      </c>
      <c r="F6908" s="586"/>
      <c r="G6908" s="383" t="s">
        <v>416</v>
      </c>
      <c r="H6908" s="312" t="s">
        <v>1030</v>
      </c>
      <c r="I6908" s="312" t="s">
        <v>3016</v>
      </c>
      <c r="J6908" s="312" t="s">
        <v>1031</v>
      </c>
      <c r="K6908" s="312" t="s">
        <v>1032</v>
      </c>
    </row>
    <row r="6909" spans="1:11" ht="25.5" customHeight="1" x14ac:dyDescent="0.3">
      <c r="A6909" s="313" t="s">
        <v>1033</v>
      </c>
      <c r="B6909" s="315" t="s">
        <v>7997</v>
      </c>
      <c r="C6909" s="313" t="s">
        <v>395</v>
      </c>
      <c r="D6909" s="313" t="s">
        <v>7998</v>
      </c>
      <c r="E6909" s="603" t="s">
        <v>7946</v>
      </c>
      <c r="F6909" s="603"/>
      <c r="G6909" s="314" t="s">
        <v>6</v>
      </c>
      <c r="H6909" s="399">
        <v>1</v>
      </c>
      <c r="I6909" s="316"/>
      <c r="J6909" s="316">
        <v>9.18</v>
      </c>
      <c r="K6909" s="316">
        <v>9.18</v>
      </c>
    </row>
    <row r="6910" spans="1:11" ht="14.25" customHeight="1" x14ac:dyDescent="0.3">
      <c r="A6910" s="400" t="s">
        <v>1038</v>
      </c>
      <c r="B6910" s="401" t="s">
        <v>5081</v>
      </c>
      <c r="C6910" s="400" t="s">
        <v>395</v>
      </c>
      <c r="D6910" s="400" t="s">
        <v>5082</v>
      </c>
      <c r="E6910" s="605" t="s">
        <v>1317</v>
      </c>
      <c r="F6910" s="605"/>
      <c r="G6910" s="402" t="s">
        <v>4</v>
      </c>
      <c r="H6910" s="403">
        <v>1.4100000000000001E-5</v>
      </c>
      <c r="I6910" s="403">
        <v>0</v>
      </c>
      <c r="J6910" s="404">
        <v>651367.18000000005</v>
      </c>
      <c r="K6910" s="404">
        <v>9.1842772000000004</v>
      </c>
    </row>
    <row r="6911" spans="1:11" ht="15" x14ac:dyDescent="0.3">
      <c r="A6911" s="405"/>
      <c r="B6911" s="405"/>
      <c r="C6911" s="405"/>
      <c r="D6911" s="405"/>
      <c r="E6911" s="405" t="s">
        <v>1046</v>
      </c>
      <c r="F6911" s="406">
        <v>0</v>
      </c>
      <c r="G6911" s="405" t="s">
        <v>1047</v>
      </c>
      <c r="H6911" s="406">
        <v>0</v>
      </c>
      <c r="I6911" s="405" t="s">
        <v>1048</v>
      </c>
      <c r="J6911" s="406">
        <v>0</v>
      </c>
      <c r="K6911"/>
    </row>
    <row r="6912" spans="1:11" ht="15.6" thickBot="1" x14ac:dyDescent="0.35">
      <c r="A6912" s="405"/>
      <c r="B6912" s="405"/>
      <c r="C6912" s="405"/>
      <c r="D6912" s="405"/>
      <c r="E6912" s="405" t="s">
        <v>1049</v>
      </c>
      <c r="F6912" s="406">
        <v>0</v>
      </c>
      <c r="G6912" s="405"/>
      <c r="H6912" s="606"/>
      <c r="I6912" s="606" t="s">
        <v>1050</v>
      </c>
      <c r="J6912" s="406">
        <v>9.18</v>
      </c>
      <c r="K6912"/>
    </row>
    <row r="6913" spans="1:11" ht="15.6" thickTop="1" x14ac:dyDescent="0.3">
      <c r="A6913" s="407"/>
      <c r="B6913" s="407"/>
      <c r="C6913" s="407"/>
      <c r="D6913" s="407"/>
      <c r="E6913" s="407"/>
      <c r="F6913" s="407"/>
      <c r="G6913" s="407"/>
      <c r="H6913" s="407"/>
      <c r="I6913" s="407"/>
      <c r="J6913" s="407"/>
      <c r="K6913"/>
    </row>
    <row r="6914" spans="1:11" ht="38.25" customHeight="1" x14ac:dyDescent="0.3">
      <c r="A6914" s="382"/>
      <c r="B6914" s="312" t="s">
        <v>413</v>
      </c>
      <c r="C6914" s="382" t="s">
        <v>414</v>
      </c>
      <c r="D6914" s="382" t="s">
        <v>415</v>
      </c>
      <c r="E6914" s="586" t="s">
        <v>1029</v>
      </c>
      <c r="F6914" s="586"/>
      <c r="G6914" s="383" t="s">
        <v>416</v>
      </c>
      <c r="H6914" s="312" t="s">
        <v>1030</v>
      </c>
      <c r="I6914" s="312" t="s">
        <v>3016</v>
      </c>
      <c r="J6914" s="312" t="s">
        <v>1031</v>
      </c>
      <c r="K6914" s="312" t="s">
        <v>1032</v>
      </c>
    </row>
    <row r="6915" spans="1:11" ht="14.25" customHeight="1" x14ac:dyDescent="0.3">
      <c r="A6915" s="313" t="s">
        <v>1033</v>
      </c>
      <c r="B6915" s="315" t="s">
        <v>7999</v>
      </c>
      <c r="C6915" s="313" t="s">
        <v>395</v>
      </c>
      <c r="D6915" s="313" t="s">
        <v>8000</v>
      </c>
      <c r="E6915" s="603" t="s">
        <v>7946</v>
      </c>
      <c r="F6915" s="603"/>
      <c r="G6915" s="314" t="s">
        <v>6</v>
      </c>
      <c r="H6915" s="399">
        <v>1</v>
      </c>
      <c r="I6915" s="316"/>
      <c r="J6915" s="316">
        <v>27.94</v>
      </c>
      <c r="K6915" s="316">
        <v>27.94</v>
      </c>
    </row>
    <row r="6916" spans="1:11" ht="25.5" customHeight="1" x14ac:dyDescent="0.3">
      <c r="A6916" s="400" t="s">
        <v>1038</v>
      </c>
      <c r="B6916" s="401" t="s">
        <v>5081</v>
      </c>
      <c r="C6916" s="400" t="s">
        <v>395</v>
      </c>
      <c r="D6916" s="400" t="s">
        <v>5082</v>
      </c>
      <c r="E6916" s="605" t="s">
        <v>1317</v>
      </c>
      <c r="F6916" s="605"/>
      <c r="G6916" s="402" t="s">
        <v>4</v>
      </c>
      <c r="H6916" s="403">
        <v>4.2899999999999999E-5</v>
      </c>
      <c r="I6916" s="403">
        <v>0</v>
      </c>
      <c r="J6916" s="404">
        <v>651367.18000000005</v>
      </c>
      <c r="K6916" s="404">
        <v>27.943652</v>
      </c>
    </row>
    <row r="6917" spans="1:11" ht="15" x14ac:dyDescent="0.3">
      <c r="A6917" s="405"/>
      <c r="B6917" s="405"/>
      <c r="C6917" s="405"/>
      <c r="D6917" s="405"/>
      <c r="E6917" s="405" t="s">
        <v>1046</v>
      </c>
      <c r="F6917" s="406">
        <v>0</v>
      </c>
      <c r="G6917" s="405" t="s">
        <v>1047</v>
      </c>
      <c r="H6917" s="406">
        <v>0</v>
      </c>
      <c r="I6917" s="405" t="s">
        <v>1048</v>
      </c>
      <c r="J6917" s="406">
        <v>0</v>
      </c>
      <c r="K6917"/>
    </row>
    <row r="6918" spans="1:11" ht="15.6" thickBot="1" x14ac:dyDescent="0.35">
      <c r="A6918" s="405"/>
      <c r="B6918" s="405"/>
      <c r="C6918" s="405"/>
      <c r="D6918" s="405"/>
      <c r="E6918" s="405" t="s">
        <v>1049</v>
      </c>
      <c r="F6918" s="406">
        <v>0</v>
      </c>
      <c r="G6918" s="405"/>
      <c r="H6918" s="606"/>
      <c r="I6918" s="606" t="s">
        <v>1050</v>
      </c>
      <c r="J6918" s="406">
        <v>27.94</v>
      </c>
      <c r="K6918"/>
    </row>
    <row r="6919" spans="1:11" ht="12.75" customHeight="1" thickTop="1" x14ac:dyDescent="0.3">
      <c r="A6919" s="407"/>
      <c r="B6919" s="407"/>
      <c r="C6919" s="407"/>
      <c r="D6919" s="407"/>
      <c r="E6919" s="407"/>
      <c r="F6919" s="407"/>
      <c r="G6919" s="407"/>
      <c r="H6919" s="407"/>
      <c r="I6919" s="407"/>
      <c r="J6919" s="407"/>
      <c r="K6919"/>
    </row>
    <row r="6920" spans="1:11" ht="25.5" customHeight="1" x14ac:dyDescent="0.3">
      <c r="A6920" s="382"/>
      <c r="B6920" s="312" t="s">
        <v>413</v>
      </c>
      <c r="C6920" s="382" t="s">
        <v>414</v>
      </c>
      <c r="D6920" s="382" t="s">
        <v>415</v>
      </c>
      <c r="E6920" s="586" t="s">
        <v>1029</v>
      </c>
      <c r="F6920" s="586"/>
      <c r="G6920" s="383" t="s">
        <v>416</v>
      </c>
      <c r="H6920" s="312" t="s">
        <v>1030</v>
      </c>
      <c r="I6920" s="312" t="s">
        <v>3016</v>
      </c>
      <c r="J6920" s="312" t="s">
        <v>1031</v>
      </c>
      <c r="K6920" s="312" t="s">
        <v>1032</v>
      </c>
    </row>
    <row r="6921" spans="1:11" ht="14.25" customHeight="1" x14ac:dyDescent="0.3">
      <c r="A6921" s="313" t="s">
        <v>1033</v>
      </c>
      <c r="B6921" s="315" t="s">
        <v>8001</v>
      </c>
      <c r="C6921" s="313" t="s">
        <v>395</v>
      </c>
      <c r="D6921" s="313" t="s">
        <v>8002</v>
      </c>
      <c r="E6921" s="603" t="s">
        <v>7946</v>
      </c>
      <c r="F6921" s="603"/>
      <c r="G6921" s="314" t="s">
        <v>6</v>
      </c>
      <c r="H6921" s="399">
        <v>1</v>
      </c>
      <c r="I6921" s="316"/>
      <c r="J6921" s="316">
        <v>109.88</v>
      </c>
      <c r="K6921" s="316">
        <v>109.88</v>
      </c>
    </row>
    <row r="6922" spans="1:11" ht="15" x14ac:dyDescent="0.3">
      <c r="A6922" s="400" t="s">
        <v>1038</v>
      </c>
      <c r="B6922" s="401" t="s">
        <v>4383</v>
      </c>
      <c r="C6922" s="400" t="s">
        <v>395</v>
      </c>
      <c r="D6922" s="400" t="s">
        <v>4384</v>
      </c>
      <c r="E6922" s="605" t="s">
        <v>1039</v>
      </c>
      <c r="F6922" s="605"/>
      <c r="G6922" s="402" t="s">
        <v>8</v>
      </c>
      <c r="H6922" s="403">
        <v>15.52</v>
      </c>
      <c r="I6922" s="403">
        <v>0</v>
      </c>
      <c r="J6922" s="404">
        <v>7.08</v>
      </c>
      <c r="K6922" s="404">
        <v>109.88160000000001</v>
      </c>
    </row>
    <row r="6923" spans="1:11" ht="15" x14ac:dyDescent="0.3">
      <c r="A6923" s="405"/>
      <c r="B6923" s="405"/>
      <c r="C6923" s="405"/>
      <c r="D6923" s="405"/>
      <c r="E6923" s="405" t="s">
        <v>1046</v>
      </c>
      <c r="F6923" s="406">
        <v>0</v>
      </c>
      <c r="G6923" s="405" t="s">
        <v>1047</v>
      </c>
      <c r="H6923" s="406">
        <v>0</v>
      </c>
      <c r="I6923" s="405" t="s">
        <v>1048</v>
      </c>
      <c r="J6923" s="406">
        <v>0</v>
      </c>
      <c r="K6923"/>
    </row>
    <row r="6924" spans="1:11" ht="15.6" thickBot="1" x14ac:dyDescent="0.35">
      <c r="A6924" s="405"/>
      <c r="B6924" s="405"/>
      <c r="C6924" s="405"/>
      <c r="D6924" s="405"/>
      <c r="E6924" s="405" t="s">
        <v>1049</v>
      </c>
      <c r="F6924" s="406">
        <v>0</v>
      </c>
      <c r="G6924" s="405"/>
      <c r="H6924" s="606"/>
      <c r="I6924" s="606" t="s">
        <v>1050</v>
      </c>
      <c r="J6924" s="406">
        <v>109.88</v>
      </c>
      <c r="K6924"/>
    </row>
    <row r="6925" spans="1:11" ht="38.25" customHeight="1" thickTop="1" x14ac:dyDescent="0.3">
      <c r="A6925" s="407"/>
      <c r="B6925" s="407"/>
      <c r="C6925" s="407"/>
      <c r="D6925" s="407"/>
      <c r="E6925" s="407"/>
      <c r="F6925" s="407"/>
      <c r="G6925" s="407"/>
      <c r="H6925" s="407"/>
      <c r="I6925" s="407"/>
      <c r="J6925" s="407"/>
      <c r="K6925"/>
    </row>
    <row r="6926" spans="1:11" ht="14.25" customHeight="1" x14ac:dyDescent="0.3">
      <c r="A6926" s="382"/>
      <c r="B6926" s="312" t="s">
        <v>413</v>
      </c>
      <c r="C6926" s="382" t="s">
        <v>414</v>
      </c>
      <c r="D6926" s="382" t="s">
        <v>415</v>
      </c>
      <c r="E6926" s="586" t="s">
        <v>1029</v>
      </c>
      <c r="F6926" s="586"/>
      <c r="G6926" s="383" t="s">
        <v>416</v>
      </c>
      <c r="H6926" s="312" t="s">
        <v>1030</v>
      </c>
      <c r="I6926" s="312" t="s">
        <v>3016</v>
      </c>
      <c r="J6926" s="312" t="s">
        <v>1031</v>
      </c>
      <c r="K6926" s="312" t="s">
        <v>1032</v>
      </c>
    </row>
    <row r="6927" spans="1:11" ht="25.5" customHeight="1" x14ac:dyDescent="0.3">
      <c r="A6927" s="313" t="s">
        <v>1033</v>
      </c>
      <c r="B6927" s="315" t="s">
        <v>2279</v>
      </c>
      <c r="C6927" s="313" t="s">
        <v>395</v>
      </c>
      <c r="D6927" s="313" t="s">
        <v>7829</v>
      </c>
      <c r="E6927" s="603" t="s">
        <v>7772</v>
      </c>
      <c r="F6927" s="603"/>
      <c r="G6927" s="314" t="s">
        <v>19</v>
      </c>
      <c r="H6927" s="399">
        <v>1</v>
      </c>
      <c r="I6927" s="316"/>
      <c r="J6927" s="316">
        <v>0.46</v>
      </c>
      <c r="K6927" s="316">
        <v>0.46</v>
      </c>
    </row>
    <row r="6928" spans="1:11" ht="15" customHeight="1" x14ac:dyDescent="0.3">
      <c r="A6928" s="408" t="s">
        <v>1034</v>
      </c>
      <c r="B6928" s="409" t="s">
        <v>8003</v>
      </c>
      <c r="C6928" s="408" t="s">
        <v>395</v>
      </c>
      <c r="D6928" s="408" t="s">
        <v>8004</v>
      </c>
      <c r="E6928" s="604" t="s">
        <v>7946</v>
      </c>
      <c r="F6928" s="604"/>
      <c r="G6928" s="410" t="s">
        <v>6</v>
      </c>
      <c r="H6928" s="412">
        <v>1</v>
      </c>
      <c r="I6928" s="412">
        <v>0</v>
      </c>
      <c r="J6928" s="411">
        <v>0.37</v>
      </c>
      <c r="K6928" s="411">
        <v>0.37</v>
      </c>
    </row>
    <row r="6929" spans="1:11" ht="30" customHeight="1" x14ac:dyDescent="0.3">
      <c r="A6929" s="408" t="s">
        <v>1034</v>
      </c>
      <c r="B6929" s="409" t="s">
        <v>8005</v>
      </c>
      <c r="C6929" s="408" t="s">
        <v>395</v>
      </c>
      <c r="D6929" s="408" t="s">
        <v>8006</v>
      </c>
      <c r="E6929" s="604" t="s">
        <v>7946</v>
      </c>
      <c r="F6929" s="604"/>
      <c r="G6929" s="410" t="s">
        <v>6</v>
      </c>
      <c r="H6929" s="412">
        <v>1</v>
      </c>
      <c r="I6929" s="412">
        <v>0</v>
      </c>
      <c r="J6929" s="411">
        <v>0.09</v>
      </c>
      <c r="K6929" s="411">
        <v>0.09</v>
      </c>
    </row>
    <row r="6930" spans="1:11" ht="25.5" customHeight="1" x14ac:dyDescent="0.3">
      <c r="A6930" s="405"/>
      <c r="B6930" s="405"/>
      <c r="C6930" s="405"/>
      <c r="D6930" s="405"/>
      <c r="E6930" s="405" t="s">
        <v>1046</v>
      </c>
      <c r="F6930" s="406">
        <v>0</v>
      </c>
      <c r="G6930" s="405" t="s">
        <v>1047</v>
      </c>
      <c r="H6930" s="406">
        <v>0</v>
      </c>
      <c r="I6930" s="405" t="s">
        <v>1048</v>
      </c>
      <c r="J6930" s="406">
        <v>0</v>
      </c>
      <c r="K6930"/>
    </row>
    <row r="6931" spans="1:11" ht="38.25" customHeight="1" thickBot="1" x14ac:dyDescent="0.35">
      <c r="A6931" s="405"/>
      <c r="B6931" s="405"/>
      <c r="C6931" s="405"/>
      <c r="D6931" s="405"/>
      <c r="E6931" s="405" t="s">
        <v>1049</v>
      </c>
      <c r="F6931" s="406">
        <v>0</v>
      </c>
      <c r="G6931" s="405"/>
      <c r="H6931" s="606"/>
      <c r="I6931" s="606" t="s">
        <v>1050</v>
      </c>
      <c r="J6931" s="406">
        <v>0.46</v>
      </c>
      <c r="K6931"/>
    </row>
    <row r="6932" spans="1:11" ht="14.25" customHeight="1" thickTop="1" x14ac:dyDescent="0.3">
      <c r="A6932" s="407"/>
      <c r="B6932" s="407"/>
      <c r="C6932" s="407"/>
      <c r="D6932" s="407"/>
      <c r="E6932" s="407"/>
      <c r="F6932" s="407"/>
      <c r="G6932" s="407"/>
      <c r="H6932" s="407"/>
      <c r="I6932" s="407"/>
      <c r="J6932" s="407"/>
      <c r="K6932"/>
    </row>
    <row r="6933" spans="1:11" ht="25.5" customHeight="1" x14ac:dyDescent="0.3">
      <c r="A6933" s="382"/>
      <c r="B6933" s="312" t="s">
        <v>413</v>
      </c>
      <c r="C6933" s="382" t="s">
        <v>414</v>
      </c>
      <c r="D6933" s="382" t="s">
        <v>415</v>
      </c>
      <c r="E6933" s="586" t="s">
        <v>1029</v>
      </c>
      <c r="F6933" s="586"/>
      <c r="G6933" s="383" t="s">
        <v>416</v>
      </c>
      <c r="H6933" s="312" t="s">
        <v>1030</v>
      </c>
      <c r="I6933" s="312" t="s">
        <v>3016</v>
      </c>
      <c r="J6933" s="312" t="s">
        <v>1031</v>
      </c>
      <c r="K6933" s="312" t="s">
        <v>1032</v>
      </c>
    </row>
    <row r="6934" spans="1:11" ht="39.6" x14ac:dyDescent="0.3">
      <c r="A6934" s="313" t="s">
        <v>1033</v>
      </c>
      <c r="B6934" s="315" t="s">
        <v>2278</v>
      </c>
      <c r="C6934" s="313" t="s">
        <v>395</v>
      </c>
      <c r="D6934" s="313" t="s">
        <v>7828</v>
      </c>
      <c r="E6934" s="603" t="s">
        <v>7772</v>
      </c>
      <c r="F6934" s="603"/>
      <c r="G6934" s="314" t="s">
        <v>15</v>
      </c>
      <c r="H6934" s="399">
        <v>1</v>
      </c>
      <c r="I6934" s="316"/>
      <c r="J6934" s="316">
        <v>2.46</v>
      </c>
      <c r="K6934" s="316">
        <v>2.46</v>
      </c>
    </row>
    <row r="6935" spans="1:11" ht="39.6" x14ac:dyDescent="0.3">
      <c r="A6935" s="408" t="s">
        <v>1034</v>
      </c>
      <c r="B6935" s="409" t="s">
        <v>8003</v>
      </c>
      <c r="C6935" s="408" t="s">
        <v>395</v>
      </c>
      <c r="D6935" s="408" t="s">
        <v>8004</v>
      </c>
      <c r="E6935" s="604" t="s">
        <v>7946</v>
      </c>
      <c r="F6935" s="604"/>
      <c r="G6935" s="410" t="s">
        <v>6</v>
      </c>
      <c r="H6935" s="412">
        <v>1</v>
      </c>
      <c r="I6935" s="412">
        <v>0</v>
      </c>
      <c r="J6935" s="411">
        <v>0.37</v>
      </c>
      <c r="K6935" s="411">
        <v>0.37</v>
      </c>
    </row>
    <row r="6936" spans="1:11" ht="38.25" customHeight="1" x14ac:dyDescent="0.3">
      <c r="A6936" s="408" t="s">
        <v>1034</v>
      </c>
      <c r="B6936" s="409" t="s">
        <v>8005</v>
      </c>
      <c r="C6936" s="408" t="s">
        <v>395</v>
      </c>
      <c r="D6936" s="408" t="s">
        <v>8006</v>
      </c>
      <c r="E6936" s="604" t="s">
        <v>7946</v>
      </c>
      <c r="F6936" s="604"/>
      <c r="G6936" s="410" t="s">
        <v>6</v>
      </c>
      <c r="H6936" s="412">
        <v>1</v>
      </c>
      <c r="I6936" s="412">
        <v>0</v>
      </c>
      <c r="J6936" s="411">
        <v>0.09</v>
      </c>
      <c r="K6936" s="411">
        <v>0.09</v>
      </c>
    </row>
    <row r="6937" spans="1:11" ht="14.25" customHeight="1" x14ac:dyDescent="0.3">
      <c r="A6937" s="408" t="s">
        <v>1034</v>
      </c>
      <c r="B6937" s="409" t="s">
        <v>8007</v>
      </c>
      <c r="C6937" s="408" t="s">
        <v>395</v>
      </c>
      <c r="D6937" s="408" t="s">
        <v>8008</v>
      </c>
      <c r="E6937" s="604" t="s">
        <v>7946</v>
      </c>
      <c r="F6937" s="604"/>
      <c r="G6937" s="410" t="s">
        <v>6</v>
      </c>
      <c r="H6937" s="412">
        <v>1</v>
      </c>
      <c r="I6937" s="412">
        <v>0</v>
      </c>
      <c r="J6937" s="411">
        <v>0.4</v>
      </c>
      <c r="K6937" s="411">
        <v>0.4</v>
      </c>
    </row>
    <row r="6938" spans="1:11" ht="25.5" customHeight="1" x14ac:dyDescent="0.3">
      <c r="A6938" s="408" t="s">
        <v>1034</v>
      </c>
      <c r="B6938" s="409" t="s">
        <v>8009</v>
      </c>
      <c r="C6938" s="408" t="s">
        <v>395</v>
      </c>
      <c r="D6938" s="408" t="s">
        <v>8010</v>
      </c>
      <c r="E6938" s="604" t="s">
        <v>7946</v>
      </c>
      <c r="F6938" s="604"/>
      <c r="G6938" s="410" t="s">
        <v>6</v>
      </c>
      <c r="H6938" s="412">
        <v>1</v>
      </c>
      <c r="I6938" s="412">
        <v>0</v>
      </c>
      <c r="J6938" s="411">
        <v>1.6</v>
      </c>
      <c r="K6938" s="411">
        <v>1.6</v>
      </c>
    </row>
    <row r="6939" spans="1:11" ht="15" x14ac:dyDescent="0.3">
      <c r="A6939" s="405"/>
      <c r="B6939" s="405"/>
      <c r="C6939" s="405"/>
      <c r="D6939" s="405"/>
      <c r="E6939" s="405" t="s">
        <v>1046</v>
      </c>
      <c r="F6939" s="406">
        <v>0</v>
      </c>
      <c r="G6939" s="405" t="s">
        <v>1047</v>
      </c>
      <c r="H6939" s="406">
        <v>0</v>
      </c>
      <c r="I6939" s="405" t="s">
        <v>1048</v>
      </c>
      <c r="J6939" s="406">
        <v>0</v>
      </c>
      <c r="K6939"/>
    </row>
    <row r="6940" spans="1:11" ht="15.6" thickBot="1" x14ac:dyDescent="0.35">
      <c r="A6940" s="405"/>
      <c r="B6940" s="405"/>
      <c r="C6940" s="405"/>
      <c r="D6940" s="405"/>
      <c r="E6940" s="405" t="s">
        <v>1049</v>
      </c>
      <c r="F6940" s="406">
        <v>0</v>
      </c>
      <c r="G6940" s="405"/>
      <c r="H6940" s="606"/>
      <c r="I6940" s="606" t="s">
        <v>1050</v>
      </c>
      <c r="J6940" s="406">
        <v>2.46</v>
      </c>
      <c r="K6940"/>
    </row>
    <row r="6941" spans="1:11" ht="30" customHeight="1" thickTop="1" x14ac:dyDescent="0.3">
      <c r="A6941" s="407"/>
      <c r="B6941" s="407"/>
      <c r="C6941" s="407"/>
      <c r="D6941" s="407"/>
      <c r="E6941" s="407"/>
      <c r="F6941" s="407"/>
      <c r="G6941" s="407"/>
      <c r="H6941" s="407"/>
      <c r="I6941" s="407"/>
      <c r="J6941" s="407"/>
      <c r="K6941"/>
    </row>
    <row r="6942" spans="1:11" ht="38.25" customHeight="1" x14ac:dyDescent="0.3">
      <c r="A6942" s="382"/>
      <c r="B6942" s="312" t="s">
        <v>413</v>
      </c>
      <c r="C6942" s="382" t="s">
        <v>414</v>
      </c>
      <c r="D6942" s="382" t="s">
        <v>415</v>
      </c>
      <c r="E6942" s="586" t="s">
        <v>1029</v>
      </c>
      <c r="F6942" s="586"/>
      <c r="G6942" s="383" t="s">
        <v>416</v>
      </c>
      <c r="H6942" s="312" t="s">
        <v>1030</v>
      </c>
      <c r="I6942" s="312" t="s">
        <v>3016</v>
      </c>
      <c r="J6942" s="312" t="s">
        <v>1031</v>
      </c>
      <c r="K6942" s="312" t="s">
        <v>1032</v>
      </c>
    </row>
    <row r="6943" spans="1:11" ht="25.5" customHeight="1" x14ac:dyDescent="0.3">
      <c r="A6943" s="313" t="s">
        <v>1033</v>
      </c>
      <c r="B6943" s="315" t="s">
        <v>8003</v>
      </c>
      <c r="C6943" s="313" t="s">
        <v>395</v>
      </c>
      <c r="D6943" s="313" t="s">
        <v>8004</v>
      </c>
      <c r="E6943" s="603" t="s">
        <v>7946</v>
      </c>
      <c r="F6943" s="603"/>
      <c r="G6943" s="314" t="s">
        <v>6</v>
      </c>
      <c r="H6943" s="399">
        <v>1</v>
      </c>
      <c r="I6943" s="316"/>
      <c r="J6943" s="316">
        <v>0.37</v>
      </c>
      <c r="K6943" s="316">
        <v>0.37</v>
      </c>
    </row>
    <row r="6944" spans="1:11" ht="14.25" customHeight="1" x14ac:dyDescent="0.3">
      <c r="A6944" s="400" t="s">
        <v>1038</v>
      </c>
      <c r="B6944" s="401" t="s">
        <v>4913</v>
      </c>
      <c r="C6944" s="400" t="s">
        <v>395</v>
      </c>
      <c r="D6944" s="400" t="s">
        <v>4914</v>
      </c>
      <c r="E6944" s="605" t="s">
        <v>1317</v>
      </c>
      <c r="F6944" s="605"/>
      <c r="G6944" s="402" t="s">
        <v>4</v>
      </c>
      <c r="H6944" s="403">
        <v>6.3999999999999997E-5</v>
      </c>
      <c r="I6944" s="403">
        <v>0</v>
      </c>
      <c r="J6944" s="404">
        <v>5783.4</v>
      </c>
      <c r="K6944" s="404">
        <v>0.37013760000000001</v>
      </c>
    </row>
    <row r="6945" spans="1:11" ht="30" customHeight="1" x14ac:dyDescent="0.3">
      <c r="A6945" s="405"/>
      <c r="B6945" s="405"/>
      <c r="C6945" s="405"/>
      <c r="D6945" s="405"/>
      <c r="E6945" s="405" t="s">
        <v>1046</v>
      </c>
      <c r="F6945" s="406">
        <v>0</v>
      </c>
      <c r="G6945" s="405" t="s">
        <v>1047</v>
      </c>
      <c r="H6945" s="406">
        <v>0</v>
      </c>
      <c r="I6945" s="405" t="s">
        <v>1048</v>
      </c>
      <c r="J6945" s="406">
        <v>0</v>
      </c>
      <c r="K6945"/>
    </row>
    <row r="6946" spans="1:11" ht="14.25" customHeight="1" thickBot="1" x14ac:dyDescent="0.35">
      <c r="A6946" s="405"/>
      <c r="B6946" s="405"/>
      <c r="C6946" s="405"/>
      <c r="D6946" s="405"/>
      <c r="E6946" s="405" t="s">
        <v>1049</v>
      </c>
      <c r="F6946" s="406">
        <v>0</v>
      </c>
      <c r="G6946" s="405"/>
      <c r="H6946" s="606"/>
      <c r="I6946" s="606" t="s">
        <v>1050</v>
      </c>
      <c r="J6946" s="406">
        <v>0.37</v>
      </c>
      <c r="K6946"/>
    </row>
    <row r="6947" spans="1:11" ht="15.6" thickTop="1" x14ac:dyDescent="0.3">
      <c r="A6947" s="407"/>
      <c r="B6947" s="407"/>
      <c r="C6947" s="407"/>
      <c r="D6947" s="407"/>
      <c r="E6947" s="407"/>
      <c r="F6947" s="407"/>
      <c r="G6947" s="407"/>
      <c r="H6947" s="407"/>
      <c r="I6947" s="407"/>
      <c r="J6947" s="407"/>
      <c r="K6947"/>
    </row>
    <row r="6948" spans="1:11" ht="38.25" customHeight="1" x14ac:dyDescent="0.3">
      <c r="A6948" s="382"/>
      <c r="B6948" s="312" t="s">
        <v>413</v>
      </c>
      <c r="C6948" s="382" t="s">
        <v>414</v>
      </c>
      <c r="D6948" s="382" t="s">
        <v>415</v>
      </c>
      <c r="E6948" s="586" t="s">
        <v>1029</v>
      </c>
      <c r="F6948" s="586"/>
      <c r="G6948" s="383" t="s">
        <v>416</v>
      </c>
      <c r="H6948" s="312" t="s">
        <v>1030</v>
      </c>
      <c r="I6948" s="312" t="s">
        <v>3016</v>
      </c>
      <c r="J6948" s="312" t="s">
        <v>1031</v>
      </c>
      <c r="K6948" s="312" t="s">
        <v>1032</v>
      </c>
    </row>
    <row r="6949" spans="1:11" ht="25.5" customHeight="1" x14ac:dyDescent="0.3">
      <c r="A6949" s="313" t="s">
        <v>1033</v>
      </c>
      <c r="B6949" s="315" t="s">
        <v>8005</v>
      </c>
      <c r="C6949" s="313" t="s">
        <v>395</v>
      </c>
      <c r="D6949" s="313" t="s">
        <v>8006</v>
      </c>
      <c r="E6949" s="603" t="s">
        <v>7946</v>
      </c>
      <c r="F6949" s="603"/>
      <c r="G6949" s="314" t="s">
        <v>6</v>
      </c>
      <c r="H6949" s="399">
        <v>1</v>
      </c>
      <c r="I6949" s="316"/>
      <c r="J6949" s="316">
        <v>0.09</v>
      </c>
      <c r="K6949" s="316">
        <v>0.09</v>
      </c>
    </row>
    <row r="6950" spans="1:11" ht="25.5" customHeight="1" x14ac:dyDescent="0.3">
      <c r="A6950" s="400" t="s">
        <v>1038</v>
      </c>
      <c r="B6950" s="401" t="s">
        <v>4913</v>
      </c>
      <c r="C6950" s="400" t="s">
        <v>395</v>
      </c>
      <c r="D6950" s="400" t="s">
        <v>4914</v>
      </c>
      <c r="E6950" s="605" t="s">
        <v>1317</v>
      </c>
      <c r="F6950" s="605"/>
      <c r="G6950" s="402" t="s">
        <v>4</v>
      </c>
      <c r="H6950" s="403">
        <v>1.4800000000000001E-5</v>
      </c>
      <c r="I6950" s="403">
        <v>0</v>
      </c>
      <c r="J6950" s="404">
        <v>5783.4</v>
      </c>
      <c r="K6950" s="404">
        <v>8.5594299999999998E-2</v>
      </c>
    </row>
    <row r="6951" spans="1:11" ht="30" customHeight="1" x14ac:dyDescent="0.3">
      <c r="A6951" s="405"/>
      <c r="B6951" s="405"/>
      <c r="C6951" s="405"/>
      <c r="D6951" s="405"/>
      <c r="E6951" s="405" t="s">
        <v>1046</v>
      </c>
      <c r="F6951" s="406">
        <v>0</v>
      </c>
      <c r="G6951" s="405" t="s">
        <v>1047</v>
      </c>
      <c r="H6951" s="406">
        <v>0</v>
      </c>
      <c r="I6951" s="405" t="s">
        <v>1048</v>
      </c>
      <c r="J6951" s="406">
        <v>0</v>
      </c>
      <c r="K6951"/>
    </row>
    <row r="6952" spans="1:11" ht="15.6" thickBot="1" x14ac:dyDescent="0.35">
      <c r="A6952" s="405"/>
      <c r="B6952" s="405"/>
      <c r="C6952" s="405"/>
      <c r="D6952" s="405"/>
      <c r="E6952" s="405" t="s">
        <v>1049</v>
      </c>
      <c r="F6952" s="406">
        <v>0</v>
      </c>
      <c r="G6952" s="405"/>
      <c r="H6952" s="606"/>
      <c r="I6952" s="606" t="s">
        <v>1050</v>
      </c>
      <c r="J6952" s="406">
        <v>0.09</v>
      </c>
      <c r="K6952"/>
    </row>
    <row r="6953" spans="1:11" ht="38.25" customHeight="1" thickTop="1" x14ac:dyDescent="0.3">
      <c r="A6953" s="407"/>
      <c r="B6953" s="407"/>
      <c r="C6953" s="407"/>
      <c r="D6953" s="407"/>
      <c r="E6953" s="407"/>
      <c r="F6953" s="407"/>
      <c r="G6953" s="407"/>
      <c r="H6953" s="407"/>
      <c r="I6953" s="407"/>
      <c r="J6953" s="407"/>
      <c r="K6953"/>
    </row>
    <row r="6954" spans="1:11" ht="25.5" customHeight="1" x14ac:dyDescent="0.3">
      <c r="A6954" s="382"/>
      <c r="B6954" s="312" t="s">
        <v>413</v>
      </c>
      <c r="C6954" s="382" t="s">
        <v>414</v>
      </c>
      <c r="D6954" s="382" t="s">
        <v>415</v>
      </c>
      <c r="E6954" s="586" t="s">
        <v>1029</v>
      </c>
      <c r="F6954" s="586"/>
      <c r="G6954" s="383" t="s">
        <v>416</v>
      </c>
      <c r="H6954" s="312" t="s">
        <v>1030</v>
      </c>
      <c r="I6954" s="312" t="s">
        <v>3016</v>
      </c>
      <c r="J6954" s="312" t="s">
        <v>1031</v>
      </c>
      <c r="K6954" s="312" t="s">
        <v>1032</v>
      </c>
    </row>
    <row r="6955" spans="1:11" ht="14.25" customHeight="1" x14ac:dyDescent="0.3">
      <c r="A6955" s="313" t="s">
        <v>1033</v>
      </c>
      <c r="B6955" s="315" t="s">
        <v>8007</v>
      </c>
      <c r="C6955" s="313" t="s">
        <v>395</v>
      </c>
      <c r="D6955" s="313" t="s">
        <v>8008</v>
      </c>
      <c r="E6955" s="603" t="s">
        <v>7946</v>
      </c>
      <c r="F6955" s="603"/>
      <c r="G6955" s="314" t="s">
        <v>6</v>
      </c>
      <c r="H6955" s="399">
        <v>1</v>
      </c>
      <c r="I6955" s="316"/>
      <c r="J6955" s="316">
        <v>0.4</v>
      </c>
      <c r="K6955" s="316">
        <v>0.4</v>
      </c>
    </row>
    <row r="6956" spans="1:11" ht="39.6" x14ac:dyDescent="0.3">
      <c r="A6956" s="400" t="s">
        <v>1038</v>
      </c>
      <c r="B6956" s="401" t="s">
        <v>4913</v>
      </c>
      <c r="C6956" s="400" t="s">
        <v>395</v>
      </c>
      <c r="D6956" s="400" t="s">
        <v>4914</v>
      </c>
      <c r="E6956" s="605" t="s">
        <v>1317</v>
      </c>
      <c r="F6956" s="605"/>
      <c r="G6956" s="402" t="s">
        <v>4</v>
      </c>
      <c r="H6956" s="403">
        <v>6.9999999999999994E-5</v>
      </c>
      <c r="I6956" s="403">
        <v>0</v>
      </c>
      <c r="J6956" s="404">
        <v>5783.4</v>
      </c>
      <c r="K6956" s="404">
        <v>0.40483799999999998</v>
      </c>
    </row>
    <row r="6957" spans="1:11" ht="30" customHeight="1" x14ac:dyDescent="0.3">
      <c r="A6957" s="405"/>
      <c r="B6957" s="405"/>
      <c r="C6957" s="405"/>
      <c r="D6957" s="405"/>
      <c r="E6957" s="405" t="s">
        <v>1046</v>
      </c>
      <c r="F6957" s="406">
        <v>0</v>
      </c>
      <c r="G6957" s="405" t="s">
        <v>1047</v>
      </c>
      <c r="H6957" s="406">
        <v>0</v>
      </c>
      <c r="I6957" s="405" t="s">
        <v>1048</v>
      </c>
      <c r="J6957" s="406">
        <v>0</v>
      </c>
      <c r="K6957"/>
    </row>
    <row r="6958" spans="1:11" ht="15.6" thickBot="1" x14ac:dyDescent="0.35">
      <c r="A6958" s="405"/>
      <c r="B6958" s="405"/>
      <c r="C6958" s="405"/>
      <c r="D6958" s="405"/>
      <c r="E6958" s="405" t="s">
        <v>1049</v>
      </c>
      <c r="F6958" s="406">
        <v>0</v>
      </c>
      <c r="G6958" s="405"/>
      <c r="H6958" s="606"/>
      <c r="I6958" s="606" t="s">
        <v>1050</v>
      </c>
      <c r="J6958" s="406">
        <v>0.4</v>
      </c>
      <c r="K6958"/>
    </row>
    <row r="6959" spans="1:11" ht="38.25" customHeight="1" thickTop="1" x14ac:dyDescent="0.3">
      <c r="A6959" s="407"/>
      <c r="B6959" s="407"/>
      <c r="C6959" s="407"/>
      <c r="D6959" s="407"/>
      <c r="E6959" s="407"/>
      <c r="F6959" s="407"/>
      <c r="G6959" s="407"/>
      <c r="H6959" s="407"/>
      <c r="I6959" s="407"/>
      <c r="J6959" s="407"/>
      <c r="K6959"/>
    </row>
    <row r="6960" spans="1:11" ht="14.25" customHeight="1" x14ac:dyDescent="0.3">
      <c r="A6960" s="382"/>
      <c r="B6960" s="312" t="s">
        <v>413</v>
      </c>
      <c r="C6960" s="382" t="s">
        <v>414</v>
      </c>
      <c r="D6960" s="382" t="s">
        <v>415</v>
      </c>
      <c r="E6960" s="586" t="s">
        <v>1029</v>
      </c>
      <c r="F6960" s="586"/>
      <c r="G6960" s="383" t="s">
        <v>416</v>
      </c>
      <c r="H6960" s="312" t="s">
        <v>1030</v>
      </c>
      <c r="I6960" s="312" t="s">
        <v>3016</v>
      </c>
      <c r="J6960" s="312" t="s">
        <v>1031</v>
      </c>
      <c r="K6960" s="312" t="s">
        <v>1032</v>
      </c>
    </row>
    <row r="6961" spans="1:11" ht="25.5" customHeight="1" x14ac:dyDescent="0.3">
      <c r="A6961" s="313" t="s">
        <v>1033</v>
      </c>
      <c r="B6961" s="315" t="s">
        <v>8009</v>
      </c>
      <c r="C6961" s="313" t="s">
        <v>395</v>
      </c>
      <c r="D6961" s="313" t="s">
        <v>8010</v>
      </c>
      <c r="E6961" s="603" t="s">
        <v>7946</v>
      </c>
      <c r="F6961" s="603"/>
      <c r="G6961" s="314" t="s">
        <v>6</v>
      </c>
      <c r="H6961" s="399">
        <v>1</v>
      </c>
      <c r="I6961" s="316"/>
      <c r="J6961" s="316">
        <v>1.6</v>
      </c>
      <c r="K6961" s="316">
        <v>1.6</v>
      </c>
    </row>
    <row r="6962" spans="1:11" ht="15" x14ac:dyDescent="0.3">
      <c r="A6962" s="400" t="s">
        <v>1038</v>
      </c>
      <c r="B6962" s="401" t="s">
        <v>4620</v>
      </c>
      <c r="C6962" s="400" t="s">
        <v>395</v>
      </c>
      <c r="D6962" s="400" t="s">
        <v>4621</v>
      </c>
      <c r="E6962" s="605" t="s">
        <v>1039</v>
      </c>
      <c r="F6962" s="605"/>
      <c r="G6962" s="402" t="s">
        <v>4622</v>
      </c>
      <c r="H6962" s="403">
        <v>1.25</v>
      </c>
      <c r="I6962" s="403">
        <v>0</v>
      </c>
      <c r="J6962" s="404">
        <v>1.28</v>
      </c>
      <c r="K6962" s="404">
        <v>1.6</v>
      </c>
    </row>
    <row r="6963" spans="1:11" ht="30" customHeight="1" x14ac:dyDescent="0.3">
      <c r="A6963" s="405"/>
      <c r="B6963" s="405"/>
      <c r="C6963" s="405"/>
      <c r="D6963" s="405"/>
      <c r="E6963" s="405" t="s">
        <v>1046</v>
      </c>
      <c r="F6963" s="406">
        <v>0</v>
      </c>
      <c r="G6963" s="405" t="s">
        <v>1047</v>
      </c>
      <c r="H6963" s="406">
        <v>0</v>
      </c>
      <c r="I6963" s="405" t="s">
        <v>1048</v>
      </c>
      <c r="J6963" s="406">
        <v>0</v>
      </c>
      <c r="K6963"/>
    </row>
    <row r="6964" spans="1:11" ht="12.75" customHeight="1" thickBot="1" x14ac:dyDescent="0.35">
      <c r="A6964" s="405"/>
      <c r="B6964" s="405"/>
      <c r="C6964" s="405"/>
      <c r="D6964" s="405"/>
      <c r="E6964" s="405" t="s">
        <v>1049</v>
      </c>
      <c r="F6964" s="406">
        <v>0</v>
      </c>
      <c r="G6964" s="405"/>
      <c r="H6964" s="606"/>
      <c r="I6964" s="606" t="s">
        <v>1050</v>
      </c>
      <c r="J6964" s="406">
        <v>1.6</v>
      </c>
      <c r="K6964"/>
    </row>
    <row r="6965" spans="1:11" ht="15.6" thickTop="1" x14ac:dyDescent="0.3">
      <c r="A6965" s="407"/>
      <c r="B6965" s="407"/>
      <c r="C6965" s="407"/>
      <c r="D6965" s="407"/>
      <c r="E6965" s="407"/>
      <c r="F6965" s="407"/>
      <c r="G6965" s="407"/>
      <c r="H6965" s="407"/>
      <c r="I6965" s="407"/>
      <c r="J6965" s="407"/>
      <c r="K6965"/>
    </row>
    <row r="6966" spans="1:11" ht="14.25" customHeight="1" x14ac:dyDescent="0.3">
      <c r="A6966" s="382"/>
      <c r="B6966" s="312" t="s">
        <v>413</v>
      </c>
      <c r="C6966" s="382" t="s">
        <v>414</v>
      </c>
      <c r="D6966" s="382" t="s">
        <v>415</v>
      </c>
      <c r="E6966" s="586" t="s">
        <v>1029</v>
      </c>
      <c r="F6966" s="586"/>
      <c r="G6966" s="383" t="s">
        <v>416</v>
      </c>
      <c r="H6966" s="312" t="s">
        <v>1030</v>
      </c>
      <c r="I6966" s="312" t="s">
        <v>3016</v>
      </c>
      <c r="J6966" s="312" t="s">
        <v>1031</v>
      </c>
      <c r="K6966" s="312" t="s">
        <v>1032</v>
      </c>
    </row>
    <row r="6967" spans="1:11" ht="39.6" x14ac:dyDescent="0.3">
      <c r="A6967" s="313" t="s">
        <v>1033</v>
      </c>
      <c r="B6967" s="315" t="s">
        <v>7957</v>
      </c>
      <c r="C6967" s="313" t="s">
        <v>395</v>
      </c>
      <c r="D6967" s="313" t="s">
        <v>7958</v>
      </c>
      <c r="E6967" s="603" t="s">
        <v>7772</v>
      </c>
      <c r="F6967" s="603"/>
      <c r="G6967" s="314" t="s">
        <v>19</v>
      </c>
      <c r="H6967" s="399">
        <v>1</v>
      </c>
      <c r="I6967" s="316"/>
      <c r="J6967" s="316">
        <v>1.86</v>
      </c>
      <c r="K6967" s="316">
        <v>1.86</v>
      </c>
    </row>
    <row r="6968" spans="1:11" ht="39.6" x14ac:dyDescent="0.3">
      <c r="A6968" s="408" t="s">
        <v>1034</v>
      </c>
      <c r="B6968" s="409" t="s">
        <v>8011</v>
      </c>
      <c r="C6968" s="408" t="s">
        <v>395</v>
      </c>
      <c r="D6968" s="408" t="s">
        <v>8012</v>
      </c>
      <c r="E6968" s="604" t="s">
        <v>7946</v>
      </c>
      <c r="F6968" s="604"/>
      <c r="G6968" s="410" t="s">
        <v>6</v>
      </c>
      <c r="H6968" s="412">
        <v>1</v>
      </c>
      <c r="I6968" s="412">
        <v>0</v>
      </c>
      <c r="J6968" s="411">
        <v>1.51</v>
      </c>
      <c r="K6968" s="411">
        <v>1.51</v>
      </c>
    </row>
    <row r="6969" spans="1:11" ht="45" customHeight="1" x14ac:dyDescent="0.3">
      <c r="A6969" s="408" t="s">
        <v>1034</v>
      </c>
      <c r="B6969" s="409" t="s">
        <v>8013</v>
      </c>
      <c r="C6969" s="408" t="s">
        <v>395</v>
      </c>
      <c r="D6969" s="408" t="s">
        <v>8014</v>
      </c>
      <c r="E6969" s="604" t="s">
        <v>7946</v>
      </c>
      <c r="F6969" s="604"/>
      <c r="G6969" s="410" t="s">
        <v>6</v>
      </c>
      <c r="H6969" s="412">
        <v>1</v>
      </c>
      <c r="I6969" s="412">
        <v>0</v>
      </c>
      <c r="J6969" s="411">
        <v>0.35</v>
      </c>
      <c r="K6969" s="411">
        <v>0.35</v>
      </c>
    </row>
    <row r="6970" spans="1:11" ht="38.25" customHeight="1" x14ac:dyDescent="0.3">
      <c r="A6970" s="405"/>
      <c r="B6970" s="405"/>
      <c r="C6970" s="405"/>
      <c r="D6970" s="405"/>
      <c r="E6970" s="405" t="s">
        <v>1046</v>
      </c>
      <c r="F6970" s="406">
        <v>0</v>
      </c>
      <c r="G6970" s="405" t="s">
        <v>1047</v>
      </c>
      <c r="H6970" s="406">
        <v>0</v>
      </c>
      <c r="I6970" s="405" t="s">
        <v>1048</v>
      </c>
      <c r="J6970" s="406">
        <v>0</v>
      </c>
      <c r="K6970"/>
    </row>
    <row r="6971" spans="1:11" ht="25.5" customHeight="1" thickBot="1" x14ac:dyDescent="0.35">
      <c r="A6971" s="405"/>
      <c r="B6971" s="405"/>
      <c r="C6971" s="405"/>
      <c r="D6971" s="405"/>
      <c r="E6971" s="405" t="s">
        <v>1049</v>
      </c>
      <c r="F6971" s="406">
        <v>0</v>
      </c>
      <c r="G6971" s="405"/>
      <c r="H6971" s="606"/>
      <c r="I6971" s="606" t="s">
        <v>1050</v>
      </c>
      <c r="J6971" s="406">
        <v>1.86</v>
      </c>
      <c r="K6971"/>
    </row>
    <row r="6972" spans="1:11" ht="25.5" customHeight="1" thickTop="1" x14ac:dyDescent="0.3">
      <c r="A6972" s="407"/>
      <c r="B6972" s="407"/>
      <c r="C6972" s="407"/>
      <c r="D6972" s="407"/>
      <c r="E6972" s="407"/>
      <c r="F6972" s="407"/>
      <c r="G6972" s="407"/>
      <c r="H6972" s="407"/>
      <c r="I6972" s="407"/>
      <c r="J6972" s="407"/>
      <c r="K6972"/>
    </row>
    <row r="6973" spans="1:11" ht="12.75" customHeight="1" x14ac:dyDescent="0.3">
      <c r="A6973" s="382"/>
      <c r="B6973" s="312" t="s">
        <v>413</v>
      </c>
      <c r="C6973" s="382" t="s">
        <v>414</v>
      </c>
      <c r="D6973" s="382" t="s">
        <v>415</v>
      </c>
      <c r="E6973" s="586" t="s">
        <v>1029</v>
      </c>
      <c r="F6973" s="586"/>
      <c r="G6973" s="383" t="s">
        <v>416</v>
      </c>
      <c r="H6973" s="312" t="s">
        <v>1030</v>
      </c>
      <c r="I6973" s="312" t="s">
        <v>3016</v>
      </c>
      <c r="J6973" s="312" t="s">
        <v>1031</v>
      </c>
      <c r="K6973" s="312" t="s">
        <v>1032</v>
      </c>
    </row>
    <row r="6974" spans="1:11" ht="14.25" customHeight="1" x14ac:dyDescent="0.3">
      <c r="A6974" s="313" t="s">
        <v>1033</v>
      </c>
      <c r="B6974" s="315" t="s">
        <v>7955</v>
      </c>
      <c r="C6974" s="313" t="s">
        <v>395</v>
      </c>
      <c r="D6974" s="313" t="s">
        <v>7956</v>
      </c>
      <c r="E6974" s="603" t="s">
        <v>7772</v>
      </c>
      <c r="F6974" s="603"/>
      <c r="G6974" s="314" t="s">
        <v>15</v>
      </c>
      <c r="H6974" s="399">
        <v>1</v>
      </c>
      <c r="I6974" s="316"/>
      <c r="J6974" s="316">
        <v>6.71</v>
      </c>
      <c r="K6974" s="316">
        <v>6.71</v>
      </c>
    </row>
    <row r="6975" spans="1:11" ht="39.6" x14ac:dyDescent="0.3">
      <c r="A6975" s="408" t="s">
        <v>1034</v>
      </c>
      <c r="B6975" s="409" t="s">
        <v>8011</v>
      </c>
      <c r="C6975" s="408" t="s">
        <v>395</v>
      </c>
      <c r="D6975" s="408" t="s">
        <v>8012</v>
      </c>
      <c r="E6975" s="604" t="s">
        <v>7946</v>
      </c>
      <c r="F6975" s="604"/>
      <c r="G6975" s="410" t="s">
        <v>6</v>
      </c>
      <c r="H6975" s="412">
        <v>1</v>
      </c>
      <c r="I6975" s="412">
        <v>0</v>
      </c>
      <c r="J6975" s="411">
        <v>1.51</v>
      </c>
      <c r="K6975" s="411">
        <v>1.51</v>
      </c>
    </row>
    <row r="6976" spans="1:11" ht="30" customHeight="1" x14ac:dyDescent="0.3">
      <c r="A6976" s="408" t="s">
        <v>1034</v>
      </c>
      <c r="B6976" s="409" t="s">
        <v>8013</v>
      </c>
      <c r="C6976" s="408" t="s">
        <v>395</v>
      </c>
      <c r="D6976" s="408" t="s">
        <v>8014</v>
      </c>
      <c r="E6976" s="604" t="s">
        <v>7946</v>
      </c>
      <c r="F6976" s="604"/>
      <c r="G6976" s="410" t="s">
        <v>6</v>
      </c>
      <c r="H6976" s="412">
        <v>1</v>
      </c>
      <c r="I6976" s="412">
        <v>0</v>
      </c>
      <c r="J6976" s="411">
        <v>0.35</v>
      </c>
      <c r="K6976" s="411">
        <v>0.35</v>
      </c>
    </row>
    <row r="6977" spans="1:11" ht="14.25" customHeight="1" x14ac:dyDescent="0.3">
      <c r="A6977" s="408" t="s">
        <v>1034</v>
      </c>
      <c r="B6977" s="409" t="s">
        <v>8015</v>
      </c>
      <c r="C6977" s="408" t="s">
        <v>395</v>
      </c>
      <c r="D6977" s="408" t="s">
        <v>8016</v>
      </c>
      <c r="E6977" s="604" t="s">
        <v>7946</v>
      </c>
      <c r="F6977" s="604"/>
      <c r="G6977" s="410" t="s">
        <v>6</v>
      </c>
      <c r="H6977" s="412">
        <v>1</v>
      </c>
      <c r="I6977" s="412">
        <v>0</v>
      </c>
      <c r="J6977" s="411">
        <v>1.65</v>
      </c>
      <c r="K6977" s="411">
        <v>1.65</v>
      </c>
    </row>
    <row r="6978" spans="1:11" ht="25.5" customHeight="1" x14ac:dyDescent="0.3">
      <c r="A6978" s="408" t="s">
        <v>1034</v>
      </c>
      <c r="B6978" s="409" t="s">
        <v>8017</v>
      </c>
      <c r="C6978" s="408" t="s">
        <v>395</v>
      </c>
      <c r="D6978" s="408" t="s">
        <v>8018</v>
      </c>
      <c r="E6978" s="604" t="s">
        <v>7946</v>
      </c>
      <c r="F6978" s="604"/>
      <c r="G6978" s="410" t="s">
        <v>6</v>
      </c>
      <c r="H6978" s="412">
        <v>1</v>
      </c>
      <c r="I6978" s="412">
        <v>0</v>
      </c>
      <c r="J6978" s="411">
        <v>3.2</v>
      </c>
      <c r="K6978" s="411">
        <v>3.2</v>
      </c>
    </row>
    <row r="6979" spans="1:11" ht="25.5" customHeight="1" x14ac:dyDescent="0.3">
      <c r="A6979" s="405"/>
      <c r="B6979" s="405"/>
      <c r="C6979" s="405"/>
      <c r="D6979" s="405"/>
      <c r="E6979" s="405" t="s">
        <v>1046</v>
      </c>
      <c r="F6979" s="406">
        <v>0</v>
      </c>
      <c r="G6979" s="405" t="s">
        <v>1047</v>
      </c>
      <c r="H6979" s="406">
        <v>0</v>
      </c>
      <c r="I6979" s="405" t="s">
        <v>1048</v>
      </c>
      <c r="J6979" s="406">
        <v>0</v>
      </c>
      <c r="K6979"/>
    </row>
    <row r="6980" spans="1:11" ht="25.5" customHeight="1" thickBot="1" x14ac:dyDescent="0.35">
      <c r="A6980" s="405"/>
      <c r="B6980" s="405"/>
      <c r="C6980" s="405"/>
      <c r="D6980" s="405"/>
      <c r="E6980" s="405" t="s">
        <v>1049</v>
      </c>
      <c r="F6980" s="406">
        <v>0</v>
      </c>
      <c r="G6980" s="405"/>
      <c r="H6980" s="606"/>
      <c r="I6980" s="606" t="s">
        <v>1050</v>
      </c>
      <c r="J6980" s="406">
        <v>6.71</v>
      </c>
      <c r="K6980"/>
    </row>
    <row r="6981" spans="1:11" ht="25.5" customHeight="1" thickTop="1" x14ac:dyDescent="0.3">
      <c r="A6981" s="407"/>
      <c r="B6981" s="407"/>
      <c r="C6981" s="407"/>
      <c r="D6981" s="407"/>
      <c r="E6981" s="407"/>
      <c r="F6981" s="407"/>
      <c r="G6981" s="407"/>
      <c r="H6981" s="407"/>
      <c r="I6981" s="407"/>
      <c r="J6981" s="407"/>
      <c r="K6981"/>
    </row>
    <row r="6982" spans="1:11" ht="15" x14ac:dyDescent="0.3">
      <c r="A6982" s="382"/>
      <c r="B6982" s="312" t="s">
        <v>413</v>
      </c>
      <c r="C6982" s="382" t="s">
        <v>414</v>
      </c>
      <c r="D6982" s="382" t="s">
        <v>415</v>
      </c>
      <c r="E6982" s="586" t="s">
        <v>1029</v>
      </c>
      <c r="F6982" s="586"/>
      <c r="G6982" s="383" t="s">
        <v>416</v>
      </c>
      <c r="H6982" s="312" t="s">
        <v>1030</v>
      </c>
      <c r="I6982" s="312" t="s">
        <v>3016</v>
      </c>
      <c r="J6982" s="312" t="s">
        <v>1031</v>
      </c>
      <c r="K6982" s="312" t="s">
        <v>1032</v>
      </c>
    </row>
    <row r="6983" spans="1:11" ht="39.6" x14ac:dyDescent="0.3">
      <c r="A6983" s="313" t="s">
        <v>1033</v>
      </c>
      <c r="B6983" s="315" t="s">
        <v>8011</v>
      </c>
      <c r="C6983" s="313" t="s">
        <v>395</v>
      </c>
      <c r="D6983" s="313" t="s">
        <v>8012</v>
      </c>
      <c r="E6983" s="603" t="s">
        <v>7946</v>
      </c>
      <c r="F6983" s="603"/>
      <c r="G6983" s="314" t="s">
        <v>6</v>
      </c>
      <c r="H6983" s="399">
        <v>1</v>
      </c>
      <c r="I6983" s="316"/>
      <c r="J6983" s="316">
        <v>1.51</v>
      </c>
      <c r="K6983" s="316">
        <v>1.51</v>
      </c>
    </row>
    <row r="6984" spans="1:11" ht="14.25" customHeight="1" x14ac:dyDescent="0.3">
      <c r="A6984" s="400" t="s">
        <v>1038</v>
      </c>
      <c r="B6984" s="401" t="s">
        <v>4667</v>
      </c>
      <c r="C6984" s="400" t="s">
        <v>395</v>
      </c>
      <c r="D6984" s="400" t="s">
        <v>4668</v>
      </c>
      <c r="E6984" s="605" t="s">
        <v>1317</v>
      </c>
      <c r="F6984" s="605"/>
      <c r="G6984" s="402" t="s">
        <v>4</v>
      </c>
      <c r="H6984" s="403">
        <v>6.3999999999999997E-5</v>
      </c>
      <c r="I6984" s="403">
        <v>0</v>
      </c>
      <c r="J6984" s="404">
        <v>23525.69</v>
      </c>
      <c r="K6984" s="404">
        <v>1.5056442000000001</v>
      </c>
    </row>
    <row r="6985" spans="1:11" ht="15" x14ac:dyDescent="0.3">
      <c r="A6985" s="405"/>
      <c r="B6985" s="405"/>
      <c r="C6985" s="405"/>
      <c r="D6985" s="405"/>
      <c r="E6985" s="405" t="s">
        <v>1046</v>
      </c>
      <c r="F6985" s="406">
        <v>0</v>
      </c>
      <c r="G6985" s="405" t="s">
        <v>1047</v>
      </c>
      <c r="H6985" s="406">
        <v>0</v>
      </c>
      <c r="I6985" s="405" t="s">
        <v>1048</v>
      </c>
      <c r="J6985" s="406">
        <v>0</v>
      </c>
      <c r="K6985"/>
    </row>
    <row r="6986" spans="1:11" ht="12.75" customHeight="1" thickBot="1" x14ac:dyDescent="0.35">
      <c r="A6986" s="405"/>
      <c r="B6986" s="405"/>
      <c r="C6986" s="405"/>
      <c r="D6986" s="405"/>
      <c r="E6986" s="405" t="s">
        <v>1049</v>
      </c>
      <c r="F6986" s="406">
        <v>0</v>
      </c>
      <c r="G6986" s="405"/>
      <c r="H6986" s="606"/>
      <c r="I6986" s="606" t="s">
        <v>1050</v>
      </c>
      <c r="J6986" s="406">
        <v>1.51</v>
      </c>
      <c r="K6986"/>
    </row>
    <row r="6987" spans="1:11" ht="15.6" thickTop="1" x14ac:dyDescent="0.3">
      <c r="A6987" s="407"/>
      <c r="B6987" s="407"/>
      <c r="C6987" s="407"/>
      <c r="D6987" s="407"/>
      <c r="E6987" s="407"/>
      <c r="F6987" s="407"/>
      <c r="G6987" s="407"/>
      <c r="H6987" s="407"/>
      <c r="I6987" s="407"/>
      <c r="J6987" s="407"/>
      <c r="K6987"/>
    </row>
    <row r="6988" spans="1:11" ht="30" customHeight="1" x14ac:dyDescent="0.3">
      <c r="A6988" s="382"/>
      <c r="B6988" s="312" t="s">
        <v>413</v>
      </c>
      <c r="C6988" s="382" t="s">
        <v>414</v>
      </c>
      <c r="D6988" s="382" t="s">
        <v>415</v>
      </c>
      <c r="E6988" s="586" t="s">
        <v>1029</v>
      </c>
      <c r="F6988" s="586"/>
      <c r="G6988" s="383" t="s">
        <v>416</v>
      </c>
      <c r="H6988" s="312" t="s">
        <v>1030</v>
      </c>
      <c r="I6988" s="312" t="s">
        <v>3016</v>
      </c>
      <c r="J6988" s="312" t="s">
        <v>1031</v>
      </c>
      <c r="K6988" s="312" t="s">
        <v>1032</v>
      </c>
    </row>
    <row r="6989" spans="1:11" ht="30" customHeight="1" x14ac:dyDescent="0.3">
      <c r="A6989" s="313" t="s">
        <v>1033</v>
      </c>
      <c r="B6989" s="315" t="s">
        <v>8013</v>
      </c>
      <c r="C6989" s="313" t="s">
        <v>395</v>
      </c>
      <c r="D6989" s="313" t="s">
        <v>8014</v>
      </c>
      <c r="E6989" s="603" t="s">
        <v>7946</v>
      </c>
      <c r="F6989" s="603"/>
      <c r="G6989" s="314" t="s">
        <v>6</v>
      </c>
      <c r="H6989" s="399">
        <v>1</v>
      </c>
      <c r="I6989" s="316"/>
      <c r="J6989" s="316">
        <v>0.35</v>
      </c>
      <c r="K6989" s="316">
        <v>0.35</v>
      </c>
    </row>
    <row r="6990" spans="1:11" ht="14.25" customHeight="1" x14ac:dyDescent="0.3">
      <c r="A6990" s="400" t="s">
        <v>1038</v>
      </c>
      <c r="B6990" s="401" t="s">
        <v>4667</v>
      </c>
      <c r="C6990" s="400" t="s">
        <v>395</v>
      </c>
      <c r="D6990" s="400" t="s">
        <v>4668</v>
      </c>
      <c r="E6990" s="605" t="s">
        <v>1317</v>
      </c>
      <c r="F6990" s="605"/>
      <c r="G6990" s="402" t="s">
        <v>4</v>
      </c>
      <c r="H6990" s="403">
        <v>1.4800000000000001E-5</v>
      </c>
      <c r="I6990" s="403">
        <v>0</v>
      </c>
      <c r="J6990" s="404">
        <v>23525.69</v>
      </c>
      <c r="K6990" s="404">
        <v>0.3481802</v>
      </c>
    </row>
    <row r="6991" spans="1:11" ht="45" customHeight="1" x14ac:dyDescent="0.3">
      <c r="A6991" s="405"/>
      <c r="B6991" s="405"/>
      <c r="C6991" s="405"/>
      <c r="D6991" s="405"/>
      <c r="E6991" s="405" t="s">
        <v>1046</v>
      </c>
      <c r="F6991" s="406">
        <v>0</v>
      </c>
      <c r="G6991" s="405" t="s">
        <v>1047</v>
      </c>
      <c r="H6991" s="406">
        <v>0</v>
      </c>
      <c r="I6991" s="405" t="s">
        <v>1048</v>
      </c>
      <c r="J6991" s="406">
        <v>0</v>
      </c>
      <c r="K6991"/>
    </row>
    <row r="6992" spans="1:11" ht="15.6" thickBot="1" x14ac:dyDescent="0.35">
      <c r="A6992" s="405"/>
      <c r="B6992" s="405"/>
      <c r="C6992" s="405"/>
      <c r="D6992" s="405"/>
      <c r="E6992" s="405" t="s">
        <v>1049</v>
      </c>
      <c r="F6992" s="406">
        <v>0</v>
      </c>
      <c r="G6992" s="405"/>
      <c r="H6992" s="606"/>
      <c r="I6992" s="606" t="s">
        <v>1050</v>
      </c>
      <c r="J6992" s="406">
        <v>0.35</v>
      </c>
      <c r="K6992"/>
    </row>
    <row r="6993" spans="1:11" ht="15.6" thickTop="1" x14ac:dyDescent="0.3">
      <c r="A6993" s="407"/>
      <c r="B6993" s="407"/>
      <c r="C6993" s="407"/>
      <c r="D6993" s="407"/>
      <c r="E6993" s="407"/>
      <c r="F6993" s="407"/>
      <c r="G6993" s="407"/>
      <c r="H6993" s="407"/>
      <c r="I6993" s="407"/>
      <c r="J6993" s="407"/>
      <c r="K6993"/>
    </row>
    <row r="6994" spans="1:11" ht="14.25" customHeight="1" x14ac:dyDescent="0.3">
      <c r="A6994" s="382"/>
      <c r="B6994" s="312" t="s">
        <v>413</v>
      </c>
      <c r="C6994" s="382" t="s">
        <v>414</v>
      </c>
      <c r="D6994" s="382" t="s">
        <v>415</v>
      </c>
      <c r="E6994" s="586" t="s">
        <v>1029</v>
      </c>
      <c r="F6994" s="586"/>
      <c r="G6994" s="383" t="s">
        <v>416</v>
      </c>
      <c r="H6994" s="312" t="s">
        <v>1030</v>
      </c>
      <c r="I6994" s="312" t="s">
        <v>3016</v>
      </c>
      <c r="J6994" s="312" t="s">
        <v>1031</v>
      </c>
      <c r="K6994" s="312" t="s">
        <v>1032</v>
      </c>
    </row>
    <row r="6995" spans="1:11" ht="39.6" x14ac:dyDescent="0.3">
      <c r="A6995" s="313" t="s">
        <v>1033</v>
      </c>
      <c r="B6995" s="315" t="s">
        <v>8015</v>
      </c>
      <c r="C6995" s="313" t="s">
        <v>395</v>
      </c>
      <c r="D6995" s="313" t="s">
        <v>8016</v>
      </c>
      <c r="E6995" s="603" t="s">
        <v>7946</v>
      </c>
      <c r="F6995" s="603"/>
      <c r="G6995" s="314" t="s">
        <v>6</v>
      </c>
      <c r="H6995" s="399">
        <v>1</v>
      </c>
      <c r="I6995" s="316"/>
      <c r="J6995" s="316">
        <v>1.65</v>
      </c>
      <c r="K6995" s="316">
        <v>1.65</v>
      </c>
    </row>
    <row r="6996" spans="1:11" ht="17.399999999999999" customHeight="1" x14ac:dyDescent="0.3">
      <c r="A6996" s="400" t="s">
        <v>1038</v>
      </c>
      <c r="B6996" s="401" t="s">
        <v>4667</v>
      </c>
      <c r="C6996" s="400" t="s">
        <v>395</v>
      </c>
      <c r="D6996" s="400" t="s">
        <v>4668</v>
      </c>
      <c r="E6996" s="605" t="s">
        <v>1317</v>
      </c>
      <c r="F6996" s="605"/>
      <c r="G6996" s="402" t="s">
        <v>4</v>
      </c>
      <c r="H6996" s="403">
        <v>6.9999999999999994E-5</v>
      </c>
      <c r="I6996" s="403">
        <v>0</v>
      </c>
      <c r="J6996" s="404">
        <v>23525.69</v>
      </c>
      <c r="K6996" s="404">
        <v>1.6467982999999999</v>
      </c>
    </row>
    <row r="6997" spans="1:11" ht="15" x14ac:dyDescent="0.3">
      <c r="A6997" s="405"/>
      <c r="B6997" s="405"/>
      <c r="C6997" s="405"/>
      <c r="D6997" s="405"/>
      <c r="E6997" s="405" t="s">
        <v>1046</v>
      </c>
      <c r="F6997" s="406">
        <v>0</v>
      </c>
      <c r="G6997" s="405" t="s">
        <v>1047</v>
      </c>
      <c r="H6997" s="406">
        <v>0</v>
      </c>
      <c r="I6997" s="405" t="s">
        <v>1048</v>
      </c>
      <c r="J6997" s="406">
        <v>0</v>
      </c>
      <c r="K6997"/>
    </row>
    <row r="6998" spans="1:11" ht="25.5" customHeight="1" thickBot="1" x14ac:dyDescent="0.35">
      <c r="A6998" s="405"/>
      <c r="B6998" s="405"/>
      <c r="C6998" s="405"/>
      <c r="D6998" s="405"/>
      <c r="E6998" s="405" t="s">
        <v>1049</v>
      </c>
      <c r="F6998" s="406">
        <v>0</v>
      </c>
      <c r="G6998" s="405"/>
      <c r="H6998" s="606"/>
      <c r="I6998" s="606" t="s">
        <v>1050</v>
      </c>
      <c r="J6998" s="406">
        <v>1.65</v>
      </c>
      <c r="K6998"/>
    </row>
    <row r="6999" spans="1:11" ht="12.75" customHeight="1" thickTop="1" x14ac:dyDescent="0.3">
      <c r="A6999" s="407"/>
      <c r="B6999" s="407"/>
      <c r="C6999" s="407"/>
      <c r="D6999" s="407"/>
      <c r="E6999" s="407"/>
      <c r="F6999" s="407"/>
      <c r="G6999" s="407"/>
      <c r="H6999" s="407"/>
      <c r="I6999" s="407"/>
      <c r="J6999" s="407"/>
      <c r="K6999"/>
    </row>
    <row r="7000" spans="1:11" ht="30" customHeight="1" x14ac:dyDescent="0.3">
      <c r="A7000" s="382"/>
      <c r="B7000" s="312" t="s">
        <v>413</v>
      </c>
      <c r="C7000" s="382" t="s">
        <v>414</v>
      </c>
      <c r="D7000" s="382" t="s">
        <v>415</v>
      </c>
      <c r="E7000" s="586" t="s">
        <v>1029</v>
      </c>
      <c r="F7000" s="586"/>
      <c r="G7000" s="383" t="s">
        <v>416</v>
      </c>
      <c r="H7000" s="312" t="s">
        <v>1030</v>
      </c>
      <c r="I7000" s="312" t="s">
        <v>3016</v>
      </c>
      <c r="J7000" s="312" t="s">
        <v>1031</v>
      </c>
      <c r="K7000" s="312" t="s">
        <v>1032</v>
      </c>
    </row>
    <row r="7001" spans="1:11" ht="39.6" x14ac:dyDescent="0.3">
      <c r="A7001" s="313" t="s">
        <v>1033</v>
      </c>
      <c r="B7001" s="315" t="s">
        <v>8017</v>
      </c>
      <c r="C7001" s="313" t="s">
        <v>395</v>
      </c>
      <c r="D7001" s="313" t="s">
        <v>8018</v>
      </c>
      <c r="E7001" s="603" t="s">
        <v>7946</v>
      </c>
      <c r="F7001" s="603"/>
      <c r="G7001" s="314" t="s">
        <v>6</v>
      </c>
      <c r="H7001" s="399">
        <v>1</v>
      </c>
      <c r="I7001" s="316"/>
      <c r="J7001" s="316">
        <v>3.2</v>
      </c>
      <c r="K7001" s="316">
        <v>3.2</v>
      </c>
    </row>
    <row r="7002" spans="1:11" ht="15" x14ac:dyDescent="0.3">
      <c r="A7002" s="400" t="s">
        <v>1038</v>
      </c>
      <c r="B7002" s="401" t="s">
        <v>4620</v>
      </c>
      <c r="C7002" s="400" t="s">
        <v>395</v>
      </c>
      <c r="D7002" s="400" t="s">
        <v>4621</v>
      </c>
      <c r="E7002" s="605" t="s">
        <v>1039</v>
      </c>
      <c r="F7002" s="605"/>
      <c r="G7002" s="402" t="s">
        <v>4622</v>
      </c>
      <c r="H7002" s="403">
        <v>2.5</v>
      </c>
      <c r="I7002" s="403">
        <v>0</v>
      </c>
      <c r="J7002" s="404">
        <v>1.28</v>
      </c>
      <c r="K7002" s="404">
        <v>3.2</v>
      </c>
    </row>
    <row r="7003" spans="1:11" ht="14.25" customHeight="1" x14ac:dyDescent="0.3">
      <c r="A7003" s="405"/>
      <c r="B7003" s="405"/>
      <c r="C7003" s="405"/>
      <c r="D7003" s="405"/>
      <c r="E7003" s="405" t="s">
        <v>1046</v>
      </c>
      <c r="F7003" s="406">
        <v>0</v>
      </c>
      <c r="G7003" s="405" t="s">
        <v>1047</v>
      </c>
      <c r="H7003" s="406">
        <v>0</v>
      </c>
      <c r="I7003" s="405" t="s">
        <v>1048</v>
      </c>
      <c r="J7003" s="406">
        <v>0</v>
      </c>
      <c r="K7003"/>
    </row>
    <row r="7004" spans="1:11" ht="15.6" thickBot="1" x14ac:dyDescent="0.35">
      <c r="A7004" s="405"/>
      <c r="B7004" s="405"/>
      <c r="C7004" s="405"/>
      <c r="D7004" s="405"/>
      <c r="E7004" s="405" t="s">
        <v>1049</v>
      </c>
      <c r="F7004" s="406">
        <v>0</v>
      </c>
      <c r="G7004" s="405"/>
      <c r="H7004" s="606"/>
      <c r="I7004" s="606" t="s">
        <v>1050</v>
      </c>
      <c r="J7004" s="406">
        <v>3.2</v>
      </c>
      <c r="K7004"/>
    </row>
    <row r="7005" spans="1:11" ht="14.25" customHeight="1" thickTop="1" x14ac:dyDescent="0.3">
      <c r="A7005" s="407"/>
      <c r="B7005" s="407"/>
      <c r="C7005" s="407"/>
      <c r="D7005" s="407"/>
      <c r="E7005" s="407"/>
      <c r="F7005" s="407"/>
      <c r="G7005" s="407"/>
      <c r="H7005" s="407"/>
      <c r="I7005" s="407"/>
      <c r="J7005" s="407"/>
      <c r="K7005"/>
    </row>
    <row r="7006" spans="1:11" ht="15" x14ac:dyDescent="0.3">
      <c r="A7006" s="382"/>
      <c r="B7006" s="312" t="s">
        <v>413</v>
      </c>
      <c r="C7006" s="382" t="s">
        <v>414</v>
      </c>
      <c r="D7006" s="382" t="s">
        <v>415</v>
      </c>
      <c r="E7006" s="586" t="s">
        <v>1029</v>
      </c>
      <c r="F7006" s="586"/>
      <c r="G7006" s="383" t="s">
        <v>416</v>
      </c>
      <c r="H7006" s="312" t="s">
        <v>1030</v>
      </c>
      <c r="I7006" s="312" t="s">
        <v>3016</v>
      </c>
      <c r="J7006" s="312" t="s">
        <v>1031</v>
      </c>
      <c r="K7006" s="312" t="s">
        <v>1032</v>
      </c>
    </row>
    <row r="7007" spans="1:11" ht="25.5" customHeight="1" x14ac:dyDescent="0.3">
      <c r="A7007" s="313" t="s">
        <v>1033</v>
      </c>
      <c r="B7007" s="315" t="s">
        <v>2516</v>
      </c>
      <c r="C7007" s="313" t="s">
        <v>439</v>
      </c>
      <c r="D7007" s="313" t="s">
        <v>2517</v>
      </c>
      <c r="E7007" s="603" t="s">
        <v>781</v>
      </c>
      <c r="F7007" s="603"/>
      <c r="G7007" s="314" t="s">
        <v>1109</v>
      </c>
      <c r="H7007" s="399">
        <v>1</v>
      </c>
      <c r="I7007" s="316"/>
      <c r="J7007" s="316">
        <v>32.799999999999997</v>
      </c>
      <c r="K7007" s="316">
        <v>32.799999999999997</v>
      </c>
    </row>
    <row r="7008" spans="1:11" ht="15" x14ac:dyDescent="0.3">
      <c r="A7008" s="400" t="s">
        <v>1038</v>
      </c>
      <c r="B7008" s="401" t="s">
        <v>6735</v>
      </c>
      <c r="C7008" s="400" t="s">
        <v>439</v>
      </c>
      <c r="D7008" s="400" t="s">
        <v>4324</v>
      </c>
      <c r="E7008" s="605" t="s">
        <v>1053</v>
      </c>
      <c r="F7008" s="605"/>
      <c r="G7008" s="402" t="s">
        <v>6</v>
      </c>
      <c r="H7008" s="403">
        <v>1</v>
      </c>
      <c r="I7008" s="403">
        <v>0</v>
      </c>
      <c r="J7008" s="404">
        <v>25.8611</v>
      </c>
      <c r="K7008" s="404">
        <v>25.8611</v>
      </c>
    </row>
    <row r="7009" spans="1:11" ht="25.5" customHeight="1" x14ac:dyDescent="0.3">
      <c r="A7009" s="400" t="s">
        <v>1038</v>
      </c>
      <c r="B7009" s="401" t="s">
        <v>7004</v>
      </c>
      <c r="C7009" s="400" t="s">
        <v>439</v>
      </c>
      <c r="D7009" s="400" t="s">
        <v>4618</v>
      </c>
      <c r="E7009" s="605" t="s">
        <v>1039</v>
      </c>
      <c r="F7009" s="605"/>
      <c r="G7009" s="402" t="s">
        <v>1109</v>
      </c>
      <c r="H7009" s="403">
        <v>1</v>
      </c>
      <c r="I7009" s="403">
        <v>0</v>
      </c>
      <c r="J7009" s="404">
        <v>2.41</v>
      </c>
      <c r="K7009" s="404">
        <v>2.41</v>
      </c>
    </row>
    <row r="7010" spans="1:11" ht="30" customHeight="1" x14ac:dyDescent="0.3">
      <c r="A7010" s="400" t="s">
        <v>1038</v>
      </c>
      <c r="B7010" s="401" t="s">
        <v>7092</v>
      </c>
      <c r="C7010" s="400" t="s">
        <v>439</v>
      </c>
      <c r="D7010" s="400" t="s">
        <v>4716</v>
      </c>
      <c r="E7010" s="605" t="s">
        <v>1039</v>
      </c>
      <c r="F7010" s="605"/>
      <c r="G7010" s="402" t="s">
        <v>1109</v>
      </c>
      <c r="H7010" s="403">
        <v>1</v>
      </c>
      <c r="I7010" s="403">
        <v>0</v>
      </c>
      <c r="J7010" s="404">
        <v>1.57</v>
      </c>
      <c r="K7010" s="404">
        <v>1.57</v>
      </c>
    </row>
    <row r="7011" spans="1:11" ht="45" customHeight="1" x14ac:dyDescent="0.3">
      <c r="A7011" s="400" t="s">
        <v>1038</v>
      </c>
      <c r="B7011" s="401" t="s">
        <v>7598</v>
      </c>
      <c r="C7011" s="400" t="s">
        <v>439</v>
      </c>
      <c r="D7011" s="400" t="s">
        <v>4974</v>
      </c>
      <c r="E7011" s="605" t="s">
        <v>1039</v>
      </c>
      <c r="F7011" s="605"/>
      <c r="G7011" s="402" t="s">
        <v>1109</v>
      </c>
      <c r="H7011" s="403">
        <v>1</v>
      </c>
      <c r="I7011" s="403">
        <v>0</v>
      </c>
      <c r="J7011" s="404">
        <v>0.11</v>
      </c>
      <c r="K7011" s="404">
        <v>0.11</v>
      </c>
    </row>
    <row r="7012" spans="1:11" ht="12.75" customHeight="1" x14ac:dyDescent="0.3">
      <c r="A7012" s="400" t="s">
        <v>1038</v>
      </c>
      <c r="B7012" s="401" t="s">
        <v>7233</v>
      </c>
      <c r="C7012" s="400" t="s">
        <v>439</v>
      </c>
      <c r="D7012" s="400" t="s">
        <v>4723</v>
      </c>
      <c r="E7012" s="605" t="s">
        <v>1039</v>
      </c>
      <c r="F7012" s="605"/>
      <c r="G7012" s="402" t="s">
        <v>1109</v>
      </c>
      <c r="H7012" s="403">
        <v>1</v>
      </c>
      <c r="I7012" s="403">
        <v>0</v>
      </c>
      <c r="J7012" s="404">
        <v>0.9</v>
      </c>
      <c r="K7012" s="404">
        <v>0.9</v>
      </c>
    </row>
    <row r="7013" spans="1:11" ht="26.4" x14ac:dyDescent="0.3">
      <c r="A7013" s="400" t="s">
        <v>1038</v>
      </c>
      <c r="B7013" s="401" t="s">
        <v>4966</v>
      </c>
      <c r="C7013" s="400" t="s">
        <v>439</v>
      </c>
      <c r="D7013" s="400" t="s">
        <v>4967</v>
      </c>
      <c r="E7013" s="605" t="s">
        <v>2381</v>
      </c>
      <c r="F7013" s="605"/>
      <c r="G7013" s="402" t="s">
        <v>1109</v>
      </c>
      <c r="H7013" s="403">
        <v>1</v>
      </c>
      <c r="I7013" s="403">
        <v>0</v>
      </c>
      <c r="J7013" s="404">
        <v>0.36</v>
      </c>
      <c r="K7013" s="404">
        <v>0.36</v>
      </c>
    </row>
    <row r="7014" spans="1:11" ht="26.4" x14ac:dyDescent="0.3">
      <c r="A7014" s="400" t="s">
        <v>1038</v>
      </c>
      <c r="B7014" s="401" t="s">
        <v>4887</v>
      </c>
      <c r="C7014" s="400" t="s">
        <v>439</v>
      </c>
      <c r="D7014" s="400" t="s">
        <v>4888</v>
      </c>
      <c r="E7014" s="605" t="s">
        <v>2381</v>
      </c>
      <c r="F7014" s="605"/>
      <c r="G7014" s="402" t="s">
        <v>1109</v>
      </c>
      <c r="H7014" s="403">
        <v>1</v>
      </c>
      <c r="I7014" s="403">
        <v>0</v>
      </c>
      <c r="J7014" s="404">
        <v>1.19</v>
      </c>
      <c r="K7014" s="404">
        <v>1.19</v>
      </c>
    </row>
    <row r="7015" spans="1:11" ht="26.4" x14ac:dyDescent="0.3">
      <c r="A7015" s="400" t="s">
        <v>1038</v>
      </c>
      <c r="B7015" s="401" t="s">
        <v>4958</v>
      </c>
      <c r="C7015" s="400" t="s">
        <v>439</v>
      </c>
      <c r="D7015" s="400" t="s">
        <v>4959</v>
      </c>
      <c r="E7015" s="605" t="s">
        <v>2381</v>
      </c>
      <c r="F7015" s="605"/>
      <c r="G7015" s="402" t="s">
        <v>1109</v>
      </c>
      <c r="H7015" s="403">
        <v>1</v>
      </c>
      <c r="I7015" s="403">
        <v>0</v>
      </c>
      <c r="J7015" s="404">
        <v>0.4</v>
      </c>
      <c r="K7015" s="404">
        <v>0.4</v>
      </c>
    </row>
    <row r="7016" spans="1:11" ht="14.25" customHeight="1" x14ac:dyDescent="0.3">
      <c r="A7016" s="405"/>
      <c r="B7016" s="405"/>
      <c r="C7016" s="405"/>
      <c r="D7016" s="405"/>
      <c r="E7016" s="405" t="s">
        <v>1046</v>
      </c>
      <c r="F7016" s="406">
        <v>25.86</v>
      </c>
      <c r="G7016" s="405" t="s">
        <v>1047</v>
      </c>
      <c r="H7016" s="406">
        <v>0</v>
      </c>
      <c r="I7016" s="405" t="s">
        <v>1048</v>
      </c>
      <c r="J7016" s="406">
        <v>25.86</v>
      </c>
      <c r="K7016"/>
    </row>
    <row r="7017" spans="1:11" ht="25.5" customHeight="1" thickBot="1" x14ac:dyDescent="0.35">
      <c r="A7017" s="405"/>
      <c r="B7017" s="405"/>
      <c r="C7017" s="405"/>
      <c r="D7017" s="405"/>
      <c r="E7017" s="405" t="s">
        <v>1049</v>
      </c>
      <c r="F7017" s="406">
        <v>0</v>
      </c>
      <c r="G7017" s="405"/>
      <c r="H7017" s="606"/>
      <c r="I7017" s="606" t="s">
        <v>1050</v>
      </c>
      <c r="J7017" s="406">
        <v>32.799999999999997</v>
      </c>
      <c r="K7017"/>
    </row>
    <row r="7018" spans="1:11" ht="25.5" customHeight="1" thickTop="1" x14ac:dyDescent="0.3">
      <c r="A7018" s="407"/>
      <c r="B7018" s="407"/>
      <c r="C7018" s="407"/>
      <c r="D7018" s="407"/>
      <c r="E7018" s="407"/>
      <c r="F7018" s="407"/>
      <c r="G7018" s="407"/>
      <c r="H7018" s="407"/>
      <c r="I7018" s="407"/>
      <c r="J7018" s="407"/>
      <c r="K7018"/>
    </row>
    <row r="7019" spans="1:11" ht="15" x14ac:dyDescent="0.3">
      <c r="A7019" s="382"/>
      <c r="B7019" s="312" t="s">
        <v>413</v>
      </c>
      <c r="C7019" s="382" t="s">
        <v>414</v>
      </c>
      <c r="D7019" s="382" t="s">
        <v>415</v>
      </c>
      <c r="E7019" s="586" t="s">
        <v>1029</v>
      </c>
      <c r="F7019" s="586"/>
      <c r="G7019" s="383" t="s">
        <v>416</v>
      </c>
      <c r="H7019" s="312" t="s">
        <v>1030</v>
      </c>
      <c r="I7019" s="312" t="s">
        <v>3016</v>
      </c>
      <c r="J7019" s="312" t="s">
        <v>1031</v>
      </c>
      <c r="K7019" s="312" t="s">
        <v>1032</v>
      </c>
    </row>
    <row r="7020" spans="1:11" ht="25.5" customHeight="1" x14ac:dyDescent="0.3">
      <c r="A7020" s="313" t="s">
        <v>1033</v>
      </c>
      <c r="B7020" s="315" t="s">
        <v>5148</v>
      </c>
      <c r="C7020" s="313" t="s">
        <v>395</v>
      </c>
      <c r="D7020" s="313" t="s">
        <v>7787</v>
      </c>
      <c r="E7020" s="603" t="s">
        <v>7783</v>
      </c>
      <c r="F7020" s="603"/>
      <c r="G7020" s="314" t="s">
        <v>7</v>
      </c>
      <c r="H7020" s="399">
        <v>1</v>
      </c>
      <c r="I7020" s="316"/>
      <c r="J7020" s="316">
        <v>3.79</v>
      </c>
      <c r="K7020" s="316">
        <v>3.79</v>
      </c>
    </row>
    <row r="7021" spans="1:11" ht="25.5" customHeight="1" x14ac:dyDescent="0.3">
      <c r="A7021" s="408" t="s">
        <v>1034</v>
      </c>
      <c r="B7021" s="409" t="s">
        <v>1035</v>
      </c>
      <c r="C7021" s="408" t="s">
        <v>395</v>
      </c>
      <c r="D7021" s="408" t="s">
        <v>128</v>
      </c>
      <c r="E7021" s="604" t="s">
        <v>7768</v>
      </c>
      <c r="F7021" s="604"/>
      <c r="G7021" s="410" t="s">
        <v>6</v>
      </c>
      <c r="H7021" s="412">
        <v>2.3E-2</v>
      </c>
      <c r="I7021" s="412">
        <v>0</v>
      </c>
      <c r="J7021" s="411">
        <v>34.5</v>
      </c>
      <c r="K7021" s="411">
        <v>0.79349999999999998</v>
      </c>
    </row>
    <row r="7022" spans="1:11" ht="25.5" customHeight="1" x14ac:dyDescent="0.3">
      <c r="A7022" s="408" t="s">
        <v>1034</v>
      </c>
      <c r="B7022" s="409" t="s">
        <v>1037</v>
      </c>
      <c r="C7022" s="408" t="s">
        <v>395</v>
      </c>
      <c r="D7022" s="408" t="s">
        <v>135</v>
      </c>
      <c r="E7022" s="604" t="s">
        <v>7768</v>
      </c>
      <c r="F7022" s="604"/>
      <c r="G7022" s="410" t="s">
        <v>6</v>
      </c>
      <c r="H7022" s="412">
        <v>2.3E-2</v>
      </c>
      <c r="I7022" s="412">
        <v>0</v>
      </c>
      <c r="J7022" s="411">
        <v>41.81</v>
      </c>
      <c r="K7022" s="411">
        <v>0.96162999999999998</v>
      </c>
    </row>
    <row r="7023" spans="1:11" ht="26.4" x14ac:dyDescent="0.3">
      <c r="A7023" s="400" t="s">
        <v>1038</v>
      </c>
      <c r="B7023" s="401" t="s">
        <v>4885</v>
      </c>
      <c r="C7023" s="400" t="s">
        <v>395</v>
      </c>
      <c r="D7023" s="400" t="s">
        <v>4886</v>
      </c>
      <c r="E7023" s="605" t="s">
        <v>1039</v>
      </c>
      <c r="F7023" s="605"/>
      <c r="G7023" s="402" t="s">
        <v>7</v>
      </c>
      <c r="H7023" s="403">
        <v>1.2434000000000001</v>
      </c>
      <c r="I7023" s="403">
        <v>0</v>
      </c>
      <c r="J7023" s="404">
        <v>1.59</v>
      </c>
      <c r="K7023" s="404">
        <v>1.977006</v>
      </c>
    </row>
    <row r="7024" spans="1:11" ht="26.4" x14ac:dyDescent="0.3">
      <c r="A7024" s="400" t="s">
        <v>1038</v>
      </c>
      <c r="B7024" s="401" t="s">
        <v>4986</v>
      </c>
      <c r="C7024" s="400" t="s">
        <v>395</v>
      </c>
      <c r="D7024" s="400" t="s">
        <v>4987</v>
      </c>
      <c r="E7024" s="605" t="s">
        <v>1039</v>
      </c>
      <c r="F7024" s="605"/>
      <c r="G7024" s="402" t="s">
        <v>4</v>
      </c>
      <c r="H7024" s="403">
        <v>9.4000000000000004E-3</v>
      </c>
      <c r="I7024" s="403">
        <v>0</v>
      </c>
      <c r="J7024" s="404">
        <v>6.56</v>
      </c>
      <c r="K7024" s="404">
        <v>6.1663999999999997E-2</v>
      </c>
    </row>
    <row r="7025" spans="1:11" ht="15" x14ac:dyDescent="0.3">
      <c r="A7025" s="405"/>
      <c r="B7025" s="405"/>
      <c r="C7025" s="405"/>
      <c r="D7025" s="405"/>
      <c r="E7025" s="405" t="s">
        <v>1046</v>
      </c>
      <c r="F7025" s="406">
        <v>1.28</v>
      </c>
      <c r="G7025" s="405" t="s">
        <v>1047</v>
      </c>
      <c r="H7025" s="406">
        <v>0</v>
      </c>
      <c r="I7025" s="405" t="s">
        <v>1048</v>
      </c>
      <c r="J7025" s="406">
        <v>1.28</v>
      </c>
      <c r="K7025"/>
    </row>
    <row r="7026" spans="1:11" ht="25.5" customHeight="1" thickBot="1" x14ac:dyDescent="0.35">
      <c r="A7026" s="405"/>
      <c r="B7026" s="405"/>
      <c r="C7026" s="405"/>
      <c r="D7026" s="405"/>
      <c r="E7026" s="405" t="s">
        <v>1049</v>
      </c>
      <c r="F7026" s="406">
        <v>0</v>
      </c>
      <c r="G7026" s="405"/>
      <c r="H7026" s="606"/>
      <c r="I7026" s="606" t="s">
        <v>1050</v>
      </c>
      <c r="J7026" s="406">
        <v>3.79</v>
      </c>
      <c r="K7026"/>
    </row>
    <row r="7027" spans="1:11" ht="14.25" customHeight="1" thickTop="1" x14ac:dyDescent="0.3">
      <c r="A7027" s="407"/>
      <c r="B7027" s="407"/>
      <c r="C7027" s="407"/>
      <c r="D7027" s="407"/>
      <c r="E7027" s="407"/>
      <c r="F7027" s="407"/>
      <c r="G7027" s="407"/>
      <c r="H7027" s="407"/>
      <c r="I7027" s="407"/>
      <c r="J7027" s="407"/>
      <c r="K7027"/>
    </row>
    <row r="7028" spans="1:11" ht="14.25" customHeight="1" x14ac:dyDescent="0.3">
      <c r="A7028" s="382"/>
      <c r="B7028" s="312" t="s">
        <v>413</v>
      </c>
      <c r="C7028" s="382" t="s">
        <v>414</v>
      </c>
      <c r="D7028" s="382" t="s">
        <v>415</v>
      </c>
      <c r="E7028" s="586" t="s">
        <v>1029</v>
      </c>
      <c r="F7028" s="586"/>
      <c r="G7028" s="383" t="s">
        <v>416</v>
      </c>
      <c r="H7028" s="312" t="s">
        <v>1030</v>
      </c>
      <c r="I7028" s="312" t="s">
        <v>3016</v>
      </c>
      <c r="J7028" s="312" t="s">
        <v>1031</v>
      </c>
      <c r="K7028" s="312" t="s">
        <v>1032</v>
      </c>
    </row>
    <row r="7029" spans="1:11" ht="45" customHeight="1" x14ac:dyDescent="0.3">
      <c r="A7029" s="313" t="s">
        <v>1033</v>
      </c>
      <c r="B7029" s="315" t="s">
        <v>5149</v>
      </c>
      <c r="C7029" s="313" t="s">
        <v>395</v>
      </c>
      <c r="D7029" s="313" t="s">
        <v>5150</v>
      </c>
      <c r="E7029" s="603" t="s">
        <v>1227</v>
      </c>
      <c r="F7029" s="603"/>
      <c r="G7029" s="314" t="s">
        <v>7</v>
      </c>
      <c r="H7029" s="399">
        <v>1</v>
      </c>
      <c r="I7029" s="316"/>
      <c r="J7029" s="316">
        <v>17.95</v>
      </c>
      <c r="K7029" s="316">
        <v>17.95</v>
      </c>
    </row>
    <row r="7030" spans="1:11" ht="45" customHeight="1" x14ac:dyDescent="0.3">
      <c r="A7030" s="408" t="s">
        <v>1034</v>
      </c>
      <c r="B7030" s="409" t="s">
        <v>1037</v>
      </c>
      <c r="C7030" s="408" t="s">
        <v>395</v>
      </c>
      <c r="D7030" s="408" t="s">
        <v>135</v>
      </c>
      <c r="E7030" s="604" t="s">
        <v>7768</v>
      </c>
      <c r="F7030" s="604"/>
      <c r="G7030" s="410" t="s">
        <v>6</v>
      </c>
      <c r="H7030" s="412">
        <v>1.2999999999999999E-2</v>
      </c>
      <c r="I7030" s="412">
        <v>0</v>
      </c>
      <c r="J7030" s="411">
        <v>41.81</v>
      </c>
      <c r="K7030" s="411">
        <v>0.54352999999999996</v>
      </c>
    </row>
    <row r="7031" spans="1:11" ht="25.5" customHeight="1" x14ac:dyDescent="0.3">
      <c r="A7031" s="408" t="s">
        <v>1034</v>
      </c>
      <c r="B7031" s="409" t="s">
        <v>1035</v>
      </c>
      <c r="C7031" s="408" t="s">
        <v>395</v>
      </c>
      <c r="D7031" s="408" t="s">
        <v>128</v>
      </c>
      <c r="E7031" s="604" t="s">
        <v>7768</v>
      </c>
      <c r="F7031" s="604"/>
      <c r="G7031" s="410" t="s">
        <v>6</v>
      </c>
      <c r="H7031" s="412">
        <v>1.2999999999999999E-2</v>
      </c>
      <c r="I7031" s="412">
        <v>0</v>
      </c>
      <c r="J7031" s="411">
        <v>34.5</v>
      </c>
      <c r="K7031" s="411">
        <v>0.44850000000000001</v>
      </c>
    </row>
    <row r="7032" spans="1:11" ht="38.25" customHeight="1" x14ac:dyDescent="0.3">
      <c r="A7032" s="400" t="s">
        <v>1038</v>
      </c>
      <c r="B7032" s="401" t="s">
        <v>4748</v>
      </c>
      <c r="C7032" s="400" t="s">
        <v>395</v>
      </c>
      <c r="D7032" s="400" t="s">
        <v>4749</v>
      </c>
      <c r="E7032" s="605" t="s">
        <v>1039</v>
      </c>
      <c r="F7032" s="605"/>
      <c r="G7032" s="402" t="s">
        <v>7</v>
      </c>
      <c r="H7032" s="403">
        <v>1.0269999999999999</v>
      </c>
      <c r="I7032" s="403">
        <v>0</v>
      </c>
      <c r="J7032" s="404">
        <v>16.45</v>
      </c>
      <c r="K7032" s="404">
        <v>16.89415</v>
      </c>
    </row>
    <row r="7033" spans="1:11" ht="25.5" customHeight="1" x14ac:dyDescent="0.3">
      <c r="A7033" s="400" t="s">
        <v>1038</v>
      </c>
      <c r="B7033" s="401" t="s">
        <v>4986</v>
      </c>
      <c r="C7033" s="400" t="s">
        <v>395</v>
      </c>
      <c r="D7033" s="400" t="s">
        <v>4987</v>
      </c>
      <c r="E7033" s="605" t="s">
        <v>1039</v>
      </c>
      <c r="F7033" s="605"/>
      <c r="G7033" s="402" t="s">
        <v>4</v>
      </c>
      <c r="H7033" s="403">
        <v>0.01</v>
      </c>
      <c r="I7033" s="403">
        <v>0</v>
      </c>
      <c r="J7033" s="404">
        <v>6.56</v>
      </c>
      <c r="K7033" s="404">
        <v>6.5600000000000006E-2</v>
      </c>
    </row>
    <row r="7034" spans="1:11" ht="25.5" customHeight="1" x14ac:dyDescent="0.3">
      <c r="A7034" s="405"/>
      <c r="B7034" s="405"/>
      <c r="C7034" s="405"/>
      <c r="D7034" s="405"/>
      <c r="E7034" s="405" t="s">
        <v>1046</v>
      </c>
      <c r="F7034" s="406">
        <v>0.72</v>
      </c>
      <c r="G7034" s="405" t="s">
        <v>1047</v>
      </c>
      <c r="H7034" s="406">
        <v>0</v>
      </c>
      <c r="I7034" s="405" t="s">
        <v>1048</v>
      </c>
      <c r="J7034" s="406">
        <v>0.72</v>
      </c>
      <c r="K7034"/>
    </row>
    <row r="7035" spans="1:11" ht="15.6" thickBot="1" x14ac:dyDescent="0.35">
      <c r="A7035" s="405"/>
      <c r="B7035" s="405"/>
      <c r="C7035" s="405"/>
      <c r="D7035" s="405"/>
      <c r="E7035" s="405" t="s">
        <v>1049</v>
      </c>
      <c r="F7035" s="406">
        <v>0</v>
      </c>
      <c r="G7035" s="405"/>
      <c r="H7035" s="606"/>
      <c r="I7035" s="606" t="s">
        <v>1050</v>
      </c>
      <c r="J7035" s="406">
        <v>17.95</v>
      </c>
      <c r="K7035"/>
    </row>
    <row r="7036" spans="1:11" ht="45" customHeight="1" thickTop="1" x14ac:dyDescent="0.3">
      <c r="A7036" s="407"/>
      <c r="B7036" s="407"/>
      <c r="C7036" s="407"/>
      <c r="D7036" s="407"/>
      <c r="E7036" s="407"/>
      <c r="F7036" s="407"/>
      <c r="G7036" s="407"/>
      <c r="H7036" s="407"/>
      <c r="I7036" s="407"/>
      <c r="J7036" s="407"/>
      <c r="K7036"/>
    </row>
    <row r="7037" spans="1:11" ht="45" customHeight="1" x14ac:dyDescent="0.3">
      <c r="A7037" s="382"/>
      <c r="B7037" s="312" t="s">
        <v>413</v>
      </c>
      <c r="C7037" s="382" t="s">
        <v>414</v>
      </c>
      <c r="D7037" s="382" t="s">
        <v>415</v>
      </c>
      <c r="E7037" s="586" t="s">
        <v>1029</v>
      </c>
      <c r="F7037" s="586"/>
      <c r="G7037" s="383" t="s">
        <v>416</v>
      </c>
      <c r="H7037" s="312" t="s">
        <v>1030</v>
      </c>
      <c r="I7037" s="312" t="s">
        <v>3016</v>
      </c>
      <c r="J7037" s="312" t="s">
        <v>1031</v>
      </c>
      <c r="K7037" s="312" t="s">
        <v>1032</v>
      </c>
    </row>
    <row r="7038" spans="1:11" ht="14.25" customHeight="1" x14ac:dyDescent="0.3">
      <c r="A7038" s="313" t="s">
        <v>1033</v>
      </c>
      <c r="B7038" s="315" t="s">
        <v>5151</v>
      </c>
      <c r="C7038" s="313" t="s">
        <v>395</v>
      </c>
      <c r="D7038" s="313" t="s">
        <v>5152</v>
      </c>
      <c r="E7038" s="603" t="s">
        <v>7788</v>
      </c>
      <c r="F7038" s="603"/>
      <c r="G7038" s="314" t="s">
        <v>4</v>
      </c>
      <c r="H7038" s="399">
        <v>1</v>
      </c>
      <c r="I7038" s="316"/>
      <c r="J7038" s="316">
        <v>215.71</v>
      </c>
      <c r="K7038" s="316">
        <v>215.71</v>
      </c>
    </row>
    <row r="7039" spans="1:11" ht="14.25" customHeight="1" x14ac:dyDescent="0.3">
      <c r="A7039" s="408" t="s">
        <v>1034</v>
      </c>
      <c r="B7039" s="409" t="s">
        <v>7953</v>
      </c>
      <c r="C7039" s="408" t="s">
        <v>395</v>
      </c>
      <c r="D7039" s="408" t="s">
        <v>7954</v>
      </c>
      <c r="E7039" s="604" t="s">
        <v>7840</v>
      </c>
      <c r="F7039" s="604"/>
      <c r="G7039" s="410" t="s">
        <v>713</v>
      </c>
      <c r="H7039" s="412">
        <v>2.7799999999999998E-2</v>
      </c>
      <c r="I7039" s="412">
        <v>0</v>
      </c>
      <c r="J7039" s="411">
        <v>726.15</v>
      </c>
      <c r="K7039" s="411">
        <v>20.186969999999999</v>
      </c>
    </row>
    <row r="7040" spans="1:11" ht="25.5" customHeight="1" x14ac:dyDescent="0.3">
      <c r="A7040" s="408" t="s">
        <v>1034</v>
      </c>
      <c r="B7040" s="409" t="s">
        <v>8019</v>
      </c>
      <c r="C7040" s="408" t="s">
        <v>395</v>
      </c>
      <c r="D7040" s="408" t="s">
        <v>8020</v>
      </c>
      <c r="E7040" s="604" t="s">
        <v>8021</v>
      </c>
      <c r="F7040" s="604"/>
      <c r="G7040" s="410" t="s">
        <v>713</v>
      </c>
      <c r="H7040" s="412">
        <v>3.5999999999999997E-2</v>
      </c>
      <c r="I7040" s="412">
        <v>0</v>
      </c>
      <c r="J7040" s="411">
        <v>382.17</v>
      </c>
      <c r="K7040" s="411">
        <v>13.75812</v>
      </c>
    </row>
    <row r="7041" spans="1:11" ht="39.6" x14ac:dyDescent="0.3">
      <c r="A7041" s="408" t="s">
        <v>1034</v>
      </c>
      <c r="B7041" s="409" t="s">
        <v>7959</v>
      </c>
      <c r="C7041" s="408" t="s">
        <v>395</v>
      </c>
      <c r="D7041" s="408" t="s">
        <v>7960</v>
      </c>
      <c r="E7041" s="604" t="s">
        <v>7840</v>
      </c>
      <c r="F7041" s="604"/>
      <c r="G7041" s="410" t="s">
        <v>713</v>
      </c>
      <c r="H7041" s="412">
        <v>3.8999999999999998E-3</v>
      </c>
      <c r="I7041" s="412">
        <v>0</v>
      </c>
      <c r="J7041" s="411">
        <v>518.44000000000005</v>
      </c>
      <c r="K7041" s="411">
        <v>2.021916</v>
      </c>
    </row>
    <row r="7042" spans="1:11" ht="17.399999999999999" customHeight="1" x14ac:dyDescent="0.3">
      <c r="A7042" s="408" t="s">
        <v>1034</v>
      </c>
      <c r="B7042" s="409" t="s">
        <v>1302</v>
      </c>
      <c r="C7042" s="408" t="s">
        <v>395</v>
      </c>
      <c r="D7042" s="408" t="s">
        <v>144</v>
      </c>
      <c r="E7042" s="604" t="s">
        <v>7768</v>
      </c>
      <c r="F7042" s="604"/>
      <c r="G7042" s="410" t="s">
        <v>6</v>
      </c>
      <c r="H7042" s="412">
        <v>1.2685999999999999</v>
      </c>
      <c r="I7042" s="412">
        <v>0</v>
      </c>
      <c r="J7042" s="411">
        <v>42.06</v>
      </c>
      <c r="K7042" s="411">
        <v>53.357315999999997</v>
      </c>
    </row>
    <row r="7043" spans="1:11" ht="38.25" customHeight="1" x14ac:dyDescent="0.3">
      <c r="A7043" s="408" t="s">
        <v>1034</v>
      </c>
      <c r="B7043" s="409" t="s">
        <v>1290</v>
      </c>
      <c r="C7043" s="408" t="s">
        <v>395</v>
      </c>
      <c r="D7043" s="408" t="s">
        <v>147</v>
      </c>
      <c r="E7043" s="604" t="s">
        <v>7768</v>
      </c>
      <c r="F7043" s="604"/>
      <c r="G7043" s="410" t="s">
        <v>6</v>
      </c>
      <c r="H7043" s="412">
        <v>0.99670000000000003</v>
      </c>
      <c r="I7043" s="412">
        <v>0</v>
      </c>
      <c r="J7043" s="411">
        <v>32.82</v>
      </c>
      <c r="K7043" s="411">
        <v>32.711694000000001</v>
      </c>
    </row>
    <row r="7044" spans="1:11" ht="25.5" customHeight="1" x14ac:dyDescent="0.3">
      <c r="A7044" s="408" t="s">
        <v>1034</v>
      </c>
      <c r="B7044" s="409" t="s">
        <v>8022</v>
      </c>
      <c r="C7044" s="408" t="s">
        <v>395</v>
      </c>
      <c r="D7044" s="408" t="s">
        <v>8023</v>
      </c>
      <c r="E7044" s="604" t="s">
        <v>8024</v>
      </c>
      <c r="F7044" s="604"/>
      <c r="G7044" s="410" t="s">
        <v>713</v>
      </c>
      <c r="H7044" s="412">
        <v>1.7500000000000002E-2</v>
      </c>
      <c r="I7044" s="412">
        <v>0</v>
      </c>
      <c r="J7044" s="411">
        <v>4004.09</v>
      </c>
      <c r="K7044" s="411">
        <v>70.071574999999996</v>
      </c>
    </row>
    <row r="7045" spans="1:11" ht="25.5" customHeight="1" x14ac:dyDescent="0.3">
      <c r="A7045" s="400" t="s">
        <v>1038</v>
      </c>
      <c r="B7045" s="401" t="s">
        <v>1308</v>
      </c>
      <c r="C7045" s="400" t="s">
        <v>395</v>
      </c>
      <c r="D7045" s="400" t="s">
        <v>284</v>
      </c>
      <c r="E7045" s="605" t="s">
        <v>1039</v>
      </c>
      <c r="F7045" s="605"/>
      <c r="G7045" s="402" t="s">
        <v>4</v>
      </c>
      <c r="H7045" s="403">
        <v>38.691000000000003</v>
      </c>
      <c r="I7045" s="403">
        <v>0</v>
      </c>
      <c r="J7045" s="404">
        <v>0.61</v>
      </c>
      <c r="K7045" s="404">
        <v>23.601510000000001</v>
      </c>
    </row>
    <row r="7046" spans="1:11" ht="15" x14ac:dyDescent="0.3">
      <c r="A7046" s="405"/>
      <c r="B7046" s="405"/>
      <c r="C7046" s="405"/>
      <c r="D7046" s="405"/>
      <c r="E7046" s="405" t="s">
        <v>1046</v>
      </c>
      <c r="F7046" s="406">
        <v>111.01</v>
      </c>
      <c r="G7046" s="405" t="s">
        <v>1047</v>
      </c>
      <c r="H7046" s="406">
        <v>0</v>
      </c>
      <c r="I7046" s="405" t="s">
        <v>1048</v>
      </c>
      <c r="J7046" s="406">
        <v>111.01</v>
      </c>
      <c r="K7046"/>
    </row>
    <row r="7047" spans="1:11" ht="14.25" customHeight="1" thickBot="1" x14ac:dyDescent="0.35">
      <c r="A7047" s="405"/>
      <c r="B7047" s="405"/>
      <c r="C7047" s="405"/>
      <c r="D7047" s="405"/>
      <c r="E7047" s="405" t="s">
        <v>1049</v>
      </c>
      <c r="F7047" s="406">
        <v>0</v>
      </c>
      <c r="G7047" s="405"/>
      <c r="H7047" s="606"/>
      <c r="I7047" s="606" t="s">
        <v>1050</v>
      </c>
      <c r="J7047" s="406">
        <v>215.71</v>
      </c>
      <c r="K7047"/>
    </row>
    <row r="7048" spans="1:11" ht="25.5" customHeight="1" thickTop="1" x14ac:dyDescent="0.3">
      <c r="A7048" s="407"/>
      <c r="B7048" s="407"/>
      <c r="C7048" s="407"/>
      <c r="D7048" s="407"/>
      <c r="E7048" s="407"/>
      <c r="F7048" s="407"/>
      <c r="G7048" s="407"/>
      <c r="H7048" s="407"/>
      <c r="I7048" s="407"/>
      <c r="J7048" s="407"/>
      <c r="K7048"/>
    </row>
    <row r="7049" spans="1:11" ht="25.5" customHeight="1" x14ac:dyDescent="0.3">
      <c r="A7049" s="382"/>
      <c r="B7049" s="312" t="s">
        <v>413</v>
      </c>
      <c r="C7049" s="382" t="s">
        <v>414</v>
      </c>
      <c r="D7049" s="382" t="s">
        <v>415</v>
      </c>
      <c r="E7049" s="586" t="s">
        <v>1029</v>
      </c>
      <c r="F7049" s="586"/>
      <c r="G7049" s="383" t="s">
        <v>416</v>
      </c>
      <c r="H7049" s="312" t="s">
        <v>1030</v>
      </c>
      <c r="I7049" s="312" t="s">
        <v>3016</v>
      </c>
      <c r="J7049" s="312" t="s">
        <v>1031</v>
      </c>
      <c r="K7049" s="312" t="s">
        <v>1032</v>
      </c>
    </row>
    <row r="7050" spans="1:11" ht="15" x14ac:dyDescent="0.3">
      <c r="A7050" s="313" t="s">
        <v>1033</v>
      </c>
      <c r="B7050" s="315" t="s">
        <v>2376</v>
      </c>
      <c r="C7050" s="313" t="s">
        <v>395</v>
      </c>
      <c r="D7050" s="313" t="s">
        <v>133</v>
      </c>
      <c r="E7050" s="603" t="s">
        <v>7768</v>
      </c>
      <c r="F7050" s="603"/>
      <c r="G7050" s="314" t="s">
        <v>6</v>
      </c>
      <c r="H7050" s="399">
        <v>1</v>
      </c>
      <c r="I7050" s="316"/>
      <c r="J7050" s="316">
        <v>40.58</v>
      </c>
      <c r="K7050" s="316">
        <v>40.58</v>
      </c>
    </row>
    <row r="7051" spans="1:11" ht="14.25" customHeight="1" x14ac:dyDescent="0.3">
      <c r="A7051" s="408" t="s">
        <v>1034</v>
      </c>
      <c r="B7051" s="409" t="s">
        <v>8025</v>
      </c>
      <c r="C7051" s="408" t="s">
        <v>395</v>
      </c>
      <c r="D7051" s="408" t="s">
        <v>8026</v>
      </c>
      <c r="E7051" s="604" t="s">
        <v>7768</v>
      </c>
      <c r="F7051" s="604"/>
      <c r="G7051" s="410" t="s">
        <v>6</v>
      </c>
      <c r="H7051" s="412">
        <v>1</v>
      </c>
      <c r="I7051" s="412">
        <v>0</v>
      </c>
      <c r="J7051" s="411">
        <v>0.35</v>
      </c>
      <c r="K7051" s="411">
        <v>0.35</v>
      </c>
    </row>
    <row r="7052" spans="1:11" ht="45" customHeight="1" x14ac:dyDescent="0.3">
      <c r="A7052" s="400" t="s">
        <v>1038</v>
      </c>
      <c r="B7052" s="401" t="s">
        <v>2375</v>
      </c>
      <c r="C7052" s="400" t="s">
        <v>395</v>
      </c>
      <c r="D7052" s="400" t="s">
        <v>402</v>
      </c>
      <c r="E7052" s="605" t="s">
        <v>1053</v>
      </c>
      <c r="F7052" s="605"/>
      <c r="G7052" s="402" t="s">
        <v>6</v>
      </c>
      <c r="H7052" s="403">
        <v>1</v>
      </c>
      <c r="I7052" s="403">
        <v>0</v>
      </c>
      <c r="J7052" s="404">
        <v>30.02</v>
      </c>
      <c r="K7052" s="404">
        <v>30.02</v>
      </c>
    </row>
    <row r="7053" spans="1:11" ht="14.25" customHeight="1" x14ac:dyDescent="0.3">
      <c r="A7053" s="400" t="s">
        <v>1038</v>
      </c>
      <c r="B7053" s="401" t="s">
        <v>4028</v>
      </c>
      <c r="C7053" s="400" t="s">
        <v>395</v>
      </c>
      <c r="D7053" s="400" t="s">
        <v>4029</v>
      </c>
      <c r="E7053" s="605" t="s">
        <v>4030</v>
      </c>
      <c r="F7053" s="605"/>
      <c r="G7053" s="402" t="s">
        <v>6</v>
      </c>
      <c r="H7053" s="403">
        <v>1</v>
      </c>
      <c r="I7053" s="403">
        <v>0</v>
      </c>
      <c r="J7053" s="404">
        <v>4.78</v>
      </c>
      <c r="K7053" s="404">
        <v>4.78</v>
      </c>
    </row>
    <row r="7054" spans="1:11" ht="15" x14ac:dyDescent="0.3">
      <c r="A7054" s="400" t="s">
        <v>1038</v>
      </c>
      <c r="B7054" s="401" t="s">
        <v>4066</v>
      </c>
      <c r="C7054" s="400" t="s">
        <v>395</v>
      </c>
      <c r="D7054" s="400" t="s">
        <v>4067</v>
      </c>
      <c r="E7054" s="605" t="s">
        <v>2381</v>
      </c>
      <c r="F7054" s="605"/>
      <c r="G7054" s="402" t="s">
        <v>6</v>
      </c>
      <c r="H7054" s="403">
        <v>1</v>
      </c>
      <c r="I7054" s="403">
        <v>0</v>
      </c>
      <c r="J7054" s="404">
        <v>1.72</v>
      </c>
      <c r="K7054" s="404">
        <v>1.72</v>
      </c>
    </row>
    <row r="7055" spans="1:11" ht="38.25" customHeight="1" x14ac:dyDescent="0.3">
      <c r="A7055" s="400" t="s">
        <v>1038</v>
      </c>
      <c r="B7055" s="401" t="s">
        <v>4078</v>
      </c>
      <c r="C7055" s="400" t="s">
        <v>395</v>
      </c>
      <c r="D7055" s="400" t="s">
        <v>4079</v>
      </c>
      <c r="E7055" s="605" t="s">
        <v>4030</v>
      </c>
      <c r="F7055" s="605"/>
      <c r="G7055" s="402" t="s">
        <v>6</v>
      </c>
      <c r="H7055" s="403">
        <v>1</v>
      </c>
      <c r="I7055" s="403">
        <v>0</v>
      </c>
      <c r="J7055" s="404">
        <v>1.25</v>
      </c>
      <c r="K7055" s="404">
        <v>1.25</v>
      </c>
    </row>
    <row r="7056" spans="1:11" ht="14.25" customHeight="1" x14ac:dyDescent="0.3">
      <c r="A7056" s="400" t="s">
        <v>1038</v>
      </c>
      <c r="B7056" s="401" t="s">
        <v>4274</v>
      </c>
      <c r="C7056" s="400" t="s">
        <v>395</v>
      </c>
      <c r="D7056" s="400" t="s">
        <v>4275</v>
      </c>
      <c r="E7056" s="605" t="s">
        <v>2386</v>
      </c>
      <c r="F7056" s="605"/>
      <c r="G7056" s="402" t="s">
        <v>6</v>
      </c>
      <c r="H7056" s="403">
        <v>1</v>
      </c>
      <c r="I7056" s="403">
        <v>0</v>
      </c>
      <c r="J7056" s="404">
        <v>0.11</v>
      </c>
      <c r="K7056" s="404">
        <v>0.11</v>
      </c>
    </row>
    <row r="7057" spans="1:11" ht="25.5" customHeight="1" x14ac:dyDescent="0.3">
      <c r="A7057" s="400" t="s">
        <v>1038</v>
      </c>
      <c r="B7057" s="401" t="s">
        <v>4268</v>
      </c>
      <c r="C7057" s="400" t="s">
        <v>395</v>
      </c>
      <c r="D7057" s="400" t="s">
        <v>4269</v>
      </c>
      <c r="E7057" s="605" t="s">
        <v>1317</v>
      </c>
      <c r="F7057" s="605"/>
      <c r="G7057" s="402" t="s">
        <v>6</v>
      </c>
      <c r="H7057" s="403">
        <v>1</v>
      </c>
      <c r="I7057" s="403">
        <v>0</v>
      </c>
      <c r="J7057" s="404">
        <v>0.64</v>
      </c>
      <c r="K7057" s="404">
        <v>0.64</v>
      </c>
    </row>
    <row r="7058" spans="1:11" ht="25.5" customHeight="1" x14ac:dyDescent="0.3">
      <c r="A7058" s="400" t="s">
        <v>1038</v>
      </c>
      <c r="B7058" s="401" t="s">
        <v>4218</v>
      </c>
      <c r="C7058" s="400" t="s">
        <v>395</v>
      </c>
      <c r="D7058" s="400" t="s">
        <v>4219</v>
      </c>
      <c r="E7058" s="605" t="s">
        <v>1317</v>
      </c>
      <c r="F7058" s="605"/>
      <c r="G7058" s="402" t="s">
        <v>6</v>
      </c>
      <c r="H7058" s="403">
        <v>1</v>
      </c>
      <c r="I7058" s="403">
        <v>0</v>
      </c>
      <c r="J7058" s="404">
        <v>1.71</v>
      </c>
      <c r="K7058" s="404">
        <v>1.71</v>
      </c>
    </row>
    <row r="7059" spans="1:11" ht="25.5" customHeight="1" x14ac:dyDescent="0.3">
      <c r="A7059" s="405"/>
      <c r="B7059" s="405"/>
      <c r="C7059" s="405"/>
      <c r="D7059" s="405"/>
      <c r="E7059" s="405" t="s">
        <v>1046</v>
      </c>
      <c r="F7059" s="406">
        <v>30.37</v>
      </c>
      <c r="G7059" s="405" t="s">
        <v>1047</v>
      </c>
      <c r="H7059" s="406">
        <v>0</v>
      </c>
      <c r="I7059" s="405" t="s">
        <v>1048</v>
      </c>
      <c r="J7059" s="406">
        <v>30.37</v>
      </c>
      <c r="K7059"/>
    </row>
    <row r="7060" spans="1:11" ht="12.75" customHeight="1" thickBot="1" x14ac:dyDescent="0.35">
      <c r="A7060" s="405"/>
      <c r="B7060" s="405"/>
      <c r="C7060" s="405"/>
      <c r="D7060" s="405"/>
      <c r="E7060" s="405" t="s">
        <v>1049</v>
      </c>
      <c r="F7060" s="406">
        <v>0</v>
      </c>
      <c r="G7060" s="405"/>
      <c r="H7060" s="606"/>
      <c r="I7060" s="606" t="s">
        <v>1050</v>
      </c>
      <c r="J7060" s="406">
        <v>40.58</v>
      </c>
      <c r="K7060"/>
    </row>
    <row r="7061" spans="1:11" ht="15.6" thickTop="1" x14ac:dyDescent="0.3">
      <c r="A7061" s="407"/>
      <c r="B7061" s="407"/>
      <c r="C7061" s="407"/>
      <c r="D7061" s="407"/>
      <c r="E7061" s="407"/>
      <c r="F7061" s="407"/>
      <c r="G7061" s="407"/>
      <c r="H7061" s="407"/>
      <c r="I7061" s="407"/>
      <c r="J7061" s="407"/>
      <c r="K7061"/>
    </row>
    <row r="7062" spans="1:11" ht="17.399999999999999" customHeight="1" x14ac:dyDescent="0.3">
      <c r="A7062" s="382"/>
      <c r="B7062" s="312" t="s">
        <v>413</v>
      </c>
      <c r="C7062" s="382" t="s">
        <v>414</v>
      </c>
      <c r="D7062" s="382" t="s">
        <v>415</v>
      </c>
      <c r="E7062" s="586" t="s">
        <v>1029</v>
      </c>
      <c r="F7062" s="586"/>
      <c r="G7062" s="383" t="s">
        <v>416</v>
      </c>
      <c r="H7062" s="312" t="s">
        <v>1030</v>
      </c>
      <c r="I7062" s="312" t="s">
        <v>3016</v>
      </c>
      <c r="J7062" s="312" t="s">
        <v>1031</v>
      </c>
      <c r="K7062" s="312" t="s">
        <v>1032</v>
      </c>
    </row>
    <row r="7063" spans="1:11" ht="14.25" customHeight="1" x14ac:dyDescent="0.3">
      <c r="A7063" s="313" t="s">
        <v>1033</v>
      </c>
      <c r="B7063" s="315" t="s">
        <v>5186</v>
      </c>
      <c r="C7063" s="313" t="s">
        <v>395</v>
      </c>
      <c r="D7063" s="313" t="s">
        <v>5187</v>
      </c>
      <c r="E7063" s="603" t="s">
        <v>7772</v>
      </c>
      <c r="F7063" s="603"/>
      <c r="G7063" s="314" t="s">
        <v>19</v>
      </c>
      <c r="H7063" s="399">
        <v>1</v>
      </c>
      <c r="I7063" s="316"/>
      <c r="J7063" s="316">
        <v>105.85</v>
      </c>
      <c r="K7063" s="316">
        <v>105.85</v>
      </c>
    </row>
    <row r="7064" spans="1:11" ht="26.4" x14ac:dyDescent="0.3">
      <c r="A7064" s="408" t="s">
        <v>1034</v>
      </c>
      <c r="B7064" s="409" t="s">
        <v>8027</v>
      </c>
      <c r="C7064" s="408" t="s">
        <v>395</v>
      </c>
      <c r="D7064" s="408" t="s">
        <v>8028</v>
      </c>
      <c r="E7064" s="604" t="s">
        <v>7768</v>
      </c>
      <c r="F7064" s="604"/>
      <c r="G7064" s="410" t="s">
        <v>6</v>
      </c>
      <c r="H7064" s="412">
        <v>1</v>
      </c>
      <c r="I7064" s="412">
        <v>0</v>
      </c>
      <c r="J7064" s="411">
        <v>59.02</v>
      </c>
      <c r="K7064" s="411">
        <v>59.02</v>
      </c>
    </row>
    <row r="7065" spans="1:11" ht="60" customHeight="1" x14ac:dyDescent="0.3">
      <c r="A7065" s="408" t="s">
        <v>1034</v>
      </c>
      <c r="B7065" s="409" t="s">
        <v>8029</v>
      </c>
      <c r="C7065" s="408" t="s">
        <v>395</v>
      </c>
      <c r="D7065" s="408" t="s">
        <v>8030</v>
      </c>
      <c r="E7065" s="604" t="s">
        <v>7946</v>
      </c>
      <c r="F7065" s="604"/>
      <c r="G7065" s="410" t="s">
        <v>6</v>
      </c>
      <c r="H7065" s="412">
        <v>1</v>
      </c>
      <c r="I7065" s="412">
        <v>0</v>
      </c>
      <c r="J7065" s="411">
        <v>30.4</v>
      </c>
      <c r="K7065" s="411">
        <v>30.4</v>
      </c>
    </row>
    <row r="7066" spans="1:11" ht="52.8" x14ac:dyDescent="0.3">
      <c r="A7066" s="408" t="s">
        <v>1034</v>
      </c>
      <c r="B7066" s="409" t="s">
        <v>8031</v>
      </c>
      <c r="C7066" s="408" t="s">
        <v>395</v>
      </c>
      <c r="D7066" s="408" t="s">
        <v>8032</v>
      </c>
      <c r="E7066" s="604" t="s">
        <v>7946</v>
      </c>
      <c r="F7066" s="604"/>
      <c r="G7066" s="410" t="s">
        <v>6</v>
      </c>
      <c r="H7066" s="412">
        <v>1</v>
      </c>
      <c r="I7066" s="412">
        <v>0</v>
      </c>
      <c r="J7066" s="411">
        <v>11.7</v>
      </c>
      <c r="K7066" s="411">
        <v>11.7</v>
      </c>
    </row>
    <row r="7067" spans="1:11" ht="14.25" customHeight="1" x14ac:dyDescent="0.3">
      <c r="A7067" s="408" t="s">
        <v>1034</v>
      </c>
      <c r="B7067" s="409" t="s">
        <v>8033</v>
      </c>
      <c r="C7067" s="408" t="s">
        <v>395</v>
      </c>
      <c r="D7067" s="408" t="s">
        <v>8034</v>
      </c>
      <c r="E7067" s="604" t="s">
        <v>7946</v>
      </c>
      <c r="F7067" s="604"/>
      <c r="G7067" s="410" t="s">
        <v>6</v>
      </c>
      <c r="H7067" s="412">
        <v>1</v>
      </c>
      <c r="I7067" s="412">
        <v>0</v>
      </c>
      <c r="J7067" s="411">
        <v>4.7300000000000004</v>
      </c>
      <c r="K7067" s="411">
        <v>4.7300000000000004</v>
      </c>
    </row>
    <row r="7068" spans="1:11" ht="25.5" customHeight="1" x14ac:dyDescent="0.3">
      <c r="A7068" s="405"/>
      <c r="B7068" s="405"/>
      <c r="C7068" s="405"/>
      <c r="D7068" s="405"/>
      <c r="E7068" s="405" t="s">
        <v>1046</v>
      </c>
      <c r="F7068" s="406">
        <v>50.07</v>
      </c>
      <c r="G7068" s="405" t="s">
        <v>1047</v>
      </c>
      <c r="H7068" s="406">
        <v>0</v>
      </c>
      <c r="I7068" s="405" t="s">
        <v>1048</v>
      </c>
      <c r="J7068" s="406">
        <v>50.07</v>
      </c>
      <c r="K7068"/>
    </row>
    <row r="7069" spans="1:11" ht="25.5" customHeight="1" thickBot="1" x14ac:dyDescent="0.35">
      <c r="A7069" s="405"/>
      <c r="B7069" s="405"/>
      <c r="C7069" s="405"/>
      <c r="D7069" s="405"/>
      <c r="E7069" s="405" t="s">
        <v>1049</v>
      </c>
      <c r="F7069" s="406">
        <v>0</v>
      </c>
      <c r="G7069" s="405"/>
      <c r="H7069" s="606"/>
      <c r="I7069" s="606" t="s">
        <v>1050</v>
      </c>
      <c r="J7069" s="406">
        <v>105.85</v>
      </c>
      <c r="K7069"/>
    </row>
    <row r="7070" spans="1:11" ht="15.6" thickTop="1" x14ac:dyDescent="0.3">
      <c r="A7070" s="407"/>
      <c r="B7070" s="407"/>
      <c r="C7070" s="407"/>
      <c r="D7070" s="407"/>
      <c r="E7070" s="407"/>
      <c r="F7070" s="407"/>
      <c r="G7070" s="407"/>
      <c r="H7070" s="407"/>
      <c r="I7070" s="407"/>
      <c r="J7070" s="407"/>
      <c r="K7070"/>
    </row>
    <row r="7071" spans="1:11" ht="30" customHeight="1" x14ac:dyDescent="0.3">
      <c r="A7071" s="382"/>
      <c r="B7071" s="312" t="s">
        <v>413</v>
      </c>
      <c r="C7071" s="382" t="s">
        <v>414</v>
      </c>
      <c r="D7071" s="382" t="s">
        <v>415</v>
      </c>
      <c r="E7071" s="586" t="s">
        <v>1029</v>
      </c>
      <c r="F7071" s="586"/>
      <c r="G7071" s="383" t="s">
        <v>416</v>
      </c>
      <c r="H7071" s="312" t="s">
        <v>1030</v>
      </c>
      <c r="I7071" s="312" t="s">
        <v>3016</v>
      </c>
      <c r="J7071" s="312" t="s">
        <v>1031</v>
      </c>
      <c r="K7071" s="312" t="s">
        <v>1032</v>
      </c>
    </row>
    <row r="7072" spans="1:11" ht="25.5" customHeight="1" x14ac:dyDescent="0.3">
      <c r="A7072" s="313" t="s">
        <v>1033</v>
      </c>
      <c r="B7072" s="315" t="s">
        <v>5184</v>
      </c>
      <c r="C7072" s="313" t="s">
        <v>395</v>
      </c>
      <c r="D7072" s="313" t="s">
        <v>5185</v>
      </c>
      <c r="E7072" s="603" t="s">
        <v>7772</v>
      </c>
      <c r="F7072" s="603"/>
      <c r="G7072" s="314" t="s">
        <v>15</v>
      </c>
      <c r="H7072" s="399">
        <v>1</v>
      </c>
      <c r="I7072" s="316"/>
      <c r="J7072" s="316">
        <v>328.42</v>
      </c>
      <c r="K7072" s="316">
        <v>328.42</v>
      </c>
    </row>
    <row r="7073" spans="1:11" ht="25.5" customHeight="1" x14ac:dyDescent="0.3">
      <c r="A7073" s="408" t="s">
        <v>1034</v>
      </c>
      <c r="B7073" s="409" t="s">
        <v>8027</v>
      </c>
      <c r="C7073" s="408" t="s">
        <v>395</v>
      </c>
      <c r="D7073" s="408" t="s">
        <v>8028</v>
      </c>
      <c r="E7073" s="604" t="s">
        <v>7768</v>
      </c>
      <c r="F7073" s="604"/>
      <c r="G7073" s="410" t="s">
        <v>6</v>
      </c>
      <c r="H7073" s="412">
        <v>1</v>
      </c>
      <c r="I7073" s="412">
        <v>0</v>
      </c>
      <c r="J7073" s="411">
        <v>59.02</v>
      </c>
      <c r="K7073" s="411">
        <v>59.02</v>
      </c>
    </row>
    <row r="7074" spans="1:11" ht="14.25" customHeight="1" x14ac:dyDescent="0.3">
      <c r="A7074" s="408" t="s">
        <v>1034</v>
      </c>
      <c r="B7074" s="409" t="s">
        <v>8029</v>
      </c>
      <c r="C7074" s="408" t="s">
        <v>395</v>
      </c>
      <c r="D7074" s="408" t="s">
        <v>8030</v>
      </c>
      <c r="E7074" s="604" t="s">
        <v>7946</v>
      </c>
      <c r="F7074" s="604"/>
      <c r="G7074" s="410" t="s">
        <v>6</v>
      </c>
      <c r="H7074" s="412">
        <v>1</v>
      </c>
      <c r="I7074" s="412">
        <v>0</v>
      </c>
      <c r="J7074" s="411">
        <v>30.4</v>
      </c>
      <c r="K7074" s="411">
        <v>30.4</v>
      </c>
    </row>
    <row r="7075" spans="1:11" ht="14.25" customHeight="1" x14ac:dyDescent="0.3">
      <c r="A7075" s="408" t="s">
        <v>1034</v>
      </c>
      <c r="B7075" s="409" t="s">
        <v>8031</v>
      </c>
      <c r="C7075" s="408" t="s">
        <v>395</v>
      </c>
      <c r="D7075" s="408" t="s">
        <v>8032</v>
      </c>
      <c r="E7075" s="604" t="s">
        <v>7946</v>
      </c>
      <c r="F7075" s="604"/>
      <c r="G7075" s="410" t="s">
        <v>6</v>
      </c>
      <c r="H7075" s="412">
        <v>1</v>
      </c>
      <c r="I7075" s="412">
        <v>0</v>
      </c>
      <c r="J7075" s="411">
        <v>11.7</v>
      </c>
      <c r="K7075" s="411">
        <v>11.7</v>
      </c>
    </row>
    <row r="7076" spans="1:11" ht="17.399999999999999" customHeight="1" x14ac:dyDescent="0.3">
      <c r="A7076" s="408" t="s">
        <v>1034</v>
      </c>
      <c r="B7076" s="409" t="s">
        <v>8033</v>
      </c>
      <c r="C7076" s="408" t="s">
        <v>395</v>
      </c>
      <c r="D7076" s="408" t="s">
        <v>8034</v>
      </c>
      <c r="E7076" s="604" t="s">
        <v>7946</v>
      </c>
      <c r="F7076" s="604"/>
      <c r="G7076" s="410" t="s">
        <v>6</v>
      </c>
      <c r="H7076" s="412">
        <v>1</v>
      </c>
      <c r="I7076" s="412">
        <v>0</v>
      </c>
      <c r="J7076" s="411">
        <v>4.7300000000000004</v>
      </c>
      <c r="K7076" s="411">
        <v>4.7300000000000004</v>
      </c>
    </row>
    <row r="7077" spans="1:11" ht="52.8" x14ac:dyDescent="0.3">
      <c r="A7077" s="408" t="s">
        <v>1034</v>
      </c>
      <c r="B7077" s="409" t="s">
        <v>8035</v>
      </c>
      <c r="C7077" s="408" t="s">
        <v>395</v>
      </c>
      <c r="D7077" s="408" t="s">
        <v>8036</v>
      </c>
      <c r="E7077" s="604" t="s">
        <v>7946</v>
      </c>
      <c r="F7077" s="604"/>
      <c r="G7077" s="410" t="s">
        <v>6</v>
      </c>
      <c r="H7077" s="412">
        <v>1</v>
      </c>
      <c r="I7077" s="412">
        <v>0</v>
      </c>
      <c r="J7077" s="411">
        <v>54.77</v>
      </c>
      <c r="K7077" s="411">
        <v>54.77</v>
      </c>
    </row>
    <row r="7078" spans="1:11" ht="14.25" customHeight="1" x14ac:dyDescent="0.3">
      <c r="A7078" s="408" t="s">
        <v>1034</v>
      </c>
      <c r="B7078" s="409" t="s">
        <v>8037</v>
      </c>
      <c r="C7078" s="408" t="s">
        <v>395</v>
      </c>
      <c r="D7078" s="408" t="s">
        <v>8038</v>
      </c>
      <c r="E7078" s="604" t="s">
        <v>7946</v>
      </c>
      <c r="F7078" s="604"/>
      <c r="G7078" s="410" t="s">
        <v>6</v>
      </c>
      <c r="H7078" s="412">
        <v>1</v>
      </c>
      <c r="I7078" s="412">
        <v>0</v>
      </c>
      <c r="J7078" s="411">
        <v>167.8</v>
      </c>
      <c r="K7078" s="411">
        <v>167.8</v>
      </c>
    </row>
    <row r="7079" spans="1:11" ht="25.5" customHeight="1" x14ac:dyDescent="0.3">
      <c r="A7079" s="405"/>
      <c r="B7079" s="405"/>
      <c r="C7079" s="405"/>
      <c r="D7079" s="405"/>
      <c r="E7079" s="405" t="s">
        <v>1046</v>
      </c>
      <c r="F7079" s="406">
        <v>50.07</v>
      </c>
      <c r="G7079" s="405" t="s">
        <v>1047</v>
      </c>
      <c r="H7079" s="406">
        <v>0</v>
      </c>
      <c r="I7079" s="405" t="s">
        <v>1048</v>
      </c>
      <c r="J7079" s="406">
        <v>50.07</v>
      </c>
      <c r="K7079"/>
    </row>
    <row r="7080" spans="1:11" ht="25.5" customHeight="1" thickBot="1" x14ac:dyDescent="0.35">
      <c r="A7080" s="405"/>
      <c r="B7080" s="405"/>
      <c r="C7080" s="405"/>
      <c r="D7080" s="405"/>
      <c r="E7080" s="405" t="s">
        <v>1049</v>
      </c>
      <c r="F7080" s="406">
        <v>0</v>
      </c>
      <c r="G7080" s="405"/>
      <c r="H7080" s="606"/>
      <c r="I7080" s="606" t="s">
        <v>1050</v>
      </c>
      <c r="J7080" s="406">
        <v>328.42</v>
      </c>
      <c r="K7080"/>
    </row>
    <row r="7081" spans="1:11" ht="16.95" customHeight="1" thickTop="1" x14ac:dyDescent="0.3">
      <c r="A7081" s="407"/>
      <c r="B7081" s="407"/>
      <c r="C7081" s="407"/>
      <c r="D7081" s="407"/>
      <c r="E7081" s="407"/>
      <c r="F7081" s="407"/>
      <c r="G7081" s="407"/>
      <c r="H7081" s="407"/>
      <c r="I7081" s="407"/>
      <c r="J7081" s="407"/>
      <c r="K7081"/>
    </row>
    <row r="7082" spans="1:11" ht="16.95" customHeight="1" x14ac:dyDescent="0.3">
      <c r="A7082" s="382"/>
      <c r="B7082" s="312" t="s">
        <v>413</v>
      </c>
      <c r="C7082" s="382" t="s">
        <v>414</v>
      </c>
      <c r="D7082" s="382" t="s">
        <v>415</v>
      </c>
      <c r="E7082" s="586" t="s">
        <v>1029</v>
      </c>
      <c r="F7082" s="586"/>
      <c r="G7082" s="383" t="s">
        <v>416</v>
      </c>
      <c r="H7082" s="312" t="s">
        <v>1030</v>
      </c>
      <c r="I7082" s="312" t="s">
        <v>3016</v>
      </c>
      <c r="J7082" s="312" t="s">
        <v>1031</v>
      </c>
      <c r="K7082" s="312" t="s">
        <v>1032</v>
      </c>
    </row>
    <row r="7083" spans="1:11" ht="16.95" customHeight="1" x14ac:dyDescent="0.3">
      <c r="A7083" s="313" t="s">
        <v>1033</v>
      </c>
      <c r="B7083" s="315" t="s">
        <v>8029</v>
      </c>
      <c r="C7083" s="313" t="s">
        <v>395</v>
      </c>
      <c r="D7083" s="313" t="s">
        <v>8030</v>
      </c>
      <c r="E7083" s="603" t="s">
        <v>7946</v>
      </c>
      <c r="F7083" s="603"/>
      <c r="G7083" s="314" t="s">
        <v>6</v>
      </c>
      <c r="H7083" s="399">
        <v>1</v>
      </c>
      <c r="I7083" s="316"/>
      <c r="J7083" s="316">
        <v>30.4</v>
      </c>
      <c r="K7083" s="316">
        <v>30.4</v>
      </c>
    </row>
    <row r="7084" spans="1:11" ht="16.95" customHeight="1" x14ac:dyDescent="0.3">
      <c r="A7084" s="400" t="s">
        <v>1038</v>
      </c>
      <c r="B7084" s="401" t="s">
        <v>4936</v>
      </c>
      <c r="C7084" s="400" t="s">
        <v>395</v>
      </c>
      <c r="D7084" s="400" t="s">
        <v>4937</v>
      </c>
      <c r="E7084" s="605" t="s">
        <v>1039</v>
      </c>
      <c r="F7084" s="605"/>
      <c r="G7084" s="402" t="s">
        <v>4</v>
      </c>
      <c r="H7084" s="403">
        <v>6.0300000000000002E-5</v>
      </c>
      <c r="I7084" s="403">
        <v>0</v>
      </c>
      <c r="J7084" s="404">
        <v>81335.039999999994</v>
      </c>
      <c r="K7084" s="404">
        <v>4.9045028999999998</v>
      </c>
    </row>
    <row r="7085" spans="1:11" ht="14.25" customHeight="1" x14ac:dyDescent="0.3">
      <c r="A7085" s="400" t="s">
        <v>1038</v>
      </c>
      <c r="B7085" s="401" t="s">
        <v>4731</v>
      </c>
      <c r="C7085" s="400" t="s">
        <v>395</v>
      </c>
      <c r="D7085" s="400" t="s">
        <v>4732</v>
      </c>
      <c r="E7085" s="605" t="s">
        <v>1317</v>
      </c>
      <c r="F7085" s="605"/>
      <c r="G7085" s="402" t="s">
        <v>4</v>
      </c>
      <c r="H7085" s="403">
        <v>3.4199999999999998E-5</v>
      </c>
      <c r="I7085" s="403">
        <v>0</v>
      </c>
      <c r="J7085" s="404">
        <v>745573.13</v>
      </c>
      <c r="K7085" s="404">
        <v>25.498601000000001</v>
      </c>
    </row>
    <row r="7086" spans="1:11" ht="15" x14ac:dyDescent="0.3">
      <c r="A7086" s="405"/>
      <c r="B7086" s="405"/>
      <c r="C7086" s="405"/>
      <c r="D7086" s="405"/>
      <c r="E7086" s="405" t="s">
        <v>1046</v>
      </c>
      <c r="F7086" s="406">
        <v>0</v>
      </c>
      <c r="G7086" s="405" t="s">
        <v>1047</v>
      </c>
      <c r="H7086" s="406">
        <v>0</v>
      </c>
      <c r="I7086" s="405" t="s">
        <v>1048</v>
      </c>
      <c r="J7086" s="406">
        <v>0</v>
      </c>
      <c r="K7086"/>
    </row>
    <row r="7087" spans="1:11" ht="14.25" customHeight="1" thickBot="1" x14ac:dyDescent="0.35">
      <c r="A7087" s="405"/>
      <c r="B7087" s="405"/>
      <c r="C7087" s="405"/>
      <c r="D7087" s="405"/>
      <c r="E7087" s="405" t="s">
        <v>1049</v>
      </c>
      <c r="F7087" s="406">
        <v>0</v>
      </c>
      <c r="G7087" s="405"/>
      <c r="H7087" s="606"/>
      <c r="I7087" s="606" t="s">
        <v>1050</v>
      </c>
      <c r="J7087" s="406">
        <v>30.4</v>
      </c>
      <c r="K7087"/>
    </row>
    <row r="7088" spans="1:11" ht="16.95" customHeight="1" thickTop="1" x14ac:dyDescent="0.3">
      <c r="A7088" s="407"/>
      <c r="B7088" s="407"/>
      <c r="C7088" s="407"/>
      <c r="D7088" s="407"/>
      <c r="E7088" s="407"/>
      <c r="F7088" s="407"/>
      <c r="G7088" s="407"/>
      <c r="H7088" s="407"/>
      <c r="I7088" s="407"/>
      <c r="J7088" s="407"/>
      <c r="K7088"/>
    </row>
    <row r="7089" spans="1:11" ht="38.25" customHeight="1" x14ac:dyDescent="0.3">
      <c r="A7089" s="382"/>
      <c r="B7089" s="312" t="s">
        <v>413</v>
      </c>
      <c r="C7089" s="382" t="s">
        <v>414</v>
      </c>
      <c r="D7089" s="382" t="s">
        <v>415</v>
      </c>
      <c r="E7089" s="586" t="s">
        <v>1029</v>
      </c>
      <c r="F7089" s="586"/>
      <c r="G7089" s="383" t="s">
        <v>416</v>
      </c>
      <c r="H7089" s="312" t="s">
        <v>1030</v>
      </c>
      <c r="I7089" s="312" t="s">
        <v>3016</v>
      </c>
      <c r="J7089" s="312" t="s">
        <v>1031</v>
      </c>
      <c r="K7089" s="312" t="s">
        <v>1032</v>
      </c>
    </row>
    <row r="7090" spans="1:11" ht="25.5" customHeight="1" x14ac:dyDescent="0.3">
      <c r="A7090" s="313" t="s">
        <v>1033</v>
      </c>
      <c r="B7090" s="315" t="s">
        <v>8033</v>
      </c>
      <c r="C7090" s="313" t="s">
        <v>395</v>
      </c>
      <c r="D7090" s="313" t="s">
        <v>8034</v>
      </c>
      <c r="E7090" s="603" t="s">
        <v>7946</v>
      </c>
      <c r="F7090" s="603"/>
      <c r="G7090" s="314" t="s">
        <v>6</v>
      </c>
      <c r="H7090" s="399">
        <v>1</v>
      </c>
      <c r="I7090" s="316"/>
      <c r="J7090" s="316">
        <v>4.7300000000000004</v>
      </c>
      <c r="K7090" s="316">
        <v>4.7300000000000004</v>
      </c>
    </row>
    <row r="7091" spans="1:11" ht="12.75" customHeight="1" x14ac:dyDescent="0.3">
      <c r="A7091" s="400" t="s">
        <v>1038</v>
      </c>
      <c r="B7091" s="401" t="s">
        <v>4936</v>
      </c>
      <c r="C7091" s="400" t="s">
        <v>395</v>
      </c>
      <c r="D7091" s="400" t="s">
        <v>4937</v>
      </c>
      <c r="E7091" s="605" t="s">
        <v>1039</v>
      </c>
      <c r="F7091" s="605"/>
      <c r="G7091" s="402" t="s">
        <v>4</v>
      </c>
      <c r="H7091" s="403">
        <v>5.9000000000000003E-6</v>
      </c>
      <c r="I7091" s="403">
        <v>0</v>
      </c>
      <c r="J7091" s="404">
        <v>81335.039999999994</v>
      </c>
      <c r="K7091" s="404">
        <v>0.47987669999999999</v>
      </c>
    </row>
    <row r="7092" spans="1:11" ht="39.6" x14ac:dyDescent="0.3">
      <c r="A7092" s="400" t="s">
        <v>1038</v>
      </c>
      <c r="B7092" s="401" t="s">
        <v>4731</v>
      </c>
      <c r="C7092" s="400" t="s">
        <v>395</v>
      </c>
      <c r="D7092" s="400" t="s">
        <v>4732</v>
      </c>
      <c r="E7092" s="605" t="s">
        <v>1317</v>
      </c>
      <c r="F7092" s="605"/>
      <c r="G7092" s="402" t="s">
        <v>4</v>
      </c>
      <c r="H7092" s="403">
        <v>5.6999999999999996E-6</v>
      </c>
      <c r="I7092" s="403">
        <v>0</v>
      </c>
      <c r="J7092" s="404">
        <v>745573.13</v>
      </c>
      <c r="K7092" s="404">
        <v>4.2497667999999997</v>
      </c>
    </row>
    <row r="7093" spans="1:11" ht="17.399999999999999" customHeight="1" x14ac:dyDescent="0.3">
      <c r="A7093" s="405"/>
      <c r="B7093" s="405"/>
      <c r="C7093" s="405"/>
      <c r="D7093" s="405"/>
      <c r="E7093" s="405" t="s">
        <v>1046</v>
      </c>
      <c r="F7093" s="406">
        <v>0</v>
      </c>
      <c r="G7093" s="405" t="s">
        <v>1047</v>
      </c>
      <c r="H7093" s="406">
        <v>0</v>
      </c>
      <c r="I7093" s="405" t="s">
        <v>1048</v>
      </c>
      <c r="J7093" s="406">
        <v>0</v>
      </c>
      <c r="K7093"/>
    </row>
    <row r="7094" spans="1:11" ht="15.6" thickBot="1" x14ac:dyDescent="0.35">
      <c r="A7094" s="405"/>
      <c r="B7094" s="405"/>
      <c r="C7094" s="405"/>
      <c r="D7094" s="405"/>
      <c r="E7094" s="405" t="s">
        <v>1049</v>
      </c>
      <c r="F7094" s="406">
        <v>0</v>
      </c>
      <c r="G7094" s="405"/>
      <c r="H7094" s="606"/>
      <c r="I7094" s="606" t="s">
        <v>1050</v>
      </c>
      <c r="J7094" s="406">
        <v>4.7300000000000004</v>
      </c>
      <c r="K7094"/>
    </row>
    <row r="7095" spans="1:11" ht="15.6" thickTop="1" x14ac:dyDescent="0.3">
      <c r="A7095" s="407"/>
      <c r="B7095" s="407"/>
      <c r="C7095" s="407"/>
      <c r="D7095" s="407"/>
      <c r="E7095" s="407"/>
      <c r="F7095" s="407"/>
      <c r="G7095" s="407"/>
      <c r="H7095" s="407"/>
      <c r="I7095" s="407"/>
      <c r="J7095" s="407"/>
      <c r="K7095"/>
    </row>
    <row r="7096" spans="1:11" ht="14.25" customHeight="1" x14ac:dyDescent="0.3">
      <c r="A7096" s="382"/>
      <c r="B7096" s="312" t="s">
        <v>413</v>
      </c>
      <c r="C7096" s="382" t="s">
        <v>414</v>
      </c>
      <c r="D7096" s="382" t="s">
        <v>415</v>
      </c>
      <c r="E7096" s="586" t="s">
        <v>1029</v>
      </c>
      <c r="F7096" s="586"/>
      <c r="G7096" s="383" t="s">
        <v>416</v>
      </c>
      <c r="H7096" s="312" t="s">
        <v>1030</v>
      </c>
      <c r="I7096" s="312" t="s">
        <v>3016</v>
      </c>
      <c r="J7096" s="312" t="s">
        <v>1031</v>
      </c>
      <c r="K7096" s="312" t="s">
        <v>1032</v>
      </c>
    </row>
    <row r="7097" spans="1:11" ht="30" customHeight="1" x14ac:dyDescent="0.3">
      <c r="A7097" s="313" t="s">
        <v>1033</v>
      </c>
      <c r="B7097" s="315" t="s">
        <v>8031</v>
      </c>
      <c r="C7097" s="313" t="s">
        <v>395</v>
      </c>
      <c r="D7097" s="313" t="s">
        <v>8032</v>
      </c>
      <c r="E7097" s="603" t="s">
        <v>7946</v>
      </c>
      <c r="F7097" s="603"/>
      <c r="G7097" s="314" t="s">
        <v>6</v>
      </c>
      <c r="H7097" s="399">
        <v>1</v>
      </c>
      <c r="I7097" s="316"/>
      <c r="J7097" s="316">
        <v>11.7</v>
      </c>
      <c r="K7097" s="316">
        <v>11.7</v>
      </c>
    </row>
    <row r="7098" spans="1:11" ht="14.25" customHeight="1" x14ac:dyDescent="0.3">
      <c r="A7098" s="400" t="s">
        <v>1038</v>
      </c>
      <c r="B7098" s="401" t="s">
        <v>4936</v>
      </c>
      <c r="C7098" s="400" t="s">
        <v>395</v>
      </c>
      <c r="D7098" s="400" t="s">
        <v>4937</v>
      </c>
      <c r="E7098" s="605" t="s">
        <v>1039</v>
      </c>
      <c r="F7098" s="605"/>
      <c r="G7098" s="402" t="s">
        <v>4</v>
      </c>
      <c r="H7098" s="403">
        <v>1.4600000000000001E-5</v>
      </c>
      <c r="I7098" s="403">
        <v>0</v>
      </c>
      <c r="J7098" s="404">
        <v>81335.039999999994</v>
      </c>
      <c r="K7098" s="404">
        <v>1.1874916</v>
      </c>
    </row>
    <row r="7099" spans="1:11" ht="39.6" x14ac:dyDescent="0.3">
      <c r="A7099" s="400" t="s">
        <v>1038</v>
      </c>
      <c r="B7099" s="401" t="s">
        <v>4731</v>
      </c>
      <c r="C7099" s="400" t="s">
        <v>395</v>
      </c>
      <c r="D7099" s="400" t="s">
        <v>4732</v>
      </c>
      <c r="E7099" s="605" t="s">
        <v>1317</v>
      </c>
      <c r="F7099" s="605"/>
      <c r="G7099" s="402" t="s">
        <v>4</v>
      </c>
      <c r="H7099" s="403">
        <v>1.4100000000000001E-5</v>
      </c>
      <c r="I7099" s="403">
        <v>0</v>
      </c>
      <c r="J7099" s="404">
        <v>745573.13</v>
      </c>
      <c r="K7099" s="404">
        <v>10.5125811</v>
      </c>
    </row>
    <row r="7100" spans="1:11" ht="12.75" customHeight="1" x14ac:dyDescent="0.3">
      <c r="A7100" s="405"/>
      <c r="B7100" s="405"/>
      <c r="C7100" s="405"/>
      <c r="D7100" s="405"/>
      <c r="E7100" s="405" t="s">
        <v>1046</v>
      </c>
      <c r="F7100" s="406">
        <v>0</v>
      </c>
      <c r="G7100" s="405" t="s">
        <v>1047</v>
      </c>
      <c r="H7100" s="406">
        <v>0</v>
      </c>
      <c r="I7100" s="405" t="s">
        <v>1048</v>
      </c>
      <c r="J7100" s="406">
        <v>0</v>
      </c>
      <c r="K7100"/>
    </row>
    <row r="7101" spans="1:11" ht="17.399999999999999" customHeight="1" thickBot="1" x14ac:dyDescent="0.35">
      <c r="A7101" s="405"/>
      <c r="B7101" s="405"/>
      <c r="C7101" s="405"/>
      <c r="D7101" s="405"/>
      <c r="E7101" s="405" t="s">
        <v>1049</v>
      </c>
      <c r="F7101" s="406">
        <v>0</v>
      </c>
      <c r="G7101" s="405"/>
      <c r="H7101" s="606"/>
      <c r="I7101" s="606" t="s">
        <v>1050</v>
      </c>
      <c r="J7101" s="406">
        <v>11.7</v>
      </c>
      <c r="K7101"/>
    </row>
    <row r="7102" spans="1:11" ht="25.5" customHeight="1" thickTop="1" x14ac:dyDescent="0.3">
      <c r="A7102" s="407"/>
      <c r="B7102" s="407"/>
      <c r="C7102" s="407"/>
      <c r="D7102" s="407"/>
      <c r="E7102" s="407"/>
      <c r="F7102" s="407"/>
      <c r="G7102" s="407"/>
      <c r="H7102" s="407"/>
      <c r="I7102" s="407"/>
      <c r="J7102" s="407"/>
      <c r="K7102"/>
    </row>
    <row r="7103" spans="1:11" ht="15" x14ac:dyDescent="0.3">
      <c r="A7103" s="382"/>
      <c r="B7103" s="312" t="s">
        <v>413</v>
      </c>
      <c r="C7103" s="382" t="s">
        <v>414</v>
      </c>
      <c r="D7103" s="382" t="s">
        <v>415</v>
      </c>
      <c r="E7103" s="586" t="s">
        <v>1029</v>
      </c>
      <c r="F7103" s="586"/>
      <c r="G7103" s="383" t="s">
        <v>416</v>
      </c>
      <c r="H7103" s="312" t="s">
        <v>1030</v>
      </c>
      <c r="I7103" s="312" t="s">
        <v>3016</v>
      </c>
      <c r="J7103" s="312" t="s">
        <v>1031</v>
      </c>
      <c r="K7103" s="312" t="s">
        <v>1032</v>
      </c>
    </row>
    <row r="7104" spans="1:11" ht="30" customHeight="1" x14ac:dyDescent="0.3">
      <c r="A7104" s="313" t="s">
        <v>1033</v>
      </c>
      <c r="B7104" s="315" t="s">
        <v>8035</v>
      </c>
      <c r="C7104" s="313" t="s">
        <v>395</v>
      </c>
      <c r="D7104" s="313" t="s">
        <v>8036</v>
      </c>
      <c r="E7104" s="603" t="s">
        <v>7946</v>
      </c>
      <c r="F7104" s="603"/>
      <c r="G7104" s="314" t="s">
        <v>6</v>
      </c>
      <c r="H7104" s="399">
        <v>1</v>
      </c>
      <c r="I7104" s="316"/>
      <c r="J7104" s="316">
        <v>54.77</v>
      </c>
      <c r="K7104" s="316">
        <v>54.77</v>
      </c>
    </row>
    <row r="7105" spans="1:11" ht="30" customHeight="1" x14ac:dyDescent="0.3">
      <c r="A7105" s="400" t="s">
        <v>1038</v>
      </c>
      <c r="B7105" s="401" t="s">
        <v>4936</v>
      </c>
      <c r="C7105" s="400" t="s">
        <v>395</v>
      </c>
      <c r="D7105" s="400" t="s">
        <v>4937</v>
      </c>
      <c r="E7105" s="605" t="s">
        <v>1039</v>
      </c>
      <c r="F7105" s="605"/>
      <c r="G7105" s="402" t="s">
        <v>4</v>
      </c>
      <c r="H7105" s="403">
        <v>8.4900000000000004E-5</v>
      </c>
      <c r="I7105" s="403">
        <v>0</v>
      </c>
      <c r="J7105" s="404">
        <v>81335.039999999994</v>
      </c>
      <c r="K7105" s="404">
        <v>6.9053449000000002</v>
      </c>
    </row>
    <row r="7106" spans="1:11" ht="39.6" x14ac:dyDescent="0.3">
      <c r="A7106" s="400" t="s">
        <v>1038</v>
      </c>
      <c r="B7106" s="401" t="s">
        <v>4731</v>
      </c>
      <c r="C7106" s="400" t="s">
        <v>395</v>
      </c>
      <c r="D7106" s="400" t="s">
        <v>4732</v>
      </c>
      <c r="E7106" s="605" t="s">
        <v>1317</v>
      </c>
      <c r="F7106" s="605"/>
      <c r="G7106" s="402" t="s">
        <v>4</v>
      </c>
      <c r="H7106" s="403">
        <v>6.4200000000000002E-5</v>
      </c>
      <c r="I7106" s="403">
        <v>0</v>
      </c>
      <c r="J7106" s="404">
        <v>745573.13</v>
      </c>
      <c r="K7106" s="404">
        <v>47.865794899999997</v>
      </c>
    </row>
    <row r="7107" spans="1:11" ht="14.25" customHeight="1" x14ac:dyDescent="0.3">
      <c r="A7107" s="405"/>
      <c r="B7107" s="405"/>
      <c r="C7107" s="405"/>
      <c r="D7107" s="405"/>
      <c r="E7107" s="405" t="s">
        <v>1046</v>
      </c>
      <c r="F7107" s="406">
        <v>0</v>
      </c>
      <c r="G7107" s="405" t="s">
        <v>1047</v>
      </c>
      <c r="H7107" s="406">
        <v>0</v>
      </c>
      <c r="I7107" s="405" t="s">
        <v>1048</v>
      </c>
      <c r="J7107" s="406">
        <v>0</v>
      </c>
      <c r="K7107"/>
    </row>
    <row r="7108" spans="1:11" ht="17.399999999999999" customHeight="1" thickBot="1" x14ac:dyDescent="0.35">
      <c r="A7108" s="405"/>
      <c r="B7108" s="405"/>
      <c r="C7108" s="405"/>
      <c r="D7108" s="405"/>
      <c r="E7108" s="405" t="s">
        <v>1049</v>
      </c>
      <c r="F7108" s="406">
        <v>0</v>
      </c>
      <c r="G7108" s="405"/>
      <c r="H7108" s="606"/>
      <c r="I7108" s="606" t="s">
        <v>1050</v>
      </c>
      <c r="J7108" s="406">
        <v>54.77</v>
      </c>
      <c r="K7108"/>
    </row>
    <row r="7109" spans="1:11" ht="14.25" customHeight="1" thickTop="1" x14ac:dyDescent="0.3">
      <c r="A7109" s="407"/>
      <c r="B7109" s="407"/>
      <c r="C7109" s="407"/>
      <c r="D7109" s="407"/>
      <c r="E7109" s="407"/>
      <c r="F7109" s="407"/>
      <c r="G7109" s="407"/>
      <c r="H7109" s="407"/>
      <c r="I7109" s="407"/>
      <c r="J7109" s="407"/>
      <c r="K7109"/>
    </row>
    <row r="7110" spans="1:11" ht="15" x14ac:dyDescent="0.3">
      <c r="A7110" s="382"/>
      <c r="B7110" s="312" t="s">
        <v>413</v>
      </c>
      <c r="C7110" s="382" t="s">
        <v>414</v>
      </c>
      <c r="D7110" s="382" t="s">
        <v>415</v>
      </c>
      <c r="E7110" s="586" t="s">
        <v>1029</v>
      </c>
      <c r="F7110" s="586"/>
      <c r="G7110" s="383" t="s">
        <v>416</v>
      </c>
      <c r="H7110" s="312" t="s">
        <v>1030</v>
      </c>
      <c r="I7110" s="312" t="s">
        <v>3016</v>
      </c>
      <c r="J7110" s="312" t="s">
        <v>1031</v>
      </c>
      <c r="K7110" s="312" t="s">
        <v>1032</v>
      </c>
    </row>
    <row r="7111" spans="1:11" ht="14.25" customHeight="1" x14ac:dyDescent="0.3">
      <c r="A7111" s="313" t="s">
        <v>1033</v>
      </c>
      <c r="B7111" s="315" t="s">
        <v>8037</v>
      </c>
      <c r="C7111" s="313" t="s">
        <v>395</v>
      </c>
      <c r="D7111" s="313" t="s">
        <v>8038</v>
      </c>
      <c r="E7111" s="603" t="s">
        <v>7946</v>
      </c>
      <c r="F7111" s="603"/>
      <c r="G7111" s="314" t="s">
        <v>6</v>
      </c>
      <c r="H7111" s="399">
        <v>1</v>
      </c>
      <c r="I7111" s="316"/>
      <c r="J7111" s="316">
        <v>167.8</v>
      </c>
      <c r="K7111" s="316">
        <v>167.8</v>
      </c>
    </row>
    <row r="7112" spans="1:11" ht="30" customHeight="1" x14ac:dyDescent="0.3">
      <c r="A7112" s="400" t="s">
        <v>1038</v>
      </c>
      <c r="B7112" s="401" t="s">
        <v>4383</v>
      </c>
      <c r="C7112" s="400" t="s">
        <v>395</v>
      </c>
      <c r="D7112" s="400" t="s">
        <v>4384</v>
      </c>
      <c r="E7112" s="605" t="s">
        <v>1039</v>
      </c>
      <c r="F7112" s="605"/>
      <c r="G7112" s="402" t="s">
        <v>8</v>
      </c>
      <c r="H7112" s="403">
        <v>23.7</v>
      </c>
      <c r="I7112" s="403">
        <v>0</v>
      </c>
      <c r="J7112" s="404">
        <v>7.08</v>
      </c>
      <c r="K7112" s="404">
        <v>167.79599999999999</v>
      </c>
    </row>
    <row r="7113" spans="1:11" ht="25.5" customHeight="1" x14ac:dyDescent="0.3">
      <c r="A7113" s="405"/>
      <c r="B7113" s="405"/>
      <c r="C7113" s="405"/>
      <c r="D7113" s="405"/>
      <c r="E7113" s="405" t="s">
        <v>1046</v>
      </c>
      <c r="F7113" s="406">
        <v>0</v>
      </c>
      <c r="G7113" s="405" t="s">
        <v>1047</v>
      </c>
      <c r="H7113" s="406">
        <v>0</v>
      </c>
      <c r="I7113" s="405" t="s">
        <v>1048</v>
      </c>
      <c r="J7113" s="406">
        <v>0</v>
      </c>
      <c r="K7113"/>
    </row>
    <row r="7114" spans="1:11" ht="15.6" thickBot="1" x14ac:dyDescent="0.35">
      <c r="A7114" s="405"/>
      <c r="B7114" s="405"/>
      <c r="C7114" s="405"/>
      <c r="D7114" s="405"/>
      <c r="E7114" s="405" t="s">
        <v>1049</v>
      </c>
      <c r="F7114" s="406">
        <v>0</v>
      </c>
      <c r="G7114" s="405"/>
      <c r="H7114" s="606"/>
      <c r="I7114" s="606" t="s">
        <v>1050</v>
      </c>
      <c r="J7114" s="406">
        <v>167.8</v>
      </c>
      <c r="K7114"/>
    </row>
    <row r="7115" spans="1:11" ht="25.5" customHeight="1" thickTop="1" x14ac:dyDescent="0.3">
      <c r="A7115" s="407"/>
      <c r="B7115" s="407"/>
      <c r="C7115" s="407"/>
      <c r="D7115" s="407"/>
      <c r="E7115" s="407"/>
      <c r="F7115" s="407"/>
      <c r="G7115" s="407"/>
      <c r="H7115" s="407"/>
      <c r="I7115" s="407"/>
      <c r="J7115" s="407"/>
      <c r="K7115"/>
    </row>
    <row r="7116" spans="1:11" ht="14.25" customHeight="1" x14ac:dyDescent="0.3">
      <c r="A7116" s="382"/>
      <c r="B7116" s="312" t="s">
        <v>413</v>
      </c>
      <c r="C7116" s="382" t="s">
        <v>414</v>
      </c>
      <c r="D7116" s="382" t="s">
        <v>415</v>
      </c>
      <c r="E7116" s="586" t="s">
        <v>1029</v>
      </c>
      <c r="F7116" s="586"/>
      <c r="G7116" s="383" t="s">
        <v>416</v>
      </c>
      <c r="H7116" s="312" t="s">
        <v>1030</v>
      </c>
      <c r="I7116" s="312" t="s">
        <v>3016</v>
      </c>
      <c r="J7116" s="312" t="s">
        <v>1031</v>
      </c>
      <c r="K7116" s="312" t="s">
        <v>1032</v>
      </c>
    </row>
    <row r="7117" spans="1:11" ht="52.8" x14ac:dyDescent="0.3">
      <c r="A7117" s="313" t="s">
        <v>1033</v>
      </c>
      <c r="B7117" s="315" t="s">
        <v>5180</v>
      </c>
      <c r="C7117" s="313" t="s">
        <v>395</v>
      </c>
      <c r="D7117" s="313" t="s">
        <v>5181</v>
      </c>
      <c r="E7117" s="603" t="s">
        <v>7772</v>
      </c>
      <c r="F7117" s="603"/>
      <c r="G7117" s="314" t="s">
        <v>19</v>
      </c>
      <c r="H7117" s="399">
        <v>1</v>
      </c>
      <c r="I7117" s="316"/>
      <c r="J7117" s="316">
        <v>95.89</v>
      </c>
      <c r="K7117" s="316">
        <v>95.89</v>
      </c>
    </row>
    <row r="7118" spans="1:11" ht="30" customHeight="1" x14ac:dyDescent="0.3">
      <c r="A7118" s="408" t="s">
        <v>1034</v>
      </c>
      <c r="B7118" s="409" t="s">
        <v>8039</v>
      </c>
      <c r="C7118" s="408" t="s">
        <v>395</v>
      </c>
      <c r="D7118" s="408" t="s">
        <v>8040</v>
      </c>
      <c r="E7118" s="604" t="s">
        <v>7946</v>
      </c>
      <c r="F7118" s="604"/>
      <c r="G7118" s="410" t="s">
        <v>6</v>
      </c>
      <c r="H7118" s="412">
        <v>1</v>
      </c>
      <c r="I7118" s="412">
        <v>0</v>
      </c>
      <c r="J7118" s="411">
        <v>23.91</v>
      </c>
      <c r="K7118" s="411">
        <v>23.91</v>
      </c>
    </row>
    <row r="7119" spans="1:11" ht="30" customHeight="1" x14ac:dyDescent="0.3">
      <c r="A7119" s="408" t="s">
        <v>1034</v>
      </c>
      <c r="B7119" s="409" t="s">
        <v>8041</v>
      </c>
      <c r="C7119" s="408" t="s">
        <v>395</v>
      </c>
      <c r="D7119" s="408" t="s">
        <v>8042</v>
      </c>
      <c r="E7119" s="604" t="s">
        <v>7946</v>
      </c>
      <c r="F7119" s="604"/>
      <c r="G7119" s="410" t="s">
        <v>6</v>
      </c>
      <c r="H7119" s="412">
        <v>1</v>
      </c>
      <c r="I7119" s="412">
        <v>0</v>
      </c>
      <c r="J7119" s="411">
        <v>9.23</v>
      </c>
      <c r="K7119" s="411">
        <v>9.23</v>
      </c>
    </row>
    <row r="7120" spans="1:11" ht="12.75" customHeight="1" x14ac:dyDescent="0.3">
      <c r="A7120" s="408" t="s">
        <v>1034</v>
      </c>
      <c r="B7120" s="409" t="s">
        <v>8027</v>
      </c>
      <c r="C7120" s="408" t="s">
        <v>395</v>
      </c>
      <c r="D7120" s="408" t="s">
        <v>8028</v>
      </c>
      <c r="E7120" s="604" t="s">
        <v>7768</v>
      </c>
      <c r="F7120" s="604"/>
      <c r="G7120" s="410" t="s">
        <v>6</v>
      </c>
      <c r="H7120" s="412">
        <v>1</v>
      </c>
      <c r="I7120" s="412">
        <v>0</v>
      </c>
      <c r="J7120" s="411">
        <v>59.02</v>
      </c>
      <c r="K7120" s="411">
        <v>59.02</v>
      </c>
    </row>
    <row r="7121" spans="1:11" ht="25.5" customHeight="1" x14ac:dyDescent="0.3">
      <c r="A7121" s="408" t="s">
        <v>1034</v>
      </c>
      <c r="B7121" s="409" t="s">
        <v>8043</v>
      </c>
      <c r="C7121" s="408" t="s">
        <v>395</v>
      </c>
      <c r="D7121" s="408" t="s">
        <v>8044</v>
      </c>
      <c r="E7121" s="604" t="s">
        <v>7946</v>
      </c>
      <c r="F7121" s="604"/>
      <c r="G7121" s="410" t="s">
        <v>6</v>
      </c>
      <c r="H7121" s="412">
        <v>1</v>
      </c>
      <c r="I7121" s="412">
        <v>0</v>
      </c>
      <c r="J7121" s="411">
        <v>3.73</v>
      </c>
      <c r="K7121" s="411">
        <v>3.73</v>
      </c>
    </row>
    <row r="7122" spans="1:11" ht="25.5" customHeight="1" x14ac:dyDescent="0.3">
      <c r="A7122" s="405"/>
      <c r="B7122" s="405"/>
      <c r="C7122" s="405"/>
      <c r="D7122" s="405"/>
      <c r="E7122" s="405" t="s">
        <v>1046</v>
      </c>
      <c r="F7122" s="406">
        <v>50.07</v>
      </c>
      <c r="G7122" s="405" t="s">
        <v>1047</v>
      </c>
      <c r="H7122" s="406">
        <v>0</v>
      </c>
      <c r="I7122" s="405" t="s">
        <v>1048</v>
      </c>
      <c r="J7122" s="406">
        <v>50.07</v>
      </c>
      <c r="K7122"/>
    </row>
    <row r="7123" spans="1:11" ht="17.399999999999999" customHeight="1" thickBot="1" x14ac:dyDescent="0.35">
      <c r="A7123" s="405"/>
      <c r="B7123" s="405"/>
      <c r="C7123" s="405"/>
      <c r="D7123" s="405"/>
      <c r="E7123" s="405" t="s">
        <v>1049</v>
      </c>
      <c r="F7123" s="406">
        <v>0</v>
      </c>
      <c r="G7123" s="405"/>
      <c r="H7123" s="606"/>
      <c r="I7123" s="606" t="s">
        <v>1050</v>
      </c>
      <c r="J7123" s="406">
        <v>95.89</v>
      </c>
      <c r="K7123"/>
    </row>
    <row r="7124" spans="1:11" ht="14.25" customHeight="1" thickTop="1" x14ac:dyDescent="0.3">
      <c r="A7124" s="407"/>
      <c r="B7124" s="407"/>
      <c r="C7124" s="407"/>
      <c r="D7124" s="407"/>
      <c r="E7124" s="407"/>
      <c r="F7124" s="407"/>
      <c r="G7124" s="407"/>
      <c r="H7124" s="407"/>
      <c r="I7124" s="407"/>
      <c r="J7124" s="407"/>
      <c r="K7124"/>
    </row>
    <row r="7125" spans="1:11" ht="14.25" customHeight="1" x14ac:dyDescent="0.3">
      <c r="A7125" s="382"/>
      <c r="B7125" s="312" t="s">
        <v>413</v>
      </c>
      <c r="C7125" s="382" t="s">
        <v>414</v>
      </c>
      <c r="D7125" s="382" t="s">
        <v>415</v>
      </c>
      <c r="E7125" s="586" t="s">
        <v>1029</v>
      </c>
      <c r="F7125" s="586"/>
      <c r="G7125" s="383" t="s">
        <v>416</v>
      </c>
      <c r="H7125" s="312" t="s">
        <v>1030</v>
      </c>
      <c r="I7125" s="312" t="s">
        <v>3016</v>
      </c>
      <c r="J7125" s="312" t="s">
        <v>1031</v>
      </c>
      <c r="K7125" s="312" t="s">
        <v>1032</v>
      </c>
    </row>
    <row r="7126" spans="1:11" ht="25.5" customHeight="1" x14ac:dyDescent="0.3">
      <c r="A7126" s="313" t="s">
        <v>1033</v>
      </c>
      <c r="B7126" s="315" t="s">
        <v>5182</v>
      </c>
      <c r="C7126" s="313" t="s">
        <v>395</v>
      </c>
      <c r="D7126" s="313" t="s">
        <v>5183</v>
      </c>
      <c r="E7126" s="603" t="s">
        <v>7772</v>
      </c>
      <c r="F7126" s="603"/>
      <c r="G7126" s="314" t="s">
        <v>15</v>
      </c>
      <c r="H7126" s="399">
        <v>1</v>
      </c>
      <c r="I7126" s="316"/>
      <c r="J7126" s="316">
        <v>235.48</v>
      </c>
      <c r="K7126" s="316">
        <v>235.48</v>
      </c>
    </row>
    <row r="7127" spans="1:11" ht="16.95" customHeight="1" x14ac:dyDescent="0.3">
      <c r="A7127" s="408" t="s">
        <v>1034</v>
      </c>
      <c r="B7127" s="409" t="s">
        <v>8039</v>
      </c>
      <c r="C7127" s="408" t="s">
        <v>395</v>
      </c>
      <c r="D7127" s="408" t="s">
        <v>8040</v>
      </c>
      <c r="E7127" s="604" t="s">
        <v>7946</v>
      </c>
      <c r="F7127" s="604"/>
      <c r="G7127" s="410" t="s">
        <v>6</v>
      </c>
      <c r="H7127" s="412">
        <v>1</v>
      </c>
      <c r="I7127" s="412">
        <v>0</v>
      </c>
      <c r="J7127" s="411">
        <v>23.91</v>
      </c>
      <c r="K7127" s="411">
        <v>23.91</v>
      </c>
    </row>
    <row r="7128" spans="1:11" ht="16.95" customHeight="1" x14ac:dyDescent="0.3">
      <c r="A7128" s="408" t="s">
        <v>1034</v>
      </c>
      <c r="B7128" s="409" t="s">
        <v>8041</v>
      </c>
      <c r="C7128" s="408" t="s">
        <v>395</v>
      </c>
      <c r="D7128" s="408" t="s">
        <v>8042</v>
      </c>
      <c r="E7128" s="604" t="s">
        <v>7946</v>
      </c>
      <c r="F7128" s="604"/>
      <c r="G7128" s="410" t="s">
        <v>6</v>
      </c>
      <c r="H7128" s="412">
        <v>1</v>
      </c>
      <c r="I7128" s="412">
        <v>0</v>
      </c>
      <c r="J7128" s="411">
        <v>9.23</v>
      </c>
      <c r="K7128" s="411">
        <v>9.23</v>
      </c>
    </row>
    <row r="7129" spans="1:11" ht="16.95" customHeight="1" x14ac:dyDescent="0.3">
      <c r="A7129" s="408" t="s">
        <v>1034</v>
      </c>
      <c r="B7129" s="409" t="s">
        <v>8045</v>
      </c>
      <c r="C7129" s="408" t="s">
        <v>395</v>
      </c>
      <c r="D7129" s="408" t="s">
        <v>8046</v>
      </c>
      <c r="E7129" s="604" t="s">
        <v>7946</v>
      </c>
      <c r="F7129" s="604"/>
      <c r="G7129" s="410" t="s">
        <v>6</v>
      </c>
      <c r="H7129" s="412">
        <v>1</v>
      </c>
      <c r="I7129" s="412">
        <v>0</v>
      </c>
      <c r="J7129" s="411">
        <v>43.16</v>
      </c>
      <c r="K7129" s="411">
        <v>43.16</v>
      </c>
    </row>
    <row r="7130" spans="1:11" ht="16.95" customHeight="1" x14ac:dyDescent="0.3">
      <c r="A7130" s="408" t="s">
        <v>1034</v>
      </c>
      <c r="B7130" s="409" t="s">
        <v>8047</v>
      </c>
      <c r="C7130" s="408" t="s">
        <v>395</v>
      </c>
      <c r="D7130" s="408" t="s">
        <v>8048</v>
      </c>
      <c r="E7130" s="604" t="s">
        <v>7946</v>
      </c>
      <c r="F7130" s="604"/>
      <c r="G7130" s="410" t="s">
        <v>6</v>
      </c>
      <c r="H7130" s="412">
        <v>1</v>
      </c>
      <c r="I7130" s="412">
        <v>0</v>
      </c>
      <c r="J7130" s="411">
        <v>96.43</v>
      </c>
      <c r="K7130" s="411">
        <v>96.43</v>
      </c>
    </row>
    <row r="7131" spans="1:11" ht="16.95" customHeight="1" x14ac:dyDescent="0.3">
      <c r="A7131" s="408" t="s">
        <v>1034</v>
      </c>
      <c r="B7131" s="409" t="s">
        <v>8027</v>
      </c>
      <c r="C7131" s="408" t="s">
        <v>395</v>
      </c>
      <c r="D7131" s="408" t="s">
        <v>8028</v>
      </c>
      <c r="E7131" s="604" t="s">
        <v>7768</v>
      </c>
      <c r="F7131" s="604"/>
      <c r="G7131" s="410" t="s">
        <v>6</v>
      </c>
      <c r="H7131" s="412">
        <v>1</v>
      </c>
      <c r="I7131" s="412">
        <v>0</v>
      </c>
      <c r="J7131" s="411">
        <v>59.02</v>
      </c>
      <c r="K7131" s="411">
        <v>59.02</v>
      </c>
    </row>
    <row r="7132" spans="1:11" ht="16.95" customHeight="1" x14ac:dyDescent="0.3">
      <c r="A7132" s="408" t="s">
        <v>1034</v>
      </c>
      <c r="B7132" s="409" t="s">
        <v>8043</v>
      </c>
      <c r="C7132" s="408" t="s">
        <v>395</v>
      </c>
      <c r="D7132" s="408" t="s">
        <v>8044</v>
      </c>
      <c r="E7132" s="604" t="s">
        <v>7946</v>
      </c>
      <c r="F7132" s="604"/>
      <c r="G7132" s="410" t="s">
        <v>6</v>
      </c>
      <c r="H7132" s="412">
        <v>1</v>
      </c>
      <c r="I7132" s="412">
        <v>0</v>
      </c>
      <c r="J7132" s="411">
        <v>3.73</v>
      </c>
      <c r="K7132" s="411">
        <v>3.73</v>
      </c>
    </row>
    <row r="7133" spans="1:11" ht="12.75" customHeight="1" x14ac:dyDescent="0.3">
      <c r="A7133" s="405"/>
      <c r="B7133" s="405"/>
      <c r="C7133" s="405"/>
      <c r="D7133" s="405"/>
      <c r="E7133" s="405" t="s">
        <v>1046</v>
      </c>
      <c r="F7133" s="406">
        <v>50.07</v>
      </c>
      <c r="G7133" s="405" t="s">
        <v>1047</v>
      </c>
      <c r="H7133" s="406">
        <v>0</v>
      </c>
      <c r="I7133" s="405" t="s">
        <v>1048</v>
      </c>
      <c r="J7133" s="406">
        <v>50.07</v>
      </c>
      <c r="K7133"/>
    </row>
    <row r="7134" spans="1:11" ht="14.25" customHeight="1" thickBot="1" x14ac:dyDescent="0.35">
      <c r="A7134" s="405"/>
      <c r="B7134" s="405"/>
      <c r="C7134" s="405"/>
      <c r="D7134" s="405"/>
      <c r="E7134" s="405" t="s">
        <v>1049</v>
      </c>
      <c r="F7134" s="406">
        <v>0</v>
      </c>
      <c r="G7134" s="405"/>
      <c r="H7134" s="606"/>
      <c r="I7134" s="606" t="s">
        <v>1050</v>
      </c>
      <c r="J7134" s="406">
        <v>235.48</v>
      </c>
      <c r="K7134"/>
    </row>
    <row r="7135" spans="1:11" ht="14.25" customHeight="1" thickTop="1" x14ac:dyDescent="0.3">
      <c r="A7135" s="407"/>
      <c r="B7135" s="407"/>
      <c r="C7135" s="407"/>
      <c r="D7135" s="407"/>
      <c r="E7135" s="407"/>
      <c r="F7135" s="407"/>
      <c r="G7135" s="407"/>
      <c r="H7135" s="407"/>
      <c r="I7135" s="407"/>
      <c r="J7135" s="407"/>
      <c r="K7135"/>
    </row>
    <row r="7136" spans="1:11" ht="15" x14ac:dyDescent="0.3">
      <c r="A7136" s="382"/>
      <c r="B7136" s="312" t="s">
        <v>413</v>
      </c>
      <c r="C7136" s="382" t="s">
        <v>414</v>
      </c>
      <c r="D7136" s="382" t="s">
        <v>415</v>
      </c>
      <c r="E7136" s="586" t="s">
        <v>1029</v>
      </c>
      <c r="F7136" s="586"/>
      <c r="G7136" s="383" t="s">
        <v>416</v>
      </c>
      <c r="H7136" s="312" t="s">
        <v>1030</v>
      </c>
      <c r="I7136" s="312" t="s">
        <v>3016</v>
      </c>
      <c r="J7136" s="312" t="s">
        <v>1031</v>
      </c>
      <c r="K7136" s="312" t="s">
        <v>1032</v>
      </c>
    </row>
    <row r="7137" spans="1:11" ht="38.25" customHeight="1" x14ac:dyDescent="0.3">
      <c r="A7137" s="313" t="s">
        <v>1033</v>
      </c>
      <c r="B7137" s="315" t="s">
        <v>8039</v>
      </c>
      <c r="C7137" s="313" t="s">
        <v>395</v>
      </c>
      <c r="D7137" s="313" t="s">
        <v>8040</v>
      </c>
      <c r="E7137" s="603" t="s">
        <v>7946</v>
      </c>
      <c r="F7137" s="603"/>
      <c r="G7137" s="314" t="s">
        <v>6</v>
      </c>
      <c r="H7137" s="399">
        <v>1</v>
      </c>
      <c r="I7137" s="316"/>
      <c r="J7137" s="316">
        <v>23.91</v>
      </c>
      <c r="K7137" s="316">
        <v>23.91</v>
      </c>
    </row>
    <row r="7138" spans="1:11" ht="12.75" customHeight="1" x14ac:dyDescent="0.3">
      <c r="A7138" s="400" t="s">
        <v>1038</v>
      </c>
      <c r="B7138" s="401" t="s">
        <v>4940</v>
      </c>
      <c r="C7138" s="400" t="s">
        <v>395</v>
      </c>
      <c r="D7138" s="400" t="s">
        <v>4941</v>
      </c>
      <c r="E7138" s="605" t="s">
        <v>1039</v>
      </c>
      <c r="F7138" s="605"/>
      <c r="G7138" s="402" t="s">
        <v>4</v>
      </c>
      <c r="H7138" s="403">
        <v>6.0300000000000002E-5</v>
      </c>
      <c r="I7138" s="403">
        <v>0</v>
      </c>
      <c r="J7138" s="404">
        <v>60984.7</v>
      </c>
      <c r="K7138" s="404">
        <v>3.6773774000000001</v>
      </c>
    </row>
    <row r="7139" spans="1:11" ht="25.5" customHeight="1" x14ac:dyDescent="0.3">
      <c r="A7139" s="400" t="s">
        <v>1038</v>
      </c>
      <c r="B7139" s="401" t="s">
        <v>4779</v>
      </c>
      <c r="C7139" s="400" t="s">
        <v>395</v>
      </c>
      <c r="D7139" s="400" t="s">
        <v>4780</v>
      </c>
      <c r="E7139" s="605" t="s">
        <v>1317</v>
      </c>
      <c r="F7139" s="605"/>
      <c r="G7139" s="402" t="s">
        <v>4</v>
      </c>
      <c r="H7139" s="403">
        <v>3.4199999999999998E-5</v>
      </c>
      <c r="I7139" s="403">
        <v>0</v>
      </c>
      <c r="J7139" s="404">
        <v>591575.65</v>
      </c>
      <c r="K7139" s="404">
        <v>20.231887199999999</v>
      </c>
    </row>
    <row r="7140" spans="1:11" ht="25.5" customHeight="1" x14ac:dyDescent="0.3">
      <c r="A7140" s="405"/>
      <c r="B7140" s="405"/>
      <c r="C7140" s="405"/>
      <c r="D7140" s="405"/>
      <c r="E7140" s="405" t="s">
        <v>1046</v>
      </c>
      <c r="F7140" s="406">
        <v>0</v>
      </c>
      <c r="G7140" s="405" t="s">
        <v>1047</v>
      </c>
      <c r="H7140" s="406">
        <v>0</v>
      </c>
      <c r="I7140" s="405" t="s">
        <v>1048</v>
      </c>
      <c r="J7140" s="406">
        <v>0</v>
      </c>
      <c r="K7140"/>
    </row>
    <row r="7141" spans="1:11" ht="15.6" thickBot="1" x14ac:dyDescent="0.35">
      <c r="A7141" s="405"/>
      <c r="B7141" s="405"/>
      <c r="C7141" s="405"/>
      <c r="D7141" s="405"/>
      <c r="E7141" s="405" t="s">
        <v>1049</v>
      </c>
      <c r="F7141" s="406">
        <v>0</v>
      </c>
      <c r="G7141" s="405"/>
      <c r="H7141" s="606"/>
      <c r="I7141" s="606" t="s">
        <v>1050</v>
      </c>
      <c r="J7141" s="406">
        <v>23.91</v>
      </c>
      <c r="K7141"/>
    </row>
    <row r="7142" spans="1:11" ht="15.6" thickTop="1" x14ac:dyDescent="0.3">
      <c r="A7142" s="407"/>
      <c r="B7142" s="407"/>
      <c r="C7142" s="407"/>
      <c r="D7142" s="407"/>
      <c r="E7142" s="407"/>
      <c r="F7142" s="407"/>
      <c r="G7142" s="407"/>
      <c r="H7142" s="407"/>
      <c r="I7142" s="407"/>
      <c r="J7142" s="407"/>
      <c r="K7142"/>
    </row>
    <row r="7143" spans="1:11" ht="14.25" customHeight="1" x14ac:dyDescent="0.3">
      <c r="A7143" s="382"/>
      <c r="B7143" s="312" t="s">
        <v>413</v>
      </c>
      <c r="C7143" s="382" t="s">
        <v>414</v>
      </c>
      <c r="D7143" s="382" t="s">
        <v>415</v>
      </c>
      <c r="E7143" s="586" t="s">
        <v>1029</v>
      </c>
      <c r="F7143" s="586"/>
      <c r="G7143" s="383" t="s">
        <v>416</v>
      </c>
      <c r="H7143" s="312" t="s">
        <v>1030</v>
      </c>
      <c r="I7143" s="312" t="s">
        <v>3016</v>
      </c>
      <c r="J7143" s="312" t="s">
        <v>1031</v>
      </c>
      <c r="K7143" s="312" t="s">
        <v>1032</v>
      </c>
    </row>
    <row r="7144" spans="1:11" ht="30" customHeight="1" x14ac:dyDescent="0.3">
      <c r="A7144" s="313" t="s">
        <v>1033</v>
      </c>
      <c r="B7144" s="315" t="s">
        <v>8043</v>
      </c>
      <c r="C7144" s="313" t="s">
        <v>395</v>
      </c>
      <c r="D7144" s="313" t="s">
        <v>8044</v>
      </c>
      <c r="E7144" s="603" t="s">
        <v>7946</v>
      </c>
      <c r="F7144" s="603"/>
      <c r="G7144" s="314" t="s">
        <v>6</v>
      </c>
      <c r="H7144" s="399">
        <v>1</v>
      </c>
      <c r="I7144" s="316"/>
      <c r="J7144" s="316">
        <v>3.73</v>
      </c>
      <c r="K7144" s="316">
        <v>3.73</v>
      </c>
    </row>
    <row r="7145" spans="1:11" ht="30" customHeight="1" x14ac:dyDescent="0.3">
      <c r="A7145" s="400" t="s">
        <v>1038</v>
      </c>
      <c r="B7145" s="401" t="s">
        <v>4940</v>
      </c>
      <c r="C7145" s="400" t="s">
        <v>395</v>
      </c>
      <c r="D7145" s="400" t="s">
        <v>4941</v>
      </c>
      <c r="E7145" s="605" t="s">
        <v>1039</v>
      </c>
      <c r="F7145" s="605"/>
      <c r="G7145" s="402" t="s">
        <v>4</v>
      </c>
      <c r="H7145" s="403">
        <v>5.9000000000000003E-6</v>
      </c>
      <c r="I7145" s="403">
        <v>0</v>
      </c>
      <c r="J7145" s="404">
        <v>60984.7</v>
      </c>
      <c r="K7145" s="404">
        <v>0.35980970000000001</v>
      </c>
    </row>
    <row r="7146" spans="1:11" ht="39.6" x14ac:dyDescent="0.3">
      <c r="A7146" s="400" t="s">
        <v>1038</v>
      </c>
      <c r="B7146" s="401" t="s">
        <v>4779</v>
      </c>
      <c r="C7146" s="400" t="s">
        <v>395</v>
      </c>
      <c r="D7146" s="400" t="s">
        <v>4780</v>
      </c>
      <c r="E7146" s="605" t="s">
        <v>1317</v>
      </c>
      <c r="F7146" s="605"/>
      <c r="G7146" s="402" t="s">
        <v>4</v>
      </c>
      <c r="H7146" s="403">
        <v>5.6999999999999996E-6</v>
      </c>
      <c r="I7146" s="403">
        <v>0</v>
      </c>
      <c r="J7146" s="404">
        <v>591575.65</v>
      </c>
      <c r="K7146" s="404">
        <v>3.3719812</v>
      </c>
    </row>
    <row r="7147" spans="1:11" ht="14.25" customHeight="1" x14ac:dyDescent="0.3">
      <c r="A7147" s="405"/>
      <c r="B7147" s="405"/>
      <c r="C7147" s="405"/>
      <c r="D7147" s="405"/>
      <c r="E7147" s="405" t="s">
        <v>1046</v>
      </c>
      <c r="F7147" s="406">
        <v>0</v>
      </c>
      <c r="G7147" s="405" t="s">
        <v>1047</v>
      </c>
      <c r="H7147" s="406">
        <v>0</v>
      </c>
      <c r="I7147" s="405" t="s">
        <v>1048</v>
      </c>
      <c r="J7147" s="406">
        <v>0</v>
      </c>
      <c r="K7147"/>
    </row>
    <row r="7148" spans="1:11" ht="14.25" customHeight="1" thickBot="1" x14ac:dyDescent="0.35">
      <c r="A7148" s="405"/>
      <c r="B7148" s="405"/>
      <c r="C7148" s="405"/>
      <c r="D7148" s="405"/>
      <c r="E7148" s="405" t="s">
        <v>1049</v>
      </c>
      <c r="F7148" s="406">
        <v>0</v>
      </c>
      <c r="G7148" s="405"/>
      <c r="H7148" s="606"/>
      <c r="I7148" s="606" t="s">
        <v>1050</v>
      </c>
      <c r="J7148" s="406">
        <v>3.73</v>
      </c>
      <c r="K7148"/>
    </row>
    <row r="7149" spans="1:11" ht="15.6" thickTop="1" x14ac:dyDescent="0.3">
      <c r="A7149" s="407"/>
      <c r="B7149" s="407"/>
      <c r="C7149" s="407"/>
      <c r="D7149" s="407"/>
      <c r="E7149" s="407"/>
      <c r="F7149" s="407"/>
      <c r="G7149" s="407"/>
      <c r="H7149" s="407"/>
      <c r="I7149" s="407"/>
      <c r="J7149" s="407"/>
      <c r="K7149"/>
    </row>
    <row r="7150" spans="1:11" ht="14.25" customHeight="1" x14ac:dyDescent="0.3">
      <c r="A7150" s="382"/>
      <c r="B7150" s="312" t="s">
        <v>413</v>
      </c>
      <c r="C7150" s="382" t="s">
        <v>414</v>
      </c>
      <c r="D7150" s="382" t="s">
        <v>415</v>
      </c>
      <c r="E7150" s="586" t="s">
        <v>1029</v>
      </c>
      <c r="F7150" s="586"/>
      <c r="G7150" s="383" t="s">
        <v>416</v>
      </c>
      <c r="H7150" s="312" t="s">
        <v>1030</v>
      </c>
      <c r="I7150" s="312" t="s">
        <v>3016</v>
      </c>
      <c r="J7150" s="312" t="s">
        <v>1031</v>
      </c>
      <c r="K7150" s="312" t="s">
        <v>1032</v>
      </c>
    </row>
    <row r="7151" spans="1:11" ht="15" customHeight="1" x14ac:dyDescent="0.3">
      <c r="A7151" s="313" t="s">
        <v>1033</v>
      </c>
      <c r="B7151" s="315" t="s">
        <v>8041</v>
      </c>
      <c r="C7151" s="313" t="s">
        <v>395</v>
      </c>
      <c r="D7151" s="313" t="s">
        <v>8042</v>
      </c>
      <c r="E7151" s="603" t="s">
        <v>7946</v>
      </c>
      <c r="F7151" s="603"/>
      <c r="G7151" s="314" t="s">
        <v>6</v>
      </c>
      <c r="H7151" s="399">
        <v>1</v>
      </c>
      <c r="I7151" s="316"/>
      <c r="J7151" s="316">
        <v>9.23</v>
      </c>
      <c r="K7151" s="316">
        <v>9.23</v>
      </c>
    </row>
    <row r="7152" spans="1:11" ht="25.5" customHeight="1" x14ac:dyDescent="0.3">
      <c r="A7152" s="400" t="s">
        <v>1038</v>
      </c>
      <c r="B7152" s="401" t="s">
        <v>4940</v>
      </c>
      <c r="C7152" s="400" t="s">
        <v>395</v>
      </c>
      <c r="D7152" s="400" t="s">
        <v>4941</v>
      </c>
      <c r="E7152" s="605" t="s">
        <v>1039</v>
      </c>
      <c r="F7152" s="605"/>
      <c r="G7152" s="402" t="s">
        <v>4</v>
      </c>
      <c r="H7152" s="403">
        <v>1.4600000000000001E-5</v>
      </c>
      <c r="I7152" s="403">
        <v>0</v>
      </c>
      <c r="J7152" s="404">
        <v>60984.7</v>
      </c>
      <c r="K7152" s="404">
        <v>0.89037659999999996</v>
      </c>
    </row>
    <row r="7153" spans="1:11" ht="25.5" customHeight="1" x14ac:dyDescent="0.3">
      <c r="A7153" s="400" t="s">
        <v>1038</v>
      </c>
      <c r="B7153" s="401" t="s">
        <v>4779</v>
      </c>
      <c r="C7153" s="400" t="s">
        <v>395</v>
      </c>
      <c r="D7153" s="400" t="s">
        <v>4780</v>
      </c>
      <c r="E7153" s="605" t="s">
        <v>1317</v>
      </c>
      <c r="F7153" s="605"/>
      <c r="G7153" s="402" t="s">
        <v>4</v>
      </c>
      <c r="H7153" s="403">
        <v>1.4100000000000001E-5</v>
      </c>
      <c r="I7153" s="403">
        <v>0</v>
      </c>
      <c r="J7153" s="404">
        <v>591575.65</v>
      </c>
      <c r="K7153" s="404">
        <v>8.3412167000000004</v>
      </c>
    </row>
    <row r="7154" spans="1:11" ht="25.5" customHeight="1" x14ac:dyDescent="0.3">
      <c r="A7154" s="405"/>
      <c r="B7154" s="405"/>
      <c r="C7154" s="405"/>
      <c r="D7154" s="405"/>
      <c r="E7154" s="405" t="s">
        <v>1046</v>
      </c>
      <c r="F7154" s="406">
        <v>0</v>
      </c>
      <c r="G7154" s="405" t="s">
        <v>1047</v>
      </c>
      <c r="H7154" s="406">
        <v>0</v>
      </c>
      <c r="I7154" s="405" t="s">
        <v>1048</v>
      </c>
      <c r="J7154" s="406">
        <v>0</v>
      </c>
      <c r="K7154"/>
    </row>
    <row r="7155" spans="1:11" ht="16.95" customHeight="1" thickBot="1" x14ac:dyDescent="0.35">
      <c r="A7155" s="405"/>
      <c r="B7155" s="405"/>
      <c r="C7155" s="405"/>
      <c r="D7155" s="405"/>
      <c r="E7155" s="405" t="s">
        <v>1049</v>
      </c>
      <c r="F7155" s="406">
        <v>0</v>
      </c>
      <c r="G7155" s="405"/>
      <c r="H7155" s="606"/>
      <c r="I7155" s="606" t="s">
        <v>1050</v>
      </c>
      <c r="J7155" s="406">
        <v>9.23</v>
      </c>
      <c r="K7155"/>
    </row>
    <row r="7156" spans="1:11" ht="16.95" customHeight="1" thickTop="1" x14ac:dyDescent="0.3">
      <c r="A7156" s="407"/>
      <c r="B7156" s="407"/>
      <c r="C7156" s="407"/>
      <c r="D7156" s="407"/>
      <c r="E7156" s="407"/>
      <c r="F7156" s="407"/>
      <c r="G7156" s="407"/>
      <c r="H7156" s="407"/>
      <c r="I7156" s="407"/>
      <c r="J7156" s="407"/>
      <c r="K7156"/>
    </row>
    <row r="7157" spans="1:11" ht="14.25" customHeight="1" x14ac:dyDescent="0.3">
      <c r="A7157" s="382"/>
      <c r="B7157" s="312" t="s">
        <v>413</v>
      </c>
      <c r="C7157" s="382" t="s">
        <v>414</v>
      </c>
      <c r="D7157" s="382" t="s">
        <v>415</v>
      </c>
      <c r="E7157" s="586" t="s">
        <v>1029</v>
      </c>
      <c r="F7157" s="586"/>
      <c r="G7157" s="383" t="s">
        <v>416</v>
      </c>
      <c r="H7157" s="312" t="s">
        <v>1030</v>
      </c>
      <c r="I7157" s="312" t="s">
        <v>3016</v>
      </c>
      <c r="J7157" s="312" t="s">
        <v>1031</v>
      </c>
      <c r="K7157" s="312" t="s">
        <v>1032</v>
      </c>
    </row>
    <row r="7158" spans="1:11" ht="14.25" customHeight="1" x14ac:dyDescent="0.3">
      <c r="A7158" s="313" t="s">
        <v>1033</v>
      </c>
      <c r="B7158" s="315" t="s">
        <v>8045</v>
      </c>
      <c r="C7158" s="313" t="s">
        <v>395</v>
      </c>
      <c r="D7158" s="313" t="s">
        <v>8046</v>
      </c>
      <c r="E7158" s="603" t="s">
        <v>7946</v>
      </c>
      <c r="F7158" s="603"/>
      <c r="G7158" s="314" t="s">
        <v>6</v>
      </c>
      <c r="H7158" s="399">
        <v>1</v>
      </c>
      <c r="I7158" s="316"/>
      <c r="J7158" s="316">
        <v>43.16</v>
      </c>
      <c r="K7158" s="316">
        <v>43.16</v>
      </c>
    </row>
    <row r="7159" spans="1:11" ht="16.95" customHeight="1" x14ac:dyDescent="0.3">
      <c r="A7159" s="400" t="s">
        <v>1038</v>
      </c>
      <c r="B7159" s="401" t="s">
        <v>4940</v>
      </c>
      <c r="C7159" s="400" t="s">
        <v>395</v>
      </c>
      <c r="D7159" s="400" t="s">
        <v>4941</v>
      </c>
      <c r="E7159" s="605" t="s">
        <v>1039</v>
      </c>
      <c r="F7159" s="605"/>
      <c r="G7159" s="402" t="s">
        <v>4</v>
      </c>
      <c r="H7159" s="403">
        <v>8.4900000000000004E-5</v>
      </c>
      <c r="I7159" s="403">
        <v>0</v>
      </c>
      <c r="J7159" s="404">
        <v>60984.7</v>
      </c>
      <c r="K7159" s="404">
        <v>5.1776010000000001</v>
      </c>
    </row>
    <row r="7160" spans="1:11" ht="16.95" customHeight="1" x14ac:dyDescent="0.3">
      <c r="A7160" s="400" t="s">
        <v>1038</v>
      </c>
      <c r="B7160" s="401" t="s">
        <v>4779</v>
      </c>
      <c r="C7160" s="400" t="s">
        <v>395</v>
      </c>
      <c r="D7160" s="400" t="s">
        <v>4780</v>
      </c>
      <c r="E7160" s="605" t="s">
        <v>1317</v>
      </c>
      <c r="F7160" s="605"/>
      <c r="G7160" s="402" t="s">
        <v>4</v>
      </c>
      <c r="H7160" s="403">
        <v>6.4200000000000002E-5</v>
      </c>
      <c r="I7160" s="403">
        <v>0</v>
      </c>
      <c r="J7160" s="404">
        <v>591575.65</v>
      </c>
      <c r="K7160" s="404">
        <v>37.979156699999997</v>
      </c>
    </row>
    <row r="7161" spans="1:11" ht="15" x14ac:dyDescent="0.3">
      <c r="A7161" s="405"/>
      <c r="B7161" s="405"/>
      <c r="C7161" s="405"/>
      <c r="D7161" s="405"/>
      <c r="E7161" s="405" t="s">
        <v>1046</v>
      </c>
      <c r="F7161" s="406">
        <v>0</v>
      </c>
      <c r="G7161" s="405" t="s">
        <v>1047</v>
      </c>
      <c r="H7161" s="406">
        <v>0</v>
      </c>
      <c r="I7161" s="405" t="s">
        <v>1048</v>
      </c>
      <c r="J7161" s="406">
        <v>0</v>
      </c>
      <c r="K7161"/>
    </row>
    <row r="7162" spans="1:11" ht="25.5" customHeight="1" thickBot="1" x14ac:dyDescent="0.35">
      <c r="A7162" s="405"/>
      <c r="B7162" s="405"/>
      <c r="C7162" s="405"/>
      <c r="D7162" s="405"/>
      <c r="E7162" s="405" t="s">
        <v>1049</v>
      </c>
      <c r="F7162" s="406">
        <v>0</v>
      </c>
      <c r="G7162" s="405"/>
      <c r="H7162" s="606"/>
      <c r="I7162" s="606" t="s">
        <v>1050</v>
      </c>
      <c r="J7162" s="406">
        <v>43.16</v>
      </c>
      <c r="K7162"/>
    </row>
    <row r="7163" spans="1:11" ht="25.5" customHeight="1" thickTop="1" x14ac:dyDescent="0.3">
      <c r="A7163" s="407"/>
      <c r="B7163" s="407"/>
      <c r="C7163" s="407"/>
      <c r="D7163" s="407"/>
      <c r="E7163" s="407"/>
      <c r="F7163" s="407"/>
      <c r="G7163" s="407"/>
      <c r="H7163" s="407"/>
      <c r="I7163" s="407"/>
      <c r="J7163" s="407"/>
      <c r="K7163"/>
    </row>
    <row r="7164" spans="1:11" ht="25.5" customHeight="1" x14ac:dyDescent="0.3">
      <c r="A7164" s="382"/>
      <c r="B7164" s="312" t="s">
        <v>413</v>
      </c>
      <c r="C7164" s="382" t="s">
        <v>414</v>
      </c>
      <c r="D7164" s="382" t="s">
        <v>415</v>
      </c>
      <c r="E7164" s="586" t="s">
        <v>1029</v>
      </c>
      <c r="F7164" s="586"/>
      <c r="G7164" s="383" t="s">
        <v>416</v>
      </c>
      <c r="H7164" s="312" t="s">
        <v>1030</v>
      </c>
      <c r="I7164" s="312" t="s">
        <v>3016</v>
      </c>
      <c r="J7164" s="312" t="s">
        <v>1031</v>
      </c>
      <c r="K7164" s="312" t="s">
        <v>1032</v>
      </c>
    </row>
    <row r="7165" spans="1:11" ht="17.399999999999999" customHeight="1" x14ac:dyDescent="0.3">
      <c r="A7165" s="313" t="s">
        <v>1033</v>
      </c>
      <c r="B7165" s="315" t="s">
        <v>8047</v>
      </c>
      <c r="C7165" s="313" t="s">
        <v>395</v>
      </c>
      <c r="D7165" s="313" t="s">
        <v>8048</v>
      </c>
      <c r="E7165" s="603" t="s">
        <v>7946</v>
      </c>
      <c r="F7165" s="603"/>
      <c r="G7165" s="314" t="s">
        <v>6</v>
      </c>
      <c r="H7165" s="399">
        <v>1</v>
      </c>
      <c r="I7165" s="316"/>
      <c r="J7165" s="316">
        <v>96.43</v>
      </c>
      <c r="K7165" s="316">
        <v>96.43</v>
      </c>
    </row>
    <row r="7166" spans="1:11" ht="15" x14ac:dyDescent="0.3">
      <c r="A7166" s="400" t="s">
        <v>1038</v>
      </c>
      <c r="B7166" s="401" t="s">
        <v>4383</v>
      </c>
      <c r="C7166" s="400" t="s">
        <v>395</v>
      </c>
      <c r="D7166" s="400" t="s">
        <v>4384</v>
      </c>
      <c r="E7166" s="605" t="s">
        <v>1039</v>
      </c>
      <c r="F7166" s="605"/>
      <c r="G7166" s="402" t="s">
        <v>8</v>
      </c>
      <c r="H7166" s="403">
        <v>13.62</v>
      </c>
      <c r="I7166" s="403">
        <v>0</v>
      </c>
      <c r="J7166" s="404">
        <v>7.08</v>
      </c>
      <c r="K7166" s="404">
        <v>96.429599999999994</v>
      </c>
    </row>
    <row r="7167" spans="1:11" ht="14.25" customHeight="1" x14ac:dyDescent="0.3">
      <c r="A7167" s="405"/>
      <c r="B7167" s="405"/>
      <c r="C7167" s="405"/>
      <c r="D7167" s="405"/>
      <c r="E7167" s="405" t="s">
        <v>1046</v>
      </c>
      <c r="F7167" s="406">
        <v>0</v>
      </c>
      <c r="G7167" s="405" t="s">
        <v>1047</v>
      </c>
      <c r="H7167" s="406">
        <v>0</v>
      </c>
      <c r="I7167" s="405" t="s">
        <v>1048</v>
      </c>
      <c r="J7167" s="406">
        <v>0</v>
      </c>
      <c r="K7167"/>
    </row>
    <row r="7168" spans="1:11" ht="15" customHeight="1" thickBot="1" x14ac:dyDescent="0.35">
      <c r="A7168" s="405"/>
      <c r="B7168" s="405"/>
      <c r="C7168" s="405"/>
      <c r="D7168" s="405"/>
      <c r="E7168" s="405" t="s">
        <v>1049</v>
      </c>
      <c r="F7168" s="406">
        <v>0</v>
      </c>
      <c r="G7168" s="405"/>
      <c r="H7168" s="606"/>
      <c r="I7168" s="606" t="s">
        <v>1050</v>
      </c>
      <c r="J7168" s="406">
        <v>96.43</v>
      </c>
      <c r="K7168"/>
    </row>
    <row r="7169" spans="1:11" ht="14.25" customHeight="1" thickTop="1" x14ac:dyDescent="0.3">
      <c r="A7169" s="407"/>
      <c r="B7169" s="407"/>
      <c r="C7169" s="407"/>
      <c r="D7169" s="407"/>
      <c r="E7169" s="407"/>
      <c r="F7169" s="407"/>
      <c r="G7169" s="407"/>
      <c r="H7169" s="407"/>
      <c r="I7169" s="407"/>
      <c r="J7169" s="407"/>
      <c r="K7169"/>
    </row>
    <row r="7170" spans="1:11" ht="30" customHeight="1" x14ac:dyDescent="0.3">
      <c r="A7170" s="382"/>
      <c r="B7170" s="312" t="s">
        <v>413</v>
      </c>
      <c r="C7170" s="382" t="s">
        <v>414</v>
      </c>
      <c r="D7170" s="382" t="s">
        <v>415</v>
      </c>
      <c r="E7170" s="586" t="s">
        <v>1029</v>
      </c>
      <c r="F7170" s="586"/>
      <c r="G7170" s="383" t="s">
        <v>416</v>
      </c>
      <c r="H7170" s="312" t="s">
        <v>1030</v>
      </c>
      <c r="I7170" s="312" t="s">
        <v>3016</v>
      </c>
      <c r="J7170" s="312" t="s">
        <v>1031</v>
      </c>
      <c r="K7170" s="312" t="s">
        <v>1032</v>
      </c>
    </row>
    <row r="7171" spans="1:11" ht="12.75" customHeight="1" x14ac:dyDescent="0.3">
      <c r="A7171" s="313" t="s">
        <v>1033</v>
      </c>
      <c r="B7171" s="315" t="s">
        <v>5223</v>
      </c>
      <c r="C7171" s="313" t="s">
        <v>395</v>
      </c>
      <c r="D7171" s="313" t="s">
        <v>5224</v>
      </c>
      <c r="E7171" s="603" t="s">
        <v>7772</v>
      </c>
      <c r="F7171" s="603"/>
      <c r="G7171" s="314" t="s">
        <v>19</v>
      </c>
      <c r="H7171" s="399">
        <v>1</v>
      </c>
      <c r="I7171" s="316"/>
      <c r="J7171" s="316">
        <v>104.38</v>
      </c>
      <c r="K7171" s="316">
        <v>104.38</v>
      </c>
    </row>
    <row r="7172" spans="1:11" ht="25.5" customHeight="1" x14ac:dyDescent="0.3">
      <c r="A7172" s="408" t="s">
        <v>1034</v>
      </c>
      <c r="B7172" s="409" t="s">
        <v>8049</v>
      </c>
      <c r="C7172" s="408" t="s">
        <v>395</v>
      </c>
      <c r="D7172" s="408" t="s">
        <v>8050</v>
      </c>
      <c r="E7172" s="604" t="s">
        <v>7768</v>
      </c>
      <c r="F7172" s="604"/>
      <c r="G7172" s="410" t="s">
        <v>6</v>
      </c>
      <c r="H7172" s="412">
        <v>1</v>
      </c>
      <c r="I7172" s="412">
        <v>0</v>
      </c>
      <c r="J7172" s="411">
        <v>57.14</v>
      </c>
      <c r="K7172" s="411">
        <v>57.14</v>
      </c>
    </row>
    <row r="7173" spans="1:11" ht="25.5" customHeight="1" x14ac:dyDescent="0.3">
      <c r="A7173" s="408" t="s">
        <v>1034</v>
      </c>
      <c r="B7173" s="409" t="s">
        <v>8051</v>
      </c>
      <c r="C7173" s="408" t="s">
        <v>395</v>
      </c>
      <c r="D7173" s="408" t="s">
        <v>8052</v>
      </c>
      <c r="E7173" s="604" t="s">
        <v>7946</v>
      </c>
      <c r="F7173" s="604"/>
      <c r="G7173" s="410" t="s">
        <v>6</v>
      </c>
      <c r="H7173" s="412">
        <v>1</v>
      </c>
      <c r="I7173" s="412">
        <v>0</v>
      </c>
      <c r="J7173" s="411">
        <v>30.63</v>
      </c>
      <c r="K7173" s="411">
        <v>30.63</v>
      </c>
    </row>
    <row r="7174" spans="1:11" ht="52.8" x14ac:dyDescent="0.3">
      <c r="A7174" s="408" t="s">
        <v>1034</v>
      </c>
      <c r="B7174" s="409" t="s">
        <v>8053</v>
      </c>
      <c r="C7174" s="408" t="s">
        <v>395</v>
      </c>
      <c r="D7174" s="408" t="s">
        <v>8054</v>
      </c>
      <c r="E7174" s="604" t="s">
        <v>7946</v>
      </c>
      <c r="F7174" s="604"/>
      <c r="G7174" s="410" t="s">
        <v>6</v>
      </c>
      <c r="H7174" s="412">
        <v>1</v>
      </c>
      <c r="I7174" s="412">
        <v>0</v>
      </c>
      <c r="J7174" s="411">
        <v>11.83</v>
      </c>
      <c r="K7174" s="411">
        <v>11.83</v>
      </c>
    </row>
    <row r="7175" spans="1:11" ht="52.8" x14ac:dyDescent="0.3">
      <c r="A7175" s="408" t="s">
        <v>1034</v>
      </c>
      <c r="B7175" s="409" t="s">
        <v>8055</v>
      </c>
      <c r="C7175" s="408" t="s">
        <v>395</v>
      </c>
      <c r="D7175" s="408" t="s">
        <v>8056</v>
      </c>
      <c r="E7175" s="604" t="s">
        <v>7946</v>
      </c>
      <c r="F7175" s="604"/>
      <c r="G7175" s="410" t="s">
        <v>6</v>
      </c>
      <c r="H7175" s="412">
        <v>1</v>
      </c>
      <c r="I7175" s="412">
        <v>0</v>
      </c>
      <c r="J7175" s="411">
        <v>4.78</v>
      </c>
      <c r="K7175" s="411">
        <v>4.78</v>
      </c>
    </row>
    <row r="7176" spans="1:11" ht="15" customHeight="1" x14ac:dyDescent="0.3">
      <c r="A7176" s="405"/>
      <c r="B7176" s="405"/>
      <c r="C7176" s="405"/>
      <c r="D7176" s="405"/>
      <c r="E7176" s="405" t="s">
        <v>1046</v>
      </c>
      <c r="F7176" s="406">
        <v>48.19</v>
      </c>
      <c r="G7176" s="405" t="s">
        <v>1047</v>
      </c>
      <c r="H7176" s="406">
        <v>0</v>
      </c>
      <c r="I7176" s="405" t="s">
        <v>1048</v>
      </c>
      <c r="J7176" s="406">
        <v>48.19</v>
      </c>
      <c r="K7176"/>
    </row>
    <row r="7177" spans="1:11" ht="14.25" customHeight="1" thickBot="1" x14ac:dyDescent="0.35">
      <c r="A7177" s="405"/>
      <c r="B7177" s="405"/>
      <c r="C7177" s="405"/>
      <c r="D7177" s="405"/>
      <c r="E7177" s="405" t="s">
        <v>1049</v>
      </c>
      <c r="F7177" s="406">
        <v>0</v>
      </c>
      <c r="G7177" s="405"/>
      <c r="H7177" s="606"/>
      <c r="I7177" s="606" t="s">
        <v>1050</v>
      </c>
      <c r="J7177" s="406">
        <v>104.38</v>
      </c>
      <c r="K7177"/>
    </row>
    <row r="7178" spans="1:11" ht="14.25" customHeight="1" thickTop="1" x14ac:dyDescent="0.3">
      <c r="A7178" s="407"/>
      <c r="B7178" s="407"/>
      <c r="C7178" s="407"/>
      <c r="D7178" s="407"/>
      <c r="E7178" s="407"/>
      <c r="F7178" s="407"/>
      <c r="G7178" s="407"/>
      <c r="H7178" s="407"/>
      <c r="I7178" s="407"/>
      <c r="J7178" s="407"/>
      <c r="K7178"/>
    </row>
    <row r="7179" spans="1:11" ht="16.95" customHeight="1" x14ac:dyDescent="0.3">
      <c r="A7179" s="382"/>
      <c r="B7179" s="312" t="s">
        <v>413</v>
      </c>
      <c r="C7179" s="382" t="s">
        <v>414</v>
      </c>
      <c r="D7179" s="382" t="s">
        <v>415</v>
      </c>
      <c r="E7179" s="586" t="s">
        <v>1029</v>
      </c>
      <c r="F7179" s="586"/>
      <c r="G7179" s="383" t="s">
        <v>416</v>
      </c>
      <c r="H7179" s="312" t="s">
        <v>1030</v>
      </c>
      <c r="I7179" s="312" t="s">
        <v>3016</v>
      </c>
      <c r="J7179" s="312" t="s">
        <v>1031</v>
      </c>
      <c r="K7179" s="312" t="s">
        <v>1032</v>
      </c>
    </row>
    <row r="7180" spans="1:11" ht="15" customHeight="1" x14ac:dyDescent="0.3">
      <c r="A7180" s="313" t="s">
        <v>1033</v>
      </c>
      <c r="B7180" s="315" t="s">
        <v>5229</v>
      </c>
      <c r="C7180" s="313" t="s">
        <v>395</v>
      </c>
      <c r="D7180" s="313" t="s">
        <v>5230</v>
      </c>
      <c r="E7180" s="603" t="s">
        <v>7772</v>
      </c>
      <c r="F7180" s="603"/>
      <c r="G7180" s="314" t="s">
        <v>15</v>
      </c>
      <c r="H7180" s="399">
        <v>1</v>
      </c>
      <c r="I7180" s="316"/>
      <c r="J7180" s="316">
        <v>386.33</v>
      </c>
      <c r="K7180" s="316">
        <v>386.33</v>
      </c>
    </row>
    <row r="7181" spans="1:11" ht="16.95" customHeight="1" x14ac:dyDescent="0.3">
      <c r="A7181" s="408" t="s">
        <v>1034</v>
      </c>
      <c r="B7181" s="409" t="s">
        <v>8057</v>
      </c>
      <c r="C7181" s="408" t="s">
        <v>395</v>
      </c>
      <c r="D7181" s="408" t="s">
        <v>8058</v>
      </c>
      <c r="E7181" s="604" t="s">
        <v>7946</v>
      </c>
      <c r="F7181" s="604"/>
      <c r="G7181" s="410" t="s">
        <v>6</v>
      </c>
      <c r="H7181" s="412">
        <v>1</v>
      </c>
      <c r="I7181" s="412">
        <v>0</v>
      </c>
      <c r="J7181" s="411">
        <v>227.69</v>
      </c>
      <c r="K7181" s="411">
        <v>227.69</v>
      </c>
    </row>
    <row r="7182" spans="1:11" ht="12.75" customHeight="1" x14ac:dyDescent="0.3">
      <c r="A7182" s="408" t="s">
        <v>1034</v>
      </c>
      <c r="B7182" s="409" t="s">
        <v>8059</v>
      </c>
      <c r="C7182" s="408" t="s">
        <v>395</v>
      </c>
      <c r="D7182" s="408" t="s">
        <v>8060</v>
      </c>
      <c r="E7182" s="604" t="s">
        <v>7946</v>
      </c>
      <c r="F7182" s="604"/>
      <c r="G7182" s="410" t="s">
        <v>6</v>
      </c>
      <c r="H7182" s="412">
        <v>1</v>
      </c>
      <c r="I7182" s="412">
        <v>0</v>
      </c>
      <c r="J7182" s="411">
        <v>54.26</v>
      </c>
      <c r="K7182" s="411">
        <v>54.26</v>
      </c>
    </row>
    <row r="7183" spans="1:11" ht="25.5" customHeight="1" x14ac:dyDescent="0.3">
      <c r="A7183" s="408" t="s">
        <v>1034</v>
      </c>
      <c r="B7183" s="409" t="s">
        <v>8049</v>
      </c>
      <c r="C7183" s="408" t="s">
        <v>395</v>
      </c>
      <c r="D7183" s="408" t="s">
        <v>8050</v>
      </c>
      <c r="E7183" s="604" t="s">
        <v>7768</v>
      </c>
      <c r="F7183" s="604"/>
      <c r="G7183" s="410" t="s">
        <v>6</v>
      </c>
      <c r="H7183" s="412">
        <v>1</v>
      </c>
      <c r="I7183" s="412">
        <v>0</v>
      </c>
      <c r="J7183" s="411">
        <v>57.14</v>
      </c>
      <c r="K7183" s="411">
        <v>57.14</v>
      </c>
    </row>
    <row r="7184" spans="1:11" ht="25.5" customHeight="1" x14ac:dyDescent="0.3">
      <c r="A7184" s="408" t="s">
        <v>1034</v>
      </c>
      <c r="B7184" s="409" t="s">
        <v>8051</v>
      </c>
      <c r="C7184" s="408" t="s">
        <v>395</v>
      </c>
      <c r="D7184" s="408" t="s">
        <v>8052</v>
      </c>
      <c r="E7184" s="604" t="s">
        <v>7946</v>
      </c>
      <c r="F7184" s="604"/>
      <c r="G7184" s="410" t="s">
        <v>6</v>
      </c>
      <c r="H7184" s="412">
        <v>1</v>
      </c>
      <c r="I7184" s="412">
        <v>0</v>
      </c>
      <c r="J7184" s="411">
        <v>30.63</v>
      </c>
      <c r="K7184" s="411">
        <v>30.63</v>
      </c>
    </row>
    <row r="7185" spans="1:11" ht="16.95" customHeight="1" x14ac:dyDescent="0.3">
      <c r="A7185" s="408" t="s">
        <v>1034</v>
      </c>
      <c r="B7185" s="409" t="s">
        <v>8053</v>
      </c>
      <c r="C7185" s="408" t="s">
        <v>395</v>
      </c>
      <c r="D7185" s="408" t="s">
        <v>8054</v>
      </c>
      <c r="E7185" s="604" t="s">
        <v>7946</v>
      </c>
      <c r="F7185" s="604"/>
      <c r="G7185" s="410" t="s">
        <v>6</v>
      </c>
      <c r="H7185" s="412">
        <v>1</v>
      </c>
      <c r="I7185" s="412">
        <v>0</v>
      </c>
      <c r="J7185" s="411">
        <v>11.83</v>
      </c>
      <c r="K7185" s="411">
        <v>11.83</v>
      </c>
    </row>
    <row r="7186" spans="1:11" ht="52.8" x14ac:dyDescent="0.3">
      <c r="A7186" s="408" t="s">
        <v>1034</v>
      </c>
      <c r="B7186" s="409" t="s">
        <v>8055</v>
      </c>
      <c r="C7186" s="408" t="s">
        <v>395</v>
      </c>
      <c r="D7186" s="408" t="s">
        <v>8056</v>
      </c>
      <c r="E7186" s="604" t="s">
        <v>7946</v>
      </c>
      <c r="F7186" s="604"/>
      <c r="G7186" s="410" t="s">
        <v>6</v>
      </c>
      <c r="H7186" s="412">
        <v>1</v>
      </c>
      <c r="I7186" s="412">
        <v>0</v>
      </c>
      <c r="J7186" s="411">
        <v>4.78</v>
      </c>
      <c r="K7186" s="411">
        <v>4.78</v>
      </c>
    </row>
    <row r="7187" spans="1:11" ht="14.25" customHeight="1" x14ac:dyDescent="0.3">
      <c r="A7187" s="405"/>
      <c r="B7187" s="405"/>
      <c r="C7187" s="405"/>
      <c r="D7187" s="405"/>
      <c r="E7187" s="405" t="s">
        <v>1046</v>
      </c>
      <c r="F7187" s="406">
        <v>48.19</v>
      </c>
      <c r="G7187" s="405" t="s">
        <v>1047</v>
      </c>
      <c r="H7187" s="406">
        <v>0</v>
      </c>
      <c r="I7187" s="405" t="s">
        <v>1048</v>
      </c>
      <c r="J7187" s="406">
        <v>48.19</v>
      </c>
      <c r="K7187"/>
    </row>
    <row r="7188" spans="1:11" ht="14.25" customHeight="1" thickBot="1" x14ac:dyDescent="0.35">
      <c r="A7188" s="405"/>
      <c r="B7188" s="405"/>
      <c r="C7188" s="405"/>
      <c r="D7188" s="405"/>
      <c r="E7188" s="405" t="s">
        <v>1049</v>
      </c>
      <c r="F7188" s="406">
        <v>0</v>
      </c>
      <c r="G7188" s="405"/>
      <c r="H7188" s="606"/>
      <c r="I7188" s="606" t="s">
        <v>1050</v>
      </c>
      <c r="J7188" s="406">
        <v>386.33</v>
      </c>
      <c r="K7188"/>
    </row>
    <row r="7189" spans="1:11" ht="15.6" thickTop="1" x14ac:dyDescent="0.3">
      <c r="A7189" s="407"/>
      <c r="B7189" s="407"/>
      <c r="C7189" s="407"/>
      <c r="D7189" s="407"/>
      <c r="E7189" s="407"/>
      <c r="F7189" s="407"/>
      <c r="G7189" s="407"/>
      <c r="H7189" s="407"/>
      <c r="I7189" s="407"/>
      <c r="J7189" s="407"/>
      <c r="K7189"/>
    </row>
    <row r="7190" spans="1:11" ht="17.399999999999999" customHeight="1" x14ac:dyDescent="0.3">
      <c r="A7190" s="382"/>
      <c r="B7190" s="312" t="s">
        <v>413</v>
      </c>
      <c r="C7190" s="382" t="s">
        <v>414</v>
      </c>
      <c r="D7190" s="382" t="s">
        <v>415</v>
      </c>
      <c r="E7190" s="586" t="s">
        <v>1029</v>
      </c>
      <c r="F7190" s="586"/>
      <c r="G7190" s="383" t="s">
        <v>416</v>
      </c>
      <c r="H7190" s="312" t="s">
        <v>1030</v>
      </c>
      <c r="I7190" s="312" t="s">
        <v>3016</v>
      </c>
      <c r="J7190" s="312" t="s">
        <v>1031</v>
      </c>
      <c r="K7190" s="312" t="s">
        <v>1032</v>
      </c>
    </row>
    <row r="7191" spans="1:11" ht="12.75" customHeight="1" x14ac:dyDescent="0.3">
      <c r="A7191" s="313" t="s">
        <v>1033</v>
      </c>
      <c r="B7191" s="315" t="s">
        <v>8051</v>
      </c>
      <c r="C7191" s="313" t="s">
        <v>395</v>
      </c>
      <c r="D7191" s="313" t="s">
        <v>8052</v>
      </c>
      <c r="E7191" s="603" t="s">
        <v>7946</v>
      </c>
      <c r="F7191" s="603"/>
      <c r="G7191" s="314" t="s">
        <v>6</v>
      </c>
      <c r="H7191" s="399">
        <v>1</v>
      </c>
      <c r="I7191" s="316"/>
      <c r="J7191" s="316">
        <v>30.63</v>
      </c>
      <c r="K7191" s="316">
        <v>30.63</v>
      </c>
    </row>
    <row r="7192" spans="1:11" ht="12.75" customHeight="1" x14ac:dyDescent="0.3">
      <c r="A7192" s="400" t="s">
        <v>1038</v>
      </c>
      <c r="B7192" s="401" t="s">
        <v>4988</v>
      </c>
      <c r="C7192" s="400" t="s">
        <v>395</v>
      </c>
      <c r="D7192" s="400" t="s">
        <v>4989</v>
      </c>
      <c r="E7192" s="605" t="s">
        <v>1039</v>
      </c>
      <c r="F7192" s="605"/>
      <c r="G7192" s="402" t="s">
        <v>4</v>
      </c>
      <c r="H7192" s="403">
        <v>5.5099999999999998E-5</v>
      </c>
      <c r="I7192" s="403">
        <v>0</v>
      </c>
      <c r="J7192" s="404">
        <v>91750</v>
      </c>
      <c r="K7192" s="404">
        <v>5.0554249999999996</v>
      </c>
    </row>
    <row r="7193" spans="1:11" ht="25.5" customHeight="1" x14ac:dyDescent="0.3">
      <c r="A7193" s="400" t="s">
        <v>1038</v>
      </c>
      <c r="B7193" s="401" t="s">
        <v>4731</v>
      </c>
      <c r="C7193" s="400" t="s">
        <v>395</v>
      </c>
      <c r="D7193" s="400" t="s">
        <v>4732</v>
      </c>
      <c r="E7193" s="605" t="s">
        <v>1317</v>
      </c>
      <c r="F7193" s="605"/>
      <c r="G7193" s="402" t="s">
        <v>4</v>
      </c>
      <c r="H7193" s="403">
        <v>3.43E-5</v>
      </c>
      <c r="I7193" s="403">
        <v>0</v>
      </c>
      <c r="J7193" s="404">
        <v>745573.13</v>
      </c>
      <c r="K7193" s="404">
        <v>25.573158400000001</v>
      </c>
    </row>
    <row r="7194" spans="1:11" ht="15" x14ac:dyDescent="0.3">
      <c r="A7194" s="405"/>
      <c r="B7194" s="405"/>
      <c r="C7194" s="405"/>
      <c r="D7194" s="405"/>
      <c r="E7194" s="405" t="s">
        <v>1046</v>
      </c>
      <c r="F7194" s="406">
        <v>0</v>
      </c>
      <c r="G7194" s="405" t="s">
        <v>1047</v>
      </c>
      <c r="H7194" s="406">
        <v>0</v>
      </c>
      <c r="I7194" s="405" t="s">
        <v>1048</v>
      </c>
      <c r="J7194" s="406">
        <v>0</v>
      </c>
      <c r="K7194"/>
    </row>
    <row r="7195" spans="1:11" ht="38.25" customHeight="1" thickBot="1" x14ac:dyDescent="0.35">
      <c r="A7195" s="405"/>
      <c r="B7195" s="405"/>
      <c r="C7195" s="405"/>
      <c r="D7195" s="405"/>
      <c r="E7195" s="405" t="s">
        <v>1049</v>
      </c>
      <c r="F7195" s="406">
        <v>0</v>
      </c>
      <c r="G7195" s="405"/>
      <c r="H7195" s="606"/>
      <c r="I7195" s="606" t="s">
        <v>1050</v>
      </c>
      <c r="J7195" s="406">
        <v>30.63</v>
      </c>
      <c r="K7195"/>
    </row>
    <row r="7196" spans="1:11" ht="25.5" customHeight="1" thickTop="1" x14ac:dyDescent="0.3">
      <c r="A7196" s="407"/>
      <c r="B7196" s="407"/>
      <c r="C7196" s="407"/>
      <c r="D7196" s="407"/>
      <c r="E7196" s="407"/>
      <c r="F7196" s="407"/>
      <c r="G7196" s="407"/>
      <c r="H7196" s="407"/>
      <c r="I7196" s="407"/>
      <c r="J7196" s="407"/>
      <c r="K7196"/>
    </row>
    <row r="7197" spans="1:11" ht="14.25" customHeight="1" x14ac:dyDescent="0.3">
      <c r="A7197" s="382"/>
      <c r="B7197" s="312" t="s">
        <v>413</v>
      </c>
      <c r="C7197" s="382" t="s">
        <v>414</v>
      </c>
      <c r="D7197" s="382" t="s">
        <v>415</v>
      </c>
      <c r="E7197" s="586" t="s">
        <v>1029</v>
      </c>
      <c r="F7197" s="586"/>
      <c r="G7197" s="383" t="s">
        <v>416</v>
      </c>
      <c r="H7197" s="312" t="s">
        <v>1030</v>
      </c>
      <c r="I7197" s="312" t="s">
        <v>3016</v>
      </c>
      <c r="J7197" s="312" t="s">
        <v>1031</v>
      </c>
      <c r="K7197" s="312" t="s">
        <v>1032</v>
      </c>
    </row>
    <row r="7198" spans="1:11" ht="52.8" x14ac:dyDescent="0.3">
      <c r="A7198" s="313" t="s">
        <v>1033</v>
      </c>
      <c r="B7198" s="315" t="s">
        <v>8055</v>
      </c>
      <c r="C7198" s="313" t="s">
        <v>395</v>
      </c>
      <c r="D7198" s="313" t="s">
        <v>8056</v>
      </c>
      <c r="E7198" s="603" t="s">
        <v>7946</v>
      </c>
      <c r="F7198" s="603"/>
      <c r="G7198" s="314" t="s">
        <v>6</v>
      </c>
      <c r="H7198" s="399">
        <v>1</v>
      </c>
      <c r="I7198" s="316"/>
      <c r="J7198" s="316">
        <v>4.78</v>
      </c>
      <c r="K7198" s="316">
        <v>4.78</v>
      </c>
    </row>
    <row r="7199" spans="1:11" ht="52.8" x14ac:dyDescent="0.3">
      <c r="A7199" s="400" t="s">
        <v>1038</v>
      </c>
      <c r="B7199" s="401" t="s">
        <v>4988</v>
      </c>
      <c r="C7199" s="400" t="s">
        <v>395</v>
      </c>
      <c r="D7199" s="400" t="s">
        <v>4989</v>
      </c>
      <c r="E7199" s="605" t="s">
        <v>1039</v>
      </c>
      <c r="F7199" s="605"/>
      <c r="G7199" s="402" t="s">
        <v>4</v>
      </c>
      <c r="H7199" s="403">
        <v>5.8000000000000004E-6</v>
      </c>
      <c r="I7199" s="403">
        <v>0</v>
      </c>
      <c r="J7199" s="404">
        <v>91750</v>
      </c>
      <c r="K7199" s="404">
        <v>0.53215000000000001</v>
      </c>
    </row>
    <row r="7200" spans="1:11" ht="15" customHeight="1" x14ac:dyDescent="0.3">
      <c r="A7200" s="400" t="s">
        <v>1038</v>
      </c>
      <c r="B7200" s="401" t="s">
        <v>4731</v>
      </c>
      <c r="C7200" s="400" t="s">
        <v>395</v>
      </c>
      <c r="D7200" s="400" t="s">
        <v>4732</v>
      </c>
      <c r="E7200" s="605" t="s">
        <v>1317</v>
      </c>
      <c r="F7200" s="605"/>
      <c r="G7200" s="402" t="s">
        <v>4</v>
      </c>
      <c r="H7200" s="403">
        <v>5.6999999999999996E-6</v>
      </c>
      <c r="I7200" s="403">
        <v>0</v>
      </c>
      <c r="J7200" s="404">
        <v>745573.13</v>
      </c>
      <c r="K7200" s="404">
        <v>4.2497667999999997</v>
      </c>
    </row>
    <row r="7201" spans="1:11" ht="25.5" customHeight="1" x14ac:dyDescent="0.3">
      <c r="A7201" s="405"/>
      <c r="B7201" s="405"/>
      <c r="C7201" s="405"/>
      <c r="D7201" s="405"/>
      <c r="E7201" s="405" t="s">
        <v>1046</v>
      </c>
      <c r="F7201" s="406">
        <v>0</v>
      </c>
      <c r="G7201" s="405" t="s">
        <v>1047</v>
      </c>
      <c r="H7201" s="406">
        <v>0</v>
      </c>
      <c r="I7201" s="405" t="s">
        <v>1048</v>
      </c>
      <c r="J7201" s="406">
        <v>0</v>
      </c>
      <c r="K7201"/>
    </row>
    <row r="7202" spans="1:11" ht="25.5" customHeight="1" thickBot="1" x14ac:dyDescent="0.35">
      <c r="A7202" s="405"/>
      <c r="B7202" s="405"/>
      <c r="C7202" s="405"/>
      <c r="D7202" s="405"/>
      <c r="E7202" s="405" t="s">
        <v>1049</v>
      </c>
      <c r="F7202" s="406">
        <v>0</v>
      </c>
      <c r="G7202" s="405"/>
      <c r="H7202" s="606"/>
      <c r="I7202" s="606" t="s">
        <v>1050</v>
      </c>
      <c r="J7202" s="406">
        <v>4.78</v>
      </c>
      <c r="K7202"/>
    </row>
    <row r="7203" spans="1:11" ht="25.5" customHeight="1" thickTop="1" x14ac:dyDescent="0.3">
      <c r="A7203" s="407"/>
      <c r="B7203" s="407"/>
      <c r="C7203" s="407"/>
      <c r="D7203" s="407"/>
      <c r="E7203" s="407"/>
      <c r="F7203" s="407"/>
      <c r="G7203" s="407"/>
      <c r="H7203" s="407"/>
      <c r="I7203" s="407"/>
      <c r="J7203" s="407"/>
      <c r="K7203"/>
    </row>
    <row r="7204" spans="1:11" ht="38.25" customHeight="1" x14ac:dyDescent="0.3">
      <c r="A7204" s="382"/>
      <c r="B7204" s="312" t="s">
        <v>413</v>
      </c>
      <c r="C7204" s="382" t="s">
        <v>414</v>
      </c>
      <c r="D7204" s="382" t="s">
        <v>415</v>
      </c>
      <c r="E7204" s="586" t="s">
        <v>1029</v>
      </c>
      <c r="F7204" s="586"/>
      <c r="G7204" s="383" t="s">
        <v>416</v>
      </c>
      <c r="H7204" s="312" t="s">
        <v>1030</v>
      </c>
      <c r="I7204" s="312" t="s">
        <v>3016</v>
      </c>
      <c r="J7204" s="312" t="s">
        <v>1031</v>
      </c>
      <c r="K7204" s="312" t="s">
        <v>1032</v>
      </c>
    </row>
    <row r="7205" spans="1:11" ht="25.5" customHeight="1" x14ac:dyDescent="0.3">
      <c r="A7205" s="313" t="s">
        <v>1033</v>
      </c>
      <c r="B7205" s="315" t="s">
        <v>8053</v>
      </c>
      <c r="C7205" s="313" t="s">
        <v>395</v>
      </c>
      <c r="D7205" s="313" t="s">
        <v>8054</v>
      </c>
      <c r="E7205" s="603" t="s">
        <v>7946</v>
      </c>
      <c r="F7205" s="603"/>
      <c r="G7205" s="314" t="s">
        <v>6</v>
      </c>
      <c r="H7205" s="399">
        <v>1</v>
      </c>
      <c r="I7205" s="316"/>
      <c r="J7205" s="316">
        <v>11.83</v>
      </c>
      <c r="K7205" s="316">
        <v>11.83</v>
      </c>
    </row>
    <row r="7206" spans="1:11" ht="14.25" customHeight="1" x14ac:dyDescent="0.3">
      <c r="A7206" s="400" t="s">
        <v>1038</v>
      </c>
      <c r="B7206" s="401" t="s">
        <v>4988</v>
      </c>
      <c r="C7206" s="400" t="s">
        <v>395</v>
      </c>
      <c r="D7206" s="400" t="s">
        <v>4989</v>
      </c>
      <c r="E7206" s="605" t="s">
        <v>1039</v>
      </c>
      <c r="F7206" s="605"/>
      <c r="G7206" s="402" t="s">
        <v>4</v>
      </c>
      <c r="H7206" s="403">
        <v>1.4399999999999999E-5</v>
      </c>
      <c r="I7206" s="403">
        <v>0</v>
      </c>
      <c r="J7206" s="404">
        <v>91750</v>
      </c>
      <c r="K7206" s="404">
        <v>1.3211999999999999</v>
      </c>
    </row>
    <row r="7207" spans="1:11" ht="14.25" customHeight="1" x14ac:dyDescent="0.3">
      <c r="A7207" s="400" t="s">
        <v>1038</v>
      </c>
      <c r="B7207" s="401" t="s">
        <v>4731</v>
      </c>
      <c r="C7207" s="400" t="s">
        <v>395</v>
      </c>
      <c r="D7207" s="400" t="s">
        <v>4732</v>
      </c>
      <c r="E7207" s="605" t="s">
        <v>1317</v>
      </c>
      <c r="F7207" s="605"/>
      <c r="G7207" s="402" t="s">
        <v>4</v>
      </c>
      <c r="H7207" s="403">
        <v>1.4100000000000001E-5</v>
      </c>
      <c r="I7207" s="403">
        <v>0</v>
      </c>
      <c r="J7207" s="404">
        <v>745573.13</v>
      </c>
      <c r="K7207" s="404">
        <v>10.5125811</v>
      </c>
    </row>
    <row r="7208" spans="1:11" ht="16.95" customHeight="1" x14ac:dyDescent="0.3">
      <c r="A7208" s="405"/>
      <c r="B7208" s="405"/>
      <c r="C7208" s="405"/>
      <c r="D7208" s="405"/>
      <c r="E7208" s="405" t="s">
        <v>1046</v>
      </c>
      <c r="F7208" s="406">
        <v>0</v>
      </c>
      <c r="G7208" s="405" t="s">
        <v>1047</v>
      </c>
      <c r="H7208" s="406">
        <v>0</v>
      </c>
      <c r="I7208" s="405" t="s">
        <v>1048</v>
      </c>
      <c r="J7208" s="406">
        <v>0</v>
      </c>
      <c r="K7208"/>
    </row>
    <row r="7209" spans="1:11" ht="14.25" customHeight="1" thickBot="1" x14ac:dyDescent="0.35">
      <c r="A7209" s="405"/>
      <c r="B7209" s="405"/>
      <c r="C7209" s="405"/>
      <c r="D7209" s="405"/>
      <c r="E7209" s="405" t="s">
        <v>1049</v>
      </c>
      <c r="F7209" s="406">
        <v>0</v>
      </c>
      <c r="G7209" s="405"/>
      <c r="H7209" s="606"/>
      <c r="I7209" s="606" t="s">
        <v>1050</v>
      </c>
      <c r="J7209" s="406">
        <v>11.83</v>
      </c>
      <c r="K7209"/>
    </row>
    <row r="7210" spans="1:11" ht="12.75" customHeight="1" thickTop="1" x14ac:dyDescent="0.3">
      <c r="A7210" s="407"/>
      <c r="B7210" s="407"/>
      <c r="C7210" s="407"/>
      <c r="D7210" s="407"/>
      <c r="E7210" s="407"/>
      <c r="F7210" s="407"/>
      <c r="G7210" s="407"/>
      <c r="H7210" s="407"/>
      <c r="I7210" s="407"/>
      <c r="J7210" s="407"/>
      <c r="K7210"/>
    </row>
    <row r="7211" spans="1:11" ht="25.5" customHeight="1" x14ac:dyDescent="0.3">
      <c r="A7211" s="382"/>
      <c r="B7211" s="312" t="s">
        <v>413</v>
      </c>
      <c r="C7211" s="382" t="s">
        <v>414</v>
      </c>
      <c r="D7211" s="382" t="s">
        <v>415</v>
      </c>
      <c r="E7211" s="586" t="s">
        <v>1029</v>
      </c>
      <c r="F7211" s="586"/>
      <c r="G7211" s="383" t="s">
        <v>416</v>
      </c>
      <c r="H7211" s="312" t="s">
        <v>1030</v>
      </c>
      <c r="I7211" s="312" t="s">
        <v>3016</v>
      </c>
      <c r="J7211" s="312" t="s">
        <v>1031</v>
      </c>
      <c r="K7211" s="312" t="s">
        <v>1032</v>
      </c>
    </row>
    <row r="7212" spans="1:11" ht="25.5" customHeight="1" x14ac:dyDescent="0.3">
      <c r="A7212" s="313" t="s">
        <v>1033</v>
      </c>
      <c r="B7212" s="315" t="s">
        <v>8059</v>
      </c>
      <c r="C7212" s="313" t="s">
        <v>395</v>
      </c>
      <c r="D7212" s="313" t="s">
        <v>8060</v>
      </c>
      <c r="E7212" s="603" t="s">
        <v>7946</v>
      </c>
      <c r="F7212" s="603"/>
      <c r="G7212" s="314" t="s">
        <v>6</v>
      </c>
      <c r="H7212" s="399">
        <v>1</v>
      </c>
      <c r="I7212" s="316"/>
      <c r="J7212" s="316">
        <v>54.26</v>
      </c>
      <c r="K7212" s="316">
        <v>54.26</v>
      </c>
    </row>
    <row r="7213" spans="1:11" ht="52.8" x14ac:dyDescent="0.3">
      <c r="A7213" s="400" t="s">
        <v>1038</v>
      </c>
      <c r="B7213" s="401" t="s">
        <v>4988</v>
      </c>
      <c r="C7213" s="400" t="s">
        <v>395</v>
      </c>
      <c r="D7213" s="400" t="s">
        <v>4989</v>
      </c>
      <c r="E7213" s="605" t="s">
        <v>1039</v>
      </c>
      <c r="F7213" s="605"/>
      <c r="G7213" s="402" t="s">
        <v>4</v>
      </c>
      <c r="H7213" s="403">
        <v>6.8899999999999994E-5</v>
      </c>
      <c r="I7213" s="403">
        <v>0</v>
      </c>
      <c r="J7213" s="404">
        <v>91750</v>
      </c>
      <c r="K7213" s="404">
        <v>6.3215750000000002</v>
      </c>
    </row>
    <row r="7214" spans="1:11" ht="25.5" customHeight="1" x14ac:dyDescent="0.3">
      <c r="A7214" s="400" t="s">
        <v>1038</v>
      </c>
      <c r="B7214" s="401" t="s">
        <v>4731</v>
      </c>
      <c r="C7214" s="400" t="s">
        <v>395</v>
      </c>
      <c r="D7214" s="400" t="s">
        <v>4732</v>
      </c>
      <c r="E7214" s="605" t="s">
        <v>1317</v>
      </c>
      <c r="F7214" s="605"/>
      <c r="G7214" s="402" t="s">
        <v>4</v>
      </c>
      <c r="H7214" s="403">
        <v>6.4300000000000004E-5</v>
      </c>
      <c r="I7214" s="403">
        <v>0</v>
      </c>
      <c r="J7214" s="404">
        <v>745573.13</v>
      </c>
      <c r="K7214" s="404">
        <v>47.940352300000001</v>
      </c>
    </row>
    <row r="7215" spans="1:11" ht="14.25" customHeight="1" x14ac:dyDescent="0.3">
      <c r="A7215" s="405"/>
      <c r="B7215" s="405"/>
      <c r="C7215" s="405"/>
      <c r="D7215" s="405"/>
      <c r="E7215" s="405" t="s">
        <v>1046</v>
      </c>
      <c r="F7215" s="406">
        <v>0</v>
      </c>
      <c r="G7215" s="405" t="s">
        <v>1047</v>
      </c>
      <c r="H7215" s="406">
        <v>0</v>
      </c>
      <c r="I7215" s="405" t="s">
        <v>1048</v>
      </c>
      <c r="J7215" s="406">
        <v>0</v>
      </c>
      <c r="K7215"/>
    </row>
    <row r="7216" spans="1:11" ht="15.6" customHeight="1" thickBot="1" x14ac:dyDescent="0.35">
      <c r="A7216" s="405"/>
      <c r="B7216" s="405"/>
      <c r="C7216" s="405"/>
      <c r="D7216" s="405"/>
      <c r="E7216" s="405" t="s">
        <v>1049</v>
      </c>
      <c r="F7216" s="406">
        <v>0</v>
      </c>
      <c r="G7216" s="405"/>
      <c r="H7216" s="606"/>
      <c r="I7216" s="606" t="s">
        <v>1050</v>
      </c>
      <c r="J7216" s="406">
        <v>54.26</v>
      </c>
      <c r="K7216"/>
    </row>
    <row r="7217" spans="1:11" ht="15.6" thickTop="1" x14ac:dyDescent="0.3">
      <c r="A7217" s="407"/>
      <c r="B7217" s="407"/>
      <c r="C7217" s="407"/>
      <c r="D7217" s="407"/>
      <c r="E7217" s="407"/>
      <c r="F7217" s="407"/>
      <c r="G7217" s="407"/>
      <c r="H7217" s="407"/>
      <c r="I7217" s="407"/>
      <c r="J7217" s="407"/>
      <c r="K7217"/>
    </row>
    <row r="7218" spans="1:11" ht="15" x14ac:dyDescent="0.3">
      <c r="A7218" s="382"/>
      <c r="B7218" s="312" t="s">
        <v>413</v>
      </c>
      <c r="C7218" s="382" t="s">
        <v>414</v>
      </c>
      <c r="D7218" s="382" t="s">
        <v>415</v>
      </c>
      <c r="E7218" s="586" t="s">
        <v>1029</v>
      </c>
      <c r="F7218" s="586"/>
      <c r="G7218" s="383" t="s">
        <v>416</v>
      </c>
      <c r="H7218" s="312" t="s">
        <v>1030</v>
      </c>
      <c r="I7218" s="312" t="s">
        <v>3016</v>
      </c>
      <c r="J7218" s="312" t="s">
        <v>1031</v>
      </c>
      <c r="K7218" s="312" t="s">
        <v>1032</v>
      </c>
    </row>
    <row r="7219" spans="1:11" ht="14.25" customHeight="1" x14ac:dyDescent="0.3">
      <c r="A7219" s="313" t="s">
        <v>1033</v>
      </c>
      <c r="B7219" s="315" t="s">
        <v>8057</v>
      </c>
      <c r="C7219" s="313" t="s">
        <v>395</v>
      </c>
      <c r="D7219" s="313" t="s">
        <v>8058</v>
      </c>
      <c r="E7219" s="603" t="s">
        <v>7946</v>
      </c>
      <c r="F7219" s="603"/>
      <c r="G7219" s="314" t="s">
        <v>6</v>
      </c>
      <c r="H7219" s="399">
        <v>1</v>
      </c>
      <c r="I7219" s="316"/>
      <c r="J7219" s="316">
        <v>227.69</v>
      </c>
      <c r="K7219" s="316">
        <v>227.69</v>
      </c>
    </row>
    <row r="7220" spans="1:11" ht="25.5" customHeight="1" x14ac:dyDescent="0.3">
      <c r="A7220" s="400" t="s">
        <v>1038</v>
      </c>
      <c r="B7220" s="401" t="s">
        <v>4383</v>
      </c>
      <c r="C7220" s="400" t="s">
        <v>395</v>
      </c>
      <c r="D7220" s="400" t="s">
        <v>4384</v>
      </c>
      <c r="E7220" s="605" t="s">
        <v>1039</v>
      </c>
      <c r="F7220" s="605"/>
      <c r="G7220" s="402" t="s">
        <v>8</v>
      </c>
      <c r="H7220" s="403">
        <v>32.159999999999997</v>
      </c>
      <c r="I7220" s="403">
        <v>0</v>
      </c>
      <c r="J7220" s="404">
        <v>7.08</v>
      </c>
      <c r="K7220" s="404">
        <v>227.69280000000001</v>
      </c>
    </row>
    <row r="7221" spans="1:11" ht="15" x14ac:dyDescent="0.3">
      <c r="A7221" s="405"/>
      <c r="B7221" s="405"/>
      <c r="C7221" s="405"/>
      <c r="D7221" s="405"/>
      <c r="E7221" s="405" t="s">
        <v>1046</v>
      </c>
      <c r="F7221" s="406">
        <v>0</v>
      </c>
      <c r="G7221" s="405" t="s">
        <v>1047</v>
      </c>
      <c r="H7221" s="406">
        <v>0</v>
      </c>
      <c r="I7221" s="405" t="s">
        <v>1048</v>
      </c>
      <c r="J7221" s="406">
        <v>0</v>
      </c>
      <c r="K7221"/>
    </row>
    <row r="7222" spans="1:11" ht="17.399999999999999" customHeight="1" thickBot="1" x14ac:dyDescent="0.35">
      <c r="A7222" s="405"/>
      <c r="B7222" s="405"/>
      <c r="C7222" s="405"/>
      <c r="D7222" s="405"/>
      <c r="E7222" s="405" t="s">
        <v>1049</v>
      </c>
      <c r="F7222" s="406">
        <v>0</v>
      </c>
      <c r="G7222" s="405"/>
      <c r="H7222" s="606"/>
      <c r="I7222" s="606" t="s">
        <v>1050</v>
      </c>
      <c r="J7222" s="406">
        <v>227.69</v>
      </c>
      <c r="K7222"/>
    </row>
    <row r="7223" spans="1:11" ht="12.75" customHeight="1" thickTop="1" x14ac:dyDescent="0.3">
      <c r="A7223" s="407"/>
      <c r="B7223" s="407"/>
      <c r="C7223" s="407"/>
      <c r="D7223" s="407"/>
      <c r="E7223" s="407"/>
      <c r="F7223" s="407"/>
      <c r="G7223" s="407"/>
      <c r="H7223" s="407"/>
      <c r="I7223" s="407"/>
      <c r="J7223" s="407"/>
      <c r="K7223"/>
    </row>
    <row r="7224" spans="1:11" ht="15" x14ac:dyDescent="0.3">
      <c r="A7224" s="382"/>
      <c r="B7224" s="312" t="s">
        <v>413</v>
      </c>
      <c r="C7224" s="382" t="s">
        <v>414</v>
      </c>
      <c r="D7224" s="382" t="s">
        <v>415</v>
      </c>
      <c r="E7224" s="586" t="s">
        <v>1029</v>
      </c>
      <c r="F7224" s="586"/>
      <c r="G7224" s="383" t="s">
        <v>416</v>
      </c>
      <c r="H7224" s="312" t="s">
        <v>1030</v>
      </c>
      <c r="I7224" s="312" t="s">
        <v>3016</v>
      </c>
      <c r="J7224" s="312" t="s">
        <v>1031</v>
      </c>
      <c r="K7224" s="312" t="s">
        <v>1032</v>
      </c>
    </row>
    <row r="7225" spans="1:11" ht="14.25" customHeight="1" x14ac:dyDescent="0.3">
      <c r="A7225" s="313" t="s">
        <v>1033</v>
      </c>
      <c r="B7225" s="315" t="s">
        <v>5177</v>
      </c>
      <c r="C7225" s="313" t="s">
        <v>395</v>
      </c>
      <c r="D7225" s="313" t="s">
        <v>7814</v>
      </c>
      <c r="E7225" s="603" t="s">
        <v>7815</v>
      </c>
      <c r="F7225" s="603"/>
      <c r="G7225" s="314" t="s">
        <v>713</v>
      </c>
      <c r="H7225" s="399">
        <v>1</v>
      </c>
      <c r="I7225" s="316"/>
      <c r="J7225" s="316">
        <v>9.93</v>
      </c>
      <c r="K7225" s="316">
        <v>9.93</v>
      </c>
    </row>
    <row r="7226" spans="1:11" ht="25.5" customHeight="1" x14ac:dyDescent="0.3">
      <c r="A7226" s="408" t="s">
        <v>1034</v>
      </c>
      <c r="B7226" s="409" t="s">
        <v>5260</v>
      </c>
      <c r="C7226" s="408" t="s">
        <v>395</v>
      </c>
      <c r="D7226" s="408" t="s">
        <v>5261</v>
      </c>
      <c r="E7226" s="604" t="s">
        <v>7772</v>
      </c>
      <c r="F7226" s="604"/>
      <c r="G7226" s="410" t="s">
        <v>15</v>
      </c>
      <c r="H7226" s="412">
        <v>7.1195E-3</v>
      </c>
      <c r="I7226" s="412">
        <v>0</v>
      </c>
      <c r="J7226" s="411">
        <v>213.39</v>
      </c>
      <c r="K7226" s="411">
        <v>1.5192300999999999</v>
      </c>
    </row>
    <row r="7227" spans="1:11" ht="39.6" x14ac:dyDescent="0.3">
      <c r="A7227" s="408" t="s">
        <v>1034</v>
      </c>
      <c r="B7227" s="409" t="s">
        <v>5262</v>
      </c>
      <c r="C7227" s="408" t="s">
        <v>395</v>
      </c>
      <c r="D7227" s="408" t="s">
        <v>5263</v>
      </c>
      <c r="E7227" s="604" t="s">
        <v>7772</v>
      </c>
      <c r="F7227" s="604"/>
      <c r="G7227" s="410" t="s">
        <v>19</v>
      </c>
      <c r="H7227" s="412">
        <v>9.6238999999999995E-3</v>
      </c>
      <c r="I7227" s="412">
        <v>0</v>
      </c>
      <c r="J7227" s="411">
        <v>99.1</v>
      </c>
      <c r="K7227" s="411">
        <v>0.95372849999999998</v>
      </c>
    </row>
    <row r="7228" spans="1:11" ht="17.399999999999999" customHeight="1" x14ac:dyDescent="0.3">
      <c r="A7228" s="408" t="s">
        <v>1034</v>
      </c>
      <c r="B7228" s="409" t="s">
        <v>5184</v>
      </c>
      <c r="C7228" s="408" t="s">
        <v>395</v>
      </c>
      <c r="D7228" s="408" t="s">
        <v>5185</v>
      </c>
      <c r="E7228" s="604" t="s">
        <v>7772</v>
      </c>
      <c r="F7228" s="604"/>
      <c r="G7228" s="410" t="s">
        <v>15</v>
      </c>
      <c r="H7228" s="412">
        <v>1.8721000000000002E-2</v>
      </c>
      <c r="I7228" s="412">
        <v>0</v>
      </c>
      <c r="J7228" s="411">
        <v>328.42</v>
      </c>
      <c r="K7228" s="411">
        <v>6.1483508000000002</v>
      </c>
    </row>
    <row r="7229" spans="1:11" ht="14.25" customHeight="1" x14ac:dyDescent="0.3">
      <c r="A7229" s="408" t="s">
        <v>1034</v>
      </c>
      <c r="B7229" s="409" t="s">
        <v>5186</v>
      </c>
      <c r="C7229" s="408" t="s">
        <v>395</v>
      </c>
      <c r="D7229" s="408" t="s">
        <v>5187</v>
      </c>
      <c r="E7229" s="604" t="s">
        <v>7772</v>
      </c>
      <c r="F7229" s="604"/>
      <c r="G7229" s="410" t="s">
        <v>19</v>
      </c>
      <c r="H7229" s="412">
        <v>1.23275E-2</v>
      </c>
      <c r="I7229" s="412">
        <v>0</v>
      </c>
      <c r="J7229" s="411">
        <v>105.85</v>
      </c>
      <c r="K7229" s="411">
        <v>1.3048659</v>
      </c>
    </row>
    <row r="7230" spans="1:11" ht="15" x14ac:dyDescent="0.3">
      <c r="A7230" s="405"/>
      <c r="B7230" s="405"/>
      <c r="C7230" s="405"/>
      <c r="D7230" s="405"/>
      <c r="E7230" s="405" t="s">
        <v>1046</v>
      </c>
      <c r="F7230" s="406">
        <v>2.04</v>
      </c>
      <c r="G7230" s="405" t="s">
        <v>1047</v>
      </c>
      <c r="H7230" s="406">
        <v>0.01</v>
      </c>
      <c r="I7230" s="405" t="s">
        <v>1048</v>
      </c>
      <c r="J7230" s="406">
        <v>2.0499999999999998</v>
      </c>
      <c r="K7230"/>
    </row>
    <row r="7231" spans="1:11" ht="14.25" customHeight="1" thickBot="1" x14ac:dyDescent="0.35">
      <c r="A7231" s="405"/>
      <c r="B7231" s="405"/>
      <c r="C7231" s="405"/>
      <c r="D7231" s="405"/>
      <c r="E7231" s="405" t="s">
        <v>1049</v>
      </c>
      <c r="F7231" s="406">
        <v>0</v>
      </c>
      <c r="G7231" s="405"/>
      <c r="H7231" s="606"/>
      <c r="I7231" s="606" t="s">
        <v>1050</v>
      </c>
      <c r="J7231" s="406">
        <v>9.93</v>
      </c>
      <c r="K7231"/>
    </row>
    <row r="7232" spans="1:11" ht="15.6" thickTop="1" x14ac:dyDescent="0.3">
      <c r="A7232" s="407"/>
      <c r="B7232" s="407"/>
      <c r="C7232" s="407"/>
      <c r="D7232" s="407"/>
      <c r="E7232" s="407"/>
      <c r="F7232" s="407"/>
      <c r="G7232" s="407"/>
      <c r="H7232" s="407"/>
      <c r="I7232" s="407"/>
      <c r="J7232" s="407"/>
      <c r="K7232"/>
    </row>
    <row r="7233" spans="1:11" ht="25.5" customHeight="1" x14ac:dyDescent="0.3">
      <c r="A7233" s="382"/>
      <c r="B7233" s="312" t="s">
        <v>413</v>
      </c>
      <c r="C7233" s="382" t="s">
        <v>414</v>
      </c>
      <c r="D7233" s="382" t="s">
        <v>415</v>
      </c>
      <c r="E7233" s="586" t="s">
        <v>1029</v>
      </c>
      <c r="F7233" s="586"/>
      <c r="G7233" s="383" t="s">
        <v>416</v>
      </c>
      <c r="H7233" s="312" t="s">
        <v>1030</v>
      </c>
      <c r="I7233" s="312" t="s">
        <v>3016</v>
      </c>
      <c r="J7233" s="312" t="s">
        <v>1031</v>
      </c>
      <c r="K7233" s="312" t="s">
        <v>1032</v>
      </c>
    </row>
    <row r="7234" spans="1:11" ht="17.399999999999999" customHeight="1" x14ac:dyDescent="0.3">
      <c r="A7234" s="313" t="s">
        <v>1033</v>
      </c>
      <c r="B7234" s="315" t="s">
        <v>1403</v>
      </c>
      <c r="C7234" s="313" t="s">
        <v>395</v>
      </c>
      <c r="D7234" s="313" t="s">
        <v>7865</v>
      </c>
      <c r="E7234" s="603" t="s">
        <v>7768</v>
      </c>
      <c r="F7234" s="603"/>
      <c r="G7234" s="314" t="s">
        <v>6</v>
      </c>
      <c r="H7234" s="399">
        <v>1</v>
      </c>
      <c r="I7234" s="316"/>
      <c r="J7234" s="316">
        <v>44.64</v>
      </c>
      <c r="K7234" s="316">
        <v>44.64</v>
      </c>
    </row>
    <row r="7235" spans="1:11" ht="25.5" customHeight="1" x14ac:dyDescent="0.3">
      <c r="A7235" s="408" t="s">
        <v>1034</v>
      </c>
      <c r="B7235" s="409" t="s">
        <v>8061</v>
      </c>
      <c r="C7235" s="408" t="s">
        <v>395</v>
      </c>
      <c r="D7235" s="408" t="s">
        <v>8062</v>
      </c>
      <c r="E7235" s="604" t="s">
        <v>7768</v>
      </c>
      <c r="F7235" s="604"/>
      <c r="G7235" s="410" t="s">
        <v>6</v>
      </c>
      <c r="H7235" s="412">
        <v>1</v>
      </c>
      <c r="I7235" s="412">
        <v>0</v>
      </c>
      <c r="J7235" s="411">
        <v>0.51</v>
      </c>
      <c r="K7235" s="411">
        <v>0.51</v>
      </c>
    </row>
    <row r="7236" spans="1:11" ht="15" x14ac:dyDescent="0.3">
      <c r="A7236" s="400" t="s">
        <v>1038</v>
      </c>
      <c r="B7236" s="401" t="s">
        <v>4041</v>
      </c>
      <c r="C7236" s="400" t="s">
        <v>395</v>
      </c>
      <c r="D7236" s="400" t="s">
        <v>4042</v>
      </c>
      <c r="E7236" s="605" t="s">
        <v>1053</v>
      </c>
      <c r="F7236" s="605"/>
      <c r="G7236" s="402" t="s">
        <v>6</v>
      </c>
      <c r="H7236" s="403">
        <v>1</v>
      </c>
      <c r="I7236" s="403">
        <v>0</v>
      </c>
      <c r="J7236" s="404">
        <v>34.31</v>
      </c>
      <c r="K7236" s="404">
        <v>34.31</v>
      </c>
    </row>
    <row r="7237" spans="1:11" ht="30" customHeight="1" x14ac:dyDescent="0.3">
      <c r="A7237" s="400" t="s">
        <v>1038</v>
      </c>
      <c r="B7237" s="401" t="s">
        <v>4028</v>
      </c>
      <c r="C7237" s="400" t="s">
        <v>395</v>
      </c>
      <c r="D7237" s="400" t="s">
        <v>4029</v>
      </c>
      <c r="E7237" s="605" t="s">
        <v>4030</v>
      </c>
      <c r="F7237" s="605"/>
      <c r="G7237" s="402" t="s">
        <v>6</v>
      </c>
      <c r="H7237" s="403">
        <v>1</v>
      </c>
      <c r="I7237" s="403">
        <v>0</v>
      </c>
      <c r="J7237" s="404">
        <v>4.78</v>
      </c>
      <c r="K7237" s="404">
        <v>4.78</v>
      </c>
    </row>
    <row r="7238" spans="1:11" ht="15" x14ac:dyDescent="0.3">
      <c r="A7238" s="400" t="s">
        <v>1038</v>
      </c>
      <c r="B7238" s="401" t="s">
        <v>4066</v>
      </c>
      <c r="C7238" s="400" t="s">
        <v>395</v>
      </c>
      <c r="D7238" s="400" t="s">
        <v>4067</v>
      </c>
      <c r="E7238" s="605" t="s">
        <v>2381</v>
      </c>
      <c r="F7238" s="605"/>
      <c r="G7238" s="402" t="s">
        <v>6</v>
      </c>
      <c r="H7238" s="403">
        <v>1</v>
      </c>
      <c r="I7238" s="403">
        <v>0</v>
      </c>
      <c r="J7238" s="404">
        <v>1.72</v>
      </c>
      <c r="K7238" s="404">
        <v>1.72</v>
      </c>
    </row>
    <row r="7239" spans="1:11" ht="15" x14ac:dyDescent="0.3">
      <c r="A7239" s="400" t="s">
        <v>1038</v>
      </c>
      <c r="B7239" s="401" t="s">
        <v>4078</v>
      </c>
      <c r="C7239" s="400" t="s">
        <v>395</v>
      </c>
      <c r="D7239" s="400" t="s">
        <v>4079</v>
      </c>
      <c r="E7239" s="605" t="s">
        <v>4030</v>
      </c>
      <c r="F7239" s="605"/>
      <c r="G7239" s="402" t="s">
        <v>6</v>
      </c>
      <c r="H7239" s="403">
        <v>1</v>
      </c>
      <c r="I7239" s="403">
        <v>0</v>
      </c>
      <c r="J7239" s="404">
        <v>1.25</v>
      </c>
      <c r="K7239" s="404">
        <v>1.25</v>
      </c>
    </row>
    <row r="7240" spans="1:11" ht="14.25" customHeight="1" x14ac:dyDescent="0.3">
      <c r="A7240" s="400" t="s">
        <v>1038</v>
      </c>
      <c r="B7240" s="401" t="s">
        <v>4274</v>
      </c>
      <c r="C7240" s="400" t="s">
        <v>395</v>
      </c>
      <c r="D7240" s="400" t="s">
        <v>4275</v>
      </c>
      <c r="E7240" s="605" t="s">
        <v>2386</v>
      </c>
      <c r="F7240" s="605"/>
      <c r="G7240" s="402" t="s">
        <v>6</v>
      </c>
      <c r="H7240" s="403">
        <v>1</v>
      </c>
      <c r="I7240" s="403">
        <v>0</v>
      </c>
      <c r="J7240" s="404">
        <v>0.11</v>
      </c>
      <c r="K7240" s="404">
        <v>0.11</v>
      </c>
    </row>
    <row r="7241" spans="1:11" ht="26.4" x14ac:dyDescent="0.3">
      <c r="A7241" s="400" t="s">
        <v>1038</v>
      </c>
      <c r="B7241" s="401" t="s">
        <v>4212</v>
      </c>
      <c r="C7241" s="400" t="s">
        <v>395</v>
      </c>
      <c r="D7241" s="400" t="s">
        <v>4213</v>
      </c>
      <c r="E7241" s="605" t="s">
        <v>1317</v>
      </c>
      <c r="F7241" s="605"/>
      <c r="G7241" s="402" t="s">
        <v>6</v>
      </c>
      <c r="H7241" s="403">
        <v>1</v>
      </c>
      <c r="I7241" s="403">
        <v>0</v>
      </c>
      <c r="J7241" s="404">
        <v>0.28000000000000003</v>
      </c>
      <c r="K7241" s="404">
        <v>0.28000000000000003</v>
      </c>
    </row>
    <row r="7242" spans="1:11" ht="14.25" customHeight="1" x14ac:dyDescent="0.3">
      <c r="A7242" s="400" t="s">
        <v>1038</v>
      </c>
      <c r="B7242" s="401" t="s">
        <v>4129</v>
      </c>
      <c r="C7242" s="400" t="s">
        <v>395</v>
      </c>
      <c r="D7242" s="400" t="s">
        <v>4130</v>
      </c>
      <c r="E7242" s="605" t="s">
        <v>1317</v>
      </c>
      <c r="F7242" s="605"/>
      <c r="G7242" s="402" t="s">
        <v>6</v>
      </c>
      <c r="H7242" s="403">
        <v>1</v>
      </c>
      <c r="I7242" s="403">
        <v>0</v>
      </c>
      <c r="J7242" s="404">
        <v>1.68</v>
      </c>
      <c r="K7242" s="404">
        <v>1.68</v>
      </c>
    </row>
    <row r="7243" spans="1:11" ht="15" x14ac:dyDescent="0.3">
      <c r="A7243" s="405"/>
      <c r="B7243" s="405"/>
      <c r="C7243" s="405"/>
      <c r="D7243" s="405"/>
      <c r="E7243" s="405" t="s">
        <v>1046</v>
      </c>
      <c r="F7243" s="406">
        <v>34.82</v>
      </c>
      <c r="G7243" s="405" t="s">
        <v>1047</v>
      </c>
      <c r="H7243" s="406">
        <v>0</v>
      </c>
      <c r="I7243" s="405" t="s">
        <v>1048</v>
      </c>
      <c r="J7243" s="406">
        <v>34.82</v>
      </c>
      <c r="K7243"/>
    </row>
    <row r="7244" spans="1:11" ht="16.95" customHeight="1" thickBot="1" x14ac:dyDescent="0.35">
      <c r="A7244" s="405"/>
      <c r="B7244" s="405"/>
      <c r="C7244" s="405"/>
      <c r="D7244" s="405"/>
      <c r="E7244" s="405" t="s">
        <v>1049</v>
      </c>
      <c r="F7244" s="406">
        <v>0</v>
      </c>
      <c r="G7244" s="405"/>
      <c r="H7244" s="606"/>
      <c r="I7244" s="606" t="s">
        <v>1050</v>
      </c>
      <c r="J7244" s="406">
        <v>44.64</v>
      </c>
      <c r="K7244"/>
    </row>
    <row r="7245" spans="1:11" ht="15.6" thickTop="1" x14ac:dyDescent="0.3">
      <c r="A7245" s="407"/>
      <c r="B7245" s="407"/>
      <c r="C7245" s="407"/>
      <c r="D7245" s="407"/>
      <c r="E7245" s="407"/>
      <c r="F7245" s="407"/>
      <c r="G7245" s="407"/>
      <c r="H7245" s="407"/>
      <c r="I7245" s="407"/>
      <c r="J7245" s="407"/>
      <c r="K7245"/>
    </row>
    <row r="7246" spans="1:11" ht="25.5" customHeight="1" x14ac:dyDescent="0.3">
      <c r="A7246" s="382"/>
      <c r="B7246" s="312" t="s">
        <v>413</v>
      </c>
      <c r="C7246" s="382" t="s">
        <v>414</v>
      </c>
      <c r="D7246" s="382" t="s">
        <v>415</v>
      </c>
      <c r="E7246" s="586" t="s">
        <v>1029</v>
      </c>
      <c r="F7246" s="586"/>
      <c r="G7246" s="383" t="s">
        <v>416</v>
      </c>
      <c r="H7246" s="312" t="s">
        <v>1030</v>
      </c>
      <c r="I7246" s="312" t="s">
        <v>3016</v>
      </c>
      <c r="J7246" s="312" t="s">
        <v>1031</v>
      </c>
      <c r="K7246" s="312" t="s">
        <v>1032</v>
      </c>
    </row>
    <row r="7247" spans="1:11" ht="14.25" customHeight="1" x14ac:dyDescent="0.3">
      <c r="A7247" s="313" t="s">
        <v>1033</v>
      </c>
      <c r="B7247" s="315" t="s">
        <v>8063</v>
      </c>
      <c r="C7247" s="313" t="s">
        <v>439</v>
      </c>
      <c r="D7247" s="313" t="s">
        <v>7994</v>
      </c>
      <c r="E7247" s="603" t="s">
        <v>7770</v>
      </c>
      <c r="F7247" s="603"/>
      <c r="G7247" s="314" t="s">
        <v>1109</v>
      </c>
      <c r="H7247" s="399">
        <v>1</v>
      </c>
      <c r="I7247" s="316"/>
      <c r="J7247" s="316">
        <v>32.89</v>
      </c>
      <c r="K7247" s="316">
        <v>32.89</v>
      </c>
    </row>
    <row r="7248" spans="1:11" ht="25.5" customHeight="1" x14ac:dyDescent="0.3">
      <c r="A7248" s="586" t="s">
        <v>3312</v>
      </c>
      <c r="B7248" s="584" t="s">
        <v>413</v>
      </c>
      <c r="C7248" s="586" t="s">
        <v>414</v>
      </c>
      <c r="D7248" s="586" t="s">
        <v>7901</v>
      </c>
      <c r="E7248" s="585" t="s">
        <v>7902</v>
      </c>
      <c r="F7248" s="584"/>
      <c r="G7248" s="585" t="s">
        <v>7903</v>
      </c>
      <c r="H7248" s="584"/>
      <c r="I7248" s="584" t="s">
        <v>7904</v>
      </c>
      <c r="J7248" s="584" t="s">
        <v>7905</v>
      </c>
      <c r="K7248"/>
    </row>
    <row r="7249" spans="1:11" ht="15" x14ac:dyDescent="0.3">
      <c r="A7249" s="584"/>
      <c r="B7249" s="584"/>
      <c r="C7249" s="584"/>
      <c r="D7249" s="584"/>
      <c r="E7249" s="312" t="s">
        <v>4013</v>
      </c>
      <c r="F7249" s="312" t="s">
        <v>4014</v>
      </c>
      <c r="G7249" s="312" t="s">
        <v>4013</v>
      </c>
      <c r="H7249" s="312" t="s">
        <v>4014</v>
      </c>
      <c r="I7249" s="584"/>
      <c r="J7249" s="584"/>
      <c r="K7249"/>
    </row>
    <row r="7250" spans="1:11" ht="16.95" customHeight="1" x14ac:dyDescent="0.3">
      <c r="A7250" s="581"/>
      <c r="B7250" s="581"/>
      <c r="C7250" s="581"/>
      <c r="D7250" s="581"/>
      <c r="E7250" s="581"/>
      <c r="F7250" s="581" t="s">
        <v>7906</v>
      </c>
      <c r="G7250" s="581"/>
      <c r="H7250" s="581"/>
      <c r="I7250" s="581"/>
      <c r="J7250" s="381">
        <v>0</v>
      </c>
      <c r="K7250"/>
    </row>
    <row r="7251" spans="1:11" ht="16.95" customHeight="1" x14ac:dyDescent="0.3">
      <c r="A7251" s="382" t="s">
        <v>371</v>
      </c>
      <c r="B7251" s="312" t="s">
        <v>413</v>
      </c>
      <c r="C7251" s="382" t="s">
        <v>414</v>
      </c>
      <c r="D7251" s="382" t="s">
        <v>1053</v>
      </c>
      <c r="E7251" s="312"/>
      <c r="F7251" s="584"/>
      <c r="G7251" s="584" t="s">
        <v>7907</v>
      </c>
      <c r="H7251" s="584" t="s">
        <v>7908</v>
      </c>
      <c r="I7251" s="584" t="s">
        <v>7904</v>
      </c>
      <c r="J7251" s="312" t="s">
        <v>7905</v>
      </c>
      <c r="K7251"/>
    </row>
    <row r="7252" spans="1:11" ht="25.5" customHeight="1" x14ac:dyDescent="0.3">
      <c r="A7252" s="400" t="s">
        <v>1038</v>
      </c>
      <c r="B7252" s="401" t="s">
        <v>8064</v>
      </c>
      <c r="C7252" s="400" t="s">
        <v>439</v>
      </c>
      <c r="D7252" s="400" t="s">
        <v>7680</v>
      </c>
      <c r="E7252" s="403"/>
      <c r="F7252" s="400"/>
      <c r="G7252" s="400" t="s">
        <v>6</v>
      </c>
      <c r="H7252" s="400">
        <v>25.86</v>
      </c>
      <c r="I7252" s="404">
        <v>1</v>
      </c>
      <c r="J7252" s="404">
        <v>25.86</v>
      </c>
      <c r="K7252"/>
    </row>
    <row r="7253" spans="1:11" ht="25.5" customHeight="1" x14ac:dyDescent="0.3">
      <c r="A7253" s="581"/>
      <c r="B7253" s="581"/>
      <c r="C7253" s="581"/>
      <c r="D7253" s="581"/>
      <c r="E7253" s="581"/>
      <c r="F7253" s="581" t="s">
        <v>7910</v>
      </c>
      <c r="G7253" s="581"/>
      <c r="H7253" s="581"/>
      <c r="I7253" s="581"/>
      <c r="J7253" s="381">
        <v>25.86</v>
      </c>
      <c r="K7253"/>
    </row>
    <row r="7254" spans="1:11" ht="25.5" customHeight="1" x14ac:dyDescent="0.3">
      <c r="A7254" s="581"/>
      <c r="B7254" s="581"/>
      <c r="C7254" s="581"/>
      <c r="D7254" s="581"/>
      <c r="E7254" s="581"/>
      <c r="F7254" s="581" t="s">
        <v>7911</v>
      </c>
      <c r="G7254" s="581"/>
      <c r="H7254" s="581"/>
      <c r="I7254" s="581"/>
      <c r="J7254" s="381">
        <v>25.86</v>
      </c>
      <c r="K7254"/>
    </row>
    <row r="7255" spans="1:11" ht="14.25" customHeight="1" x14ac:dyDescent="0.3">
      <c r="A7255" s="581"/>
      <c r="B7255" s="581"/>
      <c r="C7255" s="581"/>
      <c r="D7255" s="581"/>
      <c r="E7255" s="581"/>
      <c r="F7255" s="581" t="s">
        <v>7912</v>
      </c>
      <c r="G7255" s="581"/>
      <c r="H7255" s="581"/>
      <c r="I7255" s="581"/>
      <c r="J7255" s="381">
        <v>1</v>
      </c>
      <c r="K7255"/>
    </row>
    <row r="7256" spans="1:11" ht="14.25" customHeight="1" x14ac:dyDescent="0.3">
      <c r="A7256" s="581"/>
      <c r="B7256" s="581"/>
      <c r="C7256" s="581"/>
      <c r="D7256" s="581"/>
      <c r="E7256" s="581"/>
      <c r="F7256" s="581" t="s">
        <v>7913</v>
      </c>
      <c r="G7256" s="581"/>
      <c r="H7256" s="581"/>
      <c r="I7256" s="581"/>
      <c r="J7256" s="381">
        <v>25.86</v>
      </c>
      <c r="K7256"/>
    </row>
    <row r="7257" spans="1:11" ht="25.5" customHeight="1" x14ac:dyDescent="0.3">
      <c r="A7257" s="382" t="s">
        <v>7914</v>
      </c>
      <c r="B7257" s="312" t="s">
        <v>414</v>
      </c>
      <c r="C7257" s="382" t="s">
        <v>413</v>
      </c>
      <c r="D7257" s="382" t="s">
        <v>1039</v>
      </c>
      <c r="E7257" s="312"/>
      <c r="F7257" s="312"/>
      <c r="G7257" s="312" t="s">
        <v>7907</v>
      </c>
      <c r="H7257" s="312" t="s">
        <v>7908</v>
      </c>
      <c r="I7257" s="312" t="s">
        <v>1552</v>
      </c>
      <c r="J7257" s="312" t="s">
        <v>7905</v>
      </c>
      <c r="K7257"/>
    </row>
    <row r="7258" spans="1:11" ht="25.5" customHeight="1" x14ac:dyDescent="0.3">
      <c r="A7258" s="400" t="s">
        <v>1038</v>
      </c>
      <c r="B7258" s="401" t="s">
        <v>439</v>
      </c>
      <c r="C7258" s="400" t="s">
        <v>7915</v>
      </c>
      <c r="D7258" s="400" t="s">
        <v>4618</v>
      </c>
      <c r="E7258" s="400"/>
      <c r="F7258" s="400" t="s">
        <v>7916</v>
      </c>
      <c r="G7258" s="402" t="s">
        <v>1109</v>
      </c>
      <c r="H7258" s="404">
        <v>2.41</v>
      </c>
      <c r="I7258" s="403">
        <v>1</v>
      </c>
      <c r="J7258" s="404">
        <v>2.41</v>
      </c>
      <c r="K7258"/>
    </row>
    <row r="7259" spans="1:11" ht="39.6" x14ac:dyDescent="0.3">
      <c r="A7259" s="400" t="s">
        <v>1038</v>
      </c>
      <c r="B7259" s="401" t="s">
        <v>439</v>
      </c>
      <c r="C7259" s="400" t="s">
        <v>7917</v>
      </c>
      <c r="D7259" s="400" t="s">
        <v>4723</v>
      </c>
      <c r="E7259" s="400"/>
      <c r="F7259" s="400" t="s">
        <v>7916</v>
      </c>
      <c r="G7259" s="402" t="s">
        <v>1109</v>
      </c>
      <c r="H7259" s="404">
        <v>0.9</v>
      </c>
      <c r="I7259" s="403">
        <v>1</v>
      </c>
      <c r="J7259" s="404">
        <v>0.9</v>
      </c>
      <c r="K7259"/>
    </row>
    <row r="7260" spans="1:11" ht="17.399999999999999" customHeight="1" x14ac:dyDescent="0.3">
      <c r="A7260" s="400" t="s">
        <v>1038</v>
      </c>
      <c r="B7260" s="401" t="s">
        <v>439</v>
      </c>
      <c r="C7260" s="400" t="s">
        <v>7918</v>
      </c>
      <c r="D7260" s="400" t="s">
        <v>4974</v>
      </c>
      <c r="E7260" s="400"/>
      <c r="F7260" s="400" t="s">
        <v>7916</v>
      </c>
      <c r="G7260" s="402" t="s">
        <v>1109</v>
      </c>
      <c r="H7260" s="404">
        <v>0.11</v>
      </c>
      <c r="I7260" s="403">
        <v>1</v>
      </c>
      <c r="J7260" s="404">
        <v>0.11</v>
      </c>
      <c r="K7260"/>
    </row>
    <row r="7261" spans="1:11" ht="39.6" x14ac:dyDescent="0.3">
      <c r="A7261" s="400" t="s">
        <v>1038</v>
      </c>
      <c r="B7261" s="401" t="s">
        <v>439</v>
      </c>
      <c r="C7261" s="400" t="s">
        <v>7919</v>
      </c>
      <c r="D7261" s="400" t="s">
        <v>4716</v>
      </c>
      <c r="E7261" s="400"/>
      <c r="F7261" s="400" t="s">
        <v>7916</v>
      </c>
      <c r="G7261" s="402" t="s">
        <v>1109</v>
      </c>
      <c r="H7261" s="404">
        <v>1.57</v>
      </c>
      <c r="I7261" s="403">
        <v>1</v>
      </c>
      <c r="J7261" s="404">
        <v>1.57</v>
      </c>
      <c r="K7261"/>
    </row>
    <row r="7262" spans="1:11" ht="12.75" customHeight="1" x14ac:dyDescent="0.3">
      <c r="A7262" s="581"/>
      <c r="B7262" s="581"/>
      <c r="C7262" s="581"/>
      <c r="D7262" s="581"/>
      <c r="E7262" s="581"/>
      <c r="F7262" s="581" t="s">
        <v>7920</v>
      </c>
      <c r="G7262" s="581"/>
      <c r="H7262" s="581"/>
      <c r="I7262" s="581"/>
      <c r="J7262" s="381">
        <v>4.99</v>
      </c>
      <c r="K7262"/>
    </row>
    <row r="7263" spans="1:11" ht="30" customHeight="1" x14ac:dyDescent="0.3">
      <c r="A7263" s="382" t="s">
        <v>7921</v>
      </c>
      <c r="B7263" s="312" t="s">
        <v>414</v>
      </c>
      <c r="C7263" s="382" t="s">
        <v>413</v>
      </c>
      <c r="D7263" s="382" t="s">
        <v>2381</v>
      </c>
      <c r="E7263" s="312"/>
      <c r="F7263" s="312"/>
      <c r="G7263" s="312" t="s">
        <v>7907</v>
      </c>
      <c r="H7263" s="312" t="s">
        <v>7908</v>
      </c>
      <c r="I7263" s="312" t="s">
        <v>1552</v>
      </c>
      <c r="J7263" s="312" t="s">
        <v>7905</v>
      </c>
      <c r="K7263"/>
    </row>
    <row r="7264" spans="1:11" ht="14.25" customHeight="1" x14ac:dyDescent="0.3">
      <c r="A7264" s="408" t="s">
        <v>7922</v>
      </c>
      <c r="B7264" s="409" t="s">
        <v>439</v>
      </c>
      <c r="C7264" s="408" t="s">
        <v>8065</v>
      </c>
      <c r="D7264" s="408" t="s">
        <v>8066</v>
      </c>
      <c r="E7264" s="408"/>
      <c r="F7264" s="408" t="s">
        <v>7916</v>
      </c>
      <c r="G7264" s="410" t="s">
        <v>1109</v>
      </c>
      <c r="H7264" s="411">
        <v>1.41</v>
      </c>
      <c r="I7264" s="412">
        <v>1</v>
      </c>
      <c r="J7264" s="411">
        <v>1.41</v>
      </c>
      <c r="K7264"/>
    </row>
    <row r="7265" spans="1:11" ht="39.6" x14ac:dyDescent="0.3">
      <c r="A7265" s="408" t="s">
        <v>7922</v>
      </c>
      <c r="B7265" s="409" t="s">
        <v>439</v>
      </c>
      <c r="C7265" s="408" t="s">
        <v>8067</v>
      </c>
      <c r="D7265" s="408" t="s">
        <v>8068</v>
      </c>
      <c r="E7265" s="408"/>
      <c r="F7265" s="408" t="s">
        <v>7916</v>
      </c>
      <c r="G7265" s="410" t="s">
        <v>1109</v>
      </c>
      <c r="H7265" s="411">
        <v>0.34</v>
      </c>
      <c r="I7265" s="412">
        <v>1</v>
      </c>
      <c r="J7265" s="411">
        <v>0.34</v>
      </c>
      <c r="K7265"/>
    </row>
    <row r="7266" spans="1:11" ht="25.5" customHeight="1" x14ac:dyDescent="0.3">
      <c r="A7266" s="408" t="s">
        <v>7922</v>
      </c>
      <c r="B7266" s="409" t="s">
        <v>439</v>
      </c>
      <c r="C7266" s="408" t="s">
        <v>8069</v>
      </c>
      <c r="D7266" s="408" t="s">
        <v>8070</v>
      </c>
      <c r="E7266" s="408"/>
      <c r="F7266" s="408" t="s">
        <v>7916</v>
      </c>
      <c r="G7266" s="410" t="s">
        <v>1109</v>
      </c>
      <c r="H7266" s="411">
        <v>0.28999999999999998</v>
      </c>
      <c r="I7266" s="412">
        <v>1</v>
      </c>
      <c r="J7266" s="411">
        <v>0.28999999999999998</v>
      </c>
      <c r="K7266"/>
    </row>
    <row r="7267" spans="1:11" ht="25.5" customHeight="1" x14ac:dyDescent="0.3">
      <c r="A7267" s="581"/>
      <c r="B7267" s="581"/>
      <c r="C7267" s="581"/>
      <c r="D7267" s="581"/>
      <c r="E7267" s="581"/>
      <c r="F7267" s="581" t="s">
        <v>7929</v>
      </c>
      <c r="G7267" s="581"/>
      <c r="H7267" s="581"/>
      <c r="I7267" s="581"/>
      <c r="J7267" s="381">
        <v>2.04</v>
      </c>
      <c r="K7267"/>
    </row>
    <row r="7268" spans="1:11" ht="38.25" customHeight="1" x14ac:dyDescent="0.3">
      <c r="A7268" s="382" t="s">
        <v>6</v>
      </c>
      <c r="B7268" s="312" t="s">
        <v>414</v>
      </c>
      <c r="C7268" s="382" t="s">
        <v>413</v>
      </c>
      <c r="D7268" s="382" t="s">
        <v>7930</v>
      </c>
      <c r="E7268" s="312" t="s">
        <v>7931</v>
      </c>
      <c r="F7268" s="312" t="s">
        <v>7932</v>
      </c>
      <c r="G7268" s="312" t="s">
        <v>7907</v>
      </c>
      <c r="H7268" s="312" t="s">
        <v>7908</v>
      </c>
      <c r="I7268" s="312" t="s">
        <v>1552</v>
      </c>
      <c r="J7268" s="312" t="s">
        <v>7905</v>
      </c>
      <c r="K7268"/>
    </row>
    <row r="7269" spans="1:11" ht="25.5" customHeight="1" x14ac:dyDescent="0.3">
      <c r="A7269" s="581"/>
      <c r="B7269" s="581"/>
      <c r="C7269" s="581"/>
      <c r="D7269" s="581"/>
      <c r="E7269" s="581"/>
      <c r="F7269" s="581" t="s">
        <v>7933</v>
      </c>
      <c r="G7269" s="581"/>
      <c r="H7269" s="581"/>
      <c r="I7269" s="581"/>
      <c r="J7269" s="381">
        <v>0</v>
      </c>
      <c r="K7269"/>
    </row>
    <row r="7270" spans="1:11" ht="14.25" customHeight="1" x14ac:dyDescent="0.3">
      <c r="A7270" s="405"/>
      <c r="B7270" s="405"/>
      <c r="C7270" s="405"/>
      <c r="D7270" s="405"/>
      <c r="E7270" s="405" t="s">
        <v>1046</v>
      </c>
      <c r="F7270" s="406">
        <v>26.159537094000001</v>
      </c>
      <c r="G7270" s="405" t="s">
        <v>1047</v>
      </c>
      <c r="H7270" s="406">
        <v>0</v>
      </c>
      <c r="I7270" s="405" t="s">
        <v>1048</v>
      </c>
      <c r="J7270" s="406">
        <v>26.15</v>
      </c>
      <c r="K7270"/>
    </row>
    <row r="7271" spans="1:11" ht="15.6" thickBot="1" x14ac:dyDescent="0.35">
      <c r="A7271" s="405"/>
      <c r="B7271" s="405"/>
      <c r="C7271" s="405"/>
      <c r="D7271" s="405"/>
      <c r="E7271" s="405" t="s">
        <v>1049</v>
      </c>
      <c r="F7271" s="406">
        <v>0</v>
      </c>
      <c r="G7271" s="405"/>
      <c r="H7271" s="606"/>
      <c r="I7271" s="606" t="s">
        <v>1050</v>
      </c>
      <c r="J7271" s="406">
        <v>32.89</v>
      </c>
      <c r="K7271"/>
    </row>
    <row r="7272" spans="1:11" ht="12.75" customHeight="1" thickTop="1" x14ac:dyDescent="0.3">
      <c r="A7272" s="407"/>
      <c r="B7272" s="407"/>
      <c r="C7272" s="407"/>
      <c r="D7272" s="407"/>
      <c r="E7272" s="407"/>
      <c r="F7272" s="407"/>
      <c r="G7272" s="407"/>
      <c r="H7272" s="407"/>
      <c r="I7272" s="407"/>
      <c r="J7272" s="407"/>
      <c r="K7272"/>
    </row>
    <row r="7273" spans="1:11" ht="15" x14ac:dyDescent="0.3">
      <c r="A7273" s="382"/>
      <c r="B7273" s="312" t="s">
        <v>413</v>
      </c>
      <c r="C7273" s="382" t="s">
        <v>414</v>
      </c>
      <c r="D7273" s="382" t="s">
        <v>415</v>
      </c>
      <c r="E7273" s="586" t="s">
        <v>1029</v>
      </c>
      <c r="F7273" s="586"/>
      <c r="G7273" s="383" t="s">
        <v>416</v>
      </c>
      <c r="H7273" s="312" t="s">
        <v>1030</v>
      </c>
      <c r="I7273" s="312" t="s">
        <v>3016</v>
      </c>
      <c r="J7273" s="312" t="s">
        <v>1031</v>
      </c>
      <c r="K7273" s="312" t="s">
        <v>1032</v>
      </c>
    </row>
    <row r="7274" spans="1:11" ht="15" x14ac:dyDescent="0.3">
      <c r="A7274" s="313" t="s">
        <v>1033</v>
      </c>
      <c r="B7274" s="315" t="s">
        <v>1287</v>
      </c>
      <c r="C7274" s="313" t="s">
        <v>395</v>
      </c>
      <c r="D7274" s="313" t="s">
        <v>134</v>
      </c>
      <c r="E7274" s="603" t="s">
        <v>7768</v>
      </c>
      <c r="F7274" s="603"/>
      <c r="G7274" s="314" t="s">
        <v>6</v>
      </c>
      <c r="H7274" s="399">
        <v>1</v>
      </c>
      <c r="I7274" s="316"/>
      <c r="J7274" s="316">
        <v>42.08</v>
      </c>
      <c r="K7274" s="316">
        <v>42.08</v>
      </c>
    </row>
    <row r="7275" spans="1:11" ht="30" customHeight="1" x14ac:dyDescent="0.3">
      <c r="A7275" s="408" t="s">
        <v>1034</v>
      </c>
      <c r="B7275" s="409" t="s">
        <v>8071</v>
      </c>
      <c r="C7275" s="408" t="s">
        <v>395</v>
      </c>
      <c r="D7275" s="408" t="s">
        <v>8072</v>
      </c>
      <c r="E7275" s="604" t="s">
        <v>7768</v>
      </c>
      <c r="F7275" s="604"/>
      <c r="G7275" s="410" t="s">
        <v>6</v>
      </c>
      <c r="H7275" s="412">
        <v>1</v>
      </c>
      <c r="I7275" s="412">
        <v>0</v>
      </c>
      <c r="J7275" s="411">
        <v>0.37</v>
      </c>
      <c r="K7275" s="411">
        <v>0.37</v>
      </c>
    </row>
    <row r="7276" spans="1:11" ht="12.75" customHeight="1" x14ac:dyDescent="0.3">
      <c r="A7276" s="400" t="s">
        <v>1038</v>
      </c>
      <c r="B7276" s="401" t="s">
        <v>1549</v>
      </c>
      <c r="C7276" s="400" t="s">
        <v>395</v>
      </c>
      <c r="D7276" s="400" t="s">
        <v>403</v>
      </c>
      <c r="E7276" s="605" t="s">
        <v>1053</v>
      </c>
      <c r="F7276" s="605"/>
      <c r="G7276" s="402" t="s">
        <v>6</v>
      </c>
      <c r="H7276" s="403">
        <v>1</v>
      </c>
      <c r="I7276" s="403">
        <v>0</v>
      </c>
      <c r="J7276" s="404">
        <v>31.89</v>
      </c>
      <c r="K7276" s="404">
        <v>31.89</v>
      </c>
    </row>
    <row r="7277" spans="1:11" ht="25.5" customHeight="1" x14ac:dyDescent="0.3">
      <c r="A7277" s="400" t="s">
        <v>1038</v>
      </c>
      <c r="B7277" s="401" t="s">
        <v>4028</v>
      </c>
      <c r="C7277" s="400" t="s">
        <v>395</v>
      </c>
      <c r="D7277" s="400" t="s">
        <v>4029</v>
      </c>
      <c r="E7277" s="605" t="s">
        <v>4030</v>
      </c>
      <c r="F7277" s="605"/>
      <c r="G7277" s="402" t="s">
        <v>6</v>
      </c>
      <c r="H7277" s="403">
        <v>1</v>
      </c>
      <c r="I7277" s="403">
        <v>0</v>
      </c>
      <c r="J7277" s="404">
        <v>4.78</v>
      </c>
      <c r="K7277" s="404">
        <v>4.78</v>
      </c>
    </row>
    <row r="7278" spans="1:11" ht="14.25" customHeight="1" x14ac:dyDescent="0.3">
      <c r="A7278" s="400" t="s">
        <v>1038</v>
      </c>
      <c r="B7278" s="401" t="s">
        <v>4066</v>
      </c>
      <c r="C7278" s="400" t="s">
        <v>395</v>
      </c>
      <c r="D7278" s="400" t="s">
        <v>4067</v>
      </c>
      <c r="E7278" s="605" t="s">
        <v>2381</v>
      </c>
      <c r="F7278" s="605"/>
      <c r="G7278" s="402" t="s">
        <v>6</v>
      </c>
      <c r="H7278" s="403">
        <v>1</v>
      </c>
      <c r="I7278" s="403">
        <v>0</v>
      </c>
      <c r="J7278" s="404">
        <v>1.72</v>
      </c>
      <c r="K7278" s="404">
        <v>1.72</v>
      </c>
    </row>
    <row r="7279" spans="1:11" ht="15" x14ac:dyDescent="0.3">
      <c r="A7279" s="400" t="s">
        <v>1038</v>
      </c>
      <c r="B7279" s="401" t="s">
        <v>4078</v>
      </c>
      <c r="C7279" s="400" t="s">
        <v>395</v>
      </c>
      <c r="D7279" s="400" t="s">
        <v>4079</v>
      </c>
      <c r="E7279" s="605" t="s">
        <v>4030</v>
      </c>
      <c r="F7279" s="605"/>
      <c r="G7279" s="402" t="s">
        <v>6</v>
      </c>
      <c r="H7279" s="403">
        <v>1</v>
      </c>
      <c r="I7279" s="403">
        <v>0</v>
      </c>
      <c r="J7279" s="404">
        <v>1.25</v>
      </c>
      <c r="K7279" s="404">
        <v>1.25</v>
      </c>
    </row>
    <row r="7280" spans="1:11" ht="14.25" customHeight="1" x14ac:dyDescent="0.3">
      <c r="A7280" s="400" t="s">
        <v>1038</v>
      </c>
      <c r="B7280" s="401" t="s">
        <v>4274</v>
      </c>
      <c r="C7280" s="400" t="s">
        <v>395</v>
      </c>
      <c r="D7280" s="400" t="s">
        <v>4275</v>
      </c>
      <c r="E7280" s="605" t="s">
        <v>2386</v>
      </c>
      <c r="F7280" s="605"/>
      <c r="G7280" s="402" t="s">
        <v>6</v>
      </c>
      <c r="H7280" s="403">
        <v>1</v>
      </c>
      <c r="I7280" s="403">
        <v>0</v>
      </c>
      <c r="J7280" s="404">
        <v>0.11</v>
      </c>
      <c r="K7280" s="404">
        <v>0.11</v>
      </c>
    </row>
    <row r="7281" spans="1:11" ht="30" customHeight="1" x14ac:dyDescent="0.3">
      <c r="A7281" s="400" t="s">
        <v>1038</v>
      </c>
      <c r="B7281" s="401" t="s">
        <v>4212</v>
      </c>
      <c r="C7281" s="400" t="s">
        <v>395</v>
      </c>
      <c r="D7281" s="400" t="s">
        <v>4213</v>
      </c>
      <c r="E7281" s="605" t="s">
        <v>1317</v>
      </c>
      <c r="F7281" s="605"/>
      <c r="G7281" s="402" t="s">
        <v>6</v>
      </c>
      <c r="H7281" s="403">
        <v>1</v>
      </c>
      <c r="I7281" s="403">
        <v>0</v>
      </c>
      <c r="J7281" s="404">
        <v>0.28000000000000003</v>
      </c>
      <c r="K7281" s="404">
        <v>0.28000000000000003</v>
      </c>
    </row>
    <row r="7282" spans="1:11" ht="12.75" customHeight="1" x14ac:dyDescent="0.3">
      <c r="A7282" s="400" t="s">
        <v>1038</v>
      </c>
      <c r="B7282" s="401" t="s">
        <v>4129</v>
      </c>
      <c r="C7282" s="400" t="s">
        <v>395</v>
      </c>
      <c r="D7282" s="400" t="s">
        <v>4130</v>
      </c>
      <c r="E7282" s="605" t="s">
        <v>1317</v>
      </c>
      <c r="F7282" s="605"/>
      <c r="G7282" s="402" t="s">
        <v>6</v>
      </c>
      <c r="H7282" s="403">
        <v>1</v>
      </c>
      <c r="I7282" s="403">
        <v>0</v>
      </c>
      <c r="J7282" s="404">
        <v>1.68</v>
      </c>
      <c r="K7282" s="404">
        <v>1.68</v>
      </c>
    </row>
    <row r="7283" spans="1:11" ht="15" x14ac:dyDescent="0.3">
      <c r="A7283" s="405"/>
      <c r="B7283" s="405"/>
      <c r="C7283" s="405"/>
      <c r="D7283" s="405"/>
      <c r="E7283" s="405" t="s">
        <v>1046</v>
      </c>
      <c r="F7283" s="406">
        <v>32.26</v>
      </c>
      <c r="G7283" s="405" t="s">
        <v>1047</v>
      </c>
      <c r="H7283" s="406">
        <v>0</v>
      </c>
      <c r="I7283" s="405" t="s">
        <v>1048</v>
      </c>
      <c r="J7283" s="406">
        <v>32.26</v>
      </c>
      <c r="K7283"/>
    </row>
    <row r="7284" spans="1:11" ht="12.75" customHeight="1" thickBot="1" x14ac:dyDescent="0.35">
      <c r="A7284" s="405"/>
      <c r="B7284" s="405"/>
      <c r="C7284" s="405"/>
      <c r="D7284" s="405"/>
      <c r="E7284" s="405" t="s">
        <v>1049</v>
      </c>
      <c r="F7284" s="406">
        <v>0</v>
      </c>
      <c r="G7284" s="405"/>
      <c r="H7284" s="606"/>
      <c r="I7284" s="606" t="s">
        <v>1050</v>
      </c>
      <c r="J7284" s="406">
        <v>42.08</v>
      </c>
      <c r="K7284"/>
    </row>
    <row r="7285" spans="1:11" ht="25.5" customHeight="1" thickTop="1" x14ac:dyDescent="0.3">
      <c r="A7285" s="407"/>
      <c r="B7285" s="407"/>
      <c r="C7285" s="407"/>
      <c r="D7285" s="407"/>
      <c r="E7285" s="407"/>
      <c r="F7285" s="407"/>
      <c r="G7285" s="407"/>
      <c r="H7285" s="407"/>
      <c r="I7285" s="407"/>
      <c r="J7285" s="407"/>
      <c r="K7285"/>
    </row>
    <row r="7286" spans="1:11" ht="25.5" customHeight="1" x14ac:dyDescent="0.3">
      <c r="A7286" s="382"/>
      <c r="B7286" s="312" t="s">
        <v>413</v>
      </c>
      <c r="C7286" s="382" t="s">
        <v>414</v>
      </c>
      <c r="D7286" s="382" t="s">
        <v>415</v>
      </c>
      <c r="E7286" s="586" t="s">
        <v>1029</v>
      </c>
      <c r="F7286" s="586"/>
      <c r="G7286" s="383" t="s">
        <v>416</v>
      </c>
      <c r="H7286" s="312" t="s">
        <v>1030</v>
      </c>
      <c r="I7286" s="312" t="s">
        <v>3016</v>
      </c>
      <c r="J7286" s="312" t="s">
        <v>1031</v>
      </c>
      <c r="K7286" s="312" t="s">
        <v>1032</v>
      </c>
    </row>
    <row r="7287" spans="1:11" ht="25.5" customHeight="1" x14ac:dyDescent="0.3">
      <c r="A7287" s="313" t="s">
        <v>1033</v>
      </c>
      <c r="B7287" s="315" t="s">
        <v>5178</v>
      </c>
      <c r="C7287" s="313" t="s">
        <v>395</v>
      </c>
      <c r="D7287" s="313" t="s">
        <v>5179</v>
      </c>
      <c r="E7287" s="603" t="s">
        <v>7772</v>
      </c>
      <c r="F7287" s="603"/>
      <c r="G7287" s="314" t="s">
        <v>15</v>
      </c>
      <c r="H7287" s="399">
        <v>1</v>
      </c>
      <c r="I7287" s="316"/>
      <c r="J7287" s="316">
        <v>51.31</v>
      </c>
      <c r="K7287" s="316">
        <v>51.31</v>
      </c>
    </row>
    <row r="7288" spans="1:11" ht="25.5" customHeight="1" x14ac:dyDescent="0.3">
      <c r="A7288" s="408" t="s">
        <v>1034</v>
      </c>
      <c r="B7288" s="409" t="s">
        <v>1538</v>
      </c>
      <c r="C7288" s="408" t="s">
        <v>395</v>
      </c>
      <c r="D7288" s="408" t="s">
        <v>141</v>
      </c>
      <c r="E7288" s="604" t="s">
        <v>7768</v>
      </c>
      <c r="F7288" s="604"/>
      <c r="G7288" s="410" t="s">
        <v>6</v>
      </c>
      <c r="H7288" s="412">
        <v>1</v>
      </c>
      <c r="I7288" s="412">
        <v>0</v>
      </c>
      <c r="J7288" s="411">
        <v>42.37</v>
      </c>
      <c r="K7288" s="411">
        <v>42.37</v>
      </c>
    </row>
    <row r="7289" spans="1:11" ht="14.25" customHeight="1" x14ac:dyDescent="0.3">
      <c r="A7289" s="408" t="s">
        <v>1034</v>
      </c>
      <c r="B7289" s="409" t="s">
        <v>8073</v>
      </c>
      <c r="C7289" s="408" t="s">
        <v>395</v>
      </c>
      <c r="D7289" s="408" t="s">
        <v>8074</v>
      </c>
      <c r="E7289" s="604" t="s">
        <v>7946</v>
      </c>
      <c r="F7289" s="604"/>
      <c r="G7289" s="410" t="s">
        <v>6</v>
      </c>
      <c r="H7289" s="412">
        <v>1</v>
      </c>
      <c r="I7289" s="412">
        <v>0</v>
      </c>
      <c r="J7289" s="411">
        <v>0.84</v>
      </c>
      <c r="K7289" s="411">
        <v>0.84</v>
      </c>
    </row>
    <row r="7290" spans="1:11" ht="17.399999999999999" customHeight="1" x14ac:dyDescent="0.3">
      <c r="A7290" s="408" t="s">
        <v>1034</v>
      </c>
      <c r="B7290" s="409" t="s">
        <v>8075</v>
      </c>
      <c r="C7290" s="408" t="s">
        <v>395</v>
      </c>
      <c r="D7290" s="408" t="s">
        <v>8076</v>
      </c>
      <c r="E7290" s="604" t="s">
        <v>7946</v>
      </c>
      <c r="F7290" s="604"/>
      <c r="G7290" s="410" t="s">
        <v>6</v>
      </c>
      <c r="H7290" s="412">
        <v>1</v>
      </c>
      <c r="I7290" s="412">
        <v>0</v>
      </c>
      <c r="J7290" s="411">
        <v>0.22</v>
      </c>
      <c r="K7290" s="411">
        <v>0.22</v>
      </c>
    </row>
    <row r="7291" spans="1:11" ht="26.4" x14ac:dyDescent="0.3">
      <c r="A7291" s="408" t="s">
        <v>1034</v>
      </c>
      <c r="B7291" s="409" t="s">
        <v>8077</v>
      </c>
      <c r="C7291" s="408" t="s">
        <v>395</v>
      </c>
      <c r="D7291" s="408" t="s">
        <v>8078</v>
      </c>
      <c r="E7291" s="604" t="s">
        <v>7946</v>
      </c>
      <c r="F7291" s="604"/>
      <c r="G7291" s="410" t="s">
        <v>6</v>
      </c>
      <c r="H7291" s="412">
        <v>1</v>
      </c>
      <c r="I7291" s="412">
        <v>0</v>
      </c>
      <c r="J7291" s="411">
        <v>1.05</v>
      </c>
      <c r="K7291" s="411">
        <v>1.05</v>
      </c>
    </row>
    <row r="7292" spans="1:11" ht="39.6" x14ac:dyDescent="0.3">
      <c r="A7292" s="408" t="s">
        <v>1034</v>
      </c>
      <c r="B7292" s="409" t="s">
        <v>8079</v>
      </c>
      <c r="C7292" s="408" t="s">
        <v>395</v>
      </c>
      <c r="D7292" s="408" t="s">
        <v>8080</v>
      </c>
      <c r="E7292" s="604" t="s">
        <v>7946</v>
      </c>
      <c r="F7292" s="604"/>
      <c r="G7292" s="410" t="s">
        <v>6</v>
      </c>
      <c r="H7292" s="412">
        <v>1</v>
      </c>
      <c r="I7292" s="412">
        <v>0</v>
      </c>
      <c r="J7292" s="411">
        <v>6.83</v>
      </c>
      <c r="K7292" s="411">
        <v>6.83</v>
      </c>
    </row>
    <row r="7293" spans="1:11" ht="25.5" customHeight="1" x14ac:dyDescent="0.3">
      <c r="A7293" s="405"/>
      <c r="B7293" s="405"/>
      <c r="C7293" s="405"/>
      <c r="D7293" s="405"/>
      <c r="E7293" s="405" t="s">
        <v>1046</v>
      </c>
      <c r="F7293" s="406">
        <v>33.42</v>
      </c>
      <c r="G7293" s="405" t="s">
        <v>1047</v>
      </c>
      <c r="H7293" s="406">
        <v>0</v>
      </c>
      <c r="I7293" s="405" t="s">
        <v>1048</v>
      </c>
      <c r="J7293" s="406">
        <v>33.42</v>
      </c>
      <c r="K7293"/>
    </row>
    <row r="7294" spans="1:11" ht="25.5" customHeight="1" thickBot="1" x14ac:dyDescent="0.35">
      <c r="A7294" s="405"/>
      <c r="B7294" s="405"/>
      <c r="C7294" s="405"/>
      <c r="D7294" s="405"/>
      <c r="E7294" s="405" t="s">
        <v>1049</v>
      </c>
      <c r="F7294" s="406">
        <v>0</v>
      </c>
      <c r="G7294" s="405"/>
      <c r="H7294" s="606"/>
      <c r="I7294" s="606" t="s">
        <v>1050</v>
      </c>
      <c r="J7294" s="406">
        <v>51.31</v>
      </c>
      <c r="K7294"/>
    </row>
    <row r="7295" spans="1:11" ht="25.5" customHeight="1" thickTop="1" x14ac:dyDescent="0.3">
      <c r="A7295" s="407"/>
      <c r="B7295" s="407"/>
      <c r="C7295" s="407"/>
      <c r="D7295" s="407"/>
      <c r="E7295" s="407"/>
      <c r="F7295" s="407"/>
      <c r="G7295" s="407"/>
      <c r="H7295" s="407"/>
      <c r="I7295" s="407"/>
      <c r="J7295" s="407"/>
      <c r="K7295"/>
    </row>
    <row r="7296" spans="1:11" ht="17.399999999999999" customHeight="1" x14ac:dyDescent="0.3">
      <c r="A7296" s="382"/>
      <c r="B7296" s="312" t="s">
        <v>413</v>
      </c>
      <c r="C7296" s="382" t="s">
        <v>414</v>
      </c>
      <c r="D7296" s="382" t="s">
        <v>415</v>
      </c>
      <c r="E7296" s="586" t="s">
        <v>1029</v>
      </c>
      <c r="F7296" s="586"/>
      <c r="G7296" s="383" t="s">
        <v>416</v>
      </c>
      <c r="H7296" s="312" t="s">
        <v>1030</v>
      </c>
      <c r="I7296" s="312" t="s">
        <v>3016</v>
      </c>
      <c r="J7296" s="312" t="s">
        <v>1031</v>
      </c>
      <c r="K7296" s="312" t="s">
        <v>1032</v>
      </c>
    </row>
    <row r="7297" spans="1:11" ht="14.25" customHeight="1" x14ac:dyDescent="0.3">
      <c r="A7297" s="313" t="s">
        <v>1033</v>
      </c>
      <c r="B7297" s="315" t="s">
        <v>8073</v>
      </c>
      <c r="C7297" s="313" t="s">
        <v>395</v>
      </c>
      <c r="D7297" s="313" t="s">
        <v>8074</v>
      </c>
      <c r="E7297" s="603" t="s">
        <v>7946</v>
      </c>
      <c r="F7297" s="603"/>
      <c r="G7297" s="314" t="s">
        <v>6</v>
      </c>
      <c r="H7297" s="399">
        <v>1</v>
      </c>
      <c r="I7297" s="316"/>
      <c r="J7297" s="316">
        <v>0.84</v>
      </c>
      <c r="K7297" s="316">
        <v>0.84</v>
      </c>
    </row>
    <row r="7298" spans="1:11" ht="14.25" customHeight="1" x14ac:dyDescent="0.3">
      <c r="A7298" s="400" t="s">
        <v>1038</v>
      </c>
      <c r="B7298" s="401" t="s">
        <v>4893</v>
      </c>
      <c r="C7298" s="400" t="s">
        <v>395</v>
      </c>
      <c r="D7298" s="400" t="s">
        <v>4894</v>
      </c>
      <c r="E7298" s="605" t="s">
        <v>1317</v>
      </c>
      <c r="F7298" s="605"/>
      <c r="G7298" s="402" t="s">
        <v>4</v>
      </c>
      <c r="H7298" s="403">
        <v>5.3300000000000001E-5</v>
      </c>
      <c r="I7298" s="403">
        <v>0</v>
      </c>
      <c r="J7298" s="404">
        <v>15701.54</v>
      </c>
      <c r="K7298" s="404">
        <v>0.83689210000000003</v>
      </c>
    </row>
    <row r="7299" spans="1:11" ht="30" customHeight="1" x14ac:dyDescent="0.3">
      <c r="A7299" s="405"/>
      <c r="B7299" s="405"/>
      <c r="C7299" s="405"/>
      <c r="D7299" s="405"/>
      <c r="E7299" s="405" t="s">
        <v>1046</v>
      </c>
      <c r="F7299" s="406">
        <v>0</v>
      </c>
      <c r="G7299" s="405" t="s">
        <v>1047</v>
      </c>
      <c r="H7299" s="406">
        <v>0</v>
      </c>
      <c r="I7299" s="405" t="s">
        <v>1048</v>
      </c>
      <c r="J7299" s="406">
        <v>0</v>
      </c>
      <c r="K7299"/>
    </row>
    <row r="7300" spans="1:11" ht="15.6" thickBot="1" x14ac:dyDescent="0.35">
      <c r="A7300" s="405"/>
      <c r="B7300" s="405"/>
      <c r="C7300" s="405"/>
      <c r="D7300" s="405"/>
      <c r="E7300" s="405" t="s">
        <v>1049</v>
      </c>
      <c r="F7300" s="406">
        <v>0</v>
      </c>
      <c r="G7300" s="405"/>
      <c r="H7300" s="606"/>
      <c r="I7300" s="606" t="s">
        <v>1050</v>
      </c>
      <c r="J7300" s="406">
        <v>0.84</v>
      </c>
      <c r="K7300"/>
    </row>
    <row r="7301" spans="1:11" ht="25.5" customHeight="1" thickTop="1" x14ac:dyDescent="0.3">
      <c r="A7301" s="407"/>
      <c r="B7301" s="407"/>
      <c r="C7301" s="407"/>
      <c r="D7301" s="407"/>
      <c r="E7301" s="407"/>
      <c r="F7301" s="407"/>
      <c r="G7301" s="407"/>
      <c r="H7301" s="407"/>
      <c r="I7301" s="407"/>
      <c r="J7301" s="407"/>
      <c r="K7301"/>
    </row>
    <row r="7302" spans="1:11" ht="12.75" customHeight="1" x14ac:dyDescent="0.3">
      <c r="A7302" s="382"/>
      <c r="B7302" s="312" t="s">
        <v>413</v>
      </c>
      <c r="C7302" s="382" t="s">
        <v>414</v>
      </c>
      <c r="D7302" s="382" t="s">
        <v>415</v>
      </c>
      <c r="E7302" s="586" t="s">
        <v>1029</v>
      </c>
      <c r="F7302" s="586"/>
      <c r="G7302" s="383" t="s">
        <v>416</v>
      </c>
      <c r="H7302" s="312" t="s">
        <v>1030</v>
      </c>
      <c r="I7302" s="312" t="s">
        <v>3016</v>
      </c>
      <c r="J7302" s="312" t="s">
        <v>1031</v>
      </c>
      <c r="K7302" s="312" t="s">
        <v>1032</v>
      </c>
    </row>
    <row r="7303" spans="1:11" ht="25.5" customHeight="1" x14ac:dyDescent="0.3">
      <c r="A7303" s="313" t="s">
        <v>1033</v>
      </c>
      <c r="B7303" s="315" t="s">
        <v>8075</v>
      </c>
      <c r="C7303" s="313" t="s">
        <v>395</v>
      </c>
      <c r="D7303" s="313" t="s">
        <v>8076</v>
      </c>
      <c r="E7303" s="603" t="s">
        <v>7946</v>
      </c>
      <c r="F7303" s="603"/>
      <c r="G7303" s="314" t="s">
        <v>6</v>
      </c>
      <c r="H7303" s="399">
        <v>1</v>
      </c>
      <c r="I7303" s="316"/>
      <c r="J7303" s="316">
        <v>0.22</v>
      </c>
      <c r="K7303" s="316">
        <v>0.22</v>
      </c>
    </row>
    <row r="7304" spans="1:11" ht="25.5" customHeight="1" x14ac:dyDescent="0.3">
      <c r="A7304" s="400" t="s">
        <v>1038</v>
      </c>
      <c r="B7304" s="401" t="s">
        <v>4893</v>
      </c>
      <c r="C7304" s="400" t="s">
        <v>395</v>
      </c>
      <c r="D7304" s="400" t="s">
        <v>4894</v>
      </c>
      <c r="E7304" s="605" t="s">
        <v>1317</v>
      </c>
      <c r="F7304" s="605"/>
      <c r="G7304" s="402" t="s">
        <v>4</v>
      </c>
      <c r="H7304" s="403">
        <v>1.43E-5</v>
      </c>
      <c r="I7304" s="403">
        <v>0</v>
      </c>
      <c r="J7304" s="404">
        <v>15701.54</v>
      </c>
      <c r="K7304" s="404">
        <v>0.22453200000000001</v>
      </c>
    </row>
    <row r="7305" spans="1:11" ht="25.5" customHeight="1" x14ac:dyDescent="0.3">
      <c r="A7305" s="405"/>
      <c r="B7305" s="405"/>
      <c r="C7305" s="405"/>
      <c r="D7305" s="405"/>
      <c r="E7305" s="405" t="s">
        <v>1046</v>
      </c>
      <c r="F7305" s="406">
        <v>0</v>
      </c>
      <c r="G7305" s="405" t="s">
        <v>1047</v>
      </c>
      <c r="H7305" s="406">
        <v>0</v>
      </c>
      <c r="I7305" s="405" t="s">
        <v>1048</v>
      </c>
      <c r="J7305" s="406">
        <v>0</v>
      </c>
      <c r="K7305"/>
    </row>
    <row r="7306" spans="1:11" ht="14.25" customHeight="1" thickBot="1" x14ac:dyDescent="0.35">
      <c r="A7306" s="405"/>
      <c r="B7306" s="405"/>
      <c r="C7306" s="405"/>
      <c r="D7306" s="405"/>
      <c r="E7306" s="405" t="s">
        <v>1049</v>
      </c>
      <c r="F7306" s="406">
        <v>0</v>
      </c>
      <c r="G7306" s="405"/>
      <c r="H7306" s="606"/>
      <c r="I7306" s="606" t="s">
        <v>1050</v>
      </c>
      <c r="J7306" s="406">
        <v>0.22</v>
      </c>
      <c r="K7306"/>
    </row>
    <row r="7307" spans="1:11" ht="14.25" customHeight="1" thickTop="1" x14ac:dyDescent="0.3">
      <c r="A7307" s="407"/>
      <c r="B7307" s="407"/>
      <c r="C7307" s="407"/>
      <c r="D7307" s="407"/>
      <c r="E7307" s="407"/>
      <c r="F7307" s="407"/>
      <c r="G7307" s="407"/>
      <c r="H7307" s="407"/>
      <c r="I7307" s="407"/>
      <c r="J7307" s="407"/>
      <c r="K7307"/>
    </row>
    <row r="7308" spans="1:11" ht="15" x14ac:dyDescent="0.3">
      <c r="A7308" s="382"/>
      <c r="B7308" s="312" t="s">
        <v>413</v>
      </c>
      <c r="C7308" s="382" t="s">
        <v>414</v>
      </c>
      <c r="D7308" s="382" t="s">
        <v>415</v>
      </c>
      <c r="E7308" s="586" t="s">
        <v>1029</v>
      </c>
      <c r="F7308" s="586"/>
      <c r="G7308" s="383" t="s">
        <v>416</v>
      </c>
      <c r="H7308" s="312" t="s">
        <v>1030</v>
      </c>
      <c r="I7308" s="312" t="s">
        <v>3016</v>
      </c>
      <c r="J7308" s="312" t="s">
        <v>1031</v>
      </c>
      <c r="K7308" s="312" t="s">
        <v>1032</v>
      </c>
    </row>
    <row r="7309" spans="1:11" ht="16.95" customHeight="1" x14ac:dyDescent="0.3">
      <c r="A7309" s="313" t="s">
        <v>1033</v>
      </c>
      <c r="B7309" s="315" t="s">
        <v>8077</v>
      </c>
      <c r="C7309" s="313" t="s">
        <v>395</v>
      </c>
      <c r="D7309" s="313" t="s">
        <v>8078</v>
      </c>
      <c r="E7309" s="603" t="s">
        <v>7946</v>
      </c>
      <c r="F7309" s="603"/>
      <c r="G7309" s="314" t="s">
        <v>6</v>
      </c>
      <c r="H7309" s="399">
        <v>1</v>
      </c>
      <c r="I7309" s="316"/>
      <c r="J7309" s="316">
        <v>1.05</v>
      </c>
      <c r="K7309" s="316">
        <v>1.05</v>
      </c>
    </row>
    <row r="7310" spans="1:11" ht="38.25" customHeight="1" x14ac:dyDescent="0.3">
      <c r="A7310" s="400" t="s">
        <v>1038</v>
      </c>
      <c r="B7310" s="401" t="s">
        <v>4893</v>
      </c>
      <c r="C7310" s="400" t="s">
        <v>395</v>
      </c>
      <c r="D7310" s="400" t="s">
        <v>4894</v>
      </c>
      <c r="E7310" s="605" t="s">
        <v>1317</v>
      </c>
      <c r="F7310" s="605"/>
      <c r="G7310" s="402" t="s">
        <v>4</v>
      </c>
      <c r="H7310" s="403">
        <v>6.6699999999999995E-5</v>
      </c>
      <c r="I7310" s="403">
        <v>0</v>
      </c>
      <c r="J7310" s="404">
        <v>15701.54</v>
      </c>
      <c r="K7310" s="404">
        <v>1.0472927000000001</v>
      </c>
    </row>
    <row r="7311" spans="1:11" ht="12.75" customHeight="1" x14ac:dyDescent="0.3">
      <c r="A7311" s="405"/>
      <c r="B7311" s="405"/>
      <c r="C7311" s="405"/>
      <c r="D7311" s="405"/>
      <c r="E7311" s="405" t="s">
        <v>1046</v>
      </c>
      <c r="F7311" s="406">
        <v>0</v>
      </c>
      <c r="G7311" s="405" t="s">
        <v>1047</v>
      </c>
      <c r="H7311" s="406">
        <v>0</v>
      </c>
      <c r="I7311" s="405" t="s">
        <v>1048</v>
      </c>
      <c r="J7311" s="406">
        <v>0</v>
      </c>
      <c r="K7311"/>
    </row>
    <row r="7312" spans="1:11" ht="25.5" customHeight="1" thickBot="1" x14ac:dyDescent="0.35">
      <c r="A7312" s="405"/>
      <c r="B7312" s="405"/>
      <c r="C7312" s="405"/>
      <c r="D7312" s="405"/>
      <c r="E7312" s="405" t="s">
        <v>1049</v>
      </c>
      <c r="F7312" s="406">
        <v>0</v>
      </c>
      <c r="G7312" s="405"/>
      <c r="H7312" s="606"/>
      <c r="I7312" s="606" t="s">
        <v>1050</v>
      </c>
      <c r="J7312" s="406">
        <v>1.05</v>
      </c>
      <c r="K7312"/>
    </row>
    <row r="7313" spans="1:11" ht="25.5" customHeight="1" thickTop="1" x14ac:dyDescent="0.3">
      <c r="A7313" s="407"/>
      <c r="B7313" s="407"/>
      <c r="C7313" s="407"/>
      <c r="D7313" s="407"/>
      <c r="E7313" s="407"/>
      <c r="F7313" s="407"/>
      <c r="G7313" s="407"/>
      <c r="H7313" s="407"/>
      <c r="I7313" s="407"/>
      <c r="J7313" s="407"/>
      <c r="K7313"/>
    </row>
    <row r="7314" spans="1:11" ht="38.25" customHeight="1" x14ac:dyDescent="0.3">
      <c r="A7314" s="382"/>
      <c r="B7314" s="312" t="s">
        <v>413</v>
      </c>
      <c r="C7314" s="382" t="s">
        <v>414</v>
      </c>
      <c r="D7314" s="382" t="s">
        <v>415</v>
      </c>
      <c r="E7314" s="586" t="s">
        <v>1029</v>
      </c>
      <c r="F7314" s="586"/>
      <c r="G7314" s="383" t="s">
        <v>416</v>
      </c>
      <c r="H7314" s="312" t="s">
        <v>1030</v>
      </c>
      <c r="I7314" s="312" t="s">
        <v>3016</v>
      </c>
      <c r="J7314" s="312" t="s">
        <v>1031</v>
      </c>
      <c r="K7314" s="312" t="s">
        <v>1032</v>
      </c>
    </row>
    <row r="7315" spans="1:11" ht="38.25" customHeight="1" x14ac:dyDescent="0.3">
      <c r="A7315" s="313" t="s">
        <v>1033</v>
      </c>
      <c r="B7315" s="315" t="s">
        <v>8079</v>
      </c>
      <c r="C7315" s="313" t="s">
        <v>395</v>
      </c>
      <c r="D7315" s="313" t="s">
        <v>8080</v>
      </c>
      <c r="E7315" s="603" t="s">
        <v>7946</v>
      </c>
      <c r="F7315" s="603"/>
      <c r="G7315" s="314" t="s">
        <v>6</v>
      </c>
      <c r="H7315" s="399">
        <v>1</v>
      </c>
      <c r="I7315" s="316"/>
      <c r="J7315" s="316">
        <v>6.83</v>
      </c>
      <c r="K7315" s="316">
        <v>6.83</v>
      </c>
    </row>
    <row r="7316" spans="1:11" ht="14.25" customHeight="1" x14ac:dyDescent="0.3">
      <c r="A7316" s="400" t="s">
        <v>1038</v>
      </c>
      <c r="B7316" s="401" t="s">
        <v>4741</v>
      </c>
      <c r="C7316" s="400" t="s">
        <v>395</v>
      </c>
      <c r="D7316" s="400" t="s">
        <v>4742</v>
      </c>
      <c r="E7316" s="605" t="s">
        <v>1039</v>
      </c>
      <c r="F7316" s="605"/>
      <c r="G7316" s="402" t="s">
        <v>8</v>
      </c>
      <c r="H7316" s="403">
        <v>1.03</v>
      </c>
      <c r="I7316" s="403">
        <v>0</v>
      </c>
      <c r="J7316" s="404">
        <v>6.63</v>
      </c>
      <c r="K7316" s="404">
        <v>6.8289</v>
      </c>
    </row>
    <row r="7317" spans="1:11" ht="14.25" customHeight="1" x14ac:dyDescent="0.3">
      <c r="A7317" s="405"/>
      <c r="B7317" s="405"/>
      <c r="C7317" s="405"/>
      <c r="D7317" s="405"/>
      <c r="E7317" s="405" t="s">
        <v>1046</v>
      </c>
      <c r="F7317" s="406">
        <v>0</v>
      </c>
      <c r="G7317" s="405" t="s">
        <v>1047</v>
      </c>
      <c r="H7317" s="406">
        <v>0</v>
      </c>
      <c r="I7317" s="405" t="s">
        <v>1048</v>
      </c>
      <c r="J7317" s="406">
        <v>0</v>
      </c>
      <c r="K7317"/>
    </row>
    <row r="7318" spans="1:11" ht="15.6" thickBot="1" x14ac:dyDescent="0.35">
      <c r="A7318" s="405"/>
      <c r="B7318" s="405"/>
      <c r="C7318" s="405"/>
      <c r="D7318" s="405"/>
      <c r="E7318" s="405" t="s">
        <v>1049</v>
      </c>
      <c r="F7318" s="406">
        <v>0</v>
      </c>
      <c r="G7318" s="405"/>
      <c r="H7318" s="606"/>
      <c r="I7318" s="606" t="s">
        <v>1050</v>
      </c>
      <c r="J7318" s="406">
        <v>6.83</v>
      </c>
      <c r="K7318"/>
    </row>
    <row r="7319" spans="1:11" ht="15.6" thickTop="1" x14ac:dyDescent="0.3">
      <c r="A7319" s="407"/>
      <c r="B7319" s="407"/>
      <c r="C7319" s="407"/>
      <c r="D7319" s="407"/>
      <c r="E7319" s="407"/>
      <c r="F7319" s="407"/>
      <c r="G7319" s="407"/>
      <c r="H7319" s="407"/>
      <c r="I7319" s="407"/>
      <c r="J7319" s="407"/>
      <c r="K7319"/>
    </row>
    <row r="7320" spans="1:11" ht="12.75" customHeight="1" x14ac:dyDescent="0.3">
      <c r="A7320" s="382"/>
      <c r="B7320" s="312" t="s">
        <v>413</v>
      </c>
      <c r="C7320" s="382" t="s">
        <v>414</v>
      </c>
      <c r="D7320" s="382" t="s">
        <v>415</v>
      </c>
      <c r="E7320" s="586" t="s">
        <v>1029</v>
      </c>
      <c r="F7320" s="586"/>
      <c r="G7320" s="383" t="s">
        <v>416</v>
      </c>
      <c r="H7320" s="312" t="s">
        <v>1030</v>
      </c>
      <c r="I7320" s="312" t="s">
        <v>3016</v>
      </c>
      <c r="J7320" s="312" t="s">
        <v>1031</v>
      </c>
      <c r="K7320" s="312" t="s">
        <v>1032</v>
      </c>
    </row>
    <row r="7321" spans="1:11" ht="25.5" customHeight="1" x14ac:dyDescent="0.3">
      <c r="A7321" s="313" t="s">
        <v>1033</v>
      </c>
      <c r="B7321" s="315" t="s">
        <v>5210</v>
      </c>
      <c r="C7321" s="313" t="s">
        <v>395</v>
      </c>
      <c r="D7321" s="313" t="s">
        <v>5211</v>
      </c>
      <c r="E7321" s="603" t="s">
        <v>7773</v>
      </c>
      <c r="F7321" s="603"/>
      <c r="G7321" s="314" t="s">
        <v>713</v>
      </c>
      <c r="H7321" s="399">
        <v>1</v>
      </c>
      <c r="I7321" s="316"/>
      <c r="J7321" s="316">
        <v>489.57</v>
      </c>
      <c r="K7321" s="316">
        <v>489.57</v>
      </c>
    </row>
    <row r="7322" spans="1:11" ht="25.5" customHeight="1" x14ac:dyDescent="0.3">
      <c r="A7322" s="408" t="s">
        <v>1034</v>
      </c>
      <c r="B7322" s="409" t="s">
        <v>1290</v>
      </c>
      <c r="C7322" s="408" t="s">
        <v>395</v>
      </c>
      <c r="D7322" s="408" t="s">
        <v>147</v>
      </c>
      <c r="E7322" s="604" t="s">
        <v>7768</v>
      </c>
      <c r="F7322" s="604"/>
      <c r="G7322" s="410" t="s">
        <v>6</v>
      </c>
      <c r="H7322" s="412">
        <v>2.3275000000000001</v>
      </c>
      <c r="I7322" s="412">
        <v>0</v>
      </c>
      <c r="J7322" s="411">
        <v>32.82</v>
      </c>
      <c r="K7322" s="411">
        <v>76.388549999999995</v>
      </c>
    </row>
    <row r="7323" spans="1:11" ht="26.4" x14ac:dyDescent="0.3">
      <c r="A7323" s="408" t="s">
        <v>1034</v>
      </c>
      <c r="B7323" s="409" t="s">
        <v>2280</v>
      </c>
      <c r="C7323" s="408" t="s">
        <v>395</v>
      </c>
      <c r="D7323" s="408" t="s">
        <v>151</v>
      </c>
      <c r="E7323" s="604" t="s">
        <v>7768</v>
      </c>
      <c r="F7323" s="604"/>
      <c r="G7323" s="410" t="s">
        <v>6</v>
      </c>
      <c r="H7323" s="412">
        <v>1.4695</v>
      </c>
      <c r="I7323" s="412">
        <v>0</v>
      </c>
      <c r="J7323" s="411">
        <v>34.119999999999997</v>
      </c>
      <c r="K7323" s="411">
        <v>50.139339999999997</v>
      </c>
    </row>
    <row r="7324" spans="1:11" ht="14.25" customHeight="1" x14ac:dyDescent="0.3">
      <c r="A7324" s="408" t="s">
        <v>1034</v>
      </c>
      <c r="B7324" s="409" t="s">
        <v>2278</v>
      </c>
      <c r="C7324" s="408" t="s">
        <v>395</v>
      </c>
      <c r="D7324" s="408" t="s">
        <v>7828</v>
      </c>
      <c r="E7324" s="604" t="s">
        <v>7772</v>
      </c>
      <c r="F7324" s="604"/>
      <c r="G7324" s="410" t="s">
        <v>15</v>
      </c>
      <c r="H7324" s="412">
        <v>0.75629999999999997</v>
      </c>
      <c r="I7324" s="412">
        <v>0</v>
      </c>
      <c r="J7324" s="411">
        <v>2.46</v>
      </c>
      <c r="K7324" s="411">
        <v>1.860498</v>
      </c>
    </row>
    <row r="7325" spans="1:11" ht="14.25" customHeight="1" x14ac:dyDescent="0.3">
      <c r="A7325" s="408" t="s">
        <v>1034</v>
      </c>
      <c r="B7325" s="409" t="s">
        <v>2279</v>
      </c>
      <c r="C7325" s="408" t="s">
        <v>395</v>
      </c>
      <c r="D7325" s="408" t="s">
        <v>7829</v>
      </c>
      <c r="E7325" s="604" t="s">
        <v>7772</v>
      </c>
      <c r="F7325" s="604"/>
      <c r="G7325" s="410" t="s">
        <v>19</v>
      </c>
      <c r="H7325" s="412">
        <v>0.71309999999999996</v>
      </c>
      <c r="I7325" s="412">
        <v>0</v>
      </c>
      <c r="J7325" s="411">
        <v>0.46</v>
      </c>
      <c r="K7325" s="411">
        <v>0.32802599999999998</v>
      </c>
    </row>
    <row r="7326" spans="1:11" ht="26.4" x14ac:dyDescent="0.3">
      <c r="A7326" s="400" t="s">
        <v>1038</v>
      </c>
      <c r="B7326" s="401" t="s">
        <v>1303</v>
      </c>
      <c r="C7326" s="400" t="s">
        <v>395</v>
      </c>
      <c r="D7326" s="400" t="s">
        <v>239</v>
      </c>
      <c r="E7326" s="605" t="s">
        <v>1039</v>
      </c>
      <c r="F7326" s="605"/>
      <c r="G7326" s="402" t="s">
        <v>713</v>
      </c>
      <c r="H7326" s="403">
        <v>0.80459999999999998</v>
      </c>
      <c r="I7326" s="403">
        <v>0</v>
      </c>
      <c r="J7326" s="404">
        <v>105</v>
      </c>
      <c r="K7326" s="404">
        <v>84.483000000000004</v>
      </c>
    </row>
    <row r="7327" spans="1:11" ht="15" x14ac:dyDescent="0.3">
      <c r="A7327" s="400" t="s">
        <v>1038</v>
      </c>
      <c r="B7327" s="401" t="s">
        <v>1304</v>
      </c>
      <c r="C7327" s="400" t="s">
        <v>395</v>
      </c>
      <c r="D7327" s="400" t="s">
        <v>251</v>
      </c>
      <c r="E7327" s="605" t="s">
        <v>1039</v>
      </c>
      <c r="F7327" s="605"/>
      <c r="G7327" s="402" t="s">
        <v>3</v>
      </c>
      <c r="H7327" s="403">
        <v>273.06299999999999</v>
      </c>
      <c r="I7327" s="403">
        <v>0</v>
      </c>
      <c r="J7327" s="404">
        <v>0.72</v>
      </c>
      <c r="K7327" s="404">
        <v>196.60535999999999</v>
      </c>
    </row>
    <row r="7328" spans="1:11" ht="17.399999999999999" customHeight="1" x14ac:dyDescent="0.3">
      <c r="A7328" s="400" t="s">
        <v>1038</v>
      </c>
      <c r="B7328" s="401" t="s">
        <v>1481</v>
      </c>
      <c r="C7328" s="400" t="s">
        <v>395</v>
      </c>
      <c r="D7328" s="400" t="s">
        <v>271</v>
      </c>
      <c r="E7328" s="605" t="s">
        <v>1039</v>
      </c>
      <c r="F7328" s="605"/>
      <c r="G7328" s="402" t="s">
        <v>713</v>
      </c>
      <c r="H7328" s="403">
        <v>0.57920000000000005</v>
      </c>
      <c r="I7328" s="403">
        <v>0</v>
      </c>
      <c r="J7328" s="404">
        <v>137.72</v>
      </c>
      <c r="K7328" s="404">
        <v>79.767424000000005</v>
      </c>
    </row>
    <row r="7329" spans="1:11" ht="12.75" customHeight="1" x14ac:dyDescent="0.3">
      <c r="A7329" s="405"/>
      <c r="B7329" s="405"/>
      <c r="C7329" s="405"/>
      <c r="D7329" s="405"/>
      <c r="E7329" s="405" t="s">
        <v>1046</v>
      </c>
      <c r="F7329" s="406">
        <v>89.61</v>
      </c>
      <c r="G7329" s="405" t="s">
        <v>1047</v>
      </c>
      <c r="H7329" s="406">
        <v>0</v>
      </c>
      <c r="I7329" s="405" t="s">
        <v>1048</v>
      </c>
      <c r="J7329" s="406">
        <v>89.61</v>
      </c>
      <c r="K7329"/>
    </row>
    <row r="7330" spans="1:11" ht="15.6" thickBot="1" x14ac:dyDescent="0.35">
      <c r="A7330" s="405"/>
      <c r="B7330" s="405"/>
      <c r="C7330" s="405"/>
      <c r="D7330" s="405"/>
      <c r="E7330" s="405" t="s">
        <v>1049</v>
      </c>
      <c r="F7330" s="406">
        <v>0</v>
      </c>
      <c r="G7330" s="405"/>
      <c r="H7330" s="606"/>
      <c r="I7330" s="606" t="s">
        <v>1050</v>
      </c>
      <c r="J7330" s="406">
        <v>489.57</v>
      </c>
      <c r="K7330"/>
    </row>
    <row r="7331" spans="1:11" ht="15.6" thickTop="1" x14ac:dyDescent="0.3">
      <c r="A7331" s="407"/>
      <c r="B7331" s="407"/>
      <c r="C7331" s="407"/>
      <c r="D7331" s="407"/>
      <c r="E7331" s="407"/>
      <c r="F7331" s="407"/>
      <c r="G7331" s="407"/>
      <c r="H7331" s="407"/>
      <c r="I7331" s="407"/>
      <c r="J7331" s="407"/>
      <c r="K7331"/>
    </row>
    <row r="7332" spans="1:11" ht="14.25" customHeight="1" x14ac:dyDescent="0.3">
      <c r="A7332" s="382"/>
      <c r="B7332" s="312" t="s">
        <v>413</v>
      </c>
      <c r="C7332" s="382" t="s">
        <v>414</v>
      </c>
      <c r="D7332" s="382" t="s">
        <v>415</v>
      </c>
      <c r="E7332" s="586" t="s">
        <v>1029</v>
      </c>
      <c r="F7332" s="586"/>
      <c r="G7332" s="383" t="s">
        <v>416</v>
      </c>
      <c r="H7332" s="312" t="s">
        <v>1030</v>
      </c>
      <c r="I7332" s="312" t="s">
        <v>3016</v>
      </c>
      <c r="J7332" s="312" t="s">
        <v>1031</v>
      </c>
      <c r="K7332" s="312" t="s">
        <v>1032</v>
      </c>
    </row>
    <row r="7333" spans="1:11" ht="14.25" customHeight="1" x14ac:dyDescent="0.3">
      <c r="A7333" s="313" t="s">
        <v>1033</v>
      </c>
      <c r="B7333" s="315" t="s">
        <v>8081</v>
      </c>
      <c r="C7333" s="313" t="s">
        <v>395</v>
      </c>
      <c r="D7333" s="313" t="s">
        <v>8082</v>
      </c>
      <c r="E7333" s="603" t="s">
        <v>7773</v>
      </c>
      <c r="F7333" s="603"/>
      <c r="G7333" s="314" t="s">
        <v>713</v>
      </c>
      <c r="H7333" s="399">
        <v>1</v>
      </c>
      <c r="I7333" s="316"/>
      <c r="J7333" s="316">
        <v>534.45000000000005</v>
      </c>
      <c r="K7333" s="316">
        <v>534.45000000000005</v>
      </c>
    </row>
    <row r="7334" spans="1:11" ht="14.25" customHeight="1" x14ac:dyDescent="0.3">
      <c r="A7334" s="408" t="s">
        <v>1034</v>
      </c>
      <c r="B7334" s="409" t="s">
        <v>1290</v>
      </c>
      <c r="C7334" s="408" t="s">
        <v>395</v>
      </c>
      <c r="D7334" s="408" t="s">
        <v>147</v>
      </c>
      <c r="E7334" s="604" t="s">
        <v>7768</v>
      </c>
      <c r="F7334" s="604"/>
      <c r="G7334" s="410" t="s">
        <v>6</v>
      </c>
      <c r="H7334" s="412">
        <v>1.9792000000000001</v>
      </c>
      <c r="I7334" s="412">
        <v>0</v>
      </c>
      <c r="J7334" s="411">
        <v>32.82</v>
      </c>
      <c r="K7334" s="411">
        <v>64.957344000000006</v>
      </c>
    </row>
    <row r="7335" spans="1:11" ht="16.95" customHeight="1" x14ac:dyDescent="0.3">
      <c r="A7335" s="408" t="s">
        <v>1034</v>
      </c>
      <c r="B7335" s="409" t="s">
        <v>2280</v>
      </c>
      <c r="C7335" s="408" t="s">
        <v>395</v>
      </c>
      <c r="D7335" s="408" t="s">
        <v>151</v>
      </c>
      <c r="E7335" s="604" t="s">
        <v>7768</v>
      </c>
      <c r="F7335" s="604"/>
      <c r="G7335" s="410" t="s">
        <v>6</v>
      </c>
      <c r="H7335" s="412">
        <v>1.2501</v>
      </c>
      <c r="I7335" s="412">
        <v>0</v>
      </c>
      <c r="J7335" s="411">
        <v>34.119999999999997</v>
      </c>
      <c r="K7335" s="411">
        <v>42.653412000000003</v>
      </c>
    </row>
    <row r="7336" spans="1:11" ht="25.5" customHeight="1" x14ac:dyDescent="0.3">
      <c r="A7336" s="408" t="s">
        <v>1034</v>
      </c>
      <c r="B7336" s="409" t="s">
        <v>7955</v>
      </c>
      <c r="C7336" s="408" t="s">
        <v>395</v>
      </c>
      <c r="D7336" s="408" t="s">
        <v>7956</v>
      </c>
      <c r="E7336" s="604" t="s">
        <v>7772</v>
      </c>
      <c r="F7336" s="604"/>
      <c r="G7336" s="410" t="s">
        <v>15</v>
      </c>
      <c r="H7336" s="412">
        <v>0.64339999999999997</v>
      </c>
      <c r="I7336" s="412">
        <v>0</v>
      </c>
      <c r="J7336" s="411">
        <v>6.71</v>
      </c>
      <c r="K7336" s="411">
        <v>4.3172139999999999</v>
      </c>
    </row>
    <row r="7337" spans="1:11" ht="25.5" customHeight="1" x14ac:dyDescent="0.3">
      <c r="A7337" s="408" t="s">
        <v>1034</v>
      </c>
      <c r="B7337" s="409" t="s">
        <v>7957</v>
      </c>
      <c r="C7337" s="408" t="s">
        <v>395</v>
      </c>
      <c r="D7337" s="408" t="s">
        <v>7958</v>
      </c>
      <c r="E7337" s="604" t="s">
        <v>7772</v>
      </c>
      <c r="F7337" s="604"/>
      <c r="G7337" s="410" t="s">
        <v>19</v>
      </c>
      <c r="H7337" s="412">
        <v>0.60670000000000002</v>
      </c>
      <c r="I7337" s="412">
        <v>0</v>
      </c>
      <c r="J7337" s="411">
        <v>1.86</v>
      </c>
      <c r="K7337" s="411">
        <v>1.1284620000000001</v>
      </c>
    </row>
    <row r="7338" spans="1:11" ht="12.75" customHeight="1" x14ac:dyDescent="0.3">
      <c r="A7338" s="400" t="s">
        <v>1038</v>
      </c>
      <c r="B7338" s="401" t="s">
        <v>1303</v>
      </c>
      <c r="C7338" s="400" t="s">
        <v>395</v>
      </c>
      <c r="D7338" s="400" t="s">
        <v>239</v>
      </c>
      <c r="E7338" s="605" t="s">
        <v>1039</v>
      </c>
      <c r="F7338" s="605"/>
      <c r="G7338" s="402" t="s">
        <v>713</v>
      </c>
      <c r="H7338" s="403">
        <v>0.72750000000000004</v>
      </c>
      <c r="I7338" s="403">
        <v>0</v>
      </c>
      <c r="J7338" s="404">
        <v>105</v>
      </c>
      <c r="K7338" s="404">
        <v>76.387500000000003</v>
      </c>
    </row>
    <row r="7339" spans="1:11" ht="25.5" customHeight="1" x14ac:dyDescent="0.3">
      <c r="A7339" s="400" t="s">
        <v>1038</v>
      </c>
      <c r="B7339" s="401" t="s">
        <v>1304</v>
      </c>
      <c r="C7339" s="400" t="s">
        <v>395</v>
      </c>
      <c r="D7339" s="400" t="s">
        <v>251</v>
      </c>
      <c r="E7339" s="605" t="s">
        <v>1039</v>
      </c>
      <c r="F7339" s="605"/>
      <c r="G7339" s="402" t="s">
        <v>3</v>
      </c>
      <c r="H7339" s="403">
        <v>364.94330000000002</v>
      </c>
      <c r="I7339" s="403">
        <v>0</v>
      </c>
      <c r="J7339" s="404">
        <v>0.72</v>
      </c>
      <c r="K7339" s="404">
        <v>262.75917600000002</v>
      </c>
    </row>
    <row r="7340" spans="1:11" ht="25.5" customHeight="1" x14ac:dyDescent="0.3">
      <c r="A7340" s="400" t="s">
        <v>1038</v>
      </c>
      <c r="B7340" s="401" t="s">
        <v>1481</v>
      </c>
      <c r="C7340" s="400" t="s">
        <v>395</v>
      </c>
      <c r="D7340" s="400" t="s">
        <v>271</v>
      </c>
      <c r="E7340" s="605" t="s">
        <v>1039</v>
      </c>
      <c r="F7340" s="605"/>
      <c r="G7340" s="402" t="s">
        <v>713</v>
      </c>
      <c r="H7340" s="403">
        <v>0.59719999999999995</v>
      </c>
      <c r="I7340" s="403">
        <v>0</v>
      </c>
      <c r="J7340" s="404">
        <v>137.72</v>
      </c>
      <c r="K7340" s="404">
        <v>82.246384000000006</v>
      </c>
    </row>
    <row r="7341" spans="1:11" ht="15" x14ac:dyDescent="0.3">
      <c r="A7341" s="405"/>
      <c r="B7341" s="405"/>
      <c r="C7341" s="405"/>
      <c r="D7341" s="405"/>
      <c r="E7341" s="405" t="s">
        <v>1046</v>
      </c>
      <c r="F7341" s="406">
        <v>76.209999999999994</v>
      </c>
      <c r="G7341" s="405" t="s">
        <v>1047</v>
      </c>
      <c r="H7341" s="406">
        <v>0.01</v>
      </c>
      <c r="I7341" s="405" t="s">
        <v>1048</v>
      </c>
      <c r="J7341" s="406">
        <v>76.22</v>
      </c>
      <c r="K7341"/>
    </row>
    <row r="7342" spans="1:11" ht="14.25" customHeight="1" thickBot="1" x14ac:dyDescent="0.35">
      <c r="A7342" s="405"/>
      <c r="B7342" s="405"/>
      <c r="C7342" s="405"/>
      <c r="D7342" s="405"/>
      <c r="E7342" s="405" t="s">
        <v>1049</v>
      </c>
      <c r="F7342" s="406">
        <v>0</v>
      </c>
      <c r="G7342" s="405"/>
      <c r="H7342" s="606"/>
      <c r="I7342" s="606" t="s">
        <v>1050</v>
      </c>
      <c r="J7342" s="406">
        <v>534.45000000000005</v>
      </c>
      <c r="K7342"/>
    </row>
    <row r="7343" spans="1:11" ht="14.25" customHeight="1" thickTop="1" x14ac:dyDescent="0.3">
      <c r="A7343" s="407"/>
      <c r="B7343" s="407"/>
      <c r="C7343" s="407"/>
      <c r="D7343" s="407"/>
      <c r="E7343" s="407"/>
      <c r="F7343" s="407"/>
      <c r="G7343" s="407"/>
      <c r="H7343" s="407"/>
      <c r="I7343" s="407"/>
      <c r="J7343" s="407"/>
      <c r="K7343"/>
    </row>
    <row r="7344" spans="1:11" ht="15" x14ac:dyDescent="0.3">
      <c r="A7344" s="382"/>
      <c r="B7344" s="312" t="s">
        <v>413</v>
      </c>
      <c r="C7344" s="382" t="s">
        <v>414</v>
      </c>
      <c r="D7344" s="382" t="s">
        <v>415</v>
      </c>
      <c r="E7344" s="586" t="s">
        <v>1029</v>
      </c>
      <c r="F7344" s="586"/>
      <c r="G7344" s="383" t="s">
        <v>416</v>
      </c>
      <c r="H7344" s="312" t="s">
        <v>1030</v>
      </c>
      <c r="I7344" s="312" t="s">
        <v>3016</v>
      </c>
      <c r="J7344" s="312" t="s">
        <v>1031</v>
      </c>
      <c r="K7344" s="312" t="s">
        <v>1032</v>
      </c>
    </row>
    <row r="7345" spans="1:11" ht="26.4" x14ac:dyDescent="0.3">
      <c r="A7345" s="313" t="s">
        <v>1033</v>
      </c>
      <c r="B7345" s="315" t="s">
        <v>5134</v>
      </c>
      <c r="C7345" s="313" t="s">
        <v>395</v>
      </c>
      <c r="D7345" s="313" t="s">
        <v>5135</v>
      </c>
      <c r="E7345" s="603" t="s">
        <v>7773</v>
      </c>
      <c r="F7345" s="603"/>
      <c r="G7345" s="314" t="s">
        <v>713</v>
      </c>
      <c r="H7345" s="399">
        <v>1</v>
      </c>
      <c r="I7345" s="316"/>
      <c r="J7345" s="316">
        <v>535.80999999999995</v>
      </c>
      <c r="K7345" s="316">
        <v>535.80999999999995</v>
      </c>
    </row>
    <row r="7346" spans="1:11" ht="25.5" customHeight="1" x14ac:dyDescent="0.3">
      <c r="A7346" s="408" t="s">
        <v>1034</v>
      </c>
      <c r="B7346" s="409" t="s">
        <v>1290</v>
      </c>
      <c r="C7346" s="408" t="s">
        <v>395</v>
      </c>
      <c r="D7346" s="408" t="s">
        <v>147</v>
      </c>
      <c r="E7346" s="604" t="s">
        <v>7768</v>
      </c>
      <c r="F7346" s="604"/>
      <c r="G7346" s="410" t="s">
        <v>6</v>
      </c>
      <c r="H7346" s="412">
        <v>6.2858000000000001</v>
      </c>
      <c r="I7346" s="412">
        <v>0</v>
      </c>
      <c r="J7346" s="411">
        <v>32.82</v>
      </c>
      <c r="K7346" s="411">
        <v>206.29995600000001</v>
      </c>
    </row>
    <row r="7347" spans="1:11" ht="12.75" customHeight="1" x14ac:dyDescent="0.3">
      <c r="A7347" s="400" t="s">
        <v>1038</v>
      </c>
      <c r="B7347" s="401" t="s">
        <v>1303</v>
      </c>
      <c r="C7347" s="400" t="s">
        <v>395</v>
      </c>
      <c r="D7347" s="400" t="s">
        <v>239</v>
      </c>
      <c r="E7347" s="605" t="s">
        <v>1039</v>
      </c>
      <c r="F7347" s="605"/>
      <c r="G7347" s="402" t="s">
        <v>713</v>
      </c>
      <c r="H7347" s="403">
        <v>0.8538</v>
      </c>
      <c r="I7347" s="403">
        <v>0</v>
      </c>
      <c r="J7347" s="404">
        <v>105</v>
      </c>
      <c r="K7347" s="404">
        <v>89.649000000000001</v>
      </c>
    </row>
    <row r="7348" spans="1:11" ht="25.5" customHeight="1" x14ac:dyDescent="0.3">
      <c r="A7348" s="400" t="s">
        <v>1038</v>
      </c>
      <c r="B7348" s="401" t="s">
        <v>1304</v>
      </c>
      <c r="C7348" s="400" t="s">
        <v>395</v>
      </c>
      <c r="D7348" s="400" t="s">
        <v>251</v>
      </c>
      <c r="E7348" s="605" t="s">
        <v>1039</v>
      </c>
      <c r="F7348" s="605"/>
      <c r="G7348" s="402" t="s">
        <v>3</v>
      </c>
      <c r="H7348" s="403">
        <v>218.93</v>
      </c>
      <c r="I7348" s="403">
        <v>0</v>
      </c>
      <c r="J7348" s="404">
        <v>0.72</v>
      </c>
      <c r="K7348" s="404">
        <v>157.62960000000001</v>
      </c>
    </row>
    <row r="7349" spans="1:11" ht="25.5" customHeight="1" x14ac:dyDescent="0.3">
      <c r="A7349" s="400" t="s">
        <v>1038</v>
      </c>
      <c r="B7349" s="401" t="s">
        <v>1481</v>
      </c>
      <c r="C7349" s="400" t="s">
        <v>395</v>
      </c>
      <c r="D7349" s="400" t="s">
        <v>271</v>
      </c>
      <c r="E7349" s="605" t="s">
        <v>1039</v>
      </c>
      <c r="F7349" s="605"/>
      <c r="G7349" s="402" t="s">
        <v>713</v>
      </c>
      <c r="H7349" s="403">
        <v>0.59709999999999996</v>
      </c>
      <c r="I7349" s="403">
        <v>0</v>
      </c>
      <c r="J7349" s="404">
        <v>137.72</v>
      </c>
      <c r="K7349" s="404">
        <v>82.232612000000003</v>
      </c>
    </row>
    <row r="7350" spans="1:11" ht="25.5" customHeight="1" x14ac:dyDescent="0.3">
      <c r="A7350" s="405"/>
      <c r="B7350" s="405"/>
      <c r="C7350" s="405"/>
      <c r="D7350" s="405"/>
      <c r="E7350" s="405" t="s">
        <v>1046</v>
      </c>
      <c r="F7350" s="406">
        <v>142.12</v>
      </c>
      <c r="G7350" s="405" t="s">
        <v>1047</v>
      </c>
      <c r="H7350" s="406">
        <v>0</v>
      </c>
      <c r="I7350" s="405" t="s">
        <v>1048</v>
      </c>
      <c r="J7350" s="406">
        <v>142.12</v>
      </c>
      <c r="K7350"/>
    </row>
    <row r="7351" spans="1:11" ht="30" customHeight="1" thickBot="1" x14ac:dyDescent="0.35">
      <c r="A7351" s="405"/>
      <c r="B7351" s="405"/>
      <c r="C7351" s="405"/>
      <c r="D7351" s="405"/>
      <c r="E7351" s="405" t="s">
        <v>1049</v>
      </c>
      <c r="F7351" s="406">
        <v>0</v>
      </c>
      <c r="G7351" s="405"/>
      <c r="H7351" s="606"/>
      <c r="I7351" s="606" t="s">
        <v>1050</v>
      </c>
      <c r="J7351" s="406">
        <v>535.80999999999995</v>
      </c>
      <c r="K7351"/>
    </row>
    <row r="7352" spans="1:11" ht="14.25" customHeight="1" thickTop="1" x14ac:dyDescent="0.3">
      <c r="A7352" s="407"/>
      <c r="B7352" s="407"/>
      <c r="C7352" s="407"/>
      <c r="D7352" s="407"/>
      <c r="E7352" s="407"/>
      <c r="F7352" s="407"/>
      <c r="G7352" s="407"/>
      <c r="H7352" s="407"/>
      <c r="I7352" s="407"/>
      <c r="J7352" s="407"/>
      <c r="K7352"/>
    </row>
    <row r="7353" spans="1:11" ht="15" x14ac:dyDescent="0.3">
      <c r="A7353" s="382"/>
      <c r="B7353" s="312" t="s">
        <v>413</v>
      </c>
      <c r="C7353" s="382" t="s">
        <v>414</v>
      </c>
      <c r="D7353" s="382" t="s">
        <v>415</v>
      </c>
      <c r="E7353" s="586" t="s">
        <v>1029</v>
      </c>
      <c r="F7353" s="586"/>
      <c r="G7353" s="383" t="s">
        <v>416</v>
      </c>
      <c r="H7353" s="312" t="s">
        <v>1030</v>
      </c>
      <c r="I7353" s="312" t="s">
        <v>3016</v>
      </c>
      <c r="J7353" s="312" t="s">
        <v>1031</v>
      </c>
      <c r="K7353" s="312" t="s">
        <v>1032</v>
      </c>
    </row>
    <row r="7354" spans="1:11" ht="14.25" customHeight="1" x14ac:dyDescent="0.3">
      <c r="A7354" s="313" t="s">
        <v>1033</v>
      </c>
      <c r="B7354" s="315" t="s">
        <v>5195</v>
      </c>
      <c r="C7354" s="313" t="s">
        <v>395</v>
      </c>
      <c r="D7354" s="313" t="s">
        <v>5196</v>
      </c>
      <c r="E7354" s="603" t="s">
        <v>7773</v>
      </c>
      <c r="F7354" s="603"/>
      <c r="G7354" s="314" t="s">
        <v>713</v>
      </c>
      <c r="H7354" s="399">
        <v>1</v>
      </c>
      <c r="I7354" s="316"/>
      <c r="J7354" s="316">
        <v>441.61</v>
      </c>
      <c r="K7354" s="316">
        <v>441.61</v>
      </c>
    </row>
    <row r="7355" spans="1:11" ht="26.4" x14ac:dyDescent="0.3">
      <c r="A7355" s="408" t="s">
        <v>1034</v>
      </c>
      <c r="B7355" s="409" t="s">
        <v>1290</v>
      </c>
      <c r="C7355" s="408" t="s">
        <v>395</v>
      </c>
      <c r="D7355" s="408" t="s">
        <v>147</v>
      </c>
      <c r="E7355" s="604" t="s">
        <v>7768</v>
      </c>
      <c r="F7355" s="604"/>
      <c r="G7355" s="410" t="s">
        <v>6</v>
      </c>
      <c r="H7355" s="412">
        <v>2.1057999999999999</v>
      </c>
      <c r="I7355" s="412">
        <v>0</v>
      </c>
      <c r="J7355" s="411">
        <v>32.82</v>
      </c>
      <c r="K7355" s="411">
        <v>69.112356000000005</v>
      </c>
    </row>
    <row r="7356" spans="1:11" ht="12.75" customHeight="1" x14ac:dyDescent="0.3">
      <c r="A7356" s="408" t="s">
        <v>1034</v>
      </c>
      <c r="B7356" s="409" t="s">
        <v>2280</v>
      </c>
      <c r="C7356" s="408" t="s">
        <v>395</v>
      </c>
      <c r="D7356" s="408" t="s">
        <v>151</v>
      </c>
      <c r="E7356" s="604" t="s">
        <v>7768</v>
      </c>
      <c r="F7356" s="604"/>
      <c r="G7356" s="410" t="s">
        <v>6</v>
      </c>
      <c r="H7356" s="412">
        <v>1.3314999999999999</v>
      </c>
      <c r="I7356" s="412">
        <v>0</v>
      </c>
      <c r="J7356" s="411">
        <v>34.119999999999997</v>
      </c>
      <c r="K7356" s="411">
        <v>45.430779999999999</v>
      </c>
    </row>
    <row r="7357" spans="1:11" ht="30" customHeight="1" x14ac:dyDescent="0.3">
      <c r="A7357" s="408" t="s">
        <v>1034</v>
      </c>
      <c r="B7357" s="409" t="s">
        <v>7955</v>
      </c>
      <c r="C7357" s="408" t="s">
        <v>395</v>
      </c>
      <c r="D7357" s="408" t="s">
        <v>7956</v>
      </c>
      <c r="E7357" s="604" t="s">
        <v>7772</v>
      </c>
      <c r="F7357" s="604"/>
      <c r="G7357" s="410" t="s">
        <v>15</v>
      </c>
      <c r="H7357" s="412">
        <v>0.68530000000000002</v>
      </c>
      <c r="I7357" s="412">
        <v>0</v>
      </c>
      <c r="J7357" s="411">
        <v>6.71</v>
      </c>
      <c r="K7357" s="411">
        <v>4.598363</v>
      </c>
    </row>
    <row r="7358" spans="1:11" ht="25.5" customHeight="1" x14ac:dyDescent="0.3">
      <c r="A7358" s="408" t="s">
        <v>1034</v>
      </c>
      <c r="B7358" s="409" t="s">
        <v>7957</v>
      </c>
      <c r="C7358" s="408" t="s">
        <v>395</v>
      </c>
      <c r="D7358" s="408" t="s">
        <v>7958</v>
      </c>
      <c r="E7358" s="604" t="s">
        <v>7772</v>
      </c>
      <c r="F7358" s="604"/>
      <c r="G7358" s="410" t="s">
        <v>19</v>
      </c>
      <c r="H7358" s="412">
        <v>0.6462</v>
      </c>
      <c r="I7358" s="412">
        <v>0</v>
      </c>
      <c r="J7358" s="411">
        <v>1.86</v>
      </c>
      <c r="K7358" s="411">
        <v>1.201932</v>
      </c>
    </row>
    <row r="7359" spans="1:11" ht="25.5" customHeight="1" x14ac:dyDescent="0.3">
      <c r="A7359" s="400" t="s">
        <v>1038</v>
      </c>
      <c r="B7359" s="401" t="s">
        <v>1303</v>
      </c>
      <c r="C7359" s="400" t="s">
        <v>395</v>
      </c>
      <c r="D7359" s="400" t="s">
        <v>239</v>
      </c>
      <c r="E7359" s="605" t="s">
        <v>1039</v>
      </c>
      <c r="F7359" s="605"/>
      <c r="G7359" s="402" t="s">
        <v>713</v>
      </c>
      <c r="H7359" s="403">
        <v>0.83250000000000002</v>
      </c>
      <c r="I7359" s="403">
        <v>0</v>
      </c>
      <c r="J7359" s="404">
        <v>105</v>
      </c>
      <c r="K7359" s="404">
        <v>87.412499999999994</v>
      </c>
    </row>
    <row r="7360" spans="1:11" ht="25.5" customHeight="1" x14ac:dyDescent="0.3">
      <c r="A7360" s="400" t="s">
        <v>1038</v>
      </c>
      <c r="B7360" s="401" t="s">
        <v>1304</v>
      </c>
      <c r="C7360" s="400" t="s">
        <v>395</v>
      </c>
      <c r="D7360" s="400" t="s">
        <v>251</v>
      </c>
      <c r="E7360" s="605" t="s">
        <v>1039</v>
      </c>
      <c r="F7360" s="605"/>
      <c r="G7360" s="402" t="s">
        <v>3</v>
      </c>
      <c r="H7360" s="403">
        <v>213.45310000000001</v>
      </c>
      <c r="I7360" s="403">
        <v>0</v>
      </c>
      <c r="J7360" s="404">
        <v>0.72</v>
      </c>
      <c r="K7360" s="404">
        <v>153.68623199999999</v>
      </c>
    </row>
    <row r="7361" spans="1:11" ht="14.25" customHeight="1" x14ac:dyDescent="0.3">
      <c r="A7361" s="400" t="s">
        <v>1038</v>
      </c>
      <c r="B7361" s="401" t="s">
        <v>1481</v>
      </c>
      <c r="C7361" s="400" t="s">
        <v>395</v>
      </c>
      <c r="D7361" s="400" t="s">
        <v>271</v>
      </c>
      <c r="E7361" s="605" t="s">
        <v>1039</v>
      </c>
      <c r="F7361" s="605"/>
      <c r="G7361" s="402" t="s">
        <v>713</v>
      </c>
      <c r="H7361" s="403">
        <v>0.58209999999999995</v>
      </c>
      <c r="I7361" s="403">
        <v>0</v>
      </c>
      <c r="J7361" s="404">
        <v>137.72</v>
      </c>
      <c r="K7361" s="404">
        <v>80.166811999999993</v>
      </c>
    </row>
    <row r="7362" spans="1:11" ht="25.5" customHeight="1" x14ac:dyDescent="0.3">
      <c r="A7362" s="405"/>
      <c r="B7362" s="405"/>
      <c r="C7362" s="405"/>
      <c r="D7362" s="405"/>
      <c r="E7362" s="405" t="s">
        <v>1046</v>
      </c>
      <c r="F7362" s="406">
        <v>81.12</v>
      </c>
      <c r="G7362" s="405" t="s">
        <v>1047</v>
      </c>
      <c r="H7362" s="406">
        <v>0</v>
      </c>
      <c r="I7362" s="405" t="s">
        <v>1048</v>
      </c>
      <c r="J7362" s="406">
        <v>81.12</v>
      </c>
      <c r="K7362"/>
    </row>
    <row r="7363" spans="1:11" ht="25.5" customHeight="1" thickBot="1" x14ac:dyDescent="0.35">
      <c r="A7363" s="405"/>
      <c r="B7363" s="405"/>
      <c r="C7363" s="405"/>
      <c r="D7363" s="405"/>
      <c r="E7363" s="405" t="s">
        <v>1049</v>
      </c>
      <c r="F7363" s="406">
        <v>0</v>
      </c>
      <c r="G7363" s="405"/>
      <c r="H7363" s="606"/>
      <c r="I7363" s="606" t="s">
        <v>1050</v>
      </c>
      <c r="J7363" s="406">
        <v>441.61</v>
      </c>
      <c r="K7363"/>
    </row>
    <row r="7364" spans="1:11" ht="15.6" thickTop="1" x14ac:dyDescent="0.3">
      <c r="A7364" s="407"/>
      <c r="B7364" s="407"/>
      <c r="C7364" s="407"/>
      <c r="D7364" s="407"/>
      <c r="E7364" s="407"/>
      <c r="F7364" s="407"/>
      <c r="G7364" s="407"/>
      <c r="H7364" s="407"/>
      <c r="I7364" s="407"/>
      <c r="J7364" s="407"/>
      <c r="K7364"/>
    </row>
    <row r="7365" spans="1:11" ht="12.75" customHeight="1" x14ac:dyDescent="0.3">
      <c r="A7365" s="382"/>
      <c r="B7365" s="312" t="s">
        <v>413</v>
      </c>
      <c r="C7365" s="382" t="s">
        <v>414</v>
      </c>
      <c r="D7365" s="382" t="s">
        <v>415</v>
      </c>
      <c r="E7365" s="586" t="s">
        <v>1029</v>
      </c>
      <c r="F7365" s="586"/>
      <c r="G7365" s="383" t="s">
        <v>416</v>
      </c>
      <c r="H7365" s="312" t="s">
        <v>1030</v>
      </c>
      <c r="I7365" s="312" t="s">
        <v>3016</v>
      </c>
      <c r="J7365" s="312" t="s">
        <v>1031</v>
      </c>
      <c r="K7365" s="312" t="s">
        <v>1032</v>
      </c>
    </row>
    <row r="7366" spans="1:11" ht="17.399999999999999" customHeight="1" x14ac:dyDescent="0.3">
      <c r="A7366" s="313" t="s">
        <v>1033</v>
      </c>
      <c r="B7366" s="315" t="s">
        <v>5147</v>
      </c>
      <c r="C7366" s="313" t="s">
        <v>395</v>
      </c>
      <c r="D7366" s="313" t="s">
        <v>7785</v>
      </c>
      <c r="E7366" s="603" t="s">
        <v>7786</v>
      </c>
      <c r="F7366" s="603"/>
      <c r="G7366" s="314" t="s">
        <v>4</v>
      </c>
      <c r="H7366" s="399">
        <v>1</v>
      </c>
      <c r="I7366" s="316"/>
      <c r="J7366" s="316">
        <v>27.21</v>
      </c>
      <c r="K7366" s="316">
        <v>27.21</v>
      </c>
    </row>
    <row r="7367" spans="1:11" ht="26.4" x14ac:dyDescent="0.3">
      <c r="A7367" s="408" t="s">
        <v>1034</v>
      </c>
      <c r="B7367" s="409" t="s">
        <v>1035</v>
      </c>
      <c r="C7367" s="408" t="s">
        <v>395</v>
      </c>
      <c r="D7367" s="408" t="s">
        <v>128</v>
      </c>
      <c r="E7367" s="604" t="s">
        <v>7768</v>
      </c>
      <c r="F7367" s="604"/>
      <c r="G7367" s="410" t="s">
        <v>6</v>
      </c>
      <c r="H7367" s="412">
        <v>0.1121919</v>
      </c>
      <c r="I7367" s="412">
        <v>0</v>
      </c>
      <c r="J7367" s="411">
        <v>34.5</v>
      </c>
      <c r="K7367" s="411">
        <v>3.8706206000000001</v>
      </c>
    </row>
    <row r="7368" spans="1:11" ht="26.4" x14ac:dyDescent="0.3">
      <c r="A7368" s="408" t="s">
        <v>1034</v>
      </c>
      <c r="B7368" s="409" t="s">
        <v>1037</v>
      </c>
      <c r="C7368" s="408" t="s">
        <v>395</v>
      </c>
      <c r="D7368" s="408" t="s">
        <v>135</v>
      </c>
      <c r="E7368" s="604" t="s">
        <v>7768</v>
      </c>
      <c r="F7368" s="604"/>
      <c r="G7368" s="410" t="s">
        <v>6</v>
      </c>
      <c r="H7368" s="412">
        <v>0.22438369999999999</v>
      </c>
      <c r="I7368" s="412">
        <v>0</v>
      </c>
      <c r="J7368" s="411">
        <v>41.81</v>
      </c>
      <c r="K7368" s="411">
        <v>9.3814825000000006</v>
      </c>
    </row>
    <row r="7369" spans="1:11" ht="38.25" customHeight="1" x14ac:dyDescent="0.3">
      <c r="A7369" s="400" t="s">
        <v>1038</v>
      </c>
      <c r="B7369" s="401" t="s">
        <v>2289</v>
      </c>
      <c r="C7369" s="400" t="s">
        <v>395</v>
      </c>
      <c r="D7369" s="400" t="s">
        <v>242</v>
      </c>
      <c r="E7369" s="605" t="s">
        <v>1039</v>
      </c>
      <c r="F7369" s="605"/>
      <c r="G7369" s="402" t="s">
        <v>4</v>
      </c>
      <c r="H7369" s="403">
        <v>2</v>
      </c>
      <c r="I7369" s="403">
        <v>0</v>
      </c>
      <c r="J7369" s="404">
        <v>0.2</v>
      </c>
      <c r="K7369" s="404">
        <v>0.4</v>
      </c>
    </row>
    <row r="7370" spans="1:11" ht="14.25" customHeight="1" x14ac:dyDescent="0.3">
      <c r="A7370" s="400" t="s">
        <v>1038</v>
      </c>
      <c r="B7370" s="401" t="s">
        <v>4843</v>
      </c>
      <c r="C7370" s="400" t="s">
        <v>395</v>
      </c>
      <c r="D7370" s="400" t="s">
        <v>4844</v>
      </c>
      <c r="E7370" s="605" t="s">
        <v>1039</v>
      </c>
      <c r="F7370" s="605"/>
      <c r="G7370" s="402" t="s">
        <v>4</v>
      </c>
      <c r="H7370" s="403">
        <v>1</v>
      </c>
      <c r="I7370" s="403">
        <v>0</v>
      </c>
      <c r="J7370" s="404">
        <v>13.56</v>
      </c>
      <c r="K7370" s="404">
        <v>13.56</v>
      </c>
    </row>
    <row r="7371" spans="1:11" ht="25.5" customHeight="1" x14ac:dyDescent="0.3">
      <c r="A7371" s="405"/>
      <c r="B7371" s="405"/>
      <c r="C7371" s="405"/>
      <c r="D7371" s="405"/>
      <c r="E7371" s="405" t="s">
        <v>1046</v>
      </c>
      <c r="F7371" s="406">
        <v>9.7799999999999994</v>
      </c>
      <c r="G7371" s="405" t="s">
        <v>1047</v>
      </c>
      <c r="H7371" s="406">
        <v>0</v>
      </c>
      <c r="I7371" s="405" t="s">
        <v>1048</v>
      </c>
      <c r="J7371" s="406">
        <v>9.7799999999999994</v>
      </c>
      <c r="K7371"/>
    </row>
    <row r="7372" spans="1:11" ht="14.25" customHeight="1" thickBot="1" x14ac:dyDescent="0.35">
      <c r="A7372" s="405"/>
      <c r="B7372" s="405"/>
      <c r="C7372" s="405"/>
      <c r="D7372" s="405"/>
      <c r="E7372" s="405" t="s">
        <v>1049</v>
      </c>
      <c r="F7372" s="406">
        <v>0</v>
      </c>
      <c r="G7372" s="405"/>
      <c r="H7372" s="606"/>
      <c r="I7372" s="606" t="s">
        <v>1050</v>
      </c>
      <c r="J7372" s="406">
        <v>27.21</v>
      </c>
      <c r="K7372"/>
    </row>
    <row r="7373" spans="1:11" ht="15.6" thickTop="1" x14ac:dyDescent="0.3">
      <c r="A7373" s="407"/>
      <c r="B7373" s="407"/>
      <c r="C7373" s="407"/>
      <c r="D7373" s="407"/>
      <c r="E7373" s="407"/>
      <c r="F7373" s="407"/>
      <c r="G7373" s="407"/>
      <c r="H7373" s="407"/>
      <c r="I7373" s="407"/>
      <c r="J7373" s="407"/>
      <c r="K7373"/>
    </row>
    <row r="7374" spans="1:11" ht="12.75" customHeight="1" x14ac:dyDescent="0.3">
      <c r="A7374" s="382"/>
      <c r="B7374" s="312" t="s">
        <v>413</v>
      </c>
      <c r="C7374" s="382" t="s">
        <v>414</v>
      </c>
      <c r="D7374" s="382" t="s">
        <v>415</v>
      </c>
      <c r="E7374" s="586" t="s">
        <v>1029</v>
      </c>
      <c r="F7374" s="586"/>
      <c r="G7374" s="383" t="s">
        <v>416</v>
      </c>
      <c r="H7374" s="312" t="s">
        <v>1030</v>
      </c>
      <c r="I7374" s="312" t="s">
        <v>3016</v>
      </c>
      <c r="J7374" s="312" t="s">
        <v>1031</v>
      </c>
      <c r="K7374" s="312" t="s">
        <v>1032</v>
      </c>
    </row>
    <row r="7375" spans="1:11" ht="30" customHeight="1" x14ac:dyDescent="0.3">
      <c r="A7375" s="313" t="s">
        <v>1033</v>
      </c>
      <c r="B7375" s="315" t="s">
        <v>9636</v>
      </c>
      <c r="C7375" s="313" t="s">
        <v>395</v>
      </c>
      <c r="D7375" s="313" t="s">
        <v>9637</v>
      </c>
      <c r="E7375" s="603" t="s">
        <v>7772</v>
      </c>
      <c r="F7375" s="603"/>
      <c r="G7375" s="314" t="s">
        <v>19</v>
      </c>
      <c r="H7375" s="399">
        <v>1</v>
      </c>
      <c r="I7375" s="316"/>
      <c r="J7375" s="316">
        <v>0</v>
      </c>
      <c r="K7375" s="316">
        <v>0</v>
      </c>
    </row>
    <row r="7376" spans="1:11" ht="39.6" x14ac:dyDescent="0.3">
      <c r="A7376" s="408" t="s">
        <v>1034</v>
      </c>
      <c r="B7376" s="409" t="s">
        <v>9670</v>
      </c>
      <c r="C7376" s="408" t="s">
        <v>395</v>
      </c>
      <c r="D7376" s="408" t="s">
        <v>9671</v>
      </c>
      <c r="E7376" s="604" t="s">
        <v>7946</v>
      </c>
      <c r="F7376" s="604"/>
      <c r="G7376" s="410" t="s">
        <v>6</v>
      </c>
      <c r="H7376" s="412">
        <v>1</v>
      </c>
      <c r="I7376" s="412">
        <v>0</v>
      </c>
      <c r="J7376" s="411">
        <v>0</v>
      </c>
      <c r="K7376" s="411">
        <v>0</v>
      </c>
    </row>
    <row r="7377" spans="1:11" ht="38.25" customHeight="1" x14ac:dyDescent="0.3">
      <c r="A7377" s="408" t="s">
        <v>1034</v>
      </c>
      <c r="B7377" s="409" t="s">
        <v>9672</v>
      </c>
      <c r="C7377" s="408" t="s">
        <v>395</v>
      </c>
      <c r="D7377" s="408" t="s">
        <v>9673</v>
      </c>
      <c r="E7377" s="604" t="s">
        <v>7946</v>
      </c>
      <c r="F7377" s="604"/>
      <c r="G7377" s="410" t="s">
        <v>6</v>
      </c>
      <c r="H7377" s="412">
        <v>1</v>
      </c>
      <c r="I7377" s="412">
        <v>0</v>
      </c>
      <c r="J7377" s="411">
        <v>0</v>
      </c>
      <c r="K7377" s="411">
        <v>0</v>
      </c>
    </row>
    <row r="7378" spans="1:11" ht="38.25" customHeight="1" x14ac:dyDescent="0.3">
      <c r="A7378" s="405"/>
      <c r="B7378" s="405"/>
      <c r="C7378" s="405"/>
      <c r="D7378" s="405"/>
      <c r="E7378" s="405" t="s">
        <v>1046</v>
      </c>
      <c r="F7378" s="406">
        <v>0</v>
      </c>
      <c r="G7378" s="405" t="s">
        <v>1047</v>
      </c>
      <c r="H7378" s="406">
        <v>0</v>
      </c>
      <c r="I7378" s="405" t="s">
        <v>1048</v>
      </c>
      <c r="J7378" s="406">
        <v>0</v>
      </c>
      <c r="K7378"/>
    </row>
    <row r="7379" spans="1:11" ht="14.25" customHeight="1" thickBot="1" x14ac:dyDescent="0.35">
      <c r="A7379" s="405"/>
      <c r="B7379" s="405"/>
      <c r="C7379" s="405"/>
      <c r="D7379" s="405"/>
      <c r="E7379" s="405" t="s">
        <v>1049</v>
      </c>
      <c r="F7379" s="406">
        <v>0</v>
      </c>
      <c r="G7379" s="405"/>
      <c r="H7379" s="606"/>
      <c r="I7379" s="606" t="s">
        <v>1050</v>
      </c>
      <c r="J7379" s="406">
        <v>0</v>
      </c>
      <c r="K7379"/>
    </row>
    <row r="7380" spans="1:11" ht="25.5" customHeight="1" thickTop="1" x14ac:dyDescent="0.3">
      <c r="A7380" s="407"/>
      <c r="B7380" s="407"/>
      <c r="C7380" s="407"/>
      <c r="D7380" s="407"/>
      <c r="E7380" s="407"/>
      <c r="F7380" s="407"/>
      <c r="G7380" s="407"/>
      <c r="H7380" s="407"/>
      <c r="I7380" s="407"/>
      <c r="J7380" s="407"/>
      <c r="K7380"/>
    </row>
    <row r="7381" spans="1:11" ht="15" x14ac:dyDescent="0.3">
      <c r="A7381" s="382"/>
      <c r="B7381" s="312" t="s">
        <v>413</v>
      </c>
      <c r="C7381" s="382" t="s">
        <v>414</v>
      </c>
      <c r="D7381" s="382" t="s">
        <v>415</v>
      </c>
      <c r="E7381" s="586" t="s">
        <v>1029</v>
      </c>
      <c r="F7381" s="586"/>
      <c r="G7381" s="383" t="s">
        <v>416</v>
      </c>
      <c r="H7381" s="312" t="s">
        <v>1030</v>
      </c>
      <c r="I7381" s="312" t="s">
        <v>3016</v>
      </c>
      <c r="J7381" s="312" t="s">
        <v>1031</v>
      </c>
      <c r="K7381" s="312" t="s">
        <v>1032</v>
      </c>
    </row>
    <row r="7382" spans="1:11" ht="39.6" x14ac:dyDescent="0.3">
      <c r="A7382" s="313" t="s">
        <v>1033</v>
      </c>
      <c r="B7382" s="315" t="s">
        <v>9634</v>
      </c>
      <c r="C7382" s="313" t="s">
        <v>395</v>
      </c>
      <c r="D7382" s="313" t="s">
        <v>9635</v>
      </c>
      <c r="E7382" s="603" t="s">
        <v>7772</v>
      </c>
      <c r="F7382" s="603"/>
      <c r="G7382" s="314" t="s">
        <v>15</v>
      </c>
      <c r="H7382" s="399">
        <v>1</v>
      </c>
      <c r="I7382" s="316"/>
      <c r="J7382" s="316">
        <v>8.17</v>
      </c>
      <c r="K7382" s="316">
        <v>8.17</v>
      </c>
    </row>
    <row r="7383" spans="1:11" ht="12.75" customHeight="1" x14ac:dyDescent="0.3">
      <c r="A7383" s="408" t="s">
        <v>1034</v>
      </c>
      <c r="B7383" s="409" t="s">
        <v>9670</v>
      </c>
      <c r="C7383" s="408" t="s">
        <v>395</v>
      </c>
      <c r="D7383" s="408" t="s">
        <v>9671</v>
      </c>
      <c r="E7383" s="604" t="s">
        <v>7946</v>
      </c>
      <c r="F7383" s="604"/>
      <c r="G7383" s="410" t="s">
        <v>6</v>
      </c>
      <c r="H7383" s="412">
        <v>1</v>
      </c>
      <c r="I7383" s="412">
        <v>0</v>
      </c>
      <c r="J7383" s="411">
        <v>0</v>
      </c>
      <c r="K7383" s="411">
        <v>0</v>
      </c>
    </row>
    <row r="7384" spans="1:11" ht="17.399999999999999" customHeight="1" x14ac:dyDescent="0.3">
      <c r="A7384" s="408" t="s">
        <v>1034</v>
      </c>
      <c r="B7384" s="409" t="s">
        <v>9672</v>
      </c>
      <c r="C7384" s="408" t="s">
        <v>395</v>
      </c>
      <c r="D7384" s="408" t="s">
        <v>9673</v>
      </c>
      <c r="E7384" s="604" t="s">
        <v>7946</v>
      </c>
      <c r="F7384" s="604"/>
      <c r="G7384" s="410" t="s">
        <v>6</v>
      </c>
      <c r="H7384" s="412">
        <v>1</v>
      </c>
      <c r="I7384" s="412">
        <v>0</v>
      </c>
      <c r="J7384" s="411">
        <v>0</v>
      </c>
      <c r="K7384" s="411">
        <v>0</v>
      </c>
    </row>
    <row r="7385" spans="1:11" ht="39.6" x14ac:dyDescent="0.3">
      <c r="A7385" s="408" t="s">
        <v>1034</v>
      </c>
      <c r="B7385" s="409" t="s">
        <v>9674</v>
      </c>
      <c r="C7385" s="408" t="s">
        <v>395</v>
      </c>
      <c r="D7385" s="408" t="s">
        <v>9675</v>
      </c>
      <c r="E7385" s="604" t="s">
        <v>7946</v>
      </c>
      <c r="F7385" s="604"/>
      <c r="G7385" s="410" t="s">
        <v>6</v>
      </c>
      <c r="H7385" s="412">
        <v>1</v>
      </c>
      <c r="I7385" s="412">
        <v>0</v>
      </c>
      <c r="J7385" s="411">
        <v>0</v>
      </c>
      <c r="K7385" s="411">
        <v>0</v>
      </c>
    </row>
    <row r="7386" spans="1:11" ht="14.25" customHeight="1" x14ac:dyDescent="0.3">
      <c r="A7386" s="408" t="s">
        <v>1034</v>
      </c>
      <c r="B7386" s="409" t="s">
        <v>9676</v>
      </c>
      <c r="C7386" s="408" t="s">
        <v>395</v>
      </c>
      <c r="D7386" s="408" t="s">
        <v>9677</v>
      </c>
      <c r="E7386" s="604" t="s">
        <v>7946</v>
      </c>
      <c r="F7386" s="604"/>
      <c r="G7386" s="410" t="s">
        <v>6</v>
      </c>
      <c r="H7386" s="412">
        <v>1</v>
      </c>
      <c r="I7386" s="412">
        <v>0</v>
      </c>
      <c r="J7386" s="411">
        <v>8.17</v>
      </c>
      <c r="K7386" s="411">
        <v>8.17</v>
      </c>
    </row>
    <row r="7387" spans="1:11" ht="30" customHeight="1" x14ac:dyDescent="0.3">
      <c r="A7387" s="405"/>
      <c r="B7387" s="405"/>
      <c r="C7387" s="405"/>
      <c r="D7387" s="405"/>
      <c r="E7387" s="405" t="s">
        <v>1046</v>
      </c>
      <c r="F7387" s="406">
        <v>0</v>
      </c>
      <c r="G7387" s="405" t="s">
        <v>1047</v>
      </c>
      <c r="H7387" s="406">
        <v>0</v>
      </c>
      <c r="I7387" s="405" t="s">
        <v>1048</v>
      </c>
      <c r="J7387" s="406">
        <v>0</v>
      </c>
      <c r="K7387"/>
    </row>
    <row r="7388" spans="1:11" ht="14.25" customHeight="1" thickBot="1" x14ac:dyDescent="0.35">
      <c r="A7388" s="405"/>
      <c r="B7388" s="405"/>
      <c r="C7388" s="405"/>
      <c r="D7388" s="405"/>
      <c r="E7388" s="405" t="s">
        <v>1049</v>
      </c>
      <c r="F7388" s="406">
        <v>0</v>
      </c>
      <c r="G7388" s="405"/>
      <c r="H7388" s="606"/>
      <c r="I7388" s="606" t="s">
        <v>1050</v>
      </c>
      <c r="J7388" s="406">
        <v>8.17</v>
      </c>
      <c r="K7388"/>
    </row>
    <row r="7389" spans="1:11" ht="15.6" thickTop="1" x14ac:dyDescent="0.3">
      <c r="A7389" s="407"/>
      <c r="B7389" s="407"/>
      <c r="C7389" s="407"/>
      <c r="D7389" s="407"/>
      <c r="E7389" s="407"/>
      <c r="F7389" s="407"/>
      <c r="G7389" s="407"/>
      <c r="H7389" s="407"/>
      <c r="I7389" s="407"/>
      <c r="J7389" s="407"/>
      <c r="K7389"/>
    </row>
    <row r="7390" spans="1:11" ht="38.25" customHeight="1" x14ac:dyDescent="0.3">
      <c r="A7390" s="382"/>
      <c r="B7390" s="312" t="s">
        <v>413</v>
      </c>
      <c r="C7390" s="382" t="s">
        <v>414</v>
      </c>
      <c r="D7390" s="382" t="s">
        <v>415</v>
      </c>
      <c r="E7390" s="586" t="s">
        <v>1029</v>
      </c>
      <c r="F7390" s="586"/>
      <c r="G7390" s="383" t="s">
        <v>416</v>
      </c>
      <c r="H7390" s="312" t="s">
        <v>1030</v>
      </c>
      <c r="I7390" s="312" t="s">
        <v>3016</v>
      </c>
      <c r="J7390" s="312" t="s">
        <v>1031</v>
      </c>
      <c r="K7390" s="312" t="s">
        <v>1032</v>
      </c>
    </row>
    <row r="7391" spans="1:11" ht="25.5" customHeight="1" x14ac:dyDescent="0.3">
      <c r="A7391" s="313" t="s">
        <v>1033</v>
      </c>
      <c r="B7391" s="315" t="s">
        <v>9670</v>
      </c>
      <c r="C7391" s="313" t="s">
        <v>395</v>
      </c>
      <c r="D7391" s="313" t="s">
        <v>9671</v>
      </c>
      <c r="E7391" s="603" t="s">
        <v>7946</v>
      </c>
      <c r="F7391" s="603"/>
      <c r="G7391" s="314" t="s">
        <v>6</v>
      </c>
      <c r="H7391" s="399">
        <v>1</v>
      </c>
      <c r="I7391" s="316"/>
      <c r="J7391" s="316">
        <v>0</v>
      </c>
      <c r="K7391" s="316">
        <v>0</v>
      </c>
    </row>
    <row r="7392" spans="1:11" ht="12.75" customHeight="1" x14ac:dyDescent="0.3">
      <c r="A7392" s="400" t="s">
        <v>1038</v>
      </c>
      <c r="B7392" s="401" t="s">
        <v>9603</v>
      </c>
      <c r="C7392" s="400" t="s">
        <v>395</v>
      </c>
      <c r="D7392" s="400" t="s">
        <v>9604</v>
      </c>
      <c r="E7392" s="605" t="s">
        <v>1039</v>
      </c>
      <c r="F7392" s="605"/>
      <c r="G7392" s="402" t="s">
        <v>4</v>
      </c>
      <c r="H7392" s="403">
        <v>6.3999999999999997E-5</v>
      </c>
      <c r="I7392" s="403">
        <v>0</v>
      </c>
      <c r="J7392" s="404">
        <v>0</v>
      </c>
      <c r="K7392" s="404">
        <v>0</v>
      </c>
    </row>
    <row r="7393" spans="1:11" ht="30" customHeight="1" x14ac:dyDescent="0.3">
      <c r="A7393" s="400" t="s">
        <v>1038</v>
      </c>
      <c r="B7393" s="401" t="s">
        <v>9606</v>
      </c>
      <c r="C7393" s="400" t="s">
        <v>395</v>
      </c>
      <c r="D7393" s="400" t="s">
        <v>9607</v>
      </c>
      <c r="E7393" s="605" t="s">
        <v>1039</v>
      </c>
      <c r="F7393" s="605"/>
      <c r="G7393" s="402" t="s">
        <v>4</v>
      </c>
      <c r="H7393" s="403">
        <v>6.3999999999999997E-5</v>
      </c>
      <c r="I7393" s="403">
        <v>0</v>
      </c>
      <c r="J7393" s="404">
        <v>0</v>
      </c>
      <c r="K7393" s="404">
        <v>0</v>
      </c>
    </row>
    <row r="7394" spans="1:11" ht="14.25" customHeight="1" x14ac:dyDescent="0.3">
      <c r="A7394" s="405"/>
      <c r="B7394" s="405"/>
      <c r="C7394" s="405"/>
      <c r="D7394" s="405"/>
      <c r="E7394" s="405" t="s">
        <v>1046</v>
      </c>
      <c r="F7394" s="406">
        <v>0</v>
      </c>
      <c r="G7394" s="405" t="s">
        <v>1047</v>
      </c>
      <c r="H7394" s="406">
        <v>0</v>
      </c>
      <c r="I7394" s="405" t="s">
        <v>1048</v>
      </c>
      <c r="J7394" s="406">
        <v>0</v>
      </c>
      <c r="K7394"/>
    </row>
    <row r="7395" spans="1:11" ht="15.6" thickBot="1" x14ac:dyDescent="0.35">
      <c r="A7395" s="405"/>
      <c r="B7395" s="405"/>
      <c r="C7395" s="405"/>
      <c r="D7395" s="405"/>
      <c r="E7395" s="405" t="s">
        <v>1049</v>
      </c>
      <c r="F7395" s="406">
        <v>0</v>
      </c>
      <c r="G7395" s="405"/>
      <c r="H7395" s="606"/>
      <c r="I7395" s="606" t="s">
        <v>1050</v>
      </c>
      <c r="J7395" s="406">
        <v>0</v>
      </c>
      <c r="K7395"/>
    </row>
    <row r="7396" spans="1:11" ht="17.399999999999999" customHeight="1" thickTop="1" x14ac:dyDescent="0.3">
      <c r="A7396" s="407"/>
      <c r="B7396" s="407"/>
      <c r="C7396" s="407"/>
      <c r="D7396" s="407"/>
      <c r="E7396" s="407"/>
      <c r="F7396" s="407"/>
      <c r="G7396" s="407"/>
      <c r="H7396" s="407"/>
      <c r="I7396" s="407"/>
      <c r="J7396" s="407"/>
      <c r="K7396"/>
    </row>
    <row r="7397" spans="1:11" ht="14.25" customHeight="1" x14ac:dyDescent="0.3">
      <c r="A7397" s="382"/>
      <c r="B7397" s="312" t="s">
        <v>413</v>
      </c>
      <c r="C7397" s="382" t="s">
        <v>414</v>
      </c>
      <c r="D7397" s="382" t="s">
        <v>415</v>
      </c>
      <c r="E7397" s="586" t="s">
        <v>1029</v>
      </c>
      <c r="F7397" s="586"/>
      <c r="G7397" s="383" t="s">
        <v>416</v>
      </c>
      <c r="H7397" s="312" t="s">
        <v>1030</v>
      </c>
      <c r="I7397" s="312" t="s">
        <v>3016</v>
      </c>
      <c r="J7397" s="312" t="s">
        <v>1031</v>
      </c>
      <c r="K7397" s="312" t="s">
        <v>1032</v>
      </c>
    </row>
    <row r="7398" spans="1:11" ht="38.25" customHeight="1" x14ac:dyDescent="0.3">
      <c r="A7398" s="313" t="s">
        <v>1033</v>
      </c>
      <c r="B7398" s="315" t="s">
        <v>9672</v>
      </c>
      <c r="C7398" s="313" t="s">
        <v>395</v>
      </c>
      <c r="D7398" s="313" t="s">
        <v>9673</v>
      </c>
      <c r="E7398" s="603" t="s">
        <v>7946</v>
      </c>
      <c r="F7398" s="603"/>
      <c r="G7398" s="314" t="s">
        <v>6</v>
      </c>
      <c r="H7398" s="399">
        <v>1</v>
      </c>
      <c r="I7398" s="316"/>
      <c r="J7398" s="316">
        <v>0</v>
      </c>
      <c r="K7398" s="316">
        <v>0</v>
      </c>
    </row>
    <row r="7399" spans="1:11" ht="25.5" customHeight="1" x14ac:dyDescent="0.3">
      <c r="A7399" s="400" t="s">
        <v>1038</v>
      </c>
      <c r="B7399" s="401" t="s">
        <v>9603</v>
      </c>
      <c r="C7399" s="400" t="s">
        <v>395</v>
      </c>
      <c r="D7399" s="400" t="s">
        <v>9604</v>
      </c>
      <c r="E7399" s="605" t="s">
        <v>1039</v>
      </c>
      <c r="F7399" s="605"/>
      <c r="G7399" s="402" t="s">
        <v>4</v>
      </c>
      <c r="H7399" s="403">
        <v>1.4800000000000001E-5</v>
      </c>
      <c r="I7399" s="403">
        <v>0</v>
      </c>
      <c r="J7399" s="404">
        <v>0</v>
      </c>
      <c r="K7399" s="404">
        <v>0</v>
      </c>
    </row>
    <row r="7400" spans="1:11" ht="25.5" customHeight="1" x14ac:dyDescent="0.3">
      <c r="A7400" s="400" t="s">
        <v>1038</v>
      </c>
      <c r="B7400" s="401" t="s">
        <v>9606</v>
      </c>
      <c r="C7400" s="400" t="s">
        <v>395</v>
      </c>
      <c r="D7400" s="400" t="s">
        <v>9607</v>
      </c>
      <c r="E7400" s="605" t="s">
        <v>1039</v>
      </c>
      <c r="F7400" s="605"/>
      <c r="G7400" s="402" t="s">
        <v>4</v>
      </c>
      <c r="H7400" s="403">
        <v>1.4800000000000001E-5</v>
      </c>
      <c r="I7400" s="403">
        <v>0</v>
      </c>
      <c r="J7400" s="404">
        <v>0</v>
      </c>
      <c r="K7400" s="404">
        <v>0</v>
      </c>
    </row>
    <row r="7401" spans="1:11" ht="12.75" customHeight="1" x14ac:dyDescent="0.3">
      <c r="A7401" s="405"/>
      <c r="B7401" s="405"/>
      <c r="C7401" s="405"/>
      <c r="D7401" s="405"/>
      <c r="E7401" s="405" t="s">
        <v>1046</v>
      </c>
      <c r="F7401" s="406">
        <v>0</v>
      </c>
      <c r="G7401" s="405" t="s">
        <v>1047</v>
      </c>
      <c r="H7401" s="406">
        <v>0</v>
      </c>
      <c r="I7401" s="405" t="s">
        <v>1048</v>
      </c>
      <c r="J7401" s="406">
        <v>0</v>
      </c>
      <c r="K7401"/>
    </row>
    <row r="7402" spans="1:11" ht="38.25" customHeight="1" thickBot="1" x14ac:dyDescent="0.35">
      <c r="A7402" s="405"/>
      <c r="B7402" s="405"/>
      <c r="C7402" s="405"/>
      <c r="D7402" s="405"/>
      <c r="E7402" s="405" t="s">
        <v>1049</v>
      </c>
      <c r="F7402" s="406">
        <v>0</v>
      </c>
      <c r="G7402" s="405"/>
      <c r="H7402" s="606"/>
      <c r="I7402" s="606" t="s">
        <v>1050</v>
      </c>
      <c r="J7402" s="406">
        <v>0</v>
      </c>
      <c r="K7402"/>
    </row>
    <row r="7403" spans="1:11" ht="14.25" customHeight="1" thickTop="1" x14ac:dyDescent="0.3">
      <c r="A7403" s="407"/>
      <c r="B7403" s="407"/>
      <c r="C7403" s="407"/>
      <c r="D7403" s="407"/>
      <c r="E7403" s="407"/>
      <c r="F7403" s="407"/>
      <c r="G7403" s="407"/>
      <c r="H7403" s="407"/>
      <c r="I7403" s="407"/>
      <c r="J7403" s="407"/>
      <c r="K7403"/>
    </row>
    <row r="7404" spans="1:11" ht="25.5" customHeight="1" x14ac:dyDescent="0.3">
      <c r="A7404" s="382"/>
      <c r="B7404" s="312" t="s">
        <v>413</v>
      </c>
      <c r="C7404" s="382" t="s">
        <v>414</v>
      </c>
      <c r="D7404" s="382" t="s">
        <v>415</v>
      </c>
      <c r="E7404" s="586" t="s">
        <v>1029</v>
      </c>
      <c r="F7404" s="586"/>
      <c r="G7404" s="383" t="s">
        <v>416</v>
      </c>
      <c r="H7404" s="312" t="s">
        <v>1030</v>
      </c>
      <c r="I7404" s="312" t="s">
        <v>3016</v>
      </c>
      <c r="J7404" s="312" t="s">
        <v>1031</v>
      </c>
      <c r="K7404" s="312" t="s">
        <v>1032</v>
      </c>
    </row>
    <row r="7405" spans="1:11" ht="30" customHeight="1" x14ac:dyDescent="0.3">
      <c r="A7405" s="313" t="s">
        <v>1033</v>
      </c>
      <c r="B7405" s="315" t="s">
        <v>9674</v>
      </c>
      <c r="C7405" s="313" t="s">
        <v>395</v>
      </c>
      <c r="D7405" s="313" t="s">
        <v>9675</v>
      </c>
      <c r="E7405" s="603" t="s">
        <v>7946</v>
      </c>
      <c r="F7405" s="603"/>
      <c r="G7405" s="314" t="s">
        <v>6</v>
      </c>
      <c r="H7405" s="399">
        <v>1</v>
      </c>
      <c r="I7405" s="316"/>
      <c r="J7405" s="316">
        <v>0</v>
      </c>
      <c r="K7405" s="316">
        <v>0</v>
      </c>
    </row>
    <row r="7406" spans="1:11" ht="52.8" x14ac:dyDescent="0.3">
      <c r="A7406" s="400" t="s">
        <v>1038</v>
      </c>
      <c r="B7406" s="401" t="s">
        <v>9603</v>
      </c>
      <c r="C7406" s="400" t="s">
        <v>395</v>
      </c>
      <c r="D7406" s="400" t="s">
        <v>9604</v>
      </c>
      <c r="E7406" s="605" t="s">
        <v>1039</v>
      </c>
      <c r="F7406" s="605"/>
      <c r="G7406" s="402" t="s">
        <v>4</v>
      </c>
      <c r="H7406" s="403">
        <v>8.0000000000000007E-5</v>
      </c>
      <c r="I7406" s="403">
        <v>0</v>
      </c>
      <c r="J7406" s="404">
        <v>0</v>
      </c>
      <c r="K7406" s="404">
        <v>0</v>
      </c>
    </row>
    <row r="7407" spans="1:11" ht="14.25" customHeight="1" x14ac:dyDescent="0.3">
      <c r="A7407" s="400" t="s">
        <v>1038</v>
      </c>
      <c r="B7407" s="401" t="s">
        <v>9606</v>
      </c>
      <c r="C7407" s="400" t="s">
        <v>395</v>
      </c>
      <c r="D7407" s="400" t="s">
        <v>9607</v>
      </c>
      <c r="E7407" s="605" t="s">
        <v>1039</v>
      </c>
      <c r="F7407" s="605"/>
      <c r="G7407" s="402" t="s">
        <v>4</v>
      </c>
      <c r="H7407" s="403">
        <v>8.0000000000000007E-5</v>
      </c>
      <c r="I7407" s="403">
        <v>0</v>
      </c>
      <c r="J7407" s="404">
        <v>0</v>
      </c>
      <c r="K7407" s="404">
        <v>0</v>
      </c>
    </row>
    <row r="7408" spans="1:11" ht="25.5" customHeight="1" x14ac:dyDescent="0.3">
      <c r="A7408" s="405"/>
      <c r="B7408" s="405"/>
      <c r="C7408" s="405"/>
      <c r="D7408" s="405"/>
      <c r="E7408" s="405" t="s">
        <v>1046</v>
      </c>
      <c r="F7408" s="406">
        <v>0</v>
      </c>
      <c r="G7408" s="405" t="s">
        <v>1047</v>
      </c>
      <c r="H7408" s="406">
        <v>0</v>
      </c>
      <c r="I7408" s="405" t="s">
        <v>1048</v>
      </c>
      <c r="J7408" s="406">
        <v>0</v>
      </c>
      <c r="K7408"/>
    </row>
    <row r="7409" spans="1:11" ht="25.5" customHeight="1" thickBot="1" x14ac:dyDescent="0.35">
      <c r="A7409" s="405"/>
      <c r="B7409" s="405"/>
      <c r="C7409" s="405"/>
      <c r="D7409" s="405"/>
      <c r="E7409" s="405" t="s">
        <v>1049</v>
      </c>
      <c r="F7409" s="406">
        <v>0</v>
      </c>
      <c r="G7409" s="405"/>
      <c r="H7409" s="606"/>
      <c r="I7409" s="606" t="s">
        <v>1050</v>
      </c>
      <c r="J7409" s="406">
        <v>0</v>
      </c>
      <c r="K7409"/>
    </row>
    <row r="7410" spans="1:11" ht="12.75" customHeight="1" thickTop="1" x14ac:dyDescent="0.3">
      <c r="A7410" s="407"/>
      <c r="B7410" s="407"/>
      <c r="C7410" s="407"/>
      <c r="D7410" s="407"/>
      <c r="E7410" s="407"/>
      <c r="F7410" s="407"/>
      <c r="G7410" s="407"/>
      <c r="H7410" s="407"/>
      <c r="I7410" s="407"/>
      <c r="J7410" s="407"/>
      <c r="K7410"/>
    </row>
    <row r="7411" spans="1:11" ht="25.5" customHeight="1" x14ac:dyDescent="0.3">
      <c r="A7411" s="382"/>
      <c r="B7411" s="312" t="s">
        <v>413</v>
      </c>
      <c r="C7411" s="382" t="s">
        <v>414</v>
      </c>
      <c r="D7411" s="382" t="s">
        <v>415</v>
      </c>
      <c r="E7411" s="586" t="s">
        <v>1029</v>
      </c>
      <c r="F7411" s="586"/>
      <c r="G7411" s="383" t="s">
        <v>416</v>
      </c>
      <c r="H7411" s="312" t="s">
        <v>1030</v>
      </c>
      <c r="I7411" s="312" t="s">
        <v>3016</v>
      </c>
      <c r="J7411" s="312" t="s">
        <v>1031</v>
      </c>
      <c r="K7411" s="312" t="s">
        <v>1032</v>
      </c>
    </row>
    <row r="7412" spans="1:11" ht="14.25" customHeight="1" x14ac:dyDescent="0.3">
      <c r="A7412" s="313" t="s">
        <v>1033</v>
      </c>
      <c r="B7412" s="315" t="s">
        <v>9676</v>
      </c>
      <c r="C7412" s="313" t="s">
        <v>395</v>
      </c>
      <c r="D7412" s="313" t="s">
        <v>9677</v>
      </c>
      <c r="E7412" s="603" t="s">
        <v>7946</v>
      </c>
      <c r="F7412" s="603"/>
      <c r="G7412" s="314" t="s">
        <v>6</v>
      </c>
      <c r="H7412" s="399">
        <v>1</v>
      </c>
      <c r="I7412" s="316"/>
      <c r="J7412" s="316">
        <v>8.17</v>
      </c>
      <c r="K7412" s="316">
        <v>8.17</v>
      </c>
    </row>
    <row r="7413" spans="1:11" ht="15" x14ac:dyDescent="0.3">
      <c r="A7413" s="400" t="s">
        <v>1038</v>
      </c>
      <c r="B7413" s="401" t="s">
        <v>4620</v>
      </c>
      <c r="C7413" s="400" t="s">
        <v>395</v>
      </c>
      <c r="D7413" s="400" t="s">
        <v>4621</v>
      </c>
      <c r="E7413" s="605" t="s">
        <v>1039</v>
      </c>
      <c r="F7413" s="605"/>
      <c r="G7413" s="402" t="s">
        <v>4622</v>
      </c>
      <c r="H7413" s="403">
        <v>6.38</v>
      </c>
      <c r="I7413" s="403">
        <v>0</v>
      </c>
      <c r="J7413" s="404">
        <v>1.28</v>
      </c>
      <c r="K7413" s="404">
        <v>8.1663999999999994</v>
      </c>
    </row>
    <row r="7414" spans="1:11" ht="38.25" customHeight="1" x14ac:dyDescent="0.3">
      <c r="A7414" s="405"/>
      <c r="B7414" s="405"/>
      <c r="C7414" s="405"/>
      <c r="D7414" s="405"/>
      <c r="E7414" s="405" t="s">
        <v>1046</v>
      </c>
      <c r="F7414" s="406">
        <v>0</v>
      </c>
      <c r="G7414" s="405" t="s">
        <v>1047</v>
      </c>
      <c r="H7414" s="406">
        <v>0</v>
      </c>
      <c r="I7414" s="405" t="s">
        <v>1048</v>
      </c>
      <c r="J7414" s="406">
        <v>0</v>
      </c>
      <c r="K7414"/>
    </row>
    <row r="7415" spans="1:11" ht="25.5" customHeight="1" thickBot="1" x14ac:dyDescent="0.35">
      <c r="A7415" s="405"/>
      <c r="B7415" s="405"/>
      <c r="C7415" s="405"/>
      <c r="D7415" s="405"/>
      <c r="E7415" s="405" t="s">
        <v>1049</v>
      </c>
      <c r="F7415" s="406">
        <v>0</v>
      </c>
      <c r="G7415" s="405"/>
      <c r="H7415" s="606"/>
      <c r="I7415" s="606" t="s">
        <v>1050</v>
      </c>
      <c r="J7415" s="406">
        <v>8.17</v>
      </c>
      <c r="K7415"/>
    </row>
    <row r="7416" spans="1:11" ht="14.25" customHeight="1" thickTop="1" x14ac:dyDescent="0.3">
      <c r="A7416" s="407"/>
      <c r="B7416" s="407"/>
      <c r="C7416" s="407"/>
      <c r="D7416" s="407"/>
      <c r="E7416" s="407"/>
      <c r="F7416" s="407"/>
      <c r="G7416" s="407"/>
      <c r="H7416" s="407"/>
      <c r="I7416" s="407"/>
      <c r="J7416" s="407"/>
      <c r="K7416"/>
    </row>
    <row r="7417" spans="1:11" ht="25.5" customHeight="1" x14ac:dyDescent="0.3">
      <c r="A7417" s="382"/>
      <c r="B7417" s="312" t="s">
        <v>413</v>
      </c>
      <c r="C7417" s="382" t="s">
        <v>414</v>
      </c>
      <c r="D7417" s="382" t="s">
        <v>415</v>
      </c>
      <c r="E7417" s="586" t="s">
        <v>1029</v>
      </c>
      <c r="F7417" s="586"/>
      <c r="G7417" s="383" t="s">
        <v>416</v>
      </c>
      <c r="H7417" s="312" t="s">
        <v>1030</v>
      </c>
      <c r="I7417" s="312" t="s">
        <v>3016</v>
      </c>
      <c r="J7417" s="312" t="s">
        <v>1031</v>
      </c>
      <c r="K7417" s="312" t="s">
        <v>1032</v>
      </c>
    </row>
    <row r="7418" spans="1:11" ht="25.5" customHeight="1" x14ac:dyDescent="0.3">
      <c r="A7418" s="313" t="s">
        <v>1033</v>
      </c>
      <c r="B7418" s="315" t="s">
        <v>5244</v>
      </c>
      <c r="C7418" s="313" t="s">
        <v>395</v>
      </c>
      <c r="D7418" s="313" t="s">
        <v>5245</v>
      </c>
      <c r="E7418" s="603" t="s">
        <v>7772</v>
      </c>
      <c r="F7418" s="603"/>
      <c r="G7418" s="314" t="s">
        <v>19</v>
      </c>
      <c r="H7418" s="399">
        <v>1</v>
      </c>
      <c r="I7418" s="316"/>
      <c r="J7418" s="316">
        <v>0.55000000000000004</v>
      </c>
      <c r="K7418" s="316">
        <v>0.55000000000000004</v>
      </c>
    </row>
    <row r="7419" spans="1:11" ht="52.8" x14ac:dyDescent="0.3">
      <c r="A7419" s="408" t="s">
        <v>1034</v>
      </c>
      <c r="B7419" s="409" t="s">
        <v>8083</v>
      </c>
      <c r="C7419" s="408" t="s">
        <v>395</v>
      </c>
      <c r="D7419" s="408" t="s">
        <v>8084</v>
      </c>
      <c r="E7419" s="604" t="s">
        <v>7946</v>
      </c>
      <c r="F7419" s="604"/>
      <c r="G7419" s="410" t="s">
        <v>6</v>
      </c>
      <c r="H7419" s="412">
        <v>1</v>
      </c>
      <c r="I7419" s="412">
        <v>0</v>
      </c>
      <c r="J7419" s="411">
        <v>0.45</v>
      </c>
      <c r="K7419" s="411">
        <v>0.45</v>
      </c>
    </row>
    <row r="7420" spans="1:11" ht="25.5" customHeight="1" x14ac:dyDescent="0.3">
      <c r="A7420" s="408" t="s">
        <v>1034</v>
      </c>
      <c r="B7420" s="409" t="s">
        <v>8085</v>
      </c>
      <c r="C7420" s="408" t="s">
        <v>395</v>
      </c>
      <c r="D7420" s="408" t="s">
        <v>8086</v>
      </c>
      <c r="E7420" s="604" t="s">
        <v>7946</v>
      </c>
      <c r="F7420" s="604"/>
      <c r="G7420" s="410" t="s">
        <v>6</v>
      </c>
      <c r="H7420" s="412">
        <v>1</v>
      </c>
      <c r="I7420" s="412">
        <v>0</v>
      </c>
      <c r="J7420" s="411">
        <v>0.1</v>
      </c>
      <c r="K7420" s="411">
        <v>0.1</v>
      </c>
    </row>
    <row r="7421" spans="1:11" ht="15" x14ac:dyDescent="0.3">
      <c r="A7421" s="405"/>
      <c r="B7421" s="405"/>
      <c r="C7421" s="405"/>
      <c r="D7421" s="405"/>
      <c r="E7421" s="405" t="s">
        <v>1046</v>
      </c>
      <c r="F7421" s="406">
        <v>0</v>
      </c>
      <c r="G7421" s="405" t="s">
        <v>1047</v>
      </c>
      <c r="H7421" s="406">
        <v>0</v>
      </c>
      <c r="I7421" s="405" t="s">
        <v>1048</v>
      </c>
      <c r="J7421" s="406">
        <v>0</v>
      </c>
      <c r="K7421"/>
    </row>
    <row r="7422" spans="1:11" ht="14.25" customHeight="1" thickBot="1" x14ac:dyDescent="0.35">
      <c r="A7422" s="405"/>
      <c r="B7422" s="405"/>
      <c r="C7422" s="405"/>
      <c r="D7422" s="405"/>
      <c r="E7422" s="405" t="s">
        <v>1049</v>
      </c>
      <c r="F7422" s="406">
        <v>0</v>
      </c>
      <c r="G7422" s="405"/>
      <c r="H7422" s="606"/>
      <c r="I7422" s="606" t="s">
        <v>1050</v>
      </c>
      <c r="J7422" s="406">
        <v>0.55000000000000004</v>
      </c>
      <c r="K7422"/>
    </row>
    <row r="7423" spans="1:11" ht="14.25" customHeight="1" thickTop="1" x14ac:dyDescent="0.3">
      <c r="A7423" s="407"/>
      <c r="B7423" s="407"/>
      <c r="C7423" s="407"/>
      <c r="D7423" s="407"/>
      <c r="E7423" s="407"/>
      <c r="F7423" s="407"/>
      <c r="G7423" s="407"/>
      <c r="H7423" s="407"/>
      <c r="I7423" s="407"/>
      <c r="J7423" s="407"/>
      <c r="K7423"/>
    </row>
    <row r="7424" spans="1:11" ht="15" x14ac:dyDescent="0.3">
      <c r="A7424" s="382"/>
      <c r="B7424" s="312" t="s">
        <v>413</v>
      </c>
      <c r="C7424" s="382" t="s">
        <v>414</v>
      </c>
      <c r="D7424" s="382" t="s">
        <v>415</v>
      </c>
      <c r="E7424" s="586" t="s">
        <v>1029</v>
      </c>
      <c r="F7424" s="586"/>
      <c r="G7424" s="383" t="s">
        <v>416</v>
      </c>
      <c r="H7424" s="312" t="s">
        <v>1030</v>
      </c>
      <c r="I7424" s="312" t="s">
        <v>3016</v>
      </c>
      <c r="J7424" s="312" t="s">
        <v>1031</v>
      </c>
      <c r="K7424" s="312" t="s">
        <v>1032</v>
      </c>
    </row>
    <row r="7425" spans="1:11" ht="14.25" customHeight="1" x14ac:dyDescent="0.3">
      <c r="A7425" s="313" t="s">
        <v>1033</v>
      </c>
      <c r="B7425" s="315" t="s">
        <v>5242</v>
      </c>
      <c r="C7425" s="313" t="s">
        <v>395</v>
      </c>
      <c r="D7425" s="313" t="s">
        <v>5243</v>
      </c>
      <c r="E7425" s="603" t="s">
        <v>7772</v>
      </c>
      <c r="F7425" s="603"/>
      <c r="G7425" s="314" t="s">
        <v>15</v>
      </c>
      <c r="H7425" s="399">
        <v>1</v>
      </c>
      <c r="I7425" s="316"/>
      <c r="J7425" s="316">
        <v>10.72</v>
      </c>
      <c r="K7425" s="316">
        <v>10.72</v>
      </c>
    </row>
    <row r="7426" spans="1:11" ht="38.25" customHeight="1" x14ac:dyDescent="0.3">
      <c r="A7426" s="408" t="s">
        <v>1034</v>
      </c>
      <c r="B7426" s="409" t="s">
        <v>8083</v>
      </c>
      <c r="C7426" s="408" t="s">
        <v>395</v>
      </c>
      <c r="D7426" s="408" t="s">
        <v>8084</v>
      </c>
      <c r="E7426" s="604" t="s">
        <v>7946</v>
      </c>
      <c r="F7426" s="604"/>
      <c r="G7426" s="410" t="s">
        <v>6</v>
      </c>
      <c r="H7426" s="412">
        <v>1</v>
      </c>
      <c r="I7426" s="412">
        <v>0</v>
      </c>
      <c r="J7426" s="411">
        <v>0.45</v>
      </c>
      <c r="K7426" s="411">
        <v>0.45</v>
      </c>
    </row>
    <row r="7427" spans="1:11" ht="25.5" customHeight="1" x14ac:dyDescent="0.3">
      <c r="A7427" s="408" t="s">
        <v>1034</v>
      </c>
      <c r="B7427" s="409" t="s">
        <v>8085</v>
      </c>
      <c r="C7427" s="408" t="s">
        <v>395</v>
      </c>
      <c r="D7427" s="408" t="s">
        <v>8086</v>
      </c>
      <c r="E7427" s="604" t="s">
        <v>7946</v>
      </c>
      <c r="F7427" s="604"/>
      <c r="G7427" s="410" t="s">
        <v>6</v>
      </c>
      <c r="H7427" s="412">
        <v>1</v>
      </c>
      <c r="I7427" s="412">
        <v>0</v>
      </c>
      <c r="J7427" s="411">
        <v>0.1</v>
      </c>
      <c r="K7427" s="411">
        <v>0.1</v>
      </c>
    </row>
    <row r="7428" spans="1:11" ht="25.5" customHeight="1" x14ac:dyDescent="0.3">
      <c r="A7428" s="408" t="s">
        <v>1034</v>
      </c>
      <c r="B7428" s="409" t="s">
        <v>8087</v>
      </c>
      <c r="C7428" s="408" t="s">
        <v>395</v>
      </c>
      <c r="D7428" s="408" t="s">
        <v>8088</v>
      </c>
      <c r="E7428" s="604" t="s">
        <v>7946</v>
      </c>
      <c r="F7428" s="604"/>
      <c r="G7428" s="410" t="s">
        <v>6</v>
      </c>
      <c r="H7428" s="412">
        <v>1</v>
      </c>
      <c r="I7428" s="412">
        <v>0</v>
      </c>
      <c r="J7428" s="411">
        <v>0.56000000000000005</v>
      </c>
      <c r="K7428" s="411">
        <v>0.56000000000000005</v>
      </c>
    </row>
    <row r="7429" spans="1:11" ht="25.5" customHeight="1" x14ac:dyDescent="0.3">
      <c r="A7429" s="408" t="s">
        <v>1034</v>
      </c>
      <c r="B7429" s="409" t="s">
        <v>8089</v>
      </c>
      <c r="C7429" s="408" t="s">
        <v>395</v>
      </c>
      <c r="D7429" s="408" t="s">
        <v>8090</v>
      </c>
      <c r="E7429" s="604" t="s">
        <v>7946</v>
      </c>
      <c r="F7429" s="604"/>
      <c r="G7429" s="410" t="s">
        <v>6</v>
      </c>
      <c r="H7429" s="412">
        <v>1</v>
      </c>
      <c r="I7429" s="412">
        <v>0</v>
      </c>
      <c r="J7429" s="411">
        <v>9.61</v>
      </c>
      <c r="K7429" s="411">
        <v>9.61</v>
      </c>
    </row>
    <row r="7430" spans="1:11" ht="16.95" customHeight="1" x14ac:dyDescent="0.3">
      <c r="A7430" s="405"/>
      <c r="B7430" s="405"/>
      <c r="C7430" s="405"/>
      <c r="D7430" s="405"/>
      <c r="E7430" s="405" t="s">
        <v>1046</v>
      </c>
      <c r="F7430" s="406">
        <v>0</v>
      </c>
      <c r="G7430" s="405" t="s">
        <v>1047</v>
      </c>
      <c r="H7430" s="406">
        <v>0</v>
      </c>
      <c r="I7430" s="405" t="s">
        <v>1048</v>
      </c>
      <c r="J7430" s="406">
        <v>0</v>
      </c>
      <c r="K7430"/>
    </row>
    <row r="7431" spans="1:11" ht="15.6" thickBot="1" x14ac:dyDescent="0.35">
      <c r="A7431" s="405"/>
      <c r="B7431" s="405"/>
      <c r="C7431" s="405"/>
      <c r="D7431" s="405"/>
      <c r="E7431" s="405" t="s">
        <v>1049</v>
      </c>
      <c r="F7431" s="406">
        <v>0</v>
      </c>
      <c r="G7431" s="405"/>
      <c r="H7431" s="606"/>
      <c r="I7431" s="606" t="s">
        <v>1050</v>
      </c>
      <c r="J7431" s="406">
        <v>10.72</v>
      </c>
      <c r="K7431"/>
    </row>
    <row r="7432" spans="1:11" ht="15.6" thickTop="1" x14ac:dyDescent="0.3">
      <c r="A7432" s="407"/>
      <c r="B7432" s="407"/>
      <c r="C7432" s="407"/>
      <c r="D7432" s="407"/>
      <c r="E7432" s="407"/>
      <c r="F7432" s="407"/>
      <c r="G7432" s="407"/>
      <c r="H7432" s="407"/>
      <c r="I7432" s="407"/>
      <c r="J7432" s="407"/>
      <c r="K7432"/>
    </row>
    <row r="7433" spans="1:11" ht="16.95" customHeight="1" x14ac:dyDescent="0.3">
      <c r="A7433" s="382"/>
      <c r="B7433" s="312" t="s">
        <v>413</v>
      </c>
      <c r="C7433" s="382" t="s">
        <v>414</v>
      </c>
      <c r="D7433" s="382" t="s">
        <v>415</v>
      </c>
      <c r="E7433" s="586" t="s">
        <v>1029</v>
      </c>
      <c r="F7433" s="586"/>
      <c r="G7433" s="383" t="s">
        <v>416</v>
      </c>
      <c r="H7433" s="312" t="s">
        <v>1030</v>
      </c>
      <c r="I7433" s="312" t="s">
        <v>3016</v>
      </c>
      <c r="J7433" s="312" t="s">
        <v>1031</v>
      </c>
      <c r="K7433" s="312" t="s">
        <v>1032</v>
      </c>
    </row>
    <row r="7434" spans="1:11" ht="14.25" customHeight="1" x14ac:dyDescent="0.3">
      <c r="A7434" s="313" t="s">
        <v>1033</v>
      </c>
      <c r="B7434" s="315" t="s">
        <v>8083</v>
      </c>
      <c r="C7434" s="313" t="s">
        <v>395</v>
      </c>
      <c r="D7434" s="313" t="s">
        <v>8084</v>
      </c>
      <c r="E7434" s="603" t="s">
        <v>7946</v>
      </c>
      <c r="F7434" s="603"/>
      <c r="G7434" s="314" t="s">
        <v>6</v>
      </c>
      <c r="H7434" s="399">
        <v>1</v>
      </c>
      <c r="I7434" s="316"/>
      <c r="J7434" s="316">
        <v>0.45</v>
      </c>
      <c r="K7434" s="316">
        <v>0.45</v>
      </c>
    </row>
    <row r="7435" spans="1:11" ht="39.6" x14ac:dyDescent="0.3">
      <c r="A7435" s="400" t="s">
        <v>1038</v>
      </c>
      <c r="B7435" s="401" t="s">
        <v>5037</v>
      </c>
      <c r="C7435" s="400" t="s">
        <v>395</v>
      </c>
      <c r="D7435" s="400" t="s">
        <v>5038</v>
      </c>
      <c r="E7435" s="605" t="s">
        <v>1317</v>
      </c>
      <c r="F7435" s="605"/>
      <c r="G7435" s="402" t="s">
        <v>4</v>
      </c>
      <c r="H7435" s="403">
        <v>6.3999999999999997E-5</v>
      </c>
      <c r="I7435" s="403">
        <v>0</v>
      </c>
      <c r="J7435" s="404">
        <v>6743.59</v>
      </c>
      <c r="K7435" s="404">
        <v>0.43158980000000002</v>
      </c>
    </row>
    <row r="7436" spans="1:11" ht="16.95" customHeight="1" x14ac:dyDescent="0.3">
      <c r="A7436" s="400" t="s">
        <v>1038</v>
      </c>
      <c r="B7436" s="401" t="s">
        <v>5110</v>
      </c>
      <c r="C7436" s="400" t="s">
        <v>395</v>
      </c>
      <c r="D7436" s="400" t="s">
        <v>5111</v>
      </c>
      <c r="E7436" s="605" t="s">
        <v>1317</v>
      </c>
      <c r="F7436" s="605"/>
      <c r="G7436" s="402" t="s">
        <v>4</v>
      </c>
      <c r="H7436" s="403">
        <v>6.3999999999999997E-5</v>
      </c>
      <c r="I7436" s="403">
        <v>0</v>
      </c>
      <c r="J7436" s="404">
        <v>304.38</v>
      </c>
      <c r="K7436" s="404">
        <v>1.9480299999999999E-2</v>
      </c>
    </row>
    <row r="7437" spans="1:11" ht="16.95" customHeight="1" x14ac:dyDescent="0.3">
      <c r="A7437" s="405"/>
      <c r="B7437" s="405"/>
      <c r="C7437" s="405"/>
      <c r="D7437" s="405"/>
      <c r="E7437" s="405" t="s">
        <v>1046</v>
      </c>
      <c r="F7437" s="406">
        <v>0</v>
      </c>
      <c r="G7437" s="405" t="s">
        <v>1047</v>
      </c>
      <c r="H7437" s="406">
        <v>0</v>
      </c>
      <c r="I7437" s="405" t="s">
        <v>1048</v>
      </c>
      <c r="J7437" s="406">
        <v>0</v>
      </c>
      <c r="K7437"/>
    </row>
    <row r="7438" spans="1:11" ht="25.5" customHeight="1" thickBot="1" x14ac:dyDescent="0.35">
      <c r="A7438" s="405"/>
      <c r="B7438" s="405"/>
      <c r="C7438" s="405"/>
      <c r="D7438" s="405"/>
      <c r="E7438" s="405" t="s">
        <v>1049</v>
      </c>
      <c r="F7438" s="406">
        <v>0</v>
      </c>
      <c r="G7438" s="405"/>
      <c r="H7438" s="606"/>
      <c r="I7438" s="606" t="s">
        <v>1050</v>
      </c>
      <c r="J7438" s="406">
        <v>0.45</v>
      </c>
      <c r="K7438"/>
    </row>
    <row r="7439" spans="1:11" ht="25.5" customHeight="1" thickTop="1" x14ac:dyDescent="0.3">
      <c r="A7439" s="407"/>
      <c r="B7439" s="407"/>
      <c r="C7439" s="407"/>
      <c r="D7439" s="407"/>
      <c r="E7439" s="407"/>
      <c r="F7439" s="407"/>
      <c r="G7439" s="407"/>
      <c r="H7439" s="407"/>
      <c r="I7439" s="407"/>
      <c r="J7439" s="407"/>
      <c r="K7439"/>
    </row>
    <row r="7440" spans="1:11" ht="25.5" customHeight="1" x14ac:dyDescent="0.3">
      <c r="A7440" s="382"/>
      <c r="B7440" s="312" t="s">
        <v>413</v>
      </c>
      <c r="C7440" s="382" t="s">
        <v>414</v>
      </c>
      <c r="D7440" s="382" t="s">
        <v>415</v>
      </c>
      <c r="E7440" s="586" t="s">
        <v>1029</v>
      </c>
      <c r="F7440" s="586"/>
      <c r="G7440" s="383" t="s">
        <v>416</v>
      </c>
      <c r="H7440" s="312" t="s">
        <v>1030</v>
      </c>
      <c r="I7440" s="312" t="s">
        <v>3016</v>
      </c>
      <c r="J7440" s="312" t="s">
        <v>1031</v>
      </c>
      <c r="K7440" s="312" t="s">
        <v>1032</v>
      </c>
    </row>
    <row r="7441" spans="1:11" ht="52.8" x14ac:dyDescent="0.3">
      <c r="A7441" s="313" t="s">
        <v>1033</v>
      </c>
      <c r="B7441" s="315" t="s">
        <v>8085</v>
      </c>
      <c r="C7441" s="313" t="s">
        <v>395</v>
      </c>
      <c r="D7441" s="313" t="s">
        <v>8086</v>
      </c>
      <c r="E7441" s="603" t="s">
        <v>7946</v>
      </c>
      <c r="F7441" s="603"/>
      <c r="G7441" s="314" t="s">
        <v>6</v>
      </c>
      <c r="H7441" s="399">
        <v>1</v>
      </c>
      <c r="I7441" s="316"/>
      <c r="J7441" s="316">
        <v>0.1</v>
      </c>
      <c r="K7441" s="316">
        <v>0.1</v>
      </c>
    </row>
    <row r="7442" spans="1:11" ht="39.6" x14ac:dyDescent="0.3">
      <c r="A7442" s="400" t="s">
        <v>1038</v>
      </c>
      <c r="B7442" s="401" t="s">
        <v>5037</v>
      </c>
      <c r="C7442" s="400" t="s">
        <v>395</v>
      </c>
      <c r="D7442" s="400" t="s">
        <v>5038</v>
      </c>
      <c r="E7442" s="605" t="s">
        <v>1317</v>
      </c>
      <c r="F7442" s="605"/>
      <c r="G7442" s="402" t="s">
        <v>4</v>
      </c>
      <c r="H7442" s="403">
        <v>1.4800000000000001E-5</v>
      </c>
      <c r="I7442" s="403">
        <v>0</v>
      </c>
      <c r="J7442" s="404">
        <v>6743.59</v>
      </c>
      <c r="K7442" s="404">
        <v>9.9805099999999994E-2</v>
      </c>
    </row>
    <row r="7443" spans="1:11" ht="14.25" customHeight="1" x14ac:dyDescent="0.3">
      <c r="A7443" s="405"/>
      <c r="B7443" s="405"/>
      <c r="C7443" s="405"/>
      <c r="D7443" s="405"/>
      <c r="E7443" s="405" t="s">
        <v>1046</v>
      </c>
      <c r="F7443" s="406">
        <v>0</v>
      </c>
      <c r="G7443" s="405" t="s">
        <v>1047</v>
      </c>
      <c r="H7443" s="406">
        <v>0</v>
      </c>
      <c r="I7443" s="405" t="s">
        <v>1048</v>
      </c>
      <c r="J7443" s="406">
        <v>0</v>
      </c>
      <c r="K7443"/>
    </row>
    <row r="7444" spans="1:11" ht="15.6" thickBot="1" x14ac:dyDescent="0.35">
      <c r="A7444" s="405"/>
      <c r="B7444" s="405"/>
      <c r="C7444" s="405"/>
      <c r="D7444" s="405"/>
      <c r="E7444" s="405" t="s">
        <v>1049</v>
      </c>
      <c r="F7444" s="406">
        <v>0</v>
      </c>
      <c r="G7444" s="405"/>
      <c r="H7444" s="606"/>
      <c r="I7444" s="606" t="s">
        <v>1050</v>
      </c>
      <c r="J7444" s="406">
        <v>0.1</v>
      </c>
      <c r="K7444"/>
    </row>
    <row r="7445" spans="1:11" ht="14.25" customHeight="1" thickTop="1" x14ac:dyDescent="0.3">
      <c r="A7445" s="407"/>
      <c r="B7445" s="407"/>
      <c r="C7445" s="407"/>
      <c r="D7445" s="407"/>
      <c r="E7445" s="407"/>
      <c r="F7445" s="407"/>
      <c r="G7445" s="407"/>
      <c r="H7445" s="407"/>
      <c r="I7445" s="407"/>
      <c r="J7445" s="407"/>
      <c r="K7445"/>
    </row>
    <row r="7446" spans="1:11" ht="14.25" customHeight="1" x14ac:dyDescent="0.3">
      <c r="A7446" s="382"/>
      <c r="B7446" s="312" t="s">
        <v>413</v>
      </c>
      <c r="C7446" s="382" t="s">
        <v>414</v>
      </c>
      <c r="D7446" s="382" t="s">
        <v>415</v>
      </c>
      <c r="E7446" s="586" t="s">
        <v>1029</v>
      </c>
      <c r="F7446" s="586"/>
      <c r="G7446" s="383" t="s">
        <v>416</v>
      </c>
      <c r="H7446" s="312" t="s">
        <v>1030</v>
      </c>
      <c r="I7446" s="312" t="s">
        <v>3016</v>
      </c>
      <c r="J7446" s="312" t="s">
        <v>1031</v>
      </c>
      <c r="K7446" s="312" t="s">
        <v>1032</v>
      </c>
    </row>
    <row r="7447" spans="1:11" ht="12.75" customHeight="1" x14ac:dyDescent="0.3">
      <c r="A7447" s="313" t="s">
        <v>1033</v>
      </c>
      <c r="B7447" s="315" t="s">
        <v>8087</v>
      </c>
      <c r="C7447" s="313" t="s">
        <v>395</v>
      </c>
      <c r="D7447" s="313" t="s">
        <v>8088</v>
      </c>
      <c r="E7447" s="603" t="s">
        <v>7946</v>
      </c>
      <c r="F7447" s="603"/>
      <c r="G7447" s="314" t="s">
        <v>6</v>
      </c>
      <c r="H7447" s="399">
        <v>1</v>
      </c>
      <c r="I7447" s="316"/>
      <c r="J7447" s="316">
        <v>0.56000000000000005</v>
      </c>
      <c r="K7447" s="316">
        <v>0.56000000000000005</v>
      </c>
    </row>
    <row r="7448" spans="1:11" ht="25.5" customHeight="1" x14ac:dyDescent="0.3">
      <c r="A7448" s="400" t="s">
        <v>1038</v>
      </c>
      <c r="B7448" s="401" t="s">
        <v>5037</v>
      </c>
      <c r="C7448" s="400" t="s">
        <v>395</v>
      </c>
      <c r="D7448" s="400" t="s">
        <v>5038</v>
      </c>
      <c r="E7448" s="605" t="s">
        <v>1317</v>
      </c>
      <c r="F7448" s="605"/>
      <c r="G7448" s="402" t="s">
        <v>4</v>
      </c>
      <c r="H7448" s="403">
        <v>8.0000000000000007E-5</v>
      </c>
      <c r="I7448" s="403">
        <v>0</v>
      </c>
      <c r="J7448" s="404">
        <v>6743.59</v>
      </c>
      <c r="K7448" s="404">
        <v>0.53948719999999994</v>
      </c>
    </row>
    <row r="7449" spans="1:11" ht="25.5" customHeight="1" x14ac:dyDescent="0.3">
      <c r="A7449" s="400" t="s">
        <v>1038</v>
      </c>
      <c r="B7449" s="401" t="s">
        <v>5110</v>
      </c>
      <c r="C7449" s="400" t="s">
        <v>395</v>
      </c>
      <c r="D7449" s="400" t="s">
        <v>5111</v>
      </c>
      <c r="E7449" s="605" t="s">
        <v>1317</v>
      </c>
      <c r="F7449" s="605"/>
      <c r="G7449" s="402" t="s">
        <v>4</v>
      </c>
      <c r="H7449" s="403">
        <v>8.0000000000000007E-5</v>
      </c>
      <c r="I7449" s="403">
        <v>0</v>
      </c>
      <c r="J7449" s="404">
        <v>304.38</v>
      </c>
      <c r="K7449" s="404">
        <v>2.4350400000000001E-2</v>
      </c>
    </row>
    <row r="7450" spans="1:11" ht="38.25" customHeight="1" x14ac:dyDescent="0.3">
      <c r="A7450" s="405"/>
      <c r="B7450" s="405"/>
      <c r="C7450" s="405"/>
      <c r="D7450" s="405"/>
      <c r="E7450" s="405" t="s">
        <v>1046</v>
      </c>
      <c r="F7450" s="406">
        <v>0</v>
      </c>
      <c r="G7450" s="405" t="s">
        <v>1047</v>
      </c>
      <c r="H7450" s="406">
        <v>0</v>
      </c>
      <c r="I7450" s="405" t="s">
        <v>1048</v>
      </c>
      <c r="J7450" s="406">
        <v>0</v>
      </c>
      <c r="K7450"/>
    </row>
    <row r="7451" spans="1:11" ht="14.25" customHeight="1" thickBot="1" x14ac:dyDescent="0.35">
      <c r="A7451" s="405"/>
      <c r="B7451" s="405"/>
      <c r="C7451" s="405"/>
      <c r="D7451" s="405"/>
      <c r="E7451" s="405" t="s">
        <v>1049</v>
      </c>
      <c r="F7451" s="406">
        <v>0</v>
      </c>
      <c r="G7451" s="405"/>
      <c r="H7451" s="606"/>
      <c r="I7451" s="606" t="s">
        <v>1050</v>
      </c>
      <c r="J7451" s="406">
        <v>0.56000000000000005</v>
      </c>
      <c r="K7451"/>
    </row>
    <row r="7452" spans="1:11" ht="25.5" customHeight="1" thickTop="1" x14ac:dyDescent="0.3">
      <c r="A7452" s="407"/>
      <c r="B7452" s="407"/>
      <c r="C7452" s="407"/>
      <c r="D7452" s="407"/>
      <c r="E7452" s="407"/>
      <c r="F7452" s="407"/>
      <c r="G7452" s="407"/>
      <c r="H7452" s="407"/>
      <c r="I7452" s="407"/>
      <c r="J7452" s="407"/>
      <c r="K7452"/>
    </row>
    <row r="7453" spans="1:11" ht="15" x14ac:dyDescent="0.3">
      <c r="A7453" s="382"/>
      <c r="B7453" s="312" t="s">
        <v>413</v>
      </c>
      <c r="C7453" s="382" t="s">
        <v>414</v>
      </c>
      <c r="D7453" s="382" t="s">
        <v>415</v>
      </c>
      <c r="E7453" s="586" t="s">
        <v>1029</v>
      </c>
      <c r="F7453" s="586"/>
      <c r="G7453" s="383" t="s">
        <v>416</v>
      </c>
      <c r="H7453" s="312" t="s">
        <v>1030</v>
      </c>
      <c r="I7453" s="312" t="s">
        <v>3016</v>
      </c>
      <c r="J7453" s="312" t="s">
        <v>1031</v>
      </c>
      <c r="K7453" s="312" t="s">
        <v>1032</v>
      </c>
    </row>
    <row r="7454" spans="1:11" ht="52.8" x14ac:dyDescent="0.3">
      <c r="A7454" s="313" t="s">
        <v>1033</v>
      </c>
      <c r="B7454" s="315" t="s">
        <v>8089</v>
      </c>
      <c r="C7454" s="313" t="s">
        <v>395</v>
      </c>
      <c r="D7454" s="313" t="s">
        <v>8090</v>
      </c>
      <c r="E7454" s="603" t="s">
        <v>7946</v>
      </c>
      <c r="F7454" s="603"/>
      <c r="G7454" s="314" t="s">
        <v>6</v>
      </c>
      <c r="H7454" s="399">
        <v>1</v>
      </c>
      <c r="I7454" s="316"/>
      <c r="J7454" s="316">
        <v>9.61</v>
      </c>
      <c r="K7454" s="316">
        <v>9.61</v>
      </c>
    </row>
    <row r="7455" spans="1:11" ht="12.75" customHeight="1" x14ac:dyDescent="0.3">
      <c r="A7455" s="400" t="s">
        <v>1038</v>
      </c>
      <c r="B7455" s="401" t="s">
        <v>4741</v>
      </c>
      <c r="C7455" s="400" t="s">
        <v>395</v>
      </c>
      <c r="D7455" s="400" t="s">
        <v>4742</v>
      </c>
      <c r="E7455" s="605" t="s">
        <v>1039</v>
      </c>
      <c r="F7455" s="605"/>
      <c r="G7455" s="402" t="s">
        <v>8</v>
      </c>
      <c r="H7455" s="403">
        <v>1.45</v>
      </c>
      <c r="I7455" s="403">
        <v>0</v>
      </c>
      <c r="J7455" s="404">
        <v>6.63</v>
      </c>
      <c r="K7455" s="404">
        <v>9.6135000000000002</v>
      </c>
    </row>
    <row r="7456" spans="1:11" ht="25.5" customHeight="1" x14ac:dyDescent="0.3">
      <c r="A7456" s="405"/>
      <c r="B7456" s="405"/>
      <c r="C7456" s="405"/>
      <c r="D7456" s="405"/>
      <c r="E7456" s="405" t="s">
        <v>1046</v>
      </c>
      <c r="F7456" s="406">
        <v>0</v>
      </c>
      <c r="G7456" s="405" t="s">
        <v>1047</v>
      </c>
      <c r="H7456" s="406">
        <v>0</v>
      </c>
      <c r="I7456" s="405" t="s">
        <v>1048</v>
      </c>
      <c r="J7456" s="406">
        <v>0</v>
      </c>
      <c r="K7456"/>
    </row>
    <row r="7457" spans="1:11" ht="15.6" thickBot="1" x14ac:dyDescent="0.35">
      <c r="A7457" s="405"/>
      <c r="B7457" s="405"/>
      <c r="C7457" s="405"/>
      <c r="D7457" s="405"/>
      <c r="E7457" s="405" t="s">
        <v>1049</v>
      </c>
      <c r="F7457" s="406">
        <v>0</v>
      </c>
      <c r="G7457" s="405"/>
      <c r="H7457" s="606"/>
      <c r="I7457" s="606" t="s">
        <v>1050</v>
      </c>
      <c r="J7457" s="406">
        <v>9.61</v>
      </c>
      <c r="K7457"/>
    </row>
    <row r="7458" spans="1:11" ht="14.25" customHeight="1" thickTop="1" x14ac:dyDescent="0.3">
      <c r="A7458" s="407"/>
      <c r="B7458" s="407"/>
      <c r="C7458" s="407"/>
      <c r="D7458" s="407"/>
      <c r="E7458" s="407"/>
      <c r="F7458" s="407"/>
      <c r="G7458" s="407"/>
      <c r="H7458" s="407"/>
      <c r="I7458" s="407"/>
      <c r="J7458" s="407"/>
      <c r="K7458"/>
    </row>
    <row r="7459" spans="1:11" ht="14.25" customHeight="1" x14ac:dyDescent="0.3">
      <c r="A7459" s="382"/>
      <c r="B7459" s="312" t="s">
        <v>413</v>
      </c>
      <c r="C7459" s="382" t="s">
        <v>414</v>
      </c>
      <c r="D7459" s="382" t="s">
        <v>415</v>
      </c>
      <c r="E7459" s="586" t="s">
        <v>1029</v>
      </c>
      <c r="F7459" s="586"/>
      <c r="G7459" s="383" t="s">
        <v>416</v>
      </c>
      <c r="H7459" s="312" t="s">
        <v>1030</v>
      </c>
      <c r="I7459" s="312" t="s">
        <v>3016</v>
      </c>
      <c r="J7459" s="312" t="s">
        <v>1031</v>
      </c>
      <c r="K7459" s="312" t="s">
        <v>1032</v>
      </c>
    </row>
    <row r="7460" spans="1:11" ht="25.5" customHeight="1" x14ac:dyDescent="0.3">
      <c r="A7460" s="313" t="s">
        <v>1033</v>
      </c>
      <c r="B7460" s="315" t="s">
        <v>5199</v>
      </c>
      <c r="C7460" s="313" t="s">
        <v>395</v>
      </c>
      <c r="D7460" s="313" t="s">
        <v>5200</v>
      </c>
      <c r="E7460" s="603" t="s">
        <v>2277</v>
      </c>
      <c r="F7460" s="603"/>
      <c r="G7460" s="314" t="s">
        <v>3</v>
      </c>
      <c r="H7460" s="399">
        <v>1</v>
      </c>
      <c r="I7460" s="316"/>
      <c r="J7460" s="316">
        <v>9.77</v>
      </c>
      <c r="K7460" s="316">
        <v>9.77</v>
      </c>
    </row>
    <row r="7461" spans="1:11" ht="30" customHeight="1" x14ac:dyDescent="0.3">
      <c r="A7461" s="408" t="s">
        <v>1034</v>
      </c>
      <c r="B7461" s="409" t="s">
        <v>1315</v>
      </c>
      <c r="C7461" s="408" t="s">
        <v>395</v>
      </c>
      <c r="D7461" s="408" t="s">
        <v>123</v>
      </c>
      <c r="E7461" s="604" t="s">
        <v>7768</v>
      </c>
      <c r="F7461" s="604"/>
      <c r="G7461" s="410" t="s">
        <v>6</v>
      </c>
      <c r="H7461" s="412">
        <v>1.8E-3</v>
      </c>
      <c r="I7461" s="412">
        <v>0</v>
      </c>
      <c r="J7461" s="411">
        <v>33.79</v>
      </c>
      <c r="K7461" s="411">
        <v>6.0822000000000001E-2</v>
      </c>
    </row>
    <row r="7462" spans="1:11" ht="38.25" customHeight="1" x14ac:dyDescent="0.3">
      <c r="A7462" s="408" t="s">
        <v>1034</v>
      </c>
      <c r="B7462" s="409" t="s">
        <v>1301</v>
      </c>
      <c r="C7462" s="408" t="s">
        <v>395</v>
      </c>
      <c r="D7462" s="408" t="s">
        <v>126</v>
      </c>
      <c r="E7462" s="604" t="s">
        <v>7768</v>
      </c>
      <c r="F7462" s="604"/>
      <c r="G7462" s="410" t="s">
        <v>6</v>
      </c>
      <c r="H7462" s="412">
        <v>1.2500000000000001E-2</v>
      </c>
      <c r="I7462" s="412">
        <v>0</v>
      </c>
      <c r="J7462" s="411">
        <v>40.86</v>
      </c>
      <c r="K7462" s="411">
        <v>0.51075000000000004</v>
      </c>
    </row>
    <row r="7463" spans="1:11" ht="12.75" customHeight="1" x14ac:dyDescent="0.3">
      <c r="A7463" s="400" t="s">
        <v>1038</v>
      </c>
      <c r="B7463" s="401" t="s">
        <v>4587</v>
      </c>
      <c r="C7463" s="400" t="s">
        <v>395</v>
      </c>
      <c r="D7463" s="400" t="s">
        <v>4588</v>
      </c>
      <c r="E7463" s="605" t="s">
        <v>1039</v>
      </c>
      <c r="F7463" s="605"/>
      <c r="G7463" s="402" t="s">
        <v>3</v>
      </c>
      <c r="H7463" s="403">
        <v>1.1100000000000001</v>
      </c>
      <c r="I7463" s="403">
        <v>0</v>
      </c>
      <c r="J7463" s="404">
        <v>8.2899999999999991</v>
      </c>
      <c r="K7463" s="404">
        <v>9.2019000000000002</v>
      </c>
    </row>
    <row r="7464" spans="1:11" ht="25.5" customHeight="1" x14ac:dyDescent="0.3">
      <c r="A7464" s="405"/>
      <c r="B7464" s="405"/>
      <c r="C7464" s="405"/>
      <c r="D7464" s="405"/>
      <c r="E7464" s="405" t="s">
        <v>1046</v>
      </c>
      <c r="F7464" s="406">
        <v>0.42</v>
      </c>
      <c r="G7464" s="405" t="s">
        <v>1047</v>
      </c>
      <c r="H7464" s="406">
        <v>0</v>
      </c>
      <c r="I7464" s="405" t="s">
        <v>1048</v>
      </c>
      <c r="J7464" s="406">
        <v>0.42</v>
      </c>
      <c r="K7464"/>
    </row>
    <row r="7465" spans="1:11" ht="25.5" customHeight="1" thickBot="1" x14ac:dyDescent="0.35">
      <c r="A7465" s="405"/>
      <c r="B7465" s="405"/>
      <c r="C7465" s="405"/>
      <c r="D7465" s="405"/>
      <c r="E7465" s="405" t="s">
        <v>1049</v>
      </c>
      <c r="F7465" s="406">
        <v>0</v>
      </c>
      <c r="G7465" s="405"/>
      <c r="H7465" s="606"/>
      <c r="I7465" s="606" t="s">
        <v>1050</v>
      </c>
      <c r="J7465" s="406">
        <v>9.77</v>
      </c>
      <c r="K7465"/>
    </row>
    <row r="7466" spans="1:11" ht="25.5" customHeight="1" thickTop="1" x14ac:dyDescent="0.3">
      <c r="A7466" s="407"/>
      <c r="B7466" s="407"/>
      <c r="C7466" s="407"/>
      <c r="D7466" s="407"/>
      <c r="E7466" s="407"/>
      <c r="F7466" s="407"/>
      <c r="G7466" s="407"/>
      <c r="H7466" s="407"/>
      <c r="I7466" s="407"/>
      <c r="J7466" s="407"/>
      <c r="K7466"/>
    </row>
    <row r="7467" spans="1:11" ht="25.5" customHeight="1" x14ac:dyDescent="0.3">
      <c r="A7467" s="382"/>
      <c r="B7467" s="312" t="s">
        <v>413</v>
      </c>
      <c r="C7467" s="382" t="s">
        <v>414</v>
      </c>
      <c r="D7467" s="382" t="s">
        <v>415</v>
      </c>
      <c r="E7467" s="586" t="s">
        <v>1029</v>
      </c>
      <c r="F7467" s="586"/>
      <c r="G7467" s="383" t="s">
        <v>416</v>
      </c>
      <c r="H7467" s="312" t="s">
        <v>1030</v>
      </c>
      <c r="I7467" s="312" t="s">
        <v>3016</v>
      </c>
      <c r="J7467" s="312" t="s">
        <v>1031</v>
      </c>
      <c r="K7467" s="312" t="s">
        <v>1032</v>
      </c>
    </row>
    <row r="7468" spans="1:11" ht="15" x14ac:dyDescent="0.3">
      <c r="A7468" s="313" t="s">
        <v>1033</v>
      </c>
      <c r="B7468" s="315" t="s">
        <v>7825</v>
      </c>
      <c r="C7468" s="313" t="s">
        <v>395</v>
      </c>
      <c r="D7468" s="313" t="s">
        <v>7826</v>
      </c>
      <c r="E7468" s="603" t="s">
        <v>7820</v>
      </c>
      <c r="F7468" s="603"/>
      <c r="G7468" s="314" t="s">
        <v>3</v>
      </c>
      <c r="H7468" s="399">
        <v>1</v>
      </c>
      <c r="I7468" s="316"/>
      <c r="J7468" s="316">
        <v>9.61</v>
      </c>
      <c r="K7468" s="316">
        <v>9.61</v>
      </c>
    </row>
    <row r="7469" spans="1:11" ht="15" x14ac:dyDescent="0.3">
      <c r="A7469" s="581"/>
      <c r="B7469" s="581"/>
      <c r="C7469" s="581"/>
      <c r="D7469" s="581"/>
      <c r="E7469" s="581"/>
      <c r="F7469" s="581" t="s">
        <v>7961</v>
      </c>
      <c r="G7469" s="581"/>
      <c r="H7469" s="581"/>
      <c r="I7469" s="581"/>
      <c r="J7469" s="413">
        <v>0</v>
      </c>
      <c r="K7469"/>
    </row>
    <row r="7470" spans="1:11" ht="15" customHeight="1" x14ac:dyDescent="0.3">
      <c r="A7470" s="581"/>
      <c r="B7470" s="581"/>
      <c r="C7470" s="581"/>
      <c r="D7470" s="581"/>
      <c r="E7470" s="581"/>
      <c r="F7470" s="581" t="s">
        <v>7962</v>
      </c>
      <c r="G7470" s="581"/>
      <c r="H7470" s="581"/>
      <c r="I7470" s="581"/>
      <c r="J7470" s="413">
        <v>0</v>
      </c>
      <c r="K7470"/>
    </row>
    <row r="7471" spans="1:11" ht="25.5" customHeight="1" x14ac:dyDescent="0.3">
      <c r="A7471" s="581"/>
      <c r="B7471" s="581"/>
      <c r="C7471" s="581"/>
      <c r="D7471" s="581"/>
      <c r="E7471" s="581"/>
      <c r="F7471" s="581" t="s">
        <v>7963</v>
      </c>
      <c r="G7471" s="581"/>
      <c r="H7471" s="581"/>
      <c r="I7471" s="581"/>
      <c r="J7471" s="413">
        <v>0</v>
      </c>
      <c r="K7471"/>
    </row>
    <row r="7472" spans="1:11" ht="25.5" customHeight="1" x14ac:dyDescent="0.3">
      <c r="A7472" s="581"/>
      <c r="B7472" s="581"/>
      <c r="C7472" s="581"/>
      <c r="D7472" s="581"/>
      <c r="E7472" s="581"/>
      <c r="F7472" s="581" t="s">
        <v>7964</v>
      </c>
      <c r="G7472" s="581"/>
      <c r="H7472" s="581"/>
      <c r="I7472" s="581"/>
      <c r="J7472" s="413">
        <v>0</v>
      </c>
      <c r="K7472"/>
    </row>
    <row r="7473" spans="1:11" ht="25.5" customHeight="1" x14ac:dyDescent="0.3">
      <c r="A7473" s="581"/>
      <c r="B7473" s="581"/>
      <c r="C7473" s="581"/>
      <c r="D7473" s="581"/>
      <c r="E7473" s="581"/>
      <c r="F7473" s="581" t="s">
        <v>7965</v>
      </c>
      <c r="G7473" s="581"/>
      <c r="H7473" s="581"/>
      <c r="I7473" s="581"/>
      <c r="J7473" s="413">
        <v>0</v>
      </c>
      <c r="K7473"/>
    </row>
    <row r="7474" spans="1:11" ht="15" x14ac:dyDescent="0.3">
      <c r="A7474" s="382" t="s">
        <v>7966</v>
      </c>
      <c r="B7474" s="312" t="s">
        <v>414</v>
      </c>
      <c r="C7474" s="382" t="s">
        <v>413</v>
      </c>
      <c r="D7474" s="382" t="s">
        <v>1039</v>
      </c>
      <c r="E7474" s="312" t="s">
        <v>1552</v>
      </c>
      <c r="F7474" s="312" t="s">
        <v>7907</v>
      </c>
      <c r="G7474" s="584" t="s">
        <v>7967</v>
      </c>
      <c r="H7474" s="584"/>
      <c r="I7474" s="584"/>
      <c r="J7474" s="312" t="s">
        <v>7905</v>
      </c>
      <c r="K7474"/>
    </row>
    <row r="7475" spans="1:11" ht="25.5" customHeight="1" x14ac:dyDescent="0.3">
      <c r="A7475" s="400" t="s">
        <v>1038</v>
      </c>
      <c r="B7475" s="401" t="s">
        <v>395</v>
      </c>
      <c r="C7475" s="400">
        <v>34</v>
      </c>
      <c r="D7475" s="400" t="s">
        <v>4588</v>
      </c>
      <c r="E7475" s="403">
        <v>1.1100000000000001</v>
      </c>
      <c r="F7475" s="402" t="s">
        <v>3</v>
      </c>
      <c r="G7475" s="607">
        <v>8.2899999999999991</v>
      </c>
      <c r="H7475" s="607"/>
      <c r="I7475" s="605"/>
      <c r="J7475" s="414">
        <v>9.2019000000000002</v>
      </c>
      <c r="K7475"/>
    </row>
    <row r="7476" spans="1:11" ht="25.5" customHeight="1" x14ac:dyDescent="0.3">
      <c r="A7476" s="581"/>
      <c r="B7476" s="581"/>
      <c r="C7476" s="581"/>
      <c r="D7476" s="581"/>
      <c r="E7476" s="581"/>
      <c r="F7476" s="581" t="s">
        <v>7968</v>
      </c>
      <c r="G7476" s="581"/>
      <c r="H7476" s="581"/>
      <c r="I7476" s="581"/>
      <c r="J7476" s="413">
        <v>9.2019000000000002</v>
      </c>
      <c r="K7476"/>
    </row>
    <row r="7477" spans="1:11" ht="14.25" customHeight="1" x14ac:dyDescent="0.3">
      <c r="A7477" s="382" t="s">
        <v>7969</v>
      </c>
      <c r="B7477" s="312" t="s">
        <v>414</v>
      </c>
      <c r="C7477" s="382" t="s">
        <v>413</v>
      </c>
      <c r="D7477" s="382" t="s">
        <v>7970</v>
      </c>
      <c r="E7477" s="312" t="s">
        <v>1552</v>
      </c>
      <c r="F7477" s="312" t="s">
        <v>7907</v>
      </c>
      <c r="G7477" s="584" t="s">
        <v>7967</v>
      </c>
      <c r="H7477" s="584"/>
      <c r="I7477" s="584"/>
      <c r="J7477" s="312" t="s">
        <v>7905</v>
      </c>
      <c r="K7477"/>
    </row>
    <row r="7478" spans="1:11" ht="26.4" x14ac:dyDescent="0.3">
      <c r="A7478" s="408" t="s">
        <v>7922</v>
      </c>
      <c r="B7478" s="409" t="s">
        <v>395</v>
      </c>
      <c r="C7478" s="408">
        <v>88238</v>
      </c>
      <c r="D7478" s="408" t="s">
        <v>123</v>
      </c>
      <c r="E7478" s="412">
        <v>1.4E-3</v>
      </c>
      <c r="F7478" s="410" t="s">
        <v>6</v>
      </c>
      <c r="G7478" s="608">
        <v>33.79</v>
      </c>
      <c r="H7478" s="608"/>
      <c r="I7478" s="604"/>
      <c r="J7478" s="415">
        <v>4.7300000000000002E-2</v>
      </c>
      <c r="K7478"/>
    </row>
    <row r="7479" spans="1:11" ht="30" customHeight="1" x14ac:dyDescent="0.3">
      <c r="A7479" s="408" t="s">
        <v>7922</v>
      </c>
      <c r="B7479" s="409" t="s">
        <v>395</v>
      </c>
      <c r="C7479" s="408">
        <v>88245</v>
      </c>
      <c r="D7479" s="408" t="s">
        <v>126</v>
      </c>
      <c r="E7479" s="412">
        <v>8.8000000000000005E-3</v>
      </c>
      <c r="F7479" s="410" t="s">
        <v>6</v>
      </c>
      <c r="G7479" s="608">
        <v>40.86</v>
      </c>
      <c r="H7479" s="608"/>
      <c r="I7479" s="604"/>
      <c r="J7479" s="415">
        <v>0.35959999999999998</v>
      </c>
      <c r="K7479"/>
    </row>
    <row r="7480" spans="1:11" ht="14.25" customHeight="1" x14ac:dyDescent="0.3">
      <c r="A7480" s="581"/>
      <c r="B7480" s="581"/>
      <c r="C7480" s="581"/>
      <c r="D7480" s="581"/>
      <c r="E7480" s="581"/>
      <c r="F7480" s="581" t="s">
        <v>7971</v>
      </c>
      <c r="G7480" s="581"/>
      <c r="H7480" s="581"/>
      <c r="I7480" s="581"/>
      <c r="J7480" s="413">
        <v>0.40689999999999998</v>
      </c>
      <c r="K7480"/>
    </row>
    <row r="7481" spans="1:11" ht="25.5" customHeight="1" x14ac:dyDescent="0.3">
      <c r="A7481" s="405"/>
      <c r="B7481" s="405"/>
      <c r="C7481" s="405"/>
      <c r="D7481" s="405"/>
      <c r="E7481" s="405" t="s">
        <v>1046</v>
      </c>
      <c r="F7481" s="406">
        <v>0.3</v>
      </c>
      <c r="G7481" s="405" t="s">
        <v>1047</v>
      </c>
      <c r="H7481" s="406">
        <v>0</v>
      </c>
      <c r="I7481" s="405" t="s">
        <v>1048</v>
      </c>
      <c r="J7481" s="406">
        <v>0.3</v>
      </c>
      <c r="K7481"/>
    </row>
    <row r="7482" spans="1:11" ht="25.5" customHeight="1" thickBot="1" x14ac:dyDescent="0.35">
      <c r="A7482" s="405"/>
      <c r="B7482" s="405"/>
      <c r="C7482" s="405"/>
      <c r="D7482" s="405"/>
      <c r="E7482" s="405" t="s">
        <v>1049</v>
      </c>
      <c r="F7482" s="406">
        <v>0</v>
      </c>
      <c r="G7482" s="405"/>
      <c r="H7482" s="606"/>
      <c r="I7482" s="606" t="s">
        <v>1050</v>
      </c>
      <c r="J7482" s="406">
        <v>9.61</v>
      </c>
      <c r="K7482"/>
    </row>
    <row r="7483" spans="1:11" ht="25.5" customHeight="1" thickTop="1" x14ac:dyDescent="0.3">
      <c r="A7483" s="407"/>
      <c r="B7483" s="407"/>
      <c r="C7483" s="407"/>
      <c r="D7483" s="407"/>
      <c r="E7483" s="407"/>
      <c r="F7483" s="407"/>
      <c r="G7483" s="407"/>
      <c r="H7483" s="407"/>
      <c r="I7483" s="407"/>
      <c r="J7483" s="407"/>
      <c r="K7483"/>
    </row>
    <row r="7484" spans="1:11" ht="12.75" customHeight="1" x14ac:dyDescent="0.3">
      <c r="A7484" s="382"/>
      <c r="B7484" s="312" t="s">
        <v>413</v>
      </c>
      <c r="C7484" s="382" t="s">
        <v>414</v>
      </c>
      <c r="D7484" s="382" t="s">
        <v>415</v>
      </c>
      <c r="E7484" s="586" t="s">
        <v>1029</v>
      </c>
      <c r="F7484" s="586"/>
      <c r="G7484" s="383" t="s">
        <v>416</v>
      </c>
      <c r="H7484" s="312" t="s">
        <v>1030</v>
      </c>
      <c r="I7484" s="312" t="s">
        <v>3016</v>
      </c>
      <c r="J7484" s="312" t="s">
        <v>1031</v>
      </c>
      <c r="K7484" s="312" t="s">
        <v>1032</v>
      </c>
    </row>
    <row r="7485" spans="1:11" ht="25.5" customHeight="1" x14ac:dyDescent="0.3">
      <c r="A7485" s="313" t="s">
        <v>1033</v>
      </c>
      <c r="B7485" s="315" t="s">
        <v>5201</v>
      </c>
      <c r="C7485" s="313" t="s">
        <v>395</v>
      </c>
      <c r="D7485" s="313" t="s">
        <v>5202</v>
      </c>
      <c r="E7485" s="603" t="s">
        <v>2277</v>
      </c>
      <c r="F7485" s="603"/>
      <c r="G7485" s="314" t="s">
        <v>3</v>
      </c>
      <c r="H7485" s="399">
        <v>1</v>
      </c>
      <c r="I7485" s="316"/>
      <c r="J7485" s="316">
        <v>8.2899999999999991</v>
      </c>
      <c r="K7485" s="316">
        <v>8.2899999999999991</v>
      </c>
    </row>
    <row r="7486" spans="1:11" ht="25.5" customHeight="1" x14ac:dyDescent="0.3">
      <c r="A7486" s="408" t="s">
        <v>1034</v>
      </c>
      <c r="B7486" s="409" t="s">
        <v>1315</v>
      </c>
      <c r="C7486" s="408" t="s">
        <v>395</v>
      </c>
      <c r="D7486" s="408" t="s">
        <v>123</v>
      </c>
      <c r="E7486" s="604" t="s">
        <v>7768</v>
      </c>
      <c r="F7486" s="604"/>
      <c r="G7486" s="410" t="s">
        <v>6</v>
      </c>
      <c r="H7486" s="412">
        <v>1E-3</v>
      </c>
      <c r="I7486" s="412">
        <v>0</v>
      </c>
      <c r="J7486" s="411">
        <v>33.79</v>
      </c>
      <c r="K7486" s="411">
        <v>3.3790000000000001E-2</v>
      </c>
    </row>
    <row r="7487" spans="1:11" ht="14.25" customHeight="1" x14ac:dyDescent="0.3">
      <c r="A7487" s="408" t="s">
        <v>1034</v>
      </c>
      <c r="B7487" s="409" t="s">
        <v>1301</v>
      </c>
      <c r="C7487" s="408" t="s">
        <v>395</v>
      </c>
      <c r="D7487" s="408" t="s">
        <v>126</v>
      </c>
      <c r="E7487" s="604" t="s">
        <v>7768</v>
      </c>
      <c r="F7487" s="604"/>
      <c r="G7487" s="410" t="s">
        <v>6</v>
      </c>
      <c r="H7487" s="412">
        <v>7.0000000000000001E-3</v>
      </c>
      <c r="I7487" s="412">
        <v>0</v>
      </c>
      <c r="J7487" s="411">
        <v>40.86</v>
      </c>
      <c r="K7487" s="411">
        <v>0.28602</v>
      </c>
    </row>
    <row r="7488" spans="1:11" ht="25.5" customHeight="1" x14ac:dyDescent="0.3">
      <c r="A7488" s="400" t="s">
        <v>1038</v>
      </c>
      <c r="B7488" s="401" t="s">
        <v>4337</v>
      </c>
      <c r="C7488" s="400" t="s">
        <v>395</v>
      </c>
      <c r="D7488" s="400" t="s">
        <v>4338</v>
      </c>
      <c r="E7488" s="605" t="s">
        <v>1039</v>
      </c>
      <c r="F7488" s="605"/>
      <c r="G7488" s="402" t="s">
        <v>3</v>
      </c>
      <c r="H7488" s="403">
        <v>1.1100000000000001</v>
      </c>
      <c r="I7488" s="403">
        <v>0</v>
      </c>
      <c r="J7488" s="404">
        <v>7.18</v>
      </c>
      <c r="K7488" s="404">
        <v>7.9698000000000002</v>
      </c>
    </row>
    <row r="7489" spans="1:11" ht="14.25" customHeight="1" x14ac:dyDescent="0.3">
      <c r="A7489" s="405"/>
      <c r="B7489" s="405"/>
      <c r="C7489" s="405"/>
      <c r="D7489" s="405"/>
      <c r="E7489" s="405" t="s">
        <v>1046</v>
      </c>
      <c r="F7489" s="406">
        <v>0.23</v>
      </c>
      <c r="G7489" s="405" t="s">
        <v>1047</v>
      </c>
      <c r="H7489" s="406">
        <v>0</v>
      </c>
      <c r="I7489" s="405" t="s">
        <v>1048</v>
      </c>
      <c r="J7489" s="406">
        <v>0.23</v>
      </c>
      <c r="K7489"/>
    </row>
    <row r="7490" spans="1:11" ht="15.6" thickBot="1" x14ac:dyDescent="0.35">
      <c r="A7490" s="405"/>
      <c r="B7490" s="405"/>
      <c r="C7490" s="405"/>
      <c r="D7490" s="405"/>
      <c r="E7490" s="405" t="s">
        <v>1049</v>
      </c>
      <c r="F7490" s="406">
        <v>0</v>
      </c>
      <c r="G7490" s="405"/>
      <c r="H7490" s="606"/>
      <c r="I7490" s="606" t="s">
        <v>1050</v>
      </c>
      <c r="J7490" s="406">
        <v>8.2899999999999991</v>
      </c>
      <c r="K7490"/>
    </row>
    <row r="7491" spans="1:11" ht="25.5" customHeight="1" thickTop="1" x14ac:dyDescent="0.3">
      <c r="A7491" s="407"/>
      <c r="B7491" s="407"/>
      <c r="C7491" s="407"/>
      <c r="D7491" s="407"/>
      <c r="E7491" s="407"/>
      <c r="F7491" s="407"/>
      <c r="G7491" s="407"/>
      <c r="H7491" s="407"/>
      <c r="I7491" s="407"/>
      <c r="J7491" s="407"/>
      <c r="K7491"/>
    </row>
    <row r="7492" spans="1:11" ht="25.5" customHeight="1" x14ac:dyDescent="0.3">
      <c r="A7492" s="382"/>
      <c r="B7492" s="312" t="s">
        <v>413</v>
      </c>
      <c r="C7492" s="382" t="s">
        <v>414</v>
      </c>
      <c r="D7492" s="382" t="s">
        <v>415</v>
      </c>
      <c r="E7492" s="586" t="s">
        <v>1029</v>
      </c>
      <c r="F7492" s="586"/>
      <c r="G7492" s="383" t="s">
        <v>416</v>
      </c>
      <c r="H7492" s="312" t="s">
        <v>1030</v>
      </c>
      <c r="I7492" s="312" t="s">
        <v>3016</v>
      </c>
      <c r="J7492" s="312" t="s">
        <v>1031</v>
      </c>
      <c r="K7492" s="312" t="s">
        <v>1032</v>
      </c>
    </row>
    <row r="7493" spans="1:11" ht="12.75" customHeight="1" x14ac:dyDescent="0.3">
      <c r="A7493" s="313" t="s">
        <v>1033</v>
      </c>
      <c r="B7493" s="315" t="s">
        <v>5190</v>
      </c>
      <c r="C7493" s="313" t="s">
        <v>395</v>
      </c>
      <c r="D7493" s="313" t="s">
        <v>5191</v>
      </c>
      <c r="E7493" s="603" t="s">
        <v>2277</v>
      </c>
      <c r="F7493" s="603"/>
      <c r="G7493" s="314" t="s">
        <v>3</v>
      </c>
      <c r="H7493" s="399">
        <v>1</v>
      </c>
      <c r="I7493" s="316"/>
      <c r="J7493" s="316">
        <v>8.1199999999999992</v>
      </c>
      <c r="K7493" s="316">
        <v>8.1199999999999992</v>
      </c>
    </row>
    <row r="7494" spans="1:11" ht="25.5" customHeight="1" x14ac:dyDescent="0.3">
      <c r="A7494" s="408" t="s">
        <v>1034</v>
      </c>
      <c r="B7494" s="409" t="s">
        <v>1301</v>
      </c>
      <c r="C7494" s="408" t="s">
        <v>395</v>
      </c>
      <c r="D7494" s="408" t="s">
        <v>126</v>
      </c>
      <c r="E7494" s="604" t="s">
        <v>7768</v>
      </c>
      <c r="F7494" s="604"/>
      <c r="G7494" s="410" t="s">
        <v>6</v>
      </c>
      <c r="H7494" s="412">
        <v>3.7000000000000002E-3</v>
      </c>
      <c r="I7494" s="412">
        <v>0</v>
      </c>
      <c r="J7494" s="411">
        <v>40.86</v>
      </c>
      <c r="K7494" s="411">
        <v>0.15118200000000001</v>
      </c>
    </row>
    <row r="7495" spans="1:11" ht="25.5" customHeight="1" x14ac:dyDescent="0.3">
      <c r="A7495" s="400" t="s">
        <v>1038</v>
      </c>
      <c r="B7495" s="401" t="s">
        <v>4337</v>
      </c>
      <c r="C7495" s="400" t="s">
        <v>395</v>
      </c>
      <c r="D7495" s="400" t="s">
        <v>4338</v>
      </c>
      <c r="E7495" s="605" t="s">
        <v>1039</v>
      </c>
      <c r="F7495" s="605"/>
      <c r="G7495" s="402" t="s">
        <v>3</v>
      </c>
      <c r="H7495" s="403">
        <v>1.1100000000000001</v>
      </c>
      <c r="I7495" s="403">
        <v>0</v>
      </c>
      <c r="J7495" s="404">
        <v>7.18</v>
      </c>
      <c r="K7495" s="404">
        <v>7.9698000000000002</v>
      </c>
    </row>
    <row r="7496" spans="1:11" ht="15" x14ac:dyDescent="0.3">
      <c r="A7496" s="405"/>
      <c r="B7496" s="405"/>
      <c r="C7496" s="405"/>
      <c r="D7496" s="405"/>
      <c r="E7496" s="405" t="s">
        <v>1046</v>
      </c>
      <c r="F7496" s="406">
        <v>0.11</v>
      </c>
      <c r="G7496" s="405" t="s">
        <v>1047</v>
      </c>
      <c r="H7496" s="406">
        <v>0</v>
      </c>
      <c r="I7496" s="405" t="s">
        <v>1048</v>
      </c>
      <c r="J7496" s="406">
        <v>0.11</v>
      </c>
      <c r="K7496"/>
    </row>
    <row r="7497" spans="1:11" ht="14.25" customHeight="1" thickBot="1" x14ac:dyDescent="0.35">
      <c r="A7497" s="405"/>
      <c r="B7497" s="405"/>
      <c r="C7497" s="405"/>
      <c r="D7497" s="405"/>
      <c r="E7497" s="405" t="s">
        <v>1049</v>
      </c>
      <c r="F7497" s="406">
        <v>0</v>
      </c>
      <c r="G7497" s="405"/>
      <c r="H7497" s="606"/>
      <c r="I7497" s="606" t="s">
        <v>1050</v>
      </c>
      <c r="J7497" s="406">
        <v>8.1199999999999992</v>
      </c>
      <c r="K7497"/>
    </row>
    <row r="7498" spans="1:11" ht="14.25" customHeight="1" thickTop="1" x14ac:dyDescent="0.3">
      <c r="A7498" s="407"/>
      <c r="B7498" s="407"/>
      <c r="C7498" s="407"/>
      <c r="D7498" s="407"/>
      <c r="E7498" s="407"/>
      <c r="F7498" s="407"/>
      <c r="G7498" s="407"/>
      <c r="H7498" s="407"/>
      <c r="I7498" s="407"/>
      <c r="J7498" s="407"/>
      <c r="K7498"/>
    </row>
    <row r="7499" spans="1:11" ht="38.25" customHeight="1" x14ac:dyDescent="0.3">
      <c r="A7499" s="382"/>
      <c r="B7499" s="312" t="s">
        <v>413</v>
      </c>
      <c r="C7499" s="382" t="s">
        <v>414</v>
      </c>
      <c r="D7499" s="382" t="s">
        <v>415</v>
      </c>
      <c r="E7499" s="586" t="s">
        <v>1029</v>
      </c>
      <c r="F7499" s="586"/>
      <c r="G7499" s="383" t="s">
        <v>416</v>
      </c>
      <c r="H7499" s="312" t="s">
        <v>1030</v>
      </c>
      <c r="I7499" s="312" t="s">
        <v>3016</v>
      </c>
      <c r="J7499" s="312" t="s">
        <v>1031</v>
      </c>
      <c r="K7499" s="312" t="s">
        <v>1032</v>
      </c>
    </row>
    <row r="7500" spans="1:11" ht="25.5" customHeight="1" x14ac:dyDescent="0.3">
      <c r="A7500" s="313" t="s">
        <v>1033</v>
      </c>
      <c r="B7500" s="315" t="s">
        <v>5203</v>
      </c>
      <c r="C7500" s="313" t="s">
        <v>395</v>
      </c>
      <c r="D7500" s="313" t="s">
        <v>5204</v>
      </c>
      <c r="E7500" s="603" t="s">
        <v>2277</v>
      </c>
      <c r="F7500" s="603"/>
      <c r="G7500" s="314" t="s">
        <v>3</v>
      </c>
      <c r="H7500" s="399">
        <v>1</v>
      </c>
      <c r="I7500" s="316"/>
      <c r="J7500" s="316">
        <v>9.52</v>
      </c>
      <c r="K7500" s="316">
        <v>9.52</v>
      </c>
    </row>
    <row r="7501" spans="1:11" ht="25.5" customHeight="1" x14ac:dyDescent="0.3">
      <c r="A7501" s="408" t="s">
        <v>1034</v>
      </c>
      <c r="B7501" s="409" t="s">
        <v>1301</v>
      </c>
      <c r="C7501" s="408" t="s">
        <v>395</v>
      </c>
      <c r="D7501" s="408" t="s">
        <v>126</v>
      </c>
      <c r="E7501" s="604" t="s">
        <v>7768</v>
      </c>
      <c r="F7501" s="604"/>
      <c r="G7501" s="410" t="s">
        <v>6</v>
      </c>
      <c r="H7501" s="412">
        <v>2E-3</v>
      </c>
      <c r="I7501" s="412">
        <v>0</v>
      </c>
      <c r="J7501" s="411">
        <v>40.86</v>
      </c>
      <c r="K7501" s="411">
        <v>8.1720000000000001E-2</v>
      </c>
    </row>
    <row r="7502" spans="1:11" ht="12.75" customHeight="1" x14ac:dyDescent="0.3">
      <c r="A7502" s="400" t="s">
        <v>1038</v>
      </c>
      <c r="B7502" s="401" t="s">
        <v>4574</v>
      </c>
      <c r="C7502" s="400" t="s">
        <v>395</v>
      </c>
      <c r="D7502" s="400" t="s">
        <v>4575</v>
      </c>
      <c r="E7502" s="605" t="s">
        <v>1039</v>
      </c>
      <c r="F7502" s="605"/>
      <c r="G7502" s="402" t="s">
        <v>3</v>
      </c>
      <c r="H7502" s="403">
        <v>1.1399999999999999</v>
      </c>
      <c r="I7502" s="403">
        <v>0</v>
      </c>
      <c r="J7502" s="404">
        <v>8.2799999999999994</v>
      </c>
      <c r="K7502" s="404">
        <v>9.4391999999999996</v>
      </c>
    </row>
    <row r="7503" spans="1:11" ht="25.5" customHeight="1" x14ac:dyDescent="0.3">
      <c r="A7503" s="405"/>
      <c r="B7503" s="405"/>
      <c r="C7503" s="405"/>
      <c r="D7503" s="405"/>
      <c r="E7503" s="405" t="s">
        <v>1046</v>
      </c>
      <c r="F7503" s="406">
        <v>0.06</v>
      </c>
      <c r="G7503" s="405" t="s">
        <v>1047</v>
      </c>
      <c r="H7503" s="406">
        <v>0</v>
      </c>
      <c r="I7503" s="405" t="s">
        <v>1048</v>
      </c>
      <c r="J7503" s="406">
        <v>0.06</v>
      </c>
      <c r="K7503"/>
    </row>
    <row r="7504" spans="1:11" ht="25.5" customHeight="1" thickBot="1" x14ac:dyDescent="0.35">
      <c r="A7504" s="405"/>
      <c r="B7504" s="405"/>
      <c r="C7504" s="405"/>
      <c r="D7504" s="405"/>
      <c r="E7504" s="405" t="s">
        <v>1049</v>
      </c>
      <c r="F7504" s="406">
        <v>0</v>
      </c>
      <c r="G7504" s="405"/>
      <c r="H7504" s="606"/>
      <c r="I7504" s="606" t="s">
        <v>1050</v>
      </c>
      <c r="J7504" s="406">
        <v>9.52</v>
      </c>
      <c r="K7504"/>
    </row>
    <row r="7505" spans="1:11" ht="15.6" thickTop="1" x14ac:dyDescent="0.3">
      <c r="A7505" s="407"/>
      <c r="B7505" s="407"/>
      <c r="C7505" s="407"/>
      <c r="D7505" s="407"/>
      <c r="E7505" s="407"/>
      <c r="F7505" s="407"/>
      <c r="G7505" s="407"/>
      <c r="H7505" s="407"/>
      <c r="I7505" s="407"/>
      <c r="J7505" s="407"/>
      <c r="K7505"/>
    </row>
    <row r="7506" spans="1:11" ht="17.399999999999999" customHeight="1" x14ac:dyDescent="0.3">
      <c r="A7506" s="382"/>
      <c r="B7506" s="312" t="s">
        <v>413</v>
      </c>
      <c r="C7506" s="382" t="s">
        <v>414</v>
      </c>
      <c r="D7506" s="382" t="s">
        <v>415</v>
      </c>
      <c r="E7506" s="586" t="s">
        <v>1029</v>
      </c>
      <c r="F7506" s="586"/>
      <c r="G7506" s="383" t="s">
        <v>416</v>
      </c>
      <c r="H7506" s="312" t="s">
        <v>1030</v>
      </c>
      <c r="I7506" s="312" t="s">
        <v>3016</v>
      </c>
      <c r="J7506" s="312" t="s">
        <v>1031</v>
      </c>
      <c r="K7506" s="312" t="s">
        <v>1032</v>
      </c>
    </row>
    <row r="7507" spans="1:11" ht="14.25" customHeight="1" x14ac:dyDescent="0.3">
      <c r="A7507" s="313" t="s">
        <v>1033</v>
      </c>
      <c r="B7507" s="315" t="s">
        <v>5197</v>
      </c>
      <c r="C7507" s="313" t="s">
        <v>395</v>
      </c>
      <c r="D7507" s="313" t="s">
        <v>5198</v>
      </c>
      <c r="E7507" s="603" t="s">
        <v>2277</v>
      </c>
      <c r="F7507" s="603"/>
      <c r="G7507" s="314" t="s">
        <v>3</v>
      </c>
      <c r="H7507" s="399">
        <v>1</v>
      </c>
      <c r="I7507" s="316"/>
      <c r="J7507" s="316">
        <v>11.27</v>
      </c>
      <c r="K7507" s="316">
        <v>11.27</v>
      </c>
    </row>
    <row r="7508" spans="1:11" ht="26.4" x14ac:dyDescent="0.3">
      <c r="A7508" s="408" t="s">
        <v>1034</v>
      </c>
      <c r="B7508" s="409" t="s">
        <v>1315</v>
      </c>
      <c r="C7508" s="408" t="s">
        <v>395</v>
      </c>
      <c r="D7508" s="408" t="s">
        <v>123</v>
      </c>
      <c r="E7508" s="604" t="s">
        <v>7768</v>
      </c>
      <c r="F7508" s="604"/>
      <c r="G7508" s="410" t="s">
        <v>6</v>
      </c>
      <c r="H7508" s="412">
        <v>5.8999999999999999E-3</v>
      </c>
      <c r="I7508" s="412">
        <v>0</v>
      </c>
      <c r="J7508" s="411">
        <v>33.79</v>
      </c>
      <c r="K7508" s="411">
        <v>0.19936100000000001</v>
      </c>
    </row>
    <row r="7509" spans="1:11" ht="30" customHeight="1" x14ac:dyDescent="0.3">
      <c r="A7509" s="408" t="s">
        <v>1034</v>
      </c>
      <c r="B7509" s="409" t="s">
        <v>1301</v>
      </c>
      <c r="C7509" s="408" t="s">
        <v>395</v>
      </c>
      <c r="D7509" s="408" t="s">
        <v>126</v>
      </c>
      <c r="E7509" s="604" t="s">
        <v>7768</v>
      </c>
      <c r="F7509" s="604"/>
      <c r="G7509" s="410" t="s">
        <v>6</v>
      </c>
      <c r="H7509" s="412">
        <v>4.2000000000000003E-2</v>
      </c>
      <c r="I7509" s="412">
        <v>0</v>
      </c>
      <c r="J7509" s="411">
        <v>40.86</v>
      </c>
      <c r="K7509" s="411">
        <v>1.7161200000000001</v>
      </c>
    </row>
    <row r="7510" spans="1:11" ht="15" x14ac:dyDescent="0.3">
      <c r="A7510" s="400" t="s">
        <v>1038</v>
      </c>
      <c r="B7510" s="401" t="s">
        <v>4580</v>
      </c>
      <c r="C7510" s="400" t="s">
        <v>395</v>
      </c>
      <c r="D7510" s="400" t="s">
        <v>4581</v>
      </c>
      <c r="E7510" s="605" t="s">
        <v>1039</v>
      </c>
      <c r="F7510" s="605"/>
      <c r="G7510" s="402" t="s">
        <v>3</v>
      </c>
      <c r="H7510" s="403">
        <v>1.07</v>
      </c>
      <c r="I7510" s="403">
        <v>0</v>
      </c>
      <c r="J7510" s="404">
        <v>8.74</v>
      </c>
      <c r="K7510" s="404">
        <v>9.3518000000000008</v>
      </c>
    </row>
    <row r="7511" spans="1:11" ht="12.75" customHeight="1" x14ac:dyDescent="0.3">
      <c r="A7511" s="405"/>
      <c r="B7511" s="405"/>
      <c r="C7511" s="405"/>
      <c r="D7511" s="405"/>
      <c r="E7511" s="405" t="s">
        <v>1046</v>
      </c>
      <c r="F7511" s="406">
        <v>1.43</v>
      </c>
      <c r="G7511" s="405" t="s">
        <v>1047</v>
      </c>
      <c r="H7511" s="406">
        <v>0</v>
      </c>
      <c r="I7511" s="405" t="s">
        <v>1048</v>
      </c>
      <c r="J7511" s="406">
        <v>1.43</v>
      </c>
      <c r="K7511"/>
    </row>
    <row r="7512" spans="1:11" ht="25.5" customHeight="1" thickBot="1" x14ac:dyDescent="0.35">
      <c r="A7512" s="405"/>
      <c r="B7512" s="405"/>
      <c r="C7512" s="405"/>
      <c r="D7512" s="405"/>
      <c r="E7512" s="405" t="s">
        <v>1049</v>
      </c>
      <c r="F7512" s="406">
        <v>0</v>
      </c>
      <c r="G7512" s="405"/>
      <c r="H7512" s="606"/>
      <c r="I7512" s="606" t="s">
        <v>1050</v>
      </c>
      <c r="J7512" s="406">
        <v>11.27</v>
      </c>
      <c r="K7512"/>
    </row>
    <row r="7513" spans="1:11" ht="25.5" customHeight="1" thickTop="1" x14ac:dyDescent="0.3">
      <c r="A7513" s="407"/>
      <c r="B7513" s="407"/>
      <c r="C7513" s="407"/>
      <c r="D7513" s="407"/>
      <c r="E7513" s="407"/>
      <c r="F7513" s="407"/>
      <c r="G7513" s="407"/>
      <c r="H7513" s="407"/>
      <c r="I7513" s="407"/>
      <c r="J7513" s="407"/>
      <c r="K7513"/>
    </row>
    <row r="7514" spans="1:11" ht="15" x14ac:dyDescent="0.3">
      <c r="A7514" s="382"/>
      <c r="B7514" s="312" t="s">
        <v>413</v>
      </c>
      <c r="C7514" s="382" t="s">
        <v>414</v>
      </c>
      <c r="D7514" s="382" t="s">
        <v>415</v>
      </c>
      <c r="E7514" s="586" t="s">
        <v>1029</v>
      </c>
      <c r="F7514" s="586"/>
      <c r="G7514" s="383" t="s">
        <v>416</v>
      </c>
      <c r="H7514" s="312" t="s">
        <v>1030</v>
      </c>
      <c r="I7514" s="312" t="s">
        <v>3016</v>
      </c>
      <c r="J7514" s="312" t="s">
        <v>1031</v>
      </c>
      <c r="K7514" s="312" t="s">
        <v>1032</v>
      </c>
    </row>
    <row r="7515" spans="1:11" ht="30" customHeight="1" x14ac:dyDescent="0.3">
      <c r="A7515" s="313" t="s">
        <v>1033</v>
      </c>
      <c r="B7515" s="315" t="s">
        <v>7823</v>
      </c>
      <c r="C7515" s="313" t="s">
        <v>395</v>
      </c>
      <c r="D7515" s="313" t="s">
        <v>7824</v>
      </c>
      <c r="E7515" s="603" t="s">
        <v>7820</v>
      </c>
      <c r="F7515" s="603"/>
      <c r="G7515" s="314" t="s">
        <v>3</v>
      </c>
      <c r="H7515" s="399">
        <v>1</v>
      </c>
      <c r="I7515" s="316"/>
      <c r="J7515" s="316">
        <v>10.79</v>
      </c>
      <c r="K7515" s="316">
        <v>10.79</v>
      </c>
    </row>
    <row r="7516" spans="1:11" ht="14.25" customHeight="1" x14ac:dyDescent="0.3">
      <c r="A7516" s="581"/>
      <c r="B7516" s="581"/>
      <c r="C7516" s="581"/>
      <c r="D7516" s="581"/>
      <c r="E7516" s="581"/>
      <c r="F7516" s="581" t="s">
        <v>7961</v>
      </c>
      <c r="G7516" s="581"/>
      <c r="H7516" s="581"/>
      <c r="I7516" s="581"/>
      <c r="J7516" s="413">
        <v>0</v>
      </c>
      <c r="K7516"/>
    </row>
    <row r="7517" spans="1:11" ht="14.25" customHeight="1" x14ac:dyDescent="0.3">
      <c r="A7517" s="581"/>
      <c r="B7517" s="581"/>
      <c r="C7517" s="581"/>
      <c r="D7517" s="581"/>
      <c r="E7517" s="581"/>
      <c r="F7517" s="581" t="s">
        <v>7962</v>
      </c>
      <c r="G7517" s="581"/>
      <c r="H7517" s="581"/>
      <c r="I7517" s="581"/>
      <c r="J7517" s="413">
        <v>0</v>
      </c>
      <c r="K7517"/>
    </row>
    <row r="7518" spans="1:11" ht="17.399999999999999" customHeight="1" x14ac:dyDescent="0.3">
      <c r="A7518" s="581"/>
      <c r="B7518" s="581"/>
      <c r="C7518" s="581"/>
      <c r="D7518" s="581"/>
      <c r="E7518" s="581"/>
      <c r="F7518" s="581" t="s">
        <v>7963</v>
      </c>
      <c r="G7518" s="581"/>
      <c r="H7518" s="581"/>
      <c r="I7518" s="581"/>
      <c r="J7518" s="413">
        <v>0</v>
      </c>
      <c r="K7518"/>
    </row>
    <row r="7519" spans="1:11" ht="15" x14ac:dyDescent="0.3">
      <c r="A7519" s="581"/>
      <c r="B7519" s="581"/>
      <c r="C7519" s="581"/>
      <c r="D7519" s="581"/>
      <c r="E7519" s="581"/>
      <c r="F7519" s="581" t="s">
        <v>7964</v>
      </c>
      <c r="G7519" s="581"/>
      <c r="H7519" s="581"/>
      <c r="I7519" s="581"/>
      <c r="J7519" s="413">
        <v>0</v>
      </c>
      <c r="K7519"/>
    </row>
    <row r="7520" spans="1:11" ht="12.75" customHeight="1" x14ac:dyDescent="0.3">
      <c r="A7520" s="581"/>
      <c r="B7520" s="581"/>
      <c r="C7520" s="581"/>
      <c r="D7520" s="581"/>
      <c r="E7520" s="581"/>
      <c r="F7520" s="581" t="s">
        <v>7965</v>
      </c>
      <c r="G7520" s="581"/>
      <c r="H7520" s="581"/>
      <c r="I7520" s="581"/>
      <c r="J7520" s="413">
        <v>0</v>
      </c>
      <c r="K7520"/>
    </row>
    <row r="7521" spans="1:11" ht="25.5" customHeight="1" x14ac:dyDescent="0.3">
      <c r="A7521" s="382" t="s">
        <v>7966</v>
      </c>
      <c r="B7521" s="312" t="s">
        <v>414</v>
      </c>
      <c r="C7521" s="382" t="s">
        <v>413</v>
      </c>
      <c r="D7521" s="382" t="s">
        <v>1039</v>
      </c>
      <c r="E7521" s="312" t="s">
        <v>1552</v>
      </c>
      <c r="F7521" s="312" t="s">
        <v>7907</v>
      </c>
      <c r="G7521" s="584" t="s">
        <v>7967</v>
      </c>
      <c r="H7521" s="584"/>
      <c r="I7521" s="584"/>
      <c r="J7521" s="312" t="s">
        <v>7905</v>
      </c>
      <c r="K7521"/>
    </row>
    <row r="7522" spans="1:11" ht="25.5" customHeight="1" x14ac:dyDescent="0.3">
      <c r="A7522" s="400" t="s">
        <v>1038</v>
      </c>
      <c r="B7522" s="401" t="s">
        <v>395</v>
      </c>
      <c r="C7522" s="400">
        <v>32</v>
      </c>
      <c r="D7522" s="400" t="s">
        <v>4581</v>
      </c>
      <c r="E7522" s="403">
        <v>1.07</v>
      </c>
      <c r="F7522" s="402" t="s">
        <v>3</v>
      </c>
      <c r="G7522" s="607">
        <v>8.74</v>
      </c>
      <c r="H7522" s="607"/>
      <c r="I7522" s="605"/>
      <c r="J7522" s="414">
        <v>9.3518000000000008</v>
      </c>
      <c r="K7522"/>
    </row>
    <row r="7523" spans="1:11" ht="25.5" customHeight="1" x14ac:dyDescent="0.3">
      <c r="A7523" s="581"/>
      <c r="B7523" s="581"/>
      <c r="C7523" s="581"/>
      <c r="D7523" s="581"/>
      <c r="E7523" s="581"/>
      <c r="F7523" s="581" t="s">
        <v>7968</v>
      </c>
      <c r="G7523" s="581"/>
      <c r="H7523" s="581"/>
      <c r="I7523" s="581"/>
      <c r="J7523" s="413">
        <v>9.3518000000000008</v>
      </c>
      <c r="K7523"/>
    </row>
    <row r="7524" spans="1:11" ht="12.75" customHeight="1" x14ac:dyDescent="0.3">
      <c r="A7524" s="382" t="s">
        <v>7969</v>
      </c>
      <c r="B7524" s="312" t="s">
        <v>414</v>
      </c>
      <c r="C7524" s="382" t="s">
        <v>413</v>
      </c>
      <c r="D7524" s="382" t="s">
        <v>7970</v>
      </c>
      <c r="E7524" s="312" t="s">
        <v>1552</v>
      </c>
      <c r="F7524" s="312" t="s">
        <v>7907</v>
      </c>
      <c r="G7524" s="584" t="s">
        <v>7967</v>
      </c>
      <c r="H7524" s="584"/>
      <c r="I7524" s="584"/>
      <c r="J7524" s="312" t="s">
        <v>7905</v>
      </c>
      <c r="K7524"/>
    </row>
    <row r="7525" spans="1:11" ht="14.25" customHeight="1" x14ac:dyDescent="0.3">
      <c r="A7525" s="408" t="s">
        <v>7922</v>
      </c>
      <c r="B7525" s="409" t="s">
        <v>395</v>
      </c>
      <c r="C7525" s="408">
        <v>88238</v>
      </c>
      <c r="D7525" s="408" t="s">
        <v>123</v>
      </c>
      <c r="E7525" s="412">
        <v>5.1000000000000004E-3</v>
      </c>
      <c r="F7525" s="410" t="s">
        <v>6</v>
      </c>
      <c r="G7525" s="608">
        <v>33.79</v>
      </c>
      <c r="H7525" s="608"/>
      <c r="I7525" s="604"/>
      <c r="J7525" s="415">
        <v>0.17230000000000001</v>
      </c>
      <c r="K7525"/>
    </row>
    <row r="7526" spans="1:11" ht="51" customHeight="1" x14ac:dyDescent="0.3">
      <c r="A7526" s="408" t="s">
        <v>7922</v>
      </c>
      <c r="B7526" s="409" t="s">
        <v>395</v>
      </c>
      <c r="C7526" s="408">
        <v>88245</v>
      </c>
      <c r="D7526" s="408" t="s">
        <v>126</v>
      </c>
      <c r="E7526" s="412">
        <v>3.1E-2</v>
      </c>
      <c r="F7526" s="410" t="s">
        <v>6</v>
      </c>
      <c r="G7526" s="608">
        <v>40.86</v>
      </c>
      <c r="H7526" s="608"/>
      <c r="I7526" s="604"/>
      <c r="J7526" s="415">
        <v>1.2666999999999999</v>
      </c>
      <c r="K7526"/>
    </row>
    <row r="7527" spans="1:11" ht="30" customHeight="1" x14ac:dyDescent="0.3">
      <c r="A7527" s="581"/>
      <c r="B7527" s="581"/>
      <c r="C7527" s="581"/>
      <c r="D7527" s="581"/>
      <c r="E7527" s="581"/>
      <c r="F7527" s="581" t="s">
        <v>7971</v>
      </c>
      <c r="G7527" s="581"/>
      <c r="H7527" s="581"/>
      <c r="I7527" s="581"/>
      <c r="J7527" s="413">
        <v>1.4390000000000001</v>
      </c>
      <c r="K7527"/>
    </row>
    <row r="7528" spans="1:11" ht="15" x14ac:dyDescent="0.3">
      <c r="A7528" s="405"/>
      <c r="B7528" s="405"/>
      <c r="C7528" s="405"/>
      <c r="D7528" s="405"/>
      <c r="E7528" s="405" t="s">
        <v>1046</v>
      </c>
      <c r="F7528" s="406">
        <v>1.07</v>
      </c>
      <c r="G7528" s="405" t="s">
        <v>1047</v>
      </c>
      <c r="H7528" s="406">
        <v>0</v>
      </c>
      <c r="I7528" s="405" t="s">
        <v>1048</v>
      </c>
      <c r="J7528" s="406">
        <v>1.07</v>
      </c>
      <c r="K7528"/>
    </row>
    <row r="7529" spans="1:11" ht="12.75" customHeight="1" thickBot="1" x14ac:dyDescent="0.35">
      <c r="A7529" s="405"/>
      <c r="B7529" s="405"/>
      <c r="C7529" s="405"/>
      <c r="D7529" s="405"/>
      <c r="E7529" s="405" t="s">
        <v>1049</v>
      </c>
      <c r="F7529" s="406">
        <v>0</v>
      </c>
      <c r="G7529" s="405"/>
      <c r="H7529" s="606"/>
      <c r="I7529" s="606" t="s">
        <v>1050</v>
      </c>
      <c r="J7529" s="406">
        <v>10.79</v>
      </c>
      <c r="K7529"/>
    </row>
    <row r="7530" spans="1:11" ht="25.5" customHeight="1" thickTop="1" x14ac:dyDescent="0.3">
      <c r="A7530" s="407"/>
      <c r="B7530" s="407"/>
      <c r="C7530" s="407"/>
      <c r="D7530" s="407"/>
      <c r="E7530" s="407"/>
      <c r="F7530" s="407"/>
      <c r="G7530" s="407"/>
      <c r="H7530" s="407"/>
      <c r="I7530" s="407"/>
      <c r="J7530" s="407"/>
      <c r="K7530"/>
    </row>
    <row r="7531" spans="1:11" ht="25.5" customHeight="1" x14ac:dyDescent="0.3">
      <c r="A7531" s="382"/>
      <c r="B7531" s="312" t="s">
        <v>413</v>
      </c>
      <c r="C7531" s="382" t="s">
        <v>414</v>
      </c>
      <c r="D7531" s="382" t="s">
        <v>415</v>
      </c>
      <c r="E7531" s="586" t="s">
        <v>1029</v>
      </c>
      <c r="F7531" s="586"/>
      <c r="G7531" s="383" t="s">
        <v>416</v>
      </c>
      <c r="H7531" s="312" t="s">
        <v>1030</v>
      </c>
      <c r="I7531" s="312" t="s">
        <v>3016</v>
      </c>
      <c r="J7531" s="312" t="s">
        <v>1031</v>
      </c>
      <c r="K7531" s="312" t="s">
        <v>1032</v>
      </c>
    </row>
    <row r="7532" spans="1:11" ht="14.25" customHeight="1" x14ac:dyDescent="0.3">
      <c r="A7532" s="313" t="s">
        <v>1033</v>
      </c>
      <c r="B7532" s="315" t="s">
        <v>5188</v>
      </c>
      <c r="C7532" s="313" t="s">
        <v>395</v>
      </c>
      <c r="D7532" s="313" t="s">
        <v>5189</v>
      </c>
      <c r="E7532" s="603" t="s">
        <v>2277</v>
      </c>
      <c r="F7532" s="603"/>
      <c r="G7532" s="314" t="s">
        <v>3</v>
      </c>
      <c r="H7532" s="399">
        <v>1</v>
      </c>
      <c r="I7532" s="316"/>
      <c r="J7532" s="316">
        <v>10.78</v>
      </c>
      <c r="K7532" s="316">
        <v>10.78</v>
      </c>
    </row>
    <row r="7533" spans="1:11" ht="14.25" customHeight="1" x14ac:dyDescent="0.3">
      <c r="A7533" s="408" t="s">
        <v>1034</v>
      </c>
      <c r="B7533" s="409" t="s">
        <v>1315</v>
      </c>
      <c r="C7533" s="408" t="s">
        <v>395</v>
      </c>
      <c r="D7533" s="408" t="s">
        <v>123</v>
      </c>
      <c r="E7533" s="604" t="s">
        <v>7768</v>
      </c>
      <c r="F7533" s="604"/>
      <c r="G7533" s="410" t="s">
        <v>6</v>
      </c>
      <c r="H7533" s="412">
        <v>3.2000000000000002E-3</v>
      </c>
      <c r="I7533" s="412">
        <v>0</v>
      </c>
      <c r="J7533" s="411">
        <v>33.79</v>
      </c>
      <c r="K7533" s="411">
        <v>0.108128</v>
      </c>
    </row>
    <row r="7534" spans="1:11" ht="26.4" x14ac:dyDescent="0.3">
      <c r="A7534" s="408" t="s">
        <v>1034</v>
      </c>
      <c r="B7534" s="409" t="s">
        <v>1301</v>
      </c>
      <c r="C7534" s="408" t="s">
        <v>395</v>
      </c>
      <c r="D7534" s="408" t="s">
        <v>126</v>
      </c>
      <c r="E7534" s="604" t="s">
        <v>7768</v>
      </c>
      <c r="F7534" s="604"/>
      <c r="G7534" s="410" t="s">
        <v>6</v>
      </c>
      <c r="H7534" s="412">
        <v>2.24E-2</v>
      </c>
      <c r="I7534" s="412">
        <v>0</v>
      </c>
      <c r="J7534" s="411">
        <v>40.86</v>
      </c>
      <c r="K7534" s="411">
        <v>0.91526399999999997</v>
      </c>
    </row>
    <row r="7535" spans="1:11" ht="14.25" customHeight="1" x14ac:dyDescent="0.3">
      <c r="A7535" s="400" t="s">
        <v>1038</v>
      </c>
      <c r="B7535" s="401" t="s">
        <v>4330</v>
      </c>
      <c r="C7535" s="400" t="s">
        <v>395</v>
      </c>
      <c r="D7535" s="400" t="s">
        <v>4331</v>
      </c>
      <c r="E7535" s="605" t="s">
        <v>1039</v>
      </c>
      <c r="F7535" s="605"/>
      <c r="G7535" s="402" t="s">
        <v>3</v>
      </c>
      <c r="H7535" s="403">
        <v>1.1100000000000001</v>
      </c>
      <c r="I7535" s="403">
        <v>0</v>
      </c>
      <c r="J7535" s="404">
        <v>8.7899999999999991</v>
      </c>
      <c r="K7535" s="404">
        <v>9.7568999999999999</v>
      </c>
    </row>
    <row r="7536" spans="1:11" ht="17.399999999999999" customHeight="1" x14ac:dyDescent="0.3">
      <c r="A7536" s="405"/>
      <c r="B7536" s="405"/>
      <c r="C7536" s="405"/>
      <c r="D7536" s="405"/>
      <c r="E7536" s="405" t="s">
        <v>1046</v>
      </c>
      <c r="F7536" s="406">
        <v>0.76</v>
      </c>
      <c r="G7536" s="405" t="s">
        <v>1047</v>
      </c>
      <c r="H7536" s="406">
        <v>0.01</v>
      </c>
      <c r="I7536" s="405" t="s">
        <v>1048</v>
      </c>
      <c r="J7536" s="406">
        <v>0.77</v>
      </c>
      <c r="K7536"/>
    </row>
    <row r="7537" spans="1:11" ht="25.5" customHeight="1" thickBot="1" x14ac:dyDescent="0.35">
      <c r="A7537" s="405"/>
      <c r="B7537" s="405"/>
      <c r="C7537" s="405"/>
      <c r="D7537" s="405"/>
      <c r="E7537" s="405" t="s">
        <v>1049</v>
      </c>
      <c r="F7537" s="406">
        <v>0</v>
      </c>
      <c r="G7537" s="405"/>
      <c r="H7537" s="606"/>
      <c r="I7537" s="606" t="s">
        <v>1050</v>
      </c>
      <c r="J7537" s="406">
        <v>10.78</v>
      </c>
      <c r="K7537"/>
    </row>
    <row r="7538" spans="1:11" ht="25.5" customHeight="1" thickTop="1" x14ac:dyDescent="0.3">
      <c r="A7538" s="407"/>
      <c r="B7538" s="407"/>
      <c r="C7538" s="407"/>
      <c r="D7538" s="407"/>
      <c r="E7538" s="407"/>
      <c r="F7538" s="407"/>
      <c r="G7538" s="407"/>
      <c r="H7538" s="407"/>
      <c r="I7538" s="407"/>
      <c r="J7538" s="407"/>
      <c r="K7538"/>
    </row>
    <row r="7539" spans="1:11" ht="12.75" customHeight="1" x14ac:dyDescent="0.3">
      <c r="A7539" s="382"/>
      <c r="B7539" s="312" t="s">
        <v>413</v>
      </c>
      <c r="C7539" s="382" t="s">
        <v>414</v>
      </c>
      <c r="D7539" s="382" t="s">
        <v>415</v>
      </c>
      <c r="E7539" s="586" t="s">
        <v>1029</v>
      </c>
      <c r="F7539" s="586"/>
      <c r="G7539" s="383" t="s">
        <v>416</v>
      </c>
      <c r="H7539" s="312" t="s">
        <v>1030</v>
      </c>
      <c r="I7539" s="312" t="s">
        <v>3016</v>
      </c>
      <c r="J7539" s="312" t="s">
        <v>1031</v>
      </c>
      <c r="K7539" s="312" t="s">
        <v>1032</v>
      </c>
    </row>
    <row r="7540" spans="1:11" ht="25.5" customHeight="1" x14ac:dyDescent="0.3">
      <c r="A7540" s="313" t="s">
        <v>1033</v>
      </c>
      <c r="B7540" s="315" t="s">
        <v>7818</v>
      </c>
      <c r="C7540" s="313" t="s">
        <v>395</v>
      </c>
      <c r="D7540" s="313" t="s">
        <v>7819</v>
      </c>
      <c r="E7540" s="603" t="s">
        <v>7820</v>
      </c>
      <c r="F7540" s="603"/>
      <c r="G7540" s="314" t="s">
        <v>3</v>
      </c>
      <c r="H7540" s="399">
        <v>1</v>
      </c>
      <c r="I7540" s="316"/>
      <c r="J7540" s="316">
        <v>10.51</v>
      </c>
      <c r="K7540" s="316">
        <v>10.51</v>
      </c>
    </row>
    <row r="7541" spans="1:11" ht="25.5" customHeight="1" x14ac:dyDescent="0.3">
      <c r="A7541" s="581"/>
      <c r="B7541" s="581"/>
      <c r="C7541" s="581"/>
      <c r="D7541" s="581"/>
      <c r="E7541" s="581"/>
      <c r="F7541" s="581" t="s">
        <v>7961</v>
      </c>
      <c r="G7541" s="581"/>
      <c r="H7541" s="581"/>
      <c r="I7541" s="581"/>
      <c r="J7541" s="413">
        <v>0</v>
      </c>
      <c r="K7541"/>
    </row>
    <row r="7542" spans="1:11" ht="17.399999999999999" customHeight="1" x14ac:dyDescent="0.3">
      <c r="A7542" s="581"/>
      <c r="B7542" s="581"/>
      <c r="C7542" s="581"/>
      <c r="D7542" s="581"/>
      <c r="E7542" s="581"/>
      <c r="F7542" s="581" t="s">
        <v>7962</v>
      </c>
      <c r="G7542" s="581"/>
      <c r="H7542" s="581"/>
      <c r="I7542" s="581"/>
      <c r="J7542" s="413">
        <v>0</v>
      </c>
      <c r="K7542"/>
    </row>
    <row r="7543" spans="1:11" ht="15" x14ac:dyDescent="0.3">
      <c r="A7543" s="581"/>
      <c r="B7543" s="581"/>
      <c r="C7543" s="581"/>
      <c r="D7543" s="581"/>
      <c r="E7543" s="581"/>
      <c r="F7543" s="581" t="s">
        <v>7963</v>
      </c>
      <c r="G7543" s="581"/>
      <c r="H7543" s="581"/>
      <c r="I7543" s="581"/>
      <c r="J7543" s="413">
        <v>0</v>
      </c>
      <c r="K7543"/>
    </row>
    <row r="7544" spans="1:11" ht="15" x14ac:dyDescent="0.3">
      <c r="A7544" s="581"/>
      <c r="B7544" s="581"/>
      <c r="C7544" s="581"/>
      <c r="D7544" s="581"/>
      <c r="E7544" s="581"/>
      <c r="F7544" s="581" t="s">
        <v>7964</v>
      </c>
      <c r="G7544" s="581"/>
      <c r="H7544" s="581"/>
      <c r="I7544" s="581"/>
      <c r="J7544" s="413">
        <v>0</v>
      </c>
      <c r="K7544"/>
    </row>
    <row r="7545" spans="1:11" ht="14.25" customHeight="1" x14ac:dyDescent="0.3">
      <c r="A7545" s="581"/>
      <c r="B7545" s="581"/>
      <c r="C7545" s="581"/>
      <c r="D7545" s="581"/>
      <c r="E7545" s="581"/>
      <c r="F7545" s="581" t="s">
        <v>7965</v>
      </c>
      <c r="G7545" s="581"/>
      <c r="H7545" s="581"/>
      <c r="I7545" s="581"/>
      <c r="J7545" s="413">
        <v>0</v>
      </c>
      <c r="K7545"/>
    </row>
    <row r="7546" spans="1:11" ht="14.25" customHeight="1" x14ac:dyDescent="0.3">
      <c r="A7546" s="382" t="s">
        <v>7966</v>
      </c>
      <c r="B7546" s="312" t="s">
        <v>414</v>
      </c>
      <c r="C7546" s="382" t="s">
        <v>413</v>
      </c>
      <c r="D7546" s="382" t="s">
        <v>1039</v>
      </c>
      <c r="E7546" s="312" t="s">
        <v>1552</v>
      </c>
      <c r="F7546" s="312" t="s">
        <v>7907</v>
      </c>
      <c r="G7546" s="584" t="s">
        <v>7967</v>
      </c>
      <c r="H7546" s="584"/>
      <c r="I7546" s="584"/>
      <c r="J7546" s="312" t="s">
        <v>7905</v>
      </c>
      <c r="K7546"/>
    </row>
    <row r="7547" spans="1:11" ht="14.25" customHeight="1" x14ac:dyDescent="0.3">
      <c r="A7547" s="400" t="s">
        <v>1038</v>
      </c>
      <c r="B7547" s="401" t="s">
        <v>395</v>
      </c>
      <c r="C7547" s="400">
        <v>33</v>
      </c>
      <c r="D7547" s="400" t="s">
        <v>4331</v>
      </c>
      <c r="E7547" s="403">
        <v>1.1100000000000001</v>
      </c>
      <c r="F7547" s="402" t="s">
        <v>3</v>
      </c>
      <c r="G7547" s="607">
        <v>8.7899999999999991</v>
      </c>
      <c r="H7547" s="607"/>
      <c r="I7547" s="605"/>
      <c r="J7547" s="414">
        <v>9.7568999999999999</v>
      </c>
      <c r="K7547"/>
    </row>
    <row r="7548" spans="1:11" ht="17.399999999999999" customHeight="1" x14ac:dyDescent="0.3">
      <c r="A7548" s="581"/>
      <c r="B7548" s="581"/>
      <c r="C7548" s="581"/>
      <c r="D7548" s="581"/>
      <c r="E7548" s="581"/>
      <c r="F7548" s="581" t="s">
        <v>7968</v>
      </c>
      <c r="G7548" s="581"/>
      <c r="H7548" s="581"/>
      <c r="I7548" s="581"/>
      <c r="J7548" s="413">
        <v>9.7568999999999999</v>
      </c>
      <c r="K7548"/>
    </row>
    <row r="7549" spans="1:11" ht="15" x14ac:dyDescent="0.3">
      <c r="A7549" s="382" t="s">
        <v>7969</v>
      </c>
      <c r="B7549" s="312" t="s">
        <v>414</v>
      </c>
      <c r="C7549" s="382" t="s">
        <v>413</v>
      </c>
      <c r="D7549" s="382" t="s">
        <v>7970</v>
      </c>
      <c r="E7549" s="312" t="s">
        <v>1552</v>
      </c>
      <c r="F7549" s="312" t="s">
        <v>7907</v>
      </c>
      <c r="G7549" s="584" t="s">
        <v>7967</v>
      </c>
      <c r="H7549" s="584"/>
      <c r="I7549" s="584"/>
      <c r="J7549" s="312" t="s">
        <v>7905</v>
      </c>
      <c r="K7549"/>
    </row>
    <row r="7550" spans="1:11" ht="25.5" customHeight="1" x14ac:dyDescent="0.3">
      <c r="A7550" s="408" t="s">
        <v>7922</v>
      </c>
      <c r="B7550" s="409" t="s">
        <v>395</v>
      </c>
      <c r="C7550" s="408">
        <v>88238</v>
      </c>
      <c r="D7550" s="408" t="s">
        <v>123</v>
      </c>
      <c r="E7550" s="412">
        <v>2.5999999999999999E-3</v>
      </c>
      <c r="F7550" s="410" t="s">
        <v>6</v>
      </c>
      <c r="G7550" s="608">
        <v>33.79</v>
      </c>
      <c r="H7550" s="608"/>
      <c r="I7550" s="604"/>
      <c r="J7550" s="415">
        <v>8.7900000000000006E-2</v>
      </c>
      <c r="K7550"/>
    </row>
    <row r="7551" spans="1:11" ht="25.5" customHeight="1" x14ac:dyDescent="0.3">
      <c r="A7551" s="408" t="s">
        <v>7922</v>
      </c>
      <c r="B7551" s="409" t="s">
        <v>395</v>
      </c>
      <c r="C7551" s="408">
        <v>88245</v>
      </c>
      <c r="D7551" s="408" t="s">
        <v>126</v>
      </c>
      <c r="E7551" s="412">
        <v>1.6199999999999999E-2</v>
      </c>
      <c r="F7551" s="410" t="s">
        <v>6</v>
      </c>
      <c r="G7551" s="608">
        <v>40.86</v>
      </c>
      <c r="H7551" s="608"/>
      <c r="I7551" s="604"/>
      <c r="J7551" s="415">
        <v>0.66190000000000004</v>
      </c>
      <c r="K7551"/>
    </row>
    <row r="7552" spans="1:11" ht="25.5" customHeight="1" x14ac:dyDescent="0.3">
      <c r="A7552" s="581"/>
      <c r="B7552" s="581"/>
      <c r="C7552" s="581"/>
      <c r="D7552" s="581"/>
      <c r="E7552" s="581"/>
      <c r="F7552" s="581" t="s">
        <v>7971</v>
      </c>
      <c r="G7552" s="581"/>
      <c r="H7552" s="581"/>
      <c r="I7552" s="581"/>
      <c r="J7552" s="413">
        <v>0.74980000000000002</v>
      </c>
      <c r="K7552"/>
    </row>
    <row r="7553" spans="1:11" ht="15" x14ac:dyDescent="0.3">
      <c r="A7553" s="405"/>
      <c r="B7553" s="405"/>
      <c r="C7553" s="405"/>
      <c r="D7553" s="405"/>
      <c r="E7553" s="405" t="s">
        <v>1046</v>
      </c>
      <c r="F7553" s="406">
        <v>0.55783799999999995</v>
      </c>
      <c r="G7553" s="405" t="s">
        <v>1047</v>
      </c>
      <c r="H7553" s="406">
        <v>0</v>
      </c>
      <c r="I7553" s="405" t="s">
        <v>1048</v>
      </c>
      <c r="J7553" s="406">
        <v>0.55000000000000004</v>
      </c>
      <c r="K7553"/>
    </row>
    <row r="7554" spans="1:11" ht="14.25" customHeight="1" thickBot="1" x14ac:dyDescent="0.35">
      <c r="A7554" s="405"/>
      <c r="B7554" s="405"/>
      <c r="C7554" s="405"/>
      <c r="D7554" s="405"/>
      <c r="E7554" s="405" t="s">
        <v>1049</v>
      </c>
      <c r="F7554" s="406">
        <v>0</v>
      </c>
      <c r="G7554" s="405"/>
      <c r="H7554" s="606"/>
      <c r="I7554" s="606" t="s">
        <v>1050</v>
      </c>
      <c r="J7554" s="406">
        <v>10.51</v>
      </c>
      <c r="K7554"/>
    </row>
    <row r="7555" spans="1:11" ht="15.6" thickTop="1" x14ac:dyDescent="0.3">
      <c r="A7555" s="407"/>
      <c r="B7555" s="407"/>
      <c r="C7555" s="407"/>
      <c r="D7555" s="407"/>
      <c r="E7555" s="407"/>
      <c r="F7555" s="407"/>
      <c r="G7555" s="407"/>
      <c r="H7555" s="407"/>
      <c r="I7555" s="407"/>
      <c r="J7555" s="407"/>
      <c r="K7555"/>
    </row>
    <row r="7556" spans="1:11" ht="14.25" customHeight="1" x14ac:dyDescent="0.3">
      <c r="A7556" s="382"/>
      <c r="B7556" s="312" t="s">
        <v>413</v>
      </c>
      <c r="C7556" s="382" t="s">
        <v>414</v>
      </c>
      <c r="D7556" s="382" t="s">
        <v>415</v>
      </c>
      <c r="E7556" s="586" t="s">
        <v>1029</v>
      </c>
      <c r="F7556" s="586"/>
      <c r="G7556" s="383" t="s">
        <v>416</v>
      </c>
      <c r="H7556" s="312" t="s">
        <v>1030</v>
      </c>
      <c r="I7556" s="312" t="s">
        <v>3016</v>
      </c>
      <c r="J7556" s="312" t="s">
        <v>1031</v>
      </c>
      <c r="K7556" s="312" t="s">
        <v>1032</v>
      </c>
    </row>
    <row r="7557" spans="1:11" ht="30" customHeight="1" x14ac:dyDescent="0.3">
      <c r="A7557" s="313" t="s">
        <v>1033</v>
      </c>
      <c r="B7557" s="315" t="s">
        <v>8091</v>
      </c>
      <c r="C7557" s="313" t="s">
        <v>395</v>
      </c>
      <c r="D7557" s="313" t="s">
        <v>7978</v>
      </c>
      <c r="E7557" s="603" t="s">
        <v>7820</v>
      </c>
      <c r="F7557" s="603"/>
      <c r="G7557" s="314" t="s">
        <v>3</v>
      </c>
      <c r="H7557" s="399">
        <v>1</v>
      </c>
      <c r="I7557" s="316"/>
      <c r="J7557" s="316">
        <v>12.71</v>
      </c>
      <c r="K7557" s="316">
        <v>12.71</v>
      </c>
    </row>
    <row r="7558" spans="1:11" ht="12.75" customHeight="1" x14ac:dyDescent="0.3">
      <c r="A7558" s="408" t="s">
        <v>1034</v>
      </c>
      <c r="B7558" s="409" t="s">
        <v>1315</v>
      </c>
      <c r="C7558" s="408" t="s">
        <v>395</v>
      </c>
      <c r="D7558" s="408" t="s">
        <v>123</v>
      </c>
      <c r="E7558" s="604" t="s">
        <v>7768</v>
      </c>
      <c r="F7558" s="604"/>
      <c r="G7558" s="410" t="s">
        <v>6</v>
      </c>
      <c r="H7558" s="412">
        <v>1.52E-2</v>
      </c>
      <c r="I7558" s="412">
        <v>0</v>
      </c>
      <c r="J7558" s="411">
        <v>33.79</v>
      </c>
      <c r="K7558" s="411">
        <v>0.51360799999999995</v>
      </c>
    </row>
    <row r="7559" spans="1:11" ht="15" customHeight="1" x14ac:dyDescent="0.3">
      <c r="A7559" s="408" t="s">
        <v>1034</v>
      </c>
      <c r="B7559" s="409" t="s">
        <v>1301</v>
      </c>
      <c r="C7559" s="408" t="s">
        <v>395</v>
      </c>
      <c r="D7559" s="408" t="s">
        <v>126</v>
      </c>
      <c r="E7559" s="604" t="s">
        <v>7768</v>
      </c>
      <c r="F7559" s="604"/>
      <c r="G7559" s="410" t="s">
        <v>6</v>
      </c>
      <c r="H7559" s="412">
        <v>9.3299999999999994E-2</v>
      </c>
      <c r="I7559" s="412">
        <v>0</v>
      </c>
      <c r="J7559" s="411">
        <v>40.86</v>
      </c>
      <c r="K7559" s="411">
        <v>3.8122379999999998</v>
      </c>
    </row>
    <row r="7560" spans="1:11" ht="38.25" customHeight="1" x14ac:dyDescent="0.3">
      <c r="A7560" s="400" t="s">
        <v>1038</v>
      </c>
      <c r="B7560" s="401" t="s">
        <v>4711</v>
      </c>
      <c r="C7560" s="400" t="s">
        <v>395</v>
      </c>
      <c r="D7560" s="400" t="s">
        <v>4712</v>
      </c>
      <c r="E7560" s="605" t="s">
        <v>1039</v>
      </c>
      <c r="F7560" s="605"/>
      <c r="G7560" s="402" t="s">
        <v>3</v>
      </c>
      <c r="H7560" s="403">
        <v>1.07</v>
      </c>
      <c r="I7560" s="403">
        <v>0</v>
      </c>
      <c r="J7560" s="404">
        <v>7.84</v>
      </c>
      <c r="K7560" s="404">
        <v>8.3887999999999998</v>
      </c>
    </row>
    <row r="7561" spans="1:11" ht="25.5" customHeight="1" x14ac:dyDescent="0.3">
      <c r="A7561" s="405"/>
      <c r="B7561" s="405"/>
      <c r="C7561" s="405"/>
      <c r="D7561" s="405"/>
      <c r="E7561" s="405" t="s">
        <v>1046</v>
      </c>
      <c r="F7561" s="406">
        <v>3.22</v>
      </c>
      <c r="G7561" s="405" t="s">
        <v>1047</v>
      </c>
      <c r="H7561" s="406">
        <v>0</v>
      </c>
      <c r="I7561" s="405" t="s">
        <v>1048</v>
      </c>
      <c r="J7561" s="406">
        <v>3.22</v>
      </c>
      <c r="K7561"/>
    </row>
    <row r="7562" spans="1:11" ht="25.5" customHeight="1" thickBot="1" x14ac:dyDescent="0.35">
      <c r="A7562" s="405"/>
      <c r="B7562" s="405"/>
      <c r="C7562" s="405"/>
      <c r="D7562" s="405"/>
      <c r="E7562" s="405" t="s">
        <v>1049</v>
      </c>
      <c r="F7562" s="406">
        <v>0</v>
      </c>
      <c r="G7562" s="405"/>
      <c r="H7562" s="606"/>
      <c r="I7562" s="606" t="s">
        <v>1050</v>
      </c>
      <c r="J7562" s="406">
        <v>12.71</v>
      </c>
      <c r="K7562"/>
    </row>
    <row r="7563" spans="1:11" ht="38.25" customHeight="1" thickTop="1" x14ac:dyDescent="0.3">
      <c r="A7563" s="407"/>
      <c r="B7563" s="407"/>
      <c r="C7563" s="407"/>
      <c r="D7563" s="407"/>
      <c r="E7563" s="407"/>
      <c r="F7563" s="407"/>
      <c r="G7563" s="407"/>
      <c r="H7563" s="407"/>
      <c r="I7563" s="407"/>
      <c r="J7563" s="407"/>
      <c r="K7563"/>
    </row>
    <row r="7564" spans="1:11" ht="51" customHeight="1" x14ac:dyDescent="0.3">
      <c r="A7564" s="382"/>
      <c r="B7564" s="312" t="s">
        <v>413</v>
      </c>
      <c r="C7564" s="382" t="s">
        <v>414</v>
      </c>
      <c r="D7564" s="382" t="s">
        <v>415</v>
      </c>
      <c r="E7564" s="586" t="s">
        <v>1029</v>
      </c>
      <c r="F7564" s="586"/>
      <c r="G7564" s="383" t="s">
        <v>416</v>
      </c>
      <c r="H7564" s="312" t="s">
        <v>1030</v>
      </c>
      <c r="I7564" s="312" t="s">
        <v>3016</v>
      </c>
      <c r="J7564" s="312" t="s">
        <v>1031</v>
      </c>
      <c r="K7564" s="312" t="s">
        <v>1032</v>
      </c>
    </row>
    <row r="7565" spans="1:11" ht="14.25" customHeight="1" x14ac:dyDescent="0.3">
      <c r="A7565" s="313" t="s">
        <v>1033</v>
      </c>
      <c r="B7565" s="315" t="s">
        <v>7837</v>
      </c>
      <c r="C7565" s="313" t="s">
        <v>395</v>
      </c>
      <c r="D7565" s="313" t="s">
        <v>7838</v>
      </c>
      <c r="E7565" s="603" t="s">
        <v>7820</v>
      </c>
      <c r="F7565" s="603"/>
      <c r="G7565" s="314" t="s">
        <v>3</v>
      </c>
      <c r="H7565" s="399">
        <v>1</v>
      </c>
      <c r="I7565" s="316"/>
      <c r="J7565" s="316">
        <v>11.08</v>
      </c>
      <c r="K7565" s="316">
        <v>11.08</v>
      </c>
    </row>
    <row r="7566" spans="1:11" ht="14.25" customHeight="1" x14ac:dyDescent="0.3">
      <c r="A7566" s="581"/>
      <c r="B7566" s="581"/>
      <c r="C7566" s="581"/>
      <c r="D7566" s="581"/>
      <c r="E7566" s="581"/>
      <c r="F7566" s="581" t="s">
        <v>7961</v>
      </c>
      <c r="G7566" s="581"/>
      <c r="H7566" s="581"/>
      <c r="I7566" s="581"/>
      <c r="J7566" s="413">
        <v>0</v>
      </c>
      <c r="K7566"/>
    </row>
    <row r="7567" spans="1:11" ht="15" x14ac:dyDescent="0.3">
      <c r="A7567" s="581"/>
      <c r="B7567" s="581"/>
      <c r="C7567" s="581"/>
      <c r="D7567" s="581"/>
      <c r="E7567" s="581"/>
      <c r="F7567" s="581" t="s">
        <v>7962</v>
      </c>
      <c r="G7567" s="581"/>
      <c r="H7567" s="581"/>
      <c r="I7567" s="581"/>
      <c r="J7567" s="413">
        <v>0</v>
      </c>
      <c r="K7567"/>
    </row>
    <row r="7568" spans="1:11" ht="15" x14ac:dyDescent="0.3">
      <c r="A7568" s="581"/>
      <c r="B7568" s="581"/>
      <c r="C7568" s="581"/>
      <c r="D7568" s="581"/>
      <c r="E7568" s="581"/>
      <c r="F7568" s="581" t="s">
        <v>7963</v>
      </c>
      <c r="G7568" s="581"/>
      <c r="H7568" s="581"/>
      <c r="I7568" s="581"/>
      <c r="J7568" s="413">
        <v>0</v>
      </c>
      <c r="K7568"/>
    </row>
    <row r="7569" spans="1:11" ht="12.75" customHeight="1" x14ac:dyDescent="0.3">
      <c r="A7569" s="581"/>
      <c r="B7569" s="581"/>
      <c r="C7569" s="581"/>
      <c r="D7569" s="581"/>
      <c r="E7569" s="581"/>
      <c r="F7569" s="581" t="s">
        <v>7964</v>
      </c>
      <c r="G7569" s="581"/>
      <c r="H7569" s="581"/>
      <c r="I7569" s="581"/>
      <c r="J7569" s="413">
        <v>0</v>
      </c>
      <c r="K7569"/>
    </row>
    <row r="7570" spans="1:11" ht="15" x14ac:dyDescent="0.3">
      <c r="A7570" s="581"/>
      <c r="B7570" s="581"/>
      <c r="C7570" s="581"/>
      <c r="D7570" s="581"/>
      <c r="E7570" s="581"/>
      <c r="F7570" s="581" t="s">
        <v>7965</v>
      </c>
      <c r="G7570" s="581"/>
      <c r="H7570" s="581"/>
      <c r="I7570" s="581"/>
      <c r="J7570" s="413">
        <v>0</v>
      </c>
      <c r="K7570"/>
    </row>
    <row r="7571" spans="1:11" ht="12.75" customHeight="1" x14ac:dyDescent="0.3">
      <c r="A7571" s="382" t="s">
        <v>7966</v>
      </c>
      <c r="B7571" s="312" t="s">
        <v>414</v>
      </c>
      <c r="C7571" s="382" t="s">
        <v>413</v>
      </c>
      <c r="D7571" s="382" t="s">
        <v>1039</v>
      </c>
      <c r="E7571" s="312" t="s">
        <v>1552</v>
      </c>
      <c r="F7571" s="312" t="s">
        <v>7907</v>
      </c>
      <c r="G7571" s="584" t="s">
        <v>7967</v>
      </c>
      <c r="H7571" s="584"/>
      <c r="I7571" s="584"/>
      <c r="J7571" s="312" t="s">
        <v>7905</v>
      </c>
      <c r="K7571"/>
    </row>
    <row r="7572" spans="1:11" ht="17.399999999999999" customHeight="1" x14ac:dyDescent="0.3">
      <c r="A7572" s="400" t="s">
        <v>1038</v>
      </c>
      <c r="B7572" s="401" t="s">
        <v>395</v>
      </c>
      <c r="C7572" s="400">
        <v>43059</v>
      </c>
      <c r="D7572" s="400" t="s">
        <v>4712</v>
      </c>
      <c r="E7572" s="403">
        <v>1.07</v>
      </c>
      <c r="F7572" s="402" t="s">
        <v>3</v>
      </c>
      <c r="G7572" s="607">
        <v>7.84</v>
      </c>
      <c r="H7572" s="607"/>
      <c r="I7572" s="605"/>
      <c r="J7572" s="414">
        <v>8.3887999999999998</v>
      </c>
      <c r="K7572"/>
    </row>
    <row r="7573" spans="1:11" ht="15" x14ac:dyDescent="0.3">
      <c r="A7573" s="581"/>
      <c r="B7573" s="581"/>
      <c r="C7573" s="581"/>
      <c r="D7573" s="581"/>
      <c r="E7573" s="581"/>
      <c r="F7573" s="581" t="s">
        <v>7968</v>
      </c>
      <c r="G7573" s="581"/>
      <c r="H7573" s="581"/>
      <c r="I7573" s="581"/>
      <c r="J7573" s="413">
        <v>8.3887999999999998</v>
      </c>
      <c r="K7573"/>
    </row>
    <row r="7574" spans="1:11" ht="14.25" customHeight="1" x14ac:dyDescent="0.3">
      <c r="A7574" s="382" t="s">
        <v>7969</v>
      </c>
      <c r="B7574" s="312" t="s">
        <v>414</v>
      </c>
      <c r="C7574" s="382" t="s">
        <v>413</v>
      </c>
      <c r="D7574" s="382" t="s">
        <v>7970</v>
      </c>
      <c r="E7574" s="312" t="s">
        <v>1552</v>
      </c>
      <c r="F7574" s="312" t="s">
        <v>7907</v>
      </c>
      <c r="G7574" s="584" t="s">
        <v>7967</v>
      </c>
      <c r="H7574" s="584"/>
      <c r="I7574" s="584"/>
      <c r="J7574" s="312" t="s">
        <v>7905</v>
      </c>
      <c r="K7574"/>
    </row>
    <row r="7575" spans="1:11" ht="14.25" customHeight="1" x14ac:dyDescent="0.3">
      <c r="A7575" s="408" t="s">
        <v>7922</v>
      </c>
      <c r="B7575" s="409" t="s">
        <v>395</v>
      </c>
      <c r="C7575" s="408">
        <v>88238</v>
      </c>
      <c r="D7575" s="408" t="s">
        <v>123</v>
      </c>
      <c r="E7575" s="412">
        <v>9.4999999999999998E-3</v>
      </c>
      <c r="F7575" s="410" t="s">
        <v>6</v>
      </c>
      <c r="G7575" s="608">
        <v>33.79</v>
      </c>
      <c r="H7575" s="608"/>
      <c r="I7575" s="604"/>
      <c r="J7575" s="415">
        <v>0.32100000000000001</v>
      </c>
      <c r="K7575"/>
    </row>
    <row r="7576" spans="1:11" ht="26.4" x14ac:dyDescent="0.3">
      <c r="A7576" s="408" t="s">
        <v>7922</v>
      </c>
      <c r="B7576" s="409" t="s">
        <v>395</v>
      </c>
      <c r="C7576" s="408">
        <v>88245</v>
      </c>
      <c r="D7576" s="408" t="s">
        <v>126</v>
      </c>
      <c r="E7576" s="412">
        <v>5.8099999999999999E-2</v>
      </c>
      <c r="F7576" s="410" t="s">
        <v>6</v>
      </c>
      <c r="G7576" s="608">
        <v>40.86</v>
      </c>
      <c r="H7576" s="608"/>
      <c r="I7576" s="604"/>
      <c r="J7576" s="415">
        <v>2.3740000000000001</v>
      </c>
      <c r="K7576"/>
    </row>
    <row r="7577" spans="1:11" ht="15" x14ac:dyDescent="0.3">
      <c r="A7577" s="581"/>
      <c r="B7577" s="581"/>
      <c r="C7577" s="581"/>
      <c r="D7577" s="581"/>
      <c r="E7577" s="581"/>
      <c r="F7577" s="581" t="s">
        <v>7971</v>
      </c>
      <c r="G7577" s="581"/>
      <c r="H7577" s="581"/>
      <c r="I7577" s="581"/>
      <c r="J7577" s="413">
        <v>2.6949999999999998</v>
      </c>
      <c r="K7577"/>
    </row>
    <row r="7578" spans="1:11" ht="17.399999999999999" customHeight="1" x14ac:dyDescent="0.3">
      <c r="A7578" s="405"/>
      <c r="B7578" s="405"/>
      <c r="C7578" s="405"/>
      <c r="D7578" s="405"/>
      <c r="E7578" s="405" t="s">
        <v>1046</v>
      </c>
      <c r="F7578" s="406">
        <v>2</v>
      </c>
      <c r="G7578" s="405" t="s">
        <v>1047</v>
      </c>
      <c r="H7578" s="406">
        <v>0</v>
      </c>
      <c r="I7578" s="405" t="s">
        <v>1048</v>
      </c>
      <c r="J7578" s="406">
        <v>2</v>
      </c>
      <c r="K7578"/>
    </row>
    <row r="7579" spans="1:11" ht="15.6" thickBot="1" x14ac:dyDescent="0.35">
      <c r="A7579" s="405"/>
      <c r="B7579" s="405"/>
      <c r="C7579" s="405"/>
      <c r="D7579" s="405"/>
      <c r="E7579" s="405" t="s">
        <v>1049</v>
      </c>
      <c r="F7579" s="406">
        <v>0</v>
      </c>
      <c r="G7579" s="405"/>
      <c r="H7579" s="606"/>
      <c r="I7579" s="606" t="s">
        <v>1050</v>
      </c>
      <c r="J7579" s="406">
        <v>11.08</v>
      </c>
      <c r="K7579"/>
    </row>
    <row r="7580" spans="1:11" ht="15.6" thickTop="1" x14ac:dyDescent="0.3">
      <c r="A7580" s="407"/>
      <c r="B7580" s="407"/>
      <c r="C7580" s="407"/>
      <c r="D7580" s="407"/>
      <c r="E7580" s="407"/>
      <c r="F7580" s="407"/>
      <c r="G7580" s="407"/>
      <c r="H7580" s="407"/>
      <c r="I7580" s="407"/>
      <c r="J7580" s="407"/>
      <c r="K7580"/>
    </row>
    <row r="7581" spans="1:11" ht="14.25" customHeight="1" x14ac:dyDescent="0.3">
      <c r="A7581" s="382"/>
      <c r="B7581" s="312" t="s">
        <v>413</v>
      </c>
      <c r="C7581" s="382" t="s">
        <v>414</v>
      </c>
      <c r="D7581" s="382" t="s">
        <v>415</v>
      </c>
      <c r="E7581" s="586" t="s">
        <v>1029</v>
      </c>
      <c r="F7581" s="586"/>
      <c r="G7581" s="383" t="s">
        <v>416</v>
      </c>
      <c r="H7581" s="312" t="s">
        <v>1030</v>
      </c>
      <c r="I7581" s="312" t="s">
        <v>3016</v>
      </c>
      <c r="J7581" s="312" t="s">
        <v>1031</v>
      </c>
      <c r="K7581" s="312" t="s">
        <v>1032</v>
      </c>
    </row>
    <row r="7582" spans="1:11" ht="14.25" customHeight="1" x14ac:dyDescent="0.3">
      <c r="A7582" s="313" t="s">
        <v>1033</v>
      </c>
      <c r="B7582" s="315" t="s">
        <v>7896</v>
      </c>
      <c r="C7582" s="313" t="s">
        <v>395</v>
      </c>
      <c r="D7582" s="313" t="s">
        <v>7897</v>
      </c>
      <c r="E7582" s="603" t="s">
        <v>7768</v>
      </c>
      <c r="F7582" s="603"/>
      <c r="G7582" s="314" t="s">
        <v>6</v>
      </c>
      <c r="H7582" s="399">
        <v>1</v>
      </c>
      <c r="I7582" s="316"/>
      <c r="J7582" s="316">
        <v>0.27</v>
      </c>
      <c r="K7582" s="316">
        <v>0.27</v>
      </c>
    </row>
    <row r="7583" spans="1:11" ht="30" customHeight="1" x14ac:dyDescent="0.3">
      <c r="A7583" s="400" t="s">
        <v>1038</v>
      </c>
      <c r="B7583" s="401" t="s">
        <v>4681</v>
      </c>
      <c r="C7583" s="400" t="s">
        <v>395</v>
      </c>
      <c r="D7583" s="400" t="s">
        <v>4682</v>
      </c>
      <c r="E7583" s="605" t="s">
        <v>1053</v>
      </c>
      <c r="F7583" s="605"/>
      <c r="G7583" s="402" t="s">
        <v>6</v>
      </c>
      <c r="H7583" s="403">
        <v>1.154E-2</v>
      </c>
      <c r="I7583" s="403">
        <v>0</v>
      </c>
      <c r="J7583" s="404">
        <v>23.31</v>
      </c>
      <c r="K7583" s="404">
        <v>0.2689974</v>
      </c>
    </row>
    <row r="7584" spans="1:11" ht="14.25" customHeight="1" x14ac:dyDescent="0.3">
      <c r="A7584" s="405"/>
      <c r="B7584" s="405"/>
      <c r="C7584" s="405"/>
      <c r="D7584" s="405"/>
      <c r="E7584" s="405" t="s">
        <v>1046</v>
      </c>
      <c r="F7584" s="406">
        <v>0.27</v>
      </c>
      <c r="G7584" s="405" t="s">
        <v>1047</v>
      </c>
      <c r="H7584" s="406">
        <v>0</v>
      </c>
      <c r="I7584" s="405" t="s">
        <v>1048</v>
      </c>
      <c r="J7584" s="406">
        <v>0.27</v>
      </c>
      <c r="K7584"/>
    </row>
    <row r="7585" spans="1:11" ht="25.5" customHeight="1" thickBot="1" x14ac:dyDescent="0.35">
      <c r="A7585" s="405"/>
      <c r="B7585" s="405"/>
      <c r="C7585" s="405"/>
      <c r="D7585" s="405"/>
      <c r="E7585" s="405" t="s">
        <v>1049</v>
      </c>
      <c r="F7585" s="406">
        <v>0</v>
      </c>
      <c r="G7585" s="405"/>
      <c r="H7585" s="606"/>
      <c r="I7585" s="606" t="s">
        <v>1050</v>
      </c>
      <c r="J7585" s="406">
        <v>0.27</v>
      </c>
      <c r="K7585"/>
    </row>
    <row r="7586" spans="1:11" ht="25.5" customHeight="1" thickTop="1" x14ac:dyDescent="0.3">
      <c r="A7586" s="407"/>
      <c r="B7586" s="407"/>
      <c r="C7586" s="407"/>
      <c r="D7586" s="407"/>
      <c r="E7586" s="407"/>
      <c r="F7586" s="407"/>
      <c r="G7586" s="407"/>
      <c r="H7586" s="407"/>
      <c r="I7586" s="407"/>
      <c r="J7586" s="407"/>
      <c r="K7586"/>
    </row>
    <row r="7587" spans="1:11" ht="17.399999999999999" customHeight="1" x14ac:dyDescent="0.3">
      <c r="A7587" s="382"/>
      <c r="B7587" s="312" t="s">
        <v>413</v>
      </c>
      <c r="C7587" s="382" t="s">
        <v>414</v>
      </c>
      <c r="D7587" s="382" t="s">
        <v>415</v>
      </c>
      <c r="E7587" s="586" t="s">
        <v>1029</v>
      </c>
      <c r="F7587" s="586"/>
      <c r="G7587" s="383" t="s">
        <v>416</v>
      </c>
      <c r="H7587" s="312" t="s">
        <v>1030</v>
      </c>
      <c r="I7587" s="312" t="s">
        <v>3016</v>
      </c>
      <c r="J7587" s="312" t="s">
        <v>1031</v>
      </c>
      <c r="K7587" s="312" t="s">
        <v>1032</v>
      </c>
    </row>
    <row r="7588" spans="1:11" ht="14.25" customHeight="1" x14ac:dyDescent="0.3">
      <c r="A7588" s="313" t="s">
        <v>1033</v>
      </c>
      <c r="B7588" s="315" t="s">
        <v>8092</v>
      </c>
      <c r="C7588" s="313" t="s">
        <v>439</v>
      </c>
      <c r="D7588" s="313" t="s">
        <v>7928</v>
      </c>
      <c r="E7588" s="603" t="s">
        <v>7770</v>
      </c>
      <c r="F7588" s="603"/>
      <c r="G7588" s="314" t="s">
        <v>1109</v>
      </c>
      <c r="H7588" s="399">
        <v>1</v>
      </c>
      <c r="I7588" s="316"/>
      <c r="J7588" s="316">
        <v>0.28999999999999998</v>
      </c>
      <c r="K7588" s="316">
        <v>0.28999999999999998</v>
      </c>
    </row>
    <row r="7589" spans="1:11" ht="15" x14ac:dyDescent="0.3">
      <c r="A7589" s="586" t="s">
        <v>3312</v>
      </c>
      <c r="B7589" s="584" t="s">
        <v>413</v>
      </c>
      <c r="C7589" s="586" t="s">
        <v>414</v>
      </c>
      <c r="D7589" s="586" t="s">
        <v>7901</v>
      </c>
      <c r="E7589" s="585" t="s">
        <v>7902</v>
      </c>
      <c r="F7589" s="584"/>
      <c r="G7589" s="585" t="s">
        <v>7903</v>
      </c>
      <c r="H7589" s="584"/>
      <c r="I7589" s="584" t="s">
        <v>7904</v>
      </c>
      <c r="J7589" s="584" t="s">
        <v>7905</v>
      </c>
      <c r="K7589"/>
    </row>
    <row r="7590" spans="1:11" ht="15" customHeight="1" x14ac:dyDescent="0.3">
      <c r="A7590" s="584"/>
      <c r="B7590" s="584"/>
      <c r="C7590" s="584"/>
      <c r="D7590" s="584"/>
      <c r="E7590" s="312" t="s">
        <v>4013</v>
      </c>
      <c r="F7590" s="312" t="s">
        <v>4014</v>
      </c>
      <c r="G7590" s="312" t="s">
        <v>4013</v>
      </c>
      <c r="H7590" s="312" t="s">
        <v>4014</v>
      </c>
      <c r="I7590" s="584"/>
      <c r="J7590" s="584"/>
      <c r="K7590"/>
    </row>
    <row r="7591" spans="1:11" ht="30" customHeight="1" x14ac:dyDescent="0.3">
      <c r="A7591" s="581"/>
      <c r="B7591" s="581"/>
      <c r="C7591" s="581"/>
      <c r="D7591" s="581"/>
      <c r="E7591" s="581"/>
      <c r="F7591" s="581" t="s">
        <v>7906</v>
      </c>
      <c r="G7591" s="581"/>
      <c r="H7591" s="581"/>
      <c r="I7591" s="581"/>
      <c r="J7591" s="381">
        <v>0</v>
      </c>
      <c r="K7591"/>
    </row>
    <row r="7592" spans="1:11" ht="14.25" customHeight="1" x14ac:dyDescent="0.3">
      <c r="A7592" s="382" t="s">
        <v>371</v>
      </c>
      <c r="B7592" s="312" t="s">
        <v>413</v>
      </c>
      <c r="C7592" s="382" t="s">
        <v>414</v>
      </c>
      <c r="D7592" s="382" t="s">
        <v>1053</v>
      </c>
      <c r="E7592" s="312"/>
      <c r="F7592" s="584"/>
      <c r="G7592" s="584" t="s">
        <v>7907</v>
      </c>
      <c r="H7592" s="584" t="s">
        <v>7908</v>
      </c>
      <c r="I7592" s="584" t="s">
        <v>7904</v>
      </c>
      <c r="J7592" s="312" t="s">
        <v>7905</v>
      </c>
      <c r="K7592"/>
    </row>
    <row r="7593" spans="1:11" ht="26.4" x14ac:dyDescent="0.3">
      <c r="A7593" s="400" t="s">
        <v>1038</v>
      </c>
      <c r="B7593" s="401" t="s">
        <v>7909</v>
      </c>
      <c r="C7593" s="400" t="s">
        <v>439</v>
      </c>
      <c r="D7593" s="400" t="s">
        <v>7693</v>
      </c>
      <c r="E7593" s="403"/>
      <c r="F7593" s="400"/>
      <c r="G7593" s="400" t="s">
        <v>6</v>
      </c>
      <c r="H7593" s="400">
        <v>20</v>
      </c>
      <c r="I7593" s="404">
        <v>1.4760000000000001E-2</v>
      </c>
      <c r="J7593" s="404">
        <v>0.28999999999999998</v>
      </c>
      <c r="K7593"/>
    </row>
    <row r="7594" spans="1:11" ht="15" x14ac:dyDescent="0.3">
      <c r="A7594" s="581"/>
      <c r="B7594" s="581"/>
      <c r="C7594" s="581"/>
      <c r="D7594" s="581"/>
      <c r="E7594" s="581"/>
      <c r="F7594" s="581" t="s">
        <v>7910</v>
      </c>
      <c r="G7594" s="581"/>
      <c r="H7594" s="581"/>
      <c r="I7594" s="581"/>
      <c r="J7594" s="381">
        <v>0.28999999999999998</v>
      </c>
      <c r="K7594"/>
    </row>
    <row r="7595" spans="1:11" ht="14.25" customHeight="1" x14ac:dyDescent="0.3">
      <c r="A7595" s="581"/>
      <c r="B7595" s="581"/>
      <c r="C7595" s="581"/>
      <c r="D7595" s="581"/>
      <c r="E7595" s="581"/>
      <c r="F7595" s="581" t="s">
        <v>7911</v>
      </c>
      <c r="G7595" s="581"/>
      <c r="H7595" s="581"/>
      <c r="I7595" s="581"/>
      <c r="J7595" s="381">
        <v>0.28999999999999998</v>
      </c>
      <c r="K7595"/>
    </row>
    <row r="7596" spans="1:11" ht="25.5" customHeight="1" x14ac:dyDescent="0.3">
      <c r="A7596" s="581"/>
      <c r="B7596" s="581"/>
      <c r="C7596" s="581"/>
      <c r="D7596" s="581"/>
      <c r="E7596" s="581"/>
      <c r="F7596" s="581" t="s">
        <v>7912</v>
      </c>
      <c r="G7596" s="581"/>
      <c r="H7596" s="581"/>
      <c r="I7596" s="581"/>
      <c r="J7596" s="381">
        <v>1</v>
      </c>
      <c r="K7596"/>
    </row>
    <row r="7597" spans="1:11" ht="25.5" customHeight="1" x14ac:dyDescent="0.3">
      <c r="A7597" s="581"/>
      <c r="B7597" s="581"/>
      <c r="C7597" s="581"/>
      <c r="D7597" s="581"/>
      <c r="E7597" s="581"/>
      <c r="F7597" s="581" t="s">
        <v>7913</v>
      </c>
      <c r="G7597" s="581"/>
      <c r="H7597" s="581"/>
      <c r="I7597" s="581"/>
      <c r="J7597" s="381">
        <v>0.28999999999999998</v>
      </c>
      <c r="K7597"/>
    </row>
    <row r="7598" spans="1:11" ht="25.5" customHeight="1" x14ac:dyDescent="0.3">
      <c r="A7598" s="382" t="s">
        <v>7914</v>
      </c>
      <c r="B7598" s="312" t="s">
        <v>414</v>
      </c>
      <c r="C7598" s="382" t="s">
        <v>413</v>
      </c>
      <c r="D7598" s="382" t="s">
        <v>1039</v>
      </c>
      <c r="E7598" s="312"/>
      <c r="F7598" s="312"/>
      <c r="G7598" s="312" t="s">
        <v>7907</v>
      </c>
      <c r="H7598" s="312" t="s">
        <v>7908</v>
      </c>
      <c r="I7598" s="312" t="s">
        <v>1552</v>
      </c>
      <c r="J7598" s="312" t="s">
        <v>7905</v>
      </c>
      <c r="K7598"/>
    </row>
    <row r="7599" spans="1:11" ht="25.5" customHeight="1" x14ac:dyDescent="0.3">
      <c r="A7599" s="581"/>
      <c r="B7599" s="581"/>
      <c r="C7599" s="581"/>
      <c r="D7599" s="581"/>
      <c r="E7599" s="581"/>
      <c r="F7599" s="581" t="s">
        <v>7920</v>
      </c>
      <c r="G7599" s="581"/>
      <c r="H7599" s="581"/>
      <c r="I7599" s="581"/>
      <c r="J7599" s="381">
        <v>0</v>
      </c>
      <c r="K7599"/>
    </row>
    <row r="7600" spans="1:11" ht="25.5" customHeight="1" x14ac:dyDescent="0.3">
      <c r="A7600" s="382" t="s">
        <v>7921</v>
      </c>
      <c r="B7600" s="312" t="s">
        <v>414</v>
      </c>
      <c r="C7600" s="382" t="s">
        <v>413</v>
      </c>
      <c r="D7600" s="382" t="s">
        <v>2381</v>
      </c>
      <c r="E7600" s="312"/>
      <c r="F7600" s="312"/>
      <c r="G7600" s="312" t="s">
        <v>7907</v>
      </c>
      <c r="H7600" s="312" t="s">
        <v>7908</v>
      </c>
      <c r="I7600" s="312" t="s">
        <v>1552</v>
      </c>
      <c r="J7600" s="312" t="s">
        <v>7905</v>
      </c>
      <c r="K7600"/>
    </row>
    <row r="7601" spans="1:11" ht="38.25" customHeight="1" x14ac:dyDescent="0.3">
      <c r="A7601" s="581"/>
      <c r="B7601" s="581"/>
      <c r="C7601" s="581"/>
      <c r="D7601" s="581"/>
      <c r="E7601" s="581"/>
      <c r="F7601" s="581" t="s">
        <v>7929</v>
      </c>
      <c r="G7601" s="581"/>
      <c r="H7601" s="581"/>
      <c r="I7601" s="581"/>
      <c r="J7601" s="381">
        <v>0</v>
      </c>
      <c r="K7601"/>
    </row>
    <row r="7602" spans="1:11" ht="14.25" customHeight="1" x14ac:dyDescent="0.3">
      <c r="A7602" s="382" t="s">
        <v>6</v>
      </c>
      <c r="B7602" s="312" t="s">
        <v>414</v>
      </c>
      <c r="C7602" s="382" t="s">
        <v>413</v>
      </c>
      <c r="D7602" s="382" t="s">
        <v>7930</v>
      </c>
      <c r="E7602" s="312" t="s">
        <v>7931</v>
      </c>
      <c r="F7602" s="312" t="s">
        <v>7932</v>
      </c>
      <c r="G7602" s="312" t="s">
        <v>7907</v>
      </c>
      <c r="H7602" s="312" t="s">
        <v>7908</v>
      </c>
      <c r="I7602" s="312" t="s">
        <v>1552</v>
      </c>
      <c r="J7602" s="312" t="s">
        <v>7905</v>
      </c>
      <c r="K7602"/>
    </row>
    <row r="7603" spans="1:11" ht="25.5" customHeight="1" x14ac:dyDescent="0.3">
      <c r="A7603" s="581"/>
      <c r="B7603" s="581"/>
      <c r="C7603" s="581"/>
      <c r="D7603" s="581"/>
      <c r="E7603" s="581"/>
      <c r="F7603" s="581" t="s">
        <v>7933</v>
      </c>
      <c r="G7603" s="581"/>
      <c r="H7603" s="581"/>
      <c r="I7603" s="581"/>
      <c r="J7603" s="381">
        <v>0</v>
      </c>
      <c r="K7603"/>
    </row>
    <row r="7604" spans="1:11" ht="12.75" customHeight="1" x14ac:dyDescent="0.3">
      <c r="A7604" s="405"/>
      <c r="B7604" s="405"/>
      <c r="C7604" s="405"/>
      <c r="D7604" s="405"/>
      <c r="E7604" s="405" t="s">
        <v>1046</v>
      </c>
      <c r="F7604" s="406">
        <v>0.29521771200000002</v>
      </c>
      <c r="G7604" s="405" t="s">
        <v>1047</v>
      </c>
      <c r="H7604" s="406">
        <v>0</v>
      </c>
      <c r="I7604" s="405" t="s">
        <v>1048</v>
      </c>
      <c r="J7604" s="406">
        <v>0.28999999999999998</v>
      </c>
      <c r="K7604"/>
    </row>
    <row r="7605" spans="1:11" ht="15.6" thickBot="1" x14ac:dyDescent="0.35">
      <c r="A7605" s="405"/>
      <c r="B7605" s="405"/>
      <c r="C7605" s="405"/>
      <c r="D7605" s="405"/>
      <c r="E7605" s="405" t="s">
        <v>1049</v>
      </c>
      <c r="F7605" s="406">
        <v>0</v>
      </c>
      <c r="G7605" s="405"/>
      <c r="H7605" s="606"/>
      <c r="I7605" s="606" t="s">
        <v>1050</v>
      </c>
      <c r="J7605" s="406">
        <v>0.28999999999999998</v>
      </c>
      <c r="K7605"/>
    </row>
    <row r="7606" spans="1:11" ht="14.25" customHeight="1" thickTop="1" x14ac:dyDescent="0.3">
      <c r="A7606" s="407"/>
      <c r="B7606" s="407"/>
      <c r="C7606" s="407"/>
      <c r="D7606" s="407"/>
      <c r="E7606" s="407"/>
      <c r="F7606" s="407"/>
      <c r="G7606" s="407"/>
      <c r="H7606" s="407"/>
      <c r="I7606" s="407"/>
      <c r="J7606" s="407"/>
      <c r="K7606"/>
    </row>
    <row r="7607" spans="1:11" ht="15" x14ac:dyDescent="0.3">
      <c r="A7607" s="382"/>
      <c r="B7607" s="312" t="s">
        <v>413</v>
      </c>
      <c r="C7607" s="382" t="s">
        <v>414</v>
      </c>
      <c r="D7607" s="382" t="s">
        <v>415</v>
      </c>
      <c r="E7607" s="586" t="s">
        <v>1029</v>
      </c>
      <c r="F7607" s="586"/>
      <c r="G7607" s="383" t="s">
        <v>416</v>
      </c>
      <c r="H7607" s="312" t="s">
        <v>1030</v>
      </c>
      <c r="I7607" s="312" t="s">
        <v>3016</v>
      </c>
      <c r="J7607" s="312" t="s">
        <v>1031</v>
      </c>
      <c r="K7607" s="312" t="s">
        <v>1032</v>
      </c>
    </row>
    <row r="7608" spans="1:11" ht="26.4" x14ac:dyDescent="0.3">
      <c r="A7608" s="313" t="s">
        <v>1033</v>
      </c>
      <c r="B7608" s="315" t="s">
        <v>7898</v>
      </c>
      <c r="C7608" s="313" t="s">
        <v>395</v>
      </c>
      <c r="D7608" s="313" t="s">
        <v>7899</v>
      </c>
      <c r="E7608" s="603" t="s">
        <v>7768</v>
      </c>
      <c r="F7608" s="603"/>
      <c r="G7608" s="314" t="s">
        <v>6</v>
      </c>
      <c r="H7608" s="399">
        <v>1</v>
      </c>
      <c r="I7608" s="316"/>
      <c r="J7608" s="316">
        <v>0.34</v>
      </c>
      <c r="K7608" s="316">
        <v>0.34</v>
      </c>
    </row>
    <row r="7609" spans="1:11" ht="15" customHeight="1" x14ac:dyDescent="0.3">
      <c r="A7609" s="400" t="s">
        <v>1038</v>
      </c>
      <c r="B7609" s="401" t="s">
        <v>4045</v>
      </c>
      <c r="C7609" s="400" t="s">
        <v>395</v>
      </c>
      <c r="D7609" s="400" t="s">
        <v>4046</v>
      </c>
      <c r="E7609" s="605" t="s">
        <v>1053</v>
      </c>
      <c r="F7609" s="605"/>
      <c r="G7609" s="402" t="s">
        <v>6</v>
      </c>
      <c r="H7609" s="403">
        <v>1.4760000000000001E-2</v>
      </c>
      <c r="I7609" s="403">
        <v>0</v>
      </c>
      <c r="J7609" s="404">
        <v>23.31</v>
      </c>
      <c r="K7609" s="404">
        <v>0.34405560000000002</v>
      </c>
    </row>
    <row r="7610" spans="1:11" ht="25.5" customHeight="1" x14ac:dyDescent="0.3">
      <c r="A7610" s="405"/>
      <c r="B7610" s="405"/>
      <c r="C7610" s="405"/>
      <c r="D7610" s="405"/>
      <c r="E7610" s="405" t="s">
        <v>1046</v>
      </c>
      <c r="F7610" s="406">
        <v>0.34</v>
      </c>
      <c r="G7610" s="405" t="s">
        <v>1047</v>
      </c>
      <c r="H7610" s="406">
        <v>0</v>
      </c>
      <c r="I7610" s="405" t="s">
        <v>1048</v>
      </c>
      <c r="J7610" s="406">
        <v>0.34</v>
      </c>
      <c r="K7610"/>
    </row>
    <row r="7611" spans="1:11" ht="25.5" customHeight="1" thickBot="1" x14ac:dyDescent="0.35">
      <c r="A7611" s="405"/>
      <c r="B7611" s="405"/>
      <c r="C7611" s="405"/>
      <c r="D7611" s="405"/>
      <c r="E7611" s="405" t="s">
        <v>1049</v>
      </c>
      <c r="F7611" s="406">
        <v>0</v>
      </c>
      <c r="G7611" s="405"/>
      <c r="H7611" s="606"/>
      <c r="I7611" s="606" t="s">
        <v>1050</v>
      </c>
      <c r="J7611" s="406">
        <v>0.34</v>
      </c>
      <c r="K7611"/>
    </row>
    <row r="7612" spans="1:11" ht="25.5" customHeight="1" thickTop="1" x14ac:dyDescent="0.3">
      <c r="A7612" s="407"/>
      <c r="B7612" s="407"/>
      <c r="C7612" s="407"/>
      <c r="D7612" s="407"/>
      <c r="E7612" s="407"/>
      <c r="F7612" s="407"/>
      <c r="G7612" s="407"/>
      <c r="H7612" s="407"/>
      <c r="I7612" s="407"/>
      <c r="J7612" s="407"/>
      <c r="K7612"/>
    </row>
    <row r="7613" spans="1:11" ht="25.5" customHeight="1" x14ac:dyDescent="0.3">
      <c r="A7613" s="382"/>
      <c r="B7613" s="312" t="s">
        <v>413</v>
      </c>
      <c r="C7613" s="382" t="s">
        <v>414</v>
      </c>
      <c r="D7613" s="382" t="s">
        <v>415</v>
      </c>
      <c r="E7613" s="586" t="s">
        <v>1029</v>
      </c>
      <c r="F7613" s="586"/>
      <c r="G7613" s="383" t="s">
        <v>416</v>
      </c>
      <c r="H7613" s="312" t="s">
        <v>1030</v>
      </c>
      <c r="I7613" s="312" t="s">
        <v>3016</v>
      </c>
      <c r="J7613" s="312" t="s">
        <v>1031</v>
      </c>
      <c r="K7613" s="312" t="s">
        <v>1032</v>
      </c>
    </row>
    <row r="7614" spans="1:11" ht="14.25" customHeight="1" x14ac:dyDescent="0.3">
      <c r="A7614" s="313" t="s">
        <v>1033</v>
      </c>
      <c r="B7614" s="315" t="s">
        <v>7942</v>
      </c>
      <c r="C7614" s="313" t="s">
        <v>395</v>
      </c>
      <c r="D7614" s="313" t="s">
        <v>7943</v>
      </c>
      <c r="E7614" s="603" t="s">
        <v>7768</v>
      </c>
      <c r="F7614" s="603"/>
      <c r="G7614" s="314" t="s">
        <v>6</v>
      </c>
      <c r="H7614" s="399">
        <v>1</v>
      </c>
      <c r="I7614" s="316"/>
      <c r="J7614" s="316">
        <v>0.27</v>
      </c>
      <c r="K7614" s="316">
        <v>0.27</v>
      </c>
    </row>
    <row r="7615" spans="1:11" ht="12.75" customHeight="1" x14ac:dyDescent="0.3">
      <c r="A7615" s="400" t="s">
        <v>1038</v>
      </c>
      <c r="B7615" s="401" t="s">
        <v>4208</v>
      </c>
      <c r="C7615" s="400" t="s">
        <v>395</v>
      </c>
      <c r="D7615" s="400" t="s">
        <v>4209</v>
      </c>
      <c r="E7615" s="605" t="s">
        <v>1053</v>
      </c>
      <c r="F7615" s="605"/>
      <c r="G7615" s="402" t="s">
        <v>6</v>
      </c>
      <c r="H7615" s="403">
        <v>1.154E-2</v>
      </c>
      <c r="I7615" s="403">
        <v>0</v>
      </c>
      <c r="J7615" s="404">
        <v>23.69</v>
      </c>
      <c r="K7615" s="404">
        <v>0.27338259999999998</v>
      </c>
    </row>
    <row r="7616" spans="1:11" ht="12.75" customHeight="1" x14ac:dyDescent="0.3">
      <c r="A7616" s="405"/>
      <c r="B7616" s="405"/>
      <c r="C7616" s="405"/>
      <c r="D7616" s="405"/>
      <c r="E7616" s="405" t="s">
        <v>1046</v>
      </c>
      <c r="F7616" s="406">
        <v>0.27</v>
      </c>
      <c r="G7616" s="405" t="s">
        <v>1047</v>
      </c>
      <c r="H7616" s="406">
        <v>0</v>
      </c>
      <c r="I7616" s="405" t="s">
        <v>1048</v>
      </c>
      <c r="J7616" s="406">
        <v>0.27</v>
      </c>
      <c r="K7616"/>
    </row>
    <row r="7617" spans="1:11" ht="16.95" customHeight="1" thickBot="1" x14ac:dyDescent="0.35">
      <c r="A7617" s="405"/>
      <c r="B7617" s="405"/>
      <c r="C7617" s="405"/>
      <c r="D7617" s="405"/>
      <c r="E7617" s="405" t="s">
        <v>1049</v>
      </c>
      <c r="F7617" s="406">
        <v>0</v>
      </c>
      <c r="G7617" s="405"/>
      <c r="H7617" s="606"/>
      <c r="I7617" s="606" t="s">
        <v>1050</v>
      </c>
      <c r="J7617" s="406">
        <v>0.27</v>
      </c>
      <c r="K7617"/>
    </row>
    <row r="7618" spans="1:11" ht="12.75" customHeight="1" thickTop="1" x14ac:dyDescent="0.3">
      <c r="A7618" s="407"/>
      <c r="B7618" s="407"/>
      <c r="C7618" s="407"/>
      <c r="D7618" s="407"/>
      <c r="E7618" s="407"/>
      <c r="F7618" s="407"/>
      <c r="G7618" s="407"/>
      <c r="H7618" s="407"/>
      <c r="I7618" s="407"/>
      <c r="J7618" s="407"/>
      <c r="K7618"/>
    </row>
    <row r="7619" spans="1:11" ht="25.5" customHeight="1" x14ac:dyDescent="0.3">
      <c r="A7619" s="382"/>
      <c r="B7619" s="312" t="s">
        <v>413</v>
      </c>
      <c r="C7619" s="382" t="s">
        <v>414</v>
      </c>
      <c r="D7619" s="382" t="s">
        <v>415</v>
      </c>
      <c r="E7619" s="586" t="s">
        <v>1029</v>
      </c>
      <c r="F7619" s="586"/>
      <c r="G7619" s="383" t="s">
        <v>416</v>
      </c>
      <c r="H7619" s="312" t="s">
        <v>1030</v>
      </c>
      <c r="I7619" s="312" t="s">
        <v>3016</v>
      </c>
      <c r="J7619" s="312" t="s">
        <v>1031</v>
      </c>
      <c r="K7619" s="312" t="s">
        <v>1032</v>
      </c>
    </row>
    <row r="7620" spans="1:11" ht="25.5" customHeight="1" x14ac:dyDescent="0.3">
      <c r="A7620" s="313" t="s">
        <v>1033</v>
      </c>
      <c r="B7620" s="315" t="s">
        <v>7974</v>
      </c>
      <c r="C7620" s="313" t="s">
        <v>395</v>
      </c>
      <c r="D7620" s="313" t="s">
        <v>7975</v>
      </c>
      <c r="E7620" s="603" t="s">
        <v>7768</v>
      </c>
      <c r="F7620" s="603"/>
      <c r="G7620" s="314" t="s">
        <v>6</v>
      </c>
      <c r="H7620" s="399">
        <v>1</v>
      </c>
      <c r="I7620" s="316"/>
      <c r="J7620" s="316">
        <v>0.35</v>
      </c>
      <c r="K7620" s="316">
        <v>0.35</v>
      </c>
    </row>
    <row r="7621" spans="1:11" ht="15" x14ac:dyDescent="0.3">
      <c r="A7621" s="400" t="s">
        <v>1038</v>
      </c>
      <c r="B7621" s="401" t="s">
        <v>1518</v>
      </c>
      <c r="C7621" s="400" t="s">
        <v>395</v>
      </c>
      <c r="D7621" s="400" t="s">
        <v>401</v>
      </c>
      <c r="E7621" s="605" t="s">
        <v>1053</v>
      </c>
      <c r="F7621" s="605"/>
      <c r="G7621" s="402" t="s">
        <v>6</v>
      </c>
      <c r="H7621" s="403">
        <v>1.154E-2</v>
      </c>
      <c r="I7621" s="403">
        <v>0</v>
      </c>
      <c r="J7621" s="404">
        <v>30.3</v>
      </c>
      <c r="K7621" s="404">
        <v>0.34966199999999997</v>
      </c>
    </row>
    <row r="7622" spans="1:11" ht="25.5" customHeight="1" x14ac:dyDescent="0.3">
      <c r="A7622" s="405"/>
      <c r="B7622" s="405"/>
      <c r="C7622" s="405"/>
      <c r="D7622" s="405"/>
      <c r="E7622" s="405" t="s">
        <v>1046</v>
      </c>
      <c r="F7622" s="406">
        <v>0.35</v>
      </c>
      <c r="G7622" s="405" t="s">
        <v>1047</v>
      </c>
      <c r="H7622" s="406">
        <v>0</v>
      </c>
      <c r="I7622" s="405" t="s">
        <v>1048</v>
      </c>
      <c r="J7622" s="406">
        <v>0.35</v>
      </c>
      <c r="K7622"/>
    </row>
    <row r="7623" spans="1:11" ht="25.5" customHeight="1" thickBot="1" x14ac:dyDescent="0.35">
      <c r="A7623" s="405"/>
      <c r="B7623" s="405"/>
      <c r="C7623" s="405"/>
      <c r="D7623" s="405"/>
      <c r="E7623" s="405" t="s">
        <v>1049</v>
      </c>
      <c r="F7623" s="406">
        <v>0</v>
      </c>
      <c r="G7623" s="405"/>
      <c r="H7623" s="606"/>
      <c r="I7623" s="606" t="s">
        <v>1050</v>
      </c>
      <c r="J7623" s="406">
        <v>0.35</v>
      </c>
      <c r="K7623"/>
    </row>
    <row r="7624" spans="1:11" ht="25.5" customHeight="1" thickTop="1" x14ac:dyDescent="0.3">
      <c r="A7624" s="407"/>
      <c r="B7624" s="407"/>
      <c r="C7624" s="407"/>
      <c r="D7624" s="407"/>
      <c r="E7624" s="407"/>
      <c r="F7624" s="407"/>
      <c r="G7624" s="407"/>
      <c r="H7624" s="407"/>
      <c r="I7624" s="407"/>
      <c r="J7624" s="407"/>
      <c r="K7624"/>
    </row>
    <row r="7625" spans="1:11" ht="14.25" customHeight="1" x14ac:dyDescent="0.3">
      <c r="A7625" s="382"/>
      <c r="B7625" s="312" t="s">
        <v>413</v>
      </c>
      <c r="C7625" s="382" t="s">
        <v>414</v>
      </c>
      <c r="D7625" s="382" t="s">
        <v>415</v>
      </c>
      <c r="E7625" s="586" t="s">
        <v>1029</v>
      </c>
      <c r="F7625" s="586"/>
      <c r="G7625" s="383" t="s">
        <v>416</v>
      </c>
      <c r="H7625" s="312" t="s">
        <v>1030</v>
      </c>
      <c r="I7625" s="312" t="s">
        <v>3016</v>
      </c>
      <c r="J7625" s="312" t="s">
        <v>1031</v>
      </c>
      <c r="K7625" s="312" t="s">
        <v>1032</v>
      </c>
    </row>
    <row r="7626" spans="1:11" ht="25.5" customHeight="1" x14ac:dyDescent="0.3">
      <c r="A7626" s="313" t="s">
        <v>1033</v>
      </c>
      <c r="B7626" s="315" t="s">
        <v>7979</v>
      </c>
      <c r="C7626" s="313" t="s">
        <v>395</v>
      </c>
      <c r="D7626" s="313" t="s">
        <v>7980</v>
      </c>
      <c r="E7626" s="603" t="s">
        <v>7768</v>
      </c>
      <c r="F7626" s="603"/>
      <c r="G7626" s="314" t="s">
        <v>6</v>
      </c>
      <c r="H7626" s="399">
        <v>1</v>
      </c>
      <c r="I7626" s="316"/>
      <c r="J7626" s="316">
        <v>0.41</v>
      </c>
      <c r="K7626" s="316">
        <v>0.41</v>
      </c>
    </row>
    <row r="7627" spans="1:11" ht="14.25" customHeight="1" x14ac:dyDescent="0.3">
      <c r="A7627" s="400" t="s">
        <v>1038</v>
      </c>
      <c r="B7627" s="401" t="s">
        <v>4634</v>
      </c>
      <c r="C7627" s="400" t="s">
        <v>395</v>
      </c>
      <c r="D7627" s="400" t="s">
        <v>4635</v>
      </c>
      <c r="E7627" s="605" t="s">
        <v>1053</v>
      </c>
      <c r="F7627" s="605"/>
      <c r="G7627" s="402" t="s">
        <v>6</v>
      </c>
      <c r="H7627" s="403">
        <v>1.4760000000000001E-2</v>
      </c>
      <c r="I7627" s="403">
        <v>0</v>
      </c>
      <c r="J7627" s="404">
        <v>27.7</v>
      </c>
      <c r="K7627" s="404">
        <v>0.40885199999999999</v>
      </c>
    </row>
    <row r="7628" spans="1:11" ht="25.5" customHeight="1" x14ac:dyDescent="0.3">
      <c r="A7628" s="405"/>
      <c r="B7628" s="405"/>
      <c r="C7628" s="405"/>
      <c r="D7628" s="405"/>
      <c r="E7628" s="405" t="s">
        <v>1046</v>
      </c>
      <c r="F7628" s="406">
        <v>0.41</v>
      </c>
      <c r="G7628" s="405" t="s">
        <v>1047</v>
      </c>
      <c r="H7628" s="406">
        <v>0</v>
      </c>
      <c r="I7628" s="405" t="s">
        <v>1048</v>
      </c>
      <c r="J7628" s="406">
        <v>0.41</v>
      </c>
      <c r="K7628"/>
    </row>
    <row r="7629" spans="1:11" ht="12.75" customHeight="1" thickBot="1" x14ac:dyDescent="0.35">
      <c r="A7629" s="405"/>
      <c r="B7629" s="405"/>
      <c r="C7629" s="405"/>
      <c r="D7629" s="405"/>
      <c r="E7629" s="405" t="s">
        <v>1049</v>
      </c>
      <c r="F7629" s="406">
        <v>0</v>
      </c>
      <c r="G7629" s="405"/>
      <c r="H7629" s="606"/>
      <c r="I7629" s="606" t="s">
        <v>1050</v>
      </c>
      <c r="J7629" s="406">
        <v>0.41</v>
      </c>
      <c r="K7629"/>
    </row>
    <row r="7630" spans="1:11" ht="25.5" customHeight="1" thickTop="1" x14ac:dyDescent="0.3">
      <c r="A7630" s="407"/>
      <c r="B7630" s="407"/>
      <c r="C7630" s="407"/>
      <c r="D7630" s="407"/>
      <c r="E7630" s="407"/>
      <c r="F7630" s="407"/>
      <c r="G7630" s="407"/>
      <c r="H7630" s="407"/>
      <c r="I7630" s="407"/>
      <c r="J7630" s="407"/>
      <c r="K7630"/>
    </row>
    <row r="7631" spans="1:11" ht="25.5" customHeight="1" x14ac:dyDescent="0.3">
      <c r="A7631" s="382"/>
      <c r="B7631" s="312" t="s">
        <v>413</v>
      </c>
      <c r="C7631" s="382" t="s">
        <v>414</v>
      </c>
      <c r="D7631" s="382" t="s">
        <v>415</v>
      </c>
      <c r="E7631" s="586" t="s">
        <v>1029</v>
      </c>
      <c r="F7631" s="586"/>
      <c r="G7631" s="383" t="s">
        <v>416</v>
      </c>
      <c r="H7631" s="312" t="s">
        <v>1030</v>
      </c>
      <c r="I7631" s="312" t="s">
        <v>3016</v>
      </c>
      <c r="J7631" s="312" t="s">
        <v>1031</v>
      </c>
      <c r="K7631" s="312" t="s">
        <v>1032</v>
      </c>
    </row>
    <row r="7632" spans="1:11" ht="25.5" customHeight="1" x14ac:dyDescent="0.3">
      <c r="A7632" s="313" t="s">
        <v>1033</v>
      </c>
      <c r="B7632" s="315" t="s">
        <v>4924</v>
      </c>
      <c r="C7632" s="313" t="s">
        <v>439</v>
      </c>
      <c r="D7632" s="313" t="s">
        <v>7941</v>
      </c>
      <c r="E7632" s="603" t="s">
        <v>7770</v>
      </c>
      <c r="F7632" s="603"/>
      <c r="G7632" s="314" t="s">
        <v>1109</v>
      </c>
      <c r="H7632" s="399">
        <v>1</v>
      </c>
      <c r="I7632" s="316"/>
      <c r="J7632" s="316">
        <v>0.74</v>
      </c>
      <c r="K7632" s="316">
        <v>0.74</v>
      </c>
    </row>
    <row r="7633" spans="1:11" ht="14.25" customHeight="1" x14ac:dyDescent="0.3">
      <c r="A7633" s="586" t="s">
        <v>3312</v>
      </c>
      <c r="B7633" s="584" t="s">
        <v>413</v>
      </c>
      <c r="C7633" s="586" t="s">
        <v>414</v>
      </c>
      <c r="D7633" s="586" t="s">
        <v>7901</v>
      </c>
      <c r="E7633" s="585" t="s">
        <v>7902</v>
      </c>
      <c r="F7633" s="584"/>
      <c r="G7633" s="585" t="s">
        <v>7903</v>
      </c>
      <c r="H7633" s="584"/>
      <c r="I7633" s="584" t="s">
        <v>7904</v>
      </c>
      <c r="J7633" s="584" t="s">
        <v>7905</v>
      </c>
      <c r="K7633"/>
    </row>
    <row r="7634" spans="1:11" ht="38.25" customHeight="1" x14ac:dyDescent="0.3">
      <c r="A7634" s="584"/>
      <c r="B7634" s="584"/>
      <c r="C7634" s="584"/>
      <c r="D7634" s="584"/>
      <c r="E7634" s="312" t="s">
        <v>4013</v>
      </c>
      <c r="F7634" s="312" t="s">
        <v>4014</v>
      </c>
      <c r="G7634" s="312" t="s">
        <v>4013</v>
      </c>
      <c r="H7634" s="312" t="s">
        <v>4014</v>
      </c>
      <c r="I7634" s="584"/>
      <c r="J7634" s="584"/>
      <c r="K7634"/>
    </row>
    <row r="7635" spans="1:11" ht="15" x14ac:dyDescent="0.3">
      <c r="A7635" s="581"/>
      <c r="B7635" s="581"/>
      <c r="C7635" s="581"/>
      <c r="D7635" s="581"/>
      <c r="E7635" s="581"/>
      <c r="F7635" s="581" t="s">
        <v>7906</v>
      </c>
      <c r="G7635" s="581"/>
      <c r="H7635" s="581"/>
      <c r="I7635" s="581"/>
      <c r="J7635" s="381">
        <v>0</v>
      </c>
      <c r="K7635"/>
    </row>
    <row r="7636" spans="1:11" ht="14.25" customHeight="1" x14ac:dyDescent="0.3">
      <c r="A7636" s="382" t="s">
        <v>371</v>
      </c>
      <c r="B7636" s="312" t="s">
        <v>413</v>
      </c>
      <c r="C7636" s="382" t="s">
        <v>414</v>
      </c>
      <c r="D7636" s="382" t="s">
        <v>1053</v>
      </c>
      <c r="E7636" s="312"/>
      <c r="F7636" s="584"/>
      <c r="G7636" s="584" t="s">
        <v>7907</v>
      </c>
      <c r="H7636" s="584" t="s">
        <v>7908</v>
      </c>
      <c r="I7636" s="584" t="s">
        <v>7904</v>
      </c>
      <c r="J7636" s="312" t="s">
        <v>7905</v>
      </c>
      <c r="K7636"/>
    </row>
    <row r="7637" spans="1:11" ht="12.75" customHeight="1" x14ac:dyDescent="0.3">
      <c r="A7637" s="400" t="s">
        <v>1038</v>
      </c>
      <c r="B7637" s="401" t="s">
        <v>7935</v>
      </c>
      <c r="C7637" s="400" t="s">
        <v>439</v>
      </c>
      <c r="D7637" s="400" t="s">
        <v>1139</v>
      </c>
      <c r="E7637" s="403"/>
      <c r="F7637" s="400"/>
      <c r="G7637" s="400" t="s">
        <v>6</v>
      </c>
      <c r="H7637" s="400">
        <v>20</v>
      </c>
      <c r="I7637" s="404">
        <v>3.7319999999999999E-2</v>
      </c>
      <c r="J7637" s="404">
        <v>0.74</v>
      </c>
      <c r="K7637"/>
    </row>
    <row r="7638" spans="1:11" ht="25.5" customHeight="1" x14ac:dyDescent="0.3">
      <c r="A7638" s="581"/>
      <c r="B7638" s="581"/>
      <c r="C7638" s="581"/>
      <c r="D7638" s="581"/>
      <c r="E7638" s="581"/>
      <c r="F7638" s="581" t="s">
        <v>7910</v>
      </c>
      <c r="G7638" s="581"/>
      <c r="H7638" s="581"/>
      <c r="I7638" s="581"/>
      <c r="J7638" s="381">
        <v>0.74</v>
      </c>
      <c r="K7638"/>
    </row>
    <row r="7639" spans="1:11" ht="25.5" customHeight="1" x14ac:dyDescent="0.3">
      <c r="A7639" s="581"/>
      <c r="B7639" s="581"/>
      <c r="C7639" s="581"/>
      <c r="D7639" s="581"/>
      <c r="E7639" s="581"/>
      <c r="F7639" s="581" t="s">
        <v>7911</v>
      </c>
      <c r="G7639" s="581"/>
      <c r="H7639" s="581"/>
      <c r="I7639" s="581"/>
      <c r="J7639" s="381">
        <v>0.74</v>
      </c>
      <c r="K7639"/>
    </row>
    <row r="7640" spans="1:11" ht="38.25" customHeight="1" x14ac:dyDescent="0.3">
      <c r="A7640" s="581"/>
      <c r="B7640" s="581"/>
      <c r="C7640" s="581"/>
      <c r="D7640" s="581"/>
      <c r="E7640" s="581"/>
      <c r="F7640" s="581" t="s">
        <v>7912</v>
      </c>
      <c r="G7640" s="581"/>
      <c r="H7640" s="581"/>
      <c r="I7640" s="581"/>
      <c r="J7640" s="381">
        <v>1</v>
      </c>
      <c r="K7640"/>
    </row>
    <row r="7641" spans="1:11" ht="25.5" customHeight="1" x14ac:dyDescent="0.3">
      <c r="A7641" s="581"/>
      <c r="B7641" s="581"/>
      <c r="C7641" s="581"/>
      <c r="D7641" s="581"/>
      <c r="E7641" s="581"/>
      <c r="F7641" s="581" t="s">
        <v>7913</v>
      </c>
      <c r="G7641" s="581"/>
      <c r="H7641" s="581"/>
      <c r="I7641" s="581"/>
      <c r="J7641" s="381">
        <v>0.74</v>
      </c>
      <c r="K7641"/>
    </row>
    <row r="7642" spans="1:11" ht="14.25" customHeight="1" x14ac:dyDescent="0.3">
      <c r="A7642" s="382" t="s">
        <v>7914</v>
      </c>
      <c r="B7642" s="312" t="s">
        <v>414</v>
      </c>
      <c r="C7642" s="382" t="s">
        <v>413</v>
      </c>
      <c r="D7642" s="382" t="s">
        <v>1039</v>
      </c>
      <c r="E7642" s="312"/>
      <c r="F7642" s="312"/>
      <c r="G7642" s="312" t="s">
        <v>7907</v>
      </c>
      <c r="H7642" s="312" t="s">
        <v>7908</v>
      </c>
      <c r="I7642" s="312" t="s">
        <v>1552</v>
      </c>
      <c r="J7642" s="312" t="s">
        <v>7905</v>
      </c>
      <c r="K7642"/>
    </row>
    <row r="7643" spans="1:11" ht="25.5" customHeight="1" x14ac:dyDescent="0.3">
      <c r="A7643" s="581"/>
      <c r="B7643" s="581"/>
      <c r="C7643" s="581"/>
      <c r="D7643" s="581"/>
      <c r="E7643" s="581"/>
      <c r="F7643" s="581" t="s">
        <v>7920</v>
      </c>
      <c r="G7643" s="581"/>
      <c r="H7643" s="581"/>
      <c r="I7643" s="581"/>
      <c r="J7643" s="381">
        <v>0</v>
      </c>
      <c r="K7643"/>
    </row>
    <row r="7644" spans="1:11" ht="25.5" customHeight="1" x14ac:dyDescent="0.3">
      <c r="A7644" s="382" t="s">
        <v>7921</v>
      </c>
      <c r="B7644" s="312" t="s">
        <v>414</v>
      </c>
      <c r="C7644" s="382" t="s">
        <v>413</v>
      </c>
      <c r="D7644" s="382" t="s">
        <v>2381</v>
      </c>
      <c r="E7644" s="312"/>
      <c r="F7644" s="312"/>
      <c r="G7644" s="312" t="s">
        <v>7907</v>
      </c>
      <c r="H7644" s="312" t="s">
        <v>7908</v>
      </c>
      <c r="I7644" s="312" t="s">
        <v>1552</v>
      </c>
      <c r="J7644" s="312" t="s">
        <v>7905</v>
      </c>
      <c r="K7644"/>
    </row>
    <row r="7645" spans="1:11" ht="30" customHeight="1" x14ac:dyDescent="0.3">
      <c r="A7645" s="581"/>
      <c r="B7645" s="581"/>
      <c r="C7645" s="581"/>
      <c r="D7645" s="581"/>
      <c r="E7645" s="581"/>
      <c r="F7645" s="581" t="s">
        <v>7929</v>
      </c>
      <c r="G7645" s="581"/>
      <c r="H7645" s="581"/>
      <c r="I7645" s="581"/>
      <c r="J7645" s="381">
        <v>0</v>
      </c>
      <c r="K7645"/>
    </row>
    <row r="7646" spans="1:11" ht="12.75" customHeight="1" x14ac:dyDescent="0.3">
      <c r="A7646" s="382" t="s">
        <v>6</v>
      </c>
      <c r="B7646" s="312" t="s">
        <v>414</v>
      </c>
      <c r="C7646" s="382" t="s">
        <v>413</v>
      </c>
      <c r="D7646" s="382" t="s">
        <v>7930</v>
      </c>
      <c r="E7646" s="312" t="s">
        <v>7931</v>
      </c>
      <c r="F7646" s="312" t="s">
        <v>7932</v>
      </c>
      <c r="G7646" s="312" t="s">
        <v>7907</v>
      </c>
      <c r="H7646" s="312" t="s">
        <v>7908</v>
      </c>
      <c r="I7646" s="312" t="s">
        <v>1552</v>
      </c>
      <c r="J7646" s="312" t="s">
        <v>7905</v>
      </c>
      <c r="K7646"/>
    </row>
    <row r="7647" spans="1:11" ht="25.5" customHeight="1" x14ac:dyDescent="0.3">
      <c r="A7647" s="581"/>
      <c r="B7647" s="581"/>
      <c r="C7647" s="581"/>
      <c r="D7647" s="581"/>
      <c r="E7647" s="581"/>
      <c r="F7647" s="581" t="s">
        <v>7933</v>
      </c>
      <c r="G7647" s="581"/>
      <c r="H7647" s="581"/>
      <c r="I7647" s="581"/>
      <c r="J7647" s="381">
        <v>0</v>
      </c>
      <c r="K7647"/>
    </row>
    <row r="7648" spans="1:11" ht="25.5" customHeight="1" x14ac:dyDescent="0.3">
      <c r="A7648" s="405"/>
      <c r="B7648" s="405"/>
      <c r="C7648" s="405"/>
      <c r="D7648" s="405"/>
      <c r="E7648" s="405" t="s">
        <v>1046</v>
      </c>
      <c r="F7648" s="406">
        <v>0.74644478400000003</v>
      </c>
      <c r="G7648" s="405" t="s">
        <v>1047</v>
      </c>
      <c r="H7648" s="406">
        <v>0</v>
      </c>
      <c r="I7648" s="405" t="s">
        <v>1048</v>
      </c>
      <c r="J7648" s="406">
        <v>0.74</v>
      </c>
      <c r="K7648"/>
    </row>
    <row r="7649" spans="1:11" ht="15.6" thickBot="1" x14ac:dyDescent="0.35">
      <c r="A7649" s="405"/>
      <c r="B7649" s="405"/>
      <c r="C7649" s="405"/>
      <c r="D7649" s="405"/>
      <c r="E7649" s="405" t="s">
        <v>1049</v>
      </c>
      <c r="F7649" s="406">
        <v>0</v>
      </c>
      <c r="G7649" s="405"/>
      <c r="H7649" s="606"/>
      <c r="I7649" s="606" t="s">
        <v>1050</v>
      </c>
      <c r="J7649" s="406">
        <v>0.74</v>
      </c>
      <c r="K7649"/>
    </row>
    <row r="7650" spans="1:11" ht="14.25" customHeight="1" thickTop="1" x14ac:dyDescent="0.3">
      <c r="A7650" s="407"/>
      <c r="B7650" s="407"/>
      <c r="C7650" s="407"/>
      <c r="D7650" s="407"/>
      <c r="E7650" s="407"/>
      <c r="F7650" s="407"/>
      <c r="G7650" s="407"/>
      <c r="H7650" s="407"/>
      <c r="I7650" s="407"/>
      <c r="J7650" s="407"/>
      <c r="K7650"/>
    </row>
    <row r="7651" spans="1:11" ht="14.25" customHeight="1" x14ac:dyDescent="0.3">
      <c r="A7651" s="382"/>
      <c r="B7651" s="312" t="s">
        <v>413</v>
      </c>
      <c r="C7651" s="382" t="s">
        <v>414</v>
      </c>
      <c r="D7651" s="382" t="s">
        <v>415</v>
      </c>
      <c r="E7651" s="586" t="s">
        <v>1029</v>
      </c>
      <c r="F7651" s="586"/>
      <c r="G7651" s="383" t="s">
        <v>416</v>
      </c>
      <c r="H7651" s="312" t="s">
        <v>1030</v>
      </c>
      <c r="I7651" s="312" t="s">
        <v>3016</v>
      </c>
      <c r="J7651" s="312" t="s">
        <v>1031</v>
      </c>
      <c r="K7651" s="312" t="s">
        <v>1032</v>
      </c>
    </row>
    <row r="7652" spans="1:11" ht="38.25" customHeight="1" x14ac:dyDescent="0.3">
      <c r="A7652" s="313" t="s">
        <v>1033</v>
      </c>
      <c r="B7652" s="315" t="s">
        <v>7981</v>
      </c>
      <c r="C7652" s="313" t="s">
        <v>395</v>
      </c>
      <c r="D7652" s="313" t="s">
        <v>4925</v>
      </c>
      <c r="E7652" s="603" t="s">
        <v>7768</v>
      </c>
      <c r="F7652" s="603"/>
      <c r="G7652" s="314" t="s">
        <v>6</v>
      </c>
      <c r="H7652" s="399">
        <v>1</v>
      </c>
      <c r="I7652" s="316"/>
      <c r="J7652" s="316">
        <v>0.87</v>
      </c>
      <c r="K7652" s="316">
        <v>0.87</v>
      </c>
    </row>
    <row r="7653" spans="1:11" ht="25.5" customHeight="1" x14ac:dyDescent="0.3">
      <c r="A7653" s="400" t="s">
        <v>1038</v>
      </c>
      <c r="B7653" s="401" t="s">
        <v>4035</v>
      </c>
      <c r="C7653" s="400" t="s">
        <v>395</v>
      </c>
      <c r="D7653" s="400" t="s">
        <v>4036</v>
      </c>
      <c r="E7653" s="605" t="s">
        <v>1053</v>
      </c>
      <c r="F7653" s="605"/>
      <c r="G7653" s="402" t="s">
        <v>6</v>
      </c>
      <c r="H7653" s="403">
        <v>3.7319999999999999E-2</v>
      </c>
      <c r="I7653" s="403">
        <v>0</v>
      </c>
      <c r="J7653" s="404">
        <v>23.31</v>
      </c>
      <c r="K7653" s="404">
        <v>0.86992919999999996</v>
      </c>
    </row>
    <row r="7654" spans="1:11" ht="25.5" customHeight="1" x14ac:dyDescent="0.3">
      <c r="A7654" s="405"/>
      <c r="B7654" s="405"/>
      <c r="C7654" s="405"/>
      <c r="D7654" s="405"/>
      <c r="E7654" s="405" t="s">
        <v>1046</v>
      </c>
      <c r="F7654" s="406">
        <v>0.87</v>
      </c>
      <c r="G7654" s="405" t="s">
        <v>1047</v>
      </c>
      <c r="H7654" s="406">
        <v>0</v>
      </c>
      <c r="I7654" s="405" t="s">
        <v>1048</v>
      </c>
      <c r="J7654" s="406">
        <v>0.87</v>
      </c>
      <c r="K7654"/>
    </row>
    <row r="7655" spans="1:11" ht="12.75" customHeight="1" thickBot="1" x14ac:dyDescent="0.35">
      <c r="A7655" s="405"/>
      <c r="B7655" s="405"/>
      <c r="C7655" s="405"/>
      <c r="D7655" s="405"/>
      <c r="E7655" s="405" t="s">
        <v>1049</v>
      </c>
      <c r="F7655" s="406">
        <v>0</v>
      </c>
      <c r="G7655" s="405"/>
      <c r="H7655" s="606"/>
      <c r="I7655" s="606" t="s">
        <v>1050</v>
      </c>
      <c r="J7655" s="406">
        <v>0.87</v>
      </c>
      <c r="K7655"/>
    </row>
    <row r="7656" spans="1:11" ht="17.399999999999999" customHeight="1" thickTop="1" x14ac:dyDescent="0.3">
      <c r="A7656" s="407"/>
      <c r="B7656" s="407"/>
      <c r="C7656" s="407"/>
      <c r="D7656" s="407"/>
      <c r="E7656" s="407"/>
      <c r="F7656" s="407"/>
      <c r="G7656" s="407"/>
      <c r="H7656" s="407"/>
      <c r="I7656" s="407"/>
      <c r="J7656" s="407"/>
      <c r="K7656"/>
    </row>
    <row r="7657" spans="1:11" ht="12.75" customHeight="1" x14ac:dyDescent="0.3">
      <c r="A7657" s="382"/>
      <c r="B7657" s="312" t="s">
        <v>413</v>
      </c>
      <c r="C7657" s="382" t="s">
        <v>414</v>
      </c>
      <c r="D7657" s="382" t="s">
        <v>415</v>
      </c>
      <c r="E7657" s="586" t="s">
        <v>1029</v>
      </c>
      <c r="F7657" s="586"/>
      <c r="G7657" s="383" t="s">
        <v>416</v>
      </c>
      <c r="H7657" s="312" t="s">
        <v>1030</v>
      </c>
      <c r="I7657" s="312" t="s">
        <v>3016</v>
      </c>
      <c r="J7657" s="312" t="s">
        <v>1031</v>
      </c>
      <c r="K7657" s="312" t="s">
        <v>1032</v>
      </c>
    </row>
    <row r="7658" spans="1:11" ht="26.4" x14ac:dyDescent="0.3">
      <c r="A7658" s="313" t="s">
        <v>1033</v>
      </c>
      <c r="B7658" s="315" t="s">
        <v>7982</v>
      </c>
      <c r="C7658" s="313" t="s">
        <v>395</v>
      </c>
      <c r="D7658" s="313" t="s">
        <v>7983</v>
      </c>
      <c r="E7658" s="603" t="s">
        <v>7768</v>
      </c>
      <c r="F7658" s="603"/>
      <c r="G7658" s="314" t="s">
        <v>6</v>
      </c>
      <c r="H7658" s="399">
        <v>1</v>
      </c>
      <c r="I7658" s="316"/>
      <c r="J7658" s="316">
        <v>0.42</v>
      </c>
      <c r="K7658" s="316">
        <v>0.42</v>
      </c>
    </row>
    <row r="7659" spans="1:11" ht="15" customHeight="1" x14ac:dyDescent="0.3">
      <c r="A7659" s="400" t="s">
        <v>1038</v>
      </c>
      <c r="B7659" s="401" t="s">
        <v>4054</v>
      </c>
      <c r="C7659" s="400" t="s">
        <v>395</v>
      </c>
      <c r="D7659" s="400" t="s">
        <v>4055</v>
      </c>
      <c r="E7659" s="605" t="s">
        <v>1053</v>
      </c>
      <c r="F7659" s="605"/>
      <c r="G7659" s="402" t="s">
        <v>6</v>
      </c>
      <c r="H7659" s="403">
        <v>1.7979999999999999E-2</v>
      </c>
      <c r="I7659" s="403">
        <v>0</v>
      </c>
      <c r="J7659" s="404">
        <v>23.31</v>
      </c>
      <c r="K7659" s="404">
        <v>0.41911379999999998</v>
      </c>
    </row>
    <row r="7660" spans="1:11" ht="14.25" customHeight="1" x14ac:dyDescent="0.3">
      <c r="A7660" s="405"/>
      <c r="B7660" s="405"/>
      <c r="C7660" s="405"/>
      <c r="D7660" s="405"/>
      <c r="E7660" s="405" t="s">
        <v>1046</v>
      </c>
      <c r="F7660" s="406">
        <v>0.42</v>
      </c>
      <c r="G7660" s="405" t="s">
        <v>1047</v>
      </c>
      <c r="H7660" s="406">
        <v>0</v>
      </c>
      <c r="I7660" s="405" t="s">
        <v>1048</v>
      </c>
      <c r="J7660" s="406">
        <v>0.42</v>
      </c>
      <c r="K7660"/>
    </row>
    <row r="7661" spans="1:11" ht="14.25" customHeight="1" thickBot="1" x14ac:dyDescent="0.35">
      <c r="A7661" s="405"/>
      <c r="B7661" s="405"/>
      <c r="C7661" s="405"/>
      <c r="D7661" s="405"/>
      <c r="E7661" s="405" t="s">
        <v>1049</v>
      </c>
      <c r="F7661" s="406">
        <v>0</v>
      </c>
      <c r="G7661" s="405"/>
      <c r="H7661" s="606"/>
      <c r="I7661" s="606" t="s">
        <v>1050</v>
      </c>
      <c r="J7661" s="406">
        <v>0.42</v>
      </c>
      <c r="K7661"/>
    </row>
    <row r="7662" spans="1:11" ht="25.5" customHeight="1" thickTop="1" x14ac:dyDescent="0.3">
      <c r="A7662" s="407"/>
      <c r="B7662" s="407"/>
      <c r="C7662" s="407"/>
      <c r="D7662" s="407"/>
      <c r="E7662" s="407"/>
      <c r="F7662" s="407"/>
      <c r="G7662" s="407"/>
      <c r="H7662" s="407"/>
      <c r="I7662" s="407"/>
      <c r="J7662" s="407"/>
      <c r="K7662"/>
    </row>
    <row r="7663" spans="1:11" ht="25.5" customHeight="1" x14ac:dyDescent="0.3">
      <c r="A7663" s="382"/>
      <c r="B7663" s="312" t="s">
        <v>413</v>
      </c>
      <c r="C7663" s="382" t="s">
        <v>414</v>
      </c>
      <c r="D7663" s="382" t="s">
        <v>415</v>
      </c>
      <c r="E7663" s="586" t="s">
        <v>1029</v>
      </c>
      <c r="F7663" s="586"/>
      <c r="G7663" s="383" t="s">
        <v>416</v>
      </c>
      <c r="H7663" s="312" t="s">
        <v>1030</v>
      </c>
      <c r="I7663" s="312" t="s">
        <v>3016</v>
      </c>
      <c r="J7663" s="312" t="s">
        <v>1031</v>
      </c>
      <c r="K7663" s="312" t="s">
        <v>1032</v>
      </c>
    </row>
    <row r="7664" spans="1:11" ht="38.25" customHeight="1" x14ac:dyDescent="0.3">
      <c r="A7664" s="313" t="s">
        <v>1033</v>
      </c>
      <c r="B7664" s="315" t="s">
        <v>7984</v>
      </c>
      <c r="C7664" s="313" t="s">
        <v>395</v>
      </c>
      <c r="D7664" s="313" t="s">
        <v>7985</v>
      </c>
      <c r="E7664" s="603" t="s">
        <v>7768</v>
      </c>
      <c r="F7664" s="603"/>
      <c r="G7664" s="314" t="s">
        <v>6</v>
      </c>
      <c r="H7664" s="399">
        <v>1</v>
      </c>
      <c r="I7664" s="316"/>
      <c r="J7664" s="316">
        <v>0.27</v>
      </c>
      <c r="K7664" s="316">
        <v>0.27</v>
      </c>
    </row>
    <row r="7665" spans="1:11" ht="25.5" customHeight="1" x14ac:dyDescent="0.3">
      <c r="A7665" s="400" t="s">
        <v>1038</v>
      </c>
      <c r="B7665" s="401" t="s">
        <v>4195</v>
      </c>
      <c r="C7665" s="400" t="s">
        <v>395</v>
      </c>
      <c r="D7665" s="400" t="s">
        <v>4196</v>
      </c>
      <c r="E7665" s="605" t="s">
        <v>1053</v>
      </c>
      <c r="F7665" s="605"/>
      <c r="G7665" s="402" t="s">
        <v>6</v>
      </c>
      <c r="H7665" s="403">
        <v>1.154E-2</v>
      </c>
      <c r="I7665" s="403">
        <v>0</v>
      </c>
      <c r="J7665" s="404">
        <v>23.31</v>
      </c>
      <c r="K7665" s="404">
        <v>0.2689974</v>
      </c>
    </row>
    <row r="7666" spans="1:11" ht="25.5" customHeight="1" x14ac:dyDescent="0.3">
      <c r="A7666" s="405"/>
      <c r="B7666" s="405"/>
      <c r="C7666" s="405"/>
      <c r="D7666" s="405"/>
      <c r="E7666" s="405" t="s">
        <v>1046</v>
      </c>
      <c r="F7666" s="406">
        <v>0.27</v>
      </c>
      <c r="G7666" s="405" t="s">
        <v>1047</v>
      </c>
      <c r="H7666" s="406">
        <v>0</v>
      </c>
      <c r="I7666" s="405" t="s">
        <v>1048</v>
      </c>
      <c r="J7666" s="406">
        <v>0.27</v>
      </c>
      <c r="K7666"/>
    </row>
    <row r="7667" spans="1:11" ht="25.5" customHeight="1" thickBot="1" x14ac:dyDescent="0.35">
      <c r="A7667" s="405"/>
      <c r="B7667" s="405"/>
      <c r="C7667" s="405"/>
      <c r="D7667" s="405"/>
      <c r="E7667" s="405" t="s">
        <v>1049</v>
      </c>
      <c r="F7667" s="406">
        <v>0</v>
      </c>
      <c r="G7667" s="405"/>
      <c r="H7667" s="606"/>
      <c r="I7667" s="606" t="s">
        <v>1050</v>
      </c>
      <c r="J7667" s="406">
        <v>0.27</v>
      </c>
      <c r="K7667"/>
    </row>
    <row r="7668" spans="1:11" ht="25.5" customHeight="1" thickTop="1" x14ac:dyDescent="0.3">
      <c r="A7668" s="407"/>
      <c r="B7668" s="407"/>
      <c r="C7668" s="407"/>
      <c r="D7668" s="407"/>
      <c r="E7668" s="407"/>
      <c r="F7668" s="407"/>
      <c r="G7668" s="407"/>
      <c r="H7668" s="407"/>
      <c r="I7668" s="407"/>
      <c r="J7668" s="407"/>
      <c r="K7668"/>
    </row>
    <row r="7669" spans="1:11" ht="25.5" customHeight="1" x14ac:dyDescent="0.3">
      <c r="A7669" s="382"/>
      <c r="B7669" s="312" t="s">
        <v>413</v>
      </c>
      <c r="C7669" s="382" t="s">
        <v>414</v>
      </c>
      <c r="D7669" s="382" t="s">
        <v>415</v>
      </c>
      <c r="E7669" s="586" t="s">
        <v>1029</v>
      </c>
      <c r="F7669" s="586"/>
      <c r="G7669" s="383" t="s">
        <v>416</v>
      </c>
      <c r="H7669" s="312" t="s">
        <v>1030</v>
      </c>
      <c r="I7669" s="312" t="s">
        <v>3016</v>
      </c>
      <c r="J7669" s="312" t="s">
        <v>1031</v>
      </c>
      <c r="K7669" s="312" t="s">
        <v>1032</v>
      </c>
    </row>
    <row r="7670" spans="1:11" ht="26.4" x14ac:dyDescent="0.3">
      <c r="A7670" s="313" t="s">
        <v>1033</v>
      </c>
      <c r="B7670" s="315" t="s">
        <v>7986</v>
      </c>
      <c r="C7670" s="313" t="s">
        <v>395</v>
      </c>
      <c r="D7670" s="313" t="s">
        <v>7987</v>
      </c>
      <c r="E7670" s="603" t="s">
        <v>7768</v>
      </c>
      <c r="F7670" s="603"/>
      <c r="G7670" s="314" t="s">
        <v>6</v>
      </c>
      <c r="H7670" s="399">
        <v>1</v>
      </c>
      <c r="I7670" s="316"/>
      <c r="J7670" s="316">
        <v>0.27</v>
      </c>
      <c r="K7670" s="316">
        <v>0.27</v>
      </c>
    </row>
    <row r="7671" spans="1:11" ht="14.25" customHeight="1" x14ac:dyDescent="0.3">
      <c r="A7671" s="400" t="s">
        <v>1038</v>
      </c>
      <c r="B7671" s="401" t="s">
        <v>4632</v>
      </c>
      <c r="C7671" s="400" t="s">
        <v>395</v>
      </c>
      <c r="D7671" s="400" t="s">
        <v>4633</v>
      </c>
      <c r="E7671" s="605" t="s">
        <v>1053</v>
      </c>
      <c r="F7671" s="605"/>
      <c r="G7671" s="402" t="s">
        <v>6</v>
      </c>
      <c r="H7671" s="403">
        <v>1.154E-2</v>
      </c>
      <c r="I7671" s="403">
        <v>0</v>
      </c>
      <c r="J7671" s="404">
        <v>23.31</v>
      </c>
      <c r="K7671" s="404">
        <v>0.2689974</v>
      </c>
    </row>
    <row r="7672" spans="1:11" ht="14.25" customHeight="1" x14ac:dyDescent="0.3">
      <c r="A7672" s="405"/>
      <c r="B7672" s="405"/>
      <c r="C7672" s="405"/>
      <c r="D7672" s="405"/>
      <c r="E7672" s="405" t="s">
        <v>1046</v>
      </c>
      <c r="F7672" s="406">
        <v>0.27</v>
      </c>
      <c r="G7672" s="405" t="s">
        <v>1047</v>
      </c>
      <c r="H7672" s="406">
        <v>0</v>
      </c>
      <c r="I7672" s="405" t="s">
        <v>1048</v>
      </c>
      <c r="J7672" s="406">
        <v>0.27</v>
      </c>
      <c r="K7672"/>
    </row>
    <row r="7673" spans="1:11" ht="25.5" customHeight="1" thickBot="1" x14ac:dyDescent="0.35">
      <c r="A7673" s="405"/>
      <c r="B7673" s="405"/>
      <c r="C7673" s="405"/>
      <c r="D7673" s="405"/>
      <c r="E7673" s="405" t="s">
        <v>1049</v>
      </c>
      <c r="F7673" s="406">
        <v>0</v>
      </c>
      <c r="G7673" s="405"/>
      <c r="H7673" s="606"/>
      <c r="I7673" s="606" t="s">
        <v>1050</v>
      </c>
      <c r="J7673" s="406">
        <v>0.27</v>
      </c>
      <c r="K7673"/>
    </row>
    <row r="7674" spans="1:11" ht="14.25" customHeight="1" thickTop="1" x14ac:dyDescent="0.3">
      <c r="A7674" s="407"/>
      <c r="B7674" s="407"/>
      <c r="C7674" s="407"/>
      <c r="D7674" s="407"/>
      <c r="E7674" s="407"/>
      <c r="F7674" s="407"/>
      <c r="G7674" s="407"/>
      <c r="H7674" s="407"/>
      <c r="I7674" s="407"/>
      <c r="J7674" s="407"/>
      <c r="K7674"/>
    </row>
    <row r="7675" spans="1:11" ht="14.25" customHeight="1" x14ac:dyDescent="0.3">
      <c r="A7675" s="382"/>
      <c r="B7675" s="312" t="s">
        <v>413</v>
      </c>
      <c r="C7675" s="382" t="s">
        <v>414</v>
      </c>
      <c r="D7675" s="382" t="s">
        <v>415</v>
      </c>
      <c r="E7675" s="586" t="s">
        <v>1029</v>
      </c>
      <c r="F7675" s="586"/>
      <c r="G7675" s="383" t="s">
        <v>416</v>
      </c>
      <c r="H7675" s="312" t="s">
        <v>1030</v>
      </c>
      <c r="I7675" s="312" t="s">
        <v>3016</v>
      </c>
      <c r="J7675" s="312" t="s">
        <v>1031</v>
      </c>
      <c r="K7675" s="312" t="s">
        <v>1032</v>
      </c>
    </row>
    <row r="7676" spans="1:11" ht="38.25" customHeight="1" x14ac:dyDescent="0.3">
      <c r="A7676" s="313" t="s">
        <v>1033</v>
      </c>
      <c r="B7676" s="315" t="s">
        <v>7988</v>
      </c>
      <c r="C7676" s="313" t="s">
        <v>395</v>
      </c>
      <c r="D7676" s="313" t="s">
        <v>7989</v>
      </c>
      <c r="E7676" s="603" t="s">
        <v>7768</v>
      </c>
      <c r="F7676" s="603"/>
      <c r="G7676" s="314" t="s">
        <v>6</v>
      </c>
      <c r="H7676" s="399">
        <v>1</v>
      </c>
      <c r="I7676" s="316"/>
      <c r="J7676" s="316">
        <v>0.5</v>
      </c>
      <c r="K7676" s="316">
        <v>0.5</v>
      </c>
    </row>
    <row r="7677" spans="1:11" ht="25.5" customHeight="1" x14ac:dyDescent="0.3">
      <c r="A7677" s="400" t="s">
        <v>1038</v>
      </c>
      <c r="B7677" s="401" t="s">
        <v>4464</v>
      </c>
      <c r="C7677" s="400" t="s">
        <v>395</v>
      </c>
      <c r="D7677" s="400" t="s">
        <v>4465</v>
      </c>
      <c r="E7677" s="605" t="s">
        <v>1053</v>
      </c>
      <c r="F7677" s="605"/>
      <c r="G7677" s="402" t="s">
        <v>6</v>
      </c>
      <c r="H7677" s="403">
        <v>1.4760000000000001E-2</v>
      </c>
      <c r="I7677" s="403">
        <v>0</v>
      </c>
      <c r="J7677" s="404">
        <v>33.700000000000003</v>
      </c>
      <c r="K7677" s="404">
        <v>0.49741200000000002</v>
      </c>
    </row>
    <row r="7678" spans="1:11" ht="25.5" customHeight="1" x14ac:dyDescent="0.3">
      <c r="A7678" s="405"/>
      <c r="B7678" s="405"/>
      <c r="C7678" s="405"/>
      <c r="D7678" s="405"/>
      <c r="E7678" s="405" t="s">
        <v>1046</v>
      </c>
      <c r="F7678" s="406">
        <v>0.5</v>
      </c>
      <c r="G7678" s="405" t="s">
        <v>1047</v>
      </c>
      <c r="H7678" s="406">
        <v>0</v>
      </c>
      <c r="I7678" s="405" t="s">
        <v>1048</v>
      </c>
      <c r="J7678" s="406">
        <v>0.5</v>
      </c>
      <c r="K7678"/>
    </row>
    <row r="7679" spans="1:11" ht="38.25" customHeight="1" thickBot="1" x14ac:dyDescent="0.35">
      <c r="A7679" s="405"/>
      <c r="B7679" s="405"/>
      <c r="C7679" s="405"/>
      <c r="D7679" s="405"/>
      <c r="E7679" s="405" t="s">
        <v>1049</v>
      </c>
      <c r="F7679" s="406">
        <v>0</v>
      </c>
      <c r="G7679" s="405"/>
      <c r="H7679" s="606"/>
      <c r="I7679" s="606" t="s">
        <v>1050</v>
      </c>
      <c r="J7679" s="406">
        <v>0.5</v>
      </c>
      <c r="K7679"/>
    </row>
    <row r="7680" spans="1:11" ht="25.5" customHeight="1" thickTop="1" x14ac:dyDescent="0.3">
      <c r="A7680" s="407"/>
      <c r="B7680" s="407"/>
      <c r="C7680" s="407"/>
      <c r="D7680" s="407"/>
      <c r="E7680" s="407"/>
      <c r="F7680" s="407"/>
      <c r="G7680" s="407"/>
      <c r="H7680" s="407"/>
      <c r="I7680" s="407"/>
      <c r="J7680" s="407"/>
      <c r="K7680"/>
    </row>
    <row r="7681" spans="1:11" ht="25.5" customHeight="1" x14ac:dyDescent="0.3">
      <c r="A7681" s="382"/>
      <c r="B7681" s="312" t="s">
        <v>413</v>
      </c>
      <c r="C7681" s="382" t="s">
        <v>414</v>
      </c>
      <c r="D7681" s="382" t="s">
        <v>415</v>
      </c>
      <c r="E7681" s="586" t="s">
        <v>1029</v>
      </c>
      <c r="F7681" s="586"/>
      <c r="G7681" s="383" t="s">
        <v>416</v>
      </c>
      <c r="H7681" s="312" t="s">
        <v>1030</v>
      </c>
      <c r="I7681" s="312" t="s">
        <v>3016</v>
      </c>
      <c r="J7681" s="312" t="s">
        <v>1031</v>
      </c>
      <c r="K7681" s="312" t="s">
        <v>1032</v>
      </c>
    </row>
    <row r="7682" spans="1:11" ht="25.5" customHeight="1" x14ac:dyDescent="0.3">
      <c r="A7682" s="313" t="s">
        <v>1033</v>
      </c>
      <c r="B7682" s="315" t="s">
        <v>8025</v>
      </c>
      <c r="C7682" s="313" t="s">
        <v>395</v>
      </c>
      <c r="D7682" s="313" t="s">
        <v>8026</v>
      </c>
      <c r="E7682" s="603" t="s">
        <v>7768</v>
      </c>
      <c r="F7682" s="603"/>
      <c r="G7682" s="314" t="s">
        <v>6</v>
      </c>
      <c r="H7682" s="399">
        <v>1</v>
      </c>
      <c r="I7682" s="316"/>
      <c r="J7682" s="316">
        <v>0.35</v>
      </c>
      <c r="K7682" s="316">
        <v>0.35</v>
      </c>
    </row>
    <row r="7683" spans="1:11" ht="25.5" customHeight="1" x14ac:dyDescent="0.3">
      <c r="A7683" s="400" t="s">
        <v>1038</v>
      </c>
      <c r="B7683" s="401" t="s">
        <v>2375</v>
      </c>
      <c r="C7683" s="400" t="s">
        <v>395</v>
      </c>
      <c r="D7683" s="400" t="s">
        <v>402</v>
      </c>
      <c r="E7683" s="605" t="s">
        <v>1053</v>
      </c>
      <c r="F7683" s="605"/>
      <c r="G7683" s="402" t="s">
        <v>6</v>
      </c>
      <c r="H7683" s="403">
        <v>1.154E-2</v>
      </c>
      <c r="I7683" s="403">
        <v>0</v>
      </c>
      <c r="J7683" s="404">
        <v>30.02</v>
      </c>
      <c r="K7683" s="404">
        <v>0.34643079999999998</v>
      </c>
    </row>
    <row r="7684" spans="1:11" ht="14.25" customHeight="1" x14ac:dyDescent="0.3">
      <c r="A7684" s="405"/>
      <c r="B7684" s="405"/>
      <c r="C7684" s="405"/>
      <c r="D7684" s="405"/>
      <c r="E7684" s="405" t="s">
        <v>1046</v>
      </c>
      <c r="F7684" s="406">
        <v>0.35</v>
      </c>
      <c r="G7684" s="405" t="s">
        <v>1047</v>
      </c>
      <c r="H7684" s="406">
        <v>0</v>
      </c>
      <c r="I7684" s="405" t="s">
        <v>1048</v>
      </c>
      <c r="J7684" s="406">
        <v>0.35</v>
      </c>
      <c r="K7684"/>
    </row>
    <row r="7685" spans="1:11" ht="15" customHeight="1" thickBot="1" x14ac:dyDescent="0.35">
      <c r="A7685" s="405"/>
      <c r="B7685" s="405"/>
      <c r="C7685" s="405"/>
      <c r="D7685" s="405"/>
      <c r="E7685" s="405" t="s">
        <v>1049</v>
      </c>
      <c r="F7685" s="406">
        <v>0</v>
      </c>
      <c r="G7685" s="405"/>
      <c r="H7685" s="606"/>
      <c r="I7685" s="606" t="s">
        <v>1050</v>
      </c>
      <c r="J7685" s="406">
        <v>0.35</v>
      </c>
      <c r="K7685"/>
    </row>
    <row r="7686" spans="1:11" ht="14.25" customHeight="1" thickTop="1" x14ac:dyDescent="0.3">
      <c r="A7686" s="407"/>
      <c r="B7686" s="407"/>
      <c r="C7686" s="407"/>
      <c r="D7686" s="407"/>
      <c r="E7686" s="407"/>
      <c r="F7686" s="407"/>
      <c r="G7686" s="407"/>
      <c r="H7686" s="407"/>
      <c r="I7686" s="407"/>
      <c r="J7686" s="407"/>
      <c r="K7686"/>
    </row>
    <row r="7687" spans="1:11" ht="12.75" customHeight="1" x14ac:dyDescent="0.3">
      <c r="A7687" s="382"/>
      <c r="B7687" s="312" t="s">
        <v>413</v>
      </c>
      <c r="C7687" s="382" t="s">
        <v>414</v>
      </c>
      <c r="D7687" s="382" t="s">
        <v>415</v>
      </c>
      <c r="E7687" s="586" t="s">
        <v>1029</v>
      </c>
      <c r="F7687" s="586"/>
      <c r="G7687" s="383" t="s">
        <v>416</v>
      </c>
      <c r="H7687" s="312" t="s">
        <v>1030</v>
      </c>
      <c r="I7687" s="312" t="s">
        <v>3016</v>
      </c>
      <c r="J7687" s="312" t="s">
        <v>1031</v>
      </c>
      <c r="K7687" s="312" t="s">
        <v>1032</v>
      </c>
    </row>
    <row r="7688" spans="1:11" ht="38.25" customHeight="1" x14ac:dyDescent="0.3">
      <c r="A7688" s="313" t="s">
        <v>1033</v>
      </c>
      <c r="B7688" s="315" t="s">
        <v>8061</v>
      </c>
      <c r="C7688" s="313" t="s">
        <v>395</v>
      </c>
      <c r="D7688" s="313" t="s">
        <v>8062</v>
      </c>
      <c r="E7688" s="603" t="s">
        <v>7768</v>
      </c>
      <c r="F7688" s="603"/>
      <c r="G7688" s="314" t="s">
        <v>6</v>
      </c>
      <c r="H7688" s="399">
        <v>1</v>
      </c>
      <c r="I7688" s="316"/>
      <c r="J7688" s="316">
        <v>0.51</v>
      </c>
      <c r="K7688" s="316">
        <v>0.51</v>
      </c>
    </row>
    <row r="7689" spans="1:11" ht="14.25" customHeight="1" x14ac:dyDescent="0.3">
      <c r="A7689" s="400" t="s">
        <v>1038</v>
      </c>
      <c r="B7689" s="401" t="s">
        <v>4041</v>
      </c>
      <c r="C7689" s="400" t="s">
        <v>395</v>
      </c>
      <c r="D7689" s="400" t="s">
        <v>4042</v>
      </c>
      <c r="E7689" s="605" t="s">
        <v>1053</v>
      </c>
      <c r="F7689" s="605"/>
      <c r="G7689" s="402" t="s">
        <v>6</v>
      </c>
      <c r="H7689" s="403">
        <v>1.4760000000000001E-2</v>
      </c>
      <c r="I7689" s="403">
        <v>0</v>
      </c>
      <c r="J7689" s="404">
        <v>34.31</v>
      </c>
      <c r="K7689" s="404">
        <v>0.50641559999999997</v>
      </c>
    </row>
    <row r="7690" spans="1:11" ht="25.5" customHeight="1" x14ac:dyDescent="0.3">
      <c r="A7690" s="405"/>
      <c r="B7690" s="405"/>
      <c r="C7690" s="405"/>
      <c r="D7690" s="405"/>
      <c r="E7690" s="405" t="s">
        <v>1046</v>
      </c>
      <c r="F7690" s="406">
        <v>0.51</v>
      </c>
      <c r="G7690" s="405" t="s">
        <v>1047</v>
      </c>
      <c r="H7690" s="406">
        <v>0</v>
      </c>
      <c r="I7690" s="405" t="s">
        <v>1048</v>
      </c>
      <c r="J7690" s="406">
        <v>0.51</v>
      </c>
      <c r="K7690"/>
    </row>
    <row r="7691" spans="1:11" ht="25.5" customHeight="1" thickBot="1" x14ac:dyDescent="0.35">
      <c r="A7691" s="405"/>
      <c r="B7691" s="405"/>
      <c r="C7691" s="405"/>
      <c r="D7691" s="405"/>
      <c r="E7691" s="405" t="s">
        <v>1049</v>
      </c>
      <c r="F7691" s="406">
        <v>0</v>
      </c>
      <c r="G7691" s="405"/>
      <c r="H7691" s="606"/>
      <c r="I7691" s="606" t="s">
        <v>1050</v>
      </c>
      <c r="J7691" s="406">
        <v>0.51</v>
      </c>
      <c r="K7691"/>
    </row>
    <row r="7692" spans="1:11" ht="25.5" customHeight="1" thickTop="1" x14ac:dyDescent="0.3">
      <c r="A7692" s="407"/>
      <c r="B7692" s="407"/>
      <c r="C7692" s="407"/>
      <c r="D7692" s="407"/>
      <c r="E7692" s="407"/>
      <c r="F7692" s="407"/>
      <c r="G7692" s="407"/>
      <c r="H7692" s="407"/>
      <c r="I7692" s="407"/>
      <c r="J7692" s="407"/>
      <c r="K7692"/>
    </row>
    <row r="7693" spans="1:11" ht="25.5" customHeight="1" x14ac:dyDescent="0.3">
      <c r="A7693" s="382"/>
      <c r="B7693" s="312" t="s">
        <v>413</v>
      </c>
      <c r="C7693" s="382" t="s">
        <v>414</v>
      </c>
      <c r="D7693" s="382" t="s">
        <v>415</v>
      </c>
      <c r="E7693" s="586" t="s">
        <v>1029</v>
      </c>
      <c r="F7693" s="586"/>
      <c r="G7693" s="383" t="s">
        <v>416</v>
      </c>
      <c r="H7693" s="312" t="s">
        <v>1030</v>
      </c>
      <c r="I7693" s="312" t="s">
        <v>3016</v>
      </c>
      <c r="J7693" s="312" t="s">
        <v>1031</v>
      </c>
      <c r="K7693" s="312" t="s">
        <v>1032</v>
      </c>
    </row>
    <row r="7694" spans="1:11" ht="25.5" customHeight="1" x14ac:dyDescent="0.3">
      <c r="A7694" s="313" t="s">
        <v>1033</v>
      </c>
      <c r="B7694" s="315" t="s">
        <v>8093</v>
      </c>
      <c r="C7694" s="313" t="s">
        <v>439</v>
      </c>
      <c r="D7694" s="313" t="s">
        <v>8070</v>
      </c>
      <c r="E7694" s="603" t="s">
        <v>7770</v>
      </c>
      <c r="F7694" s="603"/>
      <c r="G7694" s="314" t="s">
        <v>1109</v>
      </c>
      <c r="H7694" s="399">
        <v>1</v>
      </c>
      <c r="I7694" s="316"/>
      <c r="J7694" s="316">
        <v>0.28999999999999998</v>
      </c>
      <c r="K7694" s="316">
        <v>0.28999999999999998</v>
      </c>
    </row>
    <row r="7695" spans="1:11" ht="25.5" customHeight="1" x14ac:dyDescent="0.3">
      <c r="A7695" s="586" t="s">
        <v>3312</v>
      </c>
      <c r="B7695" s="584" t="s">
        <v>413</v>
      </c>
      <c r="C7695" s="586" t="s">
        <v>414</v>
      </c>
      <c r="D7695" s="586" t="s">
        <v>7901</v>
      </c>
      <c r="E7695" s="585" t="s">
        <v>7902</v>
      </c>
      <c r="F7695" s="584"/>
      <c r="G7695" s="585" t="s">
        <v>7903</v>
      </c>
      <c r="H7695" s="584"/>
      <c r="I7695" s="584" t="s">
        <v>7904</v>
      </c>
      <c r="J7695" s="584" t="s">
        <v>7905</v>
      </c>
      <c r="K7695"/>
    </row>
    <row r="7696" spans="1:11" ht="25.5" customHeight="1" x14ac:dyDescent="0.3">
      <c r="A7696" s="584"/>
      <c r="B7696" s="584"/>
      <c r="C7696" s="584"/>
      <c r="D7696" s="584"/>
      <c r="E7696" s="312" t="s">
        <v>4013</v>
      </c>
      <c r="F7696" s="312" t="s">
        <v>4014</v>
      </c>
      <c r="G7696" s="312" t="s">
        <v>4013</v>
      </c>
      <c r="H7696" s="312" t="s">
        <v>4014</v>
      </c>
      <c r="I7696" s="584"/>
      <c r="J7696" s="584"/>
      <c r="K7696"/>
    </row>
    <row r="7697" spans="1:11" ht="25.5" customHeight="1" x14ac:dyDescent="0.3">
      <c r="A7697" s="581"/>
      <c r="B7697" s="581"/>
      <c r="C7697" s="581"/>
      <c r="D7697" s="581"/>
      <c r="E7697" s="581"/>
      <c r="F7697" s="581" t="s">
        <v>7906</v>
      </c>
      <c r="G7697" s="581"/>
      <c r="H7697" s="581"/>
      <c r="I7697" s="581"/>
      <c r="J7697" s="381">
        <v>0</v>
      </c>
      <c r="K7697"/>
    </row>
    <row r="7698" spans="1:11" ht="12.75" customHeight="1" x14ac:dyDescent="0.3">
      <c r="A7698" s="382" t="s">
        <v>371</v>
      </c>
      <c r="B7698" s="312" t="s">
        <v>413</v>
      </c>
      <c r="C7698" s="382" t="s">
        <v>414</v>
      </c>
      <c r="D7698" s="382" t="s">
        <v>1053</v>
      </c>
      <c r="E7698" s="312"/>
      <c r="F7698" s="584"/>
      <c r="G7698" s="584" t="s">
        <v>7907</v>
      </c>
      <c r="H7698" s="584" t="s">
        <v>7908</v>
      </c>
      <c r="I7698" s="584" t="s">
        <v>7904</v>
      </c>
      <c r="J7698" s="312" t="s">
        <v>7905</v>
      </c>
      <c r="K7698"/>
    </row>
    <row r="7699" spans="1:11" ht="12.75" customHeight="1" x14ac:dyDescent="0.3">
      <c r="A7699" s="400" t="s">
        <v>1038</v>
      </c>
      <c r="B7699" s="401" t="s">
        <v>8064</v>
      </c>
      <c r="C7699" s="400" t="s">
        <v>439</v>
      </c>
      <c r="D7699" s="400" t="s">
        <v>7680</v>
      </c>
      <c r="E7699" s="403"/>
      <c r="F7699" s="400"/>
      <c r="G7699" s="400" t="s">
        <v>6</v>
      </c>
      <c r="H7699" s="400">
        <v>25.86</v>
      </c>
      <c r="I7699" s="404">
        <v>1.154E-2</v>
      </c>
      <c r="J7699" s="404">
        <v>0.28999999999999998</v>
      </c>
      <c r="K7699"/>
    </row>
    <row r="7700" spans="1:11" ht="38.25" customHeight="1" x14ac:dyDescent="0.3">
      <c r="A7700" s="581"/>
      <c r="B7700" s="581"/>
      <c r="C7700" s="581"/>
      <c r="D7700" s="581"/>
      <c r="E7700" s="581"/>
      <c r="F7700" s="581" t="s">
        <v>7910</v>
      </c>
      <c r="G7700" s="581"/>
      <c r="H7700" s="581"/>
      <c r="I7700" s="581"/>
      <c r="J7700" s="381">
        <v>0.28999999999999998</v>
      </c>
      <c r="K7700"/>
    </row>
    <row r="7701" spans="1:11" ht="14.25" customHeight="1" x14ac:dyDescent="0.3">
      <c r="A7701" s="581"/>
      <c r="B7701" s="581"/>
      <c r="C7701" s="581"/>
      <c r="D7701" s="581"/>
      <c r="E7701" s="581"/>
      <c r="F7701" s="581" t="s">
        <v>7911</v>
      </c>
      <c r="G7701" s="581"/>
      <c r="H7701" s="581"/>
      <c r="I7701" s="581"/>
      <c r="J7701" s="381">
        <v>0.28999999999999998</v>
      </c>
      <c r="K7701"/>
    </row>
    <row r="7702" spans="1:11" ht="25.5" customHeight="1" x14ac:dyDescent="0.3">
      <c r="A7702" s="581"/>
      <c r="B7702" s="581"/>
      <c r="C7702" s="581"/>
      <c r="D7702" s="581"/>
      <c r="E7702" s="581"/>
      <c r="F7702" s="581" t="s">
        <v>7912</v>
      </c>
      <c r="G7702" s="581"/>
      <c r="H7702" s="581"/>
      <c r="I7702" s="581"/>
      <c r="J7702" s="381">
        <v>1</v>
      </c>
      <c r="K7702"/>
    </row>
    <row r="7703" spans="1:11" ht="25.5" customHeight="1" x14ac:dyDescent="0.3">
      <c r="A7703" s="581"/>
      <c r="B7703" s="581"/>
      <c r="C7703" s="581"/>
      <c r="D7703" s="581"/>
      <c r="E7703" s="581"/>
      <c r="F7703" s="581" t="s">
        <v>7913</v>
      </c>
      <c r="G7703" s="581"/>
      <c r="H7703" s="581"/>
      <c r="I7703" s="581"/>
      <c r="J7703" s="381">
        <v>0.28999999999999998</v>
      </c>
      <c r="K7703"/>
    </row>
    <row r="7704" spans="1:11" ht="25.5" customHeight="1" x14ac:dyDescent="0.3">
      <c r="A7704" s="382" t="s">
        <v>7914</v>
      </c>
      <c r="B7704" s="312" t="s">
        <v>414</v>
      </c>
      <c r="C7704" s="382" t="s">
        <v>413</v>
      </c>
      <c r="D7704" s="382" t="s">
        <v>1039</v>
      </c>
      <c r="E7704" s="312"/>
      <c r="F7704" s="312"/>
      <c r="G7704" s="312" t="s">
        <v>7907</v>
      </c>
      <c r="H7704" s="312" t="s">
        <v>7908</v>
      </c>
      <c r="I7704" s="312" t="s">
        <v>1552</v>
      </c>
      <c r="J7704" s="312" t="s">
        <v>7905</v>
      </c>
      <c r="K7704"/>
    </row>
    <row r="7705" spans="1:11" ht="25.5" customHeight="1" x14ac:dyDescent="0.3">
      <c r="A7705" s="581"/>
      <c r="B7705" s="581"/>
      <c r="C7705" s="581"/>
      <c r="D7705" s="581"/>
      <c r="E7705" s="581"/>
      <c r="F7705" s="581" t="s">
        <v>7920</v>
      </c>
      <c r="G7705" s="581"/>
      <c r="H7705" s="581"/>
      <c r="I7705" s="581"/>
      <c r="J7705" s="381">
        <v>0</v>
      </c>
      <c r="K7705"/>
    </row>
    <row r="7706" spans="1:11" ht="25.5" customHeight="1" x14ac:dyDescent="0.3">
      <c r="A7706" s="382" t="s">
        <v>7921</v>
      </c>
      <c r="B7706" s="312" t="s">
        <v>414</v>
      </c>
      <c r="C7706" s="382" t="s">
        <v>413</v>
      </c>
      <c r="D7706" s="382" t="s">
        <v>2381</v>
      </c>
      <c r="E7706" s="312"/>
      <c r="F7706" s="312"/>
      <c r="G7706" s="312" t="s">
        <v>7907</v>
      </c>
      <c r="H7706" s="312" t="s">
        <v>7908</v>
      </c>
      <c r="I7706" s="312" t="s">
        <v>1552</v>
      </c>
      <c r="J7706" s="312" t="s">
        <v>7905</v>
      </c>
      <c r="K7706"/>
    </row>
    <row r="7707" spans="1:11" ht="25.5" customHeight="1" x14ac:dyDescent="0.3">
      <c r="A7707" s="581"/>
      <c r="B7707" s="581"/>
      <c r="C7707" s="581"/>
      <c r="D7707" s="581"/>
      <c r="E7707" s="581"/>
      <c r="F7707" s="581" t="s">
        <v>7929</v>
      </c>
      <c r="G7707" s="581"/>
      <c r="H7707" s="581"/>
      <c r="I7707" s="581"/>
      <c r="J7707" s="381">
        <v>0</v>
      </c>
      <c r="K7707"/>
    </row>
    <row r="7708" spans="1:11" ht="25.5" customHeight="1" x14ac:dyDescent="0.3">
      <c r="A7708" s="382" t="s">
        <v>6</v>
      </c>
      <c r="B7708" s="312" t="s">
        <v>414</v>
      </c>
      <c r="C7708" s="382" t="s">
        <v>413</v>
      </c>
      <c r="D7708" s="382" t="s">
        <v>7930</v>
      </c>
      <c r="E7708" s="312" t="s">
        <v>7931</v>
      </c>
      <c r="F7708" s="312" t="s">
        <v>7932</v>
      </c>
      <c r="G7708" s="312" t="s">
        <v>7907</v>
      </c>
      <c r="H7708" s="312" t="s">
        <v>7908</v>
      </c>
      <c r="I7708" s="312" t="s">
        <v>1552</v>
      </c>
      <c r="J7708" s="312" t="s">
        <v>7905</v>
      </c>
      <c r="K7708"/>
    </row>
    <row r="7709" spans="1:11" ht="25.5" customHeight="1" x14ac:dyDescent="0.3">
      <c r="A7709" s="581"/>
      <c r="B7709" s="581"/>
      <c r="C7709" s="581"/>
      <c r="D7709" s="581"/>
      <c r="E7709" s="581"/>
      <c r="F7709" s="581" t="s">
        <v>7933</v>
      </c>
      <c r="G7709" s="581"/>
      <c r="H7709" s="581"/>
      <c r="I7709" s="581"/>
      <c r="J7709" s="381">
        <v>0</v>
      </c>
      <c r="K7709"/>
    </row>
    <row r="7710" spans="1:11" ht="12.75" customHeight="1" x14ac:dyDescent="0.3">
      <c r="A7710" s="405"/>
      <c r="B7710" s="405"/>
      <c r="C7710" s="405"/>
      <c r="D7710" s="405"/>
      <c r="E7710" s="405" t="s">
        <v>1046</v>
      </c>
      <c r="F7710" s="406">
        <v>0.29843709400000001</v>
      </c>
      <c r="G7710" s="405" t="s">
        <v>1047</v>
      </c>
      <c r="H7710" s="406">
        <v>0</v>
      </c>
      <c r="I7710" s="405" t="s">
        <v>1048</v>
      </c>
      <c r="J7710" s="406">
        <v>0.28999999999999998</v>
      </c>
      <c r="K7710"/>
    </row>
    <row r="7711" spans="1:11" ht="12.75" customHeight="1" thickBot="1" x14ac:dyDescent="0.35">
      <c r="A7711" s="405"/>
      <c r="B7711" s="405"/>
      <c r="C7711" s="405"/>
      <c r="D7711" s="405"/>
      <c r="E7711" s="405" t="s">
        <v>1049</v>
      </c>
      <c r="F7711" s="406">
        <v>0</v>
      </c>
      <c r="G7711" s="405"/>
      <c r="H7711" s="606"/>
      <c r="I7711" s="606" t="s">
        <v>1050</v>
      </c>
      <c r="J7711" s="406">
        <v>0.28999999999999998</v>
      </c>
      <c r="K7711"/>
    </row>
    <row r="7712" spans="1:11" ht="38.25" customHeight="1" thickTop="1" x14ac:dyDescent="0.3">
      <c r="A7712" s="407"/>
      <c r="B7712" s="407"/>
      <c r="C7712" s="407"/>
      <c r="D7712" s="407"/>
      <c r="E7712" s="407"/>
      <c r="F7712" s="407"/>
      <c r="G7712" s="407"/>
      <c r="H7712" s="407"/>
      <c r="I7712" s="407"/>
      <c r="J7712" s="407"/>
      <c r="K7712"/>
    </row>
    <row r="7713" spans="1:11" ht="14.25" customHeight="1" x14ac:dyDescent="0.3">
      <c r="A7713" s="382"/>
      <c r="B7713" s="312" t="s">
        <v>413</v>
      </c>
      <c r="C7713" s="382" t="s">
        <v>414</v>
      </c>
      <c r="D7713" s="382" t="s">
        <v>415</v>
      </c>
      <c r="E7713" s="586" t="s">
        <v>1029</v>
      </c>
      <c r="F7713" s="586"/>
      <c r="G7713" s="383" t="s">
        <v>416</v>
      </c>
      <c r="H7713" s="312" t="s">
        <v>1030</v>
      </c>
      <c r="I7713" s="312" t="s">
        <v>3016</v>
      </c>
      <c r="J7713" s="312" t="s">
        <v>1031</v>
      </c>
      <c r="K7713" s="312" t="s">
        <v>1032</v>
      </c>
    </row>
    <row r="7714" spans="1:11" ht="25.5" customHeight="1" x14ac:dyDescent="0.3">
      <c r="A7714" s="313" t="s">
        <v>1033</v>
      </c>
      <c r="B7714" s="315" t="s">
        <v>8071</v>
      </c>
      <c r="C7714" s="313" t="s">
        <v>395</v>
      </c>
      <c r="D7714" s="313" t="s">
        <v>8072</v>
      </c>
      <c r="E7714" s="603" t="s">
        <v>7768</v>
      </c>
      <c r="F7714" s="603"/>
      <c r="G7714" s="314" t="s">
        <v>6</v>
      </c>
      <c r="H7714" s="399">
        <v>1</v>
      </c>
      <c r="I7714" s="316"/>
      <c r="J7714" s="316">
        <v>0.37</v>
      </c>
      <c r="K7714" s="316">
        <v>0.37</v>
      </c>
    </row>
    <row r="7715" spans="1:11" ht="12.75" customHeight="1" x14ac:dyDescent="0.3">
      <c r="A7715" s="400" t="s">
        <v>1038</v>
      </c>
      <c r="B7715" s="401" t="s">
        <v>1549</v>
      </c>
      <c r="C7715" s="400" t="s">
        <v>395</v>
      </c>
      <c r="D7715" s="400" t="s">
        <v>403</v>
      </c>
      <c r="E7715" s="605" t="s">
        <v>1053</v>
      </c>
      <c r="F7715" s="605"/>
      <c r="G7715" s="402" t="s">
        <v>6</v>
      </c>
      <c r="H7715" s="403">
        <v>1.154E-2</v>
      </c>
      <c r="I7715" s="403">
        <v>0</v>
      </c>
      <c r="J7715" s="404">
        <v>31.89</v>
      </c>
      <c r="K7715" s="404">
        <v>0.36801060000000002</v>
      </c>
    </row>
    <row r="7716" spans="1:11" ht="17.399999999999999" customHeight="1" x14ac:dyDescent="0.3">
      <c r="A7716" s="405"/>
      <c r="B7716" s="405"/>
      <c r="C7716" s="405"/>
      <c r="D7716" s="405"/>
      <c r="E7716" s="405" t="s">
        <v>1046</v>
      </c>
      <c r="F7716" s="406">
        <v>0.37</v>
      </c>
      <c r="G7716" s="405" t="s">
        <v>1047</v>
      </c>
      <c r="H7716" s="406">
        <v>0</v>
      </c>
      <c r="I7716" s="405" t="s">
        <v>1048</v>
      </c>
      <c r="J7716" s="406">
        <v>0.37</v>
      </c>
      <c r="K7716"/>
    </row>
    <row r="7717" spans="1:11" ht="25.5" customHeight="1" thickBot="1" x14ac:dyDescent="0.35">
      <c r="A7717" s="405"/>
      <c r="B7717" s="405"/>
      <c r="C7717" s="405"/>
      <c r="D7717" s="405"/>
      <c r="E7717" s="405" t="s">
        <v>1049</v>
      </c>
      <c r="F7717" s="406">
        <v>0</v>
      </c>
      <c r="G7717" s="405"/>
      <c r="H7717" s="606"/>
      <c r="I7717" s="606" t="s">
        <v>1050</v>
      </c>
      <c r="J7717" s="406">
        <v>0.37</v>
      </c>
      <c r="K7717"/>
    </row>
    <row r="7718" spans="1:11" ht="25.5" customHeight="1" thickTop="1" x14ac:dyDescent="0.3">
      <c r="A7718" s="407"/>
      <c r="B7718" s="407"/>
      <c r="C7718" s="407"/>
      <c r="D7718" s="407"/>
      <c r="E7718" s="407"/>
      <c r="F7718" s="407"/>
      <c r="G7718" s="407"/>
      <c r="H7718" s="407"/>
      <c r="I7718" s="407"/>
      <c r="J7718" s="407"/>
      <c r="K7718"/>
    </row>
    <row r="7719" spans="1:11" ht="25.5" customHeight="1" x14ac:dyDescent="0.3">
      <c r="A7719" s="382"/>
      <c r="B7719" s="312" t="s">
        <v>413</v>
      </c>
      <c r="C7719" s="382" t="s">
        <v>414</v>
      </c>
      <c r="D7719" s="382" t="s">
        <v>415</v>
      </c>
      <c r="E7719" s="586" t="s">
        <v>1029</v>
      </c>
      <c r="F7719" s="586"/>
      <c r="G7719" s="383" t="s">
        <v>416</v>
      </c>
      <c r="H7719" s="312" t="s">
        <v>1030</v>
      </c>
      <c r="I7719" s="312" t="s">
        <v>3016</v>
      </c>
      <c r="J7719" s="312" t="s">
        <v>1031</v>
      </c>
      <c r="K7719" s="312" t="s">
        <v>1032</v>
      </c>
    </row>
    <row r="7720" spans="1:11" ht="25.5" customHeight="1" x14ac:dyDescent="0.3">
      <c r="A7720" s="313" t="s">
        <v>1033</v>
      </c>
      <c r="B7720" s="315" t="s">
        <v>4902</v>
      </c>
      <c r="C7720" s="313" t="s">
        <v>439</v>
      </c>
      <c r="D7720" s="313" t="s">
        <v>8094</v>
      </c>
      <c r="E7720" s="603" t="s">
        <v>7770</v>
      </c>
      <c r="F7720" s="603"/>
      <c r="G7720" s="314" t="s">
        <v>1109</v>
      </c>
      <c r="H7720" s="399">
        <v>1</v>
      </c>
      <c r="I7720" s="316"/>
      <c r="J7720" s="316">
        <v>0.96</v>
      </c>
      <c r="K7720" s="316">
        <v>0.96</v>
      </c>
    </row>
    <row r="7721" spans="1:11" ht="25.5" customHeight="1" x14ac:dyDescent="0.3">
      <c r="A7721" s="586" t="s">
        <v>3312</v>
      </c>
      <c r="B7721" s="584" t="s">
        <v>413</v>
      </c>
      <c r="C7721" s="586" t="s">
        <v>414</v>
      </c>
      <c r="D7721" s="586" t="s">
        <v>7901</v>
      </c>
      <c r="E7721" s="585" t="s">
        <v>7902</v>
      </c>
      <c r="F7721" s="584"/>
      <c r="G7721" s="585" t="s">
        <v>7903</v>
      </c>
      <c r="H7721" s="584"/>
      <c r="I7721" s="584" t="s">
        <v>7904</v>
      </c>
      <c r="J7721" s="584" t="s">
        <v>7905</v>
      </c>
      <c r="K7721"/>
    </row>
    <row r="7722" spans="1:11" ht="12.75" customHeight="1" x14ac:dyDescent="0.3">
      <c r="A7722" s="584"/>
      <c r="B7722" s="584"/>
      <c r="C7722" s="584"/>
      <c r="D7722" s="584"/>
      <c r="E7722" s="312" t="s">
        <v>4013</v>
      </c>
      <c r="F7722" s="312" t="s">
        <v>4014</v>
      </c>
      <c r="G7722" s="312" t="s">
        <v>4013</v>
      </c>
      <c r="H7722" s="312" t="s">
        <v>4014</v>
      </c>
      <c r="I7722" s="584"/>
      <c r="J7722" s="584"/>
      <c r="K7722"/>
    </row>
    <row r="7723" spans="1:11" ht="12.75" customHeight="1" x14ac:dyDescent="0.3">
      <c r="A7723" s="581"/>
      <c r="B7723" s="581"/>
      <c r="C7723" s="581"/>
      <c r="D7723" s="581"/>
      <c r="E7723" s="581"/>
      <c r="F7723" s="581" t="s">
        <v>7906</v>
      </c>
      <c r="G7723" s="581"/>
      <c r="H7723" s="581"/>
      <c r="I7723" s="581"/>
      <c r="J7723" s="381">
        <v>0</v>
      </c>
      <c r="K7723"/>
    </row>
    <row r="7724" spans="1:11" ht="38.25" customHeight="1" x14ac:dyDescent="0.3">
      <c r="A7724" s="382" t="s">
        <v>371</v>
      </c>
      <c r="B7724" s="312" t="s">
        <v>413</v>
      </c>
      <c r="C7724" s="382" t="s">
        <v>414</v>
      </c>
      <c r="D7724" s="382" t="s">
        <v>1053</v>
      </c>
      <c r="E7724" s="312"/>
      <c r="F7724" s="584"/>
      <c r="G7724" s="584" t="s">
        <v>7907</v>
      </c>
      <c r="H7724" s="584" t="s">
        <v>7908</v>
      </c>
      <c r="I7724" s="584" t="s">
        <v>7904</v>
      </c>
      <c r="J7724" s="312" t="s">
        <v>7905</v>
      </c>
      <c r="K7724"/>
    </row>
    <row r="7725" spans="1:11" ht="14.25" customHeight="1" x14ac:dyDescent="0.3">
      <c r="A7725" s="400" t="s">
        <v>1038</v>
      </c>
      <c r="B7725" s="401" t="s">
        <v>8095</v>
      </c>
      <c r="C7725" s="400" t="s">
        <v>439</v>
      </c>
      <c r="D7725" s="400" t="s">
        <v>1093</v>
      </c>
      <c r="E7725" s="403"/>
      <c r="F7725" s="400"/>
      <c r="G7725" s="400" t="s">
        <v>6</v>
      </c>
      <c r="H7725" s="400">
        <v>25.86</v>
      </c>
      <c r="I7725" s="404">
        <v>3.7319999999999999E-2</v>
      </c>
      <c r="J7725" s="404">
        <v>0.96</v>
      </c>
      <c r="K7725"/>
    </row>
    <row r="7726" spans="1:11" ht="25.5" customHeight="1" x14ac:dyDescent="0.3">
      <c r="A7726" s="581"/>
      <c r="B7726" s="581"/>
      <c r="C7726" s="581"/>
      <c r="D7726" s="581"/>
      <c r="E7726" s="581"/>
      <c r="F7726" s="581" t="s">
        <v>7910</v>
      </c>
      <c r="G7726" s="581"/>
      <c r="H7726" s="581"/>
      <c r="I7726" s="581"/>
      <c r="J7726" s="381">
        <v>0.96</v>
      </c>
      <c r="K7726"/>
    </row>
    <row r="7727" spans="1:11" ht="16.95" customHeight="1" x14ac:dyDescent="0.3">
      <c r="A7727" s="581"/>
      <c r="B7727" s="581"/>
      <c r="C7727" s="581"/>
      <c r="D7727" s="581"/>
      <c r="E7727" s="581"/>
      <c r="F7727" s="581" t="s">
        <v>7911</v>
      </c>
      <c r="G7727" s="581"/>
      <c r="H7727" s="581"/>
      <c r="I7727" s="581"/>
      <c r="J7727" s="381">
        <v>0.96</v>
      </c>
      <c r="K7727"/>
    </row>
    <row r="7728" spans="1:11" ht="38.25" customHeight="1" x14ac:dyDescent="0.3">
      <c r="A7728" s="581"/>
      <c r="B7728" s="581"/>
      <c r="C7728" s="581"/>
      <c r="D7728" s="581"/>
      <c r="E7728" s="581"/>
      <c r="F7728" s="581" t="s">
        <v>7912</v>
      </c>
      <c r="G7728" s="581"/>
      <c r="H7728" s="581"/>
      <c r="I7728" s="581"/>
      <c r="J7728" s="381">
        <v>1</v>
      </c>
      <c r="K7728"/>
    </row>
    <row r="7729" spans="1:11" ht="25.5" customHeight="1" x14ac:dyDescent="0.3">
      <c r="A7729" s="581"/>
      <c r="B7729" s="581"/>
      <c r="C7729" s="581"/>
      <c r="D7729" s="581"/>
      <c r="E7729" s="581"/>
      <c r="F7729" s="581" t="s">
        <v>7913</v>
      </c>
      <c r="G7729" s="581"/>
      <c r="H7729" s="581"/>
      <c r="I7729" s="581"/>
      <c r="J7729" s="381">
        <v>0.96</v>
      </c>
      <c r="K7729"/>
    </row>
    <row r="7730" spans="1:11" ht="25.5" customHeight="1" x14ac:dyDescent="0.3">
      <c r="A7730" s="382" t="s">
        <v>7914</v>
      </c>
      <c r="B7730" s="312" t="s">
        <v>414</v>
      </c>
      <c r="C7730" s="382" t="s">
        <v>413</v>
      </c>
      <c r="D7730" s="382" t="s">
        <v>1039</v>
      </c>
      <c r="E7730" s="312"/>
      <c r="F7730" s="312"/>
      <c r="G7730" s="312" t="s">
        <v>7907</v>
      </c>
      <c r="H7730" s="312" t="s">
        <v>7908</v>
      </c>
      <c r="I7730" s="312" t="s">
        <v>1552</v>
      </c>
      <c r="J7730" s="312" t="s">
        <v>7905</v>
      </c>
      <c r="K7730"/>
    </row>
    <row r="7731" spans="1:11" ht="25.5" customHeight="1" x14ac:dyDescent="0.3">
      <c r="A7731" s="581"/>
      <c r="B7731" s="581"/>
      <c r="C7731" s="581"/>
      <c r="D7731" s="581"/>
      <c r="E7731" s="581"/>
      <c r="F7731" s="581" t="s">
        <v>7920</v>
      </c>
      <c r="G7731" s="581"/>
      <c r="H7731" s="581"/>
      <c r="I7731" s="581"/>
      <c r="J7731" s="381">
        <v>0</v>
      </c>
      <c r="K7731"/>
    </row>
    <row r="7732" spans="1:11" ht="25.5" customHeight="1" x14ac:dyDescent="0.3">
      <c r="A7732" s="382" t="s">
        <v>7921</v>
      </c>
      <c r="B7732" s="312" t="s">
        <v>414</v>
      </c>
      <c r="C7732" s="382" t="s">
        <v>413</v>
      </c>
      <c r="D7732" s="382" t="s">
        <v>2381</v>
      </c>
      <c r="E7732" s="312"/>
      <c r="F7732" s="312"/>
      <c r="G7732" s="312" t="s">
        <v>7907</v>
      </c>
      <c r="H7732" s="312" t="s">
        <v>7908</v>
      </c>
      <c r="I7732" s="312" t="s">
        <v>1552</v>
      </c>
      <c r="J7732" s="312" t="s">
        <v>7905</v>
      </c>
      <c r="K7732"/>
    </row>
    <row r="7733" spans="1:11" ht="25.5" customHeight="1" x14ac:dyDescent="0.3">
      <c r="A7733" s="581"/>
      <c r="B7733" s="581"/>
      <c r="C7733" s="581"/>
      <c r="D7733" s="581"/>
      <c r="E7733" s="581"/>
      <c r="F7733" s="581" t="s">
        <v>7929</v>
      </c>
      <c r="G7733" s="581"/>
      <c r="H7733" s="581"/>
      <c r="I7733" s="581"/>
      <c r="J7733" s="381">
        <v>0</v>
      </c>
      <c r="K7733"/>
    </row>
    <row r="7734" spans="1:11" ht="27.6" x14ac:dyDescent="0.3">
      <c r="A7734" s="382" t="s">
        <v>6</v>
      </c>
      <c r="B7734" s="312" t="s">
        <v>414</v>
      </c>
      <c r="C7734" s="382" t="s">
        <v>413</v>
      </c>
      <c r="D7734" s="382" t="s">
        <v>7930</v>
      </c>
      <c r="E7734" s="312" t="s">
        <v>7931</v>
      </c>
      <c r="F7734" s="312" t="s">
        <v>7932</v>
      </c>
      <c r="G7734" s="312" t="s">
        <v>7907</v>
      </c>
      <c r="H7734" s="312" t="s">
        <v>7908</v>
      </c>
      <c r="I7734" s="312" t="s">
        <v>1552</v>
      </c>
      <c r="J7734" s="312" t="s">
        <v>7905</v>
      </c>
      <c r="K7734"/>
    </row>
    <row r="7735" spans="1:11" ht="15" x14ac:dyDescent="0.3">
      <c r="A7735" s="581"/>
      <c r="B7735" s="581"/>
      <c r="C7735" s="581"/>
      <c r="D7735" s="581"/>
      <c r="E7735" s="581"/>
      <c r="F7735" s="581" t="s">
        <v>7933</v>
      </c>
      <c r="G7735" s="581"/>
      <c r="H7735" s="581"/>
      <c r="I7735" s="581"/>
      <c r="J7735" s="381">
        <v>0</v>
      </c>
      <c r="K7735"/>
    </row>
    <row r="7736" spans="1:11" ht="38.25" customHeight="1" x14ac:dyDescent="0.3">
      <c r="A7736" s="405"/>
      <c r="B7736" s="405"/>
      <c r="C7736" s="405"/>
      <c r="D7736" s="405"/>
      <c r="E7736" s="405" t="s">
        <v>1046</v>
      </c>
      <c r="F7736" s="406">
        <v>0.96513625199999997</v>
      </c>
      <c r="G7736" s="405" t="s">
        <v>1047</v>
      </c>
      <c r="H7736" s="406">
        <v>0</v>
      </c>
      <c r="I7736" s="405" t="s">
        <v>1048</v>
      </c>
      <c r="J7736" s="406">
        <v>0.96</v>
      </c>
      <c r="K7736"/>
    </row>
    <row r="7737" spans="1:11" ht="25.5" customHeight="1" thickBot="1" x14ac:dyDescent="0.35">
      <c r="A7737" s="405"/>
      <c r="B7737" s="405"/>
      <c r="C7737" s="405"/>
      <c r="D7737" s="405"/>
      <c r="E7737" s="405" t="s">
        <v>1049</v>
      </c>
      <c r="F7737" s="406">
        <v>0</v>
      </c>
      <c r="G7737" s="405"/>
      <c r="H7737" s="606"/>
      <c r="I7737" s="606" t="s">
        <v>1050</v>
      </c>
      <c r="J7737" s="406">
        <v>0.96</v>
      </c>
      <c r="K7737"/>
    </row>
    <row r="7738" spans="1:11" ht="25.5" customHeight="1" thickTop="1" x14ac:dyDescent="0.3">
      <c r="A7738" s="407"/>
      <c r="B7738" s="407"/>
      <c r="C7738" s="407"/>
      <c r="D7738" s="407"/>
      <c r="E7738" s="407"/>
      <c r="F7738" s="407"/>
      <c r="G7738" s="407"/>
      <c r="H7738" s="407"/>
      <c r="I7738" s="407"/>
      <c r="J7738" s="407"/>
      <c r="K7738"/>
    </row>
    <row r="7739" spans="1:11" ht="14.25" customHeight="1" x14ac:dyDescent="0.3">
      <c r="A7739" s="382"/>
      <c r="B7739" s="312" t="s">
        <v>413</v>
      </c>
      <c r="C7739" s="382" t="s">
        <v>414</v>
      </c>
      <c r="D7739" s="382" t="s">
        <v>415</v>
      </c>
      <c r="E7739" s="586" t="s">
        <v>1029</v>
      </c>
      <c r="F7739" s="586"/>
      <c r="G7739" s="383" t="s">
        <v>416</v>
      </c>
      <c r="H7739" s="312" t="s">
        <v>1030</v>
      </c>
      <c r="I7739" s="312" t="s">
        <v>3016</v>
      </c>
      <c r="J7739" s="312" t="s">
        <v>1031</v>
      </c>
      <c r="K7739" s="312" t="s">
        <v>1032</v>
      </c>
    </row>
    <row r="7740" spans="1:11" ht="16.95" customHeight="1" x14ac:dyDescent="0.3">
      <c r="A7740" s="313" t="s">
        <v>1033</v>
      </c>
      <c r="B7740" s="315" t="s">
        <v>8096</v>
      </c>
      <c r="C7740" s="313" t="s">
        <v>395</v>
      </c>
      <c r="D7740" s="313" t="s">
        <v>8097</v>
      </c>
      <c r="E7740" s="603" t="s">
        <v>7768</v>
      </c>
      <c r="F7740" s="603"/>
      <c r="G7740" s="314" t="s">
        <v>6</v>
      </c>
      <c r="H7740" s="399">
        <v>1</v>
      </c>
      <c r="I7740" s="316"/>
      <c r="J7740" s="316">
        <v>1.1299999999999999</v>
      </c>
      <c r="K7740" s="316">
        <v>1.1299999999999999</v>
      </c>
    </row>
    <row r="7741" spans="1:11" ht="15" x14ac:dyDescent="0.3">
      <c r="A7741" s="400" t="s">
        <v>1038</v>
      </c>
      <c r="B7741" s="401" t="s">
        <v>1074</v>
      </c>
      <c r="C7741" s="400" t="s">
        <v>395</v>
      </c>
      <c r="D7741" s="400" t="s">
        <v>404</v>
      </c>
      <c r="E7741" s="605" t="s">
        <v>1053</v>
      </c>
      <c r="F7741" s="605"/>
      <c r="G7741" s="402" t="s">
        <v>6</v>
      </c>
      <c r="H7741" s="403">
        <v>3.7319999999999999E-2</v>
      </c>
      <c r="I7741" s="403">
        <v>0</v>
      </c>
      <c r="J7741" s="404">
        <v>30.36</v>
      </c>
      <c r="K7741" s="404">
        <v>1.1330351999999999</v>
      </c>
    </row>
    <row r="7742" spans="1:11" ht="12.75" customHeight="1" x14ac:dyDescent="0.3">
      <c r="A7742" s="405"/>
      <c r="B7742" s="405"/>
      <c r="C7742" s="405"/>
      <c r="D7742" s="405"/>
      <c r="E7742" s="405" t="s">
        <v>1046</v>
      </c>
      <c r="F7742" s="406">
        <v>1.1299999999999999</v>
      </c>
      <c r="G7742" s="405" t="s">
        <v>1047</v>
      </c>
      <c r="H7742" s="406">
        <v>0</v>
      </c>
      <c r="I7742" s="405" t="s">
        <v>1048</v>
      </c>
      <c r="J7742" s="406">
        <v>1.1299999999999999</v>
      </c>
      <c r="K7742"/>
    </row>
    <row r="7743" spans="1:11" ht="25.5" customHeight="1" thickBot="1" x14ac:dyDescent="0.35">
      <c r="A7743" s="405"/>
      <c r="B7743" s="405"/>
      <c r="C7743" s="405"/>
      <c r="D7743" s="405"/>
      <c r="E7743" s="405" t="s">
        <v>1049</v>
      </c>
      <c r="F7743" s="406">
        <v>0</v>
      </c>
      <c r="G7743" s="405"/>
      <c r="H7743" s="606"/>
      <c r="I7743" s="606" t="s">
        <v>1050</v>
      </c>
      <c r="J7743" s="406">
        <v>1.1299999999999999</v>
      </c>
      <c r="K7743"/>
    </row>
    <row r="7744" spans="1:11" ht="25.5" customHeight="1" thickTop="1" x14ac:dyDescent="0.3">
      <c r="A7744" s="407"/>
      <c r="B7744" s="407"/>
      <c r="C7744" s="407"/>
      <c r="D7744" s="407"/>
      <c r="E7744" s="407"/>
      <c r="F7744" s="407"/>
      <c r="G7744" s="407"/>
      <c r="H7744" s="407"/>
      <c r="I7744" s="407"/>
      <c r="J7744" s="407"/>
      <c r="K7744"/>
    </row>
    <row r="7745" spans="1:11" ht="25.5" customHeight="1" x14ac:dyDescent="0.3">
      <c r="A7745" s="382"/>
      <c r="B7745" s="312" t="s">
        <v>413</v>
      </c>
      <c r="C7745" s="382" t="s">
        <v>414</v>
      </c>
      <c r="D7745" s="382" t="s">
        <v>415</v>
      </c>
      <c r="E7745" s="586" t="s">
        <v>1029</v>
      </c>
      <c r="F7745" s="586"/>
      <c r="G7745" s="383" t="s">
        <v>416</v>
      </c>
      <c r="H7745" s="312" t="s">
        <v>1030</v>
      </c>
      <c r="I7745" s="312" t="s">
        <v>3016</v>
      </c>
      <c r="J7745" s="312" t="s">
        <v>1031</v>
      </c>
      <c r="K7745" s="312" t="s">
        <v>1032</v>
      </c>
    </row>
    <row r="7746" spans="1:11" ht="25.5" customHeight="1" x14ac:dyDescent="0.3">
      <c r="A7746" s="313" t="s">
        <v>1033</v>
      </c>
      <c r="B7746" s="315" t="s">
        <v>8098</v>
      </c>
      <c r="C7746" s="313" t="s">
        <v>395</v>
      </c>
      <c r="D7746" s="313" t="s">
        <v>8099</v>
      </c>
      <c r="E7746" s="603" t="s">
        <v>7768</v>
      </c>
      <c r="F7746" s="603"/>
      <c r="G7746" s="314" t="s">
        <v>6</v>
      </c>
      <c r="H7746" s="399">
        <v>1</v>
      </c>
      <c r="I7746" s="316"/>
      <c r="J7746" s="316">
        <v>1.08</v>
      </c>
      <c r="K7746" s="316">
        <v>1.08</v>
      </c>
    </row>
    <row r="7747" spans="1:11" ht="25.5" customHeight="1" x14ac:dyDescent="0.3">
      <c r="A7747" s="400" t="s">
        <v>1038</v>
      </c>
      <c r="B7747" s="401" t="s">
        <v>4270</v>
      </c>
      <c r="C7747" s="400" t="s">
        <v>395</v>
      </c>
      <c r="D7747" s="400" t="s">
        <v>4271</v>
      </c>
      <c r="E7747" s="605" t="s">
        <v>1053</v>
      </c>
      <c r="F7747" s="605"/>
      <c r="G7747" s="402" t="s">
        <v>6</v>
      </c>
      <c r="H7747" s="403">
        <v>3.0870000000000002E-2</v>
      </c>
      <c r="I7747" s="403">
        <v>0</v>
      </c>
      <c r="J7747" s="404">
        <v>34.909999999999997</v>
      </c>
      <c r="K7747" s="404">
        <v>1.0776717</v>
      </c>
    </row>
    <row r="7748" spans="1:11" ht="38.25" customHeight="1" x14ac:dyDescent="0.3">
      <c r="A7748" s="405"/>
      <c r="B7748" s="405"/>
      <c r="C7748" s="405"/>
      <c r="D7748" s="405"/>
      <c r="E7748" s="405" t="s">
        <v>1046</v>
      </c>
      <c r="F7748" s="406">
        <v>1.08</v>
      </c>
      <c r="G7748" s="405" t="s">
        <v>1047</v>
      </c>
      <c r="H7748" s="406">
        <v>0</v>
      </c>
      <c r="I7748" s="405" t="s">
        <v>1048</v>
      </c>
      <c r="J7748" s="406">
        <v>1.08</v>
      </c>
      <c r="K7748"/>
    </row>
    <row r="7749" spans="1:11" ht="25.5" customHeight="1" thickBot="1" x14ac:dyDescent="0.35">
      <c r="A7749" s="405"/>
      <c r="B7749" s="405"/>
      <c r="C7749" s="405"/>
      <c r="D7749" s="405"/>
      <c r="E7749" s="405" t="s">
        <v>1049</v>
      </c>
      <c r="F7749" s="406">
        <v>0</v>
      </c>
      <c r="G7749" s="405"/>
      <c r="H7749" s="606"/>
      <c r="I7749" s="606" t="s">
        <v>1050</v>
      </c>
      <c r="J7749" s="406">
        <v>1.08</v>
      </c>
      <c r="K7749"/>
    </row>
    <row r="7750" spans="1:11" ht="25.5" customHeight="1" thickTop="1" x14ac:dyDescent="0.3">
      <c r="A7750" s="407"/>
      <c r="B7750" s="407"/>
      <c r="C7750" s="407"/>
      <c r="D7750" s="407"/>
      <c r="E7750" s="407"/>
      <c r="F7750" s="407"/>
      <c r="G7750" s="407"/>
      <c r="H7750" s="407"/>
      <c r="I7750" s="407"/>
      <c r="J7750" s="407"/>
      <c r="K7750"/>
    </row>
    <row r="7751" spans="1:11" ht="12.75" customHeight="1" x14ac:dyDescent="0.3">
      <c r="A7751" s="382"/>
      <c r="B7751" s="312" t="s">
        <v>413</v>
      </c>
      <c r="C7751" s="382" t="s">
        <v>414</v>
      </c>
      <c r="D7751" s="382" t="s">
        <v>415</v>
      </c>
      <c r="E7751" s="586" t="s">
        <v>1029</v>
      </c>
      <c r="F7751" s="586"/>
      <c r="G7751" s="383" t="s">
        <v>416</v>
      </c>
      <c r="H7751" s="312" t="s">
        <v>1030</v>
      </c>
      <c r="I7751" s="312" t="s">
        <v>3016</v>
      </c>
      <c r="J7751" s="312" t="s">
        <v>1031</v>
      </c>
      <c r="K7751" s="312" t="s">
        <v>1032</v>
      </c>
    </row>
    <row r="7752" spans="1:11" ht="26.4" x14ac:dyDescent="0.3">
      <c r="A7752" s="313" t="s">
        <v>1033</v>
      </c>
      <c r="B7752" s="315" t="s">
        <v>8100</v>
      </c>
      <c r="C7752" s="313" t="s">
        <v>395</v>
      </c>
      <c r="D7752" s="313" t="s">
        <v>8101</v>
      </c>
      <c r="E7752" s="603" t="s">
        <v>7768</v>
      </c>
      <c r="F7752" s="603"/>
      <c r="G7752" s="314" t="s">
        <v>6</v>
      </c>
      <c r="H7752" s="399">
        <v>1</v>
      </c>
      <c r="I7752" s="316"/>
      <c r="J7752" s="316">
        <v>0.54</v>
      </c>
      <c r="K7752" s="316">
        <v>0.54</v>
      </c>
    </row>
    <row r="7753" spans="1:11" ht="14.25" customHeight="1" x14ac:dyDescent="0.3">
      <c r="A7753" s="400" t="s">
        <v>1038</v>
      </c>
      <c r="B7753" s="401" t="s">
        <v>1184</v>
      </c>
      <c r="C7753" s="400" t="s">
        <v>395</v>
      </c>
      <c r="D7753" s="400" t="s">
        <v>405</v>
      </c>
      <c r="E7753" s="605" t="s">
        <v>1053</v>
      </c>
      <c r="F7753" s="605"/>
      <c r="G7753" s="402" t="s">
        <v>6</v>
      </c>
      <c r="H7753" s="403">
        <v>1.7979999999999999E-2</v>
      </c>
      <c r="I7753" s="403">
        <v>0</v>
      </c>
      <c r="J7753" s="404">
        <v>30.04</v>
      </c>
      <c r="K7753" s="404">
        <v>0.54011920000000002</v>
      </c>
    </row>
    <row r="7754" spans="1:11" ht="15" x14ac:dyDescent="0.3">
      <c r="A7754" s="405"/>
      <c r="B7754" s="405"/>
      <c r="C7754" s="405"/>
      <c r="D7754" s="405"/>
      <c r="E7754" s="405" t="s">
        <v>1046</v>
      </c>
      <c r="F7754" s="406">
        <v>0.54</v>
      </c>
      <c r="G7754" s="405" t="s">
        <v>1047</v>
      </c>
      <c r="H7754" s="406">
        <v>0</v>
      </c>
      <c r="I7754" s="405" t="s">
        <v>1048</v>
      </c>
      <c r="J7754" s="406">
        <v>0.54</v>
      </c>
      <c r="K7754"/>
    </row>
    <row r="7755" spans="1:11" ht="14.25" customHeight="1" thickBot="1" x14ac:dyDescent="0.35">
      <c r="A7755" s="405"/>
      <c r="B7755" s="405"/>
      <c r="C7755" s="405"/>
      <c r="D7755" s="405"/>
      <c r="E7755" s="405" t="s">
        <v>1049</v>
      </c>
      <c r="F7755" s="406">
        <v>0</v>
      </c>
      <c r="G7755" s="405"/>
      <c r="H7755" s="606"/>
      <c r="I7755" s="606" t="s">
        <v>1050</v>
      </c>
      <c r="J7755" s="406">
        <v>0.54</v>
      </c>
      <c r="K7755"/>
    </row>
    <row r="7756" spans="1:11" ht="14.25" customHeight="1" thickTop="1" x14ac:dyDescent="0.3">
      <c r="A7756" s="407"/>
      <c r="B7756" s="407"/>
      <c r="C7756" s="407"/>
      <c r="D7756" s="407"/>
      <c r="E7756" s="407"/>
      <c r="F7756" s="407"/>
      <c r="G7756" s="407"/>
      <c r="H7756" s="407"/>
      <c r="I7756" s="407"/>
      <c r="J7756" s="407"/>
      <c r="K7756"/>
    </row>
    <row r="7757" spans="1:11" ht="12.75" customHeight="1" x14ac:dyDescent="0.3">
      <c r="A7757" s="382"/>
      <c r="B7757" s="312" t="s">
        <v>413</v>
      </c>
      <c r="C7757" s="382" t="s">
        <v>414</v>
      </c>
      <c r="D7757" s="382" t="s">
        <v>415</v>
      </c>
      <c r="E7757" s="586" t="s">
        <v>1029</v>
      </c>
      <c r="F7757" s="586"/>
      <c r="G7757" s="383" t="s">
        <v>416</v>
      </c>
      <c r="H7757" s="312" t="s">
        <v>1030</v>
      </c>
      <c r="I7757" s="312" t="s">
        <v>3016</v>
      </c>
      <c r="J7757" s="312" t="s">
        <v>1031</v>
      </c>
      <c r="K7757" s="312" t="s">
        <v>1032</v>
      </c>
    </row>
    <row r="7758" spans="1:11" ht="26.4" x14ac:dyDescent="0.3">
      <c r="A7758" s="313" t="s">
        <v>1033</v>
      </c>
      <c r="B7758" s="315" t="s">
        <v>8102</v>
      </c>
      <c r="C7758" s="313" t="s">
        <v>395</v>
      </c>
      <c r="D7758" s="313" t="s">
        <v>8103</v>
      </c>
      <c r="E7758" s="603" t="s">
        <v>7768</v>
      </c>
      <c r="F7758" s="603"/>
      <c r="G7758" s="314" t="s">
        <v>6</v>
      </c>
      <c r="H7758" s="399">
        <v>1</v>
      </c>
      <c r="I7758" s="316"/>
      <c r="J7758" s="316">
        <v>1.06</v>
      </c>
      <c r="K7758" s="316">
        <v>1.06</v>
      </c>
    </row>
    <row r="7759" spans="1:11" ht="15" x14ac:dyDescent="0.3">
      <c r="A7759" s="400" t="s">
        <v>1038</v>
      </c>
      <c r="B7759" s="401" t="s">
        <v>4953</v>
      </c>
      <c r="C7759" s="400" t="s">
        <v>395</v>
      </c>
      <c r="D7759" s="400" t="s">
        <v>4954</v>
      </c>
      <c r="E7759" s="605" t="s">
        <v>1053</v>
      </c>
      <c r="F7759" s="605"/>
      <c r="G7759" s="402" t="s">
        <v>6</v>
      </c>
      <c r="H7759" s="403">
        <v>2.12E-2</v>
      </c>
      <c r="I7759" s="403">
        <v>0</v>
      </c>
      <c r="J7759" s="404">
        <v>49.85</v>
      </c>
      <c r="K7759" s="404">
        <v>1.0568200000000001</v>
      </c>
    </row>
    <row r="7760" spans="1:11" ht="12.75" customHeight="1" x14ac:dyDescent="0.3">
      <c r="A7760" s="405"/>
      <c r="B7760" s="405"/>
      <c r="C7760" s="405"/>
      <c r="D7760" s="405"/>
      <c r="E7760" s="405" t="s">
        <v>1046</v>
      </c>
      <c r="F7760" s="406">
        <v>1.06</v>
      </c>
      <c r="G7760" s="405" t="s">
        <v>1047</v>
      </c>
      <c r="H7760" s="406">
        <v>0</v>
      </c>
      <c r="I7760" s="405" t="s">
        <v>1048</v>
      </c>
      <c r="J7760" s="406">
        <v>1.06</v>
      </c>
      <c r="K7760"/>
    </row>
    <row r="7761" spans="1:11" ht="25.5" customHeight="1" thickBot="1" x14ac:dyDescent="0.35">
      <c r="A7761" s="405"/>
      <c r="B7761" s="405"/>
      <c r="C7761" s="405"/>
      <c r="D7761" s="405"/>
      <c r="E7761" s="405" t="s">
        <v>1049</v>
      </c>
      <c r="F7761" s="406">
        <v>0</v>
      </c>
      <c r="G7761" s="405"/>
      <c r="H7761" s="606"/>
      <c r="I7761" s="606" t="s">
        <v>1050</v>
      </c>
      <c r="J7761" s="406">
        <v>1.06</v>
      </c>
      <c r="K7761"/>
    </row>
    <row r="7762" spans="1:11" ht="25.5" customHeight="1" thickTop="1" x14ac:dyDescent="0.3">
      <c r="A7762" s="407"/>
      <c r="B7762" s="407"/>
      <c r="C7762" s="407"/>
      <c r="D7762" s="407"/>
      <c r="E7762" s="407"/>
      <c r="F7762" s="407"/>
      <c r="G7762" s="407"/>
      <c r="H7762" s="407"/>
      <c r="I7762" s="407"/>
      <c r="J7762" s="407"/>
      <c r="K7762"/>
    </row>
    <row r="7763" spans="1:11" ht="16.95" customHeight="1" x14ac:dyDescent="0.3">
      <c r="A7763" s="382"/>
      <c r="B7763" s="312" t="s">
        <v>413</v>
      </c>
      <c r="C7763" s="382" t="s">
        <v>414</v>
      </c>
      <c r="D7763" s="382" t="s">
        <v>415</v>
      </c>
      <c r="E7763" s="586" t="s">
        <v>1029</v>
      </c>
      <c r="F7763" s="586"/>
      <c r="G7763" s="383" t="s">
        <v>416</v>
      </c>
      <c r="H7763" s="312" t="s">
        <v>1030</v>
      </c>
      <c r="I7763" s="312" t="s">
        <v>3016</v>
      </c>
      <c r="J7763" s="312" t="s">
        <v>1031</v>
      </c>
      <c r="K7763" s="312" t="s">
        <v>1032</v>
      </c>
    </row>
    <row r="7764" spans="1:11" ht="12.75" customHeight="1" x14ac:dyDescent="0.3">
      <c r="A7764" s="313" t="s">
        <v>1033</v>
      </c>
      <c r="B7764" s="315" t="s">
        <v>8104</v>
      </c>
      <c r="C7764" s="313" t="s">
        <v>395</v>
      </c>
      <c r="D7764" s="313" t="s">
        <v>8105</v>
      </c>
      <c r="E7764" s="603" t="s">
        <v>7768</v>
      </c>
      <c r="F7764" s="603"/>
      <c r="G7764" s="314" t="s">
        <v>6</v>
      </c>
      <c r="H7764" s="399">
        <v>1</v>
      </c>
      <c r="I7764" s="316"/>
      <c r="J7764" s="316">
        <v>2.31</v>
      </c>
      <c r="K7764" s="316">
        <v>2.31</v>
      </c>
    </row>
    <row r="7765" spans="1:11" ht="14.25" customHeight="1" x14ac:dyDescent="0.3">
      <c r="A7765" s="400" t="s">
        <v>1038</v>
      </c>
      <c r="B7765" s="401" t="s">
        <v>5099</v>
      </c>
      <c r="C7765" s="400" t="s">
        <v>395</v>
      </c>
      <c r="D7765" s="400" t="s">
        <v>5100</v>
      </c>
      <c r="E7765" s="605" t="s">
        <v>1053</v>
      </c>
      <c r="F7765" s="605"/>
      <c r="G7765" s="402" t="s">
        <v>6</v>
      </c>
      <c r="H7765" s="403">
        <v>1.4760000000000001E-2</v>
      </c>
      <c r="I7765" s="403">
        <v>0</v>
      </c>
      <c r="J7765" s="404">
        <v>156.83000000000001</v>
      </c>
      <c r="K7765" s="404">
        <v>2.3148108000000001</v>
      </c>
    </row>
    <row r="7766" spans="1:11" ht="25.5" customHeight="1" x14ac:dyDescent="0.3">
      <c r="A7766" s="405"/>
      <c r="B7766" s="405"/>
      <c r="C7766" s="405"/>
      <c r="D7766" s="405"/>
      <c r="E7766" s="405" t="s">
        <v>1046</v>
      </c>
      <c r="F7766" s="406">
        <v>2.31</v>
      </c>
      <c r="G7766" s="405" t="s">
        <v>1047</v>
      </c>
      <c r="H7766" s="406">
        <v>0</v>
      </c>
      <c r="I7766" s="405" t="s">
        <v>1048</v>
      </c>
      <c r="J7766" s="406">
        <v>2.31</v>
      </c>
      <c r="K7766"/>
    </row>
    <row r="7767" spans="1:11" ht="15" customHeight="1" thickBot="1" x14ac:dyDescent="0.35">
      <c r="A7767" s="405"/>
      <c r="B7767" s="405"/>
      <c r="C7767" s="405"/>
      <c r="D7767" s="405"/>
      <c r="E7767" s="405" t="s">
        <v>1049</v>
      </c>
      <c r="F7767" s="406">
        <v>0</v>
      </c>
      <c r="G7767" s="405"/>
      <c r="H7767" s="606"/>
      <c r="I7767" s="606" t="s">
        <v>1050</v>
      </c>
      <c r="J7767" s="406">
        <v>2.31</v>
      </c>
      <c r="K7767"/>
    </row>
    <row r="7768" spans="1:11" ht="15.6" thickTop="1" x14ac:dyDescent="0.3">
      <c r="A7768" s="407"/>
      <c r="B7768" s="407"/>
      <c r="C7768" s="407"/>
      <c r="D7768" s="407"/>
      <c r="E7768" s="407"/>
      <c r="F7768" s="407"/>
      <c r="G7768" s="407"/>
      <c r="H7768" s="407"/>
      <c r="I7768" s="407"/>
      <c r="J7768" s="407"/>
      <c r="K7768"/>
    </row>
    <row r="7769" spans="1:11" ht="12.75" customHeight="1" x14ac:dyDescent="0.3">
      <c r="A7769" s="382"/>
      <c r="B7769" s="312" t="s">
        <v>413</v>
      </c>
      <c r="C7769" s="382" t="s">
        <v>414</v>
      </c>
      <c r="D7769" s="382" t="s">
        <v>415</v>
      </c>
      <c r="E7769" s="586" t="s">
        <v>1029</v>
      </c>
      <c r="F7769" s="586"/>
      <c r="G7769" s="383" t="s">
        <v>416</v>
      </c>
      <c r="H7769" s="312" t="s">
        <v>1030</v>
      </c>
      <c r="I7769" s="312" t="s">
        <v>3016</v>
      </c>
      <c r="J7769" s="312" t="s">
        <v>1031</v>
      </c>
      <c r="K7769" s="312" t="s">
        <v>1032</v>
      </c>
    </row>
    <row r="7770" spans="1:11" ht="26.4" x14ac:dyDescent="0.3">
      <c r="A7770" s="313" t="s">
        <v>1033</v>
      </c>
      <c r="B7770" s="315" t="s">
        <v>8106</v>
      </c>
      <c r="C7770" s="313" t="s">
        <v>395</v>
      </c>
      <c r="D7770" s="313" t="s">
        <v>8107</v>
      </c>
      <c r="E7770" s="603" t="s">
        <v>7768</v>
      </c>
      <c r="F7770" s="603"/>
      <c r="G7770" s="314" t="s">
        <v>6</v>
      </c>
      <c r="H7770" s="399">
        <v>1</v>
      </c>
      <c r="I7770" s="316"/>
      <c r="J7770" s="316">
        <v>0.12</v>
      </c>
      <c r="K7770" s="316">
        <v>0.12</v>
      </c>
    </row>
    <row r="7771" spans="1:11" ht="15" x14ac:dyDescent="0.3">
      <c r="A7771" s="400" t="s">
        <v>1038</v>
      </c>
      <c r="B7771" s="401" t="s">
        <v>4972</v>
      </c>
      <c r="C7771" s="400" t="s">
        <v>395</v>
      </c>
      <c r="D7771" s="400" t="s">
        <v>4973</v>
      </c>
      <c r="E7771" s="605" t="s">
        <v>1053</v>
      </c>
      <c r="F7771" s="605"/>
      <c r="G7771" s="402" t="s">
        <v>6</v>
      </c>
      <c r="H7771" s="403">
        <v>5.0899999999999999E-3</v>
      </c>
      <c r="I7771" s="403">
        <v>0</v>
      </c>
      <c r="J7771" s="404">
        <v>23.73</v>
      </c>
      <c r="K7771" s="404">
        <v>0.1207857</v>
      </c>
    </row>
    <row r="7772" spans="1:11" ht="15" x14ac:dyDescent="0.3">
      <c r="A7772" s="405"/>
      <c r="B7772" s="405"/>
      <c r="C7772" s="405"/>
      <c r="D7772" s="405"/>
      <c r="E7772" s="405" t="s">
        <v>1046</v>
      </c>
      <c r="F7772" s="406">
        <v>0.12</v>
      </c>
      <c r="G7772" s="405" t="s">
        <v>1047</v>
      </c>
      <c r="H7772" s="406">
        <v>0</v>
      </c>
      <c r="I7772" s="405" t="s">
        <v>1048</v>
      </c>
      <c r="J7772" s="406">
        <v>0.12</v>
      </c>
      <c r="K7772"/>
    </row>
    <row r="7773" spans="1:11" ht="12.75" customHeight="1" thickBot="1" x14ac:dyDescent="0.35">
      <c r="A7773" s="405"/>
      <c r="B7773" s="405"/>
      <c r="C7773" s="405"/>
      <c r="D7773" s="405"/>
      <c r="E7773" s="405" t="s">
        <v>1049</v>
      </c>
      <c r="F7773" s="406">
        <v>0</v>
      </c>
      <c r="G7773" s="405"/>
      <c r="H7773" s="606"/>
      <c r="I7773" s="606" t="s">
        <v>1050</v>
      </c>
      <c r="J7773" s="406">
        <v>0.12</v>
      </c>
      <c r="K7773"/>
    </row>
    <row r="7774" spans="1:11" ht="25.5" customHeight="1" thickTop="1" x14ac:dyDescent="0.3">
      <c r="A7774" s="407"/>
      <c r="B7774" s="407"/>
      <c r="C7774" s="407"/>
      <c r="D7774" s="407"/>
      <c r="E7774" s="407"/>
      <c r="F7774" s="407"/>
      <c r="G7774" s="407"/>
      <c r="H7774" s="407"/>
      <c r="I7774" s="407"/>
      <c r="J7774" s="407"/>
      <c r="K7774"/>
    </row>
    <row r="7775" spans="1:11" ht="25.5" customHeight="1" x14ac:dyDescent="0.3">
      <c r="A7775" s="382"/>
      <c r="B7775" s="312" t="s">
        <v>413</v>
      </c>
      <c r="C7775" s="382" t="s">
        <v>414</v>
      </c>
      <c r="D7775" s="382" t="s">
        <v>415</v>
      </c>
      <c r="E7775" s="586" t="s">
        <v>1029</v>
      </c>
      <c r="F7775" s="586"/>
      <c r="G7775" s="383" t="s">
        <v>416</v>
      </c>
      <c r="H7775" s="312" t="s">
        <v>1030</v>
      </c>
      <c r="I7775" s="312" t="s">
        <v>3016</v>
      </c>
      <c r="J7775" s="312" t="s">
        <v>1031</v>
      </c>
      <c r="K7775" s="312" t="s">
        <v>1032</v>
      </c>
    </row>
    <row r="7776" spans="1:11" ht="15.6" customHeight="1" x14ac:dyDescent="0.3">
      <c r="A7776" s="313" t="s">
        <v>1033</v>
      </c>
      <c r="B7776" s="315" t="s">
        <v>8108</v>
      </c>
      <c r="C7776" s="313" t="s">
        <v>395</v>
      </c>
      <c r="D7776" s="313" t="s">
        <v>8109</v>
      </c>
      <c r="E7776" s="603" t="s">
        <v>7768</v>
      </c>
      <c r="F7776" s="603"/>
      <c r="G7776" s="314" t="s">
        <v>6</v>
      </c>
      <c r="H7776" s="399">
        <v>1</v>
      </c>
      <c r="I7776" s="316"/>
      <c r="J7776" s="316">
        <v>0.36</v>
      </c>
      <c r="K7776" s="316">
        <v>0.36</v>
      </c>
    </row>
    <row r="7777" spans="1:11" ht="14.25" customHeight="1" x14ac:dyDescent="0.3">
      <c r="A7777" s="400" t="s">
        <v>1038</v>
      </c>
      <c r="B7777" s="401" t="s">
        <v>4234</v>
      </c>
      <c r="C7777" s="400" t="s">
        <v>395</v>
      </c>
      <c r="D7777" s="400" t="s">
        <v>4235</v>
      </c>
      <c r="E7777" s="605" t="s">
        <v>1053</v>
      </c>
      <c r="F7777" s="605"/>
      <c r="G7777" s="402" t="s">
        <v>6</v>
      </c>
      <c r="H7777" s="403">
        <v>1.4760000000000001E-2</v>
      </c>
      <c r="I7777" s="403">
        <v>0</v>
      </c>
      <c r="J7777" s="404">
        <v>24.18</v>
      </c>
      <c r="K7777" s="404">
        <v>0.35689680000000001</v>
      </c>
    </row>
    <row r="7778" spans="1:11" ht="15" x14ac:dyDescent="0.3">
      <c r="A7778" s="405"/>
      <c r="B7778" s="405"/>
      <c r="C7778" s="405"/>
      <c r="D7778" s="405"/>
      <c r="E7778" s="405" t="s">
        <v>1046</v>
      </c>
      <c r="F7778" s="406">
        <v>0.36</v>
      </c>
      <c r="G7778" s="405" t="s">
        <v>1047</v>
      </c>
      <c r="H7778" s="406">
        <v>0</v>
      </c>
      <c r="I7778" s="405" t="s">
        <v>1048</v>
      </c>
      <c r="J7778" s="406">
        <v>0.36</v>
      </c>
      <c r="K7778"/>
    </row>
    <row r="7779" spans="1:11" ht="12.75" customHeight="1" thickBot="1" x14ac:dyDescent="0.35">
      <c r="A7779" s="405"/>
      <c r="B7779" s="405"/>
      <c r="C7779" s="405"/>
      <c r="D7779" s="405"/>
      <c r="E7779" s="405" t="s">
        <v>1049</v>
      </c>
      <c r="F7779" s="406">
        <v>0</v>
      </c>
      <c r="G7779" s="405"/>
      <c r="H7779" s="606"/>
      <c r="I7779" s="606" t="s">
        <v>1050</v>
      </c>
      <c r="J7779" s="406">
        <v>0.36</v>
      </c>
      <c r="K7779"/>
    </row>
    <row r="7780" spans="1:11" ht="16.95" customHeight="1" thickTop="1" x14ac:dyDescent="0.3">
      <c r="A7780" s="407"/>
      <c r="B7780" s="407"/>
      <c r="C7780" s="407"/>
      <c r="D7780" s="407"/>
      <c r="E7780" s="407"/>
      <c r="F7780" s="407"/>
      <c r="G7780" s="407"/>
      <c r="H7780" s="407"/>
      <c r="I7780" s="407"/>
      <c r="J7780" s="407"/>
      <c r="K7780"/>
    </row>
    <row r="7781" spans="1:11" ht="25.5" customHeight="1" x14ac:dyDescent="0.3">
      <c r="A7781" s="382"/>
      <c r="B7781" s="312" t="s">
        <v>413</v>
      </c>
      <c r="C7781" s="382" t="s">
        <v>414</v>
      </c>
      <c r="D7781" s="382" t="s">
        <v>415</v>
      </c>
      <c r="E7781" s="586" t="s">
        <v>1029</v>
      </c>
      <c r="F7781" s="586"/>
      <c r="G7781" s="383" t="s">
        <v>416</v>
      </c>
      <c r="H7781" s="312" t="s">
        <v>1030</v>
      </c>
      <c r="I7781" s="312" t="s">
        <v>3016</v>
      </c>
      <c r="J7781" s="312" t="s">
        <v>1031</v>
      </c>
      <c r="K7781" s="312" t="s">
        <v>1032</v>
      </c>
    </row>
    <row r="7782" spans="1:11" ht="25.5" customHeight="1" x14ac:dyDescent="0.3">
      <c r="A7782" s="313" t="s">
        <v>1033</v>
      </c>
      <c r="B7782" s="315" t="s">
        <v>8110</v>
      </c>
      <c r="C7782" s="313" t="s">
        <v>395</v>
      </c>
      <c r="D7782" s="313" t="s">
        <v>8111</v>
      </c>
      <c r="E7782" s="603" t="s">
        <v>7768</v>
      </c>
      <c r="F7782" s="603"/>
      <c r="G7782" s="314" t="s">
        <v>6</v>
      </c>
      <c r="H7782" s="399">
        <v>1</v>
      </c>
      <c r="I7782" s="316"/>
      <c r="J7782" s="316">
        <v>0.3</v>
      </c>
      <c r="K7782" s="316">
        <v>0.3</v>
      </c>
    </row>
    <row r="7783" spans="1:11" ht="25.5" customHeight="1" x14ac:dyDescent="0.3">
      <c r="A7783" s="400" t="s">
        <v>1038</v>
      </c>
      <c r="B7783" s="401" t="s">
        <v>4193</v>
      </c>
      <c r="C7783" s="400" t="s">
        <v>395</v>
      </c>
      <c r="D7783" s="400" t="s">
        <v>4194</v>
      </c>
      <c r="E7783" s="605" t="s">
        <v>1053</v>
      </c>
      <c r="F7783" s="605"/>
      <c r="G7783" s="402" t="s">
        <v>6</v>
      </c>
      <c r="H7783" s="403">
        <v>8.3099999999999997E-3</v>
      </c>
      <c r="I7783" s="403">
        <v>0</v>
      </c>
      <c r="J7783" s="404">
        <v>35.57</v>
      </c>
      <c r="K7783" s="404">
        <v>0.29558669999999998</v>
      </c>
    </row>
    <row r="7784" spans="1:11" ht="25.5" customHeight="1" x14ac:dyDescent="0.3">
      <c r="A7784" s="405"/>
      <c r="B7784" s="405"/>
      <c r="C7784" s="405"/>
      <c r="D7784" s="405"/>
      <c r="E7784" s="405" t="s">
        <v>1046</v>
      </c>
      <c r="F7784" s="406">
        <v>0.3</v>
      </c>
      <c r="G7784" s="405" t="s">
        <v>1047</v>
      </c>
      <c r="H7784" s="406">
        <v>0</v>
      </c>
      <c r="I7784" s="405" t="s">
        <v>1048</v>
      </c>
      <c r="J7784" s="406">
        <v>0.3</v>
      </c>
      <c r="K7784"/>
    </row>
    <row r="7785" spans="1:11" ht="25.5" customHeight="1" thickBot="1" x14ac:dyDescent="0.35">
      <c r="A7785" s="405"/>
      <c r="B7785" s="405"/>
      <c r="C7785" s="405"/>
      <c r="D7785" s="405"/>
      <c r="E7785" s="405" t="s">
        <v>1049</v>
      </c>
      <c r="F7785" s="406">
        <v>0</v>
      </c>
      <c r="G7785" s="405"/>
      <c r="H7785" s="606"/>
      <c r="I7785" s="606" t="s">
        <v>1050</v>
      </c>
      <c r="J7785" s="406">
        <v>0.3</v>
      </c>
      <c r="K7785"/>
    </row>
    <row r="7786" spans="1:11" ht="14.25" customHeight="1" thickTop="1" x14ac:dyDescent="0.3">
      <c r="A7786" s="407"/>
      <c r="B7786" s="407"/>
      <c r="C7786" s="407"/>
      <c r="D7786" s="407"/>
      <c r="E7786" s="407"/>
      <c r="F7786" s="407"/>
      <c r="G7786" s="407"/>
      <c r="H7786" s="407"/>
      <c r="I7786" s="407"/>
      <c r="J7786" s="407"/>
      <c r="K7786"/>
    </row>
    <row r="7787" spans="1:11" ht="25.5" customHeight="1" x14ac:dyDescent="0.3">
      <c r="A7787" s="382"/>
      <c r="B7787" s="312" t="s">
        <v>413</v>
      </c>
      <c r="C7787" s="382" t="s">
        <v>414</v>
      </c>
      <c r="D7787" s="382" t="s">
        <v>415</v>
      </c>
      <c r="E7787" s="586" t="s">
        <v>1029</v>
      </c>
      <c r="F7787" s="586"/>
      <c r="G7787" s="383" t="s">
        <v>416</v>
      </c>
      <c r="H7787" s="312" t="s">
        <v>1030</v>
      </c>
      <c r="I7787" s="312" t="s">
        <v>3016</v>
      </c>
      <c r="J7787" s="312" t="s">
        <v>1031</v>
      </c>
      <c r="K7787" s="312" t="s">
        <v>1032</v>
      </c>
    </row>
    <row r="7788" spans="1:11" ht="25.5" customHeight="1" x14ac:dyDescent="0.3">
      <c r="A7788" s="313" t="s">
        <v>1033</v>
      </c>
      <c r="B7788" s="315" t="s">
        <v>8112</v>
      </c>
      <c r="C7788" s="313" t="s">
        <v>395</v>
      </c>
      <c r="D7788" s="313" t="s">
        <v>8113</v>
      </c>
      <c r="E7788" s="603" t="s">
        <v>7768</v>
      </c>
      <c r="F7788" s="603"/>
      <c r="G7788" s="314" t="s">
        <v>6</v>
      </c>
      <c r="H7788" s="399">
        <v>1</v>
      </c>
      <c r="I7788" s="316"/>
      <c r="J7788" s="316">
        <v>0.37</v>
      </c>
      <c r="K7788" s="316">
        <v>0.37</v>
      </c>
    </row>
    <row r="7789" spans="1:11" ht="15" x14ac:dyDescent="0.3">
      <c r="A7789" s="400" t="s">
        <v>1038</v>
      </c>
      <c r="B7789" s="401" t="s">
        <v>4559</v>
      </c>
      <c r="C7789" s="400" t="s">
        <v>395</v>
      </c>
      <c r="D7789" s="400" t="s">
        <v>4560</v>
      </c>
      <c r="E7789" s="605" t="s">
        <v>1053</v>
      </c>
      <c r="F7789" s="605"/>
      <c r="G7789" s="402" t="s">
        <v>6</v>
      </c>
      <c r="H7789" s="403">
        <v>1.154E-2</v>
      </c>
      <c r="I7789" s="403">
        <v>0</v>
      </c>
      <c r="J7789" s="404">
        <v>32.4</v>
      </c>
      <c r="K7789" s="404">
        <v>0.37389600000000001</v>
      </c>
    </row>
    <row r="7790" spans="1:11" ht="12.75" customHeight="1" x14ac:dyDescent="0.3">
      <c r="A7790" s="405"/>
      <c r="B7790" s="405"/>
      <c r="C7790" s="405"/>
      <c r="D7790" s="405"/>
      <c r="E7790" s="405" t="s">
        <v>1046</v>
      </c>
      <c r="F7790" s="406">
        <v>0.37</v>
      </c>
      <c r="G7790" s="405" t="s">
        <v>1047</v>
      </c>
      <c r="H7790" s="406">
        <v>0</v>
      </c>
      <c r="I7790" s="405" t="s">
        <v>1048</v>
      </c>
      <c r="J7790" s="406">
        <v>0.37</v>
      </c>
      <c r="K7790"/>
    </row>
    <row r="7791" spans="1:11" ht="25.5" customHeight="1" thickBot="1" x14ac:dyDescent="0.35">
      <c r="A7791" s="405"/>
      <c r="B7791" s="405"/>
      <c r="C7791" s="405"/>
      <c r="D7791" s="405"/>
      <c r="E7791" s="405" t="s">
        <v>1049</v>
      </c>
      <c r="F7791" s="406">
        <v>0</v>
      </c>
      <c r="G7791" s="405"/>
      <c r="H7791" s="606"/>
      <c r="I7791" s="606" t="s">
        <v>1050</v>
      </c>
      <c r="J7791" s="406">
        <v>0.37</v>
      </c>
      <c r="K7791"/>
    </row>
    <row r="7792" spans="1:11" ht="25.5" customHeight="1" thickTop="1" x14ac:dyDescent="0.3">
      <c r="A7792" s="407"/>
      <c r="B7792" s="407"/>
      <c r="C7792" s="407"/>
      <c r="D7792" s="407"/>
      <c r="E7792" s="407"/>
      <c r="F7792" s="407"/>
      <c r="G7792" s="407"/>
      <c r="H7792" s="407"/>
      <c r="I7792" s="407"/>
      <c r="J7792" s="407"/>
      <c r="K7792"/>
    </row>
    <row r="7793" spans="1:11" ht="12.75" customHeight="1" x14ac:dyDescent="0.3">
      <c r="A7793" s="382"/>
      <c r="B7793" s="312" t="s">
        <v>413</v>
      </c>
      <c r="C7793" s="382" t="s">
        <v>414</v>
      </c>
      <c r="D7793" s="382" t="s">
        <v>415</v>
      </c>
      <c r="E7793" s="586" t="s">
        <v>1029</v>
      </c>
      <c r="F7793" s="586"/>
      <c r="G7793" s="383" t="s">
        <v>416</v>
      </c>
      <c r="H7793" s="312" t="s">
        <v>1030</v>
      </c>
      <c r="I7793" s="312" t="s">
        <v>3016</v>
      </c>
      <c r="J7793" s="312" t="s">
        <v>1031</v>
      </c>
      <c r="K7793" s="312" t="s">
        <v>1032</v>
      </c>
    </row>
    <row r="7794" spans="1:11" ht="25.5" customHeight="1" x14ac:dyDescent="0.3">
      <c r="A7794" s="313" t="s">
        <v>1033</v>
      </c>
      <c r="B7794" s="315" t="s">
        <v>8114</v>
      </c>
      <c r="C7794" s="313" t="s">
        <v>395</v>
      </c>
      <c r="D7794" s="313" t="s">
        <v>8115</v>
      </c>
      <c r="E7794" s="603" t="s">
        <v>7768</v>
      </c>
      <c r="F7794" s="603"/>
      <c r="G7794" s="314" t="s">
        <v>6</v>
      </c>
      <c r="H7794" s="399">
        <v>1</v>
      </c>
      <c r="I7794" s="316"/>
      <c r="J7794" s="316">
        <v>0.6</v>
      </c>
      <c r="K7794" s="316">
        <v>0.6</v>
      </c>
    </row>
    <row r="7795" spans="1:11" ht="14.25" customHeight="1" x14ac:dyDescent="0.3">
      <c r="A7795" s="400" t="s">
        <v>1038</v>
      </c>
      <c r="B7795" s="401" t="s">
        <v>4394</v>
      </c>
      <c r="C7795" s="400" t="s">
        <v>395</v>
      </c>
      <c r="D7795" s="400" t="s">
        <v>4395</v>
      </c>
      <c r="E7795" s="605" t="s">
        <v>1053</v>
      </c>
      <c r="F7795" s="605"/>
      <c r="G7795" s="402" t="s">
        <v>6</v>
      </c>
      <c r="H7795" s="403">
        <v>1.4760000000000001E-2</v>
      </c>
      <c r="I7795" s="403">
        <v>0</v>
      </c>
      <c r="J7795" s="404">
        <v>40.56</v>
      </c>
      <c r="K7795" s="404">
        <v>0.59866560000000002</v>
      </c>
    </row>
    <row r="7796" spans="1:11" ht="17.399999999999999" customHeight="1" x14ac:dyDescent="0.3">
      <c r="A7796" s="405"/>
      <c r="B7796" s="405"/>
      <c r="C7796" s="405"/>
      <c r="D7796" s="405"/>
      <c r="E7796" s="405" t="s">
        <v>1046</v>
      </c>
      <c r="F7796" s="406">
        <v>0.6</v>
      </c>
      <c r="G7796" s="405" t="s">
        <v>1047</v>
      </c>
      <c r="H7796" s="406">
        <v>0</v>
      </c>
      <c r="I7796" s="405" t="s">
        <v>1048</v>
      </c>
      <c r="J7796" s="406">
        <v>0.6</v>
      </c>
      <c r="K7796"/>
    </row>
    <row r="7797" spans="1:11" ht="14.25" customHeight="1" thickBot="1" x14ac:dyDescent="0.35">
      <c r="A7797" s="405"/>
      <c r="B7797" s="405"/>
      <c r="C7797" s="405"/>
      <c r="D7797" s="405"/>
      <c r="E7797" s="405" t="s">
        <v>1049</v>
      </c>
      <c r="F7797" s="406">
        <v>0</v>
      </c>
      <c r="G7797" s="405"/>
      <c r="H7797" s="606"/>
      <c r="I7797" s="606" t="s">
        <v>1050</v>
      </c>
      <c r="J7797" s="406">
        <v>0.6</v>
      </c>
      <c r="K7797"/>
    </row>
    <row r="7798" spans="1:11" ht="15.6" thickTop="1" x14ac:dyDescent="0.3">
      <c r="A7798" s="407"/>
      <c r="B7798" s="407"/>
      <c r="C7798" s="407"/>
      <c r="D7798" s="407"/>
      <c r="E7798" s="407"/>
      <c r="F7798" s="407"/>
      <c r="G7798" s="407"/>
      <c r="H7798" s="407"/>
      <c r="I7798" s="407"/>
      <c r="J7798" s="407"/>
      <c r="K7798"/>
    </row>
    <row r="7799" spans="1:11" ht="25.5" customHeight="1" x14ac:dyDescent="0.3">
      <c r="A7799" s="382"/>
      <c r="B7799" s="312" t="s">
        <v>413</v>
      </c>
      <c r="C7799" s="382" t="s">
        <v>414</v>
      </c>
      <c r="D7799" s="382" t="s">
        <v>415</v>
      </c>
      <c r="E7799" s="586" t="s">
        <v>1029</v>
      </c>
      <c r="F7799" s="586"/>
      <c r="G7799" s="383" t="s">
        <v>416</v>
      </c>
      <c r="H7799" s="312" t="s">
        <v>1030</v>
      </c>
      <c r="I7799" s="312" t="s">
        <v>3016</v>
      </c>
      <c r="J7799" s="312" t="s">
        <v>1031</v>
      </c>
      <c r="K7799" s="312" t="s">
        <v>1032</v>
      </c>
    </row>
    <row r="7800" spans="1:11" ht="25.5" customHeight="1" x14ac:dyDescent="0.3">
      <c r="A7800" s="313" t="s">
        <v>1033</v>
      </c>
      <c r="B7800" s="315" t="s">
        <v>8116</v>
      </c>
      <c r="C7800" s="313" t="s">
        <v>395</v>
      </c>
      <c r="D7800" s="313" t="s">
        <v>8117</v>
      </c>
      <c r="E7800" s="603" t="s">
        <v>7768</v>
      </c>
      <c r="F7800" s="603"/>
      <c r="G7800" s="314" t="s">
        <v>6</v>
      </c>
      <c r="H7800" s="399">
        <v>1</v>
      </c>
      <c r="I7800" s="316"/>
      <c r="J7800" s="316">
        <v>0.25</v>
      </c>
      <c r="K7800" s="316">
        <v>0.25</v>
      </c>
    </row>
    <row r="7801" spans="1:11" ht="25.5" customHeight="1" x14ac:dyDescent="0.3">
      <c r="A7801" s="400" t="s">
        <v>1038</v>
      </c>
      <c r="B7801" s="401" t="s">
        <v>4765</v>
      </c>
      <c r="C7801" s="400" t="s">
        <v>395</v>
      </c>
      <c r="D7801" s="400" t="s">
        <v>4766</v>
      </c>
      <c r="E7801" s="605" t="s">
        <v>1053</v>
      </c>
      <c r="F7801" s="605"/>
      <c r="G7801" s="402" t="s">
        <v>6</v>
      </c>
      <c r="H7801" s="403">
        <v>5.0899999999999999E-3</v>
      </c>
      <c r="I7801" s="403">
        <v>0</v>
      </c>
      <c r="J7801" s="404">
        <v>49.82</v>
      </c>
      <c r="K7801" s="404">
        <v>0.25358380000000003</v>
      </c>
    </row>
    <row r="7802" spans="1:11" ht="25.5" customHeight="1" x14ac:dyDescent="0.3">
      <c r="A7802" s="405"/>
      <c r="B7802" s="405"/>
      <c r="C7802" s="405"/>
      <c r="D7802" s="405"/>
      <c r="E7802" s="405" t="s">
        <v>1046</v>
      </c>
      <c r="F7802" s="406">
        <v>0.25</v>
      </c>
      <c r="G7802" s="405" t="s">
        <v>1047</v>
      </c>
      <c r="H7802" s="406">
        <v>0</v>
      </c>
      <c r="I7802" s="405" t="s">
        <v>1048</v>
      </c>
      <c r="J7802" s="406">
        <v>0.25</v>
      </c>
      <c r="K7802"/>
    </row>
    <row r="7803" spans="1:11" ht="25.5" customHeight="1" thickBot="1" x14ac:dyDescent="0.35">
      <c r="A7803" s="405"/>
      <c r="B7803" s="405"/>
      <c r="C7803" s="405"/>
      <c r="D7803" s="405"/>
      <c r="E7803" s="405" t="s">
        <v>1049</v>
      </c>
      <c r="F7803" s="406">
        <v>0</v>
      </c>
      <c r="G7803" s="405"/>
      <c r="H7803" s="606"/>
      <c r="I7803" s="606" t="s">
        <v>1050</v>
      </c>
      <c r="J7803" s="406">
        <v>0.25</v>
      </c>
      <c r="K7803"/>
    </row>
    <row r="7804" spans="1:11" ht="14.25" customHeight="1" thickTop="1" x14ac:dyDescent="0.3">
      <c r="A7804" s="407"/>
      <c r="B7804" s="407"/>
      <c r="C7804" s="407"/>
      <c r="D7804" s="407"/>
      <c r="E7804" s="407"/>
      <c r="F7804" s="407"/>
      <c r="G7804" s="407"/>
      <c r="H7804" s="407"/>
      <c r="I7804" s="407"/>
      <c r="J7804" s="407"/>
      <c r="K7804"/>
    </row>
    <row r="7805" spans="1:11" ht="25.5" customHeight="1" x14ac:dyDescent="0.3">
      <c r="A7805" s="382"/>
      <c r="B7805" s="312" t="s">
        <v>413</v>
      </c>
      <c r="C7805" s="382" t="s">
        <v>414</v>
      </c>
      <c r="D7805" s="382" t="s">
        <v>415</v>
      </c>
      <c r="E7805" s="586" t="s">
        <v>1029</v>
      </c>
      <c r="F7805" s="586"/>
      <c r="G7805" s="383" t="s">
        <v>416</v>
      </c>
      <c r="H7805" s="312" t="s">
        <v>1030</v>
      </c>
      <c r="I7805" s="312" t="s">
        <v>3016</v>
      </c>
      <c r="J7805" s="312" t="s">
        <v>1031</v>
      </c>
      <c r="K7805" s="312" t="s">
        <v>1032</v>
      </c>
    </row>
    <row r="7806" spans="1:11" ht="25.5" customHeight="1" x14ac:dyDescent="0.3">
      <c r="A7806" s="313" t="s">
        <v>1033</v>
      </c>
      <c r="B7806" s="315" t="s">
        <v>8118</v>
      </c>
      <c r="C7806" s="313" t="s">
        <v>395</v>
      </c>
      <c r="D7806" s="313" t="s">
        <v>8119</v>
      </c>
      <c r="E7806" s="603" t="s">
        <v>7768</v>
      </c>
      <c r="F7806" s="603"/>
      <c r="G7806" s="314" t="s">
        <v>6</v>
      </c>
      <c r="H7806" s="399">
        <v>1</v>
      </c>
      <c r="I7806" s="316"/>
      <c r="J7806" s="316">
        <v>0.24</v>
      </c>
      <c r="K7806" s="316">
        <v>0.24</v>
      </c>
    </row>
    <row r="7807" spans="1:11" ht="25.5" customHeight="1" x14ac:dyDescent="0.3">
      <c r="A7807" s="400" t="s">
        <v>1038</v>
      </c>
      <c r="B7807" s="401" t="s">
        <v>4927</v>
      </c>
      <c r="C7807" s="400" t="s">
        <v>395</v>
      </c>
      <c r="D7807" s="400" t="s">
        <v>4928</v>
      </c>
      <c r="E7807" s="605" t="s">
        <v>1053</v>
      </c>
      <c r="F7807" s="605"/>
      <c r="G7807" s="402" t="s">
        <v>6</v>
      </c>
      <c r="H7807" s="403">
        <v>5.0899999999999999E-3</v>
      </c>
      <c r="I7807" s="403">
        <v>0</v>
      </c>
      <c r="J7807" s="404">
        <v>47.95</v>
      </c>
      <c r="K7807" s="404">
        <v>0.24406549999999999</v>
      </c>
    </row>
    <row r="7808" spans="1:11" ht="12.75" customHeight="1" x14ac:dyDescent="0.3">
      <c r="A7808" s="405"/>
      <c r="B7808" s="405"/>
      <c r="C7808" s="405"/>
      <c r="D7808" s="405"/>
      <c r="E7808" s="405" t="s">
        <v>1046</v>
      </c>
      <c r="F7808" s="406">
        <v>0.24</v>
      </c>
      <c r="G7808" s="405" t="s">
        <v>1047</v>
      </c>
      <c r="H7808" s="406">
        <v>0</v>
      </c>
      <c r="I7808" s="405" t="s">
        <v>1048</v>
      </c>
      <c r="J7808" s="406">
        <v>0.24</v>
      </c>
      <c r="K7808"/>
    </row>
    <row r="7809" spans="1:11" ht="25.5" customHeight="1" thickBot="1" x14ac:dyDescent="0.35">
      <c r="A7809" s="405"/>
      <c r="B7809" s="405"/>
      <c r="C7809" s="405"/>
      <c r="D7809" s="405"/>
      <c r="E7809" s="405" t="s">
        <v>1049</v>
      </c>
      <c r="F7809" s="406">
        <v>0</v>
      </c>
      <c r="G7809" s="405"/>
      <c r="H7809" s="606"/>
      <c r="I7809" s="606" t="s">
        <v>1050</v>
      </c>
      <c r="J7809" s="406">
        <v>0.24</v>
      </c>
      <c r="K7809"/>
    </row>
    <row r="7810" spans="1:11" ht="25.5" customHeight="1" thickTop="1" x14ac:dyDescent="0.3">
      <c r="A7810" s="407"/>
      <c r="B7810" s="407"/>
      <c r="C7810" s="407"/>
      <c r="D7810" s="407"/>
      <c r="E7810" s="407"/>
      <c r="F7810" s="407"/>
      <c r="G7810" s="407"/>
      <c r="H7810" s="407"/>
      <c r="I7810" s="407"/>
      <c r="J7810" s="407"/>
      <c r="K7810"/>
    </row>
    <row r="7811" spans="1:11" ht="15" x14ac:dyDescent="0.3">
      <c r="A7811" s="382"/>
      <c r="B7811" s="312" t="s">
        <v>413</v>
      </c>
      <c r="C7811" s="382" t="s">
        <v>414</v>
      </c>
      <c r="D7811" s="382" t="s">
        <v>415</v>
      </c>
      <c r="E7811" s="586" t="s">
        <v>1029</v>
      </c>
      <c r="F7811" s="586"/>
      <c r="G7811" s="383" t="s">
        <v>416</v>
      </c>
      <c r="H7811" s="312" t="s">
        <v>1030</v>
      </c>
      <c r="I7811" s="312" t="s">
        <v>3016</v>
      </c>
      <c r="J7811" s="312" t="s">
        <v>1031</v>
      </c>
      <c r="K7811" s="312" t="s">
        <v>1032</v>
      </c>
    </row>
    <row r="7812" spans="1:11" ht="38.25" customHeight="1" x14ac:dyDescent="0.3">
      <c r="A7812" s="313" t="s">
        <v>1033</v>
      </c>
      <c r="B7812" s="315" t="s">
        <v>5116</v>
      </c>
      <c r="C7812" s="313" t="s">
        <v>439</v>
      </c>
      <c r="D7812" s="313" t="s">
        <v>8120</v>
      </c>
      <c r="E7812" s="603" t="s">
        <v>7770</v>
      </c>
      <c r="F7812" s="603"/>
      <c r="G7812" s="314" t="s">
        <v>1109</v>
      </c>
      <c r="H7812" s="399">
        <v>1</v>
      </c>
      <c r="I7812" s="316"/>
      <c r="J7812" s="316">
        <v>0.21</v>
      </c>
      <c r="K7812" s="316">
        <v>0.21</v>
      </c>
    </row>
    <row r="7813" spans="1:11" ht="14.25" customHeight="1" x14ac:dyDescent="0.3">
      <c r="A7813" s="586" t="s">
        <v>3312</v>
      </c>
      <c r="B7813" s="584" t="s">
        <v>413</v>
      </c>
      <c r="C7813" s="586" t="s">
        <v>414</v>
      </c>
      <c r="D7813" s="586" t="s">
        <v>7901</v>
      </c>
      <c r="E7813" s="585" t="s">
        <v>7902</v>
      </c>
      <c r="F7813" s="584"/>
      <c r="G7813" s="585" t="s">
        <v>7903</v>
      </c>
      <c r="H7813" s="584"/>
      <c r="I7813" s="584" t="s">
        <v>7904</v>
      </c>
      <c r="J7813" s="584" t="s">
        <v>7905</v>
      </c>
      <c r="K7813"/>
    </row>
    <row r="7814" spans="1:11" ht="25.5" customHeight="1" x14ac:dyDescent="0.3">
      <c r="A7814" s="584"/>
      <c r="B7814" s="584"/>
      <c r="C7814" s="584"/>
      <c r="D7814" s="584"/>
      <c r="E7814" s="312" t="s">
        <v>4013</v>
      </c>
      <c r="F7814" s="312" t="s">
        <v>4014</v>
      </c>
      <c r="G7814" s="312" t="s">
        <v>4013</v>
      </c>
      <c r="H7814" s="312" t="s">
        <v>4014</v>
      </c>
      <c r="I7814" s="584"/>
      <c r="J7814" s="584"/>
      <c r="K7814"/>
    </row>
    <row r="7815" spans="1:11" ht="15" x14ac:dyDescent="0.3">
      <c r="A7815" s="581"/>
      <c r="B7815" s="581"/>
      <c r="C7815" s="581"/>
      <c r="D7815" s="581"/>
      <c r="E7815" s="581"/>
      <c r="F7815" s="581" t="s">
        <v>7906</v>
      </c>
      <c r="G7815" s="581"/>
      <c r="H7815" s="581"/>
      <c r="I7815" s="581"/>
      <c r="J7815" s="381">
        <v>0</v>
      </c>
      <c r="K7815"/>
    </row>
    <row r="7816" spans="1:11" ht="12.75" customHeight="1" x14ac:dyDescent="0.3">
      <c r="A7816" s="382" t="s">
        <v>371</v>
      </c>
      <c r="B7816" s="312" t="s">
        <v>413</v>
      </c>
      <c r="C7816" s="382" t="s">
        <v>414</v>
      </c>
      <c r="D7816" s="382" t="s">
        <v>1053</v>
      </c>
      <c r="E7816" s="312"/>
      <c r="F7816" s="584"/>
      <c r="G7816" s="584" t="s">
        <v>7907</v>
      </c>
      <c r="H7816" s="584" t="s">
        <v>7908</v>
      </c>
      <c r="I7816" s="584" t="s">
        <v>7904</v>
      </c>
      <c r="J7816" s="312" t="s">
        <v>7905</v>
      </c>
      <c r="K7816"/>
    </row>
    <row r="7817" spans="1:11" ht="25.5" customHeight="1" x14ac:dyDescent="0.3">
      <c r="A7817" s="400" t="s">
        <v>1038</v>
      </c>
      <c r="B7817" s="401" t="s">
        <v>8121</v>
      </c>
      <c r="C7817" s="400" t="s">
        <v>439</v>
      </c>
      <c r="D7817" s="400" t="s">
        <v>4975</v>
      </c>
      <c r="E7817" s="403"/>
      <c r="F7817" s="400"/>
      <c r="G7817" s="400" t="s">
        <v>6</v>
      </c>
      <c r="H7817" s="400">
        <v>26.03</v>
      </c>
      <c r="I7817" s="404">
        <v>8.3099999999999997E-3</v>
      </c>
      <c r="J7817" s="404">
        <v>0.21</v>
      </c>
      <c r="K7817"/>
    </row>
    <row r="7818" spans="1:11" ht="25.5" customHeight="1" x14ac:dyDescent="0.3">
      <c r="A7818" s="581"/>
      <c r="B7818" s="581"/>
      <c r="C7818" s="581"/>
      <c r="D7818" s="581"/>
      <c r="E7818" s="581"/>
      <c r="F7818" s="581" t="s">
        <v>7910</v>
      </c>
      <c r="G7818" s="581"/>
      <c r="H7818" s="581"/>
      <c r="I7818" s="581"/>
      <c r="J7818" s="381">
        <v>0.21</v>
      </c>
      <c r="K7818"/>
    </row>
    <row r="7819" spans="1:11" ht="25.5" customHeight="1" x14ac:dyDescent="0.3">
      <c r="A7819" s="581"/>
      <c r="B7819" s="581"/>
      <c r="C7819" s="581"/>
      <c r="D7819" s="581"/>
      <c r="E7819" s="581"/>
      <c r="F7819" s="581" t="s">
        <v>7911</v>
      </c>
      <c r="G7819" s="581"/>
      <c r="H7819" s="581"/>
      <c r="I7819" s="581"/>
      <c r="J7819" s="381">
        <v>0.21</v>
      </c>
      <c r="K7819"/>
    </row>
    <row r="7820" spans="1:11" ht="14.25" customHeight="1" x14ac:dyDescent="0.3">
      <c r="A7820" s="581"/>
      <c r="B7820" s="581"/>
      <c r="C7820" s="581"/>
      <c r="D7820" s="581"/>
      <c r="E7820" s="581"/>
      <c r="F7820" s="581" t="s">
        <v>7912</v>
      </c>
      <c r="G7820" s="581"/>
      <c r="H7820" s="581"/>
      <c r="I7820" s="581"/>
      <c r="J7820" s="381">
        <v>1</v>
      </c>
      <c r="K7820"/>
    </row>
    <row r="7821" spans="1:11" ht="25.5" customHeight="1" x14ac:dyDescent="0.3">
      <c r="A7821" s="581"/>
      <c r="B7821" s="581"/>
      <c r="C7821" s="581"/>
      <c r="D7821" s="581"/>
      <c r="E7821" s="581"/>
      <c r="F7821" s="581" t="s">
        <v>7913</v>
      </c>
      <c r="G7821" s="581"/>
      <c r="H7821" s="581"/>
      <c r="I7821" s="581"/>
      <c r="J7821" s="381">
        <v>0.21</v>
      </c>
      <c r="K7821"/>
    </row>
    <row r="7822" spans="1:11" ht="25.5" customHeight="1" x14ac:dyDescent="0.3">
      <c r="A7822" s="382" t="s">
        <v>7914</v>
      </c>
      <c r="B7822" s="312" t="s">
        <v>414</v>
      </c>
      <c r="C7822" s="382" t="s">
        <v>413</v>
      </c>
      <c r="D7822" s="382" t="s">
        <v>1039</v>
      </c>
      <c r="E7822" s="312"/>
      <c r="F7822" s="312"/>
      <c r="G7822" s="312" t="s">
        <v>7907</v>
      </c>
      <c r="H7822" s="312" t="s">
        <v>7908</v>
      </c>
      <c r="I7822" s="312" t="s">
        <v>1552</v>
      </c>
      <c r="J7822" s="312" t="s">
        <v>7905</v>
      </c>
      <c r="K7822"/>
    </row>
    <row r="7823" spans="1:11" ht="15" x14ac:dyDescent="0.3">
      <c r="A7823" s="581"/>
      <c r="B7823" s="581"/>
      <c r="C7823" s="581"/>
      <c r="D7823" s="581"/>
      <c r="E7823" s="581"/>
      <c r="F7823" s="581" t="s">
        <v>7920</v>
      </c>
      <c r="G7823" s="581"/>
      <c r="H7823" s="581"/>
      <c r="I7823" s="581"/>
      <c r="J7823" s="381">
        <v>0</v>
      </c>
      <c r="K7823"/>
    </row>
    <row r="7824" spans="1:11" ht="12.75" customHeight="1" x14ac:dyDescent="0.3">
      <c r="A7824" s="382" t="s">
        <v>7921</v>
      </c>
      <c r="B7824" s="312" t="s">
        <v>414</v>
      </c>
      <c r="C7824" s="382" t="s">
        <v>413</v>
      </c>
      <c r="D7824" s="382" t="s">
        <v>2381</v>
      </c>
      <c r="E7824" s="312"/>
      <c r="F7824" s="312"/>
      <c r="G7824" s="312" t="s">
        <v>7907</v>
      </c>
      <c r="H7824" s="312" t="s">
        <v>7908</v>
      </c>
      <c r="I7824" s="312" t="s">
        <v>1552</v>
      </c>
      <c r="J7824" s="312" t="s">
        <v>7905</v>
      </c>
      <c r="K7824"/>
    </row>
    <row r="7825" spans="1:11" ht="15" x14ac:dyDescent="0.3">
      <c r="A7825" s="581"/>
      <c r="B7825" s="581"/>
      <c r="C7825" s="581"/>
      <c r="D7825" s="581"/>
      <c r="E7825" s="581"/>
      <c r="F7825" s="581" t="s">
        <v>7929</v>
      </c>
      <c r="G7825" s="581"/>
      <c r="H7825" s="581"/>
      <c r="I7825" s="581"/>
      <c r="J7825" s="381">
        <v>0</v>
      </c>
      <c r="K7825"/>
    </row>
    <row r="7826" spans="1:11" ht="27.6" x14ac:dyDescent="0.3">
      <c r="A7826" s="382" t="s">
        <v>6</v>
      </c>
      <c r="B7826" s="312" t="s">
        <v>414</v>
      </c>
      <c r="C7826" s="382" t="s">
        <v>413</v>
      </c>
      <c r="D7826" s="382" t="s">
        <v>7930</v>
      </c>
      <c r="E7826" s="312" t="s">
        <v>7931</v>
      </c>
      <c r="F7826" s="312" t="s">
        <v>7932</v>
      </c>
      <c r="G7826" s="312" t="s">
        <v>7907</v>
      </c>
      <c r="H7826" s="312" t="s">
        <v>7908</v>
      </c>
      <c r="I7826" s="312" t="s">
        <v>1552</v>
      </c>
      <c r="J7826" s="312" t="s">
        <v>7905</v>
      </c>
      <c r="K7826"/>
    </row>
    <row r="7827" spans="1:11" ht="14.25" customHeight="1" x14ac:dyDescent="0.3">
      <c r="A7827" s="581"/>
      <c r="B7827" s="581"/>
      <c r="C7827" s="581"/>
      <c r="D7827" s="581"/>
      <c r="E7827" s="581"/>
      <c r="F7827" s="581" t="s">
        <v>7933</v>
      </c>
      <c r="G7827" s="581"/>
      <c r="H7827" s="581"/>
      <c r="I7827" s="581"/>
      <c r="J7827" s="381">
        <v>0</v>
      </c>
      <c r="K7827"/>
    </row>
    <row r="7828" spans="1:11" ht="30" customHeight="1" x14ac:dyDescent="0.3">
      <c r="A7828" s="405"/>
      <c r="B7828" s="405"/>
      <c r="C7828" s="405"/>
      <c r="D7828" s="405"/>
      <c r="E7828" s="405" t="s">
        <v>1046</v>
      </c>
      <c r="F7828" s="406">
        <v>0.21634254</v>
      </c>
      <c r="G7828" s="405" t="s">
        <v>1047</v>
      </c>
      <c r="H7828" s="406">
        <v>0</v>
      </c>
      <c r="I7828" s="405" t="s">
        <v>1048</v>
      </c>
      <c r="J7828" s="406">
        <v>0.21</v>
      </c>
      <c r="K7828"/>
    </row>
    <row r="7829" spans="1:11" ht="30" customHeight="1" thickBot="1" x14ac:dyDescent="0.35">
      <c r="A7829" s="405"/>
      <c r="B7829" s="405"/>
      <c r="C7829" s="405"/>
      <c r="D7829" s="405"/>
      <c r="E7829" s="405" t="s">
        <v>1049</v>
      </c>
      <c r="F7829" s="406">
        <v>0</v>
      </c>
      <c r="G7829" s="405"/>
      <c r="H7829" s="606"/>
      <c r="I7829" s="606" t="s">
        <v>1050</v>
      </c>
      <c r="J7829" s="406">
        <v>0.21</v>
      </c>
      <c r="K7829"/>
    </row>
    <row r="7830" spans="1:11" ht="30" customHeight="1" thickTop="1" x14ac:dyDescent="0.3">
      <c r="A7830" s="407"/>
      <c r="B7830" s="407"/>
      <c r="C7830" s="407"/>
      <c r="D7830" s="407"/>
      <c r="E7830" s="407"/>
      <c r="F7830" s="407"/>
      <c r="G7830" s="407"/>
      <c r="H7830" s="407"/>
      <c r="I7830" s="407"/>
      <c r="J7830" s="407"/>
      <c r="K7830"/>
    </row>
    <row r="7831" spans="1:11" ht="45" customHeight="1" x14ac:dyDescent="0.3">
      <c r="A7831" s="382"/>
      <c r="B7831" s="312" t="s">
        <v>413</v>
      </c>
      <c r="C7831" s="382" t="s">
        <v>414</v>
      </c>
      <c r="D7831" s="382" t="s">
        <v>415</v>
      </c>
      <c r="E7831" s="586" t="s">
        <v>1029</v>
      </c>
      <c r="F7831" s="586"/>
      <c r="G7831" s="383" t="s">
        <v>416</v>
      </c>
      <c r="H7831" s="312" t="s">
        <v>1030</v>
      </c>
      <c r="I7831" s="312" t="s">
        <v>3016</v>
      </c>
      <c r="J7831" s="312" t="s">
        <v>1031</v>
      </c>
      <c r="K7831" s="312" t="s">
        <v>1032</v>
      </c>
    </row>
    <row r="7832" spans="1:11" ht="30" customHeight="1" x14ac:dyDescent="0.3">
      <c r="A7832" s="313" t="s">
        <v>1033</v>
      </c>
      <c r="B7832" s="315" t="s">
        <v>8122</v>
      </c>
      <c r="C7832" s="313" t="s">
        <v>395</v>
      </c>
      <c r="D7832" s="313" t="s">
        <v>8123</v>
      </c>
      <c r="E7832" s="603" t="s">
        <v>7768</v>
      </c>
      <c r="F7832" s="603"/>
      <c r="G7832" s="314" t="s">
        <v>6</v>
      </c>
      <c r="H7832" s="399">
        <v>1</v>
      </c>
      <c r="I7832" s="316"/>
      <c r="J7832" s="316">
        <v>0.21</v>
      </c>
      <c r="K7832" s="316">
        <v>0.21</v>
      </c>
    </row>
    <row r="7833" spans="1:11" ht="14.25" customHeight="1" x14ac:dyDescent="0.3">
      <c r="A7833" s="400" t="s">
        <v>1038</v>
      </c>
      <c r="B7833" s="401" t="s">
        <v>4158</v>
      </c>
      <c r="C7833" s="400" t="s">
        <v>395</v>
      </c>
      <c r="D7833" s="400" t="s">
        <v>4159</v>
      </c>
      <c r="E7833" s="605" t="s">
        <v>1053</v>
      </c>
      <c r="F7833" s="605"/>
      <c r="G7833" s="402" t="s">
        <v>6</v>
      </c>
      <c r="H7833" s="403">
        <v>8.3099999999999997E-3</v>
      </c>
      <c r="I7833" s="403">
        <v>0</v>
      </c>
      <c r="J7833" s="404">
        <v>24.96</v>
      </c>
      <c r="K7833" s="404">
        <v>0.20741760000000001</v>
      </c>
    </row>
    <row r="7834" spans="1:11" ht="17.399999999999999" customHeight="1" x14ac:dyDescent="0.3">
      <c r="A7834" s="405"/>
      <c r="B7834" s="405"/>
      <c r="C7834" s="405"/>
      <c r="D7834" s="405"/>
      <c r="E7834" s="405" t="s">
        <v>1046</v>
      </c>
      <c r="F7834" s="406">
        <v>0.21</v>
      </c>
      <c r="G7834" s="405" t="s">
        <v>1047</v>
      </c>
      <c r="H7834" s="406">
        <v>0</v>
      </c>
      <c r="I7834" s="405" t="s">
        <v>1048</v>
      </c>
      <c r="J7834" s="406">
        <v>0.21</v>
      </c>
      <c r="K7834"/>
    </row>
    <row r="7835" spans="1:11" ht="15.6" thickBot="1" x14ac:dyDescent="0.35">
      <c r="A7835" s="405"/>
      <c r="B7835" s="405"/>
      <c r="C7835" s="405"/>
      <c r="D7835" s="405"/>
      <c r="E7835" s="405" t="s">
        <v>1049</v>
      </c>
      <c r="F7835" s="406">
        <v>0</v>
      </c>
      <c r="G7835" s="405"/>
      <c r="H7835" s="606"/>
      <c r="I7835" s="606" t="s">
        <v>1050</v>
      </c>
      <c r="J7835" s="406">
        <v>0.21</v>
      </c>
      <c r="K7835"/>
    </row>
    <row r="7836" spans="1:11" ht="14.25" customHeight="1" thickTop="1" x14ac:dyDescent="0.3">
      <c r="A7836" s="407"/>
      <c r="B7836" s="407"/>
      <c r="C7836" s="407"/>
      <c r="D7836" s="407"/>
      <c r="E7836" s="407"/>
      <c r="F7836" s="407"/>
      <c r="G7836" s="407"/>
      <c r="H7836" s="407"/>
      <c r="I7836" s="407"/>
      <c r="J7836" s="407"/>
      <c r="K7836"/>
    </row>
    <row r="7837" spans="1:11" ht="38.25" customHeight="1" x14ac:dyDescent="0.3">
      <c r="A7837" s="382"/>
      <c r="B7837" s="312" t="s">
        <v>413</v>
      </c>
      <c r="C7837" s="382" t="s">
        <v>414</v>
      </c>
      <c r="D7837" s="382" t="s">
        <v>415</v>
      </c>
      <c r="E7837" s="586" t="s">
        <v>1029</v>
      </c>
      <c r="F7837" s="586"/>
      <c r="G7837" s="383" t="s">
        <v>416</v>
      </c>
      <c r="H7837" s="312" t="s">
        <v>1030</v>
      </c>
      <c r="I7837" s="312" t="s">
        <v>3016</v>
      </c>
      <c r="J7837" s="312" t="s">
        <v>1031</v>
      </c>
      <c r="K7837" s="312" t="s">
        <v>1032</v>
      </c>
    </row>
    <row r="7838" spans="1:11" ht="25.5" customHeight="1" x14ac:dyDescent="0.3">
      <c r="A7838" s="313" t="s">
        <v>1033</v>
      </c>
      <c r="B7838" s="315" t="s">
        <v>8124</v>
      </c>
      <c r="C7838" s="313" t="s">
        <v>395</v>
      </c>
      <c r="D7838" s="313" t="s">
        <v>8125</v>
      </c>
      <c r="E7838" s="603" t="s">
        <v>7768</v>
      </c>
      <c r="F7838" s="603"/>
      <c r="G7838" s="314" t="s">
        <v>6</v>
      </c>
      <c r="H7838" s="399">
        <v>1</v>
      </c>
      <c r="I7838" s="316"/>
      <c r="J7838" s="316">
        <v>0.38</v>
      </c>
      <c r="K7838" s="316">
        <v>0.38</v>
      </c>
    </row>
    <row r="7839" spans="1:11" ht="25.5" customHeight="1" x14ac:dyDescent="0.3">
      <c r="A7839" s="400" t="s">
        <v>1038</v>
      </c>
      <c r="B7839" s="401" t="s">
        <v>4900</v>
      </c>
      <c r="C7839" s="400" t="s">
        <v>395</v>
      </c>
      <c r="D7839" s="400" t="s">
        <v>4901</v>
      </c>
      <c r="E7839" s="605" t="s">
        <v>1053</v>
      </c>
      <c r="F7839" s="605"/>
      <c r="G7839" s="402" t="s">
        <v>6</v>
      </c>
      <c r="H7839" s="403">
        <v>1.154E-2</v>
      </c>
      <c r="I7839" s="403">
        <v>0</v>
      </c>
      <c r="J7839" s="404">
        <v>33.25</v>
      </c>
      <c r="K7839" s="404">
        <v>0.38370500000000002</v>
      </c>
    </row>
    <row r="7840" spans="1:11" ht="12.75" customHeight="1" x14ac:dyDescent="0.3">
      <c r="A7840" s="405"/>
      <c r="B7840" s="405"/>
      <c r="C7840" s="405"/>
      <c r="D7840" s="405"/>
      <c r="E7840" s="405" t="s">
        <v>1046</v>
      </c>
      <c r="F7840" s="406">
        <v>0.38</v>
      </c>
      <c r="G7840" s="405" t="s">
        <v>1047</v>
      </c>
      <c r="H7840" s="406">
        <v>0</v>
      </c>
      <c r="I7840" s="405" t="s">
        <v>1048</v>
      </c>
      <c r="J7840" s="406">
        <v>0.38</v>
      </c>
      <c r="K7840"/>
    </row>
    <row r="7841" spans="1:11" ht="25.5" customHeight="1" thickBot="1" x14ac:dyDescent="0.35">
      <c r="A7841" s="405"/>
      <c r="B7841" s="405"/>
      <c r="C7841" s="405"/>
      <c r="D7841" s="405"/>
      <c r="E7841" s="405" t="s">
        <v>1049</v>
      </c>
      <c r="F7841" s="406">
        <v>0</v>
      </c>
      <c r="G7841" s="405"/>
      <c r="H7841" s="606"/>
      <c r="I7841" s="606" t="s">
        <v>1050</v>
      </c>
      <c r="J7841" s="406">
        <v>0.38</v>
      </c>
      <c r="K7841"/>
    </row>
    <row r="7842" spans="1:11" ht="25.5" customHeight="1" thickTop="1" x14ac:dyDescent="0.3">
      <c r="A7842" s="407"/>
      <c r="B7842" s="407"/>
      <c r="C7842" s="407"/>
      <c r="D7842" s="407"/>
      <c r="E7842" s="407"/>
      <c r="F7842" s="407"/>
      <c r="G7842" s="407"/>
      <c r="H7842" s="407"/>
      <c r="I7842" s="407"/>
      <c r="J7842" s="407"/>
      <c r="K7842"/>
    </row>
    <row r="7843" spans="1:11" ht="30" customHeight="1" x14ac:dyDescent="0.3">
      <c r="A7843" s="382"/>
      <c r="B7843" s="312" t="s">
        <v>413</v>
      </c>
      <c r="C7843" s="382" t="s">
        <v>414</v>
      </c>
      <c r="D7843" s="382" t="s">
        <v>415</v>
      </c>
      <c r="E7843" s="586" t="s">
        <v>1029</v>
      </c>
      <c r="F7843" s="586"/>
      <c r="G7843" s="383" t="s">
        <v>416</v>
      </c>
      <c r="H7843" s="312" t="s">
        <v>1030</v>
      </c>
      <c r="I7843" s="312" t="s">
        <v>3016</v>
      </c>
      <c r="J7843" s="312" t="s">
        <v>1031</v>
      </c>
      <c r="K7843" s="312" t="s">
        <v>1032</v>
      </c>
    </row>
    <row r="7844" spans="1:11" ht="26.4" x14ac:dyDescent="0.3">
      <c r="A7844" s="313" t="s">
        <v>1033</v>
      </c>
      <c r="B7844" s="315" t="s">
        <v>8126</v>
      </c>
      <c r="C7844" s="313" t="s">
        <v>395</v>
      </c>
      <c r="D7844" s="313" t="s">
        <v>8127</v>
      </c>
      <c r="E7844" s="603" t="s">
        <v>7768</v>
      </c>
      <c r="F7844" s="603"/>
      <c r="G7844" s="314" t="s">
        <v>6</v>
      </c>
      <c r="H7844" s="399">
        <v>1</v>
      </c>
      <c r="I7844" s="316"/>
      <c r="J7844" s="316">
        <v>0.4</v>
      </c>
      <c r="K7844" s="316">
        <v>0.4</v>
      </c>
    </row>
    <row r="7845" spans="1:11" ht="14.25" customHeight="1" x14ac:dyDescent="0.3">
      <c r="A7845" s="400" t="s">
        <v>1038</v>
      </c>
      <c r="B7845" s="401" t="s">
        <v>4922</v>
      </c>
      <c r="C7845" s="400" t="s">
        <v>395</v>
      </c>
      <c r="D7845" s="400" t="s">
        <v>4923</v>
      </c>
      <c r="E7845" s="605" t="s">
        <v>1053</v>
      </c>
      <c r="F7845" s="605"/>
      <c r="G7845" s="402" t="s">
        <v>6</v>
      </c>
      <c r="H7845" s="403">
        <v>1.6369999999999999E-2</v>
      </c>
      <c r="I7845" s="403">
        <v>0</v>
      </c>
      <c r="J7845" s="404">
        <v>24.45</v>
      </c>
      <c r="K7845" s="404">
        <v>0.40024650000000001</v>
      </c>
    </row>
    <row r="7846" spans="1:11" ht="17.399999999999999" customHeight="1" x14ac:dyDescent="0.3">
      <c r="A7846" s="405"/>
      <c r="B7846" s="405"/>
      <c r="C7846" s="405"/>
      <c r="D7846" s="405"/>
      <c r="E7846" s="405" t="s">
        <v>1046</v>
      </c>
      <c r="F7846" s="406">
        <v>0.4</v>
      </c>
      <c r="G7846" s="405" t="s">
        <v>1047</v>
      </c>
      <c r="H7846" s="406">
        <v>0</v>
      </c>
      <c r="I7846" s="405" t="s">
        <v>1048</v>
      </c>
      <c r="J7846" s="406">
        <v>0.4</v>
      </c>
      <c r="K7846"/>
    </row>
    <row r="7847" spans="1:11" ht="15.6" thickBot="1" x14ac:dyDescent="0.35">
      <c r="A7847" s="405"/>
      <c r="B7847" s="405"/>
      <c r="C7847" s="405"/>
      <c r="D7847" s="405"/>
      <c r="E7847" s="405" t="s">
        <v>1049</v>
      </c>
      <c r="F7847" s="406">
        <v>0</v>
      </c>
      <c r="G7847" s="405"/>
      <c r="H7847" s="606"/>
      <c r="I7847" s="606" t="s">
        <v>1050</v>
      </c>
      <c r="J7847" s="406">
        <v>0.4</v>
      </c>
      <c r="K7847"/>
    </row>
    <row r="7848" spans="1:11" ht="15.6" thickTop="1" x14ac:dyDescent="0.3">
      <c r="A7848" s="407"/>
      <c r="B7848" s="407"/>
      <c r="C7848" s="407"/>
      <c r="D7848" s="407"/>
      <c r="E7848" s="407"/>
      <c r="F7848" s="407"/>
      <c r="G7848" s="407"/>
      <c r="H7848" s="407"/>
      <c r="I7848" s="407"/>
      <c r="J7848" s="407"/>
      <c r="K7848"/>
    </row>
    <row r="7849" spans="1:11" ht="25.5" customHeight="1" x14ac:dyDescent="0.3">
      <c r="A7849" s="382"/>
      <c r="B7849" s="312" t="s">
        <v>413</v>
      </c>
      <c r="C7849" s="382" t="s">
        <v>414</v>
      </c>
      <c r="D7849" s="382" t="s">
        <v>415</v>
      </c>
      <c r="E7849" s="586" t="s">
        <v>1029</v>
      </c>
      <c r="F7849" s="586"/>
      <c r="G7849" s="383" t="s">
        <v>416</v>
      </c>
      <c r="H7849" s="312" t="s">
        <v>1030</v>
      </c>
      <c r="I7849" s="312" t="s">
        <v>3016</v>
      </c>
      <c r="J7849" s="312" t="s">
        <v>1031</v>
      </c>
      <c r="K7849" s="312" t="s">
        <v>1032</v>
      </c>
    </row>
    <row r="7850" spans="1:11" ht="25.5" customHeight="1" x14ac:dyDescent="0.3">
      <c r="A7850" s="313" t="s">
        <v>1033</v>
      </c>
      <c r="B7850" s="315" t="s">
        <v>8128</v>
      </c>
      <c r="C7850" s="313" t="s">
        <v>395</v>
      </c>
      <c r="D7850" s="313" t="s">
        <v>8129</v>
      </c>
      <c r="E7850" s="603" t="s">
        <v>7768</v>
      </c>
      <c r="F7850" s="603"/>
      <c r="G7850" s="314" t="s">
        <v>6</v>
      </c>
      <c r="H7850" s="399">
        <v>1</v>
      </c>
      <c r="I7850" s="316"/>
      <c r="J7850" s="316">
        <v>0.57999999999999996</v>
      </c>
      <c r="K7850" s="316">
        <v>0.57999999999999996</v>
      </c>
    </row>
    <row r="7851" spans="1:11" ht="25.5" customHeight="1" x14ac:dyDescent="0.3">
      <c r="A7851" s="400" t="s">
        <v>1038</v>
      </c>
      <c r="B7851" s="401" t="s">
        <v>4295</v>
      </c>
      <c r="C7851" s="400" t="s">
        <v>395</v>
      </c>
      <c r="D7851" s="400" t="s">
        <v>4296</v>
      </c>
      <c r="E7851" s="605" t="s">
        <v>1053</v>
      </c>
      <c r="F7851" s="605"/>
      <c r="G7851" s="402" t="s">
        <v>6</v>
      </c>
      <c r="H7851" s="403">
        <v>1.6369999999999999E-2</v>
      </c>
      <c r="I7851" s="403">
        <v>0</v>
      </c>
      <c r="J7851" s="404">
        <v>35.44</v>
      </c>
      <c r="K7851" s="404">
        <v>0.58015280000000002</v>
      </c>
    </row>
    <row r="7852" spans="1:11" ht="25.5" customHeight="1" x14ac:dyDescent="0.3">
      <c r="A7852" s="405"/>
      <c r="B7852" s="405"/>
      <c r="C7852" s="405"/>
      <c r="D7852" s="405"/>
      <c r="E7852" s="405" t="s">
        <v>1046</v>
      </c>
      <c r="F7852" s="406">
        <v>0.57999999999999996</v>
      </c>
      <c r="G7852" s="405" t="s">
        <v>1047</v>
      </c>
      <c r="H7852" s="406">
        <v>0</v>
      </c>
      <c r="I7852" s="405" t="s">
        <v>1048</v>
      </c>
      <c r="J7852" s="406">
        <v>0.57999999999999996</v>
      </c>
      <c r="K7852"/>
    </row>
    <row r="7853" spans="1:11" ht="25.5" customHeight="1" thickBot="1" x14ac:dyDescent="0.35">
      <c r="A7853" s="405"/>
      <c r="B7853" s="405"/>
      <c r="C7853" s="405"/>
      <c r="D7853" s="405"/>
      <c r="E7853" s="405" t="s">
        <v>1049</v>
      </c>
      <c r="F7853" s="406">
        <v>0</v>
      </c>
      <c r="G7853" s="405"/>
      <c r="H7853" s="606"/>
      <c r="I7853" s="606" t="s">
        <v>1050</v>
      </c>
      <c r="J7853" s="406">
        <v>0.57999999999999996</v>
      </c>
      <c r="K7853"/>
    </row>
    <row r="7854" spans="1:11" ht="15.6" thickTop="1" x14ac:dyDescent="0.3">
      <c r="A7854" s="407"/>
      <c r="B7854" s="407"/>
      <c r="C7854" s="407"/>
      <c r="D7854" s="407"/>
      <c r="E7854" s="407"/>
      <c r="F7854" s="407"/>
      <c r="G7854" s="407"/>
      <c r="H7854" s="407"/>
      <c r="I7854" s="407"/>
      <c r="J7854" s="407"/>
      <c r="K7854"/>
    </row>
    <row r="7855" spans="1:11" ht="45" customHeight="1" x14ac:dyDescent="0.3">
      <c r="A7855" s="382"/>
      <c r="B7855" s="312" t="s">
        <v>413</v>
      </c>
      <c r="C7855" s="382" t="s">
        <v>414</v>
      </c>
      <c r="D7855" s="382" t="s">
        <v>415</v>
      </c>
      <c r="E7855" s="586" t="s">
        <v>1029</v>
      </c>
      <c r="F7855" s="586"/>
      <c r="G7855" s="383" t="s">
        <v>416</v>
      </c>
      <c r="H7855" s="312" t="s">
        <v>1030</v>
      </c>
      <c r="I7855" s="312" t="s">
        <v>3016</v>
      </c>
      <c r="J7855" s="312" t="s">
        <v>1031</v>
      </c>
      <c r="K7855" s="312" t="s">
        <v>1032</v>
      </c>
    </row>
    <row r="7856" spans="1:11" ht="26.4" x14ac:dyDescent="0.3">
      <c r="A7856" s="313" t="s">
        <v>1033</v>
      </c>
      <c r="B7856" s="315" t="s">
        <v>8130</v>
      </c>
      <c r="C7856" s="313" t="s">
        <v>395</v>
      </c>
      <c r="D7856" s="313" t="s">
        <v>8131</v>
      </c>
      <c r="E7856" s="603" t="s">
        <v>7768</v>
      </c>
      <c r="F7856" s="603"/>
      <c r="G7856" s="314" t="s">
        <v>6</v>
      </c>
      <c r="H7856" s="399">
        <v>1</v>
      </c>
      <c r="I7856" s="316"/>
      <c r="J7856" s="316">
        <v>0.25</v>
      </c>
      <c r="K7856" s="316">
        <v>0.25</v>
      </c>
    </row>
    <row r="7857" spans="1:11" ht="12.75" customHeight="1" x14ac:dyDescent="0.3">
      <c r="A7857" s="400" t="s">
        <v>1038</v>
      </c>
      <c r="B7857" s="401" t="s">
        <v>4238</v>
      </c>
      <c r="C7857" s="400" t="s">
        <v>395</v>
      </c>
      <c r="D7857" s="400" t="s">
        <v>4239</v>
      </c>
      <c r="E7857" s="605" t="s">
        <v>1053</v>
      </c>
      <c r="F7857" s="605"/>
      <c r="G7857" s="402" t="s">
        <v>6</v>
      </c>
      <c r="H7857" s="403">
        <v>8.3099999999999997E-3</v>
      </c>
      <c r="I7857" s="403">
        <v>0</v>
      </c>
      <c r="J7857" s="404">
        <v>30.08</v>
      </c>
      <c r="K7857" s="404">
        <v>0.24996479999999999</v>
      </c>
    </row>
    <row r="7858" spans="1:11" ht="14.25" customHeight="1" x14ac:dyDescent="0.3">
      <c r="A7858" s="405"/>
      <c r="B7858" s="405"/>
      <c r="C7858" s="405"/>
      <c r="D7858" s="405"/>
      <c r="E7858" s="405" t="s">
        <v>1046</v>
      </c>
      <c r="F7858" s="406">
        <v>0.25</v>
      </c>
      <c r="G7858" s="405" t="s">
        <v>1047</v>
      </c>
      <c r="H7858" s="406">
        <v>0</v>
      </c>
      <c r="I7858" s="405" t="s">
        <v>1048</v>
      </c>
      <c r="J7858" s="406">
        <v>0.25</v>
      </c>
      <c r="K7858"/>
    </row>
    <row r="7859" spans="1:11" ht="14.25" customHeight="1" thickBot="1" x14ac:dyDescent="0.35">
      <c r="A7859" s="405"/>
      <c r="B7859" s="405"/>
      <c r="C7859" s="405"/>
      <c r="D7859" s="405"/>
      <c r="E7859" s="405" t="s">
        <v>1049</v>
      </c>
      <c r="F7859" s="406">
        <v>0</v>
      </c>
      <c r="G7859" s="405"/>
      <c r="H7859" s="606"/>
      <c r="I7859" s="606" t="s">
        <v>1050</v>
      </c>
      <c r="J7859" s="406">
        <v>0.25</v>
      </c>
      <c r="K7859"/>
    </row>
    <row r="7860" spans="1:11" ht="15.6" thickTop="1" x14ac:dyDescent="0.3">
      <c r="A7860" s="407"/>
      <c r="B7860" s="407"/>
      <c r="C7860" s="407"/>
      <c r="D7860" s="407"/>
      <c r="E7860" s="407"/>
      <c r="F7860" s="407"/>
      <c r="G7860" s="407"/>
      <c r="H7860" s="407"/>
      <c r="I7860" s="407"/>
      <c r="J7860" s="407"/>
      <c r="K7860"/>
    </row>
    <row r="7861" spans="1:11" ht="15" customHeight="1" x14ac:dyDescent="0.3">
      <c r="A7861" s="382"/>
      <c r="B7861" s="312" t="s">
        <v>413</v>
      </c>
      <c r="C7861" s="382" t="s">
        <v>414</v>
      </c>
      <c r="D7861" s="382" t="s">
        <v>415</v>
      </c>
      <c r="E7861" s="586" t="s">
        <v>1029</v>
      </c>
      <c r="F7861" s="586"/>
      <c r="G7861" s="383" t="s">
        <v>416</v>
      </c>
      <c r="H7861" s="312" t="s">
        <v>1030</v>
      </c>
      <c r="I7861" s="312" t="s">
        <v>3016</v>
      </c>
      <c r="J7861" s="312" t="s">
        <v>1031</v>
      </c>
      <c r="K7861" s="312" t="s">
        <v>1032</v>
      </c>
    </row>
    <row r="7862" spans="1:11" ht="38.25" customHeight="1" x14ac:dyDescent="0.3">
      <c r="A7862" s="313" t="s">
        <v>1033</v>
      </c>
      <c r="B7862" s="315" t="s">
        <v>8132</v>
      </c>
      <c r="C7862" s="313" t="s">
        <v>395</v>
      </c>
      <c r="D7862" s="313" t="s">
        <v>8133</v>
      </c>
      <c r="E7862" s="603" t="s">
        <v>7768</v>
      </c>
      <c r="F7862" s="603"/>
      <c r="G7862" s="314" t="s">
        <v>6</v>
      </c>
      <c r="H7862" s="399">
        <v>1</v>
      </c>
      <c r="I7862" s="316"/>
      <c r="J7862" s="316">
        <v>0.28000000000000003</v>
      </c>
      <c r="K7862" s="316">
        <v>0.28000000000000003</v>
      </c>
    </row>
    <row r="7863" spans="1:11" ht="12.75" customHeight="1" x14ac:dyDescent="0.3">
      <c r="A7863" s="400" t="s">
        <v>1038</v>
      </c>
      <c r="B7863" s="401" t="s">
        <v>4938</v>
      </c>
      <c r="C7863" s="400" t="s">
        <v>395</v>
      </c>
      <c r="D7863" s="400" t="s">
        <v>4939</v>
      </c>
      <c r="E7863" s="605" t="s">
        <v>1053</v>
      </c>
      <c r="F7863" s="605"/>
      <c r="G7863" s="402" t="s">
        <v>6</v>
      </c>
      <c r="H7863" s="403">
        <v>8.3099999999999997E-3</v>
      </c>
      <c r="I7863" s="403">
        <v>0</v>
      </c>
      <c r="J7863" s="404">
        <v>33.93</v>
      </c>
      <c r="K7863" s="404">
        <v>0.2819583</v>
      </c>
    </row>
    <row r="7864" spans="1:11" ht="25.5" customHeight="1" x14ac:dyDescent="0.3">
      <c r="A7864" s="405"/>
      <c r="B7864" s="405"/>
      <c r="C7864" s="405"/>
      <c r="D7864" s="405"/>
      <c r="E7864" s="405" t="s">
        <v>1046</v>
      </c>
      <c r="F7864" s="406">
        <v>0.28000000000000003</v>
      </c>
      <c r="G7864" s="405" t="s">
        <v>1047</v>
      </c>
      <c r="H7864" s="406">
        <v>0</v>
      </c>
      <c r="I7864" s="405" t="s">
        <v>1048</v>
      </c>
      <c r="J7864" s="406">
        <v>0.28000000000000003</v>
      </c>
      <c r="K7864"/>
    </row>
    <row r="7865" spans="1:11" ht="15.6" thickBot="1" x14ac:dyDescent="0.35">
      <c r="A7865" s="405"/>
      <c r="B7865" s="405"/>
      <c r="C7865" s="405"/>
      <c r="D7865" s="405"/>
      <c r="E7865" s="405" t="s">
        <v>1049</v>
      </c>
      <c r="F7865" s="406">
        <v>0</v>
      </c>
      <c r="G7865" s="405"/>
      <c r="H7865" s="606"/>
      <c r="I7865" s="606" t="s">
        <v>1050</v>
      </c>
      <c r="J7865" s="406">
        <v>0.28000000000000003</v>
      </c>
      <c r="K7865"/>
    </row>
    <row r="7866" spans="1:11" ht="12.75" customHeight="1" thickTop="1" x14ac:dyDescent="0.3">
      <c r="A7866" s="407"/>
      <c r="B7866" s="407"/>
      <c r="C7866" s="407"/>
      <c r="D7866" s="407"/>
      <c r="E7866" s="407"/>
      <c r="F7866" s="407"/>
      <c r="G7866" s="407"/>
      <c r="H7866" s="407"/>
      <c r="I7866" s="407"/>
      <c r="J7866" s="407"/>
      <c r="K7866"/>
    </row>
    <row r="7867" spans="1:11" ht="25.5" customHeight="1" x14ac:dyDescent="0.3">
      <c r="A7867" s="382"/>
      <c r="B7867" s="312" t="s">
        <v>413</v>
      </c>
      <c r="C7867" s="382" t="s">
        <v>414</v>
      </c>
      <c r="D7867" s="382" t="s">
        <v>415</v>
      </c>
      <c r="E7867" s="586" t="s">
        <v>1029</v>
      </c>
      <c r="F7867" s="586"/>
      <c r="G7867" s="383" t="s">
        <v>416</v>
      </c>
      <c r="H7867" s="312" t="s">
        <v>1030</v>
      </c>
      <c r="I7867" s="312" t="s">
        <v>3016</v>
      </c>
      <c r="J7867" s="312" t="s">
        <v>1031</v>
      </c>
      <c r="K7867" s="312" t="s">
        <v>1032</v>
      </c>
    </row>
    <row r="7868" spans="1:11" ht="14.25" customHeight="1" x14ac:dyDescent="0.3">
      <c r="A7868" s="313" t="s">
        <v>1033</v>
      </c>
      <c r="B7868" s="315" t="s">
        <v>8134</v>
      </c>
      <c r="C7868" s="313" t="s">
        <v>395</v>
      </c>
      <c r="D7868" s="313" t="s">
        <v>8135</v>
      </c>
      <c r="E7868" s="603" t="s">
        <v>7768</v>
      </c>
      <c r="F7868" s="603"/>
      <c r="G7868" s="314" t="s">
        <v>6</v>
      </c>
      <c r="H7868" s="399">
        <v>1</v>
      </c>
      <c r="I7868" s="316"/>
      <c r="J7868" s="316">
        <v>0.38</v>
      </c>
      <c r="K7868" s="316">
        <v>0.38</v>
      </c>
    </row>
    <row r="7869" spans="1:11" ht="25.5" customHeight="1" x14ac:dyDescent="0.3">
      <c r="A7869" s="400" t="s">
        <v>1038</v>
      </c>
      <c r="B7869" s="401" t="s">
        <v>4231</v>
      </c>
      <c r="C7869" s="400" t="s">
        <v>395</v>
      </c>
      <c r="D7869" s="400" t="s">
        <v>4232</v>
      </c>
      <c r="E7869" s="605" t="s">
        <v>1053</v>
      </c>
      <c r="F7869" s="605"/>
      <c r="G7869" s="402" t="s">
        <v>6</v>
      </c>
      <c r="H7869" s="403">
        <v>1.154E-2</v>
      </c>
      <c r="I7869" s="403">
        <v>0</v>
      </c>
      <c r="J7869" s="404">
        <v>33.04</v>
      </c>
      <c r="K7869" s="404">
        <v>0.3812816</v>
      </c>
    </row>
    <row r="7870" spans="1:11" ht="14.25" customHeight="1" x14ac:dyDescent="0.3">
      <c r="A7870" s="405"/>
      <c r="B7870" s="405"/>
      <c r="C7870" s="405"/>
      <c r="D7870" s="405"/>
      <c r="E7870" s="405" t="s">
        <v>1046</v>
      </c>
      <c r="F7870" s="406">
        <v>0.38</v>
      </c>
      <c r="G7870" s="405" t="s">
        <v>1047</v>
      </c>
      <c r="H7870" s="406">
        <v>0</v>
      </c>
      <c r="I7870" s="405" t="s">
        <v>1048</v>
      </c>
      <c r="J7870" s="406">
        <v>0.38</v>
      </c>
      <c r="K7870"/>
    </row>
    <row r="7871" spans="1:11" ht="30" customHeight="1" thickBot="1" x14ac:dyDescent="0.35">
      <c r="A7871" s="405"/>
      <c r="B7871" s="405"/>
      <c r="C7871" s="405"/>
      <c r="D7871" s="405"/>
      <c r="E7871" s="405" t="s">
        <v>1049</v>
      </c>
      <c r="F7871" s="406">
        <v>0</v>
      </c>
      <c r="G7871" s="405"/>
      <c r="H7871" s="606"/>
      <c r="I7871" s="606" t="s">
        <v>1050</v>
      </c>
      <c r="J7871" s="406">
        <v>0.38</v>
      </c>
      <c r="K7871"/>
    </row>
    <row r="7872" spans="1:11" ht="12.75" customHeight="1" thickTop="1" x14ac:dyDescent="0.3">
      <c r="A7872" s="407"/>
      <c r="B7872" s="407"/>
      <c r="C7872" s="407"/>
      <c r="D7872" s="407"/>
      <c r="E7872" s="407"/>
      <c r="F7872" s="407"/>
      <c r="G7872" s="407"/>
      <c r="H7872" s="407"/>
      <c r="I7872" s="407"/>
      <c r="J7872" s="407"/>
      <c r="K7872"/>
    </row>
    <row r="7873" spans="1:11" ht="15" x14ac:dyDescent="0.3">
      <c r="A7873" s="382"/>
      <c r="B7873" s="312" t="s">
        <v>413</v>
      </c>
      <c r="C7873" s="382" t="s">
        <v>414</v>
      </c>
      <c r="D7873" s="382" t="s">
        <v>415</v>
      </c>
      <c r="E7873" s="586" t="s">
        <v>1029</v>
      </c>
      <c r="F7873" s="586"/>
      <c r="G7873" s="383" t="s">
        <v>416</v>
      </c>
      <c r="H7873" s="312" t="s">
        <v>1030</v>
      </c>
      <c r="I7873" s="312" t="s">
        <v>3016</v>
      </c>
      <c r="J7873" s="312" t="s">
        <v>1031</v>
      </c>
      <c r="K7873" s="312" t="s">
        <v>1032</v>
      </c>
    </row>
    <row r="7874" spans="1:11" ht="25.5" customHeight="1" x14ac:dyDescent="0.3">
      <c r="A7874" s="313" t="s">
        <v>1033</v>
      </c>
      <c r="B7874" s="315" t="s">
        <v>8136</v>
      </c>
      <c r="C7874" s="313" t="s">
        <v>395</v>
      </c>
      <c r="D7874" s="313" t="s">
        <v>8137</v>
      </c>
      <c r="E7874" s="603" t="s">
        <v>7768</v>
      </c>
      <c r="F7874" s="603"/>
      <c r="G7874" s="314" t="s">
        <v>6</v>
      </c>
      <c r="H7874" s="399">
        <v>1</v>
      </c>
      <c r="I7874" s="316"/>
      <c r="J7874" s="316">
        <v>0.24</v>
      </c>
      <c r="K7874" s="316">
        <v>0.24</v>
      </c>
    </row>
    <row r="7875" spans="1:11" ht="25.5" customHeight="1" x14ac:dyDescent="0.3">
      <c r="A7875" s="400" t="s">
        <v>1038</v>
      </c>
      <c r="B7875" s="401" t="s">
        <v>4704</v>
      </c>
      <c r="C7875" s="400" t="s">
        <v>395</v>
      </c>
      <c r="D7875" s="400" t="s">
        <v>4705</v>
      </c>
      <c r="E7875" s="605" t="s">
        <v>1053</v>
      </c>
      <c r="F7875" s="605"/>
      <c r="G7875" s="402" t="s">
        <v>6</v>
      </c>
      <c r="H7875" s="403">
        <v>8.3099999999999997E-3</v>
      </c>
      <c r="I7875" s="403">
        <v>0</v>
      </c>
      <c r="J7875" s="404">
        <v>29.02</v>
      </c>
      <c r="K7875" s="404">
        <v>0.24115619999999999</v>
      </c>
    </row>
    <row r="7876" spans="1:11" ht="25.5" customHeight="1" x14ac:dyDescent="0.3">
      <c r="A7876" s="405"/>
      <c r="B7876" s="405"/>
      <c r="C7876" s="405"/>
      <c r="D7876" s="405"/>
      <c r="E7876" s="405" t="s">
        <v>1046</v>
      </c>
      <c r="F7876" s="406">
        <v>0.24</v>
      </c>
      <c r="G7876" s="405" t="s">
        <v>1047</v>
      </c>
      <c r="H7876" s="406">
        <v>0</v>
      </c>
      <c r="I7876" s="405" t="s">
        <v>1048</v>
      </c>
      <c r="J7876" s="406">
        <v>0.24</v>
      </c>
      <c r="K7876"/>
    </row>
    <row r="7877" spans="1:11" ht="15.6" thickBot="1" x14ac:dyDescent="0.35">
      <c r="A7877" s="405"/>
      <c r="B7877" s="405"/>
      <c r="C7877" s="405"/>
      <c r="D7877" s="405"/>
      <c r="E7877" s="405" t="s">
        <v>1049</v>
      </c>
      <c r="F7877" s="406">
        <v>0</v>
      </c>
      <c r="G7877" s="405"/>
      <c r="H7877" s="606"/>
      <c r="I7877" s="606" t="s">
        <v>1050</v>
      </c>
      <c r="J7877" s="406">
        <v>0.24</v>
      </c>
      <c r="K7877"/>
    </row>
    <row r="7878" spans="1:11" ht="14.25" customHeight="1" thickTop="1" x14ac:dyDescent="0.3">
      <c r="A7878" s="407"/>
      <c r="B7878" s="407"/>
      <c r="C7878" s="407"/>
      <c r="D7878" s="407"/>
      <c r="E7878" s="407"/>
      <c r="F7878" s="407"/>
      <c r="G7878" s="407"/>
      <c r="H7878" s="407"/>
      <c r="I7878" s="407"/>
      <c r="J7878" s="407"/>
      <c r="K7878"/>
    </row>
    <row r="7879" spans="1:11" ht="15" x14ac:dyDescent="0.3">
      <c r="A7879" s="382"/>
      <c r="B7879" s="312" t="s">
        <v>413</v>
      </c>
      <c r="C7879" s="382" t="s">
        <v>414</v>
      </c>
      <c r="D7879" s="382" t="s">
        <v>415</v>
      </c>
      <c r="E7879" s="586" t="s">
        <v>1029</v>
      </c>
      <c r="F7879" s="586"/>
      <c r="G7879" s="383" t="s">
        <v>416</v>
      </c>
      <c r="H7879" s="312" t="s">
        <v>1030</v>
      </c>
      <c r="I7879" s="312" t="s">
        <v>3016</v>
      </c>
      <c r="J7879" s="312" t="s">
        <v>1031</v>
      </c>
      <c r="K7879" s="312" t="s">
        <v>1032</v>
      </c>
    </row>
    <row r="7880" spans="1:11" ht="17.399999999999999" customHeight="1" x14ac:dyDescent="0.3">
      <c r="A7880" s="313" t="s">
        <v>1033</v>
      </c>
      <c r="B7880" s="315" t="s">
        <v>8138</v>
      </c>
      <c r="C7880" s="313" t="s">
        <v>395</v>
      </c>
      <c r="D7880" s="313" t="s">
        <v>8139</v>
      </c>
      <c r="E7880" s="603" t="s">
        <v>7768</v>
      </c>
      <c r="F7880" s="603"/>
      <c r="G7880" s="314" t="s">
        <v>6</v>
      </c>
      <c r="H7880" s="399">
        <v>1</v>
      </c>
      <c r="I7880" s="316"/>
      <c r="J7880" s="316">
        <v>0.26</v>
      </c>
      <c r="K7880" s="316">
        <v>0.26</v>
      </c>
    </row>
    <row r="7881" spans="1:11" ht="15" x14ac:dyDescent="0.3">
      <c r="A7881" s="400" t="s">
        <v>1038</v>
      </c>
      <c r="B7881" s="401" t="s">
        <v>4920</v>
      </c>
      <c r="C7881" s="400" t="s">
        <v>395</v>
      </c>
      <c r="D7881" s="400" t="s">
        <v>4921</v>
      </c>
      <c r="E7881" s="605" t="s">
        <v>1053</v>
      </c>
      <c r="F7881" s="605"/>
      <c r="G7881" s="402" t="s">
        <v>6</v>
      </c>
      <c r="H7881" s="403">
        <v>8.3099999999999997E-3</v>
      </c>
      <c r="I7881" s="403">
        <v>0</v>
      </c>
      <c r="J7881" s="404">
        <v>30.74</v>
      </c>
      <c r="K7881" s="404">
        <v>0.25544939999999999</v>
      </c>
    </row>
    <row r="7882" spans="1:11" ht="12.75" customHeight="1" x14ac:dyDescent="0.3">
      <c r="A7882" s="405"/>
      <c r="B7882" s="405"/>
      <c r="C7882" s="405"/>
      <c r="D7882" s="405"/>
      <c r="E7882" s="405" t="s">
        <v>1046</v>
      </c>
      <c r="F7882" s="406">
        <v>0.26</v>
      </c>
      <c r="G7882" s="405" t="s">
        <v>1047</v>
      </c>
      <c r="H7882" s="406">
        <v>0</v>
      </c>
      <c r="I7882" s="405" t="s">
        <v>1048</v>
      </c>
      <c r="J7882" s="406">
        <v>0.26</v>
      </c>
      <c r="K7882"/>
    </row>
    <row r="7883" spans="1:11" ht="14.25" customHeight="1" thickBot="1" x14ac:dyDescent="0.35">
      <c r="A7883" s="405"/>
      <c r="B7883" s="405"/>
      <c r="C7883" s="405"/>
      <c r="D7883" s="405"/>
      <c r="E7883" s="405" t="s">
        <v>1049</v>
      </c>
      <c r="F7883" s="406">
        <v>0</v>
      </c>
      <c r="G7883" s="405"/>
      <c r="H7883" s="606"/>
      <c r="I7883" s="606" t="s">
        <v>1050</v>
      </c>
      <c r="J7883" s="406">
        <v>0.26</v>
      </c>
      <c r="K7883"/>
    </row>
    <row r="7884" spans="1:11" ht="25.5" customHeight="1" thickTop="1" x14ac:dyDescent="0.3">
      <c r="A7884" s="407"/>
      <c r="B7884" s="407"/>
      <c r="C7884" s="407"/>
      <c r="D7884" s="407"/>
      <c r="E7884" s="407"/>
      <c r="F7884" s="407"/>
      <c r="G7884" s="407"/>
      <c r="H7884" s="407"/>
      <c r="I7884" s="407"/>
      <c r="J7884" s="407"/>
      <c r="K7884"/>
    </row>
    <row r="7885" spans="1:11" ht="15" x14ac:dyDescent="0.3">
      <c r="A7885" s="382"/>
      <c r="B7885" s="312" t="s">
        <v>413</v>
      </c>
      <c r="C7885" s="382" t="s">
        <v>414</v>
      </c>
      <c r="D7885" s="382" t="s">
        <v>415</v>
      </c>
      <c r="E7885" s="586" t="s">
        <v>1029</v>
      </c>
      <c r="F7885" s="586"/>
      <c r="G7885" s="383" t="s">
        <v>416</v>
      </c>
      <c r="H7885" s="312" t="s">
        <v>1030</v>
      </c>
      <c r="I7885" s="312" t="s">
        <v>3016</v>
      </c>
      <c r="J7885" s="312" t="s">
        <v>1031</v>
      </c>
      <c r="K7885" s="312" t="s">
        <v>1032</v>
      </c>
    </row>
    <row r="7886" spans="1:11" ht="26.4" x14ac:dyDescent="0.3">
      <c r="A7886" s="313" t="s">
        <v>1033</v>
      </c>
      <c r="B7886" s="315" t="s">
        <v>8140</v>
      </c>
      <c r="C7886" s="313" t="s">
        <v>395</v>
      </c>
      <c r="D7886" s="313" t="s">
        <v>8141</v>
      </c>
      <c r="E7886" s="603" t="s">
        <v>7768</v>
      </c>
      <c r="F7886" s="603"/>
      <c r="G7886" s="314" t="s">
        <v>6</v>
      </c>
      <c r="H7886" s="399">
        <v>1</v>
      </c>
      <c r="I7886" s="316"/>
      <c r="J7886" s="316">
        <v>0.28000000000000003</v>
      </c>
      <c r="K7886" s="316">
        <v>0.28000000000000003</v>
      </c>
    </row>
    <row r="7887" spans="1:11" ht="25.5" customHeight="1" x14ac:dyDescent="0.3">
      <c r="A7887" s="400" t="s">
        <v>1038</v>
      </c>
      <c r="B7887" s="401" t="s">
        <v>4837</v>
      </c>
      <c r="C7887" s="400" t="s">
        <v>395</v>
      </c>
      <c r="D7887" s="400" t="s">
        <v>4838</v>
      </c>
      <c r="E7887" s="605" t="s">
        <v>1053</v>
      </c>
      <c r="F7887" s="605"/>
      <c r="G7887" s="402" t="s">
        <v>6</v>
      </c>
      <c r="H7887" s="403">
        <v>8.3099999999999997E-3</v>
      </c>
      <c r="I7887" s="403">
        <v>0</v>
      </c>
      <c r="J7887" s="404">
        <v>33.93</v>
      </c>
      <c r="K7887" s="404">
        <v>0.2819583</v>
      </c>
    </row>
    <row r="7888" spans="1:11" ht="14.25" customHeight="1" x14ac:dyDescent="0.3">
      <c r="A7888" s="405"/>
      <c r="B7888" s="405"/>
      <c r="C7888" s="405"/>
      <c r="D7888" s="405"/>
      <c r="E7888" s="405" t="s">
        <v>1046</v>
      </c>
      <c r="F7888" s="406">
        <v>0.28000000000000003</v>
      </c>
      <c r="G7888" s="405" t="s">
        <v>1047</v>
      </c>
      <c r="H7888" s="406">
        <v>0</v>
      </c>
      <c r="I7888" s="405" t="s">
        <v>1048</v>
      </c>
      <c r="J7888" s="406">
        <v>0.28000000000000003</v>
      </c>
      <c r="K7888"/>
    </row>
    <row r="7889" spans="1:11" ht="25.5" customHeight="1" thickBot="1" x14ac:dyDescent="0.35">
      <c r="A7889" s="405"/>
      <c r="B7889" s="405"/>
      <c r="C7889" s="405"/>
      <c r="D7889" s="405"/>
      <c r="E7889" s="405" t="s">
        <v>1049</v>
      </c>
      <c r="F7889" s="406">
        <v>0</v>
      </c>
      <c r="G7889" s="405"/>
      <c r="H7889" s="606"/>
      <c r="I7889" s="606" t="s">
        <v>1050</v>
      </c>
      <c r="J7889" s="406">
        <v>0.28000000000000003</v>
      </c>
      <c r="K7889"/>
    </row>
    <row r="7890" spans="1:11" ht="25.5" customHeight="1" thickTop="1" x14ac:dyDescent="0.3">
      <c r="A7890" s="407"/>
      <c r="B7890" s="407"/>
      <c r="C7890" s="407"/>
      <c r="D7890" s="407"/>
      <c r="E7890" s="407"/>
      <c r="F7890" s="407"/>
      <c r="G7890" s="407"/>
      <c r="H7890" s="407"/>
      <c r="I7890" s="407"/>
      <c r="J7890" s="407"/>
      <c r="K7890"/>
    </row>
    <row r="7891" spans="1:11" ht="25.5" customHeight="1" x14ac:dyDescent="0.3">
      <c r="A7891" s="382"/>
      <c r="B7891" s="312" t="s">
        <v>413</v>
      </c>
      <c r="C7891" s="382" t="s">
        <v>414</v>
      </c>
      <c r="D7891" s="382" t="s">
        <v>415</v>
      </c>
      <c r="E7891" s="586" t="s">
        <v>1029</v>
      </c>
      <c r="F7891" s="586"/>
      <c r="G7891" s="383" t="s">
        <v>416</v>
      </c>
      <c r="H7891" s="312" t="s">
        <v>1030</v>
      </c>
      <c r="I7891" s="312" t="s">
        <v>3016</v>
      </c>
      <c r="J7891" s="312" t="s">
        <v>1031</v>
      </c>
      <c r="K7891" s="312" t="s">
        <v>1032</v>
      </c>
    </row>
    <row r="7892" spans="1:11" ht="12.75" customHeight="1" x14ac:dyDescent="0.3">
      <c r="A7892" s="313" t="s">
        <v>1033</v>
      </c>
      <c r="B7892" s="315" t="s">
        <v>8142</v>
      </c>
      <c r="C7892" s="313" t="s">
        <v>395</v>
      </c>
      <c r="D7892" s="313" t="s">
        <v>8143</v>
      </c>
      <c r="E7892" s="603" t="s">
        <v>7768</v>
      </c>
      <c r="F7892" s="603"/>
      <c r="G7892" s="314" t="s">
        <v>6</v>
      </c>
      <c r="H7892" s="399">
        <v>1</v>
      </c>
      <c r="I7892" s="316"/>
      <c r="J7892" s="316">
        <v>0.27</v>
      </c>
      <c r="K7892" s="316">
        <v>0.27</v>
      </c>
    </row>
    <row r="7893" spans="1:11" ht="25.5" customHeight="1" x14ac:dyDescent="0.3">
      <c r="A7893" s="400" t="s">
        <v>1038</v>
      </c>
      <c r="B7893" s="401" t="s">
        <v>4672</v>
      </c>
      <c r="C7893" s="400" t="s">
        <v>395</v>
      </c>
      <c r="D7893" s="400" t="s">
        <v>4673</v>
      </c>
      <c r="E7893" s="605" t="s">
        <v>1053</v>
      </c>
      <c r="F7893" s="605"/>
      <c r="G7893" s="402" t="s">
        <v>6</v>
      </c>
      <c r="H7893" s="403">
        <v>8.3099999999999997E-3</v>
      </c>
      <c r="I7893" s="403">
        <v>0</v>
      </c>
      <c r="J7893" s="404">
        <v>32.06</v>
      </c>
      <c r="K7893" s="404">
        <v>0.26641860000000001</v>
      </c>
    </row>
    <row r="7894" spans="1:11" ht="25.5" customHeight="1" x14ac:dyDescent="0.3">
      <c r="A7894" s="405"/>
      <c r="B7894" s="405"/>
      <c r="C7894" s="405"/>
      <c r="D7894" s="405"/>
      <c r="E7894" s="405" t="s">
        <v>1046</v>
      </c>
      <c r="F7894" s="406">
        <v>0.27</v>
      </c>
      <c r="G7894" s="405" t="s">
        <v>1047</v>
      </c>
      <c r="H7894" s="406">
        <v>0</v>
      </c>
      <c r="I7894" s="405" t="s">
        <v>1048</v>
      </c>
      <c r="J7894" s="406">
        <v>0.27</v>
      </c>
      <c r="K7894"/>
    </row>
    <row r="7895" spans="1:11" ht="12.75" customHeight="1" thickBot="1" x14ac:dyDescent="0.35">
      <c r="A7895" s="405"/>
      <c r="B7895" s="405"/>
      <c r="C7895" s="405"/>
      <c r="D7895" s="405"/>
      <c r="E7895" s="405" t="s">
        <v>1049</v>
      </c>
      <c r="F7895" s="406">
        <v>0</v>
      </c>
      <c r="G7895" s="405"/>
      <c r="H7895" s="606"/>
      <c r="I7895" s="606" t="s">
        <v>1050</v>
      </c>
      <c r="J7895" s="406">
        <v>0.27</v>
      </c>
      <c r="K7895"/>
    </row>
    <row r="7896" spans="1:11" ht="14.25" customHeight="1" thickTop="1" x14ac:dyDescent="0.3">
      <c r="A7896" s="407"/>
      <c r="B7896" s="407"/>
      <c r="C7896" s="407"/>
      <c r="D7896" s="407"/>
      <c r="E7896" s="407"/>
      <c r="F7896" s="407"/>
      <c r="G7896" s="407"/>
      <c r="H7896" s="407"/>
      <c r="I7896" s="407"/>
      <c r="J7896" s="407"/>
      <c r="K7896"/>
    </row>
    <row r="7897" spans="1:11" ht="14.25" customHeight="1" x14ac:dyDescent="0.3">
      <c r="A7897" s="382"/>
      <c r="B7897" s="312" t="s">
        <v>413</v>
      </c>
      <c r="C7897" s="382" t="s">
        <v>414</v>
      </c>
      <c r="D7897" s="382" t="s">
        <v>415</v>
      </c>
      <c r="E7897" s="586" t="s">
        <v>1029</v>
      </c>
      <c r="F7897" s="586"/>
      <c r="G7897" s="383" t="s">
        <v>416</v>
      </c>
      <c r="H7897" s="312" t="s">
        <v>1030</v>
      </c>
      <c r="I7897" s="312" t="s">
        <v>3016</v>
      </c>
      <c r="J7897" s="312" t="s">
        <v>1031</v>
      </c>
      <c r="K7897" s="312" t="s">
        <v>1032</v>
      </c>
    </row>
    <row r="7898" spans="1:11" ht="14.25" customHeight="1" x14ac:dyDescent="0.3">
      <c r="A7898" s="313" t="s">
        <v>1033</v>
      </c>
      <c r="B7898" s="315" t="s">
        <v>8144</v>
      </c>
      <c r="C7898" s="313" t="s">
        <v>395</v>
      </c>
      <c r="D7898" s="313" t="s">
        <v>8145</v>
      </c>
      <c r="E7898" s="603" t="s">
        <v>7768</v>
      </c>
      <c r="F7898" s="603"/>
      <c r="G7898" s="314" t="s">
        <v>6</v>
      </c>
      <c r="H7898" s="399">
        <v>1</v>
      </c>
      <c r="I7898" s="316"/>
      <c r="J7898" s="316">
        <v>0.66</v>
      </c>
      <c r="K7898" s="316">
        <v>0.66</v>
      </c>
    </row>
    <row r="7899" spans="1:11" ht="15" x14ac:dyDescent="0.3">
      <c r="A7899" s="400" t="s">
        <v>1038</v>
      </c>
      <c r="B7899" s="401" t="s">
        <v>1482</v>
      </c>
      <c r="C7899" s="400" t="s">
        <v>395</v>
      </c>
      <c r="D7899" s="400" t="s">
        <v>406</v>
      </c>
      <c r="E7899" s="605" t="s">
        <v>1053</v>
      </c>
      <c r="F7899" s="605"/>
      <c r="G7899" s="402" t="s">
        <v>6</v>
      </c>
      <c r="H7899" s="403">
        <v>2.12E-2</v>
      </c>
      <c r="I7899" s="403">
        <v>0</v>
      </c>
      <c r="J7899" s="404">
        <v>31.19</v>
      </c>
      <c r="K7899" s="404">
        <v>0.66122800000000004</v>
      </c>
    </row>
    <row r="7900" spans="1:11" ht="15" customHeight="1" x14ac:dyDescent="0.3">
      <c r="A7900" s="405"/>
      <c r="B7900" s="405"/>
      <c r="C7900" s="405"/>
      <c r="D7900" s="405"/>
      <c r="E7900" s="405" t="s">
        <v>1046</v>
      </c>
      <c r="F7900" s="406">
        <v>0.66</v>
      </c>
      <c r="G7900" s="405" t="s">
        <v>1047</v>
      </c>
      <c r="H7900" s="406">
        <v>0</v>
      </c>
      <c r="I7900" s="405" t="s">
        <v>1048</v>
      </c>
      <c r="J7900" s="406">
        <v>0.66</v>
      </c>
      <c r="K7900"/>
    </row>
    <row r="7901" spans="1:11" ht="25.5" customHeight="1" thickBot="1" x14ac:dyDescent="0.35">
      <c r="A7901" s="405"/>
      <c r="B7901" s="405"/>
      <c r="C7901" s="405"/>
      <c r="D7901" s="405"/>
      <c r="E7901" s="405" t="s">
        <v>1049</v>
      </c>
      <c r="F7901" s="406">
        <v>0</v>
      </c>
      <c r="G7901" s="405"/>
      <c r="H7901" s="606"/>
      <c r="I7901" s="606" t="s">
        <v>1050</v>
      </c>
      <c r="J7901" s="406">
        <v>0.66</v>
      </c>
      <c r="K7901"/>
    </row>
    <row r="7902" spans="1:11" ht="25.5" customHeight="1" thickTop="1" x14ac:dyDescent="0.3">
      <c r="A7902" s="407"/>
      <c r="B7902" s="407"/>
      <c r="C7902" s="407"/>
      <c r="D7902" s="407"/>
      <c r="E7902" s="407"/>
      <c r="F7902" s="407"/>
      <c r="G7902" s="407"/>
      <c r="H7902" s="407"/>
      <c r="I7902" s="407"/>
      <c r="J7902" s="407"/>
      <c r="K7902"/>
    </row>
    <row r="7903" spans="1:11" ht="25.5" customHeight="1" x14ac:dyDescent="0.3">
      <c r="A7903" s="382"/>
      <c r="B7903" s="312" t="s">
        <v>413</v>
      </c>
      <c r="C7903" s="382" t="s">
        <v>414</v>
      </c>
      <c r="D7903" s="382" t="s">
        <v>415</v>
      </c>
      <c r="E7903" s="586" t="s">
        <v>1029</v>
      </c>
      <c r="F7903" s="586"/>
      <c r="G7903" s="383" t="s">
        <v>416</v>
      </c>
      <c r="H7903" s="312" t="s">
        <v>1030</v>
      </c>
      <c r="I7903" s="312" t="s">
        <v>3016</v>
      </c>
      <c r="J7903" s="312" t="s">
        <v>1031</v>
      </c>
      <c r="K7903" s="312" t="s">
        <v>1032</v>
      </c>
    </row>
    <row r="7904" spans="1:11" ht="26.4" x14ac:dyDescent="0.3">
      <c r="A7904" s="313" t="s">
        <v>1033</v>
      </c>
      <c r="B7904" s="315" t="s">
        <v>8146</v>
      </c>
      <c r="C7904" s="313" t="s">
        <v>395</v>
      </c>
      <c r="D7904" s="313" t="s">
        <v>8147</v>
      </c>
      <c r="E7904" s="603" t="s">
        <v>7768</v>
      </c>
      <c r="F7904" s="603"/>
      <c r="G7904" s="314" t="s">
        <v>6</v>
      </c>
      <c r="H7904" s="399">
        <v>1</v>
      </c>
      <c r="I7904" s="316"/>
      <c r="J7904" s="316">
        <v>0.45</v>
      </c>
      <c r="K7904" s="316">
        <v>0.45</v>
      </c>
    </row>
    <row r="7905" spans="1:11" ht="15" x14ac:dyDescent="0.3">
      <c r="A7905" s="400" t="s">
        <v>1038</v>
      </c>
      <c r="B7905" s="401" t="s">
        <v>3165</v>
      </c>
      <c r="C7905" s="400" t="s">
        <v>395</v>
      </c>
      <c r="D7905" s="400" t="s">
        <v>3166</v>
      </c>
      <c r="E7905" s="605" t="s">
        <v>1053</v>
      </c>
      <c r="F7905" s="605"/>
      <c r="G7905" s="402" t="s">
        <v>6</v>
      </c>
      <c r="H7905" s="403">
        <v>1.4760000000000001E-2</v>
      </c>
      <c r="I7905" s="403">
        <v>0</v>
      </c>
      <c r="J7905" s="404">
        <v>30.49</v>
      </c>
      <c r="K7905" s="404">
        <v>0.4500324</v>
      </c>
    </row>
    <row r="7906" spans="1:11" ht="12.75" customHeight="1" x14ac:dyDescent="0.3">
      <c r="A7906" s="405"/>
      <c r="B7906" s="405"/>
      <c r="C7906" s="405"/>
      <c r="D7906" s="405"/>
      <c r="E7906" s="405" t="s">
        <v>1046</v>
      </c>
      <c r="F7906" s="406">
        <v>0.45</v>
      </c>
      <c r="G7906" s="405" t="s">
        <v>1047</v>
      </c>
      <c r="H7906" s="406">
        <v>0</v>
      </c>
      <c r="I7906" s="405" t="s">
        <v>1048</v>
      </c>
      <c r="J7906" s="406">
        <v>0.45</v>
      </c>
      <c r="K7906"/>
    </row>
    <row r="7907" spans="1:11" ht="14.25" customHeight="1" thickBot="1" x14ac:dyDescent="0.35">
      <c r="A7907" s="405"/>
      <c r="B7907" s="405"/>
      <c r="C7907" s="405"/>
      <c r="D7907" s="405"/>
      <c r="E7907" s="405" t="s">
        <v>1049</v>
      </c>
      <c r="F7907" s="406">
        <v>0</v>
      </c>
      <c r="G7907" s="405"/>
      <c r="H7907" s="606"/>
      <c r="I7907" s="606" t="s">
        <v>1050</v>
      </c>
      <c r="J7907" s="406">
        <v>0.45</v>
      </c>
      <c r="K7907"/>
    </row>
    <row r="7908" spans="1:11" ht="15.6" thickTop="1" x14ac:dyDescent="0.3">
      <c r="A7908" s="407"/>
      <c r="B7908" s="407"/>
      <c r="C7908" s="407"/>
      <c r="D7908" s="407"/>
      <c r="E7908" s="407"/>
      <c r="F7908" s="407"/>
      <c r="G7908" s="407"/>
      <c r="H7908" s="407"/>
      <c r="I7908" s="407"/>
      <c r="J7908" s="407"/>
      <c r="K7908"/>
    </row>
    <row r="7909" spans="1:11" ht="14.25" customHeight="1" x14ac:dyDescent="0.3">
      <c r="A7909" s="382"/>
      <c r="B7909" s="312" t="s">
        <v>413</v>
      </c>
      <c r="C7909" s="382" t="s">
        <v>414</v>
      </c>
      <c r="D7909" s="382" t="s">
        <v>415</v>
      </c>
      <c r="E7909" s="586" t="s">
        <v>1029</v>
      </c>
      <c r="F7909" s="586"/>
      <c r="G7909" s="383" t="s">
        <v>416</v>
      </c>
      <c r="H7909" s="312" t="s">
        <v>1030</v>
      </c>
      <c r="I7909" s="312" t="s">
        <v>3016</v>
      </c>
      <c r="J7909" s="312" t="s">
        <v>1031</v>
      </c>
      <c r="K7909" s="312" t="s">
        <v>1032</v>
      </c>
    </row>
    <row r="7910" spans="1:11" ht="14.25" customHeight="1" x14ac:dyDescent="0.3">
      <c r="A7910" s="313" t="s">
        <v>1033</v>
      </c>
      <c r="B7910" s="315" t="s">
        <v>8148</v>
      </c>
      <c r="C7910" s="313" t="s">
        <v>395</v>
      </c>
      <c r="D7910" s="313" t="s">
        <v>8149</v>
      </c>
      <c r="E7910" s="603" t="s">
        <v>7768</v>
      </c>
      <c r="F7910" s="603"/>
      <c r="G7910" s="314" t="s">
        <v>6</v>
      </c>
      <c r="H7910" s="399">
        <v>1</v>
      </c>
      <c r="I7910" s="316"/>
      <c r="J7910" s="316">
        <v>0.36</v>
      </c>
      <c r="K7910" s="316">
        <v>0.36</v>
      </c>
    </row>
    <row r="7911" spans="1:11" ht="25.5" customHeight="1" x14ac:dyDescent="0.3">
      <c r="A7911" s="400" t="s">
        <v>1038</v>
      </c>
      <c r="B7911" s="401" t="s">
        <v>4529</v>
      </c>
      <c r="C7911" s="400" t="s">
        <v>395</v>
      </c>
      <c r="D7911" s="400" t="s">
        <v>4530</v>
      </c>
      <c r="E7911" s="605" t="s">
        <v>1053</v>
      </c>
      <c r="F7911" s="605"/>
      <c r="G7911" s="402" t="s">
        <v>6</v>
      </c>
      <c r="H7911" s="403">
        <v>1.154E-2</v>
      </c>
      <c r="I7911" s="403">
        <v>0</v>
      </c>
      <c r="J7911" s="404">
        <v>31.19</v>
      </c>
      <c r="K7911" s="404">
        <v>0.35993259999999999</v>
      </c>
    </row>
    <row r="7912" spans="1:11" ht="25.5" customHeight="1" x14ac:dyDescent="0.3">
      <c r="A7912" s="405"/>
      <c r="B7912" s="405"/>
      <c r="C7912" s="405"/>
      <c r="D7912" s="405"/>
      <c r="E7912" s="405" t="s">
        <v>1046</v>
      </c>
      <c r="F7912" s="406">
        <v>0.36</v>
      </c>
      <c r="G7912" s="405" t="s">
        <v>1047</v>
      </c>
      <c r="H7912" s="406">
        <v>0</v>
      </c>
      <c r="I7912" s="405" t="s">
        <v>1048</v>
      </c>
      <c r="J7912" s="406">
        <v>0.36</v>
      </c>
      <c r="K7912"/>
    </row>
    <row r="7913" spans="1:11" ht="25.5" customHeight="1" thickBot="1" x14ac:dyDescent="0.35">
      <c r="A7913" s="405"/>
      <c r="B7913" s="405"/>
      <c r="C7913" s="405"/>
      <c r="D7913" s="405"/>
      <c r="E7913" s="405" t="s">
        <v>1049</v>
      </c>
      <c r="F7913" s="406">
        <v>0</v>
      </c>
      <c r="G7913" s="405"/>
      <c r="H7913" s="606"/>
      <c r="I7913" s="606" t="s">
        <v>1050</v>
      </c>
      <c r="J7913" s="406">
        <v>0.36</v>
      </c>
      <c r="K7913"/>
    </row>
    <row r="7914" spans="1:11" ht="25.5" customHeight="1" thickTop="1" x14ac:dyDescent="0.3">
      <c r="A7914" s="407"/>
      <c r="B7914" s="407"/>
      <c r="C7914" s="407"/>
      <c r="D7914" s="407"/>
      <c r="E7914" s="407"/>
      <c r="F7914" s="407"/>
      <c r="G7914" s="407"/>
      <c r="H7914" s="407"/>
      <c r="I7914" s="407"/>
      <c r="J7914" s="407"/>
      <c r="K7914"/>
    </row>
    <row r="7915" spans="1:11" ht="15" x14ac:dyDescent="0.3">
      <c r="A7915" s="382"/>
      <c r="B7915" s="312" t="s">
        <v>413</v>
      </c>
      <c r="C7915" s="382" t="s">
        <v>414</v>
      </c>
      <c r="D7915" s="382" t="s">
        <v>415</v>
      </c>
      <c r="E7915" s="586" t="s">
        <v>1029</v>
      </c>
      <c r="F7915" s="586"/>
      <c r="G7915" s="383" t="s">
        <v>416</v>
      </c>
      <c r="H7915" s="312" t="s">
        <v>1030</v>
      </c>
      <c r="I7915" s="312" t="s">
        <v>3016</v>
      </c>
      <c r="J7915" s="312" t="s">
        <v>1031</v>
      </c>
      <c r="K7915" s="312" t="s">
        <v>1032</v>
      </c>
    </row>
    <row r="7916" spans="1:11" ht="14.25" customHeight="1" x14ac:dyDescent="0.3">
      <c r="A7916" s="313" t="s">
        <v>1033</v>
      </c>
      <c r="B7916" s="315" t="s">
        <v>8150</v>
      </c>
      <c r="C7916" s="313" t="s">
        <v>395</v>
      </c>
      <c r="D7916" s="313" t="s">
        <v>8151</v>
      </c>
      <c r="E7916" s="603" t="s">
        <v>7768</v>
      </c>
      <c r="F7916" s="603"/>
      <c r="G7916" s="314" t="s">
        <v>6</v>
      </c>
      <c r="H7916" s="399">
        <v>1</v>
      </c>
      <c r="I7916" s="316"/>
      <c r="J7916" s="316">
        <v>0.47</v>
      </c>
      <c r="K7916" s="316">
        <v>0.47</v>
      </c>
    </row>
    <row r="7917" spans="1:11" ht="15" x14ac:dyDescent="0.3">
      <c r="A7917" s="400" t="s">
        <v>1038</v>
      </c>
      <c r="B7917" s="401" t="s">
        <v>1075</v>
      </c>
      <c r="C7917" s="400" t="s">
        <v>395</v>
      </c>
      <c r="D7917" s="400" t="s">
        <v>8694</v>
      </c>
      <c r="E7917" s="605" t="s">
        <v>1053</v>
      </c>
      <c r="F7917" s="605"/>
      <c r="G7917" s="402" t="s">
        <v>6</v>
      </c>
      <c r="H7917" s="403">
        <v>2.12E-2</v>
      </c>
      <c r="I7917" s="403">
        <v>0</v>
      </c>
      <c r="J7917" s="404">
        <v>22.14</v>
      </c>
      <c r="K7917" s="404">
        <v>0.46936800000000001</v>
      </c>
    </row>
    <row r="7918" spans="1:11" ht="15" x14ac:dyDescent="0.3">
      <c r="A7918" s="405"/>
      <c r="B7918" s="405"/>
      <c r="C7918" s="405"/>
      <c r="D7918" s="405"/>
      <c r="E7918" s="405" t="s">
        <v>1046</v>
      </c>
      <c r="F7918" s="406">
        <v>0.47</v>
      </c>
      <c r="G7918" s="405" t="s">
        <v>1047</v>
      </c>
      <c r="H7918" s="406">
        <v>0</v>
      </c>
      <c r="I7918" s="405" t="s">
        <v>1048</v>
      </c>
      <c r="J7918" s="406">
        <v>0.47</v>
      </c>
      <c r="K7918"/>
    </row>
    <row r="7919" spans="1:11" ht="15.6" thickBot="1" x14ac:dyDescent="0.35">
      <c r="A7919" s="405"/>
      <c r="B7919" s="405"/>
      <c r="C7919" s="405"/>
      <c r="D7919" s="405"/>
      <c r="E7919" s="405" t="s">
        <v>1049</v>
      </c>
      <c r="F7919" s="406">
        <v>0</v>
      </c>
      <c r="G7919" s="405"/>
      <c r="H7919" s="606"/>
      <c r="I7919" s="606" t="s">
        <v>1050</v>
      </c>
      <c r="J7919" s="406">
        <v>0.47</v>
      </c>
      <c r="K7919"/>
    </row>
    <row r="7920" spans="1:11" ht="14.25" customHeight="1" thickTop="1" x14ac:dyDescent="0.3">
      <c r="A7920" s="407"/>
      <c r="B7920" s="407"/>
      <c r="C7920" s="407"/>
      <c r="D7920" s="407"/>
      <c r="E7920" s="407"/>
      <c r="F7920" s="407"/>
      <c r="G7920" s="407"/>
      <c r="H7920" s="407"/>
      <c r="I7920" s="407"/>
      <c r="J7920" s="407"/>
      <c r="K7920"/>
    </row>
    <row r="7921" spans="1:11" ht="14.25" customHeight="1" x14ac:dyDescent="0.3">
      <c r="A7921" s="382"/>
      <c r="B7921" s="312" t="s">
        <v>413</v>
      </c>
      <c r="C7921" s="382" t="s">
        <v>414</v>
      </c>
      <c r="D7921" s="382" t="s">
        <v>415</v>
      </c>
      <c r="E7921" s="586" t="s">
        <v>1029</v>
      </c>
      <c r="F7921" s="586"/>
      <c r="G7921" s="383" t="s">
        <v>416</v>
      </c>
      <c r="H7921" s="312" t="s">
        <v>1030</v>
      </c>
      <c r="I7921" s="312" t="s">
        <v>3016</v>
      </c>
      <c r="J7921" s="312" t="s">
        <v>1031</v>
      </c>
      <c r="K7921" s="312" t="s">
        <v>1032</v>
      </c>
    </row>
    <row r="7922" spans="1:11" ht="25.5" customHeight="1" x14ac:dyDescent="0.3">
      <c r="A7922" s="313" t="s">
        <v>1033</v>
      </c>
      <c r="B7922" s="315" t="s">
        <v>8152</v>
      </c>
      <c r="C7922" s="313" t="s">
        <v>395</v>
      </c>
      <c r="D7922" s="313" t="s">
        <v>8153</v>
      </c>
      <c r="E7922" s="603" t="s">
        <v>7768</v>
      </c>
      <c r="F7922" s="603"/>
      <c r="G7922" s="314" t="s">
        <v>6</v>
      </c>
      <c r="H7922" s="399">
        <v>1</v>
      </c>
      <c r="I7922" s="316"/>
      <c r="J7922" s="316">
        <v>0.44</v>
      </c>
      <c r="K7922" s="316">
        <v>0.44</v>
      </c>
    </row>
    <row r="7923" spans="1:11" ht="15" x14ac:dyDescent="0.3">
      <c r="A7923" s="400" t="s">
        <v>1038</v>
      </c>
      <c r="B7923" s="401" t="s">
        <v>4187</v>
      </c>
      <c r="C7923" s="400" t="s">
        <v>395</v>
      </c>
      <c r="D7923" s="400" t="s">
        <v>4188</v>
      </c>
      <c r="E7923" s="605" t="s">
        <v>1053</v>
      </c>
      <c r="F7923" s="605"/>
      <c r="G7923" s="402" t="s">
        <v>6</v>
      </c>
      <c r="H7923" s="403">
        <v>1.154E-2</v>
      </c>
      <c r="I7923" s="403">
        <v>0</v>
      </c>
      <c r="J7923" s="404">
        <v>38.31</v>
      </c>
      <c r="K7923" s="404">
        <v>0.44209739999999997</v>
      </c>
    </row>
    <row r="7924" spans="1:11" ht="14.25" customHeight="1" x14ac:dyDescent="0.3">
      <c r="A7924" s="405"/>
      <c r="B7924" s="405"/>
      <c r="C7924" s="405"/>
      <c r="D7924" s="405"/>
      <c r="E7924" s="405" t="s">
        <v>1046</v>
      </c>
      <c r="F7924" s="406">
        <v>0.44</v>
      </c>
      <c r="G7924" s="405" t="s">
        <v>1047</v>
      </c>
      <c r="H7924" s="406">
        <v>0</v>
      </c>
      <c r="I7924" s="405" t="s">
        <v>1048</v>
      </c>
      <c r="J7924" s="406">
        <v>0.44</v>
      </c>
      <c r="K7924"/>
    </row>
    <row r="7925" spans="1:11" ht="25.5" customHeight="1" thickBot="1" x14ac:dyDescent="0.35">
      <c r="A7925" s="405"/>
      <c r="B7925" s="405"/>
      <c r="C7925" s="405"/>
      <c r="D7925" s="405"/>
      <c r="E7925" s="405" t="s">
        <v>1049</v>
      </c>
      <c r="F7925" s="406">
        <v>0</v>
      </c>
      <c r="G7925" s="405"/>
      <c r="H7925" s="606"/>
      <c r="I7925" s="606" t="s">
        <v>1050</v>
      </c>
      <c r="J7925" s="406">
        <v>0.44</v>
      </c>
      <c r="K7925"/>
    </row>
    <row r="7926" spans="1:11" ht="25.5" customHeight="1" thickTop="1" x14ac:dyDescent="0.3">
      <c r="A7926" s="407"/>
      <c r="B7926" s="407"/>
      <c r="C7926" s="407"/>
      <c r="D7926" s="407"/>
      <c r="E7926" s="407"/>
      <c r="F7926" s="407"/>
      <c r="G7926" s="407"/>
      <c r="H7926" s="407"/>
      <c r="I7926" s="407"/>
      <c r="J7926" s="407"/>
      <c r="K7926"/>
    </row>
    <row r="7927" spans="1:11" ht="25.5" customHeight="1" x14ac:dyDescent="0.3">
      <c r="A7927" s="382"/>
      <c r="B7927" s="312" t="s">
        <v>413</v>
      </c>
      <c r="C7927" s="382" t="s">
        <v>414</v>
      </c>
      <c r="D7927" s="382" t="s">
        <v>415</v>
      </c>
      <c r="E7927" s="586" t="s">
        <v>1029</v>
      </c>
      <c r="F7927" s="586"/>
      <c r="G7927" s="383" t="s">
        <v>416</v>
      </c>
      <c r="H7927" s="312" t="s">
        <v>1030</v>
      </c>
      <c r="I7927" s="312" t="s">
        <v>3016</v>
      </c>
      <c r="J7927" s="312" t="s">
        <v>1031</v>
      </c>
      <c r="K7927" s="312" t="s">
        <v>1032</v>
      </c>
    </row>
    <row r="7928" spans="1:11" ht="25.5" customHeight="1" x14ac:dyDescent="0.3">
      <c r="A7928" s="313" t="s">
        <v>1033</v>
      </c>
      <c r="B7928" s="315" t="s">
        <v>8154</v>
      </c>
      <c r="C7928" s="313" t="s">
        <v>395</v>
      </c>
      <c r="D7928" s="313" t="s">
        <v>8155</v>
      </c>
      <c r="E7928" s="603" t="s">
        <v>7768</v>
      </c>
      <c r="F7928" s="603"/>
      <c r="G7928" s="314" t="s">
        <v>6</v>
      </c>
      <c r="H7928" s="399">
        <v>1</v>
      </c>
      <c r="I7928" s="316"/>
      <c r="J7928" s="316">
        <v>0.36</v>
      </c>
      <c r="K7928" s="316">
        <v>0.36</v>
      </c>
    </row>
    <row r="7929" spans="1:11" ht="25.5" customHeight="1" x14ac:dyDescent="0.3">
      <c r="A7929" s="400" t="s">
        <v>1038</v>
      </c>
      <c r="B7929" s="401" t="s">
        <v>4664</v>
      </c>
      <c r="C7929" s="400" t="s">
        <v>395</v>
      </c>
      <c r="D7929" s="400" t="s">
        <v>4665</v>
      </c>
      <c r="E7929" s="605" t="s">
        <v>1053</v>
      </c>
      <c r="F7929" s="605"/>
      <c r="G7929" s="402" t="s">
        <v>6</v>
      </c>
      <c r="H7929" s="403">
        <v>1.154E-2</v>
      </c>
      <c r="I7929" s="403">
        <v>0</v>
      </c>
      <c r="J7929" s="404">
        <v>31.51</v>
      </c>
      <c r="K7929" s="404">
        <v>0.36362539999999999</v>
      </c>
    </row>
    <row r="7930" spans="1:11" ht="25.5" customHeight="1" x14ac:dyDescent="0.3">
      <c r="A7930" s="405"/>
      <c r="B7930" s="405"/>
      <c r="C7930" s="405"/>
      <c r="D7930" s="405"/>
      <c r="E7930" s="405" t="s">
        <v>1046</v>
      </c>
      <c r="F7930" s="406">
        <v>0.36</v>
      </c>
      <c r="G7930" s="405" t="s">
        <v>1047</v>
      </c>
      <c r="H7930" s="406">
        <v>0</v>
      </c>
      <c r="I7930" s="405" t="s">
        <v>1048</v>
      </c>
      <c r="J7930" s="406">
        <v>0.36</v>
      </c>
      <c r="K7930"/>
    </row>
    <row r="7931" spans="1:11" ht="25.5" customHeight="1" thickBot="1" x14ac:dyDescent="0.35">
      <c r="A7931" s="405"/>
      <c r="B7931" s="405"/>
      <c r="C7931" s="405"/>
      <c r="D7931" s="405"/>
      <c r="E7931" s="405" t="s">
        <v>1049</v>
      </c>
      <c r="F7931" s="406">
        <v>0</v>
      </c>
      <c r="G7931" s="405"/>
      <c r="H7931" s="606"/>
      <c r="I7931" s="606" t="s">
        <v>1050</v>
      </c>
      <c r="J7931" s="406">
        <v>0.36</v>
      </c>
      <c r="K7931"/>
    </row>
    <row r="7932" spans="1:11" ht="12.75" customHeight="1" thickTop="1" x14ac:dyDescent="0.3">
      <c r="A7932" s="407"/>
      <c r="B7932" s="407"/>
      <c r="C7932" s="407"/>
      <c r="D7932" s="407"/>
      <c r="E7932" s="407"/>
      <c r="F7932" s="407"/>
      <c r="G7932" s="407"/>
      <c r="H7932" s="407"/>
      <c r="I7932" s="407"/>
      <c r="J7932" s="407"/>
      <c r="K7932"/>
    </row>
    <row r="7933" spans="1:11" ht="12.75" customHeight="1" x14ac:dyDescent="0.3">
      <c r="A7933" s="382"/>
      <c r="B7933" s="312" t="s">
        <v>413</v>
      </c>
      <c r="C7933" s="382" t="s">
        <v>414</v>
      </c>
      <c r="D7933" s="382" t="s">
        <v>415</v>
      </c>
      <c r="E7933" s="586" t="s">
        <v>1029</v>
      </c>
      <c r="F7933" s="586"/>
      <c r="G7933" s="383" t="s">
        <v>416</v>
      </c>
      <c r="H7933" s="312" t="s">
        <v>1030</v>
      </c>
      <c r="I7933" s="312" t="s">
        <v>3016</v>
      </c>
      <c r="J7933" s="312" t="s">
        <v>1031</v>
      </c>
      <c r="K7933" s="312" t="s">
        <v>1032</v>
      </c>
    </row>
    <row r="7934" spans="1:11" ht="14.25" customHeight="1" x14ac:dyDescent="0.3">
      <c r="A7934" s="313" t="s">
        <v>1033</v>
      </c>
      <c r="B7934" s="315" t="s">
        <v>8156</v>
      </c>
      <c r="C7934" s="313" t="s">
        <v>395</v>
      </c>
      <c r="D7934" s="313" t="s">
        <v>8157</v>
      </c>
      <c r="E7934" s="603" t="s">
        <v>7768</v>
      </c>
      <c r="F7934" s="603"/>
      <c r="G7934" s="314" t="s">
        <v>6</v>
      </c>
      <c r="H7934" s="399">
        <v>1</v>
      </c>
      <c r="I7934" s="316"/>
      <c r="J7934" s="316">
        <v>0.38</v>
      </c>
      <c r="K7934" s="316">
        <v>0.38</v>
      </c>
    </row>
    <row r="7935" spans="1:11" ht="14.25" customHeight="1" x14ac:dyDescent="0.3">
      <c r="A7935" s="400" t="s">
        <v>1038</v>
      </c>
      <c r="B7935" s="401" t="s">
        <v>4231</v>
      </c>
      <c r="C7935" s="400" t="s">
        <v>395</v>
      </c>
      <c r="D7935" s="400" t="s">
        <v>4232</v>
      </c>
      <c r="E7935" s="605" t="s">
        <v>1053</v>
      </c>
      <c r="F7935" s="605"/>
      <c r="G7935" s="402" t="s">
        <v>6</v>
      </c>
      <c r="H7935" s="403">
        <v>1.154E-2</v>
      </c>
      <c r="I7935" s="403">
        <v>0</v>
      </c>
      <c r="J7935" s="404">
        <v>33.04</v>
      </c>
      <c r="K7935" s="404">
        <v>0.3812816</v>
      </c>
    </row>
    <row r="7936" spans="1:11" ht="14.25" customHeight="1" x14ac:dyDescent="0.3">
      <c r="A7936" s="405"/>
      <c r="B7936" s="405"/>
      <c r="C7936" s="405"/>
      <c r="D7936" s="405"/>
      <c r="E7936" s="405" t="s">
        <v>1046</v>
      </c>
      <c r="F7936" s="406">
        <v>0.38</v>
      </c>
      <c r="G7936" s="405" t="s">
        <v>1047</v>
      </c>
      <c r="H7936" s="406">
        <v>0</v>
      </c>
      <c r="I7936" s="405" t="s">
        <v>1048</v>
      </c>
      <c r="J7936" s="406">
        <v>0.38</v>
      </c>
      <c r="K7936"/>
    </row>
    <row r="7937" spans="1:11" ht="15.6" thickBot="1" x14ac:dyDescent="0.35">
      <c r="A7937" s="405"/>
      <c r="B7937" s="405"/>
      <c r="C7937" s="405"/>
      <c r="D7937" s="405"/>
      <c r="E7937" s="405" t="s">
        <v>1049</v>
      </c>
      <c r="F7937" s="406">
        <v>0</v>
      </c>
      <c r="G7937" s="405"/>
      <c r="H7937" s="606"/>
      <c r="I7937" s="606" t="s">
        <v>1050</v>
      </c>
      <c r="J7937" s="406">
        <v>0.38</v>
      </c>
      <c r="K7937"/>
    </row>
    <row r="7938" spans="1:11" ht="15.6" thickTop="1" x14ac:dyDescent="0.3">
      <c r="A7938" s="407"/>
      <c r="B7938" s="407"/>
      <c r="C7938" s="407"/>
      <c r="D7938" s="407"/>
      <c r="E7938" s="407"/>
      <c r="F7938" s="407"/>
      <c r="G7938" s="407"/>
      <c r="H7938" s="407"/>
      <c r="I7938" s="407"/>
      <c r="J7938" s="407"/>
      <c r="K7938"/>
    </row>
    <row r="7939" spans="1:11" ht="25.5" customHeight="1" x14ac:dyDescent="0.3">
      <c r="A7939" s="382"/>
      <c r="B7939" s="312" t="s">
        <v>413</v>
      </c>
      <c r="C7939" s="382" t="s">
        <v>414</v>
      </c>
      <c r="D7939" s="382" t="s">
        <v>415</v>
      </c>
      <c r="E7939" s="586" t="s">
        <v>1029</v>
      </c>
      <c r="F7939" s="586"/>
      <c r="G7939" s="383" t="s">
        <v>416</v>
      </c>
      <c r="H7939" s="312" t="s">
        <v>1030</v>
      </c>
      <c r="I7939" s="312" t="s">
        <v>3016</v>
      </c>
      <c r="J7939" s="312" t="s">
        <v>1031</v>
      </c>
      <c r="K7939" s="312" t="s">
        <v>1032</v>
      </c>
    </row>
    <row r="7940" spans="1:11" ht="12.75" customHeight="1" x14ac:dyDescent="0.3">
      <c r="A7940" s="313" t="s">
        <v>1033</v>
      </c>
      <c r="B7940" s="315" t="s">
        <v>5124</v>
      </c>
      <c r="C7940" s="313" t="s">
        <v>395</v>
      </c>
      <c r="D7940" s="313" t="s">
        <v>5125</v>
      </c>
      <c r="E7940" s="603" t="s">
        <v>7768</v>
      </c>
      <c r="F7940" s="603"/>
      <c r="G7940" s="314" t="s">
        <v>6</v>
      </c>
      <c r="H7940" s="399">
        <v>1</v>
      </c>
      <c r="I7940" s="316"/>
      <c r="J7940" s="316">
        <v>0.86</v>
      </c>
      <c r="K7940" s="316">
        <v>0.86</v>
      </c>
    </row>
    <row r="7941" spans="1:11" ht="14.25" customHeight="1" x14ac:dyDescent="0.3">
      <c r="A7941" s="400" t="s">
        <v>1038</v>
      </c>
      <c r="B7941" s="401" t="s">
        <v>4446</v>
      </c>
      <c r="C7941" s="400" t="s">
        <v>395</v>
      </c>
      <c r="D7941" s="400" t="s">
        <v>4447</v>
      </c>
      <c r="E7941" s="605" t="s">
        <v>1053</v>
      </c>
      <c r="F7941" s="605"/>
      <c r="G7941" s="402" t="s">
        <v>6</v>
      </c>
      <c r="H7941" s="403">
        <v>1.7979999999999999E-2</v>
      </c>
      <c r="I7941" s="403">
        <v>0</v>
      </c>
      <c r="J7941" s="404">
        <v>47.78</v>
      </c>
      <c r="K7941" s="404">
        <v>0.85908439999999997</v>
      </c>
    </row>
    <row r="7942" spans="1:11" ht="14.25" customHeight="1" x14ac:dyDescent="0.3">
      <c r="A7942" s="405"/>
      <c r="B7942" s="405"/>
      <c r="C7942" s="405"/>
      <c r="D7942" s="405"/>
      <c r="E7942" s="405" t="s">
        <v>1046</v>
      </c>
      <c r="F7942" s="406">
        <v>0.86</v>
      </c>
      <c r="G7942" s="405" t="s">
        <v>1047</v>
      </c>
      <c r="H7942" s="406">
        <v>0</v>
      </c>
      <c r="I7942" s="405" t="s">
        <v>1048</v>
      </c>
      <c r="J7942" s="406">
        <v>0.86</v>
      </c>
      <c r="K7942"/>
    </row>
    <row r="7943" spans="1:11" ht="12.75" customHeight="1" thickBot="1" x14ac:dyDescent="0.35">
      <c r="A7943" s="405"/>
      <c r="B7943" s="405"/>
      <c r="C7943" s="405"/>
      <c r="D7943" s="405"/>
      <c r="E7943" s="405" t="s">
        <v>1049</v>
      </c>
      <c r="F7943" s="406">
        <v>0</v>
      </c>
      <c r="G7943" s="405"/>
      <c r="H7943" s="606"/>
      <c r="I7943" s="606" t="s">
        <v>1050</v>
      </c>
      <c r="J7943" s="406">
        <v>0.86</v>
      </c>
      <c r="K7943"/>
    </row>
    <row r="7944" spans="1:11" ht="15.6" thickTop="1" x14ac:dyDescent="0.3">
      <c r="A7944" s="407"/>
      <c r="B7944" s="407"/>
      <c r="C7944" s="407"/>
      <c r="D7944" s="407"/>
      <c r="E7944" s="407"/>
      <c r="F7944" s="407"/>
      <c r="G7944" s="407"/>
      <c r="H7944" s="407"/>
      <c r="I7944" s="407"/>
      <c r="J7944" s="407"/>
      <c r="K7944"/>
    </row>
    <row r="7945" spans="1:11" ht="14.25" customHeight="1" x14ac:dyDescent="0.3">
      <c r="A7945" s="382"/>
      <c r="B7945" s="312" t="s">
        <v>413</v>
      </c>
      <c r="C7945" s="382" t="s">
        <v>414</v>
      </c>
      <c r="D7945" s="382" t="s">
        <v>415</v>
      </c>
      <c r="E7945" s="586" t="s">
        <v>1029</v>
      </c>
      <c r="F7945" s="586"/>
      <c r="G7945" s="383" t="s">
        <v>416</v>
      </c>
      <c r="H7945" s="312" t="s">
        <v>1030</v>
      </c>
      <c r="I7945" s="312" t="s">
        <v>3016</v>
      </c>
      <c r="J7945" s="312" t="s">
        <v>1031</v>
      </c>
      <c r="K7945" s="312" t="s">
        <v>1032</v>
      </c>
    </row>
    <row r="7946" spans="1:11" ht="38.25" customHeight="1" x14ac:dyDescent="0.3">
      <c r="A7946" s="313" t="s">
        <v>1033</v>
      </c>
      <c r="B7946" s="315" t="s">
        <v>8158</v>
      </c>
      <c r="C7946" s="313" t="s">
        <v>395</v>
      </c>
      <c r="D7946" s="313" t="s">
        <v>8159</v>
      </c>
      <c r="E7946" s="603" t="s">
        <v>7768</v>
      </c>
      <c r="F7946" s="603"/>
      <c r="G7946" s="314" t="s">
        <v>6</v>
      </c>
      <c r="H7946" s="399">
        <v>1</v>
      </c>
      <c r="I7946" s="316"/>
      <c r="J7946" s="316">
        <v>0.4</v>
      </c>
      <c r="K7946" s="316">
        <v>0.4</v>
      </c>
    </row>
    <row r="7947" spans="1:11" ht="25.5" customHeight="1" x14ac:dyDescent="0.3">
      <c r="A7947" s="400" t="s">
        <v>1038</v>
      </c>
      <c r="B7947" s="401" t="s">
        <v>4113</v>
      </c>
      <c r="C7947" s="400" t="s">
        <v>395</v>
      </c>
      <c r="D7947" s="400" t="s">
        <v>4114</v>
      </c>
      <c r="E7947" s="605" t="s">
        <v>1053</v>
      </c>
      <c r="F7947" s="605"/>
      <c r="G7947" s="402" t="s">
        <v>6</v>
      </c>
      <c r="H7947" s="403">
        <v>1.4760000000000001E-2</v>
      </c>
      <c r="I7947" s="403">
        <v>0</v>
      </c>
      <c r="J7947" s="404">
        <v>26.96</v>
      </c>
      <c r="K7947" s="404">
        <v>0.39792959999999999</v>
      </c>
    </row>
    <row r="7948" spans="1:11" ht="25.5" customHeight="1" x14ac:dyDescent="0.3">
      <c r="A7948" s="405"/>
      <c r="B7948" s="405"/>
      <c r="C7948" s="405"/>
      <c r="D7948" s="405"/>
      <c r="E7948" s="405" t="s">
        <v>1046</v>
      </c>
      <c r="F7948" s="406">
        <v>0.4</v>
      </c>
      <c r="G7948" s="405" t="s">
        <v>1047</v>
      </c>
      <c r="H7948" s="406">
        <v>0</v>
      </c>
      <c r="I7948" s="405" t="s">
        <v>1048</v>
      </c>
      <c r="J7948" s="406">
        <v>0.4</v>
      </c>
      <c r="K7948"/>
    </row>
    <row r="7949" spans="1:11" ht="25.5" customHeight="1" thickBot="1" x14ac:dyDescent="0.35">
      <c r="A7949" s="405"/>
      <c r="B7949" s="405"/>
      <c r="C7949" s="405"/>
      <c r="D7949" s="405"/>
      <c r="E7949" s="405" t="s">
        <v>1049</v>
      </c>
      <c r="F7949" s="406">
        <v>0</v>
      </c>
      <c r="G7949" s="405"/>
      <c r="H7949" s="606"/>
      <c r="I7949" s="606" t="s">
        <v>1050</v>
      </c>
      <c r="J7949" s="406">
        <v>0.4</v>
      </c>
      <c r="K7949"/>
    </row>
    <row r="7950" spans="1:11" ht="15.6" thickTop="1" x14ac:dyDescent="0.3">
      <c r="A7950" s="407"/>
      <c r="B7950" s="407"/>
      <c r="C7950" s="407"/>
      <c r="D7950" s="407"/>
      <c r="E7950" s="407"/>
      <c r="F7950" s="407"/>
      <c r="G7950" s="407"/>
      <c r="H7950" s="407"/>
      <c r="I7950" s="407"/>
      <c r="J7950" s="407"/>
      <c r="K7950"/>
    </row>
    <row r="7951" spans="1:11" ht="14.25" customHeight="1" x14ac:dyDescent="0.3">
      <c r="A7951" s="382"/>
      <c r="B7951" s="312" t="s">
        <v>413</v>
      </c>
      <c r="C7951" s="382" t="s">
        <v>414</v>
      </c>
      <c r="D7951" s="382" t="s">
        <v>415</v>
      </c>
      <c r="E7951" s="586" t="s">
        <v>1029</v>
      </c>
      <c r="F7951" s="586"/>
      <c r="G7951" s="383" t="s">
        <v>416</v>
      </c>
      <c r="H7951" s="312" t="s">
        <v>1030</v>
      </c>
      <c r="I7951" s="312" t="s">
        <v>3016</v>
      </c>
      <c r="J7951" s="312" t="s">
        <v>1031</v>
      </c>
      <c r="K7951" s="312" t="s">
        <v>1032</v>
      </c>
    </row>
    <row r="7952" spans="1:11" ht="14.25" customHeight="1" x14ac:dyDescent="0.3">
      <c r="A7952" s="313" t="s">
        <v>1033</v>
      </c>
      <c r="B7952" s="315" t="s">
        <v>5128</v>
      </c>
      <c r="C7952" s="313" t="s">
        <v>395</v>
      </c>
      <c r="D7952" s="313" t="s">
        <v>5129</v>
      </c>
      <c r="E7952" s="603" t="s">
        <v>7768</v>
      </c>
      <c r="F7952" s="603"/>
      <c r="G7952" s="314" t="s">
        <v>6</v>
      </c>
      <c r="H7952" s="399">
        <v>1</v>
      </c>
      <c r="I7952" s="316"/>
      <c r="J7952" s="316">
        <v>0.13</v>
      </c>
      <c r="K7952" s="316">
        <v>0.13</v>
      </c>
    </row>
    <row r="7953" spans="1:11" ht="15" x14ac:dyDescent="0.3">
      <c r="A7953" s="400" t="s">
        <v>1038</v>
      </c>
      <c r="B7953" s="401" t="s">
        <v>4640</v>
      </c>
      <c r="C7953" s="400" t="s">
        <v>395</v>
      </c>
      <c r="D7953" s="400" t="s">
        <v>4641</v>
      </c>
      <c r="E7953" s="605" t="s">
        <v>1053</v>
      </c>
      <c r="F7953" s="605"/>
      <c r="G7953" s="402" t="s">
        <v>6</v>
      </c>
      <c r="H7953" s="403">
        <v>5.0899999999999999E-3</v>
      </c>
      <c r="I7953" s="403">
        <v>0</v>
      </c>
      <c r="J7953" s="404">
        <v>24.77</v>
      </c>
      <c r="K7953" s="404">
        <v>0.12607930000000001</v>
      </c>
    </row>
    <row r="7954" spans="1:11" ht="15" x14ac:dyDescent="0.3">
      <c r="A7954" s="405"/>
      <c r="B7954" s="405"/>
      <c r="C7954" s="405"/>
      <c r="D7954" s="405"/>
      <c r="E7954" s="405" t="s">
        <v>1046</v>
      </c>
      <c r="F7954" s="406">
        <v>0.13</v>
      </c>
      <c r="G7954" s="405" t="s">
        <v>1047</v>
      </c>
      <c r="H7954" s="406">
        <v>0</v>
      </c>
      <c r="I7954" s="405" t="s">
        <v>1048</v>
      </c>
      <c r="J7954" s="406">
        <v>0.13</v>
      </c>
      <c r="K7954"/>
    </row>
    <row r="7955" spans="1:11" ht="14.25" customHeight="1" thickBot="1" x14ac:dyDescent="0.35">
      <c r="A7955" s="405"/>
      <c r="B7955" s="405"/>
      <c r="C7955" s="405"/>
      <c r="D7955" s="405"/>
      <c r="E7955" s="405" t="s">
        <v>1049</v>
      </c>
      <c r="F7955" s="406">
        <v>0</v>
      </c>
      <c r="G7955" s="405"/>
      <c r="H7955" s="606"/>
      <c r="I7955" s="606" t="s">
        <v>1050</v>
      </c>
      <c r="J7955" s="406">
        <v>0.13</v>
      </c>
      <c r="K7955"/>
    </row>
    <row r="7956" spans="1:11" ht="12.75" customHeight="1" thickTop="1" x14ac:dyDescent="0.3">
      <c r="A7956" s="407"/>
      <c r="B7956" s="407"/>
      <c r="C7956" s="407"/>
      <c r="D7956" s="407"/>
      <c r="E7956" s="407"/>
      <c r="F7956" s="407"/>
      <c r="G7956" s="407"/>
      <c r="H7956" s="407"/>
      <c r="I7956" s="407"/>
      <c r="J7956" s="407"/>
      <c r="K7956"/>
    </row>
    <row r="7957" spans="1:11" ht="25.5" customHeight="1" x14ac:dyDescent="0.3">
      <c r="A7957" s="382"/>
      <c r="B7957" s="312" t="s">
        <v>413</v>
      </c>
      <c r="C7957" s="382" t="s">
        <v>414</v>
      </c>
      <c r="D7957" s="382" t="s">
        <v>415</v>
      </c>
      <c r="E7957" s="586" t="s">
        <v>1029</v>
      </c>
      <c r="F7957" s="586"/>
      <c r="G7957" s="383" t="s">
        <v>416</v>
      </c>
      <c r="H7957" s="312" t="s">
        <v>1030</v>
      </c>
      <c r="I7957" s="312" t="s">
        <v>3016</v>
      </c>
      <c r="J7957" s="312" t="s">
        <v>1031</v>
      </c>
      <c r="K7957" s="312" t="s">
        <v>1032</v>
      </c>
    </row>
    <row r="7958" spans="1:11" ht="25.5" customHeight="1" x14ac:dyDescent="0.3">
      <c r="A7958" s="313" t="s">
        <v>1033</v>
      </c>
      <c r="B7958" s="315" t="s">
        <v>5126</v>
      </c>
      <c r="C7958" s="313" t="s">
        <v>395</v>
      </c>
      <c r="D7958" s="313" t="s">
        <v>5127</v>
      </c>
      <c r="E7958" s="603" t="s">
        <v>1036</v>
      </c>
      <c r="F7958" s="603"/>
      <c r="G7958" s="314" t="s">
        <v>6</v>
      </c>
      <c r="H7958" s="399">
        <v>1</v>
      </c>
      <c r="I7958" s="316"/>
      <c r="J7958" s="316">
        <v>0.13</v>
      </c>
      <c r="K7958" s="316">
        <v>0.13</v>
      </c>
    </row>
    <row r="7959" spans="1:11" ht="14.25" customHeight="1" x14ac:dyDescent="0.3">
      <c r="A7959" s="400" t="s">
        <v>1038</v>
      </c>
      <c r="B7959" s="401" t="s">
        <v>4572</v>
      </c>
      <c r="C7959" s="400" t="s">
        <v>395</v>
      </c>
      <c r="D7959" s="400" t="s">
        <v>4573</v>
      </c>
      <c r="E7959" s="605" t="s">
        <v>1053</v>
      </c>
      <c r="F7959" s="605"/>
      <c r="G7959" s="402" t="s">
        <v>6</v>
      </c>
      <c r="H7959" s="403">
        <v>4.1000000000000003E-3</v>
      </c>
      <c r="I7959" s="403">
        <v>0</v>
      </c>
      <c r="J7959" s="404">
        <v>30.61</v>
      </c>
      <c r="K7959" s="404">
        <v>0.125501</v>
      </c>
    </row>
    <row r="7960" spans="1:11" ht="15" x14ac:dyDescent="0.3">
      <c r="A7960" s="405"/>
      <c r="B7960" s="405"/>
      <c r="C7960" s="405"/>
      <c r="D7960" s="405"/>
      <c r="E7960" s="405" t="s">
        <v>1046</v>
      </c>
      <c r="F7960" s="406">
        <v>0.13</v>
      </c>
      <c r="G7960" s="405" t="s">
        <v>1047</v>
      </c>
      <c r="H7960" s="406">
        <v>0</v>
      </c>
      <c r="I7960" s="405" t="s">
        <v>1048</v>
      </c>
      <c r="J7960" s="406">
        <v>0.13</v>
      </c>
      <c r="K7960"/>
    </row>
    <row r="7961" spans="1:11" ht="14.25" customHeight="1" thickBot="1" x14ac:dyDescent="0.35">
      <c r="A7961" s="405"/>
      <c r="B7961" s="405"/>
      <c r="C7961" s="405"/>
      <c r="D7961" s="405"/>
      <c r="E7961" s="405" t="s">
        <v>1049</v>
      </c>
      <c r="F7961" s="406">
        <v>0</v>
      </c>
      <c r="G7961" s="405"/>
      <c r="H7961" s="606"/>
      <c r="I7961" s="606" t="s">
        <v>1050</v>
      </c>
      <c r="J7961" s="406">
        <v>0.13</v>
      </c>
      <c r="K7961"/>
    </row>
    <row r="7962" spans="1:11" ht="12.75" customHeight="1" thickTop="1" x14ac:dyDescent="0.3">
      <c r="A7962" s="407"/>
      <c r="B7962" s="407"/>
      <c r="C7962" s="407"/>
      <c r="D7962" s="407"/>
      <c r="E7962" s="407"/>
      <c r="F7962" s="407"/>
      <c r="G7962" s="407"/>
      <c r="H7962" s="407"/>
      <c r="I7962" s="407"/>
      <c r="J7962" s="407"/>
      <c r="K7962"/>
    </row>
    <row r="7963" spans="1:11" ht="12.75" customHeight="1" x14ac:dyDescent="0.3">
      <c r="A7963" s="382"/>
      <c r="B7963" s="312" t="s">
        <v>413</v>
      </c>
      <c r="C7963" s="382" t="s">
        <v>414</v>
      </c>
      <c r="D7963" s="382" t="s">
        <v>415</v>
      </c>
      <c r="E7963" s="586" t="s">
        <v>1029</v>
      </c>
      <c r="F7963" s="586"/>
      <c r="G7963" s="383" t="s">
        <v>416</v>
      </c>
      <c r="H7963" s="312" t="s">
        <v>1030</v>
      </c>
      <c r="I7963" s="312" t="s">
        <v>3016</v>
      </c>
      <c r="J7963" s="312" t="s">
        <v>1031</v>
      </c>
      <c r="K7963" s="312" t="s">
        <v>1032</v>
      </c>
    </row>
    <row r="7964" spans="1:11" ht="25.5" customHeight="1" x14ac:dyDescent="0.3">
      <c r="A7964" s="313" t="s">
        <v>1033</v>
      </c>
      <c r="B7964" s="315" t="s">
        <v>5154</v>
      </c>
      <c r="C7964" s="313" t="s">
        <v>395</v>
      </c>
      <c r="D7964" s="313" t="s">
        <v>7790</v>
      </c>
      <c r="E7964" s="603" t="s">
        <v>7791</v>
      </c>
      <c r="F7964" s="603"/>
      <c r="G7964" s="314" t="s">
        <v>4</v>
      </c>
      <c r="H7964" s="399">
        <v>1</v>
      </c>
      <c r="I7964" s="316"/>
      <c r="J7964" s="316">
        <v>28.2</v>
      </c>
      <c r="K7964" s="316">
        <v>28.2</v>
      </c>
    </row>
    <row r="7965" spans="1:11" ht="14.25" customHeight="1" x14ac:dyDescent="0.3">
      <c r="A7965" s="408" t="s">
        <v>1034</v>
      </c>
      <c r="B7965" s="409" t="s">
        <v>1035</v>
      </c>
      <c r="C7965" s="408" t="s">
        <v>395</v>
      </c>
      <c r="D7965" s="408" t="s">
        <v>128</v>
      </c>
      <c r="E7965" s="604" t="s">
        <v>7768</v>
      </c>
      <c r="F7965" s="604"/>
      <c r="G7965" s="410" t="s">
        <v>6</v>
      </c>
      <c r="H7965" s="412">
        <v>0.12714</v>
      </c>
      <c r="I7965" s="412">
        <v>0</v>
      </c>
      <c r="J7965" s="411">
        <v>34.5</v>
      </c>
      <c r="K7965" s="411">
        <v>4.3863300000000001</v>
      </c>
    </row>
    <row r="7966" spans="1:11" ht="25.5" customHeight="1" x14ac:dyDescent="0.3">
      <c r="A7966" s="408" t="s">
        <v>1034</v>
      </c>
      <c r="B7966" s="409" t="s">
        <v>1037</v>
      </c>
      <c r="C7966" s="408" t="s">
        <v>395</v>
      </c>
      <c r="D7966" s="408" t="s">
        <v>135</v>
      </c>
      <c r="E7966" s="604" t="s">
        <v>7768</v>
      </c>
      <c r="F7966" s="604"/>
      <c r="G7966" s="410" t="s">
        <v>6</v>
      </c>
      <c r="H7966" s="412">
        <v>0.12714</v>
      </c>
      <c r="I7966" s="412">
        <v>0</v>
      </c>
      <c r="J7966" s="411">
        <v>41.81</v>
      </c>
      <c r="K7966" s="411">
        <v>5.3157234000000004</v>
      </c>
    </row>
    <row r="7967" spans="1:11" ht="25.5" customHeight="1" x14ac:dyDescent="0.3">
      <c r="A7967" s="400" t="s">
        <v>1038</v>
      </c>
      <c r="B7967" s="401" t="s">
        <v>4326</v>
      </c>
      <c r="C7967" s="400" t="s">
        <v>395</v>
      </c>
      <c r="D7967" s="400" t="s">
        <v>4327</v>
      </c>
      <c r="E7967" s="605" t="s">
        <v>1039</v>
      </c>
      <c r="F7967" s="605"/>
      <c r="G7967" s="402" t="s">
        <v>4</v>
      </c>
      <c r="H7967" s="403">
        <v>1</v>
      </c>
      <c r="I7967" s="403">
        <v>0</v>
      </c>
      <c r="J7967" s="404">
        <v>1.73</v>
      </c>
      <c r="K7967" s="404">
        <v>1.73</v>
      </c>
    </row>
    <row r="7968" spans="1:11" ht="25.5" customHeight="1" x14ac:dyDescent="0.3">
      <c r="A7968" s="400" t="s">
        <v>1038</v>
      </c>
      <c r="B7968" s="401" t="s">
        <v>4793</v>
      </c>
      <c r="C7968" s="400" t="s">
        <v>395</v>
      </c>
      <c r="D7968" s="400" t="s">
        <v>4794</v>
      </c>
      <c r="E7968" s="605" t="s">
        <v>1039</v>
      </c>
      <c r="F7968" s="605"/>
      <c r="G7968" s="402" t="s">
        <v>4</v>
      </c>
      <c r="H7968" s="403">
        <v>1</v>
      </c>
      <c r="I7968" s="403">
        <v>0</v>
      </c>
      <c r="J7968" s="404">
        <v>16.77</v>
      </c>
      <c r="K7968" s="404">
        <v>16.77</v>
      </c>
    </row>
    <row r="7969" spans="1:11" ht="12.75" customHeight="1" x14ac:dyDescent="0.3">
      <c r="A7969" s="405"/>
      <c r="B7969" s="405"/>
      <c r="C7969" s="405"/>
      <c r="D7969" s="405"/>
      <c r="E7969" s="405" t="s">
        <v>1046</v>
      </c>
      <c r="F7969" s="406">
        <v>7.07</v>
      </c>
      <c r="G7969" s="405" t="s">
        <v>1047</v>
      </c>
      <c r="H7969" s="406">
        <v>0</v>
      </c>
      <c r="I7969" s="405" t="s">
        <v>1048</v>
      </c>
      <c r="J7969" s="406">
        <v>7.07</v>
      </c>
      <c r="K7969"/>
    </row>
    <row r="7970" spans="1:11" ht="25.5" customHeight="1" thickBot="1" x14ac:dyDescent="0.35">
      <c r="A7970" s="405"/>
      <c r="B7970" s="405"/>
      <c r="C7970" s="405"/>
      <c r="D7970" s="405"/>
      <c r="E7970" s="405" t="s">
        <v>1049</v>
      </c>
      <c r="F7970" s="406">
        <v>0</v>
      </c>
      <c r="G7970" s="405"/>
      <c r="H7970" s="606"/>
      <c r="I7970" s="606" t="s">
        <v>1050</v>
      </c>
      <c r="J7970" s="406">
        <v>28.2</v>
      </c>
      <c r="K7970"/>
    </row>
    <row r="7971" spans="1:11" ht="25.5" customHeight="1" thickTop="1" x14ac:dyDescent="0.3">
      <c r="A7971" s="407"/>
      <c r="B7971" s="407"/>
      <c r="C7971" s="407"/>
      <c r="D7971" s="407"/>
      <c r="E7971" s="407"/>
      <c r="F7971" s="407"/>
      <c r="G7971" s="407"/>
      <c r="H7971" s="407"/>
      <c r="I7971" s="407"/>
      <c r="J7971" s="407"/>
      <c r="K7971"/>
    </row>
    <row r="7972" spans="1:11" ht="25.5" customHeight="1" x14ac:dyDescent="0.3">
      <c r="A7972" s="382"/>
      <c r="B7972" s="312" t="s">
        <v>413</v>
      </c>
      <c r="C7972" s="382" t="s">
        <v>414</v>
      </c>
      <c r="D7972" s="382" t="s">
        <v>415</v>
      </c>
      <c r="E7972" s="586" t="s">
        <v>1029</v>
      </c>
      <c r="F7972" s="586"/>
      <c r="G7972" s="383" t="s">
        <v>416</v>
      </c>
      <c r="H7972" s="312" t="s">
        <v>1030</v>
      </c>
      <c r="I7972" s="312" t="s">
        <v>3016</v>
      </c>
      <c r="J7972" s="312" t="s">
        <v>1031</v>
      </c>
      <c r="K7972" s="312" t="s">
        <v>1032</v>
      </c>
    </row>
    <row r="7973" spans="1:11" ht="14.25" customHeight="1" x14ac:dyDescent="0.3">
      <c r="A7973" s="313" t="s">
        <v>1033</v>
      </c>
      <c r="B7973" s="315" t="s">
        <v>1037</v>
      </c>
      <c r="C7973" s="313" t="s">
        <v>395</v>
      </c>
      <c r="D7973" s="313" t="s">
        <v>135</v>
      </c>
      <c r="E7973" s="603" t="s">
        <v>7768</v>
      </c>
      <c r="F7973" s="603"/>
      <c r="G7973" s="314" t="s">
        <v>6</v>
      </c>
      <c r="H7973" s="399">
        <v>1</v>
      </c>
      <c r="I7973" s="316"/>
      <c r="J7973" s="316">
        <v>41.81</v>
      </c>
      <c r="K7973" s="316">
        <v>41.81</v>
      </c>
    </row>
    <row r="7974" spans="1:11" ht="14.25" customHeight="1" x14ac:dyDescent="0.3">
      <c r="A7974" s="408" t="s">
        <v>1034</v>
      </c>
      <c r="B7974" s="409" t="s">
        <v>8096</v>
      </c>
      <c r="C7974" s="408" t="s">
        <v>395</v>
      </c>
      <c r="D7974" s="408" t="s">
        <v>8097</v>
      </c>
      <c r="E7974" s="604" t="s">
        <v>7768</v>
      </c>
      <c r="F7974" s="604"/>
      <c r="G7974" s="410" t="s">
        <v>6</v>
      </c>
      <c r="H7974" s="412">
        <v>1</v>
      </c>
      <c r="I7974" s="412">
        <v>0</v>
      </c>
      <c r="J7974" s="411">
        <v>1.1299999999999999</v>
      </c>
      <c r="K7974" s="411">
        <v>1.1299999999999999</v>
      </c>
    </row>
    <row r="7975" spans="1:11" ht="25.5" customHeight="1" x14ac:dyDescent="0.3">
      <c r="A7975" s="400" t="s">
        <v>1038</v>
      </c>
      <c r="B7975" s="401" t="s">
        <v>1074</v>
      </c>
      <c r="C7975" s="400" t="s">
        <v>395</v>
      </c>
      <c r="D7975" s="400" t="s">
        <v>404</v>
      </c>
      <c r="E7975" s="605" t="s">
        <v>1053</v>
      </c>
      <c r="F7975" s="605"/>
      <c r="G7975" s="402" t="s">
        <v>6</v>
      </c>
      <c r="H7975" s="403">
        <v>1</v>
      </c>
      <c r="I7975" s="403">
        <v>0</v>
      </c>
      <c r="J7975" s="404">
        <v>30.36</v>
      </c>
      <c r="K7975" s="404">
        <v>30.36</v>
      </c>
    </row>
    <row r="7976" spans="1:11" ht="15" x14ac:dyDescent="0.3">
      <c r="A7976" s="400" t="s">
        <v>1038</v>
      </c>
      <c r="B7976" s="401" t="s">
        <v>4028</v>
      </c>
      <c r="C7976" s="400" t="s">
        <v>395</v>
      </c>
      <c r="D7976" s="400" t="s">
        <v>4029</v>
      </c>
      <c r="E7976" s="605" t="s">
        <v>4030</v>
      </c>
      <c r="F7976" s="605"/>
      <c r="G7976" s="402" t="s">
        <v>6</v>
      </c>
      <c r="H7976" s="403">
        <v>1</v>
      </c>
      <c r="I7976" s="403">
        <v>0</v>
      </c>
      <c r="J7976" s="404">
        <v>4.78</v>
      </c>
      <c r="K7976" s="404">
        <v>4.78</v>
      </c>
    </row>
    <row r="7977" spans="1:11" ht="12.75" customHeight="1" x14ac:dyDescent="0.3">
      <c r="A7977" s="400" t="s">
        <v>1038</v>
      </c>
      <c r="B7977" s="401" t="s">
        <v>4066</v>
      </c>
      <c r="C7977" s="400" t="s">
        <v>395</v>
      </c>
      <c r="D7977" s="400" t="s">
        <v>4067</v>
      </c>
      <c r="E7977" s="605" t="s">
        <v>2381</v>
      </c>
      <c r="F7977" s="605"/>
      <c r="G7977" s="402" t="s">
        <v>6</v>
      </c>
      <c r="H7977" s="403">
        <v>1</v>
      </c>
      <c r="I7977" s="403">
        <v>0</v>
      </c>
      <c r="J7977" s="404">
        <v>1.72</v>
      </c>
      <c r="K7977" s="404">
        <v>1.72</v>
      </c>
    </row>
    <row r="7978" spans="1:11" ht="12.75" customHeight="1" x14ac:dyDescent="0.3">
      <c r="A7978" s="400" t="s">
        <v>1038</v>
      </c>
      <c r="B7978" s="401" t="s">
        <v>4078</v>
      </c>
      <c r="C7978" s="400" t="s">
        <v>395</v>
      </c>
      <c r="D7978" s="400" t="s">
        <v>4079</v>
      </c>
      <c r="E7978" s="605" t="s">
        <v>4030</v>
      </c>
      <c r="F7978" s="605"/>
      <c r="G7978" s="402" t="s">
        <v>6</v>
      </c>
      <c r="H7978" s="403">
        <v>1</v>
      </c>
      <c r="I7978" s="403">
        <v>0</v>
      </c>
      <c r="J7978" s="404">
        <v>1.25</v>
      </c>
      <c r="K7978" s="404">
        <v>1.25</v>
      </c>
    </row>
    <row r="7979" spans="1:11" ht="25.5" customHeight="1" x14ac:dyDescent="0.3">
      <c r="A7979" s="400" t="s">
        <v>1038</v>
      </c>
      <c r="B7979" s="401" t="s">
        <v>4274</v>
      </c>
      <c r="C7979" s="400" t="s">
        <v>395</v>
      </c>
      <c r="D7979" s="400" t="s">
        <v>4275</v>
      </c>
      <c r="E7979" s="605" t="s">
        <v>2386</v>
      </c>
      <c r="F7979" s="605"/>
      <c r="G7979" s="402" t="s">
        <v>6</v>
      </c>
      <c r="H7979" s="403">
        <v>1</v>
      </c>
      <c r="I7979" s="403">
        <v>0</v>
      </c>
      <c r="J7979" s="404">
        <v>0.11</v>
      </c>
      <c r="K7979" s="404">
        <v>0.11</v>
      </c>
    </row>
    <row r="7980" spans="1:11" ht="25.5" customHeight="1" x14ac:dyDescent="0.3">
      <c r="A7980" s="400" t="s">
        <v>1038</v>
      </c>
      <c r="B7980" s="401" t="s">
        <v>4148</v>
      </c>
      <c r="C7980" s="400" t="s">
        <v>395</v>
      </c>
      <c r="D7980" s="400" t="s">
        <v>4149</v>
      </c>
      <c r="E7980" s="605" t="s">
        <v>1317</v>
      </c>
      <c r="F7980" s="605"/>
      <c r="G7980" s="402" t="s">
        <v>6</v>
      </c>
      <c r="H7980" s="403">
        <v>1</v>
      </c>
      <c r="I7980" s="403">
        <v>0</v>
      </c>
      <c r="J7980" s="404">
        <v>0.86</v>
      </c>
      <c r="K7980" s="404">
        <v>0.86</v>
      </c>
    </row>
    <row r="7981" spans="1:11" ht="25.5" customHeight="1" x14ac:dyDescent="0.3">
      <c r="A7981" s="400" t="s">
        <v>1038</v>
      </c>
      <c r="B7981" s="401" t="s">
        <v>4116</v>
      </c>
      <c r="C7981" s="400" t="s">
        <v>395</v>
      </c>
      <c r="D7981" s="400" t="s">
        <v>4117</v>
      </c>
      <c r="E7981" s="605" t="s">
        <v>1317</v>
      </c>
      <c r="F7981" s="605"/>
      <c r="G7981" s="402" t="s">
        <v>6</v>
      </c>
      <c r="H7981" s="403">
        <v>1</v>
      </c>
      <c r="I7981" s="403">
        <v>0</v>
      </c>
      <c r="J7981" s="404">
        <v>1.6</v>
      </c>
      <c r="K7981" s="404">
        <v>1.6</v>
      </c>
    </row>
    <row r="7982" spans="1:11" ht="14.25" customHeight="1" x14ac:dyDescent="0.3">
      <c r="A7982" s="405"/>
      <c r="B7982" s="405"/>
      <c r="C7982" s="405"/>
      <c r="D7982" s="405"/>
      <c r="E7982" s="405" t="s">
        <v>1046</v>
      </c>
      <c r="F7982" s="406">
        <v>31.49</v>
      </c>
      <c r="G7982" s="405" t="s">
        <v>1047</v>
      </c>
      <c r="H7982" s="406">
        <v>0</v>
      </c>
      <c r="I7982" s="405" t="s">
        <v>1048</v>
      </c>
      <c r="J7982" s="406">
        <v>31.49</v>
      </c>
      <c r="K7982"/>
    </row>
    <row r="7983" spans="1:11" ht="25.5" customHeight="1" thickBot="1" x14ac:dyDescent="0.35">
      <c r="A7983" s="405"/>
      <c r="B7983" s="405"/>
      <c r="C7983" s="405"/>
      <c r="D7983" s="405"/>
      <c r="E7983" s="405" t="s">
        <v>1049</v>
      </c>
      <c r="F7983" s="406">
        <v>0</v>
      </c>
      <c r="G7983" s="405"/>
      <c r="H7983" s="606"/>
      <c r="I7983" s="606" t="s">
        <v>1050</v>
      </c>
      <c r="J7983" s="406">
        <v>41.81</v>
      </c>
      <c r="K7983"/>
    </row>
    <row r="7984" spans="1:11" ht="25.5" customHeight="1" thickTop="1" x14ac:dyDescent="0.3">
      <c r="A7984" s="407"/>
      <c r="B7984" s="407"/>
      <c r="C7984" s="407"/>
      <c r="D7984" s="407"/>
      <c r="E7984" s="407"/>
      <c r="F7984" s="407"/>
      <c r="G7984" s="407"/>
      <c r="H7984" s="407"/>
      <c r="I7984" s="407"/>
      <c r="J7984" s="407"/>
      <c r="K7984"/>
    </row>
    <row r="7985" spans="1:11" ht="15" x14ac:dyDescent="0.3">
      <c r="A7985" s="382"/>
      <c r="B7985" s="312" t="s">
        <v>413</v>
      </c>
      <c r="C7985" s="382" t="s">
        <v>414</v>
      </c>
      <c r="D7985" s="382" t="s">
        <v>415</v>
      </c>
      <c r="E7985" s="586" t="s">
        <v>1029</v>
      </c>
      <c r="F7985" s="586"/>
      <c r="G7985" s="383" t="s">
        <v>416</v>
      </c>
      <c r="H7985" s="312" t="s">
        <v>1030</v>
      </c>
      <c r="I7985" s="312" t="s">
        <v>3016</v>
      </c>
      <c r="J7985" s="312" t="s">
        <v>1031</v>
      </c>
      <c r="K7985" s="312" t="s">
        <v>1032</v>
      </c>
    </row>
    <row r="7986" spans="1:11" ht="15" x14ac:dyDescent="0.3">
      <c r="A7986" s="313" t="s">
        <v>1033</v>
      </c>
      <c r="B7986" s="315" t="s">
        <v>1110</v>
      </c>
      <c r="C7986" s="313" t="s">
        <v>439</v>
      </c>
      <c r="D7986" s="313" t="s">
        <v>135</v>
      </c>
      <c r="E7986" s="603" t="s">
        <v>781</v>
      </c>
      <c r="F7986" s="603"/>
      <c r="G7986" s="314" t="s">
        <v>1109</v>
      </c>
      <c r="H7986" s="399">
        <v>1</v>
      </c>
      <c r="I7986" s="316"/>
      <c r="J7986" s="316">
        <v>33.950000000000003</v>
      </c>
      <c r="K7986" s="316">
        <v>33.950000000000003</v>
      </c>
    </row>
    <row r="7987" spans="1:11" ht="12.75" customHeight="1" x14ac:dyDescent="0.3">
      <c r="A7987" s="400" t="s">
        <v>1038</v>
      </c>
      <c r="B7987" s="401" t="s">
        <v>6625</v>
      </c>
      <c r="C7987" s="400" t="s">
        <v>439</v>
      </c>
      <c r="D7987" s="400" t="s">
        <v>1093</v>
      </c>
      <c r="E7987" s="605" t="s">
        <v>1053</v>
      </c>
      <c r="F7987" s="605"/>
      <c r="G7987" s="402" t="s">
        <v>6</v>
      </c>
      <c r="H7987" s="403">
        <v>1</v>
      </c>
      <c r="I7987" s="403">
        <v>0</v>
      </c>
      <c r="J7987" s="404">
        <v>25.8611</v>
      </c>
      <c r="K7987" s="404">
        <v>25.8611</v>
      </c>
    </row>
    <row r="7988" spans="1:11" ht="26.4" x14ac:dyDescent="0.3">
      <c r="A7988" s="400" t="s">
        <v>1038</v>
      </c>
      <c r="B7988" s="401" t="s">
        <v>7004</v>
      </c>
      <c r="C7988" s="400" t="s">
        <v>439</v>
      </c>
      <c r="D7988" s="400" t="s">
        <v>4618</v>
      </c>
      <c r="E7988" s="605" t="s">
        <v>1039</v>
      </c>
      <c r="F7988" s="605"/>
      <c r="G7988" s="402" t="s">
        <v>1109</v>
      </c>
      <c r="H7988" s="403">
        <v>1</v>
      </c>
      <c r="I7988" s="403">
        <v>0</v>
      </c>
      <c r="J7988" s="404">
        <v>2.41</v>
      </c>
      <c r="K7988" s="404">
        <v>2.41</v>
      </c>
    </row>
    <row r="7989" spans="1:11" ht="15" x14ac:dyDescent="0.3">
      <c r="A7989" s="400" t="s">
        <v>1038</v>
      </c>
      <c r="B7989" s="401" t="s">
        <v>7092</v>
      </c>
      <c r="C7989" s="400" t="s">
        <v>439</v>
      </c>
      <c r="D7989" s="400" t="s">
        <v>4716</v>
      </c>
      <c r="E7989" s="605" t="s">
        <v>1039</v>
      </c>
      <c r="F7989" s="605"/>
      <c r="G7989" s="402" t="s">
        <v>1109</v>
      </c>
      <c r="H7989" s="403">
        <v>1</v>
      </c>
      <c r="I7989" s="403">
        <v>0</v>
      </c>
      <c r="J7989" s="404">
        <v>1.57</v>
      </c>
      <c r="K7989" s="404">
        <v>1.57</v>
      </c>
    </row>
    <row r="7990" spans="1:11" ht="15" x14ac:dyDescent="0.3">
      <c r="A7990" s="400" t="s">
        <v>1038</v>
      </c>
      <c r="B7990" s="401" t="s">
        <v>7598</v>
      </c>
      <c r="C7990" s="400" t="s">
        <v>439</v>
      </c>
      <c r="D7990" s="400" t="s">
        <v>4974</v>
      </c>
      <c r="E7990" s="605" t="s">
        <v>1039</v>
      </c>
      <c r="F7990" s="605"/>
      <c r="G7990" s="402" t="s">
        <v>1109</v>
      </c>
      <c r="H7990" s="403">
        <v>1</v>
      </c>
      <c r="I7990" s="403">
        <v>0</v>
      </c>
      <c r="J7990" s="404">
        <v>0.11</v>
      </c>
      <c r="K7990" s="404">
        <v>0.11</v>
      </c>
    </row>
    <row r="7991" spans="1:11" ht="12.75" customHeight="1" x14ac:dyDescent="0.3">
      <c r="A7991" s="400" t="s">
        <v>1038</v>
      </c>
      <c r="B7991" s="401" t="s">
        <v>7233</v>
      </c>
      <c r="C7991" s="400" t="s">
        <v>439</v>
      </c>
      <c r="D7991" s="400" t="s">
        <v>4723</v>
      </c>
      <c r="E7991" s="605" t="s">
        <v>1039</v>
      </c>
      <c r="F7991" s="605"/>
      <c r="G7991" s="402" t="s">
        <v>1109</v>
      </c>
      <c r="H7991" s="403">
        <v>1</v>
      </c>
      <c r="I7991" s="403">
        <v>0</v>
      </c>
      <c r="J7991" s="404">
        <v>0.9</v>
      </c>
      <c r="K7991" s="404">
        <v>0.9</v>
      </c>
    </row>
    <row r="7992" spans="1:11" ht="26.4" x14ac:dyDescent="0.3">
      <c r="A7992" s="400" t="s">
        <v>1038</v>
      </c>
      <c r="B7992" s="401" t="s">
        <v>4902</v>
      </c>
      <c r="C7992" s="400" t="s">
        <v>439</v>
      </c>
      <c r="D7992" s="400" t="s">
        <v>4903</v>
      </c>
      <c r="E7992" s="605" t="s">
        <v>2381</v>
      </c>
      <c r="F7992" s="605"/>
      <c r="G7992" s="402" t="s">
        <v>1109</v>
      </c>
      <c r="H7992" s="403">
        <v>1</v>
      </c>
      <c r="I7992" s="403">
        <v>0</v>
      </c>
      <c r="J7992" s="404">
        <v>0.75</v>
      </c>
      <c r="K7992" s="404">
        <v>0.75</v>
      </c>
    </row>
    <row r="7993" spans="1:11" ht="15" x14ac:dyDescent="0.3">
      <c r="A7993" s="400" t="s">
        <v>1038</v>
      </c>
      <c r="B7993" s="401" t="s">
        <v>4830</v>
      </c>
      <c r="C7993" s="400" t="s">
        <v>439</v>
      </c>
      <c r="D7993" s="400" t="s">
        <v>4831</v>
      </c>
      <c r="E7993" s="605" t="s">
        <v>2381</v>
      </c>
      <c r="F7993" s="605"/>
      <c r="G7993" s="402" t="s">
        <v>1109</v>
      </c>
      <c r="H7993" s="403">
        <v>1</v>
      </c>
      <c r="I7993" s="403">
        <v>0</v>
      </c>
      <c r="J7993" s="404">
        <v>1.36</v>
      </c>
      <c r="K7993" s="404">
        <v>1.36</v>
      </c>
    </row>
    <row r="7994" spans="1:11" ht="26.4" x14ac:dyDescent="0.3">
      <c r="A7994" s="400" t="s">
        <v>1038</v>
      </c>
      <c r="B7994" s="401" t="s">
        <v>4868</v>
      </c>
      <c r="C7994" s="400" t="s">
        <v>439</v>
      </c>
      <c r="D7994" s="400" t="s">
        <v>4869</v>
      </c>
      <c r="E7994" s="605" t="s">
        <v>2381</v>
      </c>
      <c r="F7994" s="605"/>
      <c r="G7994" s="402" t="s">
        <v>1109</v>
      </c>
      <c r="H7994" s="403">
        <v>1</v>
      </c>
      <c r="I7994" s="403">
        <v>0</v>
      </c>
      <c r="J7994" s="404">
        <v>0.99</v>
      </c>
      <c r="K7994" s="404">
        <v>0.99</v>
      </c>
    </row>
    <row r="7995" spans="1:11" ht="15" x14ac:dyDescent="0.3">
      <c r="A7995" s="405"/>
      <c r="B7995" s="405"/>
      <c r="C7995" s="405"/>
      <c r="D7995" s="405"/>
      <c r="E7995" s="405" t="s">
        <v>1046</v>
      </c>
      <c r="F7995" s="406">
        <v>25.86</v>
      </c>
      <c r="G7995" s="405" t="s">
        <v>1047</v>
      </c>
      <c r="H7995" s="406">
        <v>0</v>
      </c>
      <c r="I7995" s="405" t="s">
        <v>1048</v>
      </c>
      <c r="J7995" s="406">
        <v>25.86</v>
      </c>
      <c r="K7995"/>
    </row>
    <row r="7996" spans="1:11" ht="15.6" thickBot="1" x14ac:dyDescent="0.35">
      <c r="A7996" s="405"/>
      <c r="B7996" s="405"/>
      <c r="C7996" s="405"/>
      <c r="D7996" s="405"/>
      <c r="E7996" s="405" t="s">
        <v>1049</v>
      </c>
      <c r="F7996" s="406">
        <v>0</v>
      </c>
      <c r="G7996" s="405"/>
      <c r="H7996" s="606"/>
      <c r="I7996" s="606" t="s">
        <v>1050</v>
      </c>
      <c r="J7996" s="406">
        <v>33.950000000000003</v>
      </c>
      <c r="K7996"/>
    </row>
    <row r="7997" spans="1:11" ht="14.25" customHeight="1" thickTop="1" x14ac:dyDescent="0.3">
      <c r="A7997" s="407"/>
      <c r="B7997" s="407"/>
      <c r="C7997" s="407"/>
      <c r="D7997" s="407"/>
      <c r="E7997" s="407"/>
      <c r="F7997" s="407"/>
      <c r="G7997" s="407"/>
      <c r="H7997" s="407"/>
      <c r="I7997" s="407"/>
      <c r="J7997" s="407"/>
      <c r="K7997"/>
    </row>
    <row r="7998" spans="1:11" ht="17.399999999999999" customHeight="1" x14ac:dyDescent="0.3">
      <c r="A7998" s="382"/>
      <c r="B7998" s="312" t="s">
        <v>413</v>
      </c>
      <c r="C7998" s="382" t="s">
        <v>414</v>
      </c>
      <c r="D7998" s="382" t="s">
        <v>415</v>
      </c>
      <c r="E7998" s="586" t="s">
        <v>1029</v>
      </c>
      <c r="F7998" s="586"/>
      <c r="G7998" s="383" t="s">
        <v>416</v>
      </c>
      <c r="H7998" s="312" t="s">
        <v>1030</v>
      </c>
      <c r="I7998" s="312" t="s">
        <v>3016</v>
      </c>
      <c r="J7998" s="312" t="s">
        <v>1031</v>
      </c>
      <c r="K7998" s="312" t="s">
        <v>1032</v>
      </c>
    </row>
    <row r="7999" spans="1:11" ht="15" x14ac:dyDescent="0.3">
      <c r="A7999" s="313" t="s">
        <v>1033</v>
      </c>
      <c r="B7999" s="315" t="s">
        <v>8160</v>
      </c>
      <c r="C7999" s="313" t="s">
        <v>439</v>
      </c>
      <c r="D7999" s="313" t="s">
        <v>135</v>
      </c>
      <c r="E7999" s="603" t="s">
        <v>7770</v>
      </c>
      <c r="F7999" s="603"/>
      <c r="G7999" s="314" t="s">
        <v>1109</v>
      </c>
      <c r="H7999" s="399">
        <v>1</v>
      </c>
      <c r="I7999" s="316"/>
      <c r="J7999" s="316">
        <v>34.11</v>
      </c>
      <c r="K7999" s="316">
        <v>34.11</v>
      </c>
    </row>
    <row r="8000" spans="1:11" ht="15" x14ac:dyDescent="0.3">
      <c r="A8000" s="586" t="s">
        <v>3312</v>
      </c>
      <c r="B8000" s="584" t="s">
        <v>413</v>
      </c>
      <c r="C8000" s="586" t="s">
        <v>414</v>
      </c>
      <c r="D8000" s="586" t="s">
        <v>7901</v>
      </c>
      <c r="E8000" s="585" t="s">
        <v>7902</v>
      </c>
      <c r="F8000" s="584"/>
      <c r="G8000" s="585" t="s">
        <v>7903</v>
      </c>
      <c r="H8000" s="584"/>
      <c r="I8000" s="584" t="s">
        <v>7904</v>
      </c>
      <c r="J8000" s="584" t="s">
        <v>7905</v>
      </c>
      <c r="K8000"/>
    </row>
    <row r="8001" spans="1:11" ht="15" x14ac:dyDescent="0.3">
      <c r="A8001" s="584"/>
      <c r="B8001" s="584"/>
      <c r="C8001" s="584"/>
      <c r="D8001" s="584"/>
      <c r="E8001" s="312" t="s">
        <v>4013</v>
      </c>
      <c r="F8001" s="312" t="s">
        <v>4014</v>
      </c>
      <c r="G8001" s="312" t="s">
        <v>4013</v>
      </c>
      <c r="H8001" s="312" t="s">
        <v>4014</v>
      </c>
      <c r="I8001" s="584"/>
      <c r="J8001" s="584"/>
      <c r="K8001"/>
    </row>
    <row r="8002" spans="1:11" ht="25.5" customHeight="1" x14ac:dyDescent="0.3">
      <c r="A8002" s="581"/>
      <c r="B8002" s="581"/>
      <c r="C8002" s="581"/>
      <c r="D8002" s="581"/>
      <c r="E8002" s="581"/>
      <c r="F8002" s="581" t="s">
        <v>7906</v>
      </c>
      <c r="G8002" s="581"/>
      <c r="H8002" s="581"/>
      <c r="I8002" s="581"/>
      <c r="J8002" s="381">
        <v>0</v>
      </c>
      <c r="K8002"/>
    </row>
    <row r="8003" spans="1:11" ht="25.5" customHeight="1" x14ac:dyDescent="0.3">
      <c r="A8003" s="382" t="s">
        <v>371</v>
      </c>
      <c r="B8003" s="312" t="s">
        <v>413</v>
      </c>
      <c r="C8003" s="382" t="s">
        <v>414</v>
      </c>
      <c r="D8003" s="382" t="s">
        <v>1053</v>
      </c>
      <c r="E8003" s="312"/>
      <c r="F8003" s="584"/>
      <c r="G8003" s="584" t="s">
        <v>7907</v>
      </c>
      <c r="H8003" s="584" t="s">
        <v>7908</v>
      </c>
      <c r="I8003" s="584" t="s">
        <v>7904</v>
      </c>
      <c r="J8003" s="312" t="s">
        <v>7905</v>
      </c>
      <c r="K8003"/>
    </row>
    <row r="8004" spans="1:11" ht="12.75" customHeight="1" x14ac:dyDescent="0.3">
      <c r="A8004" s="400" t="s">
        <v>1038</v>
      </c>
      <c r="B8004" s="401" t="s">
        <v>8095</v>
      </c>
      <c r="C8004" s="400" t="s">
        <v>439</v>
      </c>
      <c r="D8004" s="400" t="s">
        <v>1093</v>
      </c>
      <c r="E8004" s="403"/>
      <c r="F8004" s="400"/>
      <c r="G8004" s="400" t="s">
        <v>6</v>
      </c>
      <c r="H8004" s="400">
        <v>25.86</v>
      </c>
      <c r="I8004" s="404">
        <v>1</v>
      </c>
      <c r="J8004" s="404">
        <v>25.86</v>
      </c>
      <c r="K8004"/>
    </row>
    <row r="8005" spans="1:11" ht="15" x14ac:dyDescent="0.3">
      <c r="A8005" s="581"/>
      <c r="B8005" s="581"/>
      <c r="C8005" s="581"/>
      <c r="D8005" s="581"/>
      <c r="E8005" s="581"/>
      <c r="F8005" s="581" t="s">
        <v>7910</v>
      </c>
      <c r="G8005" s="581"/>
      <c r="H8005" s="581"/>
      <c r="I8005" s="581"/>
      <c r="J8005" s="381">
        <v>25.86</v>
      </c>
      <c r="K8005"/>
    </row>
    <row r="8006" spans="1:11" ht="15" x14ac:dyDescent="0.3">
      <c r="A8006" s="581"/>
      <c r="B8006" s="581"/>
      <c r="C8006" s="581"/>
      <c r="D8006" s="581"/>
      <c r="E8006" s="581"/>
      <c r="F8006" s="581" t="s">
        <v>7911</v>
      </c>
      <c r="G8006" s="581"/>
      <c r="H8006" s="581"/>
      <c r="I8006" s="581"/>
      <c r="J8006" s="381">
        <v>25.86</v>
      </c>
      <c r="K8006"/>
    </row>
    <row r="8007" spans="1:11" ht="15" x14ac:dyDescent="0.3">
      <c r="A8007" s="581"/>
      <c r="B8007" s="581"/>
      <c r="C8007" s="581"/>
      <c r="D8007" s="581"/>
      <c r="E8007" s="581"/>
      <c r="F8007" s="581" t="s">
        <v>7912</v>
      </c>
      <c r="G8007" s="581"/>
      <c r="H8007" s="581"/>
      <c r="I8007" s="581"/>
      <c r="J8007" s="381">
        <v>1</v>
      </c>
      <c r="K8007"/>
    </row>
    <row r="8008" spans="1:11" ht="14.25" customHeight="1" x14ac:dyDescent="0.3">
      <c r="A8008" s="581"/>
      <c r="B8008" s="581"/>
      <c r="C8008" s="581"/>
      <c r="D8008" s="581"/>
      <c r="E8008" s="581"/>
      <c r="F8008" s="581" t="s">
        <v>7913</v>
      </c>
      <c r="G8008" s="581"/>
      <c r="H8008" s="581"/>
      <c r="I8008" s="581"/>
      <c r="J8008" s="381">
        <v>25.86</v>
      </c>
      <c r="K8008"/>
    </row>
    <row r="8009" spans="1:11" ht="25.5" customHeight="1" x14ac:dyDescent="0.3">
      <c r="A8009" s="382" t="s">
        <v>7914</v>
      </c>
      <c r="B8009" s="312" t="s">
        <v>414</v>
      </c>
      <c r="C8009" s="382" t="s">
        <v>413</v>
      </c>
      <c r="D8009" s="382" t="s">
        <v>1039</v>
      </c>
      <c r="E8009" s="312"/>
      <c r="F8009" s="312"/>
      <c r="G8009" s="312" t="s">
        <v>7907</v>
      </c>
      <c r="H8009" s="312" t="s">
        <v>7908</v>
      </c>
      <c r="I8009" s="312" t="s">
        <v>1552</v>
      </c>
      <c r="J8009" s="312" t="s">
        <v>7905</v>
      </c>
      <c r="K8009"/>
    </row>
    <row r="8010" spans="1:11" ht="25.5" customHeight="1" x14ac:dyDescent="0.3">
      <c r="A8010" s="400" t="s">
        <v>1038</v>
      </c>
      <c r="B8010" s="401" t="s">
        <v>439</v>
      </c>
      <c r="C8010" s="400" t="s">
        <v>7915</v>
      </c>
      <c r="D8010" s="400" t="s">
        <v>4618</v>
      </c>
      <c r="E8010" s="400"/>
      <c r="F8010" s="400" t="s">
        <v>7916</v>
      </c>
      <c r="G8010" s="402" t="s">
        <v>1109</v>
      </c>
      <c r="H8010" s="404">
        <v>2.41</v>
      </c>
      <c r="I8010" s="403">
        <v>1</v>
      </c>
      <c r="J8010" s="404">
        <v>2.41</v>
      </c>
      <c r="K8010"/>
    </row>
    <row r="8011" spans="1:11" ht="39.6" x14ac:dyDescent="0.3">
      <c r="A8011" s="400" t="s">
        <v>1038</v>
      </c>
      <c r="B8011" s="401" t="s">
        <v>439</v>
      </c>
      <c r="C8011" s="400" t="s">
        <v>7917</v>
      </c>
      <c r="D8011" s="400" t="s">
        <v>4723</v>
      </c>
      <c r="E8011" s="400"/>
      <c r="F8011" s="400" t="s">
        <v>7916</v>
      </c>
      <c r="G8011" s="402" t="s">
        <v>1109</v>
      </c>
      <c r="H8011" s="404">
        <v>0.9</v>
      </c>
      <c r="I8011" s="403">
        <v>1</v>
      </c>
      <c r="J8011" s="404">
        <v>0.9</v>
      </c>
      <c r="K8011"/>
    </row>
    <row r="8012" spans="1:11" ht="39.6" x14ac:dyDescent="0.3">
      <c r="A8012" s="400" t="s">
        <v>1038</v>
      </c>
      <c r="B8012" s="401" t="s">
        <v>439</v>
      </c>
      <c r="C8012" s="400" t="s">
        <v>7918</v>
      </c>
      <c r="D8012" s="400" t="s">
        <v>4974</v>
      </c>
      <c r="E8012" s="400"/>
      <c r="F8012" s="400" t="s">
        <v>7916</v>
      </c>
      <c r="G8012" s="402" t="s">
        <v>1109</v>
      </c>
      <c r="H8012" s="404">
        <v>0.11</v>
      </c>
      <c r="I8012" s="403">
        <v>1</v>
      </c>
      <c r="J8012" s="404">
        <v>0.11</v>
      </c>
      <c r="K8012"/>
    </row>
    <row r="8013" spans="1:11" ht="12.75" customHeight="1" x14ac:dyDescent="0.3">
      <c r="A8013" s="400" t="s">
        <v>1038</v>
      </c>
      <c r="B8013" s="401" t="s">
        <v>439</v>
      </c>
      <c r="C8013" s="400" t="s">
        <v>7919</v>
      </c>
      <c r="D8013" s="400" t="s">
        <v>4716</v>
      </c>
      <c r="E8013" s="400"/>
      <c r="F8013" s="400" t="s">
        <v>7916</v>
      </c>
      <c r="G8013" s="402" t="s">
        <v>1109</v>
      </c>
      <c r="H8013" s="404">
        <v>1.57</v>
      </c>
      <c r="I8013" s="403">
        <v>1</v>
      </c>
      <c r="J8013" s="404">
        <v>1.57</v>
      </c>
      <c r="K8013"/>
    </row>
    <row r="8014" spans="1:11" ht="15" x14ac:dyDescent="0.3">
      <c r="A8014" s="581"/>
      <c r="B8014" s="581"/>
      <c r="C8014" s="581"/>
      <c r="D8014" s="581"/>
      <c r="E8014" s="581"/>
      <c r="F8014" s="581" t="s">
        <v>7920</v>
      </c>
      <c r="G8014" s="581"/>
      <c r="H8014" s="581"/>
      <c r="I8014" s="581"/>
      <c r="J8014" s="381">
        <v>4.99</v>
      </c>
      <c r="K8014"/>
    </row>
    <row r="8015" spans="1:11" ht="27.6" x14ac:dyDescent="0.3">
      <c r="A8015" s="382" t="s">
        <v>7921</v>
      </c>
      <c r="B8015" s="312" t="s">
        <v>414</v>
      </c>
      <c r="C8015" s="382" t="s">
        <v>413</v>
      </c>
      <c r="D8015" s="382" t="s">
        <v>2381</v>
      </c>
      <c r="E8015" s="312"/>
      <c r="F8015" s="312"/>
      <c r="G8015" s="312" t="s">
        <v>7907</v>
      </c>
      <c r="H8015" s="312" t="s">
        <v>7908</v>
      </c>
      <c r="I8015" s="312" t="s">
        <v>1552</v>
      </c>
      <c r="J8015" s="312" t="s">
        <v>7905</v>
      </c>
      <c r="K8015"/>
    </row>
    <row r="8016" spans="1:11" ht="39.6" x14ac:dyDescent="0.3">
      <c r="A8016" s="408" t="s">
        <v>7922</v>
      </c>
      <c r="B8016" s="409" t="s">
        <v>439</v>
      </c>
      <c r="C8016" s="408" t="s">
        <v>8161</v>
      </c>
      <c r="D8016" s="408" t="s">
        <v>8162</v>
      </c>
      <c r="E8016" s="408"/>
      <c r="F8016" s="408" t="s">
        <v>7916</v>
      </c>
      <c r="G8016" s="410" t="s">
        <v>1109</v>
      </c>
      <c r="H8016" s="411">
        <v>1.34</v>
      </c>
      <c r="I8016" s="412">
        <v>1</v>
      </c>
      <c r="J8016" s="411">
        <v>1.34</v>
      </c>
      <c r="K8016"/>
    </row>
    <row r="8017" spans="1:11" ht="14.25" customHeight="1" x14ac:dyDescent="0.3">
      <c r="A8017" s="408" t="s">
        <v>7922</v>
      </c>
      <c r="B8017" s="409" t="s">
        <v>439</v>
      </c>
      <c r="C8017" s="408" t="s">
        <v>8163</v>
      </c>
      <c r="D8017" s="408" t="s">
        <v>8164</v>
      </c>
      <c r="E8017" s="408"/>
      <c r="F8017" s="408" t="s">
        <v>7916</v>
      </c>
      <c r="G8017" s="410" t="s">
        <v>1109</v>
      </c>
      <c r="H8017" s="411">
        <v>0.96</v>
      </c>
      <c r="I8017" s="412">
        <v>1</v>
      </c>
      <c r="J8017" s="411">
        <v>0.96</v>
      </c>
      <c r="K8017"/>
    </row>
    <row r="8018" spans="1:11" ht="25.5" customHeight="1" x14ac:dyDescent="0.3">
      <c r="A8018" s="408" t="s">
        <v>7922</v>
      </c>
      <c r="B8018" s="409" t="s">
        <v>439</v>
      </c>
      <c r="C8018" s="408" t="s">
        <v>8165</v>
      </c>
      <c r="D8018" s="408" t="s">
        <v>8094</v>
      </c>
      <c r="E8018" s="408"/>
      <c r="F8018" s="408" t="s">
        <v>7916</v>
      </c>
      <c r="G8018" s="410" t="s">
        <v>1109</v>
      </c>
      <c r="H8018" s="411">
        <v>0.96</v>
      </c>
      <c r="I8018" s="412">
        <v>1</v>
      </c>
      <c r="J8018" s="411">
        <v>0.96</v>
      </c>
      <c r="K8018"/>
    </row>
    <row r="8019" spans="1:11" ht="25.5" customHeight="1" x14ac:dyDescent="0.3">
      <c r="A8019" s="581"/>
      <c r="B8019" s="581"/>
      <c r="C8019" s="581"/>
      <c r="D8019" s="581"/>
      <c r="E8019" s="581"/>
      <c r="F8019" s="581" t="s">
        <v>7929</v>
      </c>
      <c r="G8019" s="581"/>
      <c r="H8019" s="581"/>
      <c r="I8019" s="581"/>
      <c r="J8019" s="381">
        <v>3.26</v>
      </c>
      <c r="K8019"/>
    </row>
    <row r="8020" spans="1:11" ht="25.5" customHeight="1" x14ac:dyDescent="0.3">
      <c r="A8020" s="382" t="s">
        <v>6</v>
      </c>
      <c r="B8020" s="312" t="s">
        <v>414</v>
      </c>
      <c r="C8020" s="382" t="s">
        <v>413</v>
      </c>
      <c r="D8020" s="382" t="s">
        <v>7930</v>
      </c>
      <c r="E8020" s="312" t="s">
        <v>7931</v>
      </c>
      <c r="F8020" s="312" t="s">
        <v>7932</v>
      </c>
      <c r="G8020" s="312" t="s">
        <v>7907</v>
      </c>
      <c r="H8020" s="312" t="s">
        <v>7908</v>
      </c>
      <c r="I8020" s="312" t="s">
        <v>1552</v>
      </c>
      <c r="J8020" s="312" t="s">
        <v>7905</v>
      </c>
      <c r="K8020"/>
    </row>
    <row r="8021" spans="1:11" ht="12.75" customHeight="1" x14ac:dyDescent="0.3">
      <c r="A8021" s="581"/>
      <c r="B8021" s="581"/>
      <c r="C8021" s="581"/>
      <c r="D8021" s="581"/>
      <c r="E8021" s="581"/>
      <c r="F8021" s="581" t="s">
        <v>7933</v>
      </c>
      <c r="G8021" s="581"/>
      <c r="H8021" s="581"/>
      <c r="I8021" s="581"/>
      <c r="J8021" s="381">
        <v>0</v>
      </c>
      <c r="K8021"/>
    </row>
    <row r="8022" spans="1:11" ht="25.5" customHeight="1" x14ac:dyDescent="0.3">
      <c r="A8022" s="405"/>
      <c r="B8022" s="405"/>
      <c r="C8022" s="405"/>
      <c r="D8022" s="405"/>
      <c r="E8022" s="405" t="s">
        <v>1046</v>
      </c>
      <c r="F8022" s="406">
        <v>26.826236252000001</v>
      </c>
      <c r="G8022" s="405" t="s">
        <v>1047</v>
      </c>
      <c r="H8022" s="406">
        <v>0</v>
      </c>
      <c r="I8022" s="405" t="s">
        <v>1048</v>
      </c>
      <c r="J8022" s="406">
        <v>26.82</v>
      </c>
      <c r="K8022"/>
    </row>
    <row r="8023" spans="1:11" ht="25.5" customHeight="1" thickBot="1" x14ac:dyDescent="0.35">
      <c r="A8023" s="405"/>
      <c r="B8023" s="405"/>
      <c r="C8023" s="405"/>
      <c r="D8023" s="405"/>
      <c r="E8023" s="405" t="s">
        <v>1049</v>
      </c>
      <c r="F8023" s="406">
        <v>0</v>
      </c>
      <c r="G8023" s="405"/>
      <c r="H8023" s="606"/>
      <c r="I8023" s="606" t="s">
        <v>1050</v>
      </c>
      <c r="J8023" s="406">
        <v>34.11</v>
      </c>
      <c r="K8023"/>
    </row>
    <row r="8024" spans="1:11" ht="14.25" customHeight="1" thickTop="1" x14ac:dyDescent="0.3">
      <c r="A8024" s="407"/>
      <c r="B8024" s="407"/>
      <c r="C8024" s="407"/>
      <c r="D8024" s="407"/>
      <c r="E8024" s="407"/>
      <c r="F8024" s="407"/>
      <c r="G8024" s="407"/>
      <c r="H8024" s="407"/>
      <c r="I8024" s="407"/>
      <c r="J8024" s="407"/>
      <c r="K8024"/>
    </row>
    <row r="8025" spans="1:11" ht="15" x14ac:dyDescent="0.3">
      <c r="A8025" s="382"/>
      <c r="B8025" s="312" t="s">
        <v>413</v>
      </c>
      <c r="C8025" s="382" t="s">
        <v>414</v>
      </c>
      <c r="D8025" s="382" t="s">
        <v>415</v>
      </c>
      <c r="E8025" s="586" t="s">
        <v>1029</v>
      </c>
      <c r="F8025" s="586"/>
      <c r="G8025" s="383" t="s">
        <v>416</v>
      </c>
      <c r="H8025" s="312" t="s">
        <v>1030</v>
      </c>
      <c r="I8025" s="312" t="s">
        <v>3016</v>
      </c>
      <c r="J8025" s="312" t="s">
        <v>1031</v>
      </c>
      <c r="K8025" s="312" t="s">
        <v>1032</v>
      </c>
    </row>
    <row r="8026" spans="1:11" ht="39.6" x14ac:dyDescent="0.3">
      <c r="A8026" s="313" t="s">
        <v>1033</v>
      </c>
      <c r="B8026" s="315" t="s">
        <v>5145</v>
      </c>
      <c r="C8026" s="313" t="s">
        <v>395</v>
      </c>
      <c r="D8026" s="313" t="s">
        <v>7782</v>
      </c>
      <c r="E8026" s="603" t="s">
        <v>7783</v>
      </c>
      <c r="F8026" s="603"/>
      <c r="G8026" s="314" t="s">
        <v>7</v>
      </c>
      <c r="H8026" s="399">
        <v>1</v>
      </c>
      <c r="I8026" s="316"/>
      <c r="J8026" s="316">
        <v>11.7</v>
      </c>
      <c r="K8026" s="316">
        <v>11.7</v>
      </c>
    </row>
    <row r="8027" spans="1:11" ht="25.5" customHeight="1" x14ac:dyDescent="0.3">
      <c r="A8027" s="408" t="s">
        <v>1034</v>
      </c>
      <c r="B8027" s="409" t="s">
        <v>1035</v>
      </c>
      <c r="C8027" s="408" t="s">
        <v>395</v>
      </c>
      <c r="D8027" s="408" t="s">
        <v>128</v>
      </c>
      <c r="E8027" s="604" t="s">
        <v>7768</v>
      </c>
      <c r="F8027" s="604"/>
      <c r="G8027" s="410" t="s">
        <v>6</v>
      </c>
      <c r="H8027" s="412">
        <v>0.105</v>
      </c>
      <c r="I8027" s="412">
        <v>0</v>
      </c>
      <c r="J8027" s="411">
        <v>34.5</v>
      </c>
      <c r="K8027" s="411">
        <v>3.6225000000000001</v>
      </c>
    </row>
    <row r="8028" spans="1:11" ht="14.25" customHeight="1" x14ac:dyDescent="0.3">
      <c r="A8028" s="408" t="s">
        <v>1034</v>
      </c>
      <c r="B8028" s="409" t="s">
        <v>1037</v>
      </c>
      <c r="C8028" s="408" t="s">
        <v>395</v>
      </c>
      <c r="D8028" s="408" t="s">
        <v>135</v>
      </c>
      <c r="E8028" s="604" t="s">
        <v>7768</v>
      </c>
      <c r="F8028" s="604"/>
      <c r="G8028" s="410" t="s">
        <v>6</v>
      </c>
      <c r="H8028" s="412">
        <v>0.105</v>
      </c>
      <c r="I8028" s="412">
        <v>0</v>
      </c>
      <c r="J8028" s="411">
        <v>41.81</v>
      </c>
      <c r="K8028" s="411">
        <v>4.3900499999999996</v>
      </c>
    </row>
    <row r="8029" spans="1:11" ht="25.5" customHeight="1" x14ac:dyDescent="0.3">
      <c r="A8029" s="400" t="s">
        <v>1038</v>
      </c>
      <c r="B8029" s="401" t="s">
        <v>2452</v>
      </c>
      <c r="C8029" s="400" t="s">
        <v>395</v>
      </c>
      <c r="D8029" s="400" t="s">
        <v>258</v>
      </c>
      <c r="E8029" s="605" t="s">
        <v>1039</v>
      </c>
      <c r="F8029" s="605"/>
      <c r="G8029" s="402" t="s">
        <v>7</v>
      </c>
      <c r="H8029" s="403">
        <v>1.0169999999999999</v>
      </c>
      <c r="I8029" s="403">
        <v>0</v>
      </c>
      <c r="J8029" s="404">
        <v>3.63</v>
      </c>
      <c r="K8029" s="404">
        <v>3.69171</v>
      </c>
    </row>
    <row r="8030" spans="1:11" ht="25.5" customHeight="1" x14ac:dyDescent="0.3">
      <c r="A8030" s="405"/>
      <c r="B8030" s="405"/>
      <c r="C8030" s="405"/>
      <c r="D8030" s="405"/>
      <c r="E8030" s="405" t="s">
        <v>1046</v>
      </c>
      <c r="F8030" s="406">
        <v>5.85</v>
      </c>
      <c r="G8030" s="405" t="s">
        <v>1047</v>
      </c>
      <c r="H8030" s="406">
        <v>0</v>
      </c>
      <c r="I8030" s="405" t="s">
        <v>1048</v>
      </c>
      <c r="J8030" s="406">
        <v>5.85</v>
      </c>
      <c r="K8030"/>
    </row>
    <row r="8031" spans="1:11" ht="25.5" customHeight="1" thickBot="1" x14ac:dyDescent="0.35">
      <c r="A8031" s="405"/>
      <c r="B8031" s="405"/>
      <c r="C8031" s="405"/>
      <c r="D8031" s="405"/>
      <c r="E8031" s="405" t="s">
        <v>1049</v>
      </c>
      <c r="F8031" s="406">
        <v>0</v>
      </c>
      <c r="G8031" s="405"/>
      <c r="H8031" s="606"/>
      <c r="I8031" s="606" t="s">
        <v>1050</v>
      </c>
      <c r="J8031" s="406">
        <v>11.7</v>
      </c>
      <c r="K8031"/>
    </row>
    <row r="8032" spans="1:11" ht="25.5" customHeight="1" thickTop="1" x14ac:dyDescent="0.3">
      <c r="A8032" s="407"/>
      <c r="B8032" s="407"/>
      <c r="C8032" s="407"/>
      <c r="D8032" s="407"/>
      <c r="E8032" s="407"/>
      <c r="F8032" s="407"/>
      <c r="G8032" s="407"/>
      <c r="H8032" s="407"/>
      <c r="I8032" s="407"/>
      <c r="J8032" s="407"/>
      <c r="K8032"/>
    </row>
    <row r="8033" spans="1:11" ht="15" x14ac:dyDescent="0.3">
      <c r="A8033" s="382"/>
      <c r="B8033" s="312" t="s">
        <v>413</v>
      </c>
      <c r="C8033" s="382" t="s">
        <v>414</v>
      </c>
      <c r="D8033" s="382" t="s">
        <v>415</v>
      </c>
      <c r="E8033" s="586" t="s">
        <v>1029</v>
      </c>
      <c r="F8033" s="586"/>
      <c r="G8033" s="383" t="s">
        <v>416</v>
      </c>
      <c r="H8033" s="312" t="s">
        <v>1030</v>
      </c>
      <c r="I8033" s="312" t="s">
        <v>3016</v>
      </c>
      <c r="J8033" s="312" t="s">
        <v>1031</v>
      </c>
      <c r="K8033" s="312" t="s">
        <v>1032</v>
      </c>
    </row>
    <row r="8034" spans="1:11" ht="39.6" x14ac:dyDescent="0.3">
      <c r="A8034" s="313" t="s">
        <v>1033</v>
      </c>
      <c r="B8034" s="315" t="s">
        <v>5146</v>
      </c>
      <c r="C8034" s="313" t="s">
        <v>395</v>
      </c>
      <c r="D8034" s="313" t="s">
        <v>7784</v>
      </c>
      <c r="E8034" s="603" t="s">
        <v>7783</v>
      </c>
      <c r="F8034" s="603"/>
      <c r="G8034" s="314" t="s">
        <v>7</v>
      </c>
      <c r="H8034" s="399">
        <v>1</v>
      </c>
      <c r="I8034" s="316"/>
      <c r="J8034" s="316">
        <v>16.13</v>
      </c>
      <c r="K8034" s="316">
        <v>16.13</v>
      </c>
    </row>
    <row r="8035" spans="1:11" ht="26.4" x14ac:dyDescent="0.3">
      <c r="A8035" s="408" t="s">
        <v>1034</v>
      </c>
      <c r="B8035" s="409" t="s">
        <v>1035</v>
      </c>
      <c r="C8035" s="408" t="s">
        <v>395</v>
      </c>
      <c r="D8035" s="408" t="s">
        <v>128</v>
      </c>
      <c r="E8035" s="604" t="s">
        <v>7768</v>
      </c>
      <c r="F8035" s="604"/>
      <c r="G8035" s="410" t="s">
        <v>6</v>
      </c>
      <c r="H8035" s="412">
        <v>0.16300000000000001</v>
      </c>
      <c r="I8035" s="412">
        <v>0</v>
      </c>
      <c r="J8035" s="411">
        <v>34.5</v>
      </c>
      <c r="K8035" s="411">
        <v>5.6234999999999999</v>
      </c>
    </row>
    <row r="8036" spans="1:11" ht="26.4" x14ac:dyDescent="0.3">
      <c r="A8036" s="408" t="s">
        <v>1034</v>
      </c>
      <c r="B8036" s="409" t="s">
        <v>1037</v>
      </c>
      <c r="C8036" s="408" t="s">
        <v>395</v>
      </c>
      <c r="D8036" s="408" t="s">
        <v>135</v>
      </c>
      <c r="E8036" s="604" t="s">
        <v>7768</v>
      </c>
      <c r="F8036" s="604"/>
      <c r="G8036" s="410" t="s">
        <v>6</v>
      </c>
      <c r="H8036" s="412">
        <v>0.16300000000000001</v>
      </c>
      <c r="I8036" s="412">
        <v>0</v>
      </c>
      <c r="J8036" s="411">
        <v>41.81</v>
      </c>
      <c r="K8036" s="411">
        <v>6.8150300000000001</v>
      </c>
    </row>
    <row r="8037" spans="1:11" ht="25.5" customHeight="1" x14ac:dyDescent="0.3">
      <c r="A8037" s="400" t="s">
        <v>1038</v>
      </c>
      <c r="B8037" s="401" t="s">
        <v>2452</v>
      </c>
      <c r="C8037" s="400" t="s">
        <v>395</v>
      </c>
      <c r="D8037" s="400" t="s">
        <v>258</v>
      </c>
      <c r="E8037" s="605" t="s">
        <v>1039</v>
      </c>
      <c r="F8037" s="605"/>
      <c r="G8037" s="402" t="s">
        <v>7</v>
      </c>
      <c r="H8037" s="403">
        <v>1.0169999999999999</v>
      </c>
      <c r="I8037" s="403">
        <v>0</v>
      </c>
      <c r="J8037" s="404">
        <v>3.63</v>
      </c>
      <c r="K8037" s="404">
        <v>3.69171</v>
      </c>
    </row>
    <row r="8038" spans="1:11" ht="25.5" customHeight="1" x14ac:dyDescent="0.3">
      <c r="A8038" s="405"/>
      <c r="B8038" s="405"/>
      <c r="C8038" s="405"/>
      <c r="D8038" s="405"/>
      <c r="E8038" s="405" t="s">
        <v>1046</v>
      </c>
      <c r="F8038" s="406">
        <v>9.07</v>
      </c>
      <c r="G8038" s="405" t="s">
        <v>1047</v>
      </c>
      <c r="H8038" s="406">
        <v>0</v>
      </c>
      <c r="I8038" s="405" t="s">
        <v>1048</v>
      </c>
      <c r="J8038" s="406">
        <v>9.07</v>
      </c>
      <c r="K8038"/>
    </row>
    <row r="8039" spans="1:11" ht="14.25" customHeight="1" thickBot="1" x14ac:dyDescent="0.35">
      <c r="A8039" s="405"/>
      <c r="B8039" s="405"/>
      <c r="C8039" s="405"/>
      <c r="D8039" s="405"/>
      <c r="E8039" s="405" t="s">
        <v>1049</v>
      </c>
      <c r="F8039" s="406">
        <v>0</v>
      </c>
      <c r="G8039" s="405"/>
      <c r="H8039" s="606"/>
      <c r="I8039" s="606" t="s">
        <v>1050</v>
      </c>
      <c r="J8039" s="406">
        <v>16.13</v>
      </c>
      <c r="K8039"/>
    </row>
    <row r="8040" spans="1:11" ht="14.25" customHeight="1" thickTop="1" x14ac:dyDescent="0.3">
      <c r="A8040" s="407"/>
      <c r="B8040" s="407"/>
      <c r="C8040" s="407"/>
      <c r="D8040" s="407"/>
      <c r="E8040" s="407"/>
      <c r="F8040" s="407"/>
      <c r="G8040" s="407"/>
      <c r="H8040" s="407"/>
      <c r="I8040" s="407"/>
      <c r="J8040" s="407"/>
      <c r="K8040"/>
    </row>
    <row r="8041" spans="1:11" ht="15" x14ac:dyDescent="0.3">
      <c r="A8041" s="382"/>
      <c r="B8041" s="312" t="s">
        <v>413</v>
      </c>
      <c r="C8041" s="382" t="s">
        <v>414</v>
      </c>
      <c r="D8041" s="382" t="s">
        <v>415</v>
      </c>
      <c r="E8041" s="586" t="s">
        <v>1029</v>
      </c>
      <c r="F8041" s="586"/>
      <c r="G8041" s="383" t="s">
        <v>416</v>
      </c>
      <c r="H8041" s="312" t="s">
        <v>1030</v>
      </c>
      <c r="I8041" s="312" t="s">
        <v>3016</v>
      </c>
      <c r="J8041" s="312" t="s">
        <v>1031</v>
      </c>
      <c r="K8041" s="312" t="s">
        <v>1032</v>
      </c>
    </row>
    <row r="8042" spans="1:11" ht="14.25" customHeight="1" x14ac:dyDescent="0.3">
      <c r="A8042" s="313" t="s">
        <v>1033</v>
      </c>
      <c r="B8042" s="315" t="s">
        <v>1152</v>
      </c>
      <c r="C8042" s="313" t="s">
        <v>395</v>
      </c>
      <c r="D8042" s="313" t="s">
        <v>136</v>
      </c>
      <c r="E8042" s="603" t="s">
        <v>7768</v>
      </c>
      <c r="F8042" s="603"/>
      <c r="G8042" s="314" t="s">
        <v>6</v>
      </c>
      <c r="H8042" s="399">
        <v>1</v>
      </c>
      <c r="I8042" s="316"/>
      <c r="J8042" s="316">
        <v>46.31</v>
      </c>
      <c r="K8042" s="316">
        <v>46.31</v>
      </c>
    </row>
    <row r="8043" spans="1:11" ht="12.75" customHeight="1" x14ac:dyDescent="0.3">
      <c r="A8043" s="408" t="s">
        <v>1034</v>
      </c>
      <c r="B8043" s="409" t="s">
        <v>8098</v>
      </c>
      <c r="C8043" s="408" t="s">
        <v>395</v>
      </c>
      <c r="D8043" s="408" t="s">
        <v>8099</v>
      </c>
      <c r="E8043" s="604" t="s">
        <v>7768</v>
      </c>
      <c r="F8043" s="604"/>
      <c r="G8043" s="410" t="s">
        <v>6</v>
      </c>
      <c r="H8043" s="412">
        <v>1</v>
      </c>
      <c r="I8043" s="412">
        <v>0</v>
      </c>
      <c r="J8043" s="411">
        <v>1.08</v>
      </c>
      <c r="K8043" s="411">
        <v>1.08</v>
      </c>
    </row>
    <row r="8044" spans="1:11" ht="12.75" customHeight="1" x14ac:dyDescent="0.3">
      <c r="A8044" s="400" t="s">
        <v>1038</v>
      </c>
      <c r="B8044" s="401" t="s">
        <v>4270</v>
      </c>
      <c r="C8044" s="400" t="s">
        <v>395</v>
      </c>
      <c r="D8044" s="400" t="s">
        <v>4271</v>
      </c>
      <c r="E8044" s="605" t="s">
        <v>1053</v>
      </c>
      <c r="F8044" s="605"/>
      <c r="G8044" s="402" t="s">
        <v>6</v>
      </c>
      <c r="H8044" s="403">
        <v>1</v>
      </c>
      <c r="I8044" s="403">
        <v>0</v>
      </c>
      <c r="J8044" s="404">
        <v>34.909999999999997</v>
      </c>
      <c r="K8044" s="404">
        <v>34.909999999999997</v>
      </c>
    </row>
    <row r="8045" spans="1:11" ht="25.5" customHeight="1" x14ac:dyDescent="0.3">
      <c r="A8045" s="400" t="s">
        <v>1038</v>
      </c>
      <c r="B8045" s="401" t="s">
        <v>4028</v>
      </c>
      <c r="C8045" s="400" t="s">
        <v>395</v>
      </c>
      <c r="D8045" s="400" t="s">
        <v>4029</v>
      </c>
      <c r="E8045" s="605" t="s">
        <v>4030</v>
      </c>
      <c r="F8045" s="605"/>
      <c r="G8045" s="402" t="s">
        <v>6</v>
      </c>
      <c r="H8045" s="403">
        <v>1</v>
      </c>
      <c r="I8045" s="403">
        <v>0</v>
      </c>
      <c r="J8045" s="404">
        <v>4.78</v>
      </c>
      <c r="K8045" s="404">
        <v>4.78</v>
      </c>
    </row>
    <row r="8046" spans="1:11" ht="12.75" customHeight="1" x14ac:dyDescent="0.3">
      <c r="A8046" s="400" t="s">
        <v>1038</v>
      </c>
      <c r="B8046" s="401" t="s">
        <v>4066</v>
      </c>
      <c r="C8046" s="400" t="s">
        <v>395</v>
      </c>
      <c r="D8046" s="400" t="s">
        <v>4067</v>
      </c>
      <c r="E8046" s="605" t="s">
        <v>2381</v>
      </c>
      <c r="F8046" s="605"/>
      <c r="G8046" s="402" t="s">
        <v>6</v>
      </c>
      <c r="H8046" s="403">
        <v>1</v>
      </c>
      <c r="I8046" s="403">
        <v>0</v>
      </c>
      <c r="J8046" s="404">
        <v>1.72</v>
      </c>
      <c r="K8046" s="404">
        <v>1.72</v>
      </c>
    </row>
    <row r="8047" spans="1:11" ht="25.5" customHeight="1" x14ac:dyDescent="0.3">
      <c r="A8047" s="400" t="s">
        <v>1038</v>
      </c>
      <c r="B8047" s="401" t="s">
        <v>4078</v>
      </c>
      <c r="C8047" s="400" t="s">
        <v>395</v>
      </c>
      <c r="D8047" s="400" t="s">
        <v>4079</v>
      </c>
      <c r="E8047" s="605" t="s">
        <v>4030</v>
      </c>
      <c r="F8047" s="605"/>
      <c r="G8047" s="402" t="s">
        <v>6</v>
      </c>
      <c r="H8047" s="403">
        <v>1</v>
      </c>
      <c r="I8047" s="403">
        <v>0</v>
      </c>
      <c r="J8047" s="404">
        <v>1.25</v>
      </c>
      <c r="K8047" s="404">
        <v>1.25</v>
      </c>
    </row>
    <row r="8048" spans="1:11" ht="25.5" customHeight="1" x14ac:dyDescent="0.3">
      <c r="A8048" s="400" t="s">
        <v>1038</v>
      </c>
      <c r="B8048" s="401" t="s">
        <v>4274</v>
      </c>
      <c r="C8048" s="400" t="s">
        <v>395</v>
      </c>
      <c r="D8048" s="400" t="s">
        <v>4275</v>
      </c>
      <c r="E8048" s="605" t="s">
        <v>2386</v>
      </c>
      <c r="F8048" s="605"/>
      <c r="G8048" s="402" t="s">
        <v>6</v>
      </c>
      <c r="H8048" s="403">
        <v>1</v>
      </c>
      <c r="I8048" s="403">
        <v>0</v>
      </c>
      <c r="J8048" s="404">
        <v>0.11</v>
      </c>
      <c r="K8048" s="404">
        <v>0.11</v>
      </c>
    </row>
    <row r="8049" spans="1:11" ht="14.25" customHeight="1" x14ac:dyDescent="0.3">
      <c r="A8049" s="400" t="s">
        <v>1038</v>
      </c>
      <c r="B8049" s="401" t="s">
        <v>4148</v>
      </c>
      <c r="C8049" s="400" t="s">
        <v>395</v>
      </c>
      <c r="D8049" s="400" t="s">
        <v>4149</v>
      </c>
      <c r="E8049" s="605" t="s">
        <v>1317</v>
      </c>
      <c r="F8049" s="605"/>
      <c r="G8049" s="402" t="s">
        <v>6</v>
      </c>
      <c r="H8049" s="403">
        <v>1</v>
      </c>
      <c r="I8049" s="403">
        <v>0</v>
      </c>
      <c r="J8049" s="404">
        <v>0.86</v>
      </c>
      <c r="K8049" s="404">
        <v>0.86</v>
      </c>
    </row>
    <row r="8050" spans="1:11" ht="26.4" x14ac:dyDescent="0.3">
      <c r="A8050" s="400" t="s">
        <v>1038</v>
      </c>
      <c r="B8050" s="401" t="s">
        <v>4116</v>
      </c>
      <c r="C8050" s="400" t="s">
        <v>395</v>
      </c>
      <c r="D8050" s="400" t="s">
        <v>4117</v>
      </c>
      <c r="E8050" s="605" t="s">
        <v>1317</v>
      </c>
      <c r="F8050" s="605"/>
      <c r="G8050" s="402" t="s">
        <v>6</v>
      </c>
      <c r="H8050" s="403">
        <v>1</v>
      </c>
      <c r="I8050" s="403">
        <v>0</v>
      </c>
      <c r="J8050" s="404">
        <v>1.6</v>
      </c>
      <c r="K8050" s="404">
        <v>1.6</v>
      </c>
    </row>
    <row r="8051" spans="1:11" ht="14.25" customHeight="1" x14ac:dyDescent="0.3">
      <c r="A8051" s="405"/>
      <c r="B8051" s="405"/>
      <c r="C8051" s="405"/>
      <c r="D8051" s="405"/>
      <c r="E8051" s="405" t="s">
        <v>1046</v>
      </c>
      <c r="F8051" s="406">
        <v>35.99</v>
      </c>
      <c r="G8051" s="405" t="s">
        <v>1047</v>
      </c>
      <c r="H8051" s="406">
        <v>0</v>
      </c>
      <c r="I8051" s="405" t="s">
        <v>1048</v>
      </c>
      <c r="J8051" s="406">
        <v>35.99</v>
      </c>
      <c r="K8051"/>
    </row>
    <row r="8052" spans="1:11" ht="12.75" customHeight="1" thickBot="1" x14ac:dyDescent="0.35">
      <c r="A8052" s="405"/>
      <c r="B8052" s="405"/>
      <c r="C8052" s="405"/>
      <c r="D8052" s="405"/>
      <c r="E8052" s="405" t="s">
        <v>1049</v>
      </c>
      <c r="F8052" s="406">
        <v>0</v>
      </c>
      <c r="G8052" s="405"/>
      <c r="H8052" s="606"/>
      <c r="I8052" s="606" t="s">
        <v>1050</v>
      </c>
      <c r="J8052" s="406">
        <v>46.31</v>
      </c>
      <c r="K8052"/>
    </row>
    <row r="8053" spans="1:11" ht="12.75" customHeight="1" thickTop="1" x14ac:dyDescent="0.3">
      <c r="A8053" s="407"/>
      <c r="B8053" s="407"/>
      <c r="C8053" s="407"/>
      <c r="D8053" s="407"/>
      <c r="E8053" s="407"/>
      <c r="F8053" s="407"/>
      <c r="G8053" s="407"/>
      <c r="H8053" s="407"/>
      <c r="I8053" s="407"/>
      <c r="J8053" s="407"/>
      <c r="K8053"/>
    </row>
    <row r="8054" spans="1:11" ht="25.5" customHeight="1" x14ac:dyDescent="0.3">
      <c r="A8054" s="382"/>
      <c r="B8054" s="312" t="s">
        <v>413</v>
      </c>
      <c r="C8054" s="382" t="s">
        <v>414</v>
      </c>
      <c r="D8054" s="382" t="s">
        <v>415</v>
      </c>
      <c r="E8054" s="586" t="s">
        <v>1029</v>
      </c>
      <c r="F8054" s="586"/>
      <c r="G8054" s="383" t="s">
        <v>416</v>
      </c>
      <c r="H8054" s="312" t="s">
        <v>1030</v>
      </c>
      <c r="I8054" s="312" t="s">
        <v>3016</v>
      </c>
      <c r="J8054" s="312" t="s">
        <v>1031</v>
      </c>
      <c r="K8054" s="312" t="s">
        <v>1032</v>
      </c>
    </row>
    <row r="8055" spans="1:11" ht="25.5" customHeight="1" x14ac:dyDescent="0.3">
      <c r="A8055" s="313" t="s">
        <v>1033</v>
      </c>
      <c r="B8055" s="315" t="s">
        <v>1112</v>
      </c>
      <c r="C8055" s="313" t="s">
        <v>395</v>
      </c>
      <c r="D8055" s="313" t="s">
        <v>137</v>
      </c>
      <c r="E8055" s="603" t="s">
        <v>7768</v>
      </c>
      <c r="F8055" s="603"/>
      <c r="G8055" s="314" t="s">
        <v>6</v>
      </c>
      <c r="H8055" s="399">
        <v>1</v>
      </c>
      <c r="I8055" s="316"/>
      <c r="J8055" s="316">
        <v>40.299999999999997</v>
      </c>
      <c r="K8055" s="316">
        <v>40.299999999999997</v>
      </c>
    </row>
    <row r="8056" spans="1:11" ht="25.5" customHeight="1" x14ac:dyDescent="0.3">
      <c r="A8056" s="408" t="s">
        <v>1034</v>
      </c>
      <c r="B8056" s="409" t="s">
        <v>8100</v>
      </c>
      <c r="C8056" s="408" t="s">
        <v>395</v>
      </c>
      <c r="D8056" s="408" t="s">
        <v>8101</v>
      </c>
      <c r="E8056" s="604" t="s">
        <v>7768</v>
      </c>
      <c r="F8056" s="604"/>
      <c r="G8056" s="410" t="s">
        <v>6</v>
      </c>
      <c r="H8056" s="412">
        <v>1</v>
      </c>
      <c r="I8056" s="412">
        <v>0</v>
      </c>
      <c r="J8056" s="411">
        <v>0.54</v>
      </c>
      <c r="K8056" s="411">
        <v>0.54</v>
      </c>
    </row>
    <row r="8057" spans="1:11" ht="25.5" customHeight="1" x14ac:dyDescent="0.3">
      <c r="A8057" s="400" t="s">
        <v>1038</v>
      </c>
      <c r="B8057" s="401" t="s">
        <v>1184</v>
      </c>
      <c r="C8057" s="400" t="s">
        <v>395</v>
      </c>
      <c r="D8057" s="400" t="s">
        <v>405</v>
      </c>
      <c r="E8057" s="605" t="s">
        <v>1053</v>
      </c>
      <c r="F8057" s="605"/>
      <c r="G8057" s="402" t="s">
        <v>6</v>
      </c>
      <c r="H8057" s="403">
        <v>1</v>
      </c>
      <c r="I8057" s="403">
        <v>0</v>
      </c>
      <c r="J8057" s="404">
        <v>30.04</v>
      </c>
      <c r="K8057" s="404">
        <v>30.04</v>
      </c>
    </row>
    <row r="8058" spans="1:11" ht="14.25" customHeight="1" x14ac:dyDescent="0.3">
      <c r="A8058" s="400" t="s">
        <v>1038</v>
      </c>
      <c r="B8058" s="401" t="s">
        <v>4028</v>
      </c>
      <c r="C8058" s="400" t="s">
        <v>395</v>
      </c>
      <c r="D8058" s="400" t="s">
        <v>4029</v>
      </c>
      <c r="E8058" s="605" t="s">
        <v>4030</v>
      </c>
      <c r="F8058" s="605"/>
      <c r="G8058" s="402" t="s">
        <v>6</v>
      </c>
      <c r="H8058" s="403">
        <v>1</v>
      </c>
      <c r="I8058" s="403">
        <v>0</v>
      </c>
      <c r="J8058" s="404">
        <v>4.78</v>
      </c>
      <c r="K8058" s="404">
        <v>4.78</v>
      </c>
    </row>
    <row r="8059" spans="1:11" ht="14.25" customHeight="1" x14ac:dyDescent="0.3">
      <c r="A8059" s="400" t="s">
        <v>1038</v>
      </c>
      <c r="B8059" s="401" t="s">
        <v>4066</v>
      </c>
      <c r="C8059" s="400" t="s">
        <v>395</v>
      </c>
      <c r="D8059" s="400" t="s">
        <v>4067</v>
      </c>
      <c r="E8059" s="605" t="s">
        <v>2381</v>
      </c>
      <c r="F8059" s="605"/>
      <c r="G8059" s="402" t="s">
        <v>6</v>
      </c>
      <c r="H8059" s="403">
        <v>1</v>
      </c>
      <c r="I8059" s="403">
        <v>0</v>
      </c>
      <c r="J8059" s="404">
        <v>1.72</v>
      </c>
      <c r="K8059" s="404">
        <v>1.72</v>
      </c>
    </row>
    <row r="8060" spans="1:11" ht="14.25" customHeight="1" x14ac:dyDescent="0.3">
      <c r="A8060" s="400" t="s">
        <v>1038</v>
      </c>
      <c r="B8060" s="401" t="s">
        <v>4078</v>
      </c>
      <c r="C8060" s="400" t="s">
        <v>395</v>
      </c>
      <c r="D8060" s="400" t="s">
        <v>4079</v>
      </c>
      <c r="E8060" s="605" t="s">
        <v>4030</v>
      </c>
      <c r="F8060" s="605"/>
      <c r="G8060" s="402" t="s">
        <v>6</v>
      </c>
      <c r="H8060" s="403">
        <v>1</v>
      </c>
      <c r="I8060" s="403">
        <v>0</v>
      </c>
      <c r="J8060" s="404">
        <v>1.25</v>
      </c>
      <c r="K8060" s="404">
        <v>1.25</v>
      </c>
    </row>
    <row r="8061" spans="1:11" ht="12.75" customHeight="1" x14ac:dyDescent="0.3">
      <c r="A8061" s="400" t="s">
        <v>1038</v>
      </c>
      <c r="B8061" s="401" t="s">
        <v>4274</v>
      </c>
      <c r="C8061" s="400" t="s">
        <v>395</v>
      </c>
      <c r="D8061" s="400" t="s">
        <v>4275</v>
      </c>
      <c r="E8061" s="605" t="s">
        <v>2386</v>
      </c>
      <c r="F8061" s="605"/>
      <c r="G8061" s="402" t="s">
        <v>6</v>
      </c>
      <c r="H8061" s="403">
        <v>1</v>
      </c>
      <c r="I8061" s="403">
        <v>0</v>
      </c>
      <c r="J8061" s="404">
        <v>0.11</v>
      </c>
      <c r="K8061" s="404">
        <v>0.11</v>
      </c>
    </row>
    <row r="8062" spans="1:11" ht="12.75" customHeight="1" x14ac:dyDescent="0.3">
      <c r="A8062" s="400" t="s">
        <v>1038</v>
      </c>
      <c r="B8062" s="401" t="s">
        <v>4299</v>
      </c>
      <c r="C8062" s="400" t="s">
        <v>395</v>
      </c>
      <c r="D8062" s="400" t="s">
        <v>4300</v>
      </c>
      <c r="E8062" s="605" t="s">
        <v>1317</v>
      </c>
      <c r="F8062" s="605"/>
      <c r="G8062" s="402" t="s">
        <v>6</v>
      </c>
      <c r="H8062" s="403">
        <v>1</v>
      </c>
      <c r="I8062" s="403">
        <v>0</v>
      </c>
      <c r="J8062" s="404">
        <v>0.43</v>
      </c>
      <c r="K8062" s="404">
        <v>0.43</v>
      </c>
    </row>
    <row r="8063" spans="1:11" ht="25.5" customHeight="1" x14ac:dyDescent="0.3">
      <c r="A8063" s="400" t="s">
        <v>1038</v>
      </c>
      <c r="B8063" s="401" t="s">
        <v>4172</v>
      </c>
      <c r="C8063" s="400" t="s">
        <v>395</v>
      </c>
      <c r="D8063" s="400" t="s">
        <v>4173</v>
      </c>
      <c r="E8063" s="605" t="s">
        <v>1317</v>
      </c>
      <c r="F8063" s="605"/>
      <c r="G8063" s="402" t="s">
        <v>6</v>
      </c>
      <c r="H8063" s="403">
        <v>1</v>
      </c>
      <c r="I8063" s="403">
        <v>0</v>
      </c>
      <c r="J8063" s="404">
        <v>1.43</v>
      </c>
      <c r="K8063" s="404">
        <v>1.43</v>
      </c>
    </row>
    <row r="8064" spans="1:11" ht="25.5" customHeight="1" x14ac:dyDescent="0.3">
      <c r="A8064" s="405"/>
      <c r="B8064" s="405"/>
      <c r="C8064" s="405"/>
      <c r="D8064" s="405"/>
      <c r="E8064" s="405" t="s">
        <v>1046</v>
      </c>
      <c r="F8064" s="406">
        <v>30.58</v>
      </c>
      <c r="G8064" s="405" t="s">
        <v>1047</v>
      </c>
      <c r="H8064" s="406">
        <v>0</v>
      </c>
      <c r="I8064" s="405" t="s">
        <v>1048</v>
      </c>
      <c r="J8064" s="406">
        <v>30.58</v>
      </c>
      <c r="K8064"/>
    </row>
    <row r="8065" spans="1:11" ht="25.5" customHeight="1" thickBot="1" x14ac:dyDescent="0.35">
      <c r="A8065" s="405"/>
      <c r="B8065" s="405"/>
      <c r="C8065" s="405"/>
      <c r="D8065" s="405"/>
      <c r="E8065" s="405" t="s">
        <v>1049</v>
      </c>
      <c r="F8065" s="406">
        <v>0</v>
      </c>
      <c r="G8065" s="405"/>
      <c r="H8065" s="606"/>
      <c r="I8065" s="606" t="s">
        <v>1050</v>
      </c>
      <c r="J8065" s="406">
        <v>40.299999999999997</v>
      </c>
      <c r="K8065"/>
    </row>
    <row r="8066" spans="1:11" ht="25.5" customHeight="1" thickTop="1" x14ac:dyDescent="0.3">
      <c r="A8066" s="407"/>
      <c r="B8066" s="407"/>
      <c r="C8066" s="407"/>
      <c r="D8066" s="407"/>
      <c r="E8066" s="407"/>
      <c r="F8066" s="407"/>
      <c r="G8066" s="407"/>
      <c r="H8066" s="407"/>
      <c r="I8066" s="407"/>
      <c r="J8066" s="407"/>
      <c r="K8066"/>
    </row>
    <row r="8067" spans="1:11" ht="15" x14ac:dyDescent="0.3">
      <c r="A8067" s="382"/>
      <c r="B8067" s="312" t="s">
        <v>413</v>
      </c>
      <c r="C8067" s="382" t="s">
        <v>414</v>
      </c>
      <c r="D8067" s="382" t="s">
        <v>415</v>
      </c>
      <c r="E8067" s="586" t="s">
        <v>1029</v>
      </c>
      <c r="F8067" s="586"/>
      <c r="G8067" s="383" t="s">
        <v>416</v>
      </c>
      <c r="H8067" s="312" t="s">
        <v>1030</v>
      </c>
      <c r="I8067" s="312" t="s">
        <v>3016</v>
      </c>
      <c r="J8067" s="312" t="s">
        <v>1031</v>
      </c>
      <c r="K8067" s="312" t="s">
        <v>1032</v>
      </c>
    </row>
    <row r="8068" spans="1:11" ht="15" x14ac:dyDescent="0.3">
      <c r="A8068" s="313" t="s">
        <v>1033</v>
      </c>
      <c r="B8068" s="315" t="s">
        <v>1325</v>
      </c>
      <c r="C8068" s="313" t="s">
        <v>395</v>
      </c>
      <c r="D8068" s="313" t="s">
        <v>155</v>
      </c>
      <c r="E8068" s="603" t="s">
        <v>7768</v>
      </c>
      <c r="F8068" s="603"/>
      <c r="G8068" s="314" t="s">
        <v>6</v>
      </c>
      <c r="H8068" s="399">
        <v>1</v>
      </c>
      <c r="I8068" s="316"/>
      <c r="J8068" s="316">
        <v>60.36</v>
      </c>
      <c r="K8068" s="316">
        <v>60.36</v>
      </c>
    </row>
    <row r="8069" spans="1:11" ht="14.25" customHeight="1" x14ac:dyDescent="0.3">
      <c r="A8069" s="408" t="s">
        <v>1034</v>
      </c>
      <c r="B8069" s="409" t="s">
        <v>8102</v>
      </c>
      <c r="C8069" s="408" t="s">
        <v>395</v>
      </c>
      <c r="D8069" s="408" t="s">
        <v>8103</v>
      </c>
      <c r="E8069" s="604" t="s">
        <v>7768</v>
      </c>
      <c r="F8069" s="604"/>
      <c r="G8069" s="410" t="s">
        <v>6</v>
      </c>
      <c r="H8069" s="412">
        <v>1</v>
      </c>
      <c r="I8069" s="412">
        <v>0</v>
      </c>
      <c r="J8069" s="411">
        <v>1.06</v>
      </c>
      <c r="K8069" s="411">
        <v>1.06</v>
      </c>
    </row>
    <row r="8070" spans="1:11" ht="14.25" customHeight="1" x14ac:dyDescent="0.3">
      <c r="A8070" s="400" t="s">
        <v>1038</v>
      </c>
      <c r="B8070" s="401" t="s">
        <v>4953</v>
      </c>
      <c r="C8070" s="400" t="s">
        <v>395</v>
      </c>
      <c r="D8070" s="400" t="s">
        <v>4954</v>
      </c>
      <c r="E8070" s="605" t="s">
        <v>1053</v>
      </c>
      <c r="F8070" s="605"/>
      <c r="G8070" s="402" t="s">
        <v>6</v>
      </c>
      <c r="H8070" s="403">
        <v>1</v>
      </c>
      <c r="I8070" s="403">
        <v>0</v>
      </c>
      <c r="J8070" s="404">
        <v>49.85</v>
      </c>
      <c r="K8070" s="404">
        <v>49.85</v>
      </c>
    </row>
    <row r="8071" spans="1:11" ht="15" x14ac:dyDescent="0.3">
      <c r="A8071" s="400" t="s">
        <v>1038</v>
      </c>
      <c r="B8071" s="401" t="s">
        <v>4028</v>
      </c>
      <c r="C8071" s="400" t="s">
        <v>395</v>
      </c>
      <c r="D8071" s="400" t="s">
        <v>4029</v>
      </c>
      <c r="E8071" s="605" t="s">
        <v>4030</v>
      </c>
      <c r="F8071" s="605"/>
      <c r="G8071" s="402" t="s">
        <v>6</v>
      </c>
      <c r="H8071" s="403">
        <v>1</v>
      </c>
      <c r="I8071" s="403">
        <v>0</v>
      </c>
      <c r="J8071" s="404">
        <v>4.78</v>
      </c>
      <c r="K8071" s="404">
        <v>4.78</v>
      </c>
    </row>
    <row r="8072" spans="1:11" ht="15" x14ac:dyDescent="0.3">
      <c r="A8072" s="400" t="s">
        <v>1038</v>
      </c>
      <c r="B8072" s="401" t="s">
        <v>4066</v>
      </c>
      <c r="C8072" s="400" t="s">
        <v>395</v>
      </c>
      <c r="D8072" s="400" t="s">
        <v>4067</v>
      </c>
      <c r="E8072" s="605" t="s">
        <v>2381</v>
      </c>
      <c r="F8072" s="605"/>
      <c r="G8072" s="402" t="s">
        <v>6</v>
      </c>
      <c r="H8072" s="403">
        <v>1</v>
      </c>
      <c r="I8072" s="403">
        <v>0</v>
      </c>
      <c r="J8072" s="404">
        <v>1.72</v>
      </c>
      <c r="K8072" s="404">
        <v>1.72</v>
      </c>
    </row>
    <row r="8073" spans="1:11" ht="12.75" customHeight="1" x14ac:dyDescent="0.3">
      <c r="A8073" s="400" t="s">
        <v>1038</v>
      </c>
      <c r="B8073" s="401" t="s">
        <v>4078</v>
      </c>
      <c r="C8073" s="400" t="s">
        <v>395</v>
      </c>
      <c r="D8073" s="400" t="s">
        <v>4079</v>
      </c>
      <c r="E8073" s="605" t="s">
        <v>4030</v>
      </c>
      <c r="F8073" s="605"/>
      <c r="G8073" s="402" t="s">
        <v>6</v>
      </c>
      <c r="H8073" s="403">
        <v>1</v>
      </c>
      <c r="I8073" s="403">
        <v>0</v>
      </c>
      <c r="J8073" s="404">
        <v>1.25</v>
      </c>
      <c r="K8073" s="404">
        <v>1.25</v>
      </c>
    </row>
    <row r="8074" spans="1:11" ht="12.75" customHeight="1" x14ac:dyDescent="0.3">
      <c r="A8074" s="400" t="s">
        <v>1038</v>
      </c>
      <c r="B8074" s="401" t="s">
        <v>4274</v>
      </c>
      <c r="C8074" s="400" t="s">
        <v>395</v>
      </c>
      <c r="D8074" s="400" t="s">
        <v>4275</v>
      </c>
      <c r="E8074" s="605" t="s">
        <v>2386</v>
      </c>
      <c r="F8074" s="605"/>
      <c r="G8074" s="402" t="s">
        <v>6</v>
      </c>
      <c r="H8074" s="403">
        <v>1</v>
      </c>
      <c r="I8074" s="403">
        <v>0</v>
      </c>
      <c r="J8074" s="404">
        <v>0.11</v>
      </c>
      <c r="K8074" s="404">
        <v>0.11</v>
      </c>
    </row>
    <row r="8075" spans="1:11" ht="25.5" customHeight="1" x14ac:dyDescent="0.3">
      <c r="A8075" s="400" t="s">
        <v>1038</v>
      </c>
      <c r="B8075" s="401" t="s">
        <v>5117</v>
      </c>
      <c r="C8075" s="400" t="s">
        <v>395</v>
      </c>
      <c r="D8075" s="400" t="s">
        <v>5118</v>
      </c>
      <c r="E8075" s="605" t="s">
        <v>1317</v>
      </c>
      <c r="F8075" s="605"/>
      <c r="G8075" s="402" t="s">
        <v>6</v>
      </c>
      <c r="H8075" s="403">
        <v>1</v>
      </c>
      <c r="I8075" s="403">
        <v>0</v>
      </c>
      <c r="J8075" s="404">
        <v>0.11</v>
      </c>
      <c r="K8075" s="404">
        <v>0.11</v>
      </c>
    </row>
    <row r="8076" spans="1:11" ht="25.5" customHeight="1" x14ac:dyDescent="0.3">
      <c r="A8076" s="400" t="s">
        <v>1038</v>
      </c>
      <c r="B8076" s="401" t="s">
        <v>5093</v>
      </c>
      <c r="C8076" s="400" t="s">
        <v>395</v>
      </c>
      <c r="D8076" s="400" t="s">
        <v>5094</v>
      </c>
      <c r="E8076" s="605" t="s">
        <v>1317</v>
      </c>
      <c r="F8076" s="605"/>
      <c r="G8076" s="402" t="s">
        <v>6</v>
      </c>
      <c r="H8076" s="403">
        <v>1</v>
      </c>
      <c r="I8076" s="403">
        <v>0</v>
      </c>
      <c r="J8076" s="404">
        <v>1.48</v>
      </c>
      <c r="K8076" s="404">
        <v>1.48</v>
      </c>
    </row>
    <row r="8077" spans="1:11" ht="15" x14ac:dyDescent="0.3">
      <c r="A8077" s="405"/>
      <c r="B8077" s="405"/>
      <c r="C8077" s="405"/>
      <c r="D8077" s="405"/>
      <c r="E8077" s="405" t="s">
        <v>1046</v>
      </c>
      <c r="F8077" s="406">
        <v>50.91</v>
      </c>
      <c r="G8077" s="405" t="s">
        <v>1047</v>
      </c>
      <c r="H8077" s="406">
        <v>0</v>
      </c>
      <c r="I8077" s="405" t="s">
        <v>1048</v>
      </c>
      <c r="J8077" s="406">
        <v>50.91</v>
      </c>
      <c r="K8077"/>
    </row>
    <row r="8078" spans="1:11" ht="15.6" thickBot="1" x14ac:dyDescent="0.35">
      <c r="A8078" s="405"/>
      <c r="B8078" s="405"/>
      <c r="C8078" s="405"/>
      <c r="D8078" s="405"/>
      <c r="E8078" s="405" t="s">
        <v>1049</v>
      </c>
      <c r="F8078" s="406">
        <v>0</v>
      </c>
      <c r="G8078" s="405"/>
      <c r="H8078" s="606"/>
      <c r="I8078" s="606" t="s">
        <v>1050</v>
      </c>
      <c r="J8078" s="406">
        <v>60.36</v>
      </c>
      <c r="K8078"/>
    </row>
    <row r="8079" spans="1:11" ht="15.6" thickTop="1" x14ac:dyDescent="0.3">
      <c r="A8079" s="407"/>
      <c r="B8079" s="407"/>
      <c r="C8079" s="407"/>
      <c r="D8079" s="407"/>
      <c r="E8079" s="407"/>
      <c r="F8079" s="407"/>
      <c r="G8079" s="407"/>
      <c r="H8079" s="407"/>
      <c r="I8079" s="407"/>
      <c r="J8079" s="407"/>
      <c r="K8079"/>
    </row>
    <row r="8080" spans="1:11" ht="14.25" customHeight="1" x14ac:dyDescent="0.3">
      <c r="A8080" s="382"/>
      <c r="B8080" s="312" t="s">
        <v>413</v>
      </c>
      <c r="C8080" s="382" t="s">
        <v>414</v>
      </c>
      <c r="D8080" s="382" t="s">
        <v>415</v>
      </c>
      <c r="E8080" s="586" t="s">
        <v>1029</v>
      </c>
      <c r="F8080" s="586"/>
      <c r="G8080" s="383" t="s">
        <v>416</v>
      </c>
      <c r="H8080" s="312" t="s">
        <v>1030</v>
      </c>
      <c r="I8080" s="312" t="s">
        <v>3016</v>
      </c>
      <c r="J8080" s="312" t="s">
        <v>1031</v>
      </c>
      <c r="K8080" s="312" t="s">
        <v>1032</v>
      </c>
    </row>
    <row r="8081" spans="1:11" ht="14.25" customHeight="1" x14ac:dyDescent="0.3">
      <c r="A8081" s="313" t="s">
        <v>1033</v>
      </c>
      <c r="B8081" s="315" t="s">
        <v>5247</v>
      </c>
      <c r="C8081" s="313" t="s">
        <v>395</v>
      </c>
      <c r="D8081" s="313" t="s">
        <v>7863</v>
      </c>
      <c r="E8081" s="603" t="s">
        <v>7862</v>
      </c>
      <c r="F8081" s="603"/>
      <c r="G8081" s="314" t="s">
        <v>4</v>
      </c>
      <c r="H8081" s="399">
        <v>1</v>
      </c>
      <c r="I8081" s="316"/>
      <c r="J8081" s="316">
        <v>62.68</v>
      </c>
      <c r="K8081" s="316">
        <v>62.68</v>
      </c>
    </row>
    <row r="8082" spans="1:11" ht="26.4" x14ac:dyDescent="0.3">
      <c r="A8082" s="408" t="s">
        <v>1034</v>
      </c>
      <c r="B8082" s="409" t="s">
        <v>1112</v>
      </c>
      <c r="C8082" s="408" t="s">
        <v>395</v>
      </c>
      <c r="D8082" s="408" t="s">
        <v>137</v>
      </c>
      <c r="E8082" s="604" t="s">
        <v>7768</v>
      </c>
      <c r="F8082" s="604"/>
      <c r="G8082" s="410" t="s">
        <v>6</v>
      </c>
      <c r="H8082" s="412">
        <v>0.15033540000000001</v>
      </c>
      <c r="I8082" s="412">
        <v>0</v>
      </c>
      <c r="J8082" s="411">
        <v>40.299999999999997</v>
      </c>
      <c r="K8082" s="411">
        <v>6.0585165999999999</v>
      </c>
    </row>
    <row r="8083" spans="1:11" ht="26.4" x14ac:dyDescent="0.3">
      <c r="A8083" s="408" t="s">
        <v>1034</v>
      </c>
      <c r="B8083" s="409" t="s">
        <v>1290</v>
      </c>
      <c r="C8083" s="408" t="s">
        <v>395</v>
      </c>
      <c r="D8083" s="408" t="s">
        <v>147</v>
      </c>
      <c r="E8083" s="604" t="s">
        <v>7768</v>
      </c>
      <c r="F8083" s="604"/>
      <c r="G8083" s="410" t="s">
        <v>6</v>
      </c>
      <c r="H8083" s="412">
        <v>5.7704499999999999E-2</v>
      </c>
      <c r="I8083" s="412">
        <v>0</v>
      </c>
      <c r="J8083" s="411">
        <v>32.82</v>
      </c>
      <c r="K8083" s="411">
        <v>1.8938617</v>
      </c>
    </row>
    <row r="8084" spans="1:11" ht="15" customHeight="1" x14ac:dyDescent="0.3">
      <c r="A8084" s="400" t="s">
        <v>1038</v>
      </c>
      <c r="B8084" s="401" t="s">
        <v>4999</v>
      </c>
      <c r="C8084" s="400" t="s">
        <v>395</v>
      </c>
      <c r="D8084" s="400" t="s">
        <v>5000</v>
      </c>
      <c r="E8084" s="605" t="s">
        <v>1039</v>
      </c>
      <c r="F8084" s="605"/>
      <c r="G8084" s="402" t="s">
        <v>4</v>
      </c>
      <c r="H8084" s="403">
        <v>2.1000000000000001E-2</v>
      </c>
      <c r="I8084" s="403">
        <v>0</v>
      </c>
      <c r="J8084" s="404">
        <v>4.18</v>
      </c>
      <c r="K8084" s="404">
        <v>8.7779999999999997E-2</v>
      </c>
    </row>
    <row r="8085" spans="1:11" ht="12.75" customHeight="1" x14ac:dyDescent="0.3">
      <c r="A8085" s="400" t="s">
        <v>1038</v>
      </c>
      <c r="B8085" s="401" t="s">
        <v>4420</v>
      </c>
      <c r="C8085" s="400" t="s">
        <v>395</v>
      </c>
      <c r="D8085" s="400" t="s">
        <v>4421</v>
      </c>
      <c r="E8085" s="605" t="s">
        <v>1039</v>
      </c>
      <c r="F8085" s="605"/>
      <c r="G8085" s="402" t="s">
        <v>4</v>
      </c>
      <c r="H8085" s="403">
        <v>1</v>
      </c>
      <c r="I8085" s="403">
        <v>0</v>
      </c>
      <c r="J8085" s="404">
        <v>54.64</v>
      </c>
      <c r="K8085" s="404">
        <v>54.64</v>
      </c>
    </row>
    <row r="8086" spans="1:11" ht="25.5" customHeight="1" x14ac:dyDescent="0.3">
      <c r="A8086" s="405"/>
      <c r="B8086" s="405"/>
      <c r="C8086" s="405"/>
      <c r="D8086" s="405"/>
      <c r="E8086" s="405" t="s">
        <v>1046</v>
      </c>
      <c r="F8086" s="406">
        <v>5.9</v>
      </c>
      <c r="G8086" s="405" t="s">
        <v>1047</v>
      </c>
      <c r="H8086" s="406">
        <v>0</v>
      </c>
      <c r="I8086" s="405" t="s">
        <v>1048</v>
      </c>
      <c r="J8086" s="406">
        <v>5.9</v>
      </c>
      <c r="K8086"/>
    </row>
    <row r="8087" spans="1:11" ht="25.5" customHeight="1" thickBot="1" x14ac:dyDescent="0.35">
      <c r="A8087" s="405"/>
      <c r="B8087" s="405"/>
      <c r="C8087" s="405"/>
      <c r="D8087" s="405"/>
      <c r="E8087" s="405" t="s">
        <v>1049</v>
      </c>
      <c r="F8087" s="406">
        <v>0</v>
      </c>
      <c r="G8087" s="405"/>
      <c r="H8087" s="606"/>
      <c r="I8087" s="606" t="s">
        <v>1050</v>
      </c>
      <c r="J8087" s="406">
        <v>62.68</v>
      </c>
      <c r="K8087"/>
    </row>
    <row r="8088" spans="1:11" ht="15.6" thickTop="1" x14ac:dyDescent="0.3">
      <c r="A8088" s="407"/>
      <c r="B8088" s="407"/>
      <c r="C8088" s="407"/>
      <c r="D8088" s="407"/>
      <c r="E8088" s="407"/>
      <c r="F8088" s="407"/>
      <c r="G8088" s="407"/>
      <c r="H8088" s="407"/>
      <c r="I8088" s="407"/>
      <c r="J8088" s="407"/>
      <c r="K8088"/>
    </row>
    <row r="8089" spans="1:11" ht="14.25" customHeight="1" x14ac:dyDescent="0.3">
      <c r="A8089" s="382"/>
      <c r="B8089" s="312" t="s">
        <v>413</v>
      </c>
      <c r="C8089" s="382" t="s">
        <v>414</v>
      </c>
      <c r="D8089" s="382" t="s">
        <v>415</v>
      </c>
      <c r="E8089" s="586" t="s">
        <v>1029</v>
      </c>
      <c r="F8089" s="586"/>
      <c r="G8089" s="383" t="s">
        <v>416</v>
      </c>
      <c r="H8089" s="312" t="s">
        <v>1030</v>
      </c>
      <c r="I8089" s="312" t="s">
        <v>3016</v>
      </c>
      <c r="J8089" s="312" t="s">
        <v>1031</v>
      </c>
      <c r="K8089" s="312" t="s">
        <v>1032</v>
      </c>
    </row>
    <row r="8090" spans="1:11" ht="14.25" customHeight="1" x14ac:dyDescent="0.3">
      <c r="A8090" s="313" t="s">
        <v>1033</v>
      </c>
      <c r="B8090" s="315" t="s">
        <v>5209</v>
      </c>
      <c r="C8090" s="313" t="s">
        <v>395</v>
      </c>
      <c r="D8090" s="313" t="s">
        <v>156</v>
      </c>
      <c r="E8090" s="603" t="s">
        <v>7768</v>
      </c>
      <c r="F8090" s="603"/>
      <c r="G8090" s="314" t="s">
        <v>6</v>
      </c>
      <c r="H8090" s="399">
        <v>1</v>
      </c>
      <c r="I8090" s="316"/>
      <c r="J8090" s="316">
        <v>166.37</v>
      </c>
      <c r="K8090" s="316">
        <v>166.37</v>
      </c>
    </row>
    <row r="8091" spans="1:11" ht="26.4" x14ac:dyDescent="0.3">
      <c r="A8091" s="408" t="s">
        <v>1034</v>
      </c>
      <c r="B8091" s="409" t="s">
        <v>8104</v>
      </c>
      <c r="C8091" s="408" t="s">
        <v>395</v>
      </c>
      <c r="D8091" s="408" t="s">
        <v>8105</v>
      </c>
      <c r="E8091" s="604" t="s">
        <v>7768</v>
      </c>
      <c r="F8091" s="604"/>
      <c r="G8091" s="410" t="s">
        <v>6</v>
      </c>
      <c r="H8091" s="412">
        <v>1</v>
      </c>
      <c r="I8091" s="412">
        <v>0</v>
      </c>
      <c r="J8091" s="411">
        <v>2.31</v>
      </c>
      <c r="K8091" s="411">
        <v>2.31</v>
      </c>
    </row>
    <row r="8092" spans="1:11" ht="15" x14ac:dyDescent="0.3">
      <c r="A8092" s="400" t="s">
        <v>1038</v>
      </c>
      <c r="B8092" s="401" t="s">
        <v>5099</v>
      </c>
      <c r="C8092" s="400" t="s">
        <v>395</v>
      </c>
      <c r="D8092" s="400" t="s">
        <v>5100</v>
      </c>
      <c r="E8092" s="605" t="s">
        <v>1053</v>
      </c>
      <c r="F8092" s="605"/>
      <c r="G8092" s="402" t="s">
        <v>6</v>
      </c>
      <c r="H8092" s="403">
        <v>1</v>
      </c>
      <c r="I8092" s="403">
        <v>0</v>
      </c>
      <c r="J8092" s="404">
        <v>156.83000000000001</v>
      </c>
      <c r="K8092" s="404">
        <v>156.83000000000001</v>
      </c>
    </row>
    <row r="8093" spans="1:11" ht="15" customHeight="1" x14ac:dyDescent="0.3">
      <c r="A8093" s="400" t="s">
        <v>1038</v>
      </c>
      <c r="B8093" s="401" t="s">
        <v>4028</v>
      </c>
      <c r="C8093" s="400" t="s">
        <v>395</v>
      </c>
      <c r="D8093" s="400" t="s">
        <v>4029</v>
      </c>
      <c r="E8093" s="605" t="s">
        <v>4030</v>
      </c>
      <c r="F8093" s="605"/>
      <c r="G8093" s="402" t="s">
        <v>6</v>
      </c>
      <c r="H8093" s="403">
        <v>1</v>
      </c>
      <c r="I8093" s="403">
        <v>0</v>
      </c>
      <c r="J8093" s="404">
        <v>4.78</v>
      </c>
      <c r="K8093" s="404">
        <v>4.78</v>
      </c>
    </row>
    <row r="8094" spans="1:11" ht="12.75" customHeight="1" x14ac:dyDescent="0.3">
      <c r="A8094" s="400" t="s">
        <v>1038</v>
      </c>
      <c r="B8094" s="401" t="s">
        <v>4078</v>
      </c>
      <c r="C8094" s="400" t="s">
        <v>395</v>
      </c>
      <c r="D8094" s="400" t="s">
        <v>4079</v>
      </c>
      <c r="E8094" s="605" t="s">
        <v>4030</v>
      </c>
      <c r="F8094" s="605"/>
      <c r="G8094" s="402" t="s">
        <v>6</v>
      </c>
      <c r="H8094" s="403">
        <v>1</v>
      </c>
      <c r="I8094" s="403">
        <v>0</v>
      </c>
      <c r="J8094" s="404">
        <v>1.25</v>
      </c>
      <c r="K8094" s="404">
        <v>1.25</v>
      </c>
    </row>
    <row r="8095" spans="1:11" ht="25.5" customHeight="1" x14ac:dyDescent="0.3">
      <c r="A8095" s="400" t="s">
        <v>1038</v>
      </c>
      <c r="B8095" s="401" t="s">
        <v>4274</v>
      </c>
      <c r="C8095" s="400" t="s">
        <v>395</v>
      </c>
      <c r="D8095" s="400" t="s">
        <v>4275</v>
      </c>
      <c r="E8095" s="605" t="s">
        <v>2386</v>
      </c>
      <c r="F8095" s="605"/>
      <c r="G8095" s="402" t="s">
        <v>6</v>
      </c>
      <c r="H8095" s="403">
        <v>1</v>
      </c>
      <c r="I8095" s="403">
        <v>0</v>
      </c>
      <c r="J8095" s="404">
        <v>0.11</v>
      </c>
      <c r="K8095" s="404">
        <v>0.11</v>
      </c>
    </row>
    <row r="8096" spans="1:11" ht="25.5" customHeight="1" x14ac:dyDescent="0.3">
      <c r="A8096" s="400" t="s">
        <v>1038</v>
      </c>
      <c r="B8096" s="401" t="s">
        <v>5122</v>
      </c>
      <c r="C8096" s="400" t="s">
        <v>395</v>
      </c>
      <c r="D8096" s="400" t="s">
        <v>5123</v>
      </c>
      <c r="E8096" s="605" t="s">
        <v>1317</v>
      </c>
      <c r="F8096" s="605"/>
      <c r="G8096" s="402" t="s">
        <v>6</v>
      </c>
      <c r="H8096" s="403">
        <v>1</v>
      </c>
      <c r="I8096" s="403">
        <v>0</v>
      </c>
      <c r="J8096" s="404">
        <v>0.02</v>
      </c>
      <c r="K8096" s="404">
        <v>0.02</v>
      </c>
    </row>
    <row r="8097" spans="1:11" ht="17.399999999999999" customHeight="1" x14ac:dyDescent="0.3">
      <c r="A8097" s="400" t="s">
        <v>1038</v>
      </c>
      <c r="B8097" s="401" t="s">
        <v>5120</v>
      </c>
      <c r="C8097" s="400" t="s">
        <v>395</v>
      </c>
      <c r="D8097" s="400" t="s">
        <v>5121</v>
      </c>
      <c r="E8097" s="605" t="s">
        <v>1317</v>
      </c>
      <c r="F8097" s="605"/>
      <c r="G8097" s="402" t="s">
        <v>6</v>
      </c>
      <c r="H8097" s="403">
        <v>1</v>
      </c>
      <c r="I8097" s="403">
        <v>0</v>
      </c>
      <c r="J8097" s="404">
        <v>1.07</v>
      </c>
      <c r="K8097" s="404">
        <v>1.07</v>
      </c>
    </row>
    <row r="8098" spans="1:11" ht="14.25" customHeight="1" x14ac:dyDescent="0.3">
      <c r="A8098" s="405"/>
      <c r="B8098" s="405"/>
      <c r="C8098" s="405"/>
      <c r="D8098" s="405"/>
      <c r="E8098" s="405" t="s">
        <v>1046</v>
      </c>
      <c r="F8098" s="406">
        <v>159.13999999999999</v>
      </c>
      <c r="G8098" s="405" t="s">
        <v>1047</v>
      </c>
      <c r="H8098" s="406">
        <v>0</v>
      </c>
      <c r="I8098" s="405" t="s">
        <v>1048</v>
      </c>
      <c r="J8098" s="406">
        <v>159.13999999999999</v>
      </c>
      <c r="K8098"/>
    </row>
    <row r="8099" spans="1:11" ht="14.25" customHeight="1" thickBot="1" x14ac:dyDescent="0.35">
      <c r="A8099" s="405"/>
      <c r="B8099" s="405"/>
      <c r="C8099" s="405"/>
      <c r="D8099" s="405"/>
      <c r="E8099" s="405" t="s">
        <v>1049</v>
      </c>
      <c r="F8099" s="406">
        <v>0</v>
      </c>
      <c r="G8099" s="405"/>
      <c r="H8099" s="606"/>
      <c r="I8099" s="606" t="s">
        <v>1050</v>
      </c>
      <c r="J8099" s="406">
        <v>166.37</v>
      </c>
      <c r="K8099"/>
    </row>
    <row r="8100" spans="1:11" ht="15.6" thickTop="1" x14ac:dyDescent="0.3">
      <c r="A8100" s="407"/>
      <c r="B8100" s="407"/>
      <c r="C8100" s="407"/>
      <c r="D8100" s="407"/>
      <c r="E8100" s="407"/>
      <c r="F8100" s="407"/>
      <c r="G8100" s="407"/>
      <c r="H8100" s="407"/>
      <c r="I8100" s="407"/>
      <c r="J8100" s="407"/>
      <c r="K8100"/>
    </row>
    <row r="8101" spans="1:11" ht="16.95" customHeight="1" x14ac:dyDescent="0.3">
      <c r="A8101" s="382"/>
      <c r="B8101" s="312" t="s">
        <v>413</v>
      </c>
      <c r="C8101" s="382" t="s">
        <v>414</v>
      </c>
      <c r="D8101" s="382" t="s">
        <v>415</v>
      </c>
      <c r="E8101" s="586" t="s">
        <v>1029</v>
      </c>
      <c r="F8101" s="586"/>
      <c r="G8101" s="383" t="s">
        <v>416</v>
      </c>
      <c r="H8101" s="312" t="s">
        <v>1030</v>
      </c>
      <c r="I8101" s="312" t="s">
        <v>3016</v>
      </c>
      <c r="J8101" s="312" t="s">
        <v>1031</v>
      </c>
      <c r="K8101" s="312" t="s">
        <v>1032</v>
      </c>
    </row>
    <row r="8102" spans="1:11" ht="15" customHeight="1" x14ac:dyDescent="0.3">
      <c r="A8102" s="313" t="s">
        <v>1033</v>
      </c>
      <c r="B8102" s="315" t="s">
        <v>8166</v>
      </c>
      <c r="C8102" s="313" t="s">
        <v>439</v>
      </c>
      <c r="D8102" s="313" t="s">
        <v>7924</v>
      </c>
      <c r="E8102" s="603" t="s">
        <v>7770</v>
      </c>
      <c r="F8102" s="603"/>
      <c r="G8102" s="314" t="s">
        <v>1109</v>
      </c>
      <c r="H8102" s="399">
        <v>1</v>
      </c>
      <c r="I8102" s="316"/>
      <c r="J8102" s="316">
        <v>1.41</v>
      </c>
      <c r="K8102" s="316">
        <v>1.41</v>
      </c>
    </row>
    <row r="8103" spans="1:11" ht="12.75" customHeight="1" x14ac:dyDescent="0.3">
      <c r="A8103" s="586" t="s">
        <v>3312</v>
      </c>
      <c r="B8103" s="584" t="s">
        <v>413</v>
      </c>
      <c r="C8103" s="586" t="s">
        <v>414</v>
      </c>
      <c r="D8103" s="586" t="s">
        <v>7901</v>
      </c>
      <c r="E8103" s="585" t="s">
        <v>7902</v>
      </c>
      <c r="F8103" s="584"/>
      <c r="G8103" s="585" t="s">
        <v>7903</v>
      </c>
      <c r="H8103" s="584"/>
      <c r="I8103" s="584" t="s">
        <v>7904</v>
      </c>
      <c r="J8103" s="584" t="s">
        <v>7905</v>
      </c>
      <c r="K8103"/>
    </row>
    <row r="8104" spans="1:11" ht="25.5" customHeight="1" x14ac:dyDescent="0.3">
      <c r="A8104" s="584"/>
      <c r="B8104" s="584"/>
      <c r="C8104" s="584"/>
      <c r="D8104" s="584"/>
      <c r="E8104" s="312" t="s">
        <v>4013</v>
      </c>
      <c r="F8104" s="312" t="s">
        <v>4014</v>
      </c>
      <c r="G8104" s="312" t="s">
        <v>4013</v>
      </c>
      <c r="H8104" s="312" t="s">
        <v>4014</v>
      </c>
      <c r="I8104" s="584"/>
      <c r="J8104" s="584"/>
      <c r="K8104"/>
    </row>
    <row r="8105" spans="1:11" ht="25.5" customHeight="1" x14ac:dyDescent="0.3">
      <c r="A8105" s="581"/>
      <c r="B8105" s="581"/>
      <c r="C8105" s="581"/>
      <c r="D8105" s="581"/>
      <c r="E8105" s="581"/>
      <c r="F8105" s="581" t="s">
        <v>7906</v>
      </c>
      <c r="G8105" s="581"/>
      <c r="H8105" s="581"/>
      <c r="I8105" s="581"/>
      <c r="J8105" s="381">
        <v>0</v>
      </c>
      <c r="K8105"/>
    </row>
    <row r="8106" spans="1:11" ht="16.95" customHeight="1" x14ac:dyDescent="0.3">
      <c r="A8106" s="382" t="s">
        <v>371</v>
      </c>
      <c r="B8106" s="312" t="s">
        <v>413</v>
      </c>
      <c r="C8106" s="382" t="s">
        <v>414</v>
      </c>
      <c r="D8106" s="382" t="s">
        <v>1053</v>
      </c>
      <c r="E8106" s="312"/>
      <c r="F8106" s="584"/>
      <c r="G8106" s="584" t="s">
        <v>7907</v>
      </c>
      <c r="H8106" s="584" t="s">
        <v>7908</v>
      </c>
      <c r="I8106" s="584" t="s">
        <v>7904</v>
      </c>
      <c r="J8106" s="312" t="s">
        <v>7905</v>
      </c>
      <c r="K8106"/>
    </row>
    <row r="8107" spans="1:11" ht="14.25" customHeight="1" x14ac:dyDescent="0.3">
      <c r="A8107" s="581"/>
      <c r="B8107" s="581"/>
      <c r="C8107" s="581"/>
      <c r="D8107" s="581"/>
      <c r="E8107" s="581"/>
      <c r="F8107" s="581" t="s">
        <v>7910</v>
      </c>
      <c r="G8107" s="581"/>
      <c r="H8107" s="581"/>
      <c r="I8107" s="581"/>
      <c r="J8107" s="381">
        <v>0</v>
      </c>
      <c r="K8107"/>
    </row>
    <row r="8108" spans="1:11" ht="14.25" customHeight="1" x14ac:dyDescent="0.3">
      <c r="A8108" s="581"/>
      <c r="B8108" s="581"/>
      <c r="C8108" s="581"/>
      <c r="D8108" s="581"/>
      <c r="E8108" s="581"/>
      <c r="F8108" s="581" t="s">
        <v>7911</v>
      </c>
      <c r="G8108" s="581"/>
      <c r="H8108" s="581"/>
      <c r="I8108" s="581"/>
      <c r="J8108" s="381">
        <v>0</v>
      </c>
      <c r="K8108"/>
    </row>
    <row r="8109" spans="1:11" ht="15" x14ac:dyDescent="0.3">
      <c r="A8109" s="581"/>
      <c r="B8109" s="581"/>
      <c r="C8109" s="581"/>
      <c r="D8109" s="581"/>
      <c r="E8109" s="581"/>
      <c r="F8109" s="581" t="s">
        <v>7912</v>
      </c>
      <c r="G8109" s="581"/>
      <c r="H8109" s="581"/>
      <c r="I8109" s="581"/>
      <c r="J8109" s="381">
        <v>1</v>
      </c>
      <c r="K8109"/>
    </row>
    <row r="8110" spans="1:11" ht="15" x14ac:dyDescent="0.3">
      <c r="A8110" s="581"/>
      <c r="B8110" s="581"/>
      <c r="C8110" s="581"/>
      <c r="D8110" s="581"/>
      <c r="E8110" s="581"/>
      <c r="F8110" s="581" t="s">
        <v>7913</v>
      </c>
      <c r="G8110" s="581"/>
      <c r="H8110" s="581"/>
      <c r="I8110" s="581"/>
      <c r="J8110" s="381">
        <v>0</v>
      </c>
      <c r="K8110"/>
    </row>
    <row r="8111" spans="1:11" ht="15" customHeight="1" x14ac:dyDescent="0.3">
      <c r="A8111" s="382" t="s">
        <v>7914</v>
      </c>
      <c r="B8111" s="312" t="s">
        <v>414</v>
      </c>
      <c r="C8111" s="382" t="s">
        <v>413</v>
      </c>
      <c r="D8111" s="382" t="s">
        <v>1039</v>
      </c>
      <c r="E8111" s="312"/>
      <c r="F8111" s="312"/>
      <c r="G8111" s="312" t="s">
        <v>7907</v>
      </c>
      <c r="H8111" s="312" t="s">
        <v>7908</v>
      </c>
      <c r="I8111" s="312" t="s">
        <v>1552</v>
      </c>
      <c r="J8111" s="312" t="s">
        <v>7905</v>
      </c>
      <c r="K8111"/>
    </row>
    <row r="8112" spans="1:11" ht="12.75" customHeight="1" x14ac:dyDescent="0.3">
      <c r="A8112" s="400" t="s">
        <v>1038</v>
      </c>
      <c r="B8112" s="401" t="s">
        <v>439</v>
      </c>
      <c r="C8112" s="400" t="s">
        <v>8167</v>
      </c>
      <c r="D8112" s="400" t="s">
        <v>7740</v>
      </c>
      <c r="E8112" s="400"/>
      <c r="F8112" s="400" t="s">
        <v>7916</v>
      </c>
      <c r="G8112" s="402" t="s">
        <v>1109</v>
      </c>
      <c r="H8112" s="404">
        <v>1.41</v>
      </c>
      <c r="I8112" s="403">
        <v>1</v>
      </c>
      <c r="J8112" s="404">
        <v>1.41</v>
      </c>
      <c r="K8112"/>
    </row>
    <row r="8113" spans="1:11" ht="25.5" customHeight="1" x14ac:dyDescent="0.3">
      <c r="A8113" s="581"/>
      <c r="B8113" s="581"/>
      <c r="C8113" s="581"/>
      <c r="D8113" s="581"/>
      <c r="E8113" s="581"/>
      <c r="F8113" s="581" t="s">
        <v>7920</v>
      </c>
      <c r="G8113" s="581"/>
      <c r="H8113" s="581"/>
      <c r="I8113" s="581"/>
      <c r="J8113" s="381">
        <v>1.41</v>
      </c>
      <c r="K8113"/>
    </row>
    <row r="8114" spans="1:11" ht="25.5" customHeight="1" x14ac:dyDescent="0.3">
      <c r="A8114" s="382" t="s">
        <v>7921</v>
      </c>
      <c r="B8114" s="312" t="s">
        <v>414</v>
      </c>
      <c r="C8114" s="382" t="s">
        <v>413</v>
      </c>
      <c r="D8114" s="382" t="s">
        <v>2381</v>
      </c>
      <c r="E8114" s="312"/>
      <c r="F8114" s="312"/>
      <c r="G8114" s="312" t="s">
        <v>7907</v>
      </c>
      <c r="H8114" s="312" t="s">
        <v>7908</v>
      </c>
      <c r="I8114" s="312" t="s">
        <v>1552</v>
      </c>
      <c r="J8114" s="312" t="s">
        <v>7905</v>
      </c>
      <c r="K8114"/>
    </row>
    <row r="8115" spans="1:11" ht="15" x14ac:dyDescent="0.3">
      <c r="A8115" s="581"/>
      <c r="B8115" s="581"/>
      <c r="C8115" s="581"/>
      <c r="D8115" s="581"/>
      <c r="E8115" s="581"/>
      <c r="F8115" s="581" t="s">
        <v>7929</v>
      </c>
      <c r="G8115" s="581"/>
      <c r="H8115" s="581"/>
      <c r="I8115" s="581"/>
      <c r="J8115" s="381">
        <v>0</v>
      </c>
      <c r="K8115"/>
    </row>
    <row r="8116" spans="1:11" ht="27.6" x14ac:dyDescent="0.3">
      <c r="A8116" s="382" t="s">
        <v>6</v>
      </c>
      <c r="B8116" s="312" t="s">
        <v>414</v>
      </c>
      <c r="C8116" s="382" t="s">
        <v>413</v>
      </c>
      <c r="D8116" s="382" t="s">
        <v>7930</v>
      </c>
      <c r="E8116" s="312" t="s">
        <v>7931</v>
      </c>
      <c r="F8116" s="312" t="s">
        <v>7932</v>
      </c>
      <c r="G8116" s="312" t="s">
        <v>7907</v>
      </c>
      <c r="H8116" s="312" t="s">
        <v>7908</v>
      </c>
      <c r="I8116" s="312" t="s">
        <v>1552</v>
      </c>
      <c r="J8116" s="312" t="s">
        <v>7905</v>
      </c>
      <c r="K8116"/>
    </row>
    <row r="8117" spans="1:11" ht="14.25" customHeight="1" x14ac:dyDescent="0.3">
      <c r="A8117" s="581"/>
      <c r="B8117" s="581"/>
      <c r="C8117" s="581"/>
      <c r="D8117" s="581"/>
      <c r="E8117" s="581"/>
      <c r="F8117" s="581" t="s">
        <v>7933</v>
      </c>
      <c r="G8117" s="581"/>
      <c r="H8117" s="581"/>
      <c r="I8117" s="581"/>
      <c r="J8117" s="381">
        <v>0</v>
      </c>
      <c r="K8117"/>
    </row>
    <row r="8118" spans="1:11" ht="14.25" customHeight="1" x14ac:dyDescent="0.3">
      <c r="A8118" s="405"/>
      <c r="B8118" s="405"/>
      <c r="C8118" s="405"/>
      <c r="D8118" s="405"/>
      <c r="E8118" s="405" t="s">
        <v>1046</v>
      </c>
      <c r="F8118" s="406">
        <v>0</v>
      </c>
      <c r="G8118" s="405" t="s">
        <v>1047</v>
      </c>
      <c r="H8118" s="406">
        <v>0</v>
      </c>
      <c r="I8118" s="405" t="s">
        <v>1048</v>
      </c>
      <c r="J8118" s="406">
        <v>0</v>
      </c>
      <c r="K8118"/>
    </row>
    <row r="8119" spans="1:11" ht="15.6" thickBot="1" x14ac:dyDescent="0.35">
      <c r="A8119" s="405"/>
      <c r="B8119" s="405"/>
      <c r="C8119" s="405"/>
      <c r="D8119" s="405"/>
      <c r="E8119" s="405" t="s">
        <v>1049</v>
      </c>
      <c r="F8119" s="406">
        <v>0</v>
      </c>
      <c r="G8119" s="405"/>
      <c r="H8119" s="606"/>
      <c r="I8119" s="606" t="s">
        <v>1050</v>
      </c>
      <c r="J8119" s="406">
        <v>1.41</v>
      </c>
      <c r="K8119"/>
    </row>
    <row r="8120" spans="1:11" ht="15.6" thickTop="1" x14ac:dyDescent="0.3">
      <c r="A8120" s="407"/>
      <c r="B8120" s="407"/>
      <c r="C8120" s="407"/>
      <c r="D8120" s="407"/>
      <c r="E8120" s="407"/>
      <c r="F8120" s="407"/>
      <c r="G8120" s="407"/>
      <c r="H8120" s="407"/>
      <c r="I8120" s="407"/>
      <c r="J8120" s="407"/>
      <c r="K8120"/>
    </row>
    <row r="8121" spans="1:11" ht="12.75" customHeight="1" x14ac:dyDescent="0.3">
      <c r="A8121" s="382"/>
      <c r="B8121" s="312" t="s">
        <v>413</v>
      </c>
      <c r="C8121" s="382" t="s">
        <v>414</v>
      </c>
      <c r="D8121" s="382" t="s">
        <v>415</v>
      </c>
      <c r="E8121" s="586" t="s">
        <v>1029</v>
      </c>
      <c r="F8121" s="586"/>
      <c r="G8121" s="383" t="s">
        <v>416</v>
      </c>
      <c r="H8121" s="312" t="s">
        <v>1030</v>
      </c>
      <c r="I8121" s="312" t="s">
        <v>3016</v>
      </c>
      <c r="J8121" s="312" t="s">
        <v>1031</v>
      </c>
      <c r="K8121" s="312" t="s">
        <v>1032</v>
      </c>
    </row>
    <row r="8122" spans="1:11" ht="12.75" customHeight="1" x14ac:dyDescent="0.3">
      <c r="A8122" s="313" t="s">
        <v>1033</v>
      </c>
      <c r="B8122" s="315" t="s">
        <v>4828</v>
      </c>
      <c r="C8122" s="313" t="s">
        <v>439</v>
      </c>
      <c r="D8122" s="313" t="s">
        <v>7937</v>
      </c>
      <c r="E8122" s="603" t="s">
        <v>7770</v>
      </c>
      <c r="F8122" s="603"/>
      <c r="G8122" s="314" t="s">
        <v>1109</v>
      </c>
      <c r="H8122" s="399">
        <v>1</v>
      </c>
      <c r="I8122" s="316"/>
      <c r="J8122" s="316">
        <v>1.34</v>
      </c>
      <c r="K8122" s="316">
        <v>1.34</v>
      </c>
    </row>
    <row r="8123" spans="1:11" ht="25.5" customHeight="1" x14ac:dyDescent="0.3">
      <c r="A8123" s="586" t="s">
        <v>3312</v>
      </c>
      <c r="B8123" s="584" t="s">
        <v>413</v>
      </c>
      <c r="C8123" s="586" t="s">
        <v>414</v>
      </c>
      <c r="D8123" s="586" t="s">
        <v>7901</v>
      </c>
      <c r="E8123" s="585" t="s">
        <v>7902</v>
      </c>
      <c r="F8123" s="584"/>
      <c r="G8123" s="585" t="s">
        <v>7903</v>
      </c>
      <c r="H8123" s="584"/>
      <c r="I8123" s="584" t="s">
        <v>7904</v>
      </c>
      <c r="J8123" s="584" t="s">
        <v>7905</v>
      </c>
      <c r="K8123"/>
    </row>
    <row r="8124" spans="1:11" ht="25.5" customHeight="1" x14ac:dyDescent="0.3">
      <c r="A8124" s="584"/>
      <c r="B8124" s="584"/>
      <c r="C8124" s="584"/>
      <c r="D8124" s="584"/>
      <c r="E8124" s="312" t="s">
        <v>4013</v>
      </c>
      <c r="F8124" s="312" t="s">
        <v>4014</v>
      </c>
      <c r="G8124" s="312" t="s">
        <v>4013</v>
      </c>
      <c r="H8124" s="312" t="s">
        <v>4014</v>
      </c>
      <c r="I8124" s="584"/>
      <c r="J8124" s="584"/>
      <c r="K8124"/>
    </row>
    <row r="8125" spans="1:11" ht="15" x14ac:dyDescent="0.3">
      <c r="A8125" s="581"/>
      <c r="B8125" s="581"/>
      <c r="C8125" s="581"/>
      <c r="D8125" s="581"/>
      <c r="E8125" s="581"/>
      <c r="F8125" s="581" t="s">
        <v>7906</v>
      </c>
      <c r="G8125" s="581"/>
      <c r="H8125" s="581"/>
      <c r="I8125" s="581"/>
      <c r="J8125" s="381">
        <v>0</v>
      </c>
      <c r="K8125"/>
    </row>
    <row r="8126" spans="1:11" ht="14.25" customHeight="1" x14ac:dyDescent="0.3">
      <c r="A8126" s="382" t="s">
        <v>371</v>
      </c>
      <c r="B8126" s="312" t="s">
        <v>413</v>
      </c>
      <c r="C8126" s="382" t="s">
        <v>414</v>
      </c>
      <c r="D8126" s="382" t="s">
        <v>1053</v>
      </c>
      <c r="E8126" s="312"/>
      <c r="F8126" s="584"/>
      <c r="G8126" s="584" t="s">
        <v>7907</v>
      </c>
      <c r="H8126" s="584" t="s">
        <v>7908</v>
      </c>
      <c r="I8126" s="584" t="s">
        <v>7904</v>
      </c>
      <c r="J8126" s="312" t="s">
        <v>7905</v>
      </c>
      <c r="K8126"/>
    </row>
    <row r="8127" spans="1:11" ht="14.25" customHeight="1" x14ac:dyDescent="0.3">
      <c r="A8127" s="581"/>
      <c r="B8127" s="581"/>
      <c r="C8127" s="581"/>
      <c r="D8127" s="581"/>
      <c r="E8127" s="581"/>
      <c r="F8127" s="581" t="s">
        <v>7910</v>
      </c>
      <c r="G8127" s="581"/>
      <c r="H8127" s="581"/>
      <c r="I8127" s="581"/>
      <c r="J8127" s="381">
        <v>0</v>
      </c>
      <c r="K8127"/>
    </row>
    <row r="8128" spans="1:11" ht="16.95" customHeight="1" x14ac:dyDescent="0.3">
      <c r="A8128" s="581"/>
      <c r="B8128" s="581"/>
      <c r="C8128" s="581"/>
      <c r="D8128" s="581"/>
      <c r="E8128" s="581"/>
      <c r="F8128" s="581" t="s">
        <v>7911</v>
      </c>
      <c r="G8128" s="581"/>
      <c r="H8128" s="581"/>
      <c r="I8128" s="581"/>
      <c r="J8128" s="381">
        <v>0</v>
      </c>
      <c r="K8128"/>
    </row>
    <row r="8129" spans="1:11" ht="15" x14ac:dyDescent="0.3">
      <c r="A8129" s="581"/>
      <c r="B8129" s="581"/>
      <c r="C8129" s="581"/>
      <c r="D8129" s="581"/>
      <c r="E8129" s="581"/>
      <c r="F8129" s="581" t="s">
        <v>7912</v>
      </c>
      <c r="G8129" s="581"/>
      <c r="H8129" s="581"/>
      <c r="I8129" s="581"/>
      <c r="J8129" s="381">
        <v>1</v>
      </c>
      <c r="K8129"/>
    </row>
    <row r="8130" spans="1:11" ht="12.75" customHeight="1" x14ac:dyDescent="0.3">
      <c r="A8130" s="581"/>
      <c r="B8130" s="581"/>
      <c r="C8130" s="581"/>
      <c r="D8130" s="581"/>
      <c r="E8130" s="581"/>
      <c r="F8130" s="581" t="s">
        <v>7913</v>
      </c>
      <c r="G8130" s="581"/>
      <c r="H8130" s="581"/>
      <c r="I8130" s="581"/>
      <c r="J8130" s="381">
        <v>0</v>
      </c>
      <c r="K8130"/>
    </row>
    <row r="8131" spans="1:11" ht="12.75" customHeight="1" x14ac:dyDescent="0.3">
      <c r="A8131" s="382" t="s">
        <v>7914</v>
      </c>
      <c r="B8131" s="312" t="s">
        <v>414</v>
      </c>
      <c r="C8131" s="382" t="s">
        <v>413</v>
      </c>
      <c r="D8131" s="382" t="s">
        <v>1039</v>
      </c>
      <c r="E8131" s="312"/>
      <c r="F8131" s="312"/>
      <c r="G8131" s="312" t="s">
        <v>7907</v>
      </c>
      <c r="H8131" s="312" t="s">
        <v>7908</v>
      </c>
      <c r="I8131" s="312" t="s">
        <v>1552</v>
      </c>
      <c r="J8131" s="312" t="s">
        <v>7905</v>
      </c>
      <c r="K8131"/>
    </row>
    <row r="8132" spans="1:11" ht="25.5" customHeight="1" x14ac:dyDescent="0.3">
      <c r="A8132" s="400" t="s">
        <v>1038</v>
      </c>
      <c r="B8132" s="401" t="s">
        <v>439</v>
      </c>
      <c r="C8132" s="400" t="s">
        <v>8168</v>
      </c>
      <c r="D8132" s="400" t="s">
        <v>7705</v>
      </c>
      <c r="E8132" s="400"/>
      <c r="F8132" s="400" t="s">
        <v>7916</v>
      </c>
      <c r="G8132" s="402" t="s">
        <v>1109</v>
      </c>
      <c r="H8132" s="404">
        <v>1.34</v>
      </c>
      <c r="I8132" s="403">
        <v>1</v>
      </c>
      <c r="J8132" s="404">
        <v>1.34</v>
      </c>
      <c r="K8132"/>
    </row>
    <row r="8133" spans="1:11" ht="25.5" customHeight="1" x14ac:dyDescent="0.3">
      <c r="A8133" s="581"/>
      <c r="B8133" s="581"/>
      <c r="C8133" s="581"/>
      <c r="D8133" s="581"/>
      <c r="E8133" s="581"/>
      <c r="F8133" s="581" t="s">
        <v>7920</v>
      </c>
      <c r="G8133" s="581"/>
      <c r="H8133" s="581"/>
      <c r="I8133" s="581"/>
      <c r="J8133" s="381">
        <v>1.34</v>
      </c>
      <c r="K8133"/>
    </row>
    <row r="8134" spans="1:11" ht="27.6" x14ac:dyDescent="0.3">
      <c r="A8134" s="382" t="s">
        <v>7921</v>
      </c>
      <c r="B8134" s="312" t="s">
        <v>414</v>
      </c>
      <c r="C8134" s="382" t="s">
        <v>413</v>
      </c>
      <c r="D8134" s="382" t="s">
        <v>2381</v>
      </c>
      <c r="E8134" s="312"/>
      <c r="F8134" s="312"/>
      <c r="G8134" s="312" t="s">
        <v>7907</v>
      </c>
      <c r="H8134" s="312" t="s">
        <v>7908</v>
      </c>
      <c r="I8134" s="312" t="s">
        <v>1552</v>
      </c>
      <c r="J8134" s="312" t="s">
        <v>7905</v>
      </c>
      <c r="K8134"/>
    </row>
    <row r="8135" spans="1:11" ht="15" x14ac:dyDescent="0.3">
      <c r="A8135" s="581"/>
      <c r="B8135" s="581"/>
      <c r="C8135" s="581"/>
      <c r="D8135" s="581"/>
      <c r="E8135" s="581"/>
      <c r="F8135" s="581" t="s">
        <v>7929</v>
      </c>
      <c r="G8135" s="581"/>
      <c r="H8135" s="581"/>
      <c r="I8135" s="581"/>
      <c r="J8135" s="381">
        <v>0</v>
      </c>
      <c r="K8135"/>
    </row>
    <row r="8136" spans="1:11" ht="14.25" customHeight="1" x14ac:dyDescent="0.3">
      <c r="A8136" s="382" t="s">
        <v>6</v>
      </c>
      <c r="B8136" s="312" t="s">
        <v>414</v>
      </c>
      <c r="C8136" s="382" t="s">
        <v>413</v>
      </c>
      <c r="D8136" s="382" t="s">
        <v>7930</v>
      </c>
      <c r="E8136" s="312" t="s">
        <v>7931</v>
      </c>
      <c r="F8136" s="312" t="s">
        <v>7932</v>
      </c>
      <c r="G8136" s="312" t="s">
        <v>7907</v>
      </c>
      <c r="H8136" s="312" t="s">
        <v>7908</v>
      </c>
      <c r="I8136" s="312" t="s">
        <v>1552</v>
      </c>
      <c r="J8136" s="312" t="s">
        <v>7905</v>
      </c>
      <c r="K8136"/>
    </row>
    <row r="8137" spans="1:11" ht="14.25" customHeight="1" x14ac:dyDescent="0.3">
      <c r="A8137" s="581"/>
      <c r="B8137" s="581"/>
      <c r="C8137" s="581"/>
      <c r="D8137" s="581"/>
      <c r="E8137" s="581"/>
      <c r="F8137" s="581" t="s">
        <v>7933</v>
      </c>
      <c r="G8137" s="581"/>
      <c r="H8137" s="581"/>
      <c r="I8137" s="581"/>
      <c r="J8137" s="381">
        <v>0</v>
      </c>
      <c r="K8137"/>
    </row>
    <row r="8138" spans="1:11" ht="15" x14ac:dyDescent="0.3">
      <c r="A8138" s="405"/>
      <c r="B8138" s="405"/>
      <c r="C8138" s="405"/>
      <c r="D8138" s="405"/>
      <c r="E8138" s="405" t="s">
        <v>1046</v>
      </c>
      <c r="F8138" s="406">
        <v>0</v>
      </c>
      <c r="G8138" s="405" t="s">
        <v>1047</v>
      </c>
      <c r="H8138" s="406">
        <v>0</v>
      </c>
      <c r="I8138" s="405" t="s">
        <v>1048</v>
      </c>
      <c r="J8138" s="406">
        <v>0</v>
      </c>
      <c r="K8138"/>
    </row>
    <row r="8139" spans="1:11" ht="15.6" thickBot="1" x14ac:dyDescent="0.35">
      <c r="A8139" s="405"/>
      <c r="B8139" s="405"/>
      <c r="C8139" s="405"/>
      <c r="D8139" s="405"/>
      <c r="E8139" s="405" t="s">
        <v>1049</v>
      </c>
      <c r="F8139" s="406">
        <v>0</v>
      </c>
      <c r="G8139" s="405"/>
      <c r="H8139" s="606"/>
      <c r="I8139" s="606" t="s">
        <v>1050</v>
      </c>
      <c r="J8139" s="406">
        <v>1.34</v>
      </c>
      <c r="K8139"/>
    </row>
    <row r="8140" spans="1:11" ht="15" customHeight="1" thickTop="1" x14ac:dyDescent="0.3">
      <c r="A8140" s="407"/>
      <c r="B8140" s="407"/>
      <c r="C8140" s="407"/>
      <c r="D8140" s="407"/>
      <c r="E8140" s="407"/>
      <c r="F8140" s="407"/>
      <c r="G8140" s="407"/>
      <c r="H8140" s="407"/>
      <c r="I8140" s="407"/>
      <c r="J8140" s="407"/>
      <c r="K8140"/>
    </row>
    <row r="8141" spans="1:11" ht="12.75" customHeight="1" x14ac:dyDescent="0.3">
      <c r="A8141" s="382"/>
      <c r="B8141" s="312" t="s">
        <v>413</v>
      </c>
      <c r="C8141" s="382" t="s">
        <v>414</v>
      </c>
      <c r="D8141" s="382" t="s">
        <v>415</v>
      </c>
      <c r="E8141" s="586" t="s">
        <v>1029</v>
      </c>
      <c r="F8141" s="586"/>
      <c r="G8141" s="383" t="s">
        <v>416</v>
      </c>
      <c r="H8141" s="312" t="s">
        <v>1030</v>
      </c>
      <c r="I8141" s="312" t="s">
        <v>3016</v>
      </c>
      <c r="J8141" s="312" t="s">
        <v>1031</v>
      </c>
      <c r="K8141" s="312" t="s">
        <v>1032</v>
      </c>
    </row>
    <row r="8142" spans="1:11" ht="25.5" customHeight="1" x14ac:dyDescent="0.3">
      <c r="A8142" s="313" t="s">
        <v>1033</v>
      </c>
      <c r="B8142" s="315" t="s">
        <v>8169</v>
      </c>
      <c r="C8142" s="313" t="s">
        <v>439</v>
      </c>
      <c r="D8142" s="313" t="s">
        <v>8066</v>
      </c>
      <c r="E8142" s="603" t="s">
        <v>7770</v>
      </c>
      <c r="F8142" s="603"/>
      <c r="G8142" s="314" t="s">
        <v>1109</v>
      </c>
      <c r="H8142" s="399">
        <v>1</v>
      </c>
      <c r="I8142" s="316"/>
      <c r="J8142" s="316">
        <v>1.41</v>
      </c>
      <c r="K8142" s="316">
        <v>1.41</v>
      </c>
    </row>
    <row r="8143" spans="1:11" ht="15" x14ac:dyDescent="0.3">
      <c r="A8143" s="586" t="s">
        <v>3312</v>
      </c>
      <c r="B8143" s="584" t="s">
        <v>413</v>
      </c>
      <c r="C8143" s="586" t="s">
        <v>414</v>
      </c>
      <c r="D8143" s="586" t="s">
        <v>7901</v>
      </c>
      <c r="E8143" s="585" t="s">
        <v>7902</v>
      </c>
      <c r="F8143" s="584"/>
      <c r="G8143" s="585" t="s">
        <v>7903</v>
      </c>
      <c r="H8143" s="584"/>
      <c r="I8143" s="584" t="s">
        <v>7904</v>
      </c>
      <c r="J8143" s="584" t="s">
        <v>7905</v>
      </c>
      <c r="K8143"/>
    </row>
    <row r="8144" spans="1:11" ht="16.95" customHeight="1" x14ac:dyDescent="0.3">
      <c r="A8144" s="584"/>
      <c r="B8144" s="584"/>
      <c r="C8144" s="584"/>
      <c r="D8144" s="584"/>
      <c r="E8144" s="312" t="s">
        <v>4013</v>
      </c>
      <c r="F8144" s="312" t="s">
        <v>4014</v>
      </c>
      <c r="G8144" s="312" t="s">
        <v>4013</v>
      </c>
      <c r="H8144" s="312" t="s">
        <v>4014</v>
      </c>
      <c r="I8144" s="584"/>
      <c r="J8144" s="584"/>
      <c r="K8144"/>
    </row>
    <row r="8145" spans="1:11" ht="15" x14ac:dyDescent="0.3">
      <c r="A8145" s="581"/>
      <c r="B8145" s="581"/>
      <c r="C8145" s="581"/>
      <c r="D8145" s="581"/>
      <c r="E8145" s="581"/>
      <c r="F8145" s="581" t="s">
        <v>7906</v>
      </c>
      <c r="G8145" s="581"/>
      <c r="H8145" s="581"/>
      <c r="I8145" s="581"/>
      <c r="J8145" s="381">
        <v>0</v>
      </c>
      <c r="K8145"/>
    </row>
    <row r="8146" spans="1:11" ht="16.95" customHeight="1" x14ac:dyDescent="0.3">
      <c r="A8146" s="382" t="s">
        <v>371</v>
      </c>
      <c r="B8146" s="312" t="s">
        <v>413</v>
      </c>
      <c r="C8146" s="382" t="s">
        <v>414</v>
      </c>
      <c r="D8146" s="382" t="s">
        <v>1053</v>
      </c>
      <c r="E8146" s="312"/>
      <c r="F8146" s="584"/>
      <c r="G8146" s="584" t="s">
        <v>7907</v>
      </c>
      <c r="H8146" s="584" t="s">
        <v>7908</v>
      </c>
      <c r="I8146" s="584" t="s">
        <v>7904</v>
      </c>
      <c r="J8146" s="312" t="s">
        <v>7905</v>
      </c>
      <c r="K8146"/>
    </row>
    <row r="8147" spans="1:11" ht="12.75" customHeight="1" x14ac:dyDescent="0.3">
      <c r="A8147" s="581"/>
      <c r="B8147" s="581"/>
      <c r="C8147" s="581"/>
      <c r="D8147" s="581"/>
      <c r="E8147" s="581"/>
      <c r="F8147" s="581" t="s">
        <v>7910</v>
      </c>
      <c r="G8147" s="581"/>
      <c r="H8147" s="581"/>
      <c r="I8147" s="581"/>
      <c r="J8147" s="381">
        <v>0</v>
      </c>
      <c r="K8147"/>
    </row>
    <row r="8148" spans="1:11" ht="16.95" customHeight="1" x14ac:dyDescent="0.3">
      <c r="A8148" s="581"/>
      <c r="B8148" s="581"/>
      <c r="C8148" s="581"/>
      <c r="D8148" s="581"/>
      <c r="E8148" s="581"/>
      <c r="F8148" s="581" t="s">
        <v>7911</v>
      </c>
      <c r="G8148" s="581"/>
      <c r="H8148" s="581"/>
      <c r="I8148" s="581"/>
      <c r="J8148" s="381">
        <v>0</v>
      </c>
      <c r="K8148"/>
    </row>
    <row r="8149" spans="1:11" ht="15" x14ac:dyDescent="0.3">
      <c r="A8149" s="581"/>
      <c r="B8149" s="581"/>
      <c r="C8149" s="581"/>
      <c r="D8149" s="581"/>
      <c r="E8149" s="581"/>
      <c r="F8149" s="581" t="s">
        <v>7912</v>
      </c>
      <c r="G8149" s="581"/>
      <c r="H8149" s="581"/>
      <c r="I8149" s="581"/>
      <c r="J8149" s="381">
        <v>1</v>
      </c>
      <c r="K8149"/>
    </row>
    <row r="8150" spans="1:11" ht="15" x14ac:dyDescent="0.3">
      <c r="A8150" s="581"/>
      <c r="B8150" s="581"/>
      <c r="C8150" s="581"/>
      <c r="D8150" s="581"/>
      <c r="E8150" s="581"/>
      <c r="F8150" s="581" t="s">
        <v>7913</v>
      </c>
      <c r="G8150" s="581"/>
      <c r="H8150" s="581"/>
      <c r="I8150" s="581"/>
      <c r="J8150" s="381">
        <v>0</v>
      </c>
      <c r="K8150"/>
    </row>
    <row r="8151" spans="1:11" ht="27.6" x14ac:dyDescent="0.3">
      <c r="A8151" s="382" t="s">
        <v>7914</v>
      </c>
      <c r="B8151" s="312" t="s">
        <v>414</v>
      </c>
      <c r="C8151" s="382" t="s">
        <v>413</v>
      </c>
      <c r="D8151" s="382" t="s">
        <v>1039</v>
      </c>
      <c r="E8151" s="312"/>
      <c r="F8151" s="312"/>
      <c r="G8151" s="312" t="s">
        <v>7907</v>
      </c>
      <c r="H8151" s="312" t="s">
        <v>7908</v>
      </c>
      <c r="I8151" s="312" t="s">
        <v>1552</v>
      </c>
      <c r="J8151" s="312" t="s">
        <v>7905</v>
      </c>
      <c r="K8151"/>
    </row>
    <row r="8152" spans="1:11" ht="25.5" customHeight="1" x14ac:dyDescent="0.3">
      <c r="A8152" s="400" t="s">
        <v>1038</v>
      </c>
      <c r="B8152" s="401" t="s">
        <v>439</v>
      </c>
      <c r="C8152" s="400" t="s">
        <v>8167</v>
      </c>
      <c r="D8152" s="400" t="s">
        <v>7740</v>
      </c>
      <c r="E8152" s="400"/>
      <c r="F8152" s="400" t="s">
        <v>7916</v>
      </c>
      <c r="G8152" s="402" t="s">
        <v>1109</v>
      </c>
      <c r="H8152" s="404">
        <v>1.41</v>
      </c>
      <c r="I8152" s="403">
        <v>1</v>
      </c>
      <c r="J8152" s="404">
        <v>1.41</v>
      </c>
      <c r="K8152"/>
    </row>
    <row r="8153" spans="1:11" ht="25.5" customHeight="1" x14ac:dyDescent="0.3">
      <c r="A8153" s="581"/>
      <c r="B8153" s="581"/>
      <c r="C8153" s="581"/>
      <c r="D8153" s="581"/>
      <c r="E8153" s="581"/>
      <c r="F8153" s="581" t="s">
        <v>7920</v>
      </c>
      <c r="G8153" s="581"/>
      <c r="H8153" s="581"/>
      <c r="I8153" s="581"/>
      <c r="J8153" s="381">
        <v>1.41</v>
      </c>
      <c r="K8153"/>
    </row>
    <row r="8154" spans="1:11" ht="14.25" customHeight="1" x14ac:dyDescent="0.3">
      <c r="A8154" s="382" t="s">
        <v>7921</v>
      </c>
      <c r="B8154" s="312" t="s">
        <v>414</v>
      </c>
      <c r="C8154" s="382" t="s">
        <v>413</v>
      </c>
      <c r="D8154" s="382" t="s">
        <v>2381</v>
      </c>
      <c r="E8154" s="312"/>
      <c r="F8154" s="312"/>
      <c r="G8154" s="312" t="s">
        <v>7907</v>
      </c>
      <c r="H8154" s="312" t="s">
        <v>7908</v>
      </c>
      <c r="I8154" s="312" t="s">
        <v>1552</v>
      </c>
      <c r="J8154" s="312" t="s">
        <v>7905</v>
      </c>
      <c r="K8154"/>
    </row>
    <row r="8155" spans="1:11" ht="15" x14ac:dyDescent="0.3">
      <c r="A8155" s="581"/>
      <c r="B8155" s="581"/>
      <c r="C8155" s="581"/>
      <c r="D8155" s="581"/>
      <c r="E8155" s="581"/>
      <c r="F8155" s="581" t="s">
        <v>7929</v>
      </c>
      <c r="G8155" s="581"/>
      <c r="H8155" s="581"/>
      <c r="I8155" s="581"/>
      <c r="J8155" s="381">
        <v>0</v>
      </c>
      <c r="K8155"/>
    </row>
    <row r="8156" spans="1:11" ht="27.6" x14ac:dyDescent="0.3">
      <c r="A8156" s="382" t="s">
        <v>6</v>
      </c>
      <c r="B8156" s="312" t="s">
        <v>414</v>
      </c>
      <c r="C8156" s="382" t="s">
        <v>413</v>
      </c>
      <c r="D8156" s="382" t="s">
        <v>7930</v>
      </c>
      <c r="E8156" s="312" t="s">
        <v>7931</v>
      </c>
      <c r="F8156" s="312" t="s">
        <v>7932</v>
      </c>
      <c r="G8156" s="312" t="s">
        <v>7907</v>
      </c>
      <c r="H8156" s="312" t="s">
        <v>7908</v>
      </c>
      <c r="I8156" s="312" t="s">
        <v>1552</v>
      </c>
      <c r="J8156" s="312" t="s">
        <v>7905</v>
      </c>
      <c r="K8156"/>
    </row>
    <row r="8157" spans="1:11" ht="15" customHeight="1" x14ac:dyDescent="0.3">
      <c r="A8157" s="581"/>
      <c r="B8157" s="581"/>
      <c r="C8157" s="581"/>
      <c r="D8157" s="581"/>
      <c r="E8157" s="581"/>
      <c r="F8157" s="581" t="s">
        <v>7933</v>
      </c>
      <c r="G8157" s="581"/>
      <c r="H8157" s="581"/>
      <c r="I8157" s="581"/>
      <c r="J8157" s="381">
        <v>0</v>
      </c>
      <c r="K8157"/>
    </row>
    <row r="8158" spans="1:11" ht="12.75" customHeight="1" x14ac:dyDescent="0.3">
      <c r="A8158" s="405"/>
      <c r="B8158" s="405"/>
      <c r="C8158" s="405"/>
      <c r="D8158" s="405"/>
      <c r="E8158" s="405" t="s">
        <v>1046</v>
      </c>
      <c r="F8158" s="406">
        <v>0</v>
      </c>
      <c r="G8158" s="405" t="s">
        <v>1047</v>
      </c>
      <c r="H8158" s="406">
        <v>0</v>
      </c>
      <c r="I8158" s="405" t="s">
        <v>1048</v>
      </c>
      <c r="J8158" s="406">
        <v>0</v>
      </c>
      <c r="K8158"/>
    </row>
    <row r="8159" spans="1:11" ht="25.5" customHeight="1" thickBot="1" x14ac:dyDescent="0.35">
      <c r="A8159" s="405"/>
      <c r="B8159" s="405"/>
      <c r="C8159" s="405"/>
      <c r="D8159" s="405"/>
      <c r="E8159" s="405" t="s">
        <v>1049</v>
      </c>
      <c r="F8159" s="406">
        <v>0</v>
      </c>
      <c r="G8159" s="405"/>
      <c r="H8159" s="606"/>
      <c r="I8159" s="606" t="s">
        <v>1050</v>
      </c>
      <c r="J8159" s="406">
        <v>1.41</v>
      </c>
      <c r="K8159"/>
    </row>
    <row r="8160" spans="1:11" ht="15.6" thickTop="1" x14ac:dyDescent="0.3">
      <c r="A8160" s="407"/>
      <c r="B8160" s="407"/>
      <c r="C8160" s="407"/>
      <c r="D8160" s="407"/>
      <c r="E8160" s="407"/>
      <c r="F8160" s="407"/>
      <c r="G8160" s="407"/>
      <c r="H8160" s="407"/>
      <c r="I8160" s="407"/>
      <c r="J8160" s="407"/>
      <c r="K8160"/>
    </row>
    <row r="8161" spans="1:11" ht="25.5" customHeight="1" x14ac:dyDescent="0.3">
      <c r="A8161" s="382"/>
      <c r="B8161" s="312" t="s">
        <v>413</v>
      </c>
      <c r="C8161" s="382" t="s">
        <v>414</v>
      </c>
      <c r="D8161" s="382" t="s">
        <v>415</v>
      </c>
      <c r="E8161" s="586" t="s">
        <v>1029</v>
      </c>
      <c r="F8161" s="586"/>
      <c r="G8161" s="383" t="s">
        <v>416</v>
      </c>
      <c r="H8161" s="312" t="s">
        <v>1030</v>
      </c>
      <c r="I8161" s="312" t="s">
        <v>3016</v>
      </c>
      <c r="J8161" s="312" t="s">
        <v>1031</v>
      </c>
      <c r="K8161" s="312" t="s">
        <v>1032</v>
      </c>
    </row>
    <row r="8162" spans="1:11" ht="14.25" customHeight="1" x14ac:dyDescent="0.3">
      <c r="A8162" s="313" t="s">
        <v>1033</v>
      </c>
      <c r="B8162" s="315" t="s">
        <v>4830</v>
      </c>
      <c r="C8162" s="313" t="s">
        <v>439</v>
      </c>
      <c r="D8162" s="313" t="s">
        <v>8162</v>
      </c>
      <c r="E8162" s="603" t="s">
        <v>7770</v>
      </c>
      <c r="F8162" s="603"/>
      <c r="G8162" s="314" t="s">
        <v>1109</v>
      </c>
      <c r="H8162" s="399">
        <v>1</v>
      </c>
      <c r="I8162" s="316"/>
      <c r="J8162" s="316">
        <v>1.34</v>
      </c>
      <c r="K8162" s="316">
        <v>1.34</v>
      </c>
    </row>
    <row r="8163" spans="1:11" ht="25.5" customHeight="1" x14ac:dyDescent="0.3">
      <c r="A8163" s="586" t="s">
        <v>3312</v>
      </c>
      <c r="B8163" s="584" t="s">
        <v>413</v>
      </c>
      <c r="C8163" s="586" t="s">
        <v>414</v>
      </c>
      <c r="D8163" s="586" t="s">
        <v>7901</v>
      </c>
      <c r="E8163" s="585" t="s">
        <v>7902</v>
      </c>
      <c r="F8163" s="584"/>
      <c r="G8163" s="585" t="s">
        <v>7903</v>
      </c>
      <c r="H8163" s="584"/>
      <c r="I8163" s="584" t="s">
        <v>7904</v>
      </c>
      <c r="J8163" s="584" t="s">
        <v>7905</v>
      </c>
      <c r="K8163"/>
    </row>
    <row r="8164" spans="1:11" ht="16.95" customHeight="1" x14ac:dyDescent="0.3">
      <c r="A8164" s="584"/>
      <c r="B8164" s="584"/>
      <c r="C8164" s="584"/>
      <c r="D8164" s="584"/>
      <c r="E8164" s="312" t="s">
        <v>4013</v>
      </c>
      <c r="F8164" s="312" t="s">
        <v>4014</v>
      </c>
      <c r="G8164" s="312" t="s">
        <v>4013</v>
      </c>
      <c r="H8164" s="312" t="s">
        <v>4014</v>
      </c>
      <c r="I8164" s="584"/>
      <c r="J8164" s="584"/>
      <c r="K8164"/>
    </row>
    <row r="8165" spans="1:11" ht="12.75" customHeight="1" x14ac:dyDescent="0.3">
      <c r="A8165" s="581"/>
      <c r="B8165" s="581"/>
      <c r="C8165" s="581"/>
      <c r="D8165" s="581"/>
      <c r="E8165" s="581"/>
      <c r="F8165" s="581" t="s">
        <v>7906</v>
      </c>
      <c r="G8165" s="581"/>
      <c r="H8165" s="581"/>
      <c r="I8165" s="581"/>
      <c r="J8165" s="381">
        <v>0</v>
      </c>
      <c r="K8165"/>
    </row>
    <row r="8166" spans="1:11" ht="12.75" customHeight="1" x14ac:dyDescent="0.3">
      <c r="A8166" s="382" t="s">
        <v>371</v>
      </c>
      <c r="B8166" s="312" t="s">
        <v>413</v>
      </c>
      <c r="C8166" s="382" t="s">
        <v>414</v>
      </c>
      <c r="D8166" s="382" t="s">
        <v>1053</v>
      </c>
      <c r="E8166" s="312"/>
      <c r="F8166" s="584"/>
      <c r="G8166" s="584" t="s">
        <v>7907</v>
      </c>
      <c r="H8166" s="584" t="s">
        <v>7908</v>
      </c>
      <c r="I8166" s="584" t="s">
        <v>7904</v>
      </c>
      <c r="J8166" s="312" t="s">
        <v>7905</v>
      </c>
      <c r="K8166"/>
    </row>
    <row r="8167" spans="1:11" ht="25.5" customHeight="1" x14ac:dyDescent="0.3">
      <c r="A8167" s="581"/>
      <c r="B8167" s="581"/>
      <c r="C8167" s="581"/>
      <c r="D8167" s="581"/>
      <c r="E8167" s="581"/>
      <c r="F8167" s="581" t="s">
        <v>7910</v>
      </c>
      <c r="G8167" s="581"/>
      <c r="H8167" s="581"/>
      <c r="I8167" s="581"/>
      <c r="J8167" s="381">
        <v>0</v>
      </c>
      <c r="K8167"/>
    </row>
    <row r="8168" spans="1:11" ht="25.5" customHeight="1" x14ac:dyDescent="0.3">
      <c r="A8168" s="581"/>
      <c r="B8168" s="581"/>
      <c r="C8168" s="581"/>
      <c r="D8168" s="581"/>
      <c r="E8168" s="581"/>
      <c r="F8168" s="581" t="s">
        <v>7911</v>
      </c>
      <c r="G8168" s="581"/>
      <c r="H8168" s="581"/>
      <c r="I8168" s="581"/>
      <c r="J8168" s="381">
        <v>0</v>
      </c>
      <c r="K8168"/>
    </row>
    <row r="8169" spans="1:11" ht="15" x14ac:dyDescent="0.3">
      <c r="A8169" s="581"/>
      <c r="B8169" s="581"/>
      <c r="C8169" s="581"/>
      <c r="D8169" s="581"/>
      <c r="E8169" s="581"/>
      <c r="F8169" s="581" t="s">
        <v>7912</v>
      </c>
      <c r="G8169" s="581"/>
      <c r="H8169" s="581"/>
      <c r="I8169" s="581"/>
      <c r="J8169" s="381">
        <v>1</v>
      </c>
      <c r="K8169"/>
    </row>
    <row r="8170" spans="1:11" ht="14.25" customHeight="1" x14ac:dyDescent="0.3">
      <c r="A8170" s="581"/>
      <c r="B8170" s="581"/>
      <c r="C8170" s="581"/>
      <c r="D8170" s="581"/>
      <c r="E8170" s="581"/>
      <c r="F8170" s="581" t="s">
        <v>7913</v>
      </c>
      <c r="G8170" s="581"/>
      <c r="H8170" s="581"/>
      <c r="I8170" s="581"/>
      <c r="J8170" s="381">
        <v>0</v>
      </c>
      <c r="K8170"/>
    </row>
    <row r="8171" spans="1:11" ht="14.25" customHeight="1" x14ac:dyDescent="0.3">
      <c r="A8171" s="382" t="s">
        <v>7914</v>
      </c>
      <c r="B8171" s="312" t="s">
        <v>414</v>
      </c>
      <c r="C8171" s="382" t="s">
        <v>413</v>
      </c>
      <c r="D8171" s="382" t="s">
        <v>1039</v>
      </c>
      <c r="E8171" s="312"/>
      <c r="F8171" s="312"/>
      <c r="G8171" s="312" t="s">
        <v>7907</v>
      </c>
      <c r="H8171" s="312" t="s">
        <v>7908</v>
      </c>
      <c r="I8171" s="312" t="s">
        <v>1552</v>
      </c>
      <c r="J8171" s="312" t="s">
        <v>7905</v>
      </c>
      <c r="K8171"/>
    </row>
    <row r="8172" spans="1:11" ht="14.25" customHeight="1" x14ac:dyDescent="0.3">
      <c r="A8172" s="400" t="s">
        <v>1038</v>
      </c>
      <c r="B8172" s="401" t="s">
        <v>439</v>
      </c>
      <c r="C8172" s="400" t="s">
        <v>8168</v>
      </c>
      <c r="D8172" s="400" t="s">
        <v>7705</v>
      </c>
      <c r="E8172" s="400"/>
      <c r="F8172" s="400" t="s">
        <v>7916</v>
      </c>
      <c r="G8172" s="402" t="s">
        <v>1109</v>
      </c>
      <c r="H8172" s="404">
        <v>1.34</v>
      </c>
      <c r="I8172" s="403">
        <v>1</v>
      </c>
      <c r="J8172" s="404">
        <v>1.34</v>
      </c>
      <c r="K8172"/>
    </row>
    <row r="8173" spans="1:11" ht="25.5" customHeight="1" x14ac:dyDescent="0.3">
      <c r="A8173" s="581"/>
      <c r="B8173" s="581"/>
      <c r="C8173" s="581"/>
      <c r="D8173" s="581"/>
      <c r="E8173" s="581"/>
      <c r="F8173" s="581" t="s">
        <v>7920</v>
      </c>
      <c r="G8173" s="581"/>
      <c r="H8173" s="581"/>
      <c r="I8173" s="581"/>
      <c r="J8173" s="381">
        <v>1.34</v>
      </c>
      <c r="K8173"/>
    </row>
    <row r="8174" spans="1:11" ht="25.5" customHeight="1" x14ac:dyDescent="0.3">
      <c r="A8174" s="382" t="s">
        <v>7921</v>
      </c>
      <c r="B8174" s="312" t="s">
        <v>414</v>
      </c>
      <c r="C8174" s="382" t="s">
        <v>413</v>
      </c>
      <c r="D8174" s="382" t="s">
        <v>2381</v>
      </c>
      <c r="E8174" s="312"/>
      <c r="F8174" s="312"/>
      <c r="G8174" s="312" t="s">
        <v>7907</v>
      </c>
      <c r="H8174" s="312" t="s">
        <v>7908</v>
      </c>
      <c r="I8174" s="312" t="s">
        <v>1552</v>
      </c>
      <c r="J8174" s="312" t="s">
        <v>7905</v>
      </c>
      <c r="K8174"/>
    </row>
    <row r="8175" spans="1:11" ht="12.75" customHeight="1" x14ac:dyDescent="0.3">
      <c r="A8175" s="581"/>
      <c r="B8175" s="581"/>
      <c r="C8175" s="581"/>
      <c r="D8175" s="581"/>
      <c r="E8175" s="581"/>
      <c r="F8175" s="581" t="s">
        <v>7929</v>
      </c>
      <c r="G8175" s="581"/>
      <c r="H8175" s="581"/>
      <c r="I8175" s="581"/>
      <c r="J8175" s="381">
        <v>0</v>
      </c>
      <c r="K8175"/>
    </row>
    <row r="8176" spans="1:11" ht="25.5" customHeight="1" x14ac:dyDescent="0.3">
      <c r="A8176" s="382" t="s">
        <v>6</v>
      </c>
      <c r="B8176" s="312" t="s">
        <v>414</v>
      </c>
      <c r="C8176" s="382" t="s">
        <v>413</v>
      </c>
      <c r="D8176" s="382" t="s">
        <v>7930</v>
      </c>
      <c r="E8176" s="312" t="s">
        <v>7931</v>
      </c>
      <c r="F8176" s="312" t="s">
        <v>7932</v>
      </c>
      <c r="G8176" s="312" t="s">
        <v>7907</v>
      </c>
      <c r="H8176" s="312" t="s">
        <v>7908</v>
      </c>
      <c r="I8176" s="312" t="s">
        <v>1552</v>
      </c>
      <c r="J8176" s="312" t="s">
        <v>7905</v>
      </c>
      <c r="K8176"/>
    </row>
    <row r="8177" spans="1:11" ht="25.5" customHeight="1" x14ac:dyDescent="0.3">
      <c r="A8177" s="581"/>
      <c r="B8177" s="581"/>
      <c r="C8177" s="581"/>
      <c r="D8177" s="581"/>
      <c r="E8177" s="581"/>
      <c r="F8177" s="581" t="s">
        <v>7933</v>
      </c>
      <c r="G8177" s="581"/>
      <c r="H8177" s="581"/>
      <c r="I8177" s="581"/>
      <c r="J8177" s="381">
        <v>0</v>
      </c>
      <c r="K8177"/>
    </row>
    <row r="8178" spans="1:11" ht="15" x14ac:dyDescent="0.3">
      <c r="A8178" s="405"/>
      <c r="B8178" s="405"/>
      <c r="C8178" s="405"/>
      <c r="D8178" s="405"/>
      <c r="E8178" s="405" t="s">
        <v>1046</v>
      </c>
      <c r="F8178" s="406">
        <v>0</v>
      </c>
      <c r="G8178" s="405" t="s">
        <v>1047</v>
      </c>
      <c r="H8178" s="406">
        <v>0</v>
      </c>
      <c r="I8178" s="405" t="s">
        <v>1048</v>
      </c>
      <c r="J8178" s="406">
        <v>0</v>
      </c>
      <c r="K8178"/>
    </row>
    <row r="8179" spans="1:11" ht="14.25" customHeight="1" thickBot="1" x14ac:dyDescent="0.35">
      <c r="A8179" s="405"/>
      <c r="B8179" s="405"/>
      <c r="C8179" s="405"/>
      <c r="D8179" s="405"/>
      <c r="E8179" s="405" t="s">
        <v>1049</v>
      </c>
      <c r="F8179" s="406">
        <v>0</v>
      </c>
      <c r="G8179" s="405"/>
      <c r="H8179" s="606"/>
      <c r="I8179" s="606" t="s">
        <v>1050</v>
      </c>
      <c r="J8179" s="406">
        <v>1.34</v>
      </c>
      <c r="K8179"/>
    </row>
    <row r="8180" spans="1:11" ht="14.25" customHeight="1" thickTop="1" x14ac:dyDescent="0.3">
      <c r="A8180" s="407"/>
      <c r="B8180" s="407"/>
      <c r="C8180" s="407"/>
      <c r="D8180" s="407"/>
      <c r="E8180" s="407"/>
      <c r="F8180" s="407"/>
      <c r="G8180" s="407"/>
      <c r="H8180" s="407"/>
      <c r="I8180" s="407"/>
      <c r="J8180" s="407"/>
      <c r="K8180"/>
    </row>
    <row r="8181" spans="1:11" ht="14.25" customHeight="1" x14ac:dyDescent="0.3">
      <c r="A8181" s="382"/>
      <c r="B8181" s="312" t="s">
        <v>413</v>
      </c>
      <c r="C8181" s="382" t="s">
        <v>414</v>
      </c>
      <c r="D8181" s="382" t="s">
        <v>415</v>
      </c>
      <c r="E8181" s="586" t="s">
        <v>1029</v>
      </c>
      <c r="F8181" s="586"/>
      <c r="G8181" s="383" t="s">
        <v>416</v>
      </c>
      <c r="H8181" s="312" t="s">
        <v>1030</v>
      </c>
      <c r="I8181" s="312" t="s">
        <v>3016</v>
      </c>
      <c r="J8181" s="312" t="s">
        <v>1031</v>
      </c>
      <c r="K8181" s="312" t="s">
        <v>1032</v>
      </c>
    </row>
    <row r="8182" spans="1:11" ht="25.5" customHeight="1" x14ac:dyDescent="0.3">
      <c r="A8182" s="313" t="s">
        <v>1033</v>
      </c>
      <c r="B8182" s="315" t="s">
        <v>9678</v>
      </c>
      <c r="C8182" s="313" t="s">
        <v>439</v>
      </c>
      <c r="D8182" s="313" t="s">
        <v>9627</v>
      </c>
      <c r="E8182" s="603" t="s">
        <v>7770</v>
      </c>
      <c r="F8182" s="603"/>
      <c r="G8182" s="314" t="s">
        <v>2627</v>
      </c>
      <c r="H8182" s="399">
        <v>1</v>
      </c>
      <c r="I8182" s="316"/>
      <c r="J8182" s="316">
        <v>149.43</v>
      </c>
      <c r="K8182" s="316">
        <v>149.43</v>
      </c>
    </row>
    <row r="8183" spans="1:11" ht="25.5" customHeight="1" x14ac:dyDescent="0.3">
      <c r="A8183" s="586" t="s">
        <v>3312</v>
      </c>
      <c r="B8183" s="584" t="s">
        <v>413</v>
      </c>
      <c r="C8183" s="586" t="s">
        <v>414</v>
      </c>
      <c r="D8183" s="586" t="s">
        <v>7901</v>
      </c>
      <c r="E8183" s="585" t="s">
        <v>7902</v>
      </c>
      <c r="F8183" s="584"/>
      <c r="G8183" s="585" t="s">
        <v>7903</v>
      </c>
      <c r="H8183" s="584"/>
      <c r="I8183" s="584" t="s">
        <v>7904</v>
      </c>
      <c r="J8183" s="584" t="s">
        <v>7905</v>
      </c>
      <c r="K8183"/>
    </row>
    <row r="8184" spans="1:11" ht="12.75" customHeight="1" x14ac:dyDescent="0.3">
      <c r="A8184" s="584"/>
      <c r="B8184" s="584"/>
      <c r="C8184" s="584"/>
      <c r="D8184" s="584"/>
      <c r="E8184" s="312" t="s">
        <v>4013</v>
      </c>
      <c r="F8184" s="312" t="s">
        <v>4014</v>
      </c>
      <c r="G8184" s="312" t="s">
        <v>4013</v>
      </c>
      <c r="H8184" s="312" t="s">
        <v>4014</v>
      </c>
      <c r="I8184" s="584"/>
      <c r="J8184" s="584"/>
      <c r="K8184"/>
    </row>
    <row r="8185" spans="1:11" ht="25.5" customHeight="1" x14ac:dyDescent="0.3">
      <c r="A8185" s="581"/>
      <c r="B8185" s="581"/>
      <c r="C8185" s="581"/>
      <c r="D8185" s="581"/>
      <c r="E8185" s="581"/>
      <c r="F8185" s="581" t="s">
        <v>7906</v>
      </c>
      <c r="G8185" s="581"/>
      <c r="H8185" s="581"/>
      <c r="I8185" s="581"/>
      <c r="J8185" s="381">
        <v>0</v>
      </c>
      <c r="K8185"/>
    </row>
    <row r="8186" spans="1:11" ht="25.5" customHeight="1" x14ac:dyDescent="0.3">
      <c r="A8186" s="382" t="s">
        <v>371</v>
      </c>
      <c r="B8186" s="312" t="s">
        <v>413</v>
      </c>
      <c r="C8186" s="382" t="s">
        <v>414</v>
      </c>
      <c r="D8186" s="382" t="s">
        <v>1053</v>
      </c>
      <c r="E8186" s="312"/>
      <c r="F8186" s="584"/>
      <c r="G8186" s="584" t="s">
        <v>7907</v>
      </c>
      <c r="H8186" s="584" t="s">
        <v>7908</v>
      </c>
      <c r="I8186" s="584" t="s">
        <v>7904</v>
      </c>
      <c r="J8186" s="312" t="s">
        <v>7905</v>
      </c>
      <c r="K8186"/>
    </row>
    <row r="8187" spans="1:11" ht="16.95" customHeight="1" x14ac:dyDescent="0.3">
      <c r="A8187" s="581"/>
      <c r="B8187" s="581"/>
      <c r="C8187" s="581"/>
      <c r="D8187" s="581"/>
      <c r="E8187" s="581"/>
      <c r="F8187" s="581" t="s">
        <v>7910</v>
      </c>
      <c r="G8187" s="581"/>
      <c r="H8187" s="581"/>
      <c r="I8187" s="581"/>
      <c r="J8187" s="381">
        <v>0</v>
      </c>
      <c r="K8187"/>
    </row>
    <row r="8188" spans="1:11" ht="14.25" customHeight="1" x14ac:dyDescent="0.3">
      <c r="A8188" s="581"/>
      <c r="B8188" s="581"/>
      <c r="C8188" s="581"/>
      <c r="D8188" s="581"/>
      <c r="E8188" s="581"/>
      <c r="F8188" s="581" t="s">
        <v>7911</v>
      </c>
      <c r="G8188" s="581"/>
      <c r="H8188" s="581"/>
      <c r="I8188" s="581"/>
      <c r="J8188" s="381">
        <v>0</v>
      </c>
      <c r="K8188"/>
    </row>
    <row r="8189" spans="1:11" ht="14.25" customHeight="1" x14ac:dyDescent="0.3">
      <c r="A8189" s="581"/>
      <c r="B8189" s="581"/>
      <c r="C8189" s="581"/>
      <c r="D8189" s="581"/>
      <c r="E8189" s="581"/>
      <c r="F8189" s="581" t="s">
        <v>7912</v>
      </c>
      <c r="G8189" s="581"/>
      <c r="H8189" s="581"/>
      <c r="I8189" s="581"/>
      <c r="J8189" s="381">
        <v>1</v>
      </c>
      <c r="K8189"/>
    </row>
    <row r="8190" spans="1:11" ht="14.25" customHeight="1" x14ac:dyDescent="0.3">
      <c r="A8190" s="581"/>
      <c r="B8190" s="581"/>
      <c r="C8190" s="581"/>
      <c r="D8190" s="581"/>
      <c r="E8190" s="581"/>
      <c r="F8190" s="581" t="s">
        <v>7913</v>
      </c>
      <c r="G8190" s="581"/>
      <c r="H8190" s="581"/>
      <c r="I8190" s="581"/>
      <c r="J8190" s="381">
        <v>0</v>
      </c>
      <c r="K8190"/>
    </row>
    <row r="8191" spans="1:11" ht="25.5" customHeight="1" x14ac:dyDescent="0.3">
      <c r="A8191" s="382" t="s">
        <v>7914</v>
      </c>
      <c r="B8191" s="312" t="s">
        <v>414</v>
      </c>
      <c r="C8191" s="382" t="s">
        <v>413</v>
      </c>
      <c r="D8191" s="382" t="s">
        <v>1039</v>
      </c>
      <c r="E8191" s="312"/>
      <c r="F8191" s="312"/>
      <c r="G8191" s="312" t="s">
        <v>7907</v>
      </c>
      <c r="H8191" s="312" t="s">
        <v>7908</v>
      </c>
      <c r="I8191" s="312" t="s">
        <v>1552</v>
      </c>
      <c r="J8191" s="312" t="s">
        <v>7905</v>
      </c>
      <c r="K8191"/>
    </row>
    <row r="8192" spans="1:11" ht="25.5" customHeight="1" x14ac:dyDescent="0.3">
      <c r="A8192" s="400" t="s">
        <v>1038</v>
      </c>
      <c r="B8192" s="401" t="s">
        <v>439</v>
      </c>
      <c r="C8192" s="400" t="s">
        <v>9679</v>
      </c>
      <c r="D8192" s="400" t="s">
        <v>9138</v>
      </c>
      <c r="E8192" s="400"/>
      <c r="F8192" s="400" t="s">
        <v>7916</v>
      </c>
      <c r="G8192" s="402" t="s">
        <v>2627</v>
      </c>
      <c r="H8192" s="404">
        <v>149.43</v>
      </c>
      <c r="I8192" s="403">
        <v>1</v>
      </c>
      <c r="J8192" s="404">
        <v>149.43</v>
      </c>
      <c r="K8192"/>
    </row>
    <row r="8193" spans="1:11" ht="12.75" customHeight="1" x14ac:dyDescent="0.3">
      <c r="A8193" s="581"/>
      <c r="B8193" s="581"/>
      <c r="C8193" s="581"/>
      <c r="D8193" s="581"/>
      <c r="E8193" s="581"/>
      <c r="F8193" s="581" t="s">
        <v>7920</v>
      </c>
      <c r="G8193" s="581"/>
      <c r="H8193" s="581"/>
      <c r="I8193" s="581"/>
      <c r="J8193" s="381">
        <v>149.43</v>
      </c>
      <c r="K8193"/>
    </row>
    <row r="8194" spans="1:11" ht="25.5" customHeight="1" x14ac:dyDescent="0.3">
      <c r="A8194" s="382" t="s">
        <v>7921</v>
      </c>
      <c r="B8194" s="312" t="s">
        <v>414</v>
      </c>
      <c r="C8194" s="382" t="s">
        <v>413</v>
      </c>
      <c r="D8194" s="382" t="s">
        <v>2381</v>
      </c>
      <c r="E8194" s="312"/>
      <c r="F8194" s="312"/>
      <c r="G8194" s="312" t="s">
        <v>7907</v>
      </c>
      <c r="H8194" s="312" t="s">
        <v>7908</v>
      </c>
      <c r="I8194" s="312" t="s">
        <v>1552</v>
      </c>
      <c r="J8194" s="312" t="s">
        <v>7905</v>
      </c>
      <c r="K8194"/>
    </row>
    <row r="8195" spans="1:11" ht="25.5" customHeight="1" x14ac:dyDescent="0.3">
      <c r="A8195" s="581"/>
      <c r="B8195" s="581"/>
      <c r="C8195" s="581"/>
      <c r="D8195" s="581"/>
      <c r="E8195" s="581"/>
      <c r="F8195" s="581" t="s">
        <v>7929</v>
      </c>
      <c r="G8195" s="581"/>
      <c r="H8195" s="581"/>
      <c r="I8195" s="581"/>
      <c r="J8195" s="381">
        <v>0</v>
      </c>
      <c r="K8195"/>
    </row>
    <row r="8196" spans="1:11" ht="27.6" x14ac:dyDescent="0.3">
      <c r="A8196" s="382" t="s">
        <v>6</v>
      </c>
      <c r="B8196" s="312" t="s">
        <v>414</v>
      </c>
      <c r="C8196" s="382" t="s">
        <v>413</v>
      </c>
      <c r="D8196" s="382" t="s">
        <v>7930</v>
      </c>
      <c r="E8196" s="312" t="s">
        <v>7931</v>
      </c>
      <c r="F8196" s="312" t="s">
        <v>7932</v>
      </c>
      <c r="G8196" s="312" t="s">
        <v>7907</v>
      </c>
      <c r="H8196" s="312" t="s">
        <v>7908</v>
      </c>
      <c r="I8196" s="312" t="s">
        <v>1552</v>
      </c>
      <c r="J8196" s="312" t="s">
        <v>7905</v>
      </c>
      <c r="K8196"/>
    </row>
    <row r="8197" spans="1:11" ht="14.25" customHeight="1" x14ac:dyDescent="0.3">
      <c r="A8197" s="581"/>
      <c r="B8197" s="581"/>
      <c r="C8197" s="581"/>
      <c r="D8197" s="581"/>
      <c r="E8197" s="581"/>
      <c r="F8197" s="581" t="s">
        <v>7933</v>
      </c>
      <c r="G8197" s="581"/>
      <c r="H8197" s="581"/>
      <c r="I8197" s="581"/>
      <c r="J8197" s="381">
        <v>0</v>
      </c>
      <c r="K8197"/>
    </row>
    <row r="8198" spans="1:11" ht="14.25" customHeight="1" x14ac:dyDescent="0.3">
      <c r="A8198" s="405"/>
      <c r="B8198" s="405"/>
      <c r="C8198" s="405"/>
      <c r="D8198" s="405"/>
      <c r="E8198" s="405" t="s">
        <v>1046</v>
      </c>
      <c r="F8198" s="406">
        <v>0</v>
      </c>
      <c r="G8198" s="405" t="s">
        <v>1047</v>
      </c>
      <c r="H8198" s="406">
        <v>0</v>
      </c>
      <c r="I8198" s="405" t="s">
        <v>1048</v>
      </c>
      <c r="J8198" s="406">
        <v>0</v>
      </c>
      <c r="K8198"/>
    </row>
    <row r="8199" spans="1:11" ht="14.25" customHeight="1" thickBot="1" x14ac:dyDescent="0.35">
      <c r="A8199" s="405"/>
      <c r="B8199" s="405"/>
      <c r="C8199" s="405"/>
      <c r="D8199" s="405"/>
      <c r="E8199" s="405" t="s">
        <v>1049</v>
      </c>
      <c r="F8199" s="406">
        <v>0</v>
      </c>
      <c r="G8199" s="405"/>
      <c r="H8199" s="606"/>
      <c r="I8199" s="606" t="s">
        <v>1050</v>
      </c>
      <c r="J8199" s="406">
        <v>149.43</v>
      </c>
      <c r="K8199"/>
    </row>
    <row r="8200" spans="1:11" ht="25.5" customHeight="1" thickTop="1" x14ac:dyDescent="0.3">
      <c r="A8200" s="407"/>
      <c r="B8200" s="407"/>
      <c r="C8200" s="407"/>
      <c r="D8200" s="407"/>
      <c r="E8200" s="407"/>
      <c r="F8200" s="407"/>
      <c r="G8200" s="407"/>
      <c r="H8200" s="407"/>
      <c r="I8200" s="407"/>
      <c r="J8200" s="407"/>
      <c r="K8200"/>
    </row>
    <row r="8201" spans="1:11" ht="25.5" customHeight="1" x14ac:dyDescent="0.3">
      <c r="A8201" s="382"/>
      <c r="B8201" s="312" t="s">
        <v>413</v>
      </c>
      <c r="C8201" s="382" t="s">
        <v>414</v>
      </c>
      <c r="D8201" s="382" t="s">
        <v>415</v>
      </c>
      <c r="E8201" s="586" t="s">
        <v>1029</v>
      </c>
      <c r="F8201" s="586"/>
      <c r="G8201" s="383" t="s">
        <v>416</v>
      </c>
      <c r="H8201" s="312" t="s">
        <v>1030</v>
      </c>
      <c r="I8201" s="312" t="s">
        <v>3016</v>
      </c>
      <c r="J8201" s="312" t="s">
        <v>1031</v>
      </c>
      <c r="K8201" s="312" t="s">
        <v>1032</v>
      </c>
    </row>
    <row r="8202" spans="1:11" ht="12.75" customHeight="1" x14ac:dyDescent="0.3">
      <c r="A8202" s="313" t="s">
        <v>1033</v>
      </c>
      <c r="B8202" s="315" t="s">
        <v>5090</v>
      </c>
      <c r="C8202" s="313" t="s">
        <v>439</v>
      </c>
      <c r="D8202" s="313" t="s">
        <v>8170</v>
      </c>
      <c r="E8202" s="603" t="s">
        <v>7770</v>
      </c>
      <c r="F8202" s="603"/>
      <c r="G8202" s="314" t="s">
        <v>1109</v>
      </c>
      <c r="H8202" s="399">
        <v>1</v>
      </c>
      <c r="I8202" s="316"/>
      <c r="J8202" s="316">
        <v>0.9</v>
      </c>
      <c r="K8202" s="316">
        <v>0.9</v>
      </c>
    </row>
    <row r="8203" spans="1:11" ht="25.5" customHeight="1" x14ac:dyDescent="0.3">
      <c r="A8203" s="586" t="s">
        <v>3312</v>
      </c>
      <c r="B8203" s="584" t="s">
        <v>413</v>
      </c>
      <c r="C8203" s="586" t="s">
        <v>414</v>
      </c>
      <c r="D8203" s="586" t="s">
        <v>7901</v>
      </c>
      <c r="E8203" s="585" t="s">
        <v>7902</v>
      </c>
      <c r="F8203" s="584"/>
      <c r="G8203" s="585" t="s">
        <v>7903</v>
      </c>
      <c r="H8203" s="584"/>
      <c r="I8203" s="584" t="s">
        <v>7904</v>
      </c>
      <c r="J8203" s="584" t="s">
        <v>7905</v>
      </c>
      <c r="K8203"/>
    </row>
    <row r="8204" spans="1:11" ht="25.5" customHeight="1" x14ac:dyDescent="0.3">
      <c r="A8204" s="584"/>
      <c r="B8204" s="584"/>
      <c r="C8204" s="584"/>
      <c r="D8204" s="584"/>
      <c r="E8204" s="312" t="s">
        <v>4013</v>
      </c>
      <c r="F8204" s="312" t="s">
        <v>4014</v>
      </c>
      <c r="G8204" s="312" t="s">
        <v>4013</v>
      </c>
      <c r="H8204" s="312" t="s">
        <v>4014</v>
      </c>
      <c r="I8204" s="584"/>
      <c r="J8204" s="584"/>
      <c r="K8204"/>
    </row>
    <row r="8205" spans="1:11" ht="15" x14ac:dyDescent="0.3">
      <c r="A8205" s="581"/>
      <c r="B8205" s="581"/>
      <c r="C8205" s="581"/>
      <c r="D8205" s="581"/>
      <c r="E8205" s="581"/>
      <c r="F8205" s="581" t="s">
        <v>7906</v>
      </c>
      <c r="G8205" s="581"/>
      <c r="H8205" s="581"/>
      <c r="I8205" s="581"/>
      <c r="J8205" s="381">
        <v>0</v>
      </c>
      <c r="K8205"/>
    </row>
    <row r="8206" spans="1:11" ht="14.25" customHeight="1" x14ac:dyDescent="0.3">
      <c r="A8206" s="382" t="s">
        <v>371</v>
      </c>
      <c r="B8206" s="312" t="s">
        <v>413</v>
      </c>
      <c r="C8206" s="382" t="s">
        <v>414</v>
      </c>
      <c r="D8206" s="382" t="s">
        <v>1053</v>
      </c>
      <c r="E8206" s="312"/>
      <c r="F8206" s="584"/>
      <c r="G8206" s="584" t="s">
        <v>7907</v>
      </c>
      <c r="H8206" s="584" t="s">
        <v>7908</v>
      </c>
      <c r="I8206" s="584" t="s">
        <v>7904</v>
      </c>
      <c r="J8206" s="312" t="s">
        <v>7905</v>
      </c>
      <c r="K8206"/>
    </row>
    <row r="8207" spans="1:11" ht="14.25" customHeight="1" x14ac:dyDescent="0.3">
      <c r="A8207" s="581"/>
      <c r="B8207" s="581"/>
      <c r="C8207" s="581"/>
      <c r="D8207" s="581"/>
      <c r="E8207" s="581"/>
      <c r="F8207" s="581" t="s">
        <v>7910</v>
      </c>
      <c r="G8207" s="581"/>
      <c r="H8207" s="581"/>
      <c r="I8207" s="581"/>
      <c r="J8207" s="381">
        <v>0</v>
      </c>
      <c r="K8207"/>
    </row>
    <row r="8208" spans="1:11" ht="14.25" customHeight="1" x14ac:dyDescent="0.3">
      <c r="A8208" s="581"/>
      <c r="B8208" s="581"/>
      <c r="C8208" s="581"/>
      <c r="D8208" s="581"/>
      <c r="E8208" s="581"/>
      <c r="F8208" s="581" t="s">
        <v>7911</v>
      </c>
      <c r="G8208" s="581"/>
      <c r="H8208" s="581"/>
      <c r="I8208" s="581"/>
      <c r="J8208" s="381">
        <v>0</v>
      </c>
      <c r="K8208"/>
    </row>
    <row r="8209" spans="1:11" ht="15" x14ac:dyDescent="0.3">
      <c r="A8209" s="581"/>
      <c r="B8209" s="581"/>
      <c r="C8209" s="581"/>
      <c r="D8209" s="581"/>
      <c r="E8209" s="581"/>
      <c r="F8209" s="581" t="s">
        <v>7912</v>
      </c>
      <c r="G8209" s="581"/>
      <c r="H8209" s="581"/>
      <c r="I8209" s="581"/>
      <c r="J8209" s="381">
        <v>1</v>
      </c>
      <c r="K8209"/>
    </row>
    <row r="8210" spans="1:11" ht="12.75" customHeight="1" x14ac:dyDescent="0.3">
      <c r="A8210" s="581"/>
      <c r="B8210" s="581"/>
      <c r="C8210" s="581"/>
      <c r="D8210" s="581"/>
      <c r="E8210" s="581"/>
      <c r="F8210" s="581" t="s">
        <v>7913</v>
      </c>
      <c r="G8210" s="581"/>
      <c r="H8210" s="581"/>
      <c r="I8210" s="581"/>
      <c r="J8210" s="381">
        <v>0</v>
      </c>
      <c r="K8210"/>
    </row>
    <row r="8211" spans="1:11" ht="12.75" customHeight="1" x14ac:dyDescent="0.3">
      <c r="A8211" s="382" t="s">
        <v>7914</v>
      </c>
      <c r="B8211" s="312" t="s">
        <v>414</v>
      </c>
      <c r="C8211" s="382" t="s">
        <v>413</v>
      </c>
      <c r="D8211" s="382" t="s">
        <v>1039</v>
      </c>
      <c r="E8211" s="312"/>
      <c r="F8211" s="312"/>
      <c r="G8211" s="312" t="s">
        <v>7907</v>
      </c>
      <c r="H8211" s="312" t="s">
        <v>7908</v>
      </c>
      <c r="I8211" s="312" t="s">
        <v>1552</v>
      </c>
      <c r="J8211" s="312" t="s">
        <v>7905</v>
      </c>
      <c r="K8211"/>
    </row>
    <row r="8212" spans="1:11" ht="25.5" customHeight="1" x14ac:dyDescent="0.3">
      <c r="A8212" s="400" t="s">
        <v>1038</v>
      </c>
      <c r="B8212" s="401" t="s">
        <v>439</v>
      </c>
      <c r="C8212" s="400" t="s">
        <v>8171</v>
      </c>
      <c r="D8212" s="400" t="s">
        <v>7744</v>
      </c>
      <c r="E8212" s="400"/>
      <c r="F8212" s="400" t="s">
        <v>7916</v>
      </c>
      <c r="G8212" s="402" t="s">
        <v>1109</v>
      </c>
      <c r="H8212" s="404">
        <v>0.9</v>
      </c>
      <c r="I8212" s="403">
        <v>1</v>
      </c>
      <c r="J8212" s="404">
        <v>0.9</v>
      </c>
      <c r="K8212"/>
    </row>
    <row r="8213" spans="1:11" ht="25.5" customHeight="1" x14ac:dyDescent="0.3">
      <c r="A8213" s="581"/>
      <c r="B8213" s="581"/>
      <c r="C8213" s="581"/>
      <c r="D8213" s="581"/>
      <c r="E8213" s="581"/>
      <c r="F8213" s="581" t="s">
        <v>7920</v>
      </c>
      <c r="G8213" s="581"/>
      <c r="H8213" s="581"/>
      <c r="I8213" s="581"/>
      <c r="J8213" s="381">
        <v>0.9</v>
      </c>
      <c r="K8213"/>
    </row>
    <row r="8214" spans="1:11" ht="25.5" customHeight="1" x14ac:dyDescent="0.3">
      <c r="A8214" s="382" t="s">
        <v>7921</v>
      </c>
      <c r="B8214" s="312" t="s">
        <v>414</v>
      </c>
      <c r="C8214" s="382" t="s">
        <v>413</v>
      </c>
      <c r="D8214" s="382" t="s">
        <v>2381</v>
      </c>
      <c r="E8214" s="312"/>
      <c r="F8214" s="312"/>
      <c r="G8214" s="312" t="s">
        <v>7907</v>
      </c>
      <c r="H8214" s="312" t="s">
        <v>7908</v>
      </c>
      <c r="I8214" s="312" t="s">
        <v>1552</v>
      </c>
      <c r="J8214" s="312" t="s">
        <v>7905</v>
      </c>
      <c r="K8214"/>
    </row>
    <row r="8215" spans="1:11" ht="30" customHeight="1" x14ac:dyDescent="0.3">
      <c r="A8215" s="581"/>
      <c r="B8215" s="581"/>
      <c r="C8215" s="581"/>
      <c r="D8215" s="581"/>
      <c r="E8215" s="581"/>
      <c r="F8215" s="581" t="s">
        <v>7929</v>
      </c>
      <c r="G8215" s="581"/>
      <c r="H8215" s="581"/>
      <c r="I8215" s="581"/>
      <c r="J8215" s="381">
        <v>0</v>
      </c>
      <c r="K8215"/>
    </row>
    <row r="8216" spans="1:11" ht="14.25" customHeight="1" x14ac:dyDescent="0.3">
      <c r="A8216" s="382" t="s">
        <v>6</v>
      </c>
      <c r="B8216" s="312" t="s">
        <v>414</v>
      </c>
      <c r="C8216" s="382" t="s">
        <v>413</v>
      </c>
      <c r="D8216" s="382" t="s">
        <v>7930</v>
      </c>
      <c r="E8216" s="312" t="s">
        <v>7931</v>
      </c>
      <c r="F8216" s="312" t="s">
        <v>7932</v>
      </c>
      <c r="G8216" s="312" t="s">
        <v>7907</v>
      </c>
      <c r="H8216" s="312" t="s">
        <v>7908</v>
      </c>
      <c r="I8216" s="312" t="s">
        <v>1552</v>
      </c>
      <c r="J8216" s="312" t="s">
        <v>7905</v>
      </c>
      <c r="K8216"/>
    </row>
    <row r="8217" spans="1:11" ht="14.25" customHeight="1" x14ac:dyDescent="0.3">
      <c r="A8217" s="581"/>
      <c r="B8217" s="581"/>
      <c r="C8217" s="581"/>
      <c r="D8217" s="581"/>
      <c r="E8217" s="581"/>
      <c r="F8217" s="581" t="s">
        <v>7933</v>
      </c>
      <c r="G8217" s="581"/>
      <c r="H8217" s="581"/>
      <c r="I8217" s="581"/>
      <c r="J8217" s="381">
        <v>0</v>
      </c>
      <c r="K8217"/>
    </row>
    <row r="8218" spans="1:11" ht="15" x14ac:dyDescent="0.3">
      <c r="A8218" s="405"/>
      <c r="B8218" s="405"/>
      <c r="C8218" s="405"/>
      <c r="D8218" s="405"/>
      <c r="E8218" s="405" t="s">
        <v>1046</v>
      </c>
      <c r="F8218" s="406">
        <v>0</v>
      </c>
      <c r="G8218" s="405" t="s">
        <v>1047</v>
      </c>
      <c r="H8218" s="406">
        <v>0</v>
      </c>
      <c r="I8218" s="405" t="s">
        <v>1048</v>
      </c>
      <c r="J8218" s="406">
        <v>0</v>
      </c>
      <c r="K8218"/>
    </row>
    <row r="8219" spans="1:11" ht="17.399999999999999" customHeight="1" thickBot="1" x14ac:dyDescent="0.35">
      <c r="A8219" s="405"/>
      <c r="B8219" s="405"/>
      <c r="C8219" s="405"/>
      <c r="D8219" s="405"/>
      <c r="E8219" s="405" t="s">
        <v>1049</v>
      </c>
      <c r="F8219" s="406">
        <v>0</v>
      </c>
      <c r="G8219" s="405"/>
      <c r="H8219" s="606"/>
      <c r="I8219" s="606" t="s">
        <v>1050</v>
      </c>
      <c r="J8219" s="406">
        <v>0.9</v>
      </c>
      <c r="K8219"/>
    </row>
    <row r="8220" spans="1:11" ht="12.75" customHeight="1" thickTop="1" x14ac:dyDescent="0.3">
      <c r="A8220" s="407"/>
      <c r="B8220" s="407"/>
      <c r="C8220" s="407"/>
      <c r="D8220" s="407"/>
      <c r="E8220" s="407"/>
      <c r="F8220" s="407"/>
      <c r="G8220" s="407"/>
      <c r="H8220" s="407"/>
      <c r="I8220" s="407"/>
      <c r="J8220" s="407"/>
      <c r="K8220"/>
    </row>
    <row r="8221" spans="1:11" ht="12.75" customHeight="1" x14ac:dyDescent="0.3">
      <c r="A8221" s="382"/>
      <c r="B8221" s="312" t="s">
        <v>413</v>
      </c>
      <c r="C8221" s="382" t="s">
        <v>414</v>
      </c>
      <c r="D8221" s="382" t="s">
        <v>415</v>
      </c>
      <c r="E8221" s="586" t="s">
        <v>1029</v>
      </c>
      <c r="F8221" s="586"/>
      <c r="G8221" s="383" t="s">
        <v>416</v>
      </c>
      <c r="H8221" s="312" t="s">
        <v>1030</v>
      </c>
      <c r="I8221" s="312" t="s">
        <v>3016</v>
      </c>
      <c r="J8221" s="312" t="s">
        <v>1031</v>
      </c>
      <c r="K8221" s="312" t="s">
        <v>1032</v>
      </c>
    </row>
    <row r="8222" spans="1:11" ht="25.5" customHeight="1" x14ac:dyDescent="0.3">
      <c r="A8222" s="313" t="s">
        <v>1033</v>
      </c>
      <c r="B8222" s="315" t="s">
        <v>2522</v>
      </c>
      <c r="C8222" s="313" t="s">
        <v>395</v>
      </c>
      <c r="D8222" s="313" t="s">
        <v>18</v>
      </c>
      <c r="E8222" s="603" t="s">
        <v>7772</v>
      </c>
      <c r="F8222" s="603"/>
      <c r="G8222" s="314" t="s">
        <v>19</v>
      </c>
      <c r="H8222" s="399">
        <v>1</v>
      </c>
      <c r="I8222" s="316"/>
      <c r="J8222" s="316">
        <v>99.22</v>
      </c>
      <c r="K8222" s="316">
        <v>99.22</v>
      </c>
    </row>
    <row r="8223" spans="1:11" ht="25.5" customHeight="1" x14ac:dyDescent="0.3">
      <c r="A8223" s="408" t="s">
        <v>1034</v>
      </c>
      <c r="B8223" s="409" t="s">
        <v>8172</v>
      </c>
      <c r="C8223" s="408" t="s">
        <v>395</v>
      </c>
      <c r="D8223" s="408" t="s">
        <v>8173</v>
      </c>
      <c r="E8223" s="604" t="s">
        <v>7946</v>
      </c>
      <c r="F8223" s="604"/>
      <c r="G8223" s="410" t="s">
        <v>6</v>
      </c>
      <c r="H8223" s="412">
        <v>1</v>
      </c>
      <c r="I8223" s="412">
        <v>0</v>
      </c>
      <c r="J8223" s="411">
        <v>44.8</v>
      </c>
      <c r="K8223" s="411">
        <v>44.8</v>
      </c>
    </row>
    <row r="8224" spans="1:11" ht="30" customHeight="1" x14ac:dyDescent="0.3">
      <c r="A8224" s="408" t="s">
        <v>1034</v>
      </c>
      <c r="B8224" s="409" t="s">
        <v>8174</v>
      </c>
      <c r="C8224" s="408" t="s">
        <v>395</v>
      </c>
      <c r="D8224" s="408" t="s">
        <v>8175</v>
      </c>
      <c r="E8224" s="604" t="s">
        <v>7946</v>
      </c>
      <c r="F8224" s="604"/>
      <c r="G8224" s="410" t="s">
        <v>6</v>
      </c>
      <c r="H8224" s="412">
        <v>1</v>
      </c>
      <c r="I8224" s="412">
        <v>0</v>
      </c>
      <c r="J8224" s="411">
        <v>11.84</v>
      </c>
      <c r="K8224" s="411">
        <v>11.84</v>
      </c>
    </row>
    <row r="8225" spans="1:11" ht="26.4" x14ac:dyDescent="0.3">
      <c r="A8225" s="408" t="s">
        <v>1034</v>
      </c>
      <c r="B8225" s="409" t="s">
        <v>8176</v>
      </c>
      <c r="C8225" s="408" t="s">
        <v>395</v>
      </c>
      <c r="D8225" s="408" t="s">
        <v>8177</v>
      </c>
      <c r="E8225" s="604" t="s">
        <v>7768</v>
      </c>
      <c r="F8225" s="604"/>
      <c r="G8225" s="410" t="s">
        <v>6</v>
      </c>
      <c r="H8225" s="412">
        <v>1</v>
      </c>
      <c r="I8225" s="412">
        <v>0</v>
      </c>
      <c r="J8225" s="411">
        <v>42.58</v>
      </c>
      <c r="K8225" s="411">
        <v>42.58</v>
      </c>
    </row>
    <row r="8226" spans="1:11" ht="12.75" customHeight="1" x14ac:dyDescent="0.3">
      <c r="A8226" s="405"/>
      <c r="B8226" s="405"/>
      <c r="C8226" s="405"/>
      <c r="D8226" s="405"/>
      <c r="E8226" s="405" t="s">
        <v>1046</v>
      </c>
      <c r="F8226" s="406">
        <v>33.630000000000003</v>
      </c>
      <c r="G8226" s="405" t="s">
        <v>1047</v>
      </c>
      <c r="H8226" s="406">
        <v>0</v>
      </c>
      <c r="I8226" s="405" t="s">
        <v>1048</v>
      </c>
      <c r="J8226" s="406">
        <v>33.630000000000003</v>
      </c>
      <c r="K8226"/>
    </row>
    <row r="8227" spans="1:11" ht="14.25" customHeight="1" thickBot="1" x14ac:dyDescent="0.35">
      <c r="A8227" s="405"/>
      <c r="B8227" s="405"/>
      <c r="C8227" s="405"/>
      <c r="D8227" s="405"/>
      <c r="E8227" s="405" t="s">
        <v>1049</v>
      </c>
      <c r="F8227" s="406">
        <v>0</v>
      </c>
      <c r="G8227" s="405"/>
      <c r="H8227" s="606"/>
      <c r="I8227" s="606" t="s">
        <v>1050</v>
      </c>
      <c r="J8227" s="406">
        <v>99.22</v>
      </c>
      <c r="K8227"/>
    </row>
    <row r="8228" spans="1:11" ht="14.25" customHeight="1" thickTop="1" x14ac:dyDescent="0.3">
      <c r="A8228" s="407"/>
      <c r="B8228" s="407"/>
      <c r="C8228" s="407"/>
      <c r="D8228" s="407"/>
      <c r="E8228" s="407"/>
      <c r="F8228" s="407"/>
      <c r="G8228" s="407"/>
      <c r="H8228" s="407"/>
      <c r="I8228" s="407"/>
      <c r="J8228" s="407"/>
      <c r="K8228"/>
    </row>
    <row r="8229" spans="1:11" ht="15" x14ac:dyDescent="0.3">
      <c r="A8229" s="382"/>
      <c r="B8229" s="312" t="s">
        <v>413</v>
      </c>
      <c r="C8229" s="382" t="s">
        <v>414</v>
      </c>
      <c r="D8229" s="382" t="s">
        <v>415</v>
      </c>
      <c r="E8229" s="586" t="s">
        <v>1029</v>
      </c>
      <c r="F8229" s="586"/>
      <c r="G8229" s="383" t="s">
        <v>416</v>
      </c>
      <c r="H8229" s="312" t="s">
        <v>1030</v>
      </c>
      <c r="I8229" s="312" t="s">
        <v>3016</v>
      </c>
      <c r="J8229" s="312" t="s">
        <v>1031</v>
      </c>
      <c r="K8229" s="312" t="s">
        <v>1032</v>
      </c>
    </row>
    <row r="8230" spans="1:11" ht="26.4" x14ac:dyDescent="0.3">
      <c r="A8230" s="313" t="s">
        <v>1033</v>
      </c>
      <c r="B8230" s="315" t="s">
        <v>1300</v>
      </c>
      <c r="C8230" s="313" t="s">
        <v>395</v>
      </c>
      <c r="D8230" s="313" t="s">
        <v>14</v>
      </c>
      <c r="E8230" s="603" t="s">
        <v>7772</v>
      </c>
      <c r="F8230" s="603"/>
      <c r="G8230" s="314" t="s">
        <v>15</v>
      </c>
      <c r="H8230" s="399">
        <v>1</v>
      </c>
      <c r="I8230" s="316"/>
      <c r="J8230" s="316">
        <v>231.47</v>
      </c>
      <c r="K8230" s="316">
        <v>231.47</v>
      </c>
    </row>
    <row r="8231" spans="1:11" ht="25.5" customHeight="1" x14ac:dyDescent="0.3">
      <c r="A8231" s="408" t="s">
        <v>1034</v>
      </c>
      <c r="B8231" s="409" t="s">
        <v>8172</v>
      </c>
      <c r="C8231" s="408" t="s">
        <v>395</v>
      </c>
      <c r="D8231" s="408" t="s">
        <v>8173</v>
      </c>
      <c r="E8231" s="604" t="s">
        <v>7946</v>
      </c>
      <c r="F8231" s="604"/>
      <c r="G8231" s="410" t="s">
        <v>6</v>
      </c>
      <c r="H8231" s="412">
        <v>1</v>
      </c>
      <c r="I8231" s="412">
        <v>0</v>
      </c>
      <c r="J8231" s="411">
        <v>44.8</v>
      </c>
      <c r="K8231" s="411">
        <v>44.8</v>
      </c>
    </row>
    <row r="8232" spans="1:11" ht="12.75" customHeight="1" x14ac:dyDescent="0.3">
      <c r="A8232" s="408" t="s">
        <v>1034</v>
      </c>
      <c r="B8232" s="409" t="s">
        <v>8174</v>
      </c>
      <c r="C8232" s="408" t="s">
        <v>395</v>
      </c>
      <c r="D8232" s="408" t="s">
        <v>8175</v>
      </c>
      <c r="E8232" s="604" t="s">
        <v>7946</v>
      </c>
      <c r="F8232" s="604"/>
      <c r="G8232" s="410" t="s">
        <v>6</v>
      </c>
      <c r="H8232" s="412">
        <v>1</v>
      </c>
      <c r="I8232" s="412">
        <v>0</v>
      </c>
      <c r="J8232" s="411">
        <v>11.84</v>
      </c>
      <c r="K8232" s="411">
        <v>11.84</v>
      </c>
    </row>
    <row r="8233" spans="1:11" ht="25.5" customHeight="1" x14ac:dyDescent="0.3">
      <c r="A8233" s="408" t="s">
        <v>1034</v>
      </c>
      <c r="B8233" s="409" t="s">
        <v>8178</v>
      </c>
      <c r="C8233" s="408" t="s">
        <v>395</v>
      </c>
      <c r="D8233" s="408" t="s">
        <v>8179</v>
      </c>
      <c r="E8233" s="604" t="s">
        <v>7946</v>
      </c>
      <c r="F8233" s="604"/>
      <c r="G8233" s="410" t="s">
        <v>6</v>
      </c>
      <c r="H8233" s="412">
        <v>1</v>
      </c>
      <c r="I8233" s="412">
        <v>0</v>
      </c>
      <c r="J8233" s="411">
        <v>56</v>
      </c>
      <c r="K8233" s="411">
        <v>56</v>
      </c>
    </row>
    <row r="8234" spans="1:11" ht="25.5" customHeight="1" x14ac:dyDescent="0.3">
      <c r="A8234" s="408" t="s">
        <v>1034</v>
      </c>
      <c r="B8234" s="409" t="s">
        <v>8180</v>
      </c>
      <c r="C8234" s="408" t="s">
        <v>395</v>
      </c>
      <c r="D8234" s="408" t="s">
        <v>8181</v>
      </c>
      <c r="E8234" s="604" t="s">
        <v>7946</v>
      </c>
      <c r="F8234" s="604"/>
      <c r="G8234" s="410" t="s">
        <v>6</v>
      </c>
      <c r="H8234" s="412">
        <v>1</v>
      </c>
      <c r="I8234" s="412">
        <v>0</v>
      </c>
      <c r="J8234" s="411">
        <v>76.25</v>
      </c>
      <c r="K8234" s="411">
        <v>76.25</v>
      </c>
    </row>
    <row r="8235" spans="1:11" ht="26.4" x14ac:dyDescent="0.3">
      <c r="A8235" s="408" t="s">
        <v>1034</v>
      </c>
      <c r="B8235" s="409" t="s">
        <v>8176</v>
      </c>
      <c r="C8235" s="408" t="s">
        <v>395</v>
      </c>
      <c r="D8235" s="408" t="s">
        <v>8177</v>
      </c>
      <c r="E8235" s="604" t="s">
        <v>7768</v>
      </c>
      <c r="F8235" s="604"/>
      <c r="G8235" s="410" t="s">
        <v>6</v>
      </c>
      <c r="H8235" s="412">
        <v>1</v>
      </c>
      <c r="I8235" s="412">
        <v>0</v>
      </c>
      <c r="J8235" s="411">
        <v>42.58</v>
      </c>
      <c r="K8235" s="411">
        <v>42.58</v>
      </c>
    </row>
    <row r="8236" spans="1:11" ht="17.399999999999999" customHeight="1" x14ac:dyDescent="0.3">
      <c r="A8236" s="405"/>
      <c r="B8236" s="405"/>
      <c r="C8236" s="405"/>
      <c r="D8236" s="405"/>
      <c r="E8236" s="405" t="s">
        <v>1046</v>
      </c>
      <c r="F8236" s="406">
        <v>33.630000000000003</v>
      </c>
      <c r="G8236" s="405" t="s">
        <v>1047</v>
      </c>
      <c r="H8236" s="406">
        <v>0</v>
      </c>
      <c r="I8236" s="405" t="s">
        <v>1048</v>
      </c>
      <c r="J8236" s="406">
        <v>33.630000000000003</v>
      </c>
      <c r="K8236"/>
    </row>
    <row r="8237" spans="1:11" ht="14.25" customHeight="1" thickBot="1" x14ac:dyDescent="0.35">
      <c r="A8237" s="405"/>
      <c r="B8237" s="405"/>
      <c r="C8237" s="405"/>
      <c r="D8237" s="405"/>
      <c r="E8237" s="405" t="s">
        <v>1049</v>
      </c>
      <c r="F8237" s="406">
        <v>0</v>
      </c>
      <c r="G8237" s="405"/>
      <c r="H8237" s="606"/>
      <c r="I8237" s="606" t="s">
        <v>1050</v>
      </c>
      <c r="J8237" s="406">
        <v>231.47</v>
      </c>
      <c r="K8237"/>
    </row>
    <row r="8238" spans="1:11" ht="14.25" customHeight="1" thickTop="1" x14ac:dyDescent="0.3">
      <c r="A8238" s="407"/>
      <c r="B8238" s="407"/>
      <c r="C8238" s="407"/>
      <c r="D8238" s="407"/>
      <c r="E8238" s="407"/>
      <c r="F8238" s="407"/>
      <c r="G8238" s="407"/>
      <c r="H8238" s="407"/>
      <c r="I8238" s="407"/>
      <c r="J8238" s="407"/>
      <c r="K8238"/>
    </row>
    <row r="8239" spans="1:11" ht="25.5" customHeight="1" x14ac:dyDescent="0.3">
      <c r="A8239" s="382"/>
      <c r="B8239" s="312" t="s">
        <v>413</v>
      </c>
      <c r="C8239" s="382" t="s">
        <v>414</v>
      </c>
      <c r="D8239" s="382" t="s">
        <v>415</v>
      </c>
      <c r="E8239" s="586" t="s">
        <v>1029</v>
      </c>
      <c r="F8239" s="586"/>
      <c r="G8239" s="383" t="s">
        <v>416</v>
      </c>
      <c r="H8239" s="312" t="s">
        <v>1030</v>
      </c>
      <c r="I8239" s="312" t="s">
        <v>3016</v>
      </c>
      <c r="J8239" s="312" t="s">
        <v>1031</v>
      </c>
      <c r="K8239" s="312" t="s">
        <v>1032</v>
      </c>
    </row>
    <row r="8240" spans="1:11" ht="16.95" customHeight="1" x14ac:dyDescent="0.3">
      <c r="A8240" s="313" t="s">
        <v>1033</v>
      </c>
      <c r="B8240" s="315" t="s">
        <v>8172</v>
      </c>
      <c r="C8240" s="313" t="s">
        <v>395</v>
      </c>
      <c r="D8240" s="313" t="s">
        <v>8173</v>
      </c>
      <c r="E8240" s="603" t="s">
        <v>7946</v>
      </c>
      <c r="F8240" s="603"/>
      <c r="G8240" s="314" t="s">
        <v>6</v>
      </c>
      <c r="H8240" s="399">
        <v>1</v>
      </c>
      <c r="I8240" s="316"/>
      <c r="J8240" s="316">
        <v>44.8</v>
      </c>
      <c r="K8240" s="316">
        <v>44.8</v>
      </c>
    </row>
    <row r="8241" spans="1:11" ht="12.75" customHeight="1" x14ac:dyDescent="0.3">
      <c r="A8241" s="400" t="s">
        <v>1038</v>
      </c>
      <c r="B8241" s="401" t="s">
        <v>4782</v>
      </c>
      <c r="C8241" s="400" t="s">
        <v>395</v>
      </c>
      <c r="D8241" s="400" t="s">
        <v>4783</v>
      </c>
      <c r="E8241" s="605" t="s">
        <v>1317</v>
      </c>
      <c r="F8241" s="605"/>
      <c r="G8241" s="402" t="s">
        <v>4</v>
      </c>
      <c r="H8241" s="403">
        <v>5.5999999999999999E-5</v>
      </c>
      <c r="I8241" s="403">
        <v>0</v>
      </c>
      <c r="J8241" s="404">
        <v>800000</v>
      </c>
      <c r="K8241" s="404">
        <v>44.8</v>
      </c>
    </row>
    <row r="8242" spans="1:11" ht="12.75" customHeight="1" x14ac:dyDescent="0.3">
      <c r="A8242" s="405"/>
      <c r="B8242" s="405"/>
      <c r="C8242" s="405"/>
      <c r="D8242" s="405"/>
      <c r="E8242" s="405" t="s">
        <v>1046</v>
      </c>
      <c r="F8242" s="406">
        <v>0</v>
      </c>
      <c r="G8242" s="405" t="s">
        <v>1047</v>
      </c>
      <c r="H8242" s="406">
        <v>0</v>
      </c>
      <c r="I8242" s="405" t="s">
        <v>1048</v>
      </c>
      <c r="J8242" s="406">
        <v>0</v>
      </c>
      <c r="K8242"/>
    </row>
    <row r="8243" spans="1:11" ht="25.5" customHeight="1" thickBot="1" x14ac:dyDescent="0.35">
      <c r="A8243" s="405"/>
      <c r="B8243" s="405"/>
      <c r="C8243" s="405"/>
      <c r="D8243" s="405"/>
      <c r="E8243" s="405" t="s">
        <v>1049</v>
      </c>
      <c r="F8243" s="406">
        <v>0</v>
      </c>
      <c r="G8243" s="405"/>
      <c r="H8243" s="606"/>
      <c r="I8243" s="606" t="s">
        <v>1050</v>
      </c>
      <c r="J8243" s="406">
        <v>44.8</v>
      </c>
      <c r="K8243"/>
    </row>
    <row r="8244" spans="1:11" ht="25.5" customHeight="1" thickTop="1" x14ac:dyDescent="0.3">
      <c r="A8244" s="407"/>
      <c r="B8244" s="407"/>
      <c r="C8244" s="407"/>
      <c r="D8244" s="407"/>
      <c r="E8244" s="407"/>
      <c r="F8244" s="407"/>
      <c r="G8244" s="407"/>
      <c r="H8244" s="407"/>
      <c r="I8244" s="407"/>
      <c r="J8244" s="407"/>
      <c r="K8244"/>
    </row>
    <row r="8245" spans="1:11" ht="16.95" customHeight="1" x14ac:dyDescent="0.3">
      <c r="A8245" s="382"/>
      <c r="B8245" s="312" t="s">
        <v>413</v>
      </c>
      <c r="C8245" s="382" t="s">
        <v>414</v>
      </c>
      <c r="D8245" s="382" t="s">
        <v>415</v>
      </c>
      <c r="E8245" s="586" t="s">
        <v>1029</v>
      </c>
      <c r="F8245" s="586"/>
      <c r="G8245" s="383" t="s">
        <v>416</v>
      </c>
      <c r="H8245" s="312" t="s">
        <v>1030</v>
      </c>
      <c r="I8245" s="312" t="s">
        <v>3016</v>
      </c>
      <c r="J8245" s="312" t="s">
        <v>1031</v>
      </c>
      <c r="K8245" s="312" t="s">
        <v>1032</v>
      </c>
    </row>
    <row r="8246" spans="1:11" ht="14.25" customHeight="1" x14ac:dyDescent="0.3">
      <c r="A8246" s="313" t="s">
        <v>1033</v>
      </c>
      <c r="B8246" s="315" t="s">
        <v>8174</v>
      </c>
      <c r="C8246" s="313" t="s">
        <v>395</v>
      </c>
      <c r="D8246" s="313" t="s">
        <v>8175</v>
      </c>
      <c r="E8246" s="603" t="s">
        <v>7946</v>
      </c>
      <c r="F8246" s="603"/>
      <c r="G8246" s="314" t="s">
        <v>6</v>
      </c>
      <c r="H8246" s="399">
        <v>1</v>
      </c>
      <c r="I8246" s="316"/>
      <c r="J8246" s="316">
        <v>11.84</v>
      </c>
      <c r="K8246" s="316">
        <v>11.84</v>
      </c>
    </row>
    <row r="8247" spans="1:11" ht="14.25" customHeight="1" x14ac:dyDescent="0.3">
      <c r="A8247" s="400" t="s">
        <v>1038</v>
      </c>
      <c r="B8247" s="401" t="s">
        <v>4782</v>
      </c>
      <c r="C8247" s="400" t="s">
        <v>395</v>
      </c>
      <c r="D8247" s="400" t="s">
        <v>4783</v>
      </c>
      <c r="E8247" s="605" t="s">
        <v>1317</v>
      </c>
      <c r="F8247" s="605"/>
      <c r="G8247" s="402" t="s">
        <v>4</v>
      </c>
      <c r="H8247" s="403">
        <v>1.4800000000000001E-5</v>
      </c>
      <c r="I8247" s="403">
        <v>0</v>
      </c>
      <c r="J8247" s="404">
        <v>800000</v>
      </c>
      <c r="K8247" s="404">
        <v>11.84</v>
      </c>
    </row>
    <row r="8248" spans="1:11" ht="25.5" customHeight="1" x14ac:dyDescent="0.3">
      <c r="A8248" s="405"/>
      <c r="B8248" s="405"/>
      <c r="C8248" s="405"/>
      <c r="D8248" s="405"/>
      <c r="E8248" s="405" t="s">
        <v>1046</v>
      </c>
      <c r="F8248" s="406">
        <v>0</v>
      </c>
      <c r="G8248" s="405" t="s">
        <v>1047</v>
      </c>
      <c r="H8248" s="406">
        <v>0</v>
      </c>
      <c r="I8248" s="405" t="s">
        <v>1048</v>
      </c>
      <c r="J8248" s="406">
        <v>0</v>
      </c>
      <c r="K8248"/>
    </row>
    <row r="8249" spans="1:11" ht="15.6" thickBot="1" x14ac:dyDescent="0.35">
      <c r="A8249" s="405"/>
      <c r="B8249" s="405"/>
      <c r="C8249" s="405"/>
      <c r="D8249" s="405"/>
      <c r="E8249" s="405" t="s">
        <v>1049</v>
      </c>
      <c r="F8249" s="406">
        <v>0</v>
      </c>
      <c r="G8249" s="405"/>
      <c r="H8249" s="606"/>
      <c r="I8249" s="606" t="s">
        <v>1050</v>
      </c>
      <c r="J8249" s="406">
        <v>11.84</v>
      </c>
      <c r="K8249"/>
    </row>
    <row r="8250" spans="1:11" ht="12.75" customHeight="1" thickTop="1" x14ac:dyDescent="0.3">
      <c r="A8250" s="407"/>
      <c r="B8250" s="407"/>
      <c r="C8250" s="407"/>
      <c r="D8250" s="407"/>
      <c r="E8250" s="407"/>
      <c r="F8250" s="407"/>
      <c r="G8250" s="407"/>
      <c r="H8250" s="407"/>
      <c r="I8250" s="407"/>
      <c r="J8250" s="407"/>
      <c r="K8250"/>
    </row>
    <row r="8251" spans="1:11" ht="12.75" customHeight="1" x14ac:dyDescent="0.3">
      <c r="A8251" s="382"/>
      <c r="B8251" s="312" t="s">
        <v>413</v>
      </c>
      <c r="C8251" s="382" t="s">
        <v>414</v>
      </c>
      <c r="D8251" s="382" t="s">
        <v>415</v>
      </c>
      <c r="E8251" s="586" t="s">
        <v>1029</v>
      </c>
      <c r="F8251" s="586"/>
      <c r="G8251" s="383" t="s">
        <v>416</v>
      </c>
      <c r="H8251" s="312" t="s">
        <v>1030</v>
      </c>
      <c r="I8251" s="312" t="s">
        <v>3016</v>
      </c>
      <c r="J8251" s="312" t="s">
        <v>1031</v>
      </c>
      <c r="K8251" s="312" t="s">
        <v>1032</v>
      </c>
    </row>
    <row r="8252" spans="1:11" ht="25.5" customHeight="1" x14ac:dyDescent="0.3">
      <c r="A8252" s="313" t="s">
        <v>1033</v>
      </c>
      <c r="B8252" s="315" t="s">
        <v>8178</v>
      </c>
      <c r="C8252" s="313" t="s">
        <v>395</v>
      </c>
      <c r="D8252" s="313" t="s">
        <v>8179</v>
      </c>
      <c r="E8252" s="603" t="s">
        <v>7946</v>
      </c>
      <c r="F8252" s="603"/>
      <c r="G8252" s="314" t="s">
        <v>6</v>
      </c>
      <c r="H8252" s="399">
        <v>1</v>
      </c>
      <c r="I8252" s="316"/>
      <c r="J8252" s="316">
        <v>56</v>
      </c>
      <c r="K8252" s="316">
        <v>56</v>
      </c>
    </row>
    <row r="8253" spans="1:11" ht="25.5" customHeight="1" x14ac:dyDescent="0.3">
      <c r="A8253" s="400" t="s">
        <v>1038</v>
      </c>
      <c r="B8253" s="401" t="s">
        <v>4782</v>
      </c>
      <c r="C8253" s="400" t="s">
        <v>395</v>
      </c>
      <c r="D8253" s="400" t="s">
        <v>4783</v>
      </c>
      <c r="E8253" s="605" t="s">
        <v>1317</v>
      </c>
      <c r="F8253" s="605"/>
      <c r="G8253" s="402" t="s">
        <v>4</v>
      </c>
      <c r="H8253" s="403">
        <v>6.9999999999999994E-5</v>
      </c>
      <c r="I8253" s="403">
        <v>0</v>
      </c>
      <c r="J8253" s="404">
        <v>800000</v>
      </c>
      <c r="K8253" s="404">
        <v>56</v>
      </c>
    </row>
    <row r="8254" spans="1:11" ht="30" customHeight="1" x14ac:dyDescent="0.3">
      <c r="A8254" s="405"/>
      <c r="B8254" s="405"/>
      <c r="C8254" s="405"/>
      <c r="D8254" s="405"/>
      <c r="E8254" s="405" t="s">
        <v>1046</v>
      </c>
      <c r="F8254" s="406">
        <v>0</v>
      </c>
      <c r="G8254" s="405" t="s">
        <v>1047</v>
      </c>
      <c r="H8254" s="406">
        <v>0</v>
      </c>
      <c r="I8254" s="405" t="s">
        <v>1048</v>
      </c>
      <c r="J8254" s="406">
        <v>0</v>
      </c>
      <c r="K8254"/>
    </row>
    <row r="8255" spans="1:11" ht="12.75" customHeight="1" thickBot="1" x14ac:dyDescent="0.35">
      <c r="A8255" s="405"/>
      <c r="B8255" s="405"/>
      <c r="C8255" s="405"/>
      <c r="D8255" s="405"/>
      <c r="E8255" s="405" t="s">
        <v>1049</v>
      </c>
      <c r="F8255" s="406">
        <v>0</v>
      </c>
      <c r="G8255" s="405"/>
      <c r="H8255" s="606"/>
      <c r="I8255" s="606" t="s">
        <v>1050</v>
      </c>
      <c r="J8255" s="406">
        <v>56</v>
      </c>
      <c r="K8255"/>
    </row>
    <row r="8256" spans="1:11" ht="25.5" customHeight="1" thickTop="1" x14ac:dyDescent="0.3">
      <c r="A8256" s="407"/>
      <c r="B8256" s="407"/>
      <c r="C8256" s="407"/>
      <c r="D8256" s="407"/>
      <c r="E8256" s="407"/>
      <c r="F8256" s="407"/>
      <c r="G8256" s="407"/>
      <c r="H8256" s="407"/>
      <c r="I8256" s="407"/>
      <c r="J8256" s="407"/>
      <c r="K8256"/>
    </row>
    <row r="8257" spans="1:11" ht="25.5" customHeight="1" x14ac:dyDescent="0.3">
      <c r="A8257" s="382"/>
      <c r="B8257" s="312" t="s">
        <v>413</v>
      </c>
      <c r="C8257" s="382" t="s">
        <v>414</v>
      </c>
      <c r="D8257" s="382" t="s">
        <v>415</v>
      </c>
      <c r="E8257" s="586" t="s">
        <v>1029</v>
      </c>
      <c r="F8257" s="586"/>
      <c r="G8257" s="383" t="s">
        <v>416</v>
      </c>
      <c r="H8257" s="312" t="s">
        <v>1030</v>
      </c>
      <c r="I8257" s="312" t="s">
        <v>3016</v>
      </c>
      <c r="J8257" s="312" t="s">
        <v>1031</v>
      </c>
      <c r="K8257" s="312" t="s">
        <v>1032</v>
      </c>
    </row>
    <row r="8258" spans="1:11" ht="14.25" customHeight="1" x14ac:dyDescent="0.3">
      <c r="A8258" s="313" t="s">
        <v>1033</v>
      </c>
      <c r="B8258" s="315" t="s">
        <v>8180</v>
      </c>
      <c r="C8258" s="313" t="s">
        <v>395</v>
      </c>
      <c r="D8258" s="313" t="s">
        <v>8181</v>
      </c>
      <c r="E8258" s="603" t="s">
        <v>7946</v>
      </c>
      <c r="F8258" s="603"/>
      <c r="G8258" s="314" t="s">
        <v>6</v>
      </c>
      <c r="H8258" s="399">
        <v>1</v>
      </c>
      <c r="I8258" s="316"/>
      <c r="J8258" s="316">
        <v>76.25</v>
      </c>
      <c r="K8258" s="316">
        <v>76.25</v>
      </c>
    </row>
    <row r="8259" spans="1:11" ht="17.399999999999999" customHeight="1" x14ac:dyDescent="0.3">
      <c r="A8259" s="400" t="s">
        <v>1038</v>
      </c>
      <c r="B8259" s="401" t="s">
        <v>4383</v>
      </c>
      <c r="C8259" s="400" t="s">
        <v>395</v>
      </c>
      <c r="D8259" s="400" t="s">
        <v>4384</v>
      </c>
      <c r="E8259" s="605" t="s">
        <v>1039</v>
      </c>
      <c r="F8259" s="605"/>
      <c r="G8259" s="402" t="s">
        <v>8</v>
      </c>
      <c r="H8259" s="403">
        <v>10.77</v>
      </c>
      <c r="I8259" s="403">
        <v>0</v>
      </c>
      <c r="J8259" s="404">
        <v>7.08</v>
      </c>
      <c r="K8259" s="404">
        <v>76.251599999999996</v>
      </c>
    </row>
    <row r="8260" spans="1:11" ht="14.25" customHeight="1" x14ac:dyDescent="0.3">
      <c r="A8260" s="405"/>
      <c r="B8260" s="405"/>
      <c r="C8260" s="405"/>
      <c r="D8260" s="405"/>
      <c r="E8260" s="405" t="s">
        <v>1046</v>
      </c>
      <c r="F8260" s="406">
        <v>0</v>
      </c>
      <c r="G8260" s="405" t="s">
        <v>1047</v>
      </c>
      <c r="H8260" s="406">
        <v>0</v>
      </c>
      <c r="I8260" s="405" t="s">
        <v>1048</v>
      </c>
      <c r="J8260" s="406">
        <v>0</v>
      </c>
      <c r="K8260"/>
    </row>
    <row r="8261" spans="1:11" ht="15.6" thickBot="1" x14ac:dyDescent="0.35">
      <c r="A8261" s="405"/>
      <c r="B8261" s="405"/>
      <c r="C8261" s="405"/>
      <c r="D8261" s="405"/>
      <c r="E8261" s="405" t="s">
        <v>1049</v>
      </c>
      <c r="F8261" s="406">
        <v>0</v>
      </c>
      <c r="G8261" s="405"/>
      <c r="H8261" s="606"/>
      <c r="I8261" s="606" t="s">
        <v>1050</v>
      </c>
      <c r="J8261" s="406">
        <v>76.25</v>
      </c>
      <c r="K8261"/>
    </row>
    <row r="8262" spans="1:11" ht="30" customHeight="1" thickTop="1" x14ac:dyDescent="0.3">
      <c r="A8262" s="407"/>
      <c r="B8262" s="407"/>
      <c r="C8262" s="407"/>
      <c r="D8262" s="407"/>
      <c r="E8262" s="407"/>
      <c r="F8262" s="407"/>
      <c r="G8262" s="407"/>
      <c r="H8262" s="407"/>
      <c r="I8262" s="407"/>
      <c r="J8262" s="407"/>
      <c r="K8262"/>
    </row>
    <row r="8263" spans="1:11" ht="25.5" customHeight="1" x14ac:dyDescent="0.3">
      <c r="A8263" s="382"/>
      <c r="B8263" s="312" t="s">
        <v>413</v>
      </c>
      <c r="C8263" s="382" t="s">
        <v>414</v>
      </c>
      <c r="D8263" s="382" t="s">
        <v>415</v>
      </c>
      <c r="E8263" s="586" t="s">
        <v>1029</v>
      </c>
      <c r="F8263" s="586"/>
      <c r="G8263" s="383" t="s">
        <v>416</v>
      </c>
      <c r="H8263" s="312" t="s">
        <v>1030</v>
      </c>
      <c r="I8263" s="312" t="s">
        <v>3016</v>
      </c>
      <c r="J8263" s="312" t="s">
        <v>1031</v>
      </c>
      <c r="K8263" s="312" t="s">
        <v>1032</v>
      </c>
    </row>
    <row r="8264" spans="1:11" ht="12.75" customHeight="1" x14ac:dyDescent="0.3">
      <c r="A8264" s="313" t="s">
        <v>1033</v>
      </c>
      <c r="B8264" s="315" t="s">
        <v>5161</v>
      </c>
      <c r="C8264" s="313" t="s">
        <v>395</v>
      </c>
      <c r="D8264" s="313" t="s">
        <v>7798</v>
      </c>
      <c r="E8264" s="603" t="s">
        <v>7799</v>
      </c>
      <c r="F8264" s="603"/>
      <c r="G8264" s="314" t="s">
        <v>713</v>
      </c>
      <c r="H8264" s="399">
        <v>1</v>
      </c>
      <c r="I8264" s="316"/>
      <c r="J8264" s="316">
        <v>129.83000000000001</v>
      </c>
      <c r="K8264" s="316">
        <v>129.83000000000001</v>
      </c>
    </row>
    <row r="8265" spans="1:11" ht="25.5" customHeight="1" x14ac:dyDescent="0.3">
      <c r="A8265" s="408" t="s">
        <v>1034</v>
      </c>
      <c r="B8265" s="409" t="s">
        <v>1290</v>
      </c>
      <c r="C8265" s="408" t="s">
        <v>395</v>
      </c>
      <c r="D8265" s="408" t="s">
        <v>147</v>
      </c>
      <c r="E8265" s="604" t="s">
        <v>7768</v>
      </c>
      <c r="F8265" s="604"/>
      <c r="G8265" s="410" t="s">
        <v>6</v>
      </c>
      <c r="H8265" s="412">
        <v>3.9557666999999999</v>
      </c>
      <c r="I8265" s="412">
        <v>0</v>
      </c>
      <c r="J8265" s="411">
        <v>32.82</v>
      </c>
      <c r="K8265" s="411">
        <v>129.82826309999999</v>
      </c>
    </row>
    <row r="8266" spans="1:11" ht="25.5" customHeight="1" x14ac:dyDescent="0.3">
      <c r="A8266" s="405"/>
      <c r="B8266" s="405"/>
      <c r="C8266" s="405"/>
      <c r="D8266" s="405"/>
      <c r="E8266" s="405" t="s">
        <v>1046</v>
      </c>
      <c r="F8266" s="406">
        <v>89.44</v>
      </c>
      <c r="G8266" s="405" t="s">
        <v>1047</v>
      </c>
      <c r="H8266" s="406">
        <v>0</v>
      </c>
      <c r="I8266" s="405" t="s">
        <v>1048</v>
      </c>
      <c r="J8266" s="406">
        <v>89.44</v>
      </c>
      <c r="K8266"/>
    </row>
    <row r="8267" spans="1:11" ht="14.25" customHeight="1" thickBot="1" x14ac:dyDescent="0.35">
      <c r="A8267" s="405"/>
      <c r="B8267" s="405"/>
      <c r="C8267" s="405"/>
      <c r="D8267" s="405"/>
      <c r="E8267" s="405" t="s">
        <v>1049</v>
      </c>
      <c r="F8267" s="406">
        <v>0</v>
      </c>
      <c r="G8267" s="405"/>
      <c r="H8267" s="606"/>
      <c r="I8267" s="606" t="s">
        <v>1050</v>
      </c>
      <c r="J8267" s="406">
        <v>129.83000000000001</v>
      </c>
      <c r="K8267"/>
    </row>
    <row r="8268" spans="1:11" ht="14.25" customHeight="1" thickTop="1" x14ac:dyDescent="0.3">
      <c r="A8268" s="407"/>
      <c r="B8268" s="407"/>
      <c r="C8268" s="407"/>
      <c r="D8268" s="407"/>
      <c r="E8268" s="407"/>
      <c r="F8268" s="407"/>
      <c r="G8268" s="407"/>
      <c r="H8268" s="407"/>
      <c r="I8268" s="407"/>
      <c r="J8268" s="407"/>
      <c r="K8268"/>
    </row>
    <row r="8269" spans="1:11" ht="14.25" customHeight="1" x14ac:dyDescent="0.3">
      <c r="A8269" s="382"/>
      <c r="B8269" s="312" t="s">
        <v>413</v>
      </c>
      <c r="C8269" s="382" t="s">
        <v>414</v>
      </c>
      <c r="D8269" s="382" t="s">
        <v>415</v>
      </c>
      <c r="E8269" s="586" t="s">
        <v>1029</v>
      </c>
      <c r="F8269" s="586"/>
      <c r="G8269" s="383" t="s">
        <v>416</v>
      </c>
      <c r="H8269" s="312" t="s">
        <v>1030</v>
      </c>
      <c r="I8269" s="312" t="s">
        <v>3016</v>
      </c>
      <c r="J8269" s="312" t="s">
        <v>1031</v>
      </c>
      <c r="K8269" s="312" t="s">
        <v>1032</v>
      </c>
    </row>
    <row r="8270" spans="1:11" ht="26.4" x14ac:dyDescent="0.3">
      <c r="A8270" s="313" t="s">
        <v>1033</v>
      </c>
      <c r="B8270" s="315" t="s">
        <v>5165</v>
      </c>
      <c r="C8270" s="313" t="s">
        <v>395</v>
      </c>
      <c r="D8270" s="313" t="s">
        <v>7805</v>
      </c>
      <c r="E8270" s="603" t="s">
        <v>7771</v>
      </c>
      <c r="F8270" s="603"/>
      <c r="G8270" s="314" t="s">
        <v>4</v>
      </c>
      <c r="H8270" s="399">
        <v>1</v>
      </c>
      <c r="I8270" s="316"/>
      <c r="J8270" s="316">
        <v>11817.68</v>
      </c>
      <c r="K8270" s="316">
        <v>11817.68</v>
      </c>
    </row>
    <row r="8271" spans="1:11" ht="12.75" customHeight="1" x14ac:dyDescent="0.3">
      <c r="A8271" s="408" t="s">
        <v>1034</v>
      </c>
      <c r="B8271" s="409" t="s">
        <v>1288</v>
      </c>
      <c r="C8271" s="408" t="s">
        <v>395</v>
      </c>
      <c r="D8271" s="408" t="s">
        <v>124</v>
      </c>
      <c r="E8271" s="604" t="s">
        <v>7768</v>
      </c>
      <c r="F8271" s="604"/>
      <c r="G8271" s="410" t="s">
        <v>6</v>
      </c>
      <c r="H8271" s="412">
        <v>42.304000000000002</v>
      </c>
      <c r="I8271" s="412">
        <v>0</v>
      </c>
      <c r="J8271" s="411">
        <v>33.47</v>
      </c>
      <c r="K8271" s="411">
        <v>1415.91488</v>
      </c>
    </row>
    <row r="8272" spans="1:11" ht="12.75" customHeight="1" x14ac:dyDescent="0.3">
      <c r="A8272" s="408" t="s">
        <v>1034</v>
      </c>
      <c r="B8272" s="409" t="s">
        <v>1287</v>
      </c>
      <c r="C8272" s="408" t="s">
        <v>395</v>
      </c>
      <c r="D8272" s="408" t="s">
        <v>134</v>
      </c>
      <c r="E8272" s="604" t="s">
        <v>7768</v>
      </c>
      <c r="F8272" s="604"/>
      <c r="G8272" s="410" t="s">
        <v>6</v>
      </c>
      <c r="H8272" s="412">
        <v>63.392000000000003</v>
      </c>
      <c r="I8272" s="412">
        <v>0</v>
      </c>
      <c r="J8272" s="411">
        <v>42.08</v>
      </c>
      <c r="K8272" s="411">
        <v>2667.5353599999999</v>
      </c>
    </row>
    <row r="8273" spans="1:11" ht="25.5" customHeight="1" x14ac:dyDescent="0.3">
      <c r="A8273" s="408" t="s">
        <v>1034</v>
      </c>
      <c r="B8273" s="409" t="s">
        <v>5130</v>
      </c>
      <c r="C8273" s="408" t="s">
        <v>395</v>
      </c>
      <c r="D8273" s="408" t="s">
        <v>5131</v>
      </c>
      <c r="E8273" s="604" t="s">
        <v>7772</v>
      </c>
      <c r="F8273" s="604"/>
      <c r="G8273" s="410" t="s">
        <v>15</v>
      </c>
      <c r="H8273" s="412">
        <v>0.1275</v>
      </c>
      <c r="I8273" s="412">
        <v>0</v>
      </c>
      <c r="J8273" s="411">
        <v>44.3</v>
      </c>
      <c r="K8273" s="411">
        <v>5.64825</v>
      </c>
    </row>
    <row r="8274" spans="1:11" ht="25.5" customHeight="1" x14ac:dyDescent="0.3">
      <c r="A8274" s="408" t="s">
        <v>1034</v>
      </c>
      <c r="B8274" s="409" t="s">
        <v>5132</v>
      </c>
      <c r="C8274" s="408" t="s">
        <v>395</v>
      </c>
      <c r="D8274" s="408" t="s">
        <v>5133</v>
      </c>
      <c r="E8274" s="604" t="s">
        <v>7772</v>
      </c>
      <c r="F8274" s="604"/>
      <c r="G8274" s="410" t="s">
        <v>19</v>
      </c>
      <c r="H8274" s="412">
        <v>0.51229999999999998</v>
      </c>
      <c r="I8274" s="412">
        <v>0</v>
      </c>
      <c r="J8274" s="411">
        <v>42.49</v>
      </c>
      <c r="K8274" s="411">
        <v>21.767627000000001</v>
      </c>
    </row>
    <row r="8275" spans="1:11" ht="25.5" customHeight="1" x14ac:dyDescent="0.3">
      <c r="A8275" s="400" t="s">
        <v>1038</v>
      </c>
      <c r="B8275" s="401" t="s">
        <v>6334</v>
      </c>
      <c r="C8275" s="400" t="s">
        <v>395</v>
      </c>
      <c r="D8275" s="400" t="s">
        <v>6335</v>
      </c>
      <c r="E8275" s="605" t="s">
        <v>1039</v>
      </c>
      <c r="F8275" s="605"/>
      <c r="G8275" s="402" t="s">
        <v>675</v>
      </c>
      <c r="H8275" s="403">
        <v>9.4499999999999993</v>
      </c>
      <c r="I8275" s="403">
        <v>0</v>
      </c>
      <c r="J8275" s="404">
        <v>56.02</v>
      </c>
      <c r="K8275" s="404">
        <v>529.38900000000001</v>
      </c>
    </row>
    <row r="8276" spans="1:11" ht="26.4" x14ac:dyDescent="0.3">
      <c r="A8276" s="400" t="s">
        <v>1038</v>
      </c>
      <c r="B8276" s="401" t="s">
        <v>6142</v>
      </c>
      <c r="C8276" s="400" t="s">
        <v>395</v>
      </c>
      <c r="D8276" s="400" t="s">
        <v>6143</v>
      </c>
      <c r="E8276" s="605" t="s">
        <v>1039</v>
      </c>
      <c r="F8276" s="605"/>
      <c r="G8276" s="402" t="s">
        <v>7</v>
      </c>
      <c r="H8276" s="403">
        <v>105.6</v>
      </c>
      <c r="I8276" s="403">
        <v>0</v>
      </c>
      <c r="J8276" s="404">
        <v>39.78</v>
      </c>
      <c r="K8276" s="404">
        <v>4200.768</v>
      </c>
    </row>
    <row r="8277" spans="1:11" ht="14.25" customHeight="1" x14ac:dyDescent="0.3">
      <c r="A8277" s="400" t="s">
        <v>1038</v>
      </c>
      <c r="B8277" s="401" t="s">
        <v>2495</v>
      </c>
      <c r="C8277" s="400" t="s">
        <v>395</v>
      </c>
      <c r="D8277" s="400" t="s">
        <v>306</v>
      </c>
      <c r="E8277" s="605" t="s">
        <v>1039</v>
      </c>
      <c r="F8277" s="605"/>
      <c r="G8277" s="402" t="s">
        <v>7</v>
      </c>
      <c r="H8277" s="403">
        <v>48.84</v>
      </c>
      <c r="I8277" s="403">
        <v>0</v>
      </c>
      <c r="J8277" s="404">
        <v>7.92</v>
      </c>
      <c r="K8277" s="404">
        <v>386.81279999999998</v>
      </c>
    </row>
    <row r="8278" spans="1:11" ht="14.25" customHeight="1" x14ac:dyDescent="0.3">
      <c r="A8278" s="400" t="s">
        <v>1038</v>
      </c>
      <c r="B8278" s="401" t="s">
        <v>1305</v>
      </c>
      <c r="C8278" s="400" t="s">
        <v>395</v>
      </c>
      <c r="D8278" s="400" t="s">
        <v>275</v>
      </c>
      <c r="E8278" s="605" t="s">
        <v>1039</v>
      </c>
      <c r="F8278" s="605"/>
      <c r="G8278" s="402" t="s">
        <v>3</v>
      </c>
      <c r="H8278" s="403">
        <v>1.871</v>
      </c>
      <c r="I8278" s="403">
        <v>0</v>
      </c>
      <c r="J8278" s="404">
        <v>18</v>
      </c>
      <c r="K8278" s="404">
        <v>33.677999999999997</v>
      </c>
    </row>
    <row r="8279" spans="1:11" ht="26.4" x14ac:dyDescent="0.3">
      <c r="A8279" s="400" t="s">
        <v>1038</v>
      </c>
      <c r="B8279" s="401" t="s">
        <v>6537</v>
      </c>
      <c r="C8279" s="400" t="s">
        <v>395</v>
      </c>
      <c r="D8279" s="400" t="s">
        <v>6538</v>
      </c>
      <c r="E8279" s="605" t="s">
        <v>1039</v>
      </c>
      <c r="F8279" s="605"/>
      <c r="G8279" s="402" t="s">
        <v>7</v>
      </c>
      <c r="H8279" s="403">
        <v>26.4</v>
      </c>
      <c r="I8279" s="403">
        <v>0</v>
      </c>
      <c r="J8279" s="404">
        <v>5.65</v>
      </c>
      <c r="K8279" s="404">
        <v>149.16</v>
      </c>
    </row>
    <row r="8280" spans="1:11" ht="30" customHeight="1" x14ac:dyDescent="0.3">
      <c r="A8280" s="400" t="s">
        <v>1038</v>
      </c>
      <c r="B8280" s="401" t="s">
        <v>6211</v>
      </c>
      <c r="C8280" s="400" t="s">
        <v>395</v>
      </c>
      <c r="D8280" s="400" t="s">
        <v>6212</v>
      </c>
      <c r="E8280" s="605" t="s">
        <v>1039</v>
      </c>
      <c r="F8280" s="605"/>
      <c r="G8280" s="402" t="s">
        <v>7</v>
      </c>
      <c r="H8280" s="403">
        <v>123.72799999999999</v>
      </c>
      <c r="I8280" s="403">
        <v>0</v>
      </c>
      <c r="J8280" s="404">
        <v>13.14</v>
      </c>
      <c r="K8280" s="404">
        <v>1625.78592</v>
      </c>
    </row>
    <row r="8281" spans="1:11" ht="12.75" customHeight="1" x14ac:dyDescent="0.3">
      <c r="A8281" s="400" t="s">
        <v>1038</v>
      </c>
      <c r="B8281" s="401" t="s">
        <v>2574</v>
      </c>
      <c r="C8281" s="400" t="s">
        <v>395</v>
      </c>
      <c r="D8281" s="400" t="s">
        <v>252</v>
      </c>
      <c r="E8281" s="605" t="s">
        <v>1039</v>
      </c>
      <c r="F8281" s="605"/>
      <c r="G8281" s="402" t="s">
        <v>713</v>
      </c>
      <c r="H8281" s="403">
        <v>1.474</v>
      </c>
      <c r="I8281" s="403">
        <v>0</v>
      </c>
      <c r="J8281" s="404">
        <v>530</v>
      </c>
      <c r="K8281" s="404">
        <v>781.22</v>
      </c>
    </row>
    <row r="8282" spans="1:11" ht="12.75" customHeight="1" x14ac:dyDescent="0.3">
      <c r="A8282" s="405"/>
      <c r="B8282" s="405"/>
      <c r="C8282" s="405"/>
      <c r="D8282" s="405"/>
      <c r="E8282" s="405" t="s">
        <v>1046</v>
      </c>
      <c r="F8282" s="406">
        <v>3066.9</v>
      </c>
      <c r="G8282" s="405" t="s">
        <v>1047</v>
      </c>
      <c r="H8282" s="406">
        <v>0</v>
      </c>
      <c r="I8282" s="405" t="s">
        <v>1048</v>
      </c>
      <c r="J8282" s="406">
        <v>3066.9</v>
      </c>
      <c r="K8282"/>
    </row>
    <row r="8283" spans="1:11" ht="25.5" customHeight="1" thickBot="1" x14ac:dyDescent="0.35">
      <c r="A8283" s="405"/>
      <c r="B8283" s="405"/>
      <c r="C8283" s="405"/>
      <c r="D8283" s="405"/>
      <c r="E8283" s="405" t="s">
        <v>1049</v>
      </c>
      <c r="F8283" s="406">
        <v>0</v>
      </c>
      <c r="G8283" s="405"/>
      <c r="H8283" s="606"/>
      <c r="I8283" s="606" t="s">
        <v>1050</v>
      </c>
      <c r="J8283" s="406">
        <v>11817.68</v>
      </c>
      <c r="K8283"/>
    </row>
    <row r="8284" spans="1:11" ht="25.5" customHeight="1" thickTop="1" x14ac:dyDescent="0.3">
      <c r="A8284" s="407"/>
      <c r="B8284" s="407"/>
      <c r="C8284" s="407"/>
      <c r="D8284" s="407"/>
      <c r="E8284" s="407"/>
      <c r="F8284" s="407"/>
      <c r="G8284" s="407"/>
      <c r="H8284" s="407"/>
      <c r="I8284" s="407"/>
      <c r="J8284" s="407"/>
      <c r="K8284"/>
    </row>
    <row r="8285" spans="1:11" ht="15" x14ac:dyDescent="0.3">
      <c r="A8285" s="382"/>
      <c r="B8285" s="312" t="s">
        <v>413</v>
      </c>
      <c r="C8285" s="382" t="s">
        <v>414</v>
      </c>
      <c r="D8285" s="382" t="s">
        <v>415</v>
      </c>
      <c r="E8285" s="586" t="s">
        <v>1029</v>
      </c>
      <c r="F8285" s="586"/>
      <c r="G8285" s="383" t="s">
        <v>416</v>
      </c>
      <c r="H8285" s="312" t="s">
        <v>1030</v>
      </c>
      <c r="I8285" s="312" t="s">
        <v>3016</v>
      </c>
      <c r="J8285" s="312" t="s">
        <v>1031</v>
      </c>
      <c r="K8285" s="312" t="s">
        <v>1032</v>
      </c>
    </row>
    <row r="8286" spans="1:11" ht="30" customHeight="1" x14ac:dyDescent="0.3">
      <c r="A8286" s="313" t="s">
        <v>1033</v>
      </c>
      <c r="B8286" s="315" t="s">
        <v>1516</v>
      </c>
      <c r="C8286" s="313" t="s">
        <v>420</v>
      </c>
      <c r="D8286" s="313" t="s">
        <v>1517</v>
      </c>
      <c r="E8286" s="603" t="s">
        <v>1069</v>
      </c>
      <c r="F8286" s="603"/>
      <c r="G8286" s="314" t="s">
        <v>1070</v>
      </c>
      <c r="H8286" s="399">
        <v>1</v>
      </c>
      <c r="I8286" s="316"/>
      <c r="J8286" s="316">
        <v>3.78</v>
      </c>
      <c r="K8286" s="316">
        <v>3.78</v>
      </c>
    </row>
    <row r="8287" spans="1:11" ht="14.25" customHeight="1" x14ac:dyDescent="0.3">
      <c r="A8287" s="400" t="s">
        <v>1038</v>
      </c>
      <c r="B8287" s="401" t="s">
        <v>798</v>
      </c>
      <c r="C8287" s="400" t="s">
        <v>420</v>
      </c>
      <c r="D8287" s="400" t="s">
        <v>4131</v>
      </c>
      <c r="E8287" s="605" t="s">
        <v>1039</v>
      </c>
      <c r="F8287" s="605"/>
      <c r="G8287" s="402" t="s">
        <v>422</v>
      </c>
      <c r="H8287" s="403">
        <v>0.1018</v>
      </c>
      <c r="I8287" s="403">
        <v>0</v>
      </c>
      <c r="J8287" s="404">
        <v>14</v>
      </c>
      <c r="K8287" s="404">
        <v>1.4252</v>
      </c>
    </row>
    <row r="8288" spans="1:11" ht="14.25" customHeight="1" x14ac:dyDescent="0.3">
      <c r="A8288" s="400" t="s">
        <v>1038</v>
      </c>
      <c r="B8288" s="401" t="s">
        <v>4303</v>
      </c>
      <c r="C8288" s="400" t="s">
        <v>420</v>
      </c>
      <c r="D8288" s="400" t="s">
        <v>4304</v>
      </c>
      <c r="E8288" s="605" t="s">
        <v>1039</v>
      </c>
      <c r="F8288" s="605"/>
      <c r="G8288" s="402" t="s">
        <v>422</v>
      </c>
      <c r="H8288" s="403">
        <v>1.5E-3</v>
      </c>
      <c r="I8288" s="403">
        <v>0</v>
      </c>
      <c r="J8288" s="404">
        <v>193.04</v>
      </c>
      <c r="K8288" s="404">
        <v>0.28955999999999998</v>
      </c>
    </row>
    <row r="8289" spans="1:11" ht="30" customHeight="1" x14ac:dyDescent="0.3">
      <c r="A8289" s="400" t="s">
        <v>1038</v>
      </c>
      <c r="B8289" s="401" t="s">
        <v>4944</v>
      </c>
      <c r="C8289" s="400" t="s">
        <v>420</v>
      </c>
      <c r="D8289" s="400" t="s">
        <v>4945</v>
      </c>
      <c r="E8289" s="605" t="s">
        <v>1039</v>
      </c>
      <c r="F8289" s="605"/>
      <c r="G8289" s="402" t="s">
        <v>4946</v>
      </c>
      <c r="H8289" s="403">
        <v>8.0000000000000004E-4</v>
      </c>
      <c r="I8289" s="403">
        <v>0</v>
      </c>
      <c r="J8289" s="404">
        <v>6</v>
      </c>
      <c r="K8289" s="404">
        <v>4.7999999999999996E-3</v>
      </c>
    </row>
    <row r="8290" spans="1:11" ht="15" x14ac:dyDescent="0.3">
      <c r="A8290" s="400" t="s">
        <v>1038</v>
      </c>
      <c r="B8290" s="401" t="s">
        <v>4280</v>
      </c>
      <c r="C8290" s="400" t="s">
        <v>420</v>
      </c>
      <c r="D8290" s="400" t="s">
        <v>4281</v>
      </c>
      <c r="E8290" s="605" t="s">
        <v>1039</v>
      </c>
      <c r="F8290" s="605"/>
      <c r="G8290" s="402" t="s">
        <v>422</v>
      </c>
      <c r="H8290" s="403">
        <v>6.54E-2</v>
      </c>
      <c r="I8290" s="403">
        <v>0</v>
      </c>
      <c r="J8290" s="404">
        <v>4.5</v>
      </c>
      <c r="K8290" s="404">
        <v>0.29430000000000001</v>
      </c>
    </row>
    <row r="8291" spans="1:11" ht="15" customHeight="1" x14ac:dyDescent="0.3">
      <c r="A8291" s="400" t="s">
        <v>1038</v>
      </c>
      <c r="B8291" s="401" t="s">
        <v>4678</v>
      </c>
      <c r="C8291" s="400" t="s">
        <v>420</v>
      </c>
      <c r="D8291" s="400" t="s">
        <v>4679</v>
      </c>
      <c r="E8291" s="605" t="s">
        <v>2381</v>
      </c>
      <c r="F8291" s="605"/>
      <c r="G8291" s="402" t="s">
        <v>422</v>
      </c>
      <c r="H8291" s="403">
        <v>4.4999999999999997E-3</v>
      </c>
      <c r="I8291" s="403">
        <v>0</v>
      </c>
      <c r="J8291" s="404">
        <v>12.54</v>
      </c>
      <c r="K8291" s="404">
        <v>5.6430000000000001E-2</v>
      </c>
    </row>
    <row r="8292" spans="1:11" ht="12.75" customHeight="1" x14ac:dyDescent="0.3">
      <c r="A8292" s="400" t="s">
        <v>1038</v>
      </c>
      <c r="B8292" s="401" t="s">
        <v>4176</v>
      </c>
      <c r="C8292" s="400" t="s">
        <v>420</v>
      </c>
      <c r="D8292" s="400" t="s">
        <v>4177</v>
      </c>
      <c r="E8292" s="605" t="s">
        <v>1039</v>
      </c>
      <c r="F8292" s="605"/>
      <c r="G8292" s="402" t="s">
        <v>422</v>
      </c>
      <c r="H8292" s="403">
        <v>4.4999999999999997E-3</v>
      </c>
      <c r="I8292" s="403">
        <v>0</v>
      </c>
      <c r="J8292" s="404">
        <v>205</v>
      </c>
      <c r="K8292" s="404">
        <v>0.92249999999999999</v>
      </c>
    </row>
    <row r="8293" spans="1:11" ht="25.5" customHeight="1" x14ac:dyDescent="0.3">
      <c r="A8293" s="400" t="s">
        <v>1038</v>
      </c>
      <c r="B8293" s="401" t="s">
        <v>4501</v>
      </c>
      <c r="C8293" s="400" t="s">
        <v>420</v>
      </c>
      <c r="D8293" s="400" t="s">
        <v>4502</v>
      </c>
      <c r="E8293" s="605" t="s">
        <v>2381</v>
      </c>
      <c r="F8293" s="605"/>
      <c r="G8293" s="402" t="s">
        <v>1324</v>
      </c>
      <c r="H8293" s="403">
        <v>4.0000000000000002E-4</v>
      </c>
      <c r="I8293" s="403">
        <v>0</v>
      </c>
      <c r="J8293" s="404">
        <v>300</v>
      </c>
      <c r="K8293" s="404">
        <v>0.12</v>
      </c>
    </row>
    <row r="8294" spans="1:11" ht="14.25" customHeight="1" x14ac:dyDescent="0.3">
      <c r="A8294" s="400" t="s">
        <v>1038</v>
      </c>
      <c r="B8294" s="401" t="s">
        <v>5114</v>
      </c>
      <c r="C8294" s="400" t="s">
        <v>420</v>
      </c>
      <c r="D8294" s="400" t="s">
        <v>5115</v>
      </c>
      <c r="E8294" s="605" t="s">
        <v>1039</v>
      </c>
      <c r="F8294" s="605"/>
      <c r="G8294" s="402" t="s">
        <v>422</v>
      </c>
      <c r="H8294" s="403">
        <v>2.0000000000000001E-4</v>
      </c>
      <c r="I8294" s="403">
        <v>0</v>
      </c>
      <c r="J8294" s="404">
        <v>19.95</v>
      </c>
      <c r="K8294" s="404">
        <v>3.9899999999999996E-3</v>
      </c>
    </row>
    <row r="8295" spans="1:11" ht="14.25" customHeight="1" x14ac:dyDescent="0.3">
      <c r="A8295" s="400" t="s">
        <v>1038</v>
      </c>
      <c r="B8295" s="401" t="s">
        <v>5112</v>
      </c>
      <c r="C8295" s="400" t="s">
        <v>420</v>
      </c>
      <c r="D8295" s="400" t="s">
        <v>5113</v>
      </c>
      <c r="E8295" s="605" t="s">
        <v>1039</v>
      </c>
      <c r="F8295" s="605"/>
      <c r="G8295" s="402" t="s">
        <v>422</v>
      </c>
      <c r="H8295" s="403">
        <v>2.0000000000000001E-4</v>
      </c>
      <c r="I8295" s="403">
        <v>0</v>
      </c>
      <c r="J8295" s="404">
        <v>39</v>
      </c>
      <c r="K8295" s="404">
        <v>7.7999999999999996E-3</v>
      </c>
    </row>
    <row r="8296" spans="1:11" ht="30" customHeight="1" x14ac:dyDescent="0.3">
      <c r="A8296" s="400" t="s">
        <v>1038</v>
      </c>
      <c r="B8296" s="401" t="s">
        <v>4813</v>
      </c>
      <c r="C8296" s="400" t="s">
        <v>420</v>
      </c>
      <c r="D8296" s="400" t="s">
        <v>4814</v>
      </c>
      <c r="E8296" s="605" t="s">
        <v>1039</v>
      </c>
      <c r="F8296" s="605"/>
      <c r="G8296" s="402" t="s">
        <v>422</v>
      </c>
      <c r="H8296" s="403">
        <v>4.4999999999999997E-3</v>
      </c>
      <c r="I8296" s="403">
        <v>0</v>
      </c>
      <c r="J8296" s="404">
        <v>4.8099999999999996</v>
      </c>
      <c r="K8296" s="404">
        <v>2.1645000000000001E-2</v>
      </c>
    </row>
    <row r="8297" spans="1:11" ht="14.25" customHeight="1" x14ac:dyDescent="0.3">
      <c r="A8297" s="400" t="s">
        <v>1038</v>
      </c>
      <c r="B8297" s="401" t="s">
        <v>4643</v>
      </c>
      <c r="C8297" s="400" t="s">
        <v>420</v>
      </c>
      <c r="D8297" s="400" t="s">
        <v>4644</v>
      </c>
      <c r="E8297" s="605" t="s">
        <v>1039</v>
      </c>
      <c r="F8297" s="605"/>
      <c r="G8297" s="402" t="s">
        <v>422</v>
      </c>
      <c r="H8297" s="403">
        <v>1.8E-3</v>
      </c>
      <c r="I8297" s="403">
        <v>0</v>
      </c>
      <c r="J8297" s="404">
        <v>18</v>
      </c>
      <c r="K8297" s="404">
        <v>3.2399999999999998E-2</v>
      </c>
    </row>
    <row r="8298" spans="1:11" ht="12.75" customHeight="1" x14ac:dyDescent="0.3">
      <c r="A8298" s="400" t="s">
        <v>1038</v>
      </c>
      <c r="B8298" s="401" t="s">
        <v>4214</v>
      </c>
      <c r="C8298" s="400" t="s">
        <v>420</v>
      </c>
      <c r="D8298" s="400" t="s">
        <v>4215</v>
      </c>
      <c r="E8298" s="605" t="s">
        <v>2381</v>
      </c>
      <c r="F8298" s="605"/>
      <c r="G8298" s="402" t="s">
        <v>422</v>
      </c>
      <c r="H8298" s="403">
        <v>0.1018</v>
      </c>
      <c r="I8298" s="403">
        <v>0</v>
      </c>
      <c r="J8298" s="404">
        <v>5</v>
      </c>
      <c r="K8298" s="404">
        <v>0.50900000000000001</v>
      </c>
    </row>
    <row r="8299" spans="1:11" ht="12.75" customHeight="1" x14ac:dyDescent="0.3">
      <c r="A8299" s="400" t="s">
        <v>1038</v>
      </c>
      <c r="B8299" s="401" t="s">
        <v>7375</v>
      </c>
      <c r="C8299" s="400" t="s">
        <v>420</v>
      </c>
      <c r="D8299" s="400" t="s">
        <v>7376</v>
      </c>
      <c r="E8299" s="605" t="s">
        <v>1039</v>
      </c>
      <c r="F8299" s="605"/>
      <c r="G8299" s="402" t="s">
        <v>7189</v>
      </c>
      <c r="H8299" s="403">
        <v>2.3E-3</v>
      </c>
      <c r="I8299" s="403">
        <v>0</v>
      </c>
      <c r="J8299" s="404">
        <v>10.87</v>
      </c>
      <c r="K8299" s="404">
        <v>2.5000999999999999E-2</v>
      </c>
    </row>
    <row r="8300" spans="1:11" ht="25.5" customHeight="1" x14ac:dyDescent="0.3">
      <c r="A8300" s="400" t="s">
        <v>1038</v>
      </c>
      <c r="B8300" s="401" t="s">
        <v>7187</v>
      </c>
      <c r="C8300" s="400" t="s">
        <v>420</v>
      </c>
      <c r="D8300" s="400" t="s">
        <v>7188</v>
      </c>
      <c r="E8300" s="605" t="s">
        <v>1039</v>
      </c>
      <c r="F8300" s="605"/>
      <c r="G8300" s="402" t="s">
        <v>7189</v>
      </c>
      <c r="H8300" s="403">
        <v>8.0000000000000004E-4</v>
      </c>
      <c r="I8300" s="403">
        <v>0</v>
      </c>
      <c r="J8300" s="404">
        <v>73.930000000000007</v>
      </c>
      <c r="K8300" s="404">
        <v>5.9144000000000002E-2</v>
      </c>
    </row>
    <row r="8301" spans="1:11" ht="25.5" customHeight="1" x14ac:dyDescent="0.3">
      <c r="A8301" s="400" t="s">
        <v>1038</v>
      </c>
      <c r="B8301" s="401" t="s">
        <v>7629</v>
      </c>
      <c r="C8301" s="400" t="s">
        <v>420</v>
      </c>
      <c r="D8301" s="400" t="s">
        <v>7630</v>
      </c>
      <c r="E8301" s="605" t="s">
        <v>1039</v>
      </c>
      <c r="F8301" s="605"/>
      <c r="G8301" s="402" t="s">
        <v>422</v>
      </c>
      <c r="H8301" s="403">
        <v>2.0000000000000001E-4</v>
      </c>
      <c r="I8301" s="403">
        <v>0</v>
      </c>
      <c r="J8301" s="404">
        <v>20.11</v>
      </c>
      <c r="K8301" s="404">
        <v>4.0220000000000004E-3</v>
      </c>
    </row>
    <row r="8302" spans="1:11" ht="25.5" customHeight="1" x14ac:dyDescent="0.3">
      <c r="A8302" s="400" t="s">
        <v>1038</v>
      </c>
      <c r="B8302" s="401" t="s">
        <v>7555</v>
      </c>
      <c r="C8302" s="400" t="s">
        <v>420</v>
      </c>
      <c r="D8302" s="400" t="s">
        <v>7556</v>
      </c>
      <c r="E8302" s="605" t="s">
        <v>1039</v>
      </c>
      <c r="F8302" s="605"/>
      <c r="G8302" s="402" t="s">
        <v>422</v>
      </c>
      <c r="H8302" s="403">
        <v>5.9999999999999995E-4</v>
      </c>
      <c r="I8302" s="403">
        <v>0</v>
      </c>
      <c r="J8302" s="404">
        <v>13.5</v>
      </c>
      <c r="K8302" s="404">
        <v>8.0999999999999996E-3</v>
      </c>
    </row>
    <row r="8303" spans="1:11" ht="25.5" customHeight="1" x14ac:dyDescent="0.3">
      <c r="A8303" s="405"/>
      <c r="B8303" s="405"/>
      <c r="C8303" s="405"/>
      <c r="D8303" s="405"/>
      <c r="E8303" s="405" t="s">
        <v>1046</v>
      </c>
      <c r="F8303" s="406">
        <v>0</v>
      </c>
      <c r="G8303" s="405" t="s">
        <v>1047</v>
      </c>
      <c r="H8303" s="406">
        <v>0</v>
      </c>
      <c r="I8303" s="405" t="s">
        <v>1048</v>
      </c>
      <c r="J8303" s="406">
        <v>0</v>
      </c>
      <c r="K8303"/>
    </row>
    <row r="8304" spans="1:11" ht="30" customHeight="1" thickBot="1" x14ac:dyDescent="0.35">
      <c r="A8304" s="405"/>
      <c r="B8304" s="405"/>
      <c r="C8304" s="405"/>
      <c r="D8304" s="405"/>
      <c r="E8304" s="405" t="s">
        <v>1049</v>
      </c>
      <c r="F8304" s="406">
        <v>0</v>
      </c>
      <c r="G8304" s="405"/>
      <c r="H8304" s="606"/>
      <c r="I8304" s="606" t="s">
        <v>1050</v>
      </c>
      <c r="J8304" s="406">
        <v>3.78</v>
      </c>
      <c r="K8304"/>
    </row>
    <row r="8305" spans="1:11" ht="14.25" customHeight="1" thickTop="1" x14ac:dyDescent="0.3">
      <c r="A8305" s="407"/>
      <c r="B8305" s="407"/>
      <c r="C8305" s="407"/>
      <c r="D8305" s="407"/>
      <c r="E8305" s="407"/>
      <c r="F8305" s="407"/>
      <c r="G8305" s="407"/>
      <c r="H8305" s="407"/>
      <c r="I8305" s="407"/>
      <c r="J8305" s="407"/>
      <c r="K8305"/>
    </row>
    <row r="8306" spans="1:11" ht="14.25" customHeight="1" x14ac:dyDescent="0.3">
      <c r="A8306" s="382"/>
      <c r="B8306" s="312" t="s">
        <v>413</v>
      </c>
      <c r="C8306" s="382" t="s">
        <v>414</v>
      </c>
      <c r="D8306" s="382" t="s">
        <v>415</v>
      </c>
      <c r="E8306" s="586" t="s">
        <v>1029</v>
      </c>
      <c r="F8306" s="586"/>
      <c r="G8306" s="383" t="s">
        <v>416</v>
      </c>
      <c r="H8306" s="312" t="s">
        <v>1030</v>
      </c>
      <c r="I8306" s="312" t="s">
        <v>3016</v>
      </c>
      <c r="J8306" s="312" t="s">
        <v>1031</v>
      </c>
      <c r="K8306" s="312" t="s">
        <v>1032</v>
      </c>
    </row>
    <row r="8307" spans="1:11" ht="17.399999999999999" customHeight="1" x14ac:dyDescent="0.3">
      <c r="A8307" s="313" t="s">
        <v>1033</v>
      </c>
      <c r="B8307" s="315" t="s">
        <v>1387</v>
      </c>
      <c r="C8307" s="313" t="s">
        <v>420</v>
      </c>
      <c r="D8307" s="313" t="s">
        <v>1388</v>
      </c>
      <c r="E8307" s="603" t="s">
        <v>1069</v>
      </c>
      <c r="F8307" s="603"/>
      <c r="G8307" s="314" t="s">
        <v>1070</v>
      </c>
      <c r="H8307" s="399">
        <v>1</v>
      </c>
      <c r="I8307" s="316"/>
      <c r="J8307" s="316">
        <v>3.82</v>
      </c>
      <c r="K8307" s="316">
        <v>3.82</v>
      </c>
    </row>
    <row r="8308" spans="1:11" ht="15" x14ac:dyDescent="0.3">
      <c r="A8308" s="400" t="s">
        <v>1038</v>
      </c>
      <c r="B8308" s="401" t="s">
        <v>798</v>
      </c>
      <c r="C8308" s="400" t="s">
        <v>420</v>
      </c>
      <c r="D8308" s="400" t="s">
        <v>4131</v>
      </c>
      <c r="E8308" s="605" t="s">
        <v>1039</v>
      </c>
      <c r="F8308" s="605"/>
      <c r="G8308" s="402" t="s">
        <v>422</v>
      </c>
      <c r="H8308" s="403">
        <v>0.1018</v>
      </c>
      <c r="I8308" s="403">
        <v>0</v>
      </c>
      <c r="J8308" s="404">
        <v>14</v>
      </c>
      <c r="K8308" s="404">
        <v>1.4252</v>
      </c>
    </row>
    <row r="8309" spans="1:11" ht="12.75" customHeight="1" x14ac:dyDescent="0.3">
      <c r="A8309" s="400" t="s">
        <v>1038</v>
      </c>
      <c r="B8309" s="401" t="s">
        <v>4303</v>
      </c>
      <c r="C8309" s="400" t="s">
        <v>420</v>
      </c>
      <c r="D8309" s="400" t="s">
        <v>4304</v>
      </c>
      <c r="E8309" s="605" t="s">
        <v>1039</v>
      </c>
      <c r="F8309" s="605"/>
      <c r="G8309" s="402" t="s">
        <v>422</v>
      </c>
      <c r="H8309" s="403">
        <v>1.5E-3</v>
      </c>
      <c r="I8309" s="403">
        <v>0</v>
      </c>
      <c r="J8309" s="404">
        <v>193.04</v>
      </c>
      <c r="K8309" s="404">
        <v>0.28955999999999998</v>
      </c>
    </row>
    <row r="8310" spans="1:11" ht="12.75" customHeight="1" x14ac:dyDescent="0.3">
      <c r="A8310" s="400" t="s">
        <v>1038</v>
      </c>
      <c r="B8310" s="401" t="s">
        <v>4944</v>
      </c>
      <c r="C8310" s="400" t="s">
        <v>420</v>
      </c>
      <c r="D8310" s="400" t="s">
        <v>4945</v>
      </c>
      <c r="E8310" s="605" t="s">
        <v>1039</v>
      </c>
      <c r="F8310" s="605"/>
      <c r="G8310" s="402" t="s">
        <v>4946</v>
      </c>
      <c r="H8310" s="403">
        <v>8.0000000000000004E-4</v>
      </c>
      <c r="I8310" s="403">
        <v>0</v>
      </c>
      <c r="J8310" s="404">
        <v>6</v>
      </c>
      <c r="K8310" s="404">
        <v>4.7999999999999996E-3</v>
      </c>
    </row>
    <row r="8311" spans="1:11" ht="25.5" customHeight="1" x14ac:dyDescent="0.3">
      <c r="A8311" s="400" t="s">
        <v>1038</v>
      </c>
      <c r="B8311" s="401" t="s">
        <v>4280</v>
      </c>
      <c r="C8311" s="400" t="s">
        <v>420</v>
      </c>
      <c r="D8311" s="400" t="s">
        <v>4281</v>
      </c>
      <c r="E8311" s="605" t="s">
        <v>1039</v>
      </c>
      <c r="F8311" s="605"/>
      <c r="G8311" s="402" t="s">
        <v>422</v>
      </c>
      <c r="H8311" s="403">
        <v>6.54E-2</v>
      </c>
      <c r="I8311" s="403">
        <v>0</v>
      </c>
      <c r="J8311" s="404">
        <v>4.5</v>
      </c>
      <c r="K8311" s="404">
        <v>0.29430000000000001</v>
      </c>
    </row>
    <row r="8312" spans="1:11" ht="25.5" customHeight="1" x14ac:dyDescent="0.3">
      <c r="A8312" s="400" t="s">
        <v>1038</v>
      </c>
      <c r="B8312" s="401" t="s">
        <v>4678</v>
      </c>
      <c r="C8312" s="400" t="s">
        <v>420</v>
      </c>
      <c r="D8312" s="400" t="s">
        <v>4679</v>
      </c>
      <c r="E8312" s="605" t="s">
        <v>2381</v>
      </c>
      <c r="F8312" s="605"/>
      <c r="G8312" s="402" t="s">
        <v>422</v>
      </c>
      <c r="H8312" s="403">
        <v>4.4999999999999997E-3</v>
      </c>
      <c r="I8312" s="403">
        <v>0</v>
      </c>
      <c r="J8312" s="404">
        <v>12.54</v>
      </c>
      <c r="K8312" s="404">
        <v>5.6430000000000001E-2</v>
      </c>
    </row>
    <row r="8313" spans="1:11" ht="17.399999999999999" customHeight="1" x14ac:dyDescent="0.3">
      <c r="A8313" s="400" t="s">
        <v>1038</v>
      </c>
      <c r="B8313" s="401" t="s">
        <v>4176</v>
      </c>
      <c r="C8313" s="400" t="s">
        <v>420</v>
      </c>
      <c r="D8313" s="400" t="s">
        <v>4177</v>
      </c>
      <c r="E8313" s="605" t="s">
        <v>1039</v>
      </c>
      <c r="F8313" s="605"/>
      <c r="G8313" s="402" t="s">
        <v>422</v>
      </c>
      <c r="H8313" s="403">
        <v>4.4999999999999997E-3</v>
      </c>
      <c r="I8313" s="403">
        <v>0</v>
      </c>
      <c r="J8313" s="404">
        <v>205</v>
      </c>
      <c r="K8313" s="404">
        <v>0.92249999999999999</v>
      </c>
    </row>
    <row r="8314" spans="1:11" ht="15" x14ac:dyDescent="0.3">
      <c r="A8314" s="400" t="s">
        <v>1038</v>
      </c>
      <c r="B8314" s="401" t="s">
        <v>4501</v>
      </c>
      <c r="C8314" s="400" t="s">
        <v>420</v>
      </c>
      <c r="D8314" s="400" t="s">
        <v>4502</v>
      </c>
      <c r="E8314" s="605" t="s">
        <v>2381</v>
      </c>
      <c r="F8314" s="605"/>
      <c r="G8314" s="402" t="s">
        <v>1324</v>
      </c>
      <c r="H8314" s="403">
        <v>4.0000000000000002E-4</v>
      </c>
      <c r="I8314" s="403">
        <v>0</v>
      </c>
      <c r="J8314" s="404">
        <v>300</v>
      </c>
      <c r="K8314" s="404">
        <v>0.12</v>
      </c>
    </row>
    <row r="8315" spans="1:11" ht="14.25" customHeight="1" x14ac:dyDescent="0.3">
      <c r="A8315" s="400" t="s">
        <v>1038</v>
      </c>
      <c r="B8315" s="401" t="s">
        <v>2373</v>
      </c>
      <c r="C8315" s="400" t="s">
        <v>420</v>
      </c>
      <c r="D8315" s="400" t="s">
        <v>4992</v>
      </c>
      <c r="E8315" s="605" t="s">
        <v>1039</v>
      </c>
      <c r="F8315" s="605"/>
      <c r="G8315" s="402" t="s">
        <v>422</v>
      </c>
      <c r="H8315" s="403">
        <v>2.0000000000000001E-4</v>
      </c>
      <c r="I8315" s="403">
        <v>0</v>
      </c>
      <c r="J8315" s="404">
        <v>26.9</v>
      </c>
      <c r="K8315" s="404">
        <v>5.3800000000000002E-3</v>
      </c>
    </row>
    <row r="8316" spans="1:11" ht="14.25" customHeight="1" x14ac:dyDescent="0.3">
      <c r="A8316" s="400" t="s">
        <v>1038</v>
      </c>
      <c r="B8316" s="401" t="s">
        <v>4813</v>
      </c>
      <c r="C8316" s="400" t="s">
        <v>420</v>
      </c>
      <c r="D8316" s="400" t="s">
        <v>4814</v>
      </c>
      <c r="E8316" s="605" t="s">
        <v>1039</v>
      </c>
      <c r="F8316" s="605"/>
      <c r="G8316" s="402" t="s">
        <v>422</v>
      </c>
      <c r="H8316" s="403">
        <v>4.4999999999999997E-3</v>
      </c>
      <c r="I8316" s="403">
        <v>0</v>
      </c>
      <c r="J8316" s="404">
        <v>4.8099999999999996</v>
      </c>
      <c r="K8316" s="404">
        <v>2.1645000000000001E-2</v>
      </c>
    </row>
    <row r="8317" spans="1:11" ht="15" x14ac:dyDescent="0.3">
      <c r="A8317" s="400" t="s">
        <v>1038</v>
      </c>
      <c r="B8317" s="401" t="s">
        <v>4643</v>
      </c>
      <c r="C8317" s="400" t="s">
        <v>420</v>
      </c>
      <c r="D8317" s="400" t="s">
        <v>4644</v>
      </c>
      <c r="E8317" s="605" t="s">
        <v>1039</v>
      </c>
      <c r="F8317" s="605"/>
      <c r="G8317" s="402" t="s">
        <v>422</v>
      </c>
      <c r="H8317" s="403">
        <v>1.8E-3</v>
      </c>
      <c r="I8317" s="403">
        <v>0</v>
      </c>
      <c r="J8317" s="404">
        <v>18</v>
      </c>
      <c r="K8317" s="404">
        <v>3.2399999999999998E-2</v>
      </c>
    </row>
    <row r="8318" spans="1:11" ht="15" x14ac:dyDescent="0.3">
      <c r="A8318" s="400" t="s">
        <v>1038</v>
      </c>
      <c r="B8318" s="401" t="s">
        <v>4214</v>
      </c>
      <c r="C8318" s="400" t="s">
        <v>420</v>
      </c>
      <c r="D8318" s="400" t="s">
        <v>4215</v>
      </c>
      <c r="E8318" s="605" t="s">
        <v>2381</v>
      </c>
      <c r="F8318" s="605"/>
      <c r="G8318" s="402" t="s">
        <v>422</v>
      </c>
      <c r="H8318" s="403">
        <v>0.1018</v>
      </c>
      <c r="I8318" s="403">
        <v>0</v>
      </c>
      <c r="J8318" s="404">
        <v>5</v>
      </c>
      <c r="K8318" s="404">
        <v>0.50900000000000001</v>
      </c>
    </row>
    <row r="8319" spans="1:11" ht="15" customHeight="1" x14ac:dyDescent="0.3">
      <c r="A8319" s="400" t="s">
        <v>1038</v>
      </c>
      <c r="B8319" s="401" t="s">
        <v>4956</v>
      </c>
      <c r="C8319" s="400" t="s">
        <v>420</v>
      </c>
      <c r="D8319" s="400" t="s">
        <v>4957</v>
      </c>
      <c r="E8319" s="605" t="s">
        <v>1039</v>
      </c>
      <c r="F8319" s="605"/>
      <c r="G8319" s="402" t="s">
        <v>422</v>
      </c>
      <c r="H8319" s="403">
        <v>2.0000000000000001E-4</v>
      </c>
      <c r="I8319" s="403">
        <v>0</v>
      </c>
      <c r="J8319" s="404">
        <v>47.69</v>
      </c>
      <c r="K8319" s="404">
        <v>9.5379999999999996E-3</v>
      </c>
    </row>
    <row r="8320" spans="1:11" ht="12.75" customHeight="1" x14ac:dyDescent="0.3">
      <c r="A8320" s="400" t="s">
        <v>1038</v>
      </c>
      <c r="B8320" s="401" t="s">
        <v>4850</v>
      </c>
      <c r="C8320" s="400" t="s">
        <v>420</v>
      </c>
      <c r="D8320" s="400" t="s">
        <v>4851</v>
      </c>
      <c r="E8320" s="605" t="s">
        <v>1039</v>
      </c>
      <c r="F8320" s="605"/>
      <c r="G8320" s="402" t="s">
        <v>422</v>
      </c>
      <c r="H8320" s="403">
        <v>2.0000000000000001E-4</v>
      </c>
      <c r="I8320" s="403">
        <v>0</v>
      </c>
      <c r="J8320" s="404">
        <v>156.6</v>
      </c>
      <c r="K8320" s="404">
        <v>3.1320000000000001E-2</v>
      </c>
    </row>
    <row r="8321" spans="1:11" ht="25.5" customHeight="1" x14ac:dyDescent="0.3">
      <c r="A8321" s="400" t="s">
        <v>1038</v>
      </c>
      <c r="B8321" s="401" t="s">
        <v>4993</v>
      </c>
      <c r="C8321" s="400" t="s">
        <v>420</v>
      </c>
      <c r="D8321" s="400" t="s">
        <v>4994</v>
      </c>
      <c r="E8321" s="605" t="s">
        <v>1039</v>
      </c>
      <c r="F8321" s="605"/>
      <c r="G8321" s="402" t="s">
        <v>422</v>
      </c>
      <c r="H8321" s="403">
        <v>1E-4</v>
      </c>
      <c r="I8321" s="403">
        <v>0</v>
      </c>
      <c r="J8321" s="404">
        <v>44</v>
      </c>
      <c r="K8321" s="404">
        <v>4.4000000000000003E-3</v>
      </c>
    </row>
    <row r="8322" spans="1:11" ht="25.5" customHeight="1" x14ac:dyDescent="0.3">
      <c r="A8322" s="400" t="s">
        <v>1038</v>
      </c>
      <c r="B8322" s="401" t="s">
        <v>7375</v>
      </c>
      <c r="C8322" s="400" t="s">
        <v>420</v>
      </c>
      <c r="D8322" s="400" t="s">
        <v>7376</v>
      </c>
      <c r="E8322" s="605" t="s">
        <v>1039</v>
      </c>
      <c r="F8322" s="605"/>
      <c r="G8322" s="402" t="s">
        <v>7189</v>
      </c>
      <c r="H8322" s="403">
        <v>2.3E-3</v>
      </c>
      <c r="I8322" s="403">
        <v>0</v>
      </c>
      <c r="J8322" s="404">
        <v>10.87</v>
      </c>
      <c r="K8322" s="404">
        <v>2.5000999999999999E-2</v>
      </c>
    </row>
    <row r="8323" spans="1:11" ht="15" x14ac:dyDescent="0.3">
      <c r="A8323" s="400" t="s">
        <v>1038</v>
      </c>
      <c r="B8323" s="401" t="s">
        <v>7187</v>
      </c>
      <c r="C8323" s="400" t="s">
        <v>420</v>
      </c>
      <c r="D8323" s="400" t="s">
        <v>7188</v>
      </c>
      <c r="E8323" s="605" t="s">
        <v>1039</v>
      </c>
      <c r="F8323" s="605"/>
      <c r="G8323" s="402" t="s">
        <v>7189</v>
      </c>
      <c r="H8323" s="403">
        <v>6.9999999999999999E-4</v>
      </c>
      <c r="I8323" s="403">
        <v>0</v>
      </c>
      <c r="J8323" s="404">
        <v>73.930000000000007</v>
      </c>
      <c r="K8323" s="404">
        <v>5.1750999999999998E-2</v>
      </c>
    </row>
    <row r="8324" spans="1:11" ht="15" x14ac:dyDescent="0.3">
      <c r="A8324" s="400" t="s">
        <v>1038</v>
      </c>
      <c r="B8324" s="401" t="s">
        <v>7629</v>
      </c>
      <c r="C8324" s="400" t="s">
        <v>420</v>
      </c>
      <c r="D8324" s="400" t="s">
        <v>7630</v>
      </c>
      <c r="E8324" s="605" t="s">
        <v>1039</v>
      </c>
      <c r="F8324" s="605"/>
      <c r="G8324" s="402" t="s">
        <v>422</v>
      </c>
      <c r="H8324" s="403">
        <v>2.0000000000000001E-4</v>
      </c>
      <c r="I8324" s="403">
        <v>0</v>
      </c>
      <c r="J8324" s="404">
        <v>20.11</v>
      </c>
      <c r="K8324" s="404">
        <v>4.0220000000000004E-3</v>
      </c>
    </row>
    <row r="8325" spans="1:11" ht="14.25" customHeight="1" x14ac:dyDescent="0.3">
      <c r="A8325" s="400" t="s">
        <v>1038</v>
      </c>
      <c r="B8325" s="401" t="s">
        <v>7555</v>
      </c>
      <c r="C8325" s="400" t="s">
        <v>420</v>
      </c>
      <c r="D8325" s="400" t="s">
        <v>7556</v>
      </c>
      <c r="E8325" s="605" t="s">
        <v>1039</v>
      </c>
      <c r="F8325" s="605"/>
      <c r="G8325" s="402" t="s">
        <v>422</v>
      </c>
      <c r="H8325" s="403">
        <v>5.9999999999999995E-4</v>
      </c>
      <c r="I8325" s="403">
        <v>0</v>
      </c>
      <c r="J8325" s="404">
        <v>13.5</v>
      </c>
      <c r="K8325" s="404">
        <v>8.0999999999999996E-3</v>
      </c>
    </row>
    <row r="8326" spans="1:11" ht="14.25" customHeight="1" x14ac:dyDescent="0.3">
      <c r="A8326" s="405"/>
      <c r="B8326" s="405"/>
      <c r="C8326" s="405"/>
      <c r="D8326" s="405"/>
      <c r="E8326" s="405" t="s">
        <v>1046</v>
      </c>
      <c r="F8326" s="406">
        <v>0</v>
      </c>
      <c r="G8326" s="405" t="s">
        <v>1047</v>
      </c>
      <c r="H8326" s="406">
        <v>0</v>
      </c>
      <c r="I8326" s="405" t="s">
        <v>1048</v>
      </c>
      <c r="J8326" s="406">
        <v>0</v>
      </c>
      <c r="K8326"/>
    </row>
    <row r="8327" spans="1:11" ht="15.6" thickBot="1" x14ac:dyDescent="0.35">
      <c r="A8327" s="405"/>
      <c r="B8327" s="405"/>
      <c r="C8327" s="405"/>
      <c r="D8327" s="405"/>
      <c r="E8327" s="405" t="s">
        <v>1049</v>
      </c>
      <c r="F8327" s="406">
        <v>0</v>
      </c>
      <c r="G8327" s="405"/>
      <c r="H8327" s="606"/>
      <c r="I8327" s="606" t="s">
        <v>1050</v>
      </c>
      <c r="J8327" s="406">
        <v>3.82</v>
      </c>
      <c r="K8327"/>
    </row>
    <row r="8328" spans="1:11" ht="30" customHeight="1" thickTop="1" x14ac:dyDescent="0.3">
      <c r="A8328" s="407"/>
      <c r="B8328" s="407"/>
      <c r="C8328" s="407"/>
      <c r="D8328" s="407"/>
      <c r="E8328" s="407"/>
      <c r="F8328" s="407"/>
      <c r="G8328" s="407"/>
      <c r="H8328" s="407"/>
      <c r="I8328" s="407"/>
      <c r="J8328" s="407"/>
      <c r="K8328"/>
    </row>
    <row r="8329" spans="1:11" ht="15" customHeight="1" x14ac:dyDescent="0.3">
      <c r="A8329" s="382"/>
      <c r="B8329" s="312" t="s">
        <v>413</v>
      </c>
      <c r="C8329" s="382" t="s">
        <v>414</v>
      </c>
      <c r="D8329" s="382" t="s">
        <v>415</v>
      </c>
      <c r="E8329" s="586" t="s">
        <v>1029</v>
      </c>
      <c r="F8329" s="586"/>
      <c r="G8329" s="383" t="s">
        <v>416</v>
      </c>
      <c r="H8329" s="312" t="s">
        <v>1030</v>
      </c>
      <c r="I8329" s="312" t="s">
        <v>3016</v>
      </c>
      <c r="J8329" s="312" t="s">
        <v>1031</v>
      </c>
      <c r="K8329" s="312" t="s">
        <v>1032</v>
      </c>
    </row>
    <row r="8330" spans="1:11" ht="12.75" customHeight="1" x14ac:dyDescent="0.3">
      <c r="A8330" s="313" t="s">
        <v>1033</v>
      </c>
      <c r="B8330" s="315" t="s">
        <v>1542</v>
      </c>
      <c r="C8330" s="313" t="s">
        <v>420</v>
      </c>
      <c r="D8330" s="313" t="s">
        <v>1543</v>
      </c>
      <c r="E8330" s="603" t="s">
        <v>1069</v>
      </c>
      <c r="F8330" s="603"/>
      <c r="G8330" s="314" t="s">
        <v>1070</v>
      </c>
      <c r="H8330" s="399">
        <v>1</v>
      </c>
      <c r="I8330" s="316"/>
      <c r="J8330" s="316">
        <v>3.91</v>
      </c>
      <c r="K8330" s="316">
        <v>3.91</v>
      </c>
    </row>
    <row r="8331" spans="1:11" ht="25.5" customHeight="1" x14ac:dyDescent="0.3">
      <c r="A8331" s="400" t="s">
        <v>1038</v>
      </c>
      <c r="B8331" s="401" t="s">
        <v>798</v>
      </c>
      <c r="C8331" s="400" t="s">
        <v>420</v>
      </c>
      <c r="D8331" s="400" t="s">
        <v>4131</v>
      </c>
      <c r="E8331" s="605" t="s">
        <v>1039</v>
      </c>
      <c r="F8331" s="605"/>
      <c r="G8331" s="402" t="s">
        <v>422</v>
      </c>
      <c r="H8331" s="403">
        <v>0.1018</v>
      </c>
      <c r="I8331" s="403">
        <v>0</v>
      </c>
      <c r="J8331" s="404">
        <v>14</v>
      </c>
      <c r="K8331" s="404">
        <v>1.4252</v>
      </c>
    </row>
    <row r="8332" spans="1:11" ht="45" customHeight="1" x14ac:dyDescent="0.3">
      <c r="A8332" s="400" t="s">
        <v>1038</v>
      </c>
      <c r="B8332" s="401" t="s">
        <v>4303</v>
      </c>
      <c r="C8332" s="400" t="s">
        <v>420</v>
      </c>
      <c r="D8332" s="400" t="s">
        <v>4304</v>
      </c>
      <c r="E8332" s="605" t="s">
        <v>1039</v>
      </c>
      <c r="F8332" s="605"/>
      <c r="G8332" s="402" t="s">
        <v>422</v>
      </c>
      <c r="H8332" s="403">
        <v>1.5E-3</v>
      </c>
      <c r="I8332" s="403">
        <v>0</v>
      </c>
      <c r="J8332" s="404">
        <v>193.04</v>
      </c>
      <c r="K8332" s="404">
        <v>0.28955999999999998</v>
      </c>
    </row>
    <row r="8333" spans="1:11" ht="15" x14ac:dyDescent="0.3">
      <c r="A8333" s="400" t="s">
        <v>1038</v>
      </c>
      <c r="B8333" s="401" t="s">
        <v>4944</v>
      </c>
      <c r="C8333" s="400" t="s">
        <v>420</v>
      </c>
      <c r="D8333" s="400" t="s">
        <v>4945</v>
      </c>
      <c r="E8333" s="605" t="s">
        <v>1039</v>
      </c>
      <c r="F8333" s="605"/>
      <c r="G8333" s="402" t="s">
        <v>4946</v>
      </c>
      <c r="H8333" s="403">
        <v>6.9999999999999999E-4</v>
      </c>
      <c r="I8333" s="403">
        <v>0</v>
      </c>
      <c r="J8333" s="404">
        <v>6</v>
      </c>
      <c r="K8333" s="404">
        <v>4.1999999999999997E-3</v>
      </c>
    </row>
    <row r="8334" spans="1:11" ht="14.25" customHeight="1" x14ac:dyDescent="0.3">
      <c r="A8334" s="400" t="s">
        <v>1038</v>
      </c>
      <c r="B8334" s="401" t="s">
        <v>4280</v>
      </c>
      <c r="C8334" s="400" t="s">
        <v>420</v>
      </c>
      <c r="D8334" s="400" t="s">
        <v>4281</v>
      </c>
      <c r="E8334" s="605" t="s">
        <v>1039</v>
      </c>
      <c r="F8334" s="605"/>
      <c r="G8334" s="402" t="s">
        <v>422</v>
      </c>
      <c r="H8334" s="403">
        <v>6.54E-2</v>
      </c>
      <c r="I8334" s="403">
        <v>0</v>
      </c>
      <c r="J8334" s="404">
        <v>4.5</v>
      </c>
      <c r="K8334" s="404">
        <v>0.29430000000000001</v>
      </c>
    </row>
    <row r="8335" spans="1:11" ht="14.25" customHeight="1" x14ac:dyDescent="0.3">
      <c r="A8335" s="400" t="s">
        <v>1038</v>
      </c>
      <c r="B8335" s="401" t="s">
        <v>4678</v>
      </c>
      <c r="C8335" s="400" t="s">
        <v>420</v>
      </c>
      <c r="D8335" s="400" t="s">
        <v>4679</v>
      </c>
      <c r="E8335" s="605" t="s">
        <v>2381</v>
      </c>
      <c r="F8335" s="605"/>
      <c r="G8335" s="402" t="s">
        <v>422</v>
      </c>
      <c r="H8335" s="403">
        <v>4.4999999999999997E-3</v>
      </c>
      <c r="I8335" s="403">
        <v>0</v>
      </c>
      <c r="J8335" s="404">
        <v>12.54</v>
      </c>
      <c r="K8335" s="404">
        <v>5.6430000000000001E-2</v>
      </c>
    </row>
    <row r="8336" spans="1:11" ht="15" x14ac:dyDescent="0.3">
      <c r="A8336" s="400" t="s">
        <v>1038</v>
      </c>
      <c r="B8336" s="401" t="s">
        <v>4176</v>
      </c>
      <c r="C8336" s="400" t="s">
        <v>420</v>
      </c>
      <c r="D8336" s="400" t="s">
        <v>4177</v>
      </c>
      <c r="E8336" s="605" t="s">
        <v>1039</v>
      </c>
      <c r="F8336" s="605"/>
      <c r="G8336" s="402" t="s">
        <v>422</v>
      </c>
      <c r="H8336" s="403">
        <v>4.4999999999999997E-3</v>
      </c>
      <c r="I8336" s="403">
        <v>0</v>
      </c>
      <c r="J8336" s="404">
        <v>205</v>
      </c>
      <c r="K8336" s="404">
        <v>0.92249999999999999</v>
      </c>
    </row>
    <row r="8337" spans="1:11" ht="30" customHeight="1" x14ac:dyDescent="0.3">
      <c r="A8337" s="400" t="s">
        <v>1038</v>
      </c>
      <c r="B8337" s="401" t="s">
        <v>4501</v>
      </c>
      <c r="C8337" s="400" t="s">
        <v>420</v>
      </c>
      <c r="D8337" s="400" t="s">
        <v>4502</v>
      </c>
      <c r="E8337" s="605" t="s">
        <v>2381</v>
      </c>
      <c r="F8337" s="605"/>
      <c r="G8337" s="402" t="s">
        <v>1324</v>
      </c>
      <c r="H8337" s="403">
        <v>4.0000000000000002E-4</v>
      </c>
      <c r="I8337" s="403">
        <v>0</v>
      </c>
      <c r="J8337" s="404">
        <v>300</v>
      </c>
      <c r="K8337" s="404">
        <v>0.12</v>
      </c>
    </row>
    <row r="8338" spans="1:11" ht="15" customHeight="1" x14ac:dyDescent="0.3">
      <c r="A8338" s="400" t="s">
        <v>1038</v>
      </c>
      <c r="B8338" s="401" t="s">
        <v>5106</v>
      </c>
      <c r="C8338" s="400" t="s">
        <v>420</v>
      </c>
      <c r="D8338" s="400" t="s">
        <v>5107</v>
      </c>
      <c r="E8338" s="605" t="s">
        <v>1039</v>
      </c>
      <c r="F8338" s="605"/>
      <c r="G8338" s="402" t="s">
        <v>422</v>
      </c>
      <c r="H8338" s="403">
        <v>1E-4</v>
      </c>
      <c r="I8338" s="403">
        <v>0</v>
      </c>
      <c r="J8338" s="404">
        <v>36</v>
      </c>
      <c r="K8338" s="404">
        <v>3.5999999999999999E-3</v>
      </c>
    </row>
    <row r="8339" spans="1:11" ht="12.75" customHeight="1" x14ac:dyDescent="0.3">
      <c r="A8339" s="400" t="s">
        <v>1038</v>
      </c>
      <c r="B8339" s="401" t="s">
        <v>5104</v>
      </c>
      <c r="C8339" s="400" t="s">
        <v>420</v>
      </c>
      <c r="D8339" s="400" t="s">
        <v>5105</v>
      </c>
      <c r="E8339" s="605" t="s">
        <v>1039</v>
      </c>
      <c r="F8339" s="605"/>
      <c r="G8339" s="402" t="s">
        <v>422</v>
      </c>
      <c r="H8339" s="403">
        <v>2.0000000000000001E-4</v>
      </c>
      <c r="I8339" s="403">
        <v>0</v>
      </c>
      <c r="J8339" s="404">
        <v>23.9</v>
      </c>
      <c r="K8339" s="404">
        <v>4.7800000000000004E-3</v>
      </c>
    </row>
    <row r="8340" spans="1:11" ht="25.5" customHeight="1" x14ac:dyDescent="0.3">
      <c r="A8340" s="400" t="s">
        <v>1038</v>
      </c>
      <c r="B8340" s="401" t="s">
        <v>2373</v>
      </c>
      <c r="C8340" s="400" t="s">
        <v>420</v>
      </c>
      <c r="D8340" s="400" t="s">
        <v>4992</v>
      </c>
      <c r="E8340" s="605" t="s">
        <v>1039</v>
      </c>
      <c r="F8340" s="605"/>
      <c r="G8340" s="402" t="s">
        <v>422</v>
      </c>
      <c r="H8340" s="403">
        <v>2.0000000000000001E-4</v>
      </c>
      <c r="I8340" s="403">
        <v>0</v>
      </c>
      <c r="J8340" s="404">
        <v>26.9</v>
      </c>
      <c r="K8340" s="404">
        <v>5.3800000000000002E-3</v>
      </c>
    </row>
    <row r="8341" spans="1:11" ht="25.5" customHeight="1" x14ac:dyDescent="0.3">
      <c r="A8341" s="400" t="s">
        <v>1038</v>
      </c>
      <c r="B8341" s="401" t="s">
        <v>4813</v>
      </c>
      <c r="C8341" s="400" t="s">
        <v>420</v>
      </c>
      <c r="D8341" s="400" t="s">
        <v>4814</v>
      </c>
      <c r="E8341" s="605" t="s">
        <v>1039</v>
      </c>
      <c r="F8341" s="605"/>
      <c r="G8341" s="402" t="s">
        <v>422</v>
      </c>
      <c r="H8341" s="403">
        <v>4.4999999999999997E-3</v>
      </c>
      <c r="I8341" s="403">
        <v>0</v>
      </c>
      <c r="J8341" s="404">
        <v>4.8099999999999996</v>
      </c>
      <c r="K8341" s="404">
        <v>2.1645000000000001E-2</v>
      </c>
    </row>
    <row r="8342" spans="1:11" ht="45" customHeight="1" x14ac:dyDescent="0.3">
      <c r="A8342" s="400" t="s">
        <v>1038</v>
      </c>
      <c r="B8342" s="401" t="s">
        <v>4643</v>
      </c>
      <c r="C8342" s="400" t="s">
        <v>420</v>
      </c>
      <c r="D8342" s="400" t="s">
        <v>4644</v>
      </c>
      <c r="E8342" s="605" t="s">
        <v>1039</v>
      </c>
      <c r="F8342" s="605"/>
      <c r="G8342" s="402" t="s">
        <v>422</v>
      </c>
      <c r="H8342" s="403">
        <v>1.8E-3</v>
      </c>
      <c r="I8342" s="403">
        <v>0</v>
      </c>
      <c r="J8342" s="404">
        <v>18</v>
      </c>
      <c r="K8342" s="404">
        <v>3.2399999999999998E-2</v>
      </c>
    </row>
    <row r="8343" spans="1:11" ht="14.25" customHeight="1" x14ac:dyDescent="0.3">
      <c r="A8343" s="400" t="s">
        <v>1038</v>
      </c>
      <c r="B8343" s="401" t="s">
        <v>4214</v>
      </c>
      <c r="C8343" s="400" t="s">
        <v>420</v>
      </c>
      <c r="D8343" s="400" t="s">
        <v>4215</v>
      </c>
      <c r="E8343" s="605" t="s">
        <v>2381</v>
      </c>
      <c r="F8343" s="605"/>
      <c r="G8343" s="402" t="s">
        <v>422</v>
      </c>
      <c r="H8343" s="403">
        <v>0.1018</v>
      </c>
      <c r="I8343" s="403">
        <v>0</v>
      </c>
      <c r="J8343" s="404">
        <v>5</v>
      </c>
      <c r="K8343" s="404">
        <v>0.50900000000000001</v>
      </c>
    </row>
    <row r="8344" spans="1:11" ht="14.25" customHeight="1" x14ac:dyDescent="0.3">
      <c r="A8344" s="400" t="s">
        <v>1038</v>
      </c>
      <c r="B8344" s="401" t="s">
        <v>5095</v>
      </c>
      <c r="C8344" s="400" t="s">
        <v>420</v>
      </c>
      <c r="D8344" s="400" t="s">
        <v>5096</v>
      </c>
      <c r="E8344" s="605" t="s">
        <v>1039</v>
      </c>
      <c r="F8344" s="605"/>
      <c r="G8344" s="402" t="s">
        <v>422</v>
      </c>
      <c r="H8344" s="403">
        <v>2.0000000000000001E-4</v>
      </c>
      <c r="I8344" s="403">
        <v>0</v>
      </c>
      <c r="J8344" s="404">
        <v>39.1</v>
      </c>
      <c r="K8344" s="404">
        <v>7.8200000000000006E-3</v>
      </c>
    </row>
    <row r="8345" spans="1:11" ht="17.399999999999999" customHeight="1" x14ac:dyDescent="0.3">
      <c r="A8345" s="400" t="s">
        <v>1038</v>
      </c>
      <c r="B8345" s="401" t="s">
        <v>5069</v>
      </c>
      <c r="C8345" s="400" t="s">
        <v>420</v>
      </c>
      <c r="D8345" s="400" t="s">
        <v>5070</v>
      </c>
      <c r="E8345" s="605" t="s">
        <v>1317</v>
      </c>
      <c r="F8345" s="605"/>
      <c r="G8345" s="402" t="s">
        <v>422</v>
      </c>
      <c r="H8345" s="403">
        <v>1E-4</v>
      </c>
      <c r="I8345" s="403">
        <v>0</v>
      </c>
      <c r="J8345" s="404">
        <v>246</v>
      </c>
      <c r="K8345" s="404">
        <v>2.46E-2</v>
      </c>
    </row>
    <row r="8346" spans="1:11" ht="15" x14ac:dyDescent="0.3">
      <c r="A8346" s="400" t="s">
        <v>1038</v>
      </c>
      <c r="B8346" s="401" t="s">
        <v>5035</v>
      </c>
      <c r="C8346" s="400" t="s">
        <v>420</v>
      </c>
      <c r="D8346" s="400" t="s">
        <v>5036</v>
      </c>
      <c r="E8346" s="605" t="s">
        <v>1317</v>
      </c>
      <c r="F8346" s="605"/>
      <c r="G8346" s="402" t="s">
        <v>422</v>
      </c>
      <c r="H8346" s="403">
        <v>1E-4</v>
      </c>
      <c r="I8346" s="403">
        <v>0</v>
      </c>
      <c r="J8346" s="404">
        <v>979.65</v>
      </c>
      <c r="K8346" s="404">
        <v>9.7964999999999997E-2</v>
      </c>
    </row>
    <row r="8347" spans="1:11" ht="15" customHeight="1" x14ac:dyDescent="0.3">
      <c r="A8347" s="400" t="s">
        <v>1038</v>
      </c>
      <c r="B8347" s="401" t="s">
        <v>7375</v>
      </c>
      <c r="C8347" s="400" t="s">
        <v>420</v>
      </c>
      <c r="D8347" s="400" t="s">
        <v>7376</v>
      </c>
      <c r="E8347" s="605" t="s">
        <v>1039</v>
      </c>
      <c r="F8347" s="605"/>
      <c r="G8347" s="402" t="s">
        <v>7189</v>
      </c>
      <c r="H8347" s="403">
        <v>2.3E-3</v>
      </c>
      <c r="I8347" s="403">
        <v>0</v>
      </c>
      <c r="J8347" s="404">
        <v>10.87</v>
      </c>
      <c r="K8347" s="404">
        <v>2.5000999999999999E-2</v>
      </c>
    </row>
    <row r="8348" spans="1:11" ht="25.5" customHeight="1" x14ac:dyDescent="0.3">
      <c r="A8348" s="400" t="s">
        <v>1038</v>
      </c>
      <c r="B8348" s="401" t="s">
        <v>7187</v>
      </c>
      <c r="C8348" s="400" t="s">
        <v>420</v>
      </c>
      <c r="D8348" s="400" t="s">
        <v>7188</v>
      </c>
      <c r="E8348" s="605" t="s">
        <v>1039</v>
      </c>
      <c r="F8348" s="605"/>
      <c r="G8348" s="402" t="s">
        <v>7189</v>
      </c>
      <c r="H8348" s="403">
        <v>6.9999999999999999E-4</v>
      </c>
      <c r="I8348" s="403">
        <v>0</v>
      </c>
      <c r="J8348" s="404">
        <v>73.930000000000007</v>
      </c>
      <c r="K8348" s="404">
        <v>5.1750999999999998E-2</v>
      </c>
    </row>
    <row r="8349" spans="1:11" ht="25.5" customHeight="1" x14ac:dyDescent="0.3">
      <c r="A8349" s="400" t="s">
        <v>1038</v>
      </c>
      <c r="B8349" s="401" t="s">
        <v>7629</v>
      </c>
      <c r="C8349" s="400" t="s">
        <v>420</v>
      </c>
      <c r="D8349" s="400" t="s">
        <v>7630</v>
      </c>
      <c r="E8349" s="605" t="s">
        <v>1039</v>
      </c>
      <c r="F8349" s="605"/>
      <c r="G8349" s="402" t="s">
        <v>422</v>
      </c>
      <c r="H8349" s="403">
        <v>2.0000000000000001E-4</v>
      </c>
      <c r="I8349" s="403">
        <v>0</v>
      </c>
      <c r="J8349" s="404">
        <v>20.11</v>
      </c>
      <c r="K8349" s="404">
        <v>4.0220000000000004E-3</v>
      </c>
    </row>
    <row r="8350" spans="1:11" ht="25.5" customHeight="1" x14ac:dyDescent="0.3">
      <c r="A8350" s="400" t="s">
        <v>1038</v>
      </c>
      <c r="B8350" s="401" t="s">
        <v>7555</v>
      </c>
      <c r="C8350" s="400" t="s">
        <v>420</v>
      </c>
      <c r="D8350" s="400" t="s">
        <v>7556</v>
      </c>
      <c r="E8350" s="605" t="s">
        <v>1039</v>
      </c>
      <c r="F8350" s="605"/>
      <c r="G8350" s="402" t="s">
        <v>422</v>
      </c>
      <c r="H8350" s="403">
        <v>5.9999999999999995E-4</v>
      </c>
      <c r="I8350" s="403">
        <v>0</v>
      </c>
      <c r="J8350" s="404">
        <v>13.5</v>
      </c>
      <c r="K8350" s="404">
        <v>8.0999999999999996E-3</v>
      </c>
    </row>
    <row r="8351" spans="1:11" ht="17.399999999999999" customHeight="1" x14ac:dyDescent="0.3">
      <c r="A8351" s="405"/>
      <c r="B8351" s="405"/>
      <c r="C8351" s="405"/>
      <c r="D8351" s="405"/>
      <c r="E8351" s="405" t="s">
        <v>1046</v>
      </c>
      <c r="F8351" s="406">
        <v>0</v>
      </c>
      <c r="G8351" s="405" t="s">
        <v>1047</v>
      </c>
      <c r="H8351" s="406">
        <v>0</v>
      </c>
      <c r="I8351" s="405" t="s">
        <v>1048</v>
      </c>
      <c r="J8351" s="406">
        <v>0</v>
      </c>
      <c r="K8351"/>
    </row>
    <row r="8352" spans="1:11" ht="14.25" customHeight="1" thickBot="1" x14ac:dyDescent="0.35">
      <c r="A8352" s="405"/>
      <c r="B8352" s="405"/>
      <c r="C8352" s="405"/>
      <c r="D8352" s="405"/>
      <c r="E8352" s="405" t="s">
        <v>1049</v>
      </c>
      <c r="F8352" s="406">
        <v>0</v>
      </c>
      <c r="G8352" s="405"/>
      <c r="H8352" s="606"/>
      <c r="I8352" s="606" t="s">
        <v>1050</v>
      </c>
      <c r="J8352" s="406">
        <v>3.91</v>
      </c>
      <c r="K8352"/>
    </row>
    <row r="8353" spans="1:11" ht="14.25" customHeight="1" thickTop="1" x14ac:dyDescent="0.3">
      <c r="A8353" s="407"/>
      <c r="B8353" s="407"/>
      <c r="C8353" s="407"/>
      <c r="D8353" s="407"/>
      <c r="E8353" s="407"/>
      <c r="F8353" s="407"/>
      <c r="G8353" s="407"/>
      <c r="H8353" s="407"/>
      <c r="I8353" s="407"/>
      <c r="J8353" s="407"/>
      <c r="K8353"/>
    </row>
    <row r="8354" spans="1:11" ht="45" customHeight="1" x14ac:dyDescent="0.3">
      <c r="A8354" s="382"/>
      <c r="B8354" s="312" t="s">
        <v>413</v>
      </c>
      <c r="C8354" s="382" t="s">
        <v>414</v>
      </c>
      <c r="D8354" s="382" t="s">
        <v>415</v>
      </c>
      <c r="E8354" s="586" t="s">
        <v>1029</v>
      </c>
      <c r="F8354" s="586"/>
      <c r="G8354" s="383" t="s">
        <v>416</v>
      </c>
      <c r="H8354" s="312" t="s">
        <v>1030</v>
      </c>
      <c r="I8354" s="312" t="s">
        <v>3016</v>
      </c>
      <c r="J8354" s="312" t="s">
        <v>1031</v>
      </c>
      <c r="K8354" s="312" t="s">
        <v>1032</v>
      </c>
    </row>
    <row r="8355" spans="1:11" ht="15" x14ac:dyDescent="0.3">
      <c r="A8355" s="313" t="s">
        <v>1033</v>
      </c>
      <c r="B8355" s="315" t="s">
        <v>1067</v>
      </c>
      <c r="C8355" s="313" t="s">
        <v>420</v>
      </c>
      <c r="D8355" s="313" t="s">
        <v>1068</v>
      </c>
      <c r="E8355" s="603" t="s">
        <v>1069</v>
      </c>
      <c r="F8355" s="603"/>
      <c r="G8355" s="314" t="s">
        <v>1070</v>
      </c>
      <c r="H8355" s="399">
        <v>1</v>
      </c>
      <c r="I8355" s="316"/>
      <c r="J8355" s="316">
        <v>3.82</v>
      </c>
      <c r="K8355" s="316">
        <v>3.82</v>
      </c>
    </row>
    <row r="8356" spans="1:11" ht="15" customHeight="1" x14ac:dyDescent="0.3">
      <c r="A8356" s="400" t="s">
        <v>1038</v>
      </c>
      <c r="B8356" s="401" t="s">
        <v>4813</v>
      </c>
      <c r="C8356" s="400" t="s">
        <v>420</v>
      </c>
      <c r="D8356" s="400" t="s">
        <v>4814</v>
      </c>
      <c r="E8356" s="605" t="s">
        <v>1039</v>
      </c>
      <c r="F8356" s="605"/>
      <c r="G8356" s="402" t="s">
        <v>422</v>
      </c>
      <c r="H8356" s="403">
        <v>4.4999999999999997E-3</v>
      </c>
      <c r="I8356" s="403">
        <v>0</v>
      </c>
      <c r="J8356" s="404">
        <v>4.8099999999999996</v>
      </c>
      <c r="K8356" s="404">
        <v>2.1645000000000001E-2</v>
      </c>
    </row>
    <row r="8357" spans="1:11" ht="25.5" customHeight="1" x14ac:dyDescent="0.3">
      <c r="A8357" s="400" t="s">
        <v>1038</v>
      </c>
      <c r="B8357" s="401" t="s">
        <v>4643</v>
      </c>
      <c r="C8357" s="400" t="s">
        <v>420</v>
      </c>
      <c r="D8357" s="400" t="s">
        <v>4644</v>
      </c>
      <c r="E8357" s="605" t="s">
        <v>1039</v>
      </c>
      <c r="F8357" s="605"/>
      <c r="G8357" s="402" t="s">
        <v>422</v>
      </c>
      <c r="H8357" s="403">
        <v>1.8E-3</v>
      </c>
      <c r="I8357" s="403">
        <v>0</v>
      </c>
      <c r="J8357" s="404">
        <v>18</v>
      </c>
      <c r="K8357" s="404">
        <v>3.2399999999999998E-2</v>
      </c>
    </row>
    <row r="8358" spans="1:11" ht="25.5" customHeight="1" x14ac:dyDescent="0.3">
      <c r="A8358" s="400" t="s">
        <v>1038</v>
      </c>
      <c r="B8358" s="401" t="s">
        <v>4214</v>
      </c>
      <c r="C8358" s="400" t="s">
        <v>420</v>
      </c>
      <c r="D8358" s="400" t="s">
        <v>4215</v>
      </c>
      <c r="E8358" s="605" t="s">
        <v>2381</v>
      </c>
      <c r="F8358" s="605"/>
      <c r="G8358" s="402" t="s">
        <v>422</v>
      </c>
      <c r="H8358" s="403">
        <v>0.1018</v>
      </c>
      <c r="I8358" s="403">
        <v>0</v>
      </c>
      <c r="J8358" s="404">
        <v>5</v>
      </c>
      <c r="K8358" s="404">
        <v>0.50900000000000001</v>
      </c>
    </row>
    <row r="8359" spans="1:11" ht="25.5" customHeight="1" x14ac:dyDescent="0.3">
      <c r="A8359" s="400" t="s">
        <v>1038</v>
      </c>
      <c r="B8359" s="401" t="s">
        <v>4956</v>
      </c>
      <c r="C8359" s="400" t="s">
        <v>420</v>
      </c>
      <c r="D8359" s="400" t="s">
        <v>4957</v>
      </c>
      <c r="E8359" s="605" t="s">
        <v>1039</v>
      </c>
      <c r="F8359" s="605"/>
      <c r="G8359" s="402" t="s">
        <v>422</v>
      </c>
      <c r="H8359" s="403">
        <v>2.0000000000000001E-4</v>
      </c>
      <c r="I8359" s="403">
        <v>0</v>
      </c>
      <c r="J8359" s="404">
        <v>47.69</v>
      </c>
      <c r="K8359" s="404">
        <v>9.5379999999999996E-3</v>
      </c>
    </row>
    <row r="8360" spans="1:11" ht="25.5" customHeight="1" x14ac:dyDescent="0.3">
      <c r="A8360" s="400" t="s">
        <v>1038</v>
      </c>
      <c r="B8360" s="401" t="s">
        <v>4850</v>
      </c>
      <c r="C8360" s="400" t="s">
        <v>420</v>
      </c>
      <c r="D8360" s="400" t="s">
        <v>4851</v>
      </c>
      <c r="E8360" s="605" t="s">
        <v>1039</v>
      </c>
      <c r="F8360" s="605"/>
      <c r="G8360" s="402" t="s">
        <v>422</v>
      </c>
      <c r="H8360" s="403">
        <v>2.0000000000000001E-4</v>
      </c>
      <c r="I8360" s="403">
        <v>0</v>
      </c>
      <c r="J8360" s="404">
        <v>156.6</v>
      </c>
      <c r="K8360" s="404">
        <v>3.1320000000000001E-2</v>
      </c>
    </row>
    <row r="8361" spans="1:11" ht="14.25" customHeight="1" x14ac:dyDescent="0.3">
      <c r="A8361" s="400" t="s">
        <v>1038</v>
      </c>
      <c r="B8361" s="401" t="s">
        <v>4993</v>
      </c>
      <c r="C8361" s="400" t="s">
        <v>420</v>
      </c>
      <c r="D8361" s="400" t="s">
        <v>4994</v>
      </c>
      <c r="E8361" s="605" t="s">
        <v>1039</v>
      </c>
      <c r="F8361" s="605"/>
      <c r="G8361" s="402" t="s">
        <v>422</v>
      </c>
      <c r="H8361" s="403">
        <v>1E-4</v>
      </c>
      <c r="I8361" s="403">
        <v>0</v>
      </c>
      <c r="J8361" s="404">
        <v>44</v>
      </c>
      <c r="K8361" s="404">
        <v>4.4000000000000003E-3</v>
      </c>
    </row>
    <row r="8362" spans="1:11" ht="14.25" customHeight="1" x14ac:dyDescent="0.3">
      <c r="A8362" s="400" t="s">
        <v>1038</v>
      </c>
      <c r="B8362" s="401" t="s">
        <v>7375</v>
      </c>
      <c r="C8362" s="400" t="s">
        <v>420</v>
      </c>
      <c r="D8362" s="400" t="s">
        <v>7376</v>
      </c>
      <c r="E8362" s="605" t="s">
        <v>1039</v>
      </c>
      <c r="F8362" s="605"/>
      <c r="G8362" s="402" t="s">
        <v>7189</v>
      </c>
      <c r="H8362" s="403">
        <v>2.3E-3</v>
      </c>
      <c r="I8362" s="403">
        <v>0</v>
      </c>
      <c r="J8362" s="404">
        <v>10.87</v>
      </c>
      <c r="K8362" s="404">
        <v>2.5000999999999999E-2</v>
      </c>
    </row>
    <row r="8363" spans="1:11" ht="17.399999999999999" customHeight="1" x14ac:dyDescent="0.3">
      <c r="A8363" s="400" t="s">
        <v>1038</v>
      </c>
      <c r="B8363" s="401" t="s">
        <v>7187</v>
      </c>
      <c r="C8363" s="400" t="s">
        <v>420</v>
      </c>
      <c r="D8363" s="400" t="s">
        <v>7188</v>
      </c>
      <c r="E8363" s="605" t="s">
        <v>1039</v>
      </c>
      <c r="F8363" s="605"/>
      <c r="G8363" s="402" t="s">
        <v>7189</v>
      </c>
      <c r="H8363" s="403">
        <v>6.9999999999999999E-4</v>
      </c>
      <c r="I8363" s="403">
        <v>0</v>
      </c>
      <c r="J8363" s="404">
        <v>73.930000000000007</v>
      </c>
      <c r="K8363" s="404">
        <v>5.1750999999999998E-2</v>
      </c>
    </row>
    <row r="8364" spans="1:11" ht="15" x14ac:dyDescent="0.3">
      <c r="A8364" s="400" t="s">
        <v>1038</v>
      </c>
      <c r="B8364" s="401" t="s">
        <v>7629</v>
      </c>
      <c r="C8364" s="400" t="s">
        <v>420</v>
      </c>
      <c r="D8364" s="400" t="s">
        <v>7630</v>
      </c>
      <c r="E8364" s="605" t="s">
        <v>1039</v>
      </c>
      <c r="F8364" s="605"/>
      <c r="G8364" s="402" t="s">
        <v>422</v>
      </c>
      <c r="H8364" s="403">
        <v>2.0000000000000001E-4</v>
      </c>
      <c r="I8364" s="403">
        <v>0</v>
      </c>
      <c r="J8364" s="404">
        <v>20.11</v>
      </c>
      <c r="K8364" s="404">
        <v>4.0220000000000004E-3</v>
      </c>
    </row>
    <row r="8365" spans="1:11" ht="12.75" customHeight="1" x14ac:dyDescent="0.3">
      <c r="A8365" s="400" t="s">
        <v>1038</v>
      </c>
      <c r="B8365" s="401" t="s">
        <v>7555</v>
      </c>
      <c r="C8365" s="400" t="s">
        <v>420</v>
      </c>
      <c r="D8365" s="400" t="s">
        <v>7556</v>
      </c>
      <c r="E8365" s="605" t="s">
        <v>1039</v>
      </c>
      <c r="F8365" s="605"/>
      <c r="G8365" s="402" t="s">
        <v>422</v>
      </c>
      <c r="H8365" s="403">
        <v>5.9999999999999995E-4</v>
      </c>
      <c r="I8365" s="403">
        <v>0</v>
      </c>
      <c r="J8365" s="404">
        <v>13.5</v>
      </c>
      <c r="K8365" s="404">
        <v>8.0999999999999996E-3</v>
      </c>
    </row>
    <row r="8366" spans="1:11" ht="12.75" customHeight="1" x14ac:dyDescent="0.3">
      <c r="A8366" s="400" t="s">
        <v>1038</v>
      </c>
      <c r="B8366" s="401" t="s">
        <v>4944</v>
      </c>
      <c r="C8366" s="400" t="s">
        <v>420</v>
      </c>
      <c r="D8366" s="400" t="s">
        <v>4945</v>
      </c>
      <c r="E8366" s="605" t="s">
        <v>1039</v>
      </c>
      <c r="F8366" s="605"/>
      <c r="G8366" s="402" t="s">
        <v>4946</v>
      </c>
      <c r="H8366" s="403">
        <v>8.0000000000000004E-4</v>
      </c>
      <c r="I8366" s="403">
        <v>0</v>
      </c>
      <c r="J8366" s="404">
        <v>6</v>
      </c>
      <c r="K8366" s="404">
        <v>4.7999999999999996E-3</v>
      </c>
    </row>
    <row r="8367" spans="1:11" ht="38.25" customHeight="1" x14ac:dyDescent="0.3">
      <c r="A8367" s="400" t="s">
        <v>1038</v>
      </c>
      <c r="B8367" s="401" t="s">
        <v>4280</v>
      </c>
      <c r="C8367" s="400" t="s">
        <v>420</v>
      </c>
      <c r="D8367" s="400" t="s">
        <v>4281</v>
      </c>
      <c r="E8367" s="605" t="s">
        <v>1039</v>
      </c>
      <c r="F8367" s="605"/>
      <c r="G8367" s="402" t="s">
        <v>422</v>
      </c>
      <c r="H8367" s="403">
        <v>6.54E-2</v>
      </c>
      <c r="I8367" s="403">
        <v>0</v>
      </c>
      <c r="J8367" s="404">
        <v>4.5</v>
      </c>
      <c r="K8367" s="404">
        <v>0.29430000000000001</v>
      </c>
    </row>
    <row r="8368" spans="1:11" ht="25.5" customHeight="1" x14ac:dyDescent="0.3">
      <c r="A8368" s="400" t="s">
        <v>1038</v>
      </c>
      <c r="B8368" s="401" t="s">
        <v>4678</v>
      </c>
      <c r="C8368" s="400" t="s">
        <v>420</v>
      </c>
      <c r="D8368" s="400" t="s">
        <v>4679</v>
      </c>
      <c r="E8368" s="605" t="s">
        <v>2381</v>
      </c>
      <c r="F8368" s="605"/>
      <c r="G8368" s="402" t="s">
        <v>422</v>
      </c>
      <c r="H8368" s="403">
        <v>4.4999999999999997E-3</v>
      </c>
      <c r="I8368" s="403">
        <v>0</v>
      </c>
      <c r="J8368" s="404">
        <v>12.54</v>
      </c>
      <c r="K8368" s="404">
        <v>5.6430000000000001E-2</v>
      </c>
    </row>
    <row r="8369" spans="1:11" ht="25.5" customHeight="1" x14ac:dyDescent="0.3">
      <c r="A8369" s="400" t="s">
        <v>1038</v>
      </c>
      <c r="B8369" s="401" t="s">
        <v>4176</v>
      </c>
      <c r="C8369" s="400" t="s">
        <v>420</v>
      </c>
      <c r="D8369" s="400" t="s">
        <v>4177</v>
      </c>
      <c r="E8369" s="605" t="s">
        <v>1039</v>
      </c>
      <c r="F8369" s="605"/>
      <c r="G8369" s="402" t="s">
        <v>422</v>
      </c>
      <c r="H8369" s="403">
        <v>4.4999999999999997E-3</v>
      </c>
      <c r="I8369" s="403">
        <v>0</v>
      </c>
      <c r="J8369" s="404">
        <v>205</v>
      </c>
      <c r="K8369" s="404">
        <v>0.92249999999999999</v>
      </c>
    </row>
    <row r="8370" spans="1:11" ht="15" x14ac:dyDescent="0.3">
      <c r="A8370" s="400" t="s">
        <v>1038</v>
      </c>
      <c r="B8370" s="401" t="s">
        <v>4501</v>
      </c>
      <c r="C8370" s="400" t="s">
        <v>420</v>
      </c>
      <c r="D8370" s="400" t="s">
        <v>4502</v>
      </c>
      <c r="E8370" s="605" t="s">
        <v>2381</v>
      </c>
      <c r="F8370" s="605"/>
      <c r="G8370" s="402" t="s">
        <v>1324</v>
      </c>
      <c r="H8370" s="403">
        <v>4.0000000000000002E-4</v>
      </c>
      <c r="I8370" s="403">
        <v>0</v>
      </c>
      <c r="J8370" s="404">
        <v>300</v>
      </c>
      <c r="K8370" s="404">
        <v>0.12</v>
      </c>
    </row>
    <row r="8371" spans="1:11" ht="12.75" customHeight="1" x14ac:dyDescent="0.3">
      <c r="A8371" s="400" t="s">
        <v>1038</v>
      </c>
      <c r="B8371" s="401" t="s">
        <v>2373</v>
      </c>
      <c r="C8371" s="400" t="s">
        <v>420</v>
      </c>
      <c r="D8371" s="400" t="s">
        <v>4992</v>
      </c>
      <c r="E8371" s="605" t="s">
        <v>1039</v>
      </c>
      <c r="F8371" s="605"/>
      <c r="G8371" s="402" t="s">
        <v>422</v>
      </c>
      <c r="H8371" s="403">
        <v>2.0000000000000001E-4</v>
      </c>
      <c r="I8371" s="403">
        <v>0</v>
      </c>
      <c r="J8371" s="404">
        <v>26.9</v>
      </c>
      <c r="K8371" s="404">
        <v>5.3800000000000002E-3</v>
      </c>
    </row>
    <row r="8372" spans="1:11" ht="45" customHeight="1" x14ac:dyDescent="0.3">
      <c r="A8372" s="400" t="s">
        <v>1038</v>
      </c>
      <c r="B8372" s="401" t="s">
        <v>798</v>
      </c>
      <c r="C8372" s="400" t="s">
        <v>420</v>
      </c>
      <c r="D8372" s="400" t="s">
        <v>4131</v>
      </c>
      <c r="E8372" s="605" t="s">
        <v>1039</v>
      </c>
      <c r="F8372" s="605"/>
      <c r="G8372" s="402" t="s">
        <v>422</v>
      </c>
      <c r="H8372" s="403">
        <v>0.1018</v>
      </c>
      <c r="I8372" s="403">
        <v>0</v>
      </c>
      <c r="J8372" s="404">
        <v>14</v>
      </c>
      <c r="K8372" s="404">
        <v>1.4252</v>
      </c>
    </row>
    <row r="8373" spans="1:11" ht="14.25" customHeight="1" x14ac:dyDescent="0.3">
      <c r="A8373" s="400" t="s">
        <v>1038</v>
      </c>
      <c r="B8373" s="401" t="s">
        <v>4303</v>
      </c>
      <c r="C8373" s="400" t="s">
        <v>420</v>
      </c>
      <c r="D8373" s="400" t="s">
        <v>4304</v>
      </c>
      <c r="E8373" s="605" t="s">
        <v>1039</v>
      </c>
      <c r="F8373" s="605"/>
      <c r="G8373" s="402" t="s">
        <v>422</v>
      </c>
      <c r="H8373" s="403">
        <v>1.5E-3</v>
      </c>
      <c r="I8373" s="403">
        <v>0</v>
      </c>
      <c r="J8373" s="404">
        <v>193.04</v>
      </c>
      <c r="K8373" s="404">
        <v>0.28955999999999998</v>
      </c>
    </row>
    <row r="8374" spans="1:11" ht="14.25" customHeight="1" x14ac:dyDescent="0.3">
      <c r="A8374" s="405"/>
      <c r="B8374" s="405"/>
      <c r="C8374" s="405"/>
      <c r="D8374" s="405"/>
      <c r="E8374" s="405" t="s">
        <v>1046</v>
      </c>
      <c r="F8374" s="406">
        <v>0</v>
      </c>
      <c r="G8374" s="405" t="s">
        <v>1047</v>
      </c>
      <c r="H8374" s="406">
        <v>0</v>
      </c>
      <c r="I8374" s="405" t="s">
        <v>1048</v>
      </c>
      <c r="J8374" s="406">
        <v>0</v>
      </c>
      <c r="K8374"/>
    </row>
    <row r="8375" spans="1:11" ht="14.25" customHeight="1" thickBot="1" x14ac:dyDescent="0.35">
      <c r="A8375" s="405"/>
      <c r="B8375" s="405"/>
      <c r="C8375" s="405"/>
      <c r="D8375" s="405"/>
      <c r="E8375" s="405" t="s">
        <v>1049</v>
      </c>
      <c r="F8375" s="406">
        <v>0</v>
      </c>
      <c r="G8375" s="405"/>
      <c r="H8375" s="606"/>
      <c r="I8375" s="606" t="s">
        <v>1050</v>
      </c>
      <c r="J8375" s="406">
        <v>3.82</v>
      </c>
      <c r="K8375"/>
    </row>
    <row r="8376" spans="1:11" ht="25.5" customHeight="1" thickTop="1" x14ac:dyDescent="0.3">
      <c r="A8376" s="407"/>
      <c r="B8376" s="407"/>
      <c r="C8376" s="407"/>
      <c r="D8376" s="407"/>
      <c r="E8376" s="407"/>
      <c r="F8376" s="407"/>
      <c r="G8376" s="407"/>
      <c r="H8376" s="407"/>
      <c r="I8376" s="407"/>
      <c r="J8376" s="407"/>
      <c r="K8376"/>
    </row>
    <row r="8377" spans="1:11" ht="25.5" customHeight="1" x14ac:dyDescent="0.3">
      <c r="A8377" s="382"/>
      <c r="B8377" s="312" t="s">
        <v>413</v>
      </c>
      <c r="C8377" s="382" t="s">
        <v>414</v>
      </c>
      <c r="D8377" s="382" t="s">
        <v>415</v>
      </c>
      <c r="E8377" s="586" t="s">
        <v>1029</v>
      </c>
      <c r="F8377" s="586"/>
      <c r="G8377" s="383" t="s">
        <v>416</v>
      </c>
      <c r="H8377" s="312" t="s">
        <v>1030</v>
      </c>
      <c r="I8377" s="312" t="s">
        <v>3016</v>
      </c>
      <c r="J8377" s="312" t="s">
        <v>1031</v>
      </c>
      <c r="K8377" s="312" t="s">
        <v>1032</v>
      </c>
    </row>
    <row r="8378" spans="1:11" ht="30" customHeight="1" x14ac:dyDescent="0.3">
      <c r="A8378" s="313" t="s">
        <v>1033</v>
      </c>
      <c r="B8378" s="315" t="s">
        <v>1180</v>
      </c>
      <c r="C8378" s="313" t="s">
        <v>420</v>
      </c>
      <c r="D8378" s="313" t="s">
        <v>1181</v>
      </c>
      <c r="E8378" s="603" t="s">
        <v>1069</v>
      </c>
      <c r="F8378" s="603"/>
      <c r="G8378" s="314" t="s">
        <v>1070</v>
      </c>
      <c r="H8378" s="399">
        <v>1</v>
      </c>
      <c r="I8378" s="316"/>
      <c r="J8378" s="316">
        <v>3.91</v>
      </c>
      <c r="K8378" s="316">
        <v>3.91</v>
      </c>
    </row>
    <row r="8379" spans="1:11" ht="25.5" customHeight="1" x14ac:dyDescent="0.3">
      <c r="A8379" s="400" t="s">
        <v>1038</v>
      </c>
      <c r="B8379" s="401" t="s">
        <v>798</v>
      </c>
      <c r="C8379" s="400" t="s">
        <v>420</v>
      </c>
      <c r="D8379" s="400" t="s">
        <v>4131</v>
      </c>
      <c r="E8379" s="605" t="s">
        <v>1039</v>
      </c>
      <c r="F8379" s="605"/>
      <c r="G8379" s="402" t="s">
        <v>422</v>
      </c>
      <c r="H8379" s="403">
        <v>0.1018</v>
      </c>
      <c r="I8379" s="403">
        <v>0</v>
      </c>
      <c r="J8379" s="404">
        <v>14</v>
      </c>
      <c r="K8379" s="404">
        <v>1.4252</v>
      </c>
    </row>
    <row r="8380" spans="1:11" ht="25.5" customHeight="1" x14ac:dyDescent="0.3">
      <c r="A8380" s="400" t="s">
        <v>1038</v>
      </c>
      <c r="B8380" s="401" t="s">
        <v>4303</v>
      </c>
      <c r="C8380" s="400" t="s">
        <v>420</v>
      </c>
      <c r="D8380" s="400" t="s">
        <v>4304</v>
      </c>
      <c r="E8380" s="605" t="s">
        <v>1039</v>
      </c>
      <c r="F8380" s="605"/>
      <c r="G8380" s="402" t="s">
        <v>422</v>
      </c>
      <c r="H8380" s="403">
        <v>1.5E-3</v>
      </c>
      <c r="I8380" s="403">
        <v>0</v>
      </c>
      <c r="J8380" s="404">
        <v>193.04</v>
      </c>
      <c r="K8380" s="404">
        <v>0.28955999999999998</v>
      </c>
    </row>
    <row r="8381" spans="1:11" ht="12.75" customHeight="1" x14ac:dyDescent="0.3">
      <c r="A8381" s="400" t="s">
        <v>1038</v>
      </c>
      <c r="B8381" s="401" t="s">
        <v>4944</v>
      </c>
      <c r="C8381" s="400" t="s">
        <v>420</v>
      </c>
      <c r="D8381" s="400" t="s">
        <v>4945</v>
      </c>
      <c r="E8381" s="605" t="s">
        <v>1039</v>
      </c>
      <c r="F8381" s="605"/>
      <c r="G8381" s="402" t="s">
        <v>4946</v>
      </c>
      <c r="H8381" s="403">
        <v>8.0000000000000004E-4</v>
      </c>
      <c r="I8381" s="403">
        <v>0</v>
      </c>
      <c r="J8381" s="404">
        <v>6</v>
      </c>
      <c r="K8381" s="404">
        <v>4.7999999999999996E-3</v>
      </c>
    </row>
    <row r="8382" spans="1:11" ht="17.399999999999999" customHeight="1" x14ac:dyDescent="0.3">
      <c r="A8382" s="400" t="s">
        <v>1038</v>
      </c>
      <c r="B8382" s="401" t="s">
        <v>4280</v>
      </c>
      <c r="C8382" s="400" t="s">
        <v>420</v>
      </c>
      <c r="D8382" s="400" t="s">
        <v>4281</v>
      </c>
      <c r="E8382" s="605" t="s">
        <v>1039</v>
      </c>
      <c r="F8382" s="605"/>
      <c r="G8382" s="402" t="s">
        <v>422</v>
      </c>
      <c r="H8382" s="403">
        <v>6.54E-2</v>
      </c>
      <c r="I8382" s="403">
        <v>0</v>
      </c>
      <c r="J8382" s="404">
        <v>4.5</v>
      </c>
      <c r="K8382" s="404">
        <v>0.29430000000000001</v>
      </c>
    </row>
    <row r="8383" spans="1:11" ht="14.25" customHeight="1" x14ac:dyDescent="0.3">
      <c r="A8383" s="400" t="s">
        <v>1038</v>
      </c>
      <c r="B8383" s="401" t="s">
        <v>4678</v>
      </c>
      <c r="C8383" s="400" t="s">
        <v>420</v>
      </c>
      <c r="D8383" s="400" t="s">
        <v>4679</v>
      </c>
      <c r="E8383" s="605" t="s">
        <v>2381</v>
      </c>
      <c r="F8383" s="605"/>
      <c r="G8383" s="402" t="s">
        <v>422</v>
      </c>
      <c r="H8383" s="403">
        <v>4.4999999999999997E-3</v>
      </c>
      <c r="I8383" s="403">
        <v>0</v>
      </c>
      <c r="J8383" s="404">
        <v>12.54</v>
      </c>
      <c r="K8383" s="404">
        <v>5.6430000000000001E-2</v>
      </c>
    </row>
    <row r="8384" spans="1:11" ht="14.25" customHeight="1" x14ac:dyDescent="0.3">
      <c r="A8384" s="400" t="s">
        <v>1038</v>
      </c>
      <c r="B8384" s="401" t="s">
        <v>4176</v>
      </c>
      <c r="C8384" s="400" t="s">
        <v>420</v>
      </c>
      <c r="D8384" s="400" t="s">
        <v>4177</v>
      </c>
      <c r="E8384" s="605" t="s">
        <v>1039</v>
      </c>
      <c r="F8384" s="605"/>
      <c r="G8384" s="402" t="s">
        <v>422</v>
      </c>
      <c r="H8384" s="403">
        <v>4.4999999999999997E-3</v>
      </c>
      <c r="I8384" s="403">
        <v>0</v>
      </c>
      <c r="J8384" s="404">
        <v>205</v>
      </c>
      <c r="K8384" s="404">
        <v>0.92249999999999999</v>
      </c>
    </row>
    <row r="8385" spans="1:11" ht="14.25" customHeight="1" x14ac:dyDescent="0.3">
      <c r="A8385" s="400" t="s">
        <v>1038</v>
      </c>
      <c r="B8385" s="401" t="s">
        <v>4501</v>
      </c>
      <c r="C8385" s="400" t="s">
        <v>420</v>
      </c>
      <c r="D8385" s="400" t="s">
        <v>4502</v>
      </c>
      <c r="E8385" s="605" t="s">
        <v>2381</v>
      </c>
      <c r="F8385" s="605"/>
      <c r="G8385" s="402" t="s">
        <v>1324</v>
      </c>
      <c r="H8385" s="403">
        <v>4.0000000000000002E-4</v>
      </c>
      <c r="I8385" s="403">
        <v>0</v>
      </c>
      <c r="J8385" s="404">
        <v>300</v>
      </c>
      <c r="K8385" s="404">
        <v>0.12</v>
      </c>
    </row>
    <row r="8386" spans="1:11" ht="25.5" customHeight="1" x14ac:dyDescent="0.3">
      <c r="A8386" s="400" t="s">
        <v>1038</v>
      </c>
      <c r="B8386" s="401" t="s">
        <v>1387</v>
      </c>
      <c r="C8386" s="400" t="s">
        <v>420</v>
      </c>
      <c r="D8386" s="400" t="s">
        <v>5089</v>
      </c>
      <c r="E8386" s="605" t="s">
        <v>1039</v>
      </c>
      <c r="F8386" s="605"/>
      <c r="G8386" s="402" t="s">
        <v>422</v>
      </c>
      <c r="H8386" s="403">
        <v>1E-4</v>
      </c>
      <c r="I8386" s="403">
        <v>0</v>
      </c>
      <c r="J8386" s="404">
        <v>37.93</v>
      </c>
      <c r="K8386" s="404">
        <v>3.7929999999999999E-3</v>
      </c>
    </row>
    <row r="8387" spans="1:11" ht="25.5" customHeight="1" x14ac:dyDescent="0.3">
      <c r="A8387" s="400" t="s">
        <v>1038</v>
      </c>
      <c r="B8387" s="401" t="s">
        <v>5102</v>
      </c>
      <c r="C8387" s="400" t="s">
        <v>420</v>
      </c>
      <c r="D8387" s="400" t="s">
        <v>5103</v>
      </c>
      <c r="E8387" s="605" t="s">
        <v>1039</v>
      </c>
      <c r="F8387" s="605"/>
      <c r="G8387" s="402" t="s">
        <v>422</v>
      </c>
      <c r="H8387" s="403">
        <v>1E-4</v>
      </c>
      <c r="I8387" s="403">
        <v>0</v>
      </c>
      <c r="J8387" s="404">
        <v>19.57</v>
      </c>
      <c r="K8387" s="404">
        <v>1.957E-3</v>
      </c>
    </row>
    <row r="8388" spans="1:11" ht="15" x14ac:dyDescent="0.3">
      <c r="A8388" s="400" t="s">
        <v>1038</v>
      </c>
      <c r="B8388" s="401" t="s">
        <v>4813</v>
      </c>
      <c r="C8388" s="400" t="s">
        <v>420</v>
      </c>
      <c r="D8388" s="400" t="s">
        <v>4814</v>
      </c>
      <c r="E8388" s="605" t="s">
        <v>1039</v>
      </c>
      <c r="F8388" s="605"/>
      <c r="G8388" s="402" t="s">
        <v>422</v>
      </c>
      <c r="H8388" s="403">
        <v>4.4999999999999997E-3</v>
      </c>
      <c r="I8388" s="403">
        <v>0</v>
      </c>
      <c r="J8388" s="404">
        <v>4.8099999999999996</v>
      </c>
      <c r="K8388" s="404">
        <v>2.1645000000000001E-2</v>
      </c>
    </row>
    <row r="8389" spans="1:11" ht="25.5" customHeight="1" x14ac:dyDescent="0.3">
      <c r="A8389" s="400" t="s">
        <v>1038</v>
      </c>
      <c r="B8389" s="401" t="s">
        <v>4643</v>
      </c>
      <c r="C8389" s="400" t="s">
        <v>420</v>
      </c>
      <c r="D8389" s="400" t="s">
        <v>4644</v>
      </c>
      <c r="E8389" s="605" t="s">
        <v>1039</v>
      </c>
      <c r="F8389" s="605"/>
      <c r="G8389" s="402" t="s">
        <v>422</v>
      </c>
      <c r="H8389" s="403">
        <v>1.8E-3</v>
      </c>
      <c r="I8389" s="403">
        <v>0</v>
      </c>
      <c r="J8389" s="404">
        <v>18</v>
      </c>
      <c r="K8389" s="404">
        <v>3.2399999999999998E-2</v>
      </c>
    </row>
    <row r="8390" spans="1:11" ht="25.5" customHeight="1" x14ac:dyDescent="0.3">
      <c r="A8390" s="400" t="s">
        <v>1038</v>
      </c>
      <c r="B8390" s="401" t="s">
        <v>4214</v>
      </c>
      <c r="C8390" s="400" t="s">
        <v>420</v>
      </c>
      <c r="D8390" s="400" t="s">
        <v>4215</v>
      </c>
      <c r="E8390" s="605" t="s">
        <v>2381</v>
      </c>
      <c r="F8390" s="605"/>
      <c r="G8390" s="402" t="s">
        <v>422</v>
      </c>
      <c r="H8390" s="403">
        <v>0.1018</v>
      </c>
      <c r="I8390" s="403">
        <v>0</v>
      </c>
      <c r="J8390" s="404">
        <v>5</v>
      </c>
      <c r="K8390" s="404">
        <v>0.50900000000000001</v>
      </c>
    </row>
    <row r="8391" spans="1:11" ht="17.399999999999999" customHeight="1" x14ac:dyDescent="0.3">
      <c r="A8391" s="400" t="s">
        <v>1038</v>
      </c>
      <c r="B8391" s="401" t="s">
        <v>5019</v>
      </c>
      <c r="C8391" s="400" t="s">
        <v>420</v>
      </c>
      <c r="D8391" s="400" t="s">
        <v>5020</v>
      </c>
      <c r="E8391" s="605" t="s">
        <v>1039</v>
      </c>
      <c r="F8391" s="605"/>
      <c r="G8391" s="402" t="s">
        <v>422</v>
      </c>
      <c r="H8391" s="403">
        <v>1.1000000000000001E-3</v>
      </c>
      <c r="I8391" s="403">
        <v>0</v>
      </c>
      <c r="J8391" s="404">
        <v>29</v>
      </c>
      <c r="K8391" s="404">
        <v>3.1899999999999998E-2</v>
      </c>
    </row>
    <row r="8392" spans="1:11" ht="15" x14ac:dyDescent="0.3">
      <c r="A8392" s="400" t="s">
        <v>1038</v>
      </c>
      <c r="B8392" s="401" t="s">
        <v>5043</v>
      </c>
      <c r="C8392" s="400" t="s">
        <v>420</v>
      </c>
      <c r="D8392" s="400" t="s">
        <v>5044</v>
      </c>
      <c r="E8392" s="605" t="s">
        <v>1039</v>
      </c>
      <c r="F8392" s="605"/>
      <c r="G8392" s="402" t="s">
        <v>422</v>
      </c>
      <c r="H8392" s="403">
        <v>6.9999999999999999E-4</v>
      </c>
      <c r="I8392" s="403">
        <v>0</v>
      </c>
      <c r="J8392" s="404">
        <v>27.49</v>
      </c>
      <c r="K8392" s="404">
        <v>1.9243E-2</v>
      </c>
    </row>
    <row r="8393" spans="1:11" ht="14.25" customHeight="1" x14ac:dyDescent="0.3">
      <c r="A8393" s="400" t="s">
        <v>1038</v>
      </c>
      <c r="B8393" s="401" t="s">
        <v>5051</v>
      </c>
      <c r="C8393" s="400" t="s">
        <v>420</v>
      </c>
      <c r="D8393" s="400" t="s">
        <v>5052</v>
      </c>
      <c r="E8393" s="605" t="s">
        <v>1039</v>
      </c>
      <c r="F8393" s="605"/>
      <c r="G8393" s="402" t="s">
        <v>422</v>
      </c>
      <c r="H8393" s="403">
        <v>5.9999999999999995E-4</v>
      </c>
      <c r="I8393" s="403">
        <v>0</v>
      </c>
      <c r="J8393" s="404">
        <v>49</v>
      </c>
      <c r="K8393" s="404">
        <v>2.9399999999999999E-2</v>
      </c>
    </row>
    <row r="8394" spans="1:11" ht="14.25" customHeight="1" x14ac:dyDescent="0.3">
      <c r="A8394" s="400" t="s">
        <v>1038</v>
      </c>
      <c r="B8394" s="401" t="s">
        <v>5023</v>
      </c>
      <c r="C8394" s="400" t="s">
        <v>420</v>
      </c>
      <c r="D8394" s="400" t="s">
        <v>5024</v>
      </c>
      <c r="E8394" s="605" t="s">
        <v>1039</v>
      </c>
      <c r="F8394" s="605"/>
      <c r="G8394" s="402" t="s">
        <v>422</v>
      </c>
      <c r="H8394" s="403">
        <v>4.0000000000000002E-4</v>
      </c>
      <c r="I8394" s="403">
        <v>0</v>
      </c>
      <c r="J8394" s="404">
        <v>92.7</v>
      </c>
      <c r="K8394" s="404">
        <v>3.7080000000000002E-2</v>
      </c>
    </row>
    <row r="8395" spans="1:11" ht="25.5" customHeight="1" x14ac:dyDescent="0.3">
      <c r="A8395" s="400" t="s">
        <v>1038</v>
      </c>
      <c r="B8395" s="401" t="s">
        <v>5055</v>
      </c>
      <c r="C8395" s="400" t="s">
        <v>420</v>
      </c>
      <c r="D8395" s="400" t="s">
        <v>5056</v>
      </c>
      <c r="E8395" s="605" t="s">
        <v>1039</v>
      </c>
      <c r="F8395" s="605"/>
      <c r="G8395" s="402" t="s">
        <v>422</v>
      </c>
      <c r="H8395" s="403">
        <v>4.0000000000000002E-4</v>
      </c>
      <c r="I8395" s="403">
        <v>0</v>
      </c>
      <c r="J8395" s="404">
        <v>32.299999999999997</v>
      </c>
      <c r="K8395" s="404">
        <v>1.2919999999999999E-2</v>
      </c>
    </row>
    <row r="8396" spans="1:11" ht="25.5" customHeight="1" x14ac:dyDescent="0.3">
      <c r="A8396" s="400" t="s">
        <v>1038</v>
      </c>
      <c r="B8396" s="401" t="s">
        <v>7375</v>
      </c>
      <c r="C8396" s="400" t="s">
        <v>420</v>
      </c>
      <c r="D8396" s="400" t="s">
        <v>7376</v>
      </c>
      <c r="E8396" s="605" t="s">
        <v>1039</v>
      </c>
      <c r="F8396" s="605"/>
      <c r="G8396" s="402" t="s">
        <v>7189</v>
      </c>
      <c r="H8396" s="403">
        <v>2.3E-3</v>
      </c>
      <c r="I8396" s="403">
        <v>0</v>
      </c>
      <c r="J8396" s="404">
        <v>10.87</v>
      </c>
      <c r="K8396" s="404">
        <v>2.5000999999999999E-2</v>
      </c>
    </row>
    <row r="8397" spans="1:11" ht="12.75" customHeight="1" x14ac:dyDescent="0.3">
      <c r="A8397" s="400" t="s">
        <v>1038</v>
      </c>
      <c r="B8397" s="401" t="s">
        <v>7187</v>
      </c>
      <c r="C8397" s="400" t="s">
        <v>420</v>
      </c>
      <c r="D8397" s="400" t="s">
        <v>7188</v>
      </c>
      <c r="E8397" s="605" t="s">
        <v>1039</v>
      </c>
      <c r="F8397" s="605"/>
      <c r="G8397" s="402" t="s">
        <v>7189</v>
      </c>
      <c r="H8397" s="403">
        <v>8.0000000000000004E-4</v>
      </c>
      <c r="I8397" s="403">
        <v>0</v>
      </c>
      <c r="J8397" s="404">
        <v>73.930000000000007</v>
      </c>
      <c r="K8397" s="404">
        <v>5.9144000000000002E-2</v>
      </c>
    </row>
    <row r="8398" spans="1:11" ht="12.75" customHeight="1" x14ac:dyDescent="0.3">
      <c r="A8398" s="400" t="s">
        <v>1038</v>
      </c>
      <c r="B8398" s="401" t="s">
        <v>7629</v>
      </c>
      <c r="C8398" s="400" t="s">
        <v>420</v>
      </c>
      <c r="D8398" s="400" t="s">
        <v>7630</v>
      </c>
      <c r="E8398" s="605" t="s">
        <v>1039</v>
      </c>
      <c r="F8398" s="605"/>
      <c r="G8398" s="402" t="s">
        <v>422</v>
      </c>
      <c r="H8398" s="403">
        <v>2.0000000000000001E-4</v>
      </c>
      <c r="I8398" s="403">
        <v>0</v>
      </c>
      <c r="J8398" s="404">
        <v>20.11</v>
      </c>
      <c r="K8398" s="404">
        <v>4.0220000000000004E-3</v>
      </c>
    </row>
    <row r="8399" spans="1:11" ht="25.5" customHeight="1" x14ac:dyDescent="0.3">
      <c r="A8399" s="400" t="s">
        <v>1038</v>
      </c>
      <c r="B8399" s="401" t="s">
        <v>7555</v>
      </c>
      <c r="C8399" s="400" t="s">
        <v>420</v>
      </c>
      <c r="D8399" s="400" t="s">
        <v>7556</v>
      </c>
      <c r="E8399" s="605" t="s">
        <v>1039</v>
      </c>
      <c r="F8399" s="605"/>
      <c r="G8399" s="402" t="s">
        <v>422</v>
      </c>
      <c r="H8399" s="403">
        <v>5.9999999999999995E-4</v>
      </c>
      <c r="I8399" s="403">
        <v>0</v>
      </c>
      <c r="J8399" s="404">
        <v>13.5</v>
      </c>
      <c r="K8399" s="404">
        <v>8.0999999999999996E-3</v>
      </c>
    </row>
    <row r="8400" spans="1:11" ht="25.5" customHeight="1" x14ac:dyDescent="0.3">
      <c r="A8400" s="405"/>
      <c r="B8400" s="405"/>
      <c r="C8400" s="405"/>
      <c r="D8400" s="405"/>
      <c r="E8400" s="405" t="s">
        <v>1046</v>
      </c>
      <c r="F8400" s="406">
        <v>0</v>
      </c>
      <c r="G8400" s="405" t="s">
        <v>1047</v>
      </c>
      <c r="H8400" s="406">
        <v>0</v>
      </c>
      <c r="I8400" s="405" t="s">
        <v>1048</v>
      </c>
      <c r="J8400" s="406">
        <v>0</v>
      </c>
      <c r="K8400"/>
    </row>
    <row r="8401" spans="1:11" ht="30" customHeight="1" thickBot="1" x14ac:dyDescent="0.35">
      <c r="A8401" s="405"/>
      <c r="B8401" s="405"/>
      <c r="C8401" s="405"/>
      <c r="D8401" s="405"/>
      <c r="E8401" s="405" t="s">
        <v>1049</v>
      </c>
      <c r="F8401" s="406">
        <v>0</v>
      </c>
      <c r="G8401" s="405"/>
      <c r="H8401" s="606"/>
      <c r="I8401" s="606" t="s">
        <v>1050</v>
      </c>
      <c r="J8401" s="406">
        <v>3.91</v>
      </c>
      <c r="K8401"/>
    </row>
    <row r="8402" spans="1:11" ht="30" customHeight="1" thickTop="1" x14ac:dyDescent="0.3">
      <c r="A8402" s="407"/>
      <c r="B8402" s="407"/>
      <c r="C8402" s="407"/>
      <c r="D8402" s="407"/>
      <c r="E8402" s="407"/>
      <c r="F8402" s="407"/>
      <c r="G8402" s="407"/>
      <c r="H8402" s="407"/>
      <c r="I8402" s="407"/>
      <c r="J8402" s="407"/>
      <c r="K8402"/>
    </row>
    <row r="8403" spans="1:11" ht="14.25" customHeight="1" x14ac:dyDescent="0.3">
      <c r="A8403" s="382"/>
      <c r="B8403" s="312" t="s">
        <v>413</v>
      </c>
      <c r="C8403" s="382" t="s">
        <v>414</v>
      </c>
      <c r="D8403" s="382" t="s">
        <v>415</v>
      </c>
      <c r="E8403" s="586" t="s">
        <v>1029</v>
      </c>
      <c r="F8403" s="586"/>
      <c r="G8403" s="383" t="s">
        <v>416</v>
      </c>
      <c r="H8403" s="312" t="s">
        <v>1030</v>
      </c>
      <c r="I8403" s="312" t="s">
        <v>3016</v>
      </c>
      <c r="J8403" s="312" t="s">
        <v>1031</v>
      </c>
      <c r="K8403" s="312" t="s">
        <v>1032</v>
      </c>
    </row>
    <row r="8404" spans="1:11" ht="14.25" customHeight="1" x14ac:dyDescent="0.3">
      <c r="A8404" s="313" t="s">
        <v>1033</v>
      </c>
      <c r="B8404" s="315" t="s">
        <v>1478</v>
      </c>
      <c r="C8404" s="313" t="s">
        <v>420</v>
      </c>
      <c r="D8404" s="313" t="s">
        <v>1479</v>
      </c>
      <c r="E8404" s="603" t="s">
        <v>1069</v>
      </c>
      <c r="F8404" s="603"/>
      <c r="G8404" s="314" t="s">
        <v>1070</v>
      </c>
      <c r="H8404" s="399">
        <v>1</v>
      </c>
      <c r="I8404" s="316"/>
      <c r="J8404" s="316">
        <v>3.86</v>
      </c>
      <c r="K8404" s="316">
        <v>3.86</v>
      </c>
    </row>
    <row r="8405" spans="1:11" ht="25.5" customHeight="1" x14ac:dyDescent="0.3">
      <c r="A8405" s="400" t="s">
        <v>1038</v>
      </c>
      <c r="B8405" s="401" t="s">
        <v>798</v>
      </c>
      <c r="C8405" s="400" t="s">
        <v>420</v>
      </c>
      <c r="D8405" s="400" t="s">
        <v>4131</v>
      </c>
      <c r="E8405" s="605" t="s">
        <v>1039</v>
      </c>
      <c r="F8405" s="605"/>
      <c r="G8405" s="402" t="s">
        <v>422</v>
      </c>
      <c r="H8405" s="403">
        <v>0.1018</v>
      </c>
      <c r="I8405" s="403">
        <v>0</v>
      </c>
      <c r="J8405" s="404">
        <v>14</v>
      </c>
      <c r="K8405" s="404">
        <v>1.4252</v>
      </c>
    </row>
    <row r="8406" spans="1:11" ht="17.399999999999999" customHeight="1" x14ac:dyDescent="0.3">
      <c r="A8406" s="400" t="s">
        <v>1038</v>
      </c>
      <c r="B8406" s="401" t="s">
        <v>4303</v>
      </c>
      <c r="C8406" s="400" t="s">
        <v>420</v>
      </c>
      <c r="D8406" s="400" t="s">
        <v>4304</v>
      </c>
      <c r="E8406" s="605" t="s">
        <v>1039</v>
      </c>
      <c r="F8406" s="605"/>
      <c r="G8406" s="402" t="s">
        <v>422</v>
      </c>
      <c r="H8406" s="403">
        <v>1.5E-3</v>
      </c>
      <c r="I8406" s="403">
        <v>0</v>
      </c>
      <c r="J8406" s="404">
        <v>193.04</v>
      </c>
      <c r="K8406" s="404">
        <v>0.28955999999999998</v>
      </c>
    </row>
    <row r="8407" spans="1:11" ht="12.75" customHeight="1" x14ac:dyDescent="0.3">
      <c r="A8407" s="400" t="s">
        <v>1038</v>
      </c>
      <c r="B8407" s="401" t="s">
        <v>4944</v>
      </c>
      <c r="C8407" s="400" t="s">
        <v>420</v>
      </c>
      <c r="D8407" s="400" t="s">
        <v>4945</v>
      </c>
      <c r="E8407" s="605" t="s">
        <v>1039</v>
      </c>
      <c r="F8407" s="605"/>
      <c r="G8407" s="402" t="s">
        <v>4946</v>
      </c>
      <c r="H8407" s="403">
        <v>8.0000000000000004E-4</v>
      </c>
      <c r="I8407" s="403">
        <v>0</v>
      </c>
      <c r="J8407" s="404">
        <v>6</v>
      </c>
      <c r="K8407" s="404">
        <v>4.7999999999999996E-3</v>
      </c>
    </row>
    <row r="8408" spans="1:11" ht="12.75" customHeight="1" x14ac:dyDescent="0.3">
      <c r="A8408" s="400" t="s">
        <v>1038</v>
      </c>
      <c r="B8408" s="401" t="s">
        <v>4280</v>
      </c>
      <c r="C8408" s="400" t="s">
        <v>420</v>
      </c>
      <c r="D8408" s="400" t="s">
        <v>4281</v>
      </c>
      <c r="E8408" s="605" t="s">
        <v>1039</v>
      </c>
      <c r="F8408" s="605"/>
      <c r="G8408" s="402" t="s">
        <v>422</v>
      </c>
      <c r="H8408" s="403">
        <v>6.54E-2</v>
      </c>
      <c r="I8408" s="403">
        <v>0</v>
      </c>
      <c r="J8408" s="404">
        <v>4.5</v>
      </c>
      <c r="K8408" s="404">
        <v>0.29430000000000001</v>
      </c>
    </row>
    <row r="8409" spans="1:11" ht="25.5" customHeight="1" x14ac:dyDescent="0.3">
      <c r="A8409" s="400" t="s">
        <v>1038</v>
      </c>
      <c r="B8409" s="401" t="s">
        <v>5033</v>
      </c>
      <c r="C8409" s="400" t="s">
        <v>420</v>
      </c>
      <c r="D8409" s="400" t="s">
        <v>5034</v>
      </c>
      <c r="E8409" s="605" t="s">
        <v>1039</v>
      </c>
      <c r="F8409" s="605"/>
      <c r="G8409" s="402" t="s">
        <v>422</v>
      </c>
      <c r="H8409" s="403">
        <v>5.0000000000000001E-4</v>
      </c>
      <c r="I8409" s="403">
        <v>0</v>
      </c>
      <c r="J8409" s="404">
        <v>17.989999999999998</v>
      </c>
      <c r="K8409" s="404">
        <v>8.9949999999999995E-3</v>
      </c>
    </row>
    <row r="8410" spans="1:11" ht="25.5" customHeight="1" x14ac:dyDescent="0.3">
      <c r="A8410" s="400" t="s">
        <v>1038</v>
      </c>
      <c r="B8410" s="401" t="s">
        <v>5025</v>
      </c>
      <c r="C8410" s="400" t="s">
        <v>420</v>
      </c>
      <c r="D8410" s="400" t="s">
        <v>5026</v>
      </c>
      <c r="E8410" s="605" t="s">
        <v>1039</v>
      </c>
      <c r="F8410" s="605"/>
      <c r="G8410" s="402" t="s">
        <v>422</v>
      </c>
      <c r="H8410" s="403">
        <v>4.0000000000000002E-4</v>
      </c>
      <c r="I8410" s="403">
        <v>0</v>
      </c>
      <c r="J8410" s="404">
        <v>18.8</v>
      </c>
      <c r="K8410" s="404">
        <v>7.5199999999999998E-3</v>
      </c>
    </row>
    <row r="8411" spans="1:11" ht="15" x14ac:dyDescent="0.3">
      <c r="A8411" s="400" t="s">
        <v>1038</v>
      </c>
      <c r="B8411" s="401" t="s">
        <v>5017</v>
      </c>
      <c r="C8411" s="400" t="s">
        <v>420</v>
      </c>
      <c r="D8411" s="400" t="s">
        <v>5018</v>
      </c>
      <c r="E8411" s="605" t="s">
        <v>1039</v>
      </c>
      <c r="F8411" s="605"/>
      <c r="G8411" s="402" t="s">
        <v>422</v>
      </c>
      <c r="H8411" s="403">
        <v>2.0000000000000001E-4</v>
      </c>
      <c r="I8411" s="403">
        <v>0</v>
      </c>
      <c r="J8411" s="404">
        <v>44</v>
      </c>
      <c r="K8411" s="404">
        <v>8.8000000000000005E-3</v>
      </c>
    </row>
    <row r="8412" spans="1:11" ht="14.25" customHeight="1" x14ac:dyDescent="0.3">
      <c r="A8412" s="400" t="s">
        <v>1038</v>
      </c>
      <c r="B8412" s="401" t="s">
        <v>4678</v>
      </c>
      <c r="C8412" s="400" t="s">
        <v>420</v>
      </c>
      <c r="D8412" s="400" t="s">
        <v>4679</v>
      </c>
      <c r="E8412" s="605" t="s">
        <v>2381</v>
      </c>
      <c r="F8412" s="605"/>
      <c r="G8412" s="402" t="s">
        <v>422</v>
      </c>
      <c r="H8412" s="403">
        <v>4.4999999999999997E-3</v>
      </c>
      <c r="I8412" s="403">
        <v>0</v>
      </c>
      <c r="J8412" s="404">
        <v>12.54</v>
      </c>
      <c r="K8412" s="404">
        <v>5.6430000000000001E-2</v>
      </c>
    </row>
    <row r="8413" spans="1:11" ht="14.25" customHeight="1" x14ac:dyDescent="0.3">
      <c r="A8413" s="400" t="s">
        <v>1038</v>
      </c>
      <c r="B8413" s="401" t="s">
        <v>4176</v>
      </c>
      <c r="C8413" s="400" t="s">
        <v>420</v>
      </c>
      <c r="D8413" s="400" t="s">
        <v>4177</v>
      </c>
      <c r="E8413" s="605" t="s">
        <v>1039</v>
      </c>
      <c r="F8413" s="605"/>
      <c r="G8413" s="402" t="s">
        <v>422</v>
      </c>
      <c r="H8413" s="403">
        <v>4.4999999999999997E-3</v>
      </c>
      <c r="I8413" s="403">
        <v>0</v>
      </c>
      <c r="J8413" s="404">
        <v>205</v>
      </c>
      <c r="K8413" s="404">
        <v>0.92249999999999999</v>
      </c>
    </row>
    <row r="8414" spans="1:11" ht="25.5" customHeight="1" x14ac:dyDescent="0.3">
      <c r="A8414" s="400" t="s">
        <v>1038</v>
      </c>
      <c r="B8414" s="401" t="s">
        <v>4501</v>
      </c>
      <c r="C8414" s="400" t="s">
        <v>420</v>
      </c>
      <c r="D8414" s="400" t="s">
        <v>4502</v>
      </c>
      <c r="E8414" s="605" t="s">
        <v>2381</v>
      </c>
      <c r="F8414" s="605"/>
      <c r="G8414" s="402" t="s">
        <v>1324</v>
      </c>
      <c r="H8414" s="403">
        <v>4.0000000000000002E-4</v>
      </c>
      <c r="I8414" s="403">
        <v>0</v>
      </c>
      <c r="J8414" s="404">
        <v>300</v>
      </c>
      <c r="K8414" s="404">
        <v>0.12</v>
      </c>
    </row>
    <row r="8415" spans="1:11" ht="15" x14ac:dyDescent="0.3">
      <c r="A8415" s="400" t="s">
        <v>1038</v>
      </c>
      <c r="B8415" s="401" t="s">
        <v>4813</v>
      </c>
      <c r="C8415" s="400" t="s">
        <v>420</v>
      </c>
      <c r="D8415" s="400" t="s">
        <v>4814</v>
      </c>
      <c r="E8415" s="605" t="s">
        <v>1039</v>
      </c>
      <c r="F8415" s="605"/>
      <c r="G8415" s="402" t="s">
        <v>422</v>
      </c>
      <c r="H8415" s="403">
        <v>4.4999999999999997E-3</v>
      </c>
      <c r="I8415" s="403">
        <v>0</v>
      </c>
      <c r="J8415" s="404">
        <v>4.8099999999999996</v>
      </c>
      <c r="K8415" s="404">
        <v>2.1645000000000001E-2</v>
      </c>
    </row>
    <row r="8416" spans="1:11" ht="12.75" customHeight="1" x14ac:dyDescent="0.3">
      <c r="A8416" s="400" t="s">
        <v>1038</v>
      </c>
      <c r="B8416" s="401" t="s">
        <v>4643</v>
      </c>
      <c r="C8416" s="400" t="s">
        <v>420</v>
      </c>
      <c r="D8416" s="400" t="s">
        <v>4644</v>
      </c>
      <c r="E8416" s="605" t="s">
        <v>1039</v>
      </c>
      <c r="F8416" s="605"/>
      <c r="G8416" s="402" t="s">
        <v>422</v>
      </c>
      <c r="H8416" s="403">
        <v>1.8E-3</v>
      </c>
      <c r="I8416" s="403">
        <v>0</v>
      </c>
      <c r="J8416" s="404">
        <v>18</v>
      </c>
      <c r="K8416" s="404">
        <v>3.2399999999999998E-2</v>
      </c>
    </row>
    <row r="8417" spans="1:11" ht="12.75" customHeight="1" x14ac:dyDescent="0.3">
      <c r="A8417" s="400" t="s">
        <v>1038</v>
      </c>
      <c r="B8417" s="401" t="s">
        <v>4214</v>
      </c>
      <c r="C8417" s="400" t="s">
        <v>420</v>
      </c>
      <c r="D8417" s="400" t="s">
        <v>4215</v>
      </c>
      <c r="E8417" s="605" t="s">
        <v>2381</v>
      </c>
      <c r="F8417" s="605"/>
      <c r="G8417" s="402" t="s">
        <v>422</v>
      </c>
      <c r="H8417" s="403">
        <v>0.1018</v>
      </c>
      <c r="I8417" s="403">
        <v>0</v>
      </c>
      <c r="J8417" s="404">
        <v>5</v>
      </c>
      <c r="K8417" s="404">
        <v>0.50900000000000001</v>
      </c>
    </row>
    <row r="8418" spans="1:11" ht="25.5" customHeight="1" x14ac:dyDescent="0.3">
      <c r="A8418" s="400" t="s">
        <v>1038</v>
      </c>
      <c r="B8418" s="401" t="s">
        <v>5057</v>
      </c>
      <c r="C8418" s="400" t="s">
        <v>420</v>
      </c>
      <c r="D8418" s="400" t="s">
        <v>5058</v>
      </c>
      <c r="E8418" s="605" t="s">
        <v>1039</v>
      </c>
      <c r="F8418" s="605"/>
      <c r="G8418" s="402" t="s">
        <v>422</v>
      </c>
      <c r="H8418" s="403">
        <v>2.0000000000000001E-4</v>
      </c>
      <c r="I8418" s="403">
        <v>0</v>
      </c>
      <c r="J8418" s="404">
        <v>19.5</v>
      </c>
      <c r="K8418" s="404">
        <v>3.8999999999999998E-3</v>
      </c>
    </row>
    <row r="8419" spans="1:11" ht="25.5" customHeight="1" x14ac:dyDescent="0.3">
      <c r="A8419" s="400" t="s">
        <v>1038</v>
      </c>
      <c r="B8419" s="401" t="s">
        <v>5071</v>
      </c>
      <c r="C8419" s="400" t="s">
        <v>420</v>
      </c>
      <c r="D8419" s="400" t="s">
        <v>5072</v>
      </c>
      <c r="E8419" s="605" t="s">
        <v>1039</v>
      </c>
      <c r="F8419" s="605"/>
      <c r="G8419" s="402" t="s">
        <v>422</v>
      </c>
      <c r="H8419" s="403">
        <v>1E-4</v>
      </c>
      <c r="I8419" s="403">
        <v>0</v>
      </c>
      <c r="J8419" s="404">
        <v>25.95</v>
      </c>
      <c r="K8419" s="404">
        <v>2.5950000000000001E-3</v>
      </c>
    </row>
    <row r="8420" spans="1:11" ht="15" x14ac:dyDescent="0.3">
      <c r="A8420" s="400" t="s">
        <v>1038</v>
      </c>
      <c r="B8420" s="401" t="s">
        <v>5065</v>
      </c>
      <c r="C8420" s="400" t="s">
        <v>420</v>
      </c>
      <c r="D8420" s="400" t="s">
        <v>5066</v>
      </c>
      <c r="E8420" s="605" t="s">
        <v>1039</v>
      </c>
      <c r="F8420" s="605"/>
      <c r="G8420" s="402" t="s">
        <v>422</v>
      </c>
      <c r="H8420" s="403">
        <v>1E-4</v>
      </c>
      <c r="I8420" s="403">
        <v>0</v>
      </c>
      <c r="J8420" s="404">
        <v>28</v>
      </c>
      <c r="K8420" s="404">
        <v>2.8E-3</v>
      </c>
    </row>
    <row r="8421" spans="1:11" ht="14.25" customHeight="1" x14ac:dyDescent="0.3">
      <c r="A8421" s="400" t="s">
        <v>1038</v>
      </c>
      <c r="B8421" s="401" t="s">
        <v>5021</v>
      </c>
      <c r="C8421" s="400" t="s">
        <v>420</v>
      </c>
      <c r="D8421" s="400" t="s">
        <v>5022</v>
      </c>
      <c r="E8421" s="605" t="s">
        <v>1039</v>
      </c>
      <c r="F8421" s="605"/>
      <c r="G8421" s="402" t="s">
        <v>422</v>
      </c>
      <c r="H8421" s="403">
        <v>6.9999999999999999E-4</v>
      </c>
      <c r="I8421" s="403">
        <v>0</v>
      </c>
      <c r="J8421" s="404">
        <v>11.6</v>
      </c>
      <c r="K8421" s="404">
        <v>8.1200000000000005E-3</v>
      </c>
    </row>
    <row r="8422" spans="1:11" ht="14.25" customHeight="1" x14ac:dyDescent="0.3">
      <c r="A8422" s="400" t="s">
        <v>1038</v>
      </c>
      <c r="B8422" s="401" t="s">
        <v>5027</v>
      </c>
      <c r="C8422" s="400" t="s">
        <v>420</v>
      </c>
      <c r="D8422" s="400" t="s">
        <v>5028</v>
      </c>
      <c r="E8422" s="605" t="s">
        <v>1039</v>
      </c>
      <c r="F8422" s="605"/>
      <c r="G8422" s="402" t="s">
        <v>486</v>
      </c>
      <c r="H8422" s="403">
        <v>6.9999999999999999E-4</v>
      </c>
      <c r="I8422" s="403">
        <v>0</v>
      </c>
      <c r="J8422" s="404">
        <v>10.220000000000001</v>
      </c>
      <c r="K8422" s="404">
        <v>7.1539999999999998E-3</v>
      </c>
    </row>
    <row r="8423" spans="1:11" ht="30" customHeight="1" x14ac:dyDescent="0.3">
      <c r="A8423" s="400" t="s">
        <v>1038</v>
      </c>
      <c r="B8423" s="401" t="s">
        <v>4947</v>
      </c>
      <c r="C8423" s="400" t="s">
        <v>420</v>
      </c>
      <c r="D8423" s="400" t="s">
        <v>4948</v>
      </c>
      <c r="E8423" s="605" t="s">
        <v>1039</v>
      </c>
      <c r="F8423" s="605"/>
      <c r="G8423" s="402" t="s">
        <v>422</v>
      </c>
      <c r="H8423" s="403">
        <v>1E-4</v>
      </c>
      <c r="I8423" s="403">
        <v>0</v>
      </c>
      <c r="J8423" s="404">
        <v>319.89999999999998</v>
      </c>
      <c r="K8423" s="404">
        <v>3.1989999999999998E-2</v>
      </c>
    </row>
    <row r="8424" spans="1:11" ht="30" customHeight="1" x14ac:dyDescent="0.3">
      <c r="A8424" s="400" t="s">
        <v>1038</v>
      </c>
      <c r="B8424" s="401" t="s">
        <v>5067</v>
      </c>
      <c r="C8424" s="400" t="s">
        <v>420</v>
      </c>
      <c r="D8424" s="400" t="s">
        <v>5068</v>
      </c>
      <c r="E8424" s="605" t="s">
        <v>1039</v>
      </c>
      <c r="F8424" s="605"/>
      <c r="G8424" s="402" t="s">
        <v>422</v>
      </c>
      <c r="H8424" s="403">
        <v>2.0000000000000001E-4</v>
      </c>
      <c r="I8424" s="403">
        <v>0</v>
      </c>
      <c r="J8424" s="404">
        <v>13.52</v>
      </c>
      <c r="K8424" s="404">
        <v>2.7039999999999998E-3</v>
      </c>
    </row>
    <row r="8425" spans="1:11" ht="12.75" customHeight="1" x14ac:dyDescent="0.3">
      <c r="A8425" s="400" t="s">
        <v>1038</v>
      </c>
      <c r="B8425" s="401" t="s">
        <v>5049</v>
      </c>
      <c r="C8425" s="400" t="s">
        <v>420</v>
      </c>
      <c r="D8425" s="400" t="s">
        <v>5050</v>
      </c>
      <c r="E8425" s="605" t="s">
        <v>1039</v>
      </c>
      <c r="F8425" s="605"/>
      <c r="G8425" s="402" t="s">
        <v>422</v>
      </c>
      <c r="H8425" s="403">
        <v>4.0000000000000002E-4</v>
      </c>
      <c r="I8425" s="403">
        <v>0</v>
      </c>
      <c r="J8425" s="404">
        <v>18.75</v>
      </c>
      <c r="K8425" s="404">
        <v>7.4999999999999997E-3</v>
      </c>
    </row>
    <row r="8426" spans="1:11" ht="12.75" customHeight="1" x14ac:dyDescent="0.3">
      <c r="A8426" s="400" t="s">
        <v>1038</v>
      </c>
      <c r="B8426" s="401" t="s">
        <v>7375</v>
      </c>
      <c r="C8426" s="400" t="s">
        <v>420</v>
      </c>
      <c r="D8426" s="400" t="s">
        <v>7376</v>
      </c>
      <c r="E8426" s="605" t="s">
        <v>1039</v>
      </c>
      <c r="F8426" s="605"/>
      <c r="G8426" s="402" t="s">
        <v>7189</v>
      </c>
      <c r="H8426" s="403">
        <v>2.3E-3</v>
      </c>
      <c r="I8426" s="403">
        <v>0</v>
      </c>
      <c r="J8426" s="404">
        <v>10.87</v>
      </c>
      <c r="K8426" s="404">
        <v>2.5000999999999999E-2</v>
      </c>
    </row>
    <row r="8427" spans="1:11" ht="25.5" customHeight="1" x14ac:dyDescent="0.3">
      <c r="A8427" s="400" t="s">
        <v>1038</v>
      </c>
      <c r="B8427" s="401" t="s">
        <v>7187</v>
      </c>
      <c r="C8427" s="400" t="s">
        <v>420</v>
      </c>
      <c r="D8427" s="400" t="s">
        <v>7188</v>
      </c>
      <c r="E8427" s="605" t="s">
        <v>1039</v>
      </c>
      <c r="F8427" s="605"/>
      <c r="G8427" s="402" t="s">
        <v>7189</v>
      </c>
      <c r="H8427" s="403">
        <v>8.0000000000000004E-4</v>
      </c>
      <c r="I8427" s="403">
        <v>0</v>
      </c>
      <c r="J8427" s="404">
        <v>73.930000000000007</v>
      </c>
      <c r="K8427" s="404">
        <v>5.9144000000000002E-2</v>
      </c>
    </row>
    <row r="8428" spans="1:11" ht="25.5" customHeight="1" x14ac:dyDescent="0.3">
      <c r="A8428" s="400" t="s">
        <v>1038</v>
      </c>
      <c r="B8428" s="401" t="s">
        <v>7629</v>
      </c>
      <c r="C8428" s="400" t="s">
        <v>420</v>
      </c>
      <c r="D8428" s="400" t="s">
        <v>7630</v>
      </c>
      <c r="E8428" s="605" t="s">
        <v>1039</v>
      </c>
      <c r="F8428" s="605"/>
      <c r="G8428" s="402" t="s">
        <v>422</v>
      </c>
      <c r="H8428" s="403">
        <v>2.0000000000000001E-4</v>
      </c>
      <c r="I8428" s="403">
        <v>0</v>
      </c>
      <c r="J8428" s="404">
        <v>20.11</v>
      </c>
      <c r="K8428" s="404">
        <v>4.0220000000000004E-3</v>
      </c>
    </row>
    <row r="8429" spans="1:11" ht="12.75" customHeight="1" x14ac:dyDescent="0.3">
      <c r="A8429" s="400" t="s">
        <v>1038</v>
      </c>
      <c r="B8429" s="401" t="s">
        <v>7555</v>
      </c>
      <c r="C8429" s="400" t="s">
        <v>420</v>
      </c>
      <c r="D8429" s="400" t="s">
        <v>7556</v>
      </c>
      <c r="E8429" s="605" t="s">
        <v>1039</v>
      </c>
      <c r="F8429" s="605"/>
      <c r="G8429" s="402" t="s">
        <v>422</v>
      </c>
      <c r="H8429" s="403">
        <v>5.9999999999999995E-4</v>
      </c>
      <c r="I8429" s="403">
        <v>0</v>
      </c>
      <c r="J8429" s="404">
        <v>13.5</v>
      </c>
      <c r="K8429" s="404">
        <v>8.0999999999999996E-3</v>
      </c>
    </row>
    <row r="8430" spans="1:11" ht="14.25" customHeight="1" x14ac:dyDescent="0.3">
      <c r="A8430" s="405"/>
      <c r="B8430" s="405"/>
      <c r="C8430" s="405"/>
      <c r="D8430" s="405"/>
      <c r="E8430" s="405" t="s">
        <v>1046</v>
      </c>
      <c r="F8430" s="406">
        <v>0</v>
      </c>
      <c r="G8430" s="405" t="s">
        <v>1047</v>
      </c>
      <c r="H8430" s="406">
        <v>0</v>
      </c>
      <c r="I8430" s="405" t="s">
        <v>1048</v>
      </c>
      <c r="J8430" s="406">
        <v>0</v>
      </c>
      <c r="K8430"/>
    </row>
    <row r="8431" spans="1:11" ht="14.25" customHeight="1" thickBot="1" x14ac:dyDescent="0.35">
      <c r="A8431" s="405"/>
      <c r="B8431" s="405"/>
      <c r="C8431" s="405"/>
      <c r="D8431" s="405"/>
      <c r="E8431" s="405" t="s">
        <v>1049</v>
      </c>
      <c r="F8431" s="406">
        <v>0</v>
      </c>
      <c r="G8431" s="405"/>
      <c r="H8431" s="606"/>
      <c r="I8431" s="606" t="s">
        <v>1050</v>
      </c>
      <c r="J8431" s="406">
        <v>3.86</v>
      </c>
      <c r="K8431"/>
    </row>
    <row r="8432" spans="1:11" ht="15.6" thickTop="1" x14ac:dyDescent="0.3">
      <c r="A8432" s="407"/>
      <c r="B8432" s="407"/>
      <c r="C8432" s="407"/>
      <c r="D8432" s="407"/>
      <c r="E8432" s="407"/>
      <c r="F8432" s="407"/>
      <c r="G8432" s="407"/>
      <c r="H8432" s="407"/>
      <c r="I8432" s="407"/>
      <c r="J8432" s="407"/>
      <c r="K8432"/>
    </row>
    <row r="8433" spans="1:11" ht="14.25" customHeight="1" x14ac:dyDescent="0.3">
      <c r="A8433" s="382"/>
      <c r="B8433" s="312" t="s">
        <v>413</v>
      </c>
      <c r="C8433" s="382" t="s">
        <v>414</v>
      </c>
      <c r="D8433" s="382" t="s">
        <v>415</v>
      </c>
      <c r="E8433" s="586" t="s">
        <v>1029</v>
      </c>
      <c r="F8433" s="586"/>
      <c r="G8433" s="383" t="s">
        <v>416</v>
      </c>
      <c r="H8433" s="312" t="s">
        <v>1030</v>
      </c>
      <c r="I8433" s="312" t="s">
        <v>3016</v>
      </c>
      <c r="J8433" s="312" t="s">
        <v>1031</v>
      </c>
      <c r="K8433" s="312" t="s">
        <v>1032</v>
      </c>
    </row>
    <row r="8434" spans="1:11" ht="25.5" customHeight="1" x14ac:dyDescent="0.3">
      <c r="A8434" s="313" t="s">
        <v>1033</v>
      </c>
      <c r="B8434" s="315" t="s">
        <v>3161</v>
      </c>
      <c r="C8434" s="313" t="s">
        <v>420</v>
      </c>
      <c r="D8434" s="313" t="s">
        <v>3162</v>
      </c>
      <c r="E8434" s="603" t="s">
        <v>1069</v>
      </c>
      <c r="F8434" s="603"/>
      <c r="G8434" s="314" t="s">
        <v>1070</v>
      </c>
      <c r="H8434" s="399">
        <v>1</v>
      </c>
      <c r="I8434" s="316"/>
      <c r="J8434" s="316">
        <v>4.03</v>
      </c>
      <c r="K8434" s="316">
        <v>4.03</v>
      </c>
    </row>
    <row r="8435" spans="1:11" ht="12.75" customHeight="1" x14ac:dyDescent="0.3">
      <c r="A8435" s="400" t="s">
        <v>1038</v>
      </c>
      <c r="B8435" s="401" t="s">
        <v>798</v>
      </c>
      <c r="C8435" s="400" t="s">
        <v>420</v>
      </c>
      <c r="D8435" s="400" t="s">
        <v>4131</v>
      </c>
      <c r="E8435" s="605" t="s">
        <v>1039</v>
      </c>
      <c r="F8435" s="605"/>
      <c r="G8435" s="402" t="s">
        <v>422</v>
      </c>
      <c r="H8435" s="403">
        <v>0.1018</v>
      </c>
      <c r="I8435" s="403">
        <v>0</v>
      </c>
      <c r="J8435" s="404">
        <v>14</v>
      </c>
      <c r="K8435" s="404">
        <v>1.4252</v>
      </c>
    </row>
    <row r="8436" spans="1:11" ht="25.5" customHeight="1" x14ac:dyDescent="0.3">
      <c r="A8436" s="400" t="s">
        <v>1038</v>
      </c>
      <c r="B8436" s="401" t="s">
        <v>4303</v>
      </c>
      <c r="C8436" s="400" t="s">
        <v>420</v>
      </c>
      <c r="D8436" s="400" t="s">
        <v>4304</v>
      </c>
      <c r="E8436" s="605" t="s">
        <v>1039</v>
      </c>
      <c r="F8436" s="605"/>
      <c r="G8436" s="402" t="s">
        <v>422</v>
      </c>
      <c r="H8436" s="403">
        <v>1.5E-3</v>
      </c>
      <c r="I8436" s="403">
        <v>0</v>
      </c>
      <c r="J8436" s="404">
        <v>193.04</v>
      </c>
      <c r="K8436" s="404">
        <v>0.28955999999999998</v>
      </c>
    </row>
    <row r="8437" spans="1:11" ht="25.5" customHeight="1" x14ac:dyDescent="0.3">
      <c r="A8437" s="400" t="s">
        <v>1038</v>
      </c>
      <c r="B8437" s="401" t="s">
        <v>4944</v>
      </c>
      <c r="C8437" s="400" t="s">
        <v>420</v>
      </c>
      <c r="D8437" s="400" t="s">
        <v>4945</v>
      </c>
      <c r="E8437" s="605" t="s">
        <v>1039</v>
      </c>
      <c r="F8437" s="605"/>
      <c r="G8437" s="402" t="s">
        <v>4946</v>
      </c>
      <c r="H8437" s="403">
        <v>8.0000000000000004E-4</v>
      </c>
      <c r="I8437" s="403">
        <v>0</v>
      </c>
      <c r="J8437" s="404">
        <v>6</v>
      </c>
      <c r="K8437" s="404">
        <v>4.7999999999999996E-3</v>
      </c>
    </row>
    <row r="8438" spans="1:11" ht="15" x14ac:dyDescent="0.3">
      <c r="A8438" s="400" t="s">
        <v>1038</v>
      </c>
      <c r="B8438" s="401" t="s">
        <v>4280</v>
      </c>
      <c r="C8438" s="400" t="s">
        <v>420</v>
      </c>
      <c r="D8438" s="400" t="s">
        <v>4281</v>
      </c>
      <c r="E8438" s="605" t="s">
        <v>1039</v>
      </c>
      <c r="F8438" s="605"/>
      <c r="G8438" s="402" t="s">
        <v>422</v>
      </c>
      <c r="H8438" s="403">
        <v>6.54E-2</v>
      </c>
      <c r="I8438" s="403">
        <v>0</v>
      </c>
      <c r="J8438" s="404">
        <v>4.5</v>
      </c>
      <c r="K8438" s="404">
        <v>0.29430000000000001</v>
      </c>
    </row>
    <row r="8439" spans="1:11" ht="14.25" customHeight="1" x14ac:dyDescent="0.3">
      <c r="A8439" s="400" t="s">
        <v>1038</v>
      </c>
      <c r="B8439" s="401" t="s">
        <v>5033</v>
      </c>
      <c r="C8439" s="400" t="s">
        <v>420</v>
      </c>
      <c r="D8439" s="400" t="s">
        <v>5034</v>
      </c>
      <c r="E8439" s="605" t="s">
        <v>1039</v>
      </c>
      <c r="F8439" s="605"/>
      <c r="G8439" s="402" t="s">
        <v>422</v>
      </c>
      <c r="H8439" s="403">
        <v>5.0000000000000001E-4</v>
      </c>
      <c r="I8439" s="403">
        <v>0</v>
      </c>
      <c r="J8439" s="404">
        <v>17.989999999999998</v>
      </c>
      <c r="K8439" s="404">
        <v>8.9949999999999995E-3</v>
      </c>
    </row>
    <row r="8440" spans="1:11" ht="14.25" customHeight="1" x14ac:dyDescent="0.3">
      <c r="A8440" s="400" t="s">
        <v>1038</v>
      </c>
      <c r="B8440" s="401" t="s">
        <v>5108</v>
      </c>
      <c r="C8440" s="400" t="s">
        <v>420</v>
      </c>
      <c r="D8440" s="400" t="s">
        <v>5109</v>
      </c>
      <c r="E8440" s="605" t="s">
        <v>1039</v>
      </c>
      <c r="F8440" s="605"/>
      <c r="G8440" s="402" t="s">
        <v>422</v>
      </c>
      <c r="H8440" s="403">
        <v>4.0000000000000002E-4</v>
      </c>
      <c r="I8440" s="403">
        <v>0</v>
      </c>
      <c r="J8440" s="404">
        <v>16.82</v>
      </c>
      <c r="K8440" s="404">
        <v>6.7279999999999996E-3</v>
      </c>
    </row>
    <row r="8441" spans="1:11" ht="14.25" customHeight="1" x14ac:dyDescent="0.3">
      <c r="A8441" s="400" t="s">
        <v>1038</v>
      </c>
      <c r="B8441" s="401" t="s">
        <v>4678</v>
      </c>
      <c r="C8441" s="400" t="s">
        <v>420</v>
      </c>
      <c r="D8441" s="400" t="s">
        <v>4679</v>
      </c>
      <c r="E8441" s="605" t="s">
        <v>2381</v>
      </c>
      <c r="F8441" s="605"/>
      <c r="G8441" s="402" t="s">
        <v>422</v>
      </c>
      <c r="H8441" s="403">
        <v>4.4999999999999997E-3</v>
      </c>
      <c r="I8441" s="403">
        <v>0</v>
      </c>
      <c r="J8441" s="404">
        <v>12.54</v>
      </c>
      <c r="K8441" s="404">
        <v>5.6430000000000001E-2</v>
      </c>
    </row>
    <row r="8442" spans="1:11" ht="30" customHeight="1" x14ac:dyDescent="0.3">
      <c r="A8442" s="400" t="s">
        <v>1038</v>
      </c>
      <c r="B8442" s="401" t="s">
        <v>4176</v>
      </c>
      <c r="C8442" s="400" t="s">
        <v>420</v>
      </c>
      <c r="D8442" s="400" t="s">
        <v>4177</v>
      </c>
      <c r="E8442" s="605" t="s">
        <v>1039</v>
      </c>
      <c r="F8442" s="605"/>
      <c r="G8442" s="402" t="s">
        <v>422</v>
      </c>
      <c r="H8442" s="403">
        <v>4.4999999999999997E-3</v>
      </c>
      <c r="I8442" s="403">
        <v>0</v>
      </c>
      <c r="J8442" s="404">
        <v>205</v>
      </c>
      <c r="K8442" s="404">
        <v>0.92249999999999999</v>
      </c>
    </row>
    <row r="8443" spans="1:11" ht="12.75" customHeight="1" x14ac:dyDescent="0.3">
      <c r="A8443" s="400" t="s">
        <v>1038</v>
      </c>
      <c r="B8443" s="401" t="s">
        <v>4501</v>
      </c>
      <c r="C8443" s="400" t="s">
        <v>420</v>
      </c>
      <c r="D8443" s="400" t="s">
        <v>4502</v>
      </c>
      <c r="E8443" s="605" t="s">
        <v>2381</v>
      </c>
      <c r="F8443" s="605"/>
      <c r="G8443" s="402" t="s">
        <v>1324</v>
      </c>
      <c r="H8443" s="403">
        <v>4.0000000000000002E-4</v>
      </c>
      <c r="I8443" s="403">
        <v>0</v>
      </c>
      <c r="J8443" s="404">
        <v>300</v>
      </c>
      <c r="K8443" s="404">
        <v>0.12</v>
      </c>
    </row>
    <row r="8444" spans="1:11" ht="12.75" customHeight="1" x14ac:dyDescent="0.3">
      <c r="A8444" s="400" t="s">
        <v>1038</v>
      </c>
      <c r="B8444" s="401" t="s">
        <v>5073</v>
      </c>
      <c r="C8444" s="400" t="s">
        <v>420</v>
      </c>
      <c r="D8444" s="400" t="s">
        <v>5074</v>
      </c>
      <c r="E8444" s="605" t="s">
        <v>1039</v>
      </c>
      <c r="F8444" s="605"/>
      <c r="G8444" s="402" t="s">
        <v>422</v>
      </c>
      <c r="H8444" s="403">
        <v>4.4999999999999997E-3</v>
      </c>
      <c r="I8444" s="403">
        <v>0</v>
      </c>
      <c r="J8444" s="404">
        <v>11.98</v>
      </c>
      <c r="K8444" s="404">
        <v>5.391E-2</v>
      </c>
    </row>
    <row r="8445" spans="1:11" ht="25.5" customHeight="1" x14ac:dyDescent="0.3">
      <c r="A8445" s="400" t="s">
        <v>1038</v>
      </c>
      <c r="B8445" s="401" t="s">
        <v>4813</v>
      </c>
      <c r="C8445" s="400" t="s">
        <v>420</v>
      </c>
      <c r="D8445" s="400" t="s">
        <v>4814</v>
      </c>
      <c r="E8445" s="605" t="s">
        <v>1039</v>
      </c>
      <c r="F8445" s="605"/>
      <c r="G8445" s="402" t="s">
        <v>422</v>
      </c>
      <c r="H8445" s="403">
        <v>4.4999999999999997E-3</v>
      </c>
      <c r="I8445" s="403">
        <v>0</v>
      </c>
      <c r="J8445" s="404">
        <v>4.8099999999999996</v>
      </c>
      <c r="K8445" s="404">
        <v>2.1645000000000001E-2</v>
      </c>
    </row>
    <row r="8446" spans="1:11" ht="25.5" customHeight="1" x14ac:dyDescent="0.3">
      <c r="A8446" s="400" t="s">
        <v>1038</v>
      </c>
      <c r="B8446" s="401" t="s">
        <v>4643</v>
      </c>
      <c r="C8446" s="400" t="s">
        <v>420</v>
      </c>
      <c r="D8446" s="400" t="s">
        <v>4644</v>
      </c>
      <c r="E8446" s="605" t="s">
        <v>1039</v>
      </c>
      <c r="F8446" s="605"/>
      <c r="G8446" s="402" t="s">
        <v>422</v>
      </c>
      <c r="H8446" s="403">
        <v>1.8E-3</v>
      </c>
      <c r="I8446" s="403">
        <v>0</v>
      </c>
      <c r="J8446" s="404">
        <v>18</v>
      </c>
      <c r="K8446" s="404">
        <v>3.2399999999999998E-2</v>
      </c>
    </row>
    <row r="8447" spans="1:11" ht="15" x14ac:dyDescent="0.3">
      <c r="A8447" s="400" t="s">
        <v>1038</v>
      </c>
      <c r="B8447" s="401" t="s">
        <v>4214</v>
      </c>
      <c r="C8447" s="400" t="s">
        <v>420</v>
      </c>
      <c r="D8447" s="400" t="s">
        <v>4215</v>
      </c>
      <c r="E8447" s="605" t="s">
        <v>2381</v>
      </c>
      <c r="F8447" s="605"/>
      <c r="G8447" s="402" t="s">
        <v>422</v>
      </c>
      <c r="H8447" s="403">
        <v>0.1018</v>
      </c>
      <c r="I8447" s="403">
        <v>0</v>
      </c>
      <c r="J8447" s="404">
        <v>5</v>
      </c>
      <c r="K8447" s="404">
        <v>0.50900000000000001</v>
      </c>
    </row>
    <row r="8448" spans="1:11" ht="14.25" customHeight="1" x14ac:dyDescent="0.3">
      <c r="A8448" s="400" t="s">
        <v>1038</v>
      </c>
      <c r="B8448" s="401" t="s">
        <v>5077</v>
      </c>
      <c r="C8448" s="400" t="s">
        <v>420</v>
      </c>
      <c r="D8448" s="400" t="s">
        <v>5078</v>
      </c>
      <c r="E8448" s="605" t="s">
        <v>1039</v>
      </c>
      <c r="F8448" s="605"/>
      <c r="G8448" s="402" t="s">
        <v>422</v>
      </c>
      <c r="H8448" s="403">
        <v>2.3E-3</v>
      </c>
      <c r="I8448" s="403">
        <v>0</v>
      </c>
      <c r="J8448" s="404">
        <v>17.5</v>
      </c>
      <c r="K8448" s="404">
        <v>4.0250000000000001E-2</v>
      </c>
    </row>
    <row r="8449" spans="1:11" ht="14.25" customHeight="1" x14ac:dyDescent="0.3">
      <c r="A8449" s="400" t="s">
        <v>1038</v>
      </c>
      <c r="B8449" s="401" t="s">
        <v>5031</v>
      </c>
      <c r="C8449" s="400" t="s">
        <v>420</v>
      </c>
      <c r="D8449" s="400" t="s">
        <v>5032</v>
      </c>
      <c r="E8449" s="605" t="s">
        <v>1039</v>
      </c>
      <c r="F8449" s="605"/>
      <c r="G8449" s="402" t="s">
        <v>422</v>
      </c>
      <c r="H8449" s="403">
        <v>4.4999999999999997E-3</v>
      </c>
      <c r="I8449" s="403">
        <v>0</v>
      </c>
      <c r="J8449" s="404">
        <v>26.99</v>
      </c>
      <c r="K8449" s="404">
        <v>0.12145499999999999</v>
      </c>
    </row>
    <row r="8450" spans="1:11" ht="30" customHeight="1" x14ac:dyDescent="0.3">
      <c r="A8450" s="400" t="s">
        <v>1038</v>
      </c>
      <c r="B8450" s="401" t="s">
        <v>5087</v>
      </c>
      <c r="C8450" s="400" t="s">
        <v>420</v>
      </c>
      <c r="D8450" s="400" t="s">
        <v>5088</v>
      </c>
      <c r="E8450" s="605" t="s">
        <v>1039</v>
      </c>
      <c r="F8450" s="605"/>
      <c r="G8450" s="402" t="s">
        <v>422</v>
      </c>
      <c r="H8450" s="403">
        <v>1E-4</v>
      </c>
      <c r="I8450" s="403">
        <v>0</v>
      </c>
      <c r="J8450" s="404">
        <v>269</v>
      </c>
      <c r="K8450" s="404">
        <v>2.69E-2</v>
      </c>
    </row>
    <row r="8451" spans="1:11" ht="15" x14ac:dyDescent="0.3">
      <c r="A8451" s="400" t="s">
        <v>1038</v>
      </c>
      <c r="B8451" s="401" t="s">
        <v>7375</v>
      </c>
      <c r="C8451" s="400" t="s">
        <v>420</v>
      </c>
      <c r="D8451" s="400" t="s">
        <v>7376</v>
      </c>
      <c r="E8451" s="605" t="s">
        <v>1039</v>
      </c>
      <c r="F8451" s="605"/>
      <c r="G8451" s="402" t="s">
        <v>7189</v>
      </c>
      <c r="H8451" s="403">
        <v>2.3E-3</v>
      </c>
      <c r="I8451" s="403">
        <v>0</v>
      </c>
      <c r="J8451" s="404">
        <v>10.87</v>
      </c>
      <c r="K8451" s="404">
        <v>2.5000999999999999E-2</v>
      </c>
    </row>
    <row r="8452" spans="1:11" ht="12.75" customHeight="1" x14ac:dyDescent="0.3">
      <c r="A8452" s="400" t="s">
        <v>1038</v>
      </c>
      <c r="B8452" s="401" t="s">
        <v>7187</v>
      </c>
      <c r="C8452" s="400" t="s">
        <v>420</v>
      </c>
      <c r="D8452" s="400" t="s">
        <v>7188</v>
      </c>
      <c r="E8452" s="605" t="s">
        <v>1039</v>
      </c>
      <c r="F8452" s="605"/>
      <c r="G8452" s="402" t="s">
        <v>7189</v>
      </c>
      <c r="H8452" s="403">
        <v>8.0000000000000004E-4</v>
      </c>
      <c r="I8452" s="403">
        <v>0</v>
      </c>
      <c r="J8452" s="404">
        <v>73.930000000000007</v>
      </c>
      <c r="K8452" s="404">
        <v>5.9144000000000002E-2</v>
      </c>
    </row>
    <row r="8453" spans="1:11" ht="12.75" customHeight="1" x14ac:dyDescent="0.3">
      <c r="A8453" s="400" t="s">
        <v>1038</v>
      </c>
      <c r="B8453" s="401" t="s">
        <v>7629</v>
      </c>
      <c r="C8453" s="400" t="s">
        <v>420</v>
      </c>
      <c r="D8453" s="400" t="s">
        <v>7630</v>
      </c>
      <c r="E8453" s="605" t="s">
        <v>1039</v>
      </c>
      <c r="F8453" s="605"/>
      <c r="G8453" s="402" t="s">
        <v>422</v>
      </c>
      <c r="H8453" s="403">
        <v>2.0000000000000001E-4</v>
      </c>
      <c r="I8453" s="403">
        <v>0</v>
      </c>
      <c r="J8453" s="404">
        <v>20.11</v>
      </c>
      <c r="K8453" s="404">
        <v>4.0220000000000004E-3</v>
      </c>
    </row>
    <row r="8454" spans="1:11" ht="25.5" customHeight="1" x14ac:dyDescent="0.3">
      <c r="A8454" s="400" t="s">
        <v>1038</v>
      </c>
      <c r="B8454" s="401" t="s">
        <v>7555</v>
      </c>
      <c r="C8454" s="400" t="s">
        <v>420</v>
      </c>
      <c r="D8454" s="400" t="s">
        <v>7556</v>
      </c>
      <c r="E8454" s="605" t="s">
        <v>1039</v>
      </c>
      <c r="F8454" s="605"/>
      <c r="G8454" s="402" t="s">
        <v>422</v>
      </c>
      <c r="H8454" s="403">
        <v>5.9999999999999995E-4</v>
      </c>
      <c r="I8454" s="403">
        <v>0</v>
      </c>
      <c r="J8454" s="404">
        <v>13.5</v>
      </c>
      <c r="K8454" s="404">
        <v>8.0999999999999996E-3</v>
      </c>
    </row>
    <row r="8455" spans="1:11" ht="25.5" customHeight="1" x14ac:dyDescent="0.3">
      <c r="A8455" s="405"/>
      <c r="B8455" s="405"/>
      <c r="C8455" s="405"/>
      <c r="D8455" s="405"/>
      <c r="E8455" s="405" t="s">
        <v>1046</v>
      </c>
      <c r="F8455" s="406">
        <v>0</v>
      </c>
      <c r="G8455" s="405" t="s">
        <v>1047</v>
      </c>
      <c r="H8455" s="406">
        <v>0</v>
      </c>
      <c r="I8455" s="405" t="s">
        <v>1048</v>
      </c>
      <c r="J8455" s="406">
        <v>0</v>
      </c>
      <c r="K8455"/>
    </row>
    <row r="8456" spans="1:11" ht="45" customHeight="1" thickBot="1" x14ac:dyDescent="0.35">
      <c r="A8456" s="405"/>
      <c r="B8456" s="405"/>
      <c r="C8456" s="405"/>
      <c r="D8456" s="405"/>
      <c r="E8456" s="405" t="s">
        <v>1049</v>
      </c>
      <c r="F8456" s="406">
        <v>0</v>
      </c>
      <c r="G8456" s="405"/>
      <c r="H8456" s="606"/>
      <c r="I8456" s="606" t="s">
        <v>1050</v>
      </c>
      <c r="J8456" s="406">
        <v>4.03</v>
      </c>
      <c r="K8456"/>
    </row>
    <row r="8457" spans="1:11" ht="14.25" customHeight="1" thickTop="1" x14ac:dyDescent="0.3">
      <c r="A8457" s="407"/>
      <c r="B8457" s="407"/>
      <c r="C8457" s="407"/>
      <c r="D8457" s="407"/>
      <c r="E8457" s="407"/>
      <c r="F8457" s="407"/>
      <c r="G8457" s="407"/>
      <c r="H8457" s="407"/>
      <c r="I8457" s="407"/>
      <c r="J8457" s="407"/>
      <c r="K8457"/>
    </row>
    <row r="8458" spans="1:11" ht="14.25" customHeight="1" x14ac:dyDescent="0.3">
      <c r="A8458" s="382"/>
      <c r="B8458" s="312" t="s">
        <v>413</v>
      </c>
      <c r="C8458" s="382" t="s">
        <v>414</v>
      </c>
      <c r="D8458" s="382" t="s">
        <v>415</v>
      </c>
      <c r="E8458" s="586" t="s">
        <v>1029</v>
      </c>
      <c r="F8458" s="586"/>
      <c r="G8458" s="383" t="s">
        <v>416</v>
      </c>
      <c r="H8458" s="312" t="s">
        <v>1030</v>
      </c>
      <c r="I8458" s="312" t="s">
        <v>3016</v>
      </c>
      <c r="J8458" s="312" t="s">
        <v>1031</v>
      </c>
      <c r="K8458" s="312" t="s">
        <v>1032</v>
      </c>
    </row>
    <row r="8459" spans="1:11" ht="25.5" customHeight="1" x14ac:dyDescent="0.3">
      <c r="A8459" s="313" t="s">
        <v>1033</v>
      </c>
      <c r="B8459" s="315" t="s">
        <v>1522</v>
      </c>
      <c r="C8459" s="313" t="s">
        <v>420</v>
      </c>
      <c r="D8459" s="313" t="s">
        <v>1523</v>
      </c>
      <c r="E8459" s="603" t="s">
        <v>1069</v>
      </c>
      <c r="F8459" s="603"/>
      <c r="G8459" s="314" t="s">
        <v>1070</v>
      </c>
      <c r="H8459" s="399">
        <v>1</v>
      </c>
      <c r="I8459" s="316"/>
      <c r="J8459" s="316">
        <v>3.78</v>
      </c>
      <c r="K8459" s="316">
        <v>3.78</v>
      </c>
    </row>
    <row r="8460" spans="1:11" ht="15" x14ac:dyDescent="0.3">
      <c r="A8460" s="400" t="s">
        <v>1038</v>
      </c>
      <c r="B8460" s="401" t="s">
        <v>798</v>
      </c>
      <c r="C8460" s="400" t="s">
        <v>420</v>
      </c>
      <c r="D8460" s="400" t="s">
        <v>4131</v>
      </c>
      <c r="E8460" s="605" t="s">
        <v>1039</v>
      </c>
      <c r="F8460" s="605"/>
      <c r="G8460" s="402" t="s">
        <v>422</v>
      </c>
      <c r="H8460" s="403">
        <v>0.1018</v>
      </c>
      <c r="I8460" s="403">
        <v>0</v>
      </c>
      <c r="J8460" s="404">
        <v>14</v>
      </c>
      <c r="K8460" s="404">
        <v>1.4252</v>
      </c>
    </row>
    <row r="8461" spans="1:11" ht="12.75" customHeight="1" x14ac:dyDescent="0.3">
      <c r="A8461" s="400" t="s">
        <v>1038</v>
      </c>
      <c r="B8461" s="401" t="s">
        <v>4303</v>
      </c>
      <c r="C8461" s="400" t="s">
        <v>420</v>
      </c>
      <c r="D8461" s="400" t="s">
        <v>4304</v>
      </c>
      <c r="E8461" s="605" t="s">
        <v>1039</v>
      </c>
      <c r="F8461" s="605"/>
      <c r="G8461" s="402" t="s">
        <v>422</v>
      </c>
      <c r="H8461" s="403">
        <v>1.5E-3</v>
      </c>
      <c r="I8461" s="403">
        <v>0</v>
      </c>
      <c r="J8461" s="404">
        <v>193.04</v>
      </c>
      <c r="K8461" s="404">
        <v>0.28955999999999998</v>
      </c>
    </row>
    <row r="8462" spans="1:11" ht="12.75" customHeight="1" x14ac:dyDescent="0.3">
      <c r="A8462" s="400" t="s">
        <v>1038</v>
      </c>
      <c r="B8462" s="401" t="s">
        <v>4944</v>
      </c>
      <c r="C8462" s="400" t="s">
        <v>420</v>
      </c>
      <c r="D8462" s="400" t="s">
        <v>4945</v>
      </c>
      <c r="E8462" s="605" t="s">
        <v>1039</v>
      </c>
      <c r="F8462" s="605"/>
      <c r="G8462" s="402" t="s">
        <v>4946</v>
      </c>
      <c r="H8462" s="403">
        <v>8.0000000000000004E-4</v>
      </c>
      <c r="I8462" s="403">
        <v>0</v>
      </c>
      <c r="J8462" s="404">
        <v>6</v>
      </c>
      <c r="K8462" s="404">
        <v>4.7999999999999996E-3</v>
      </c>
    </row>
    <row r="8463" spans="1:11" ht="25.5" customHeight="1" x14ac:dyDescent="0.3">
      <c r="A8463" s="400" t="s">
        <v>1038</v>
      </c>
      <c r="B8463" s="401" t="s">
        <v>4280</v>
      </c>
      <c r="C8463" s="400" t="s">
        <v>420</v>
      </c>
      <c r="D8463" s="400" t="s">
        <v>4281</v>
      </c>
      <c r="E8463" s="605" t="s">
        <v>1039</v>
      </c>
      <c r="F8463" s="605"/>
      <c r="G8463" s="402" t="s">
        <v>422</v>
      </c>
      <c r="H8463" s="403">
        <v>6.54E-2</v>
      </c>
      <c r="I8463" s="403">
        <v>0</v>
      </c>
      <c r="J8463" s="404">
        <v>4.5</v>
      </c>
      <c r="K8463" s="404">
        <v>0.29430000000000001</v>
      </c>
    </row>
    <row r="8464" spans="1:11" ht="25.5" customHeight="1" x14ac:dyDescent="0.3">
      <c r="A8464" s="400" t="s">
        <v>1038</v>
      </c>
      <c r="B8464" s="401" t="s">
        <v>4678</v>
      </c>
      <c r="C8464" s="400" t="s">
        <v>420</v>
      </c>
      <c r="D8464" s="400" t="s">
        <v>4679</v>
      </c>
      <c r="E8464" s="605" t="s">
        <v>2381</v>
      </c>
      <c r="F8464" s="605"/>
      <c r="G8464" s="402" t="s">
        <v>422</v>
      </c>
      <c r="H8464" s="403">
        <v>4.4999999999999997E-3</v>
      </c>
      <c r="I8464" s="403">
        <v>0</v>
      </c>
      <c r="J8464" s="404">
        <v>12.54</v>
      </c>
      <c r="K8464" s="404">
        <v>5.6430000000000001E-2</v>
      </c>
    </row>
    <row r="8465" spans="1:11" ht="30" customHeight="1" x14ac:dyDescent="0.3">
      <c r="A8465" s="400" t="s">
        <v>1038</v>
      </c>
      <c r="B8465" s="401" t="s">
        <v>4176</v>
      </c>
      <c r="C8465" s="400" t="s">
        <v>420</v>
      </c>
      <c r="D8465" s="400" t="s">
        <v>4177</v>
      </c>
      <c r="E8465" s="605" t="s">
        <v>1039</v>
      </c>
      <c r="F8465" s="605"/>
      <c r="G8465" s="402" t="s">
        <v>422</v>
      </c>
      <c r="H8465" s="403">
        <v>4.4999999999999997E-3</v>
      </c>
      <c r="I8465" s="403">
        <v>0</v>
      </c>
      <c r="J8465" s="404">
        <v>205</v>
      </c>
      <c r="K8465" s="404">
        <v>0.92249999999999999</v>
      </c>
    </row>
    <row r="8466" spans="1:11" ht="30" customHeight="1" x14ac:dyDescent="0.3">
      <c r="A8466" s="400" t="s">
        <v>1038</v>
      </c>
      <c r="B8466" s="401" t="s">
        <v>4501</v>
      </c>
      <c r="C8466" s="400" t="s">
        <v>420</v>
      </c>
      <c r="D8466" s="400" t="s">
        <v>4502</v>
      </c>
      <c r="E8466" s="605" t="s">
        <v>2381</v>
      </c>
      <c r="F8466" s="605"/>
      <c r="G8466" s="402" t="s">
        <v>1324</v>
      </c>
      <c r="H8466" s="403">
        <v>4.0000000000000002E-4</v>
      </c>
      <c r="I8466" s="403">
        <v>0</v>
      </c>
      <c r="J8466" s="404">
        <v>300</v>
      </c>
      <c r="K8466" s="404">
        <v>0.12</v>
      </c>
    </row>
    <row r="8467" spans="1:11" ht="15" x14ac:dyDescent="0.3">
      <c r="A8467" s="400" t="s">
        <v>1038</v>
      </c>
      <c r="B8467" s="401" t="s">
        <v>5114</v>
      </c>
      <c r="C8467" s="400" t="s">
        <v>420</v>
      </c>
      <c r="D8467" s="400" t="s">
        <v>5115</v>
      </c>
      <c r="E8467" s="605" t="s">
        <v>1039</v>
      </c>
      <c r="F8467" s="605"/>
      <c r="G8467" s="402" t="s">
        <v>422</v>
      </c>
      <c r="H8467" s="403">
        <v>2.0000000000000001E-4</v>
      </c>
      <c r="I8467" s="403">
        <v>0</v>
      </c>
      <c r="J8467" s="404">
        <v>19.95</v>
      </c>
      <c r="K8467" s="404">
        <v>3.9899999999999996E-3</v>
      </c>
    </row>
    <row r="8468" spans="1:11" ht="12.75" customHeight="1" x14ac:dyDescent="0.3">
      <c r="A8468" s="400" t="s">
        <v>1038</v>
      </c>
      <c r="B8468" s="401" t="s">
        <v>5112</v>
      </c>
      <c r="C8468" s="400" t="s">
        <v>420</v>
      </c>
      <c r="D8468" s="400" t="s">
        <v>5113</v>
      </c>
      <c r="E8468" s="605" t="s">
        <v>1039</v>
      </c>
      <c r="F8468" s="605"/>
      <c r="G8468" s="402" t="s">
        <v>422</v>
      </c>
      <c r="H8468" s="403">
        <v>2.0000000000000001E-4</v>
      </c>
      <c r="I8468" s="403">
        <v>0</v>
      </c>
      <c r="J8468" s="404">
        <v>39</v>
      </c>
      <c r="K8468" s="404">
        <v>7.7999999999999996E-3</v>
      </c>
    </row>
    <row r="8469" spans="1:11" ht="25.5" customHeight="1" x14ac:dyDescent="0.3">
      <c r="A8469" s="400" t="s">
        <v>1038</v>
      </c>
      <c r="B8469" s="401" t="s">
        <v>4813</v>
      </c>
      <c r="C8469" s="400" t="s">
        <v>420</v>
      </c>
      <c r="D8469" s="400" t="s">
        <v>4814</v>
      </c>
      <c r="E8469" s="605" t="s">
        <v>1039</v>
      </c>
      <c r="F8469" s="605"/>
      <c r="G8469" s="402" t="s">
        <v>422</v>
      </c>
      <c r="H8469" s="403">
        <v>4.4999999999999997E-3</v>
      </c>
      <c r="I8469" s="403">
        <v>0</v>
      </c>
      <c r="J8469" s="404">
        <v>4.8099999999999996</v>
      </c>
      <c r="K8469" s="404">
        <v>2.1645000000000001E-2</v>
      </c>
    </row>
    <row r="8470" spans="1:11" ht="25.5" customHeight="1" x14ac:dyDescent="0.3">
      <c r="A8470" s="400" t="s">
        <v>1038</v>
      </c>
      <c r="B8470" s="401" t="s">
        <v>4643</v>
      </c>
      <c r="C8470" s="400" t="s">
        <v>420</v>
      </c>
      <c r="D8470" s="400" t="s">
        <v>4644</v>
      </c>
      <c r="E8470" s="605" t="s">
        <v>1039</v>
      </c>
      <c r="F8470" s="605"/>
      <c r="G8470" s="402" t="s">
        <v>422</v>
      </c>
      <c r="H8470" s="403">
        <v>1.8E-3</v>
      </c>
      <c r="I8470" s="403">
        <v>0</v>
      </c>
      <c r="J8470" s="404">
        <v>18</v>
      </c>
      <c r="K8470" s="404">
        <v>3.2399999999999998E-2</v>
      </c>
    </row>
    <row r="8471" spans="1:11" ht="14.25" customHeight="1" x14ac:dyDescent="0.3">
      <c r="A8471" s="400" t="s">
        <v>1038</v>
      </c>
      <c r="B8471" s="401" t="s">
        <v>4214</v>
      </c>
      <c r="C8471" s="400" t="s">
        <v>420</v>
      </c>
      <c r="D8471" s="400" t="s">
        <v>4215</v>
      </c>
      <c r="E8471" s="605" t="s">
        <v>2381</v>
      </c>
      <c r="F8471" s="605"/>
      <c r="G8471" s="402" t="s">
        <v>422</v>
      </c>
      <c r="H8471" s="403">
        <v>0.1018</v>
      </c>
      <c r="I8471" s="403">
        <v>0</v>
      </c>
      <c r="J8471" s="404">
        <v>5</v>
      </c>
      <c r="K8471" s="404">
        <v>0.50900000000000001</v>
      </c>
    </row>
    <row r="8472" spans="1:11" ht="45" customHeight="1" x14ac:dyDescent="0.3">
      <c r="A8472" s="400" t="s">
        <v>1038</v>
      </c>
      <c r="B8472" s="401" t="s">
        <v>7375</v>
      </c>
      <c r="C8472" s="400" t="s">
        <v>420</v>
      </c>
      <c r="D8472" s="400" t="s">
        <v>7376</v>
      </c>
      <c r="E8472" s="605" t="s">
        <v>1039</v>
      </c>
      <c r="F8472" s="605"/>
      <c r="G8472" s="402" t="s">
        <v>7189</v>
      </c>
      <c r="H8472" s="403">
        <v>2.3E-3</v>
      </c>
      <c r="I8472" s="403">
        <v>0</v>
      </c>
      <c r="J8472" s="404">
        <v>10.87</v>
      </c>
      <c r="K8472" s="404">
        <v>2.5000999999999999E-2</v>
      </c>
    </row>
    <row r="8473" spans="1:11" ht="14.25" customHeight="1" x14ac:dyDescent="0.3">
      <c r="A8473" s="400" t="s">
        <v>1038</v>
      </c>
      <c r="B8473" s="401" t="s">
        <v>7187</v>
      </c>
      <c r="C8473" s="400" t="s">
        <v>420</v>
      </c>
      <c r="D8473" s="400" t="s">
        <v>7188</v>
      </c>
      <c r="E8473" s="605" t="s">
        <v>1039</v>
      </c>
      <c r="F8473" s="605"/>
      <c r="G8473" s="402" t="s">
        <v>7189</v>
      </c>
      <c r="H8473" s="403">
        <v>8.0000000000000004E-4</v>
      </c>
      <c r="I8473" s="403">
        <v>0</v>
      </c>
      <c r="J8473" s="404">
        <v>73.930000000000007</v>
      </c>
      <c r="K8473" s="404">
        <v>5.9144000000000002E-2</v>
      </c>
    </row>
    <row r="8474" spans="1:11" ht="12.75" customHeight="1" x14ac:dyDescent="0.3">
      <c r="A8474" s="400" t="s">
        <v>1038</v>
      </c>
      <c r="B8474" s="401" t="s">
        <v>7629</v>
      </c>
      <c r="C8474" s="400" t="s">
        <v>420</v>
      </c>
      <c r="D8474" s="400" t="s">
        <v>7630</v>
      </c>
      <c r="E8474" s="605" t="s">
        <v>1039</v>
      </c>
      <c r="F8474" s="605"/>
      <c r="G8474" s="402" t="s">
        <v>422</v>
      </c>
      <c r="H8474" s="403">
        <v>2.0000000000000001E-4</v>
      </c>
      <c r="I8474" s="403">
        <v>0</v>
      </c>
      <c r="J8474" s="404">
        <v>20.11</v>
      </c>
      <c r="K8474" s="404">
        <v>4.0220000000000004E-3</v>
      </c>
    </row>
    <row r="8475" spans="1:11" ht="12.75" customHeight="1" x14ac:dyDescent="0.3">
      <c r="A8475" s="400" t="s">
        <v>1038</v>
      </c>
      <c r="B8475" s="401" t="s">
        <v>7555</v>
      </c>
      <c r="C8475" s="400" t="s">
        <v>420</v>
      </c>
      <c r="D8475" s="400" t="s">
        <v>7556</v>
      </c>
      <c r="E8475" s="605" t="s">
        <v>1039</v>
      </c>
      <c r="F8475" s="605"/>
      <c r="G8475" s="402" t="s">
        <v>422</v>
      </c>
      <c r="H8475" s="403">
        <v>5.9999999999999995E-4</v>
      </c>
      <c r="I8475" s="403">
        <v>0</v>
      </c>
      <c r="J8475" s="404">
        <v>13.5</v>
      </c>
      <c r="K8475" s="404">
        <v>8.0999999999999996E-3</v>
      </c>
    </row>
    <row r="8476" spans="1:11" ht="25.5" customHeight="1" x14ac:dyDescent="0.3">
      <c r="A8476" s="405"/>
      <c r="B8476" s="405"/>
      <c r="C8476" s="405"/>
      <c r="D8476" s="405"/>
      <c r="E8476" s="405" t="s">
        <v>1046</v>
      </c>
      <c r="F8476" s="406">
        <v>0</v>
      </c>
      <c r="G8476" s="405" t="s">
        <v>1047</v>
      </c>
      <c r="H8476" s="406">
        <v>0</v>
      </c>
      <c r="I8476" s="405" t="s">
        <v>1048</v>
      </c>
      <c r="J8476" s="406">
        <v>0</v>
      </c>
      <c r="K8476"/>
    </row>
    <row r="8477" spans="1:11" ht="25.5" customHeight="1" thickBot="1" x14ac:dyDescent="0.35">
      <c r="A8477" s="405"/>
      <c r="B8477" s="405"/>
      <c r="C8477" s="405"/>
      <c r="D8477" s="405"/>
      <c r="E8477" s="405" t="s">
        <v>1049</v>
      </c>
      <c r="F8477" s="406">
        <v>0</v>
      </c>
      <c r="G8477" s="405"/>
      <c r="H8477" s="606"/>
      <c r="I8477" s="606" t="s">
        <v>1050</v>
      </c>
      <c r="J8477" s="406">
        <v>3.78</v>
      </c>
      <c r="K8477"/>
    </row>
    <row r="8478" spans="1:11" ht="15.6" thickTop="1" x14ac:dyDescent="0.3">
      <c r="A8478" s="407"/>
      <c r="B8478" s="407"/>
      <c r="C8478" s="407"/>
      <c r="D8478" s="407"/>
      <c r="E8478" s="407"/>
      <c r="F8478" s="407"/>
      <c r="G8478" s="407"/>
      <c r="H8478" s="407"/>
      <c r="I8478" s="407"/>
      <c r="J8478" s="407"/>
      <c r="K8478"/>
    </row>
    <row r="8479" spans="1:11" ht="14.25" customHeight="1" x14ac:dyDescent="0.3">
      <c r="A8479" s="382"/>
      <c r="B8479" s="312" t="s">
        <v>413</v>
      </c>
      <c r="C8479" s="382" t="s">
        <v>414</v>
      </c>
      <c r="D8479" s="382" t="s">
        <v>415</v>
      </c>
      <c r="E8479" s="586" t="s">
        <v>1029</v>
      </c>
      <c r="F8479" s="586"/>
      <c r="G8479" s="383" t="s">
        <v>416</v>
      </c>
      <c r="H8479" s="312" t="s">
        <v>1030</v>
      </c>
      <c r="I8479" s="312" t="s">
        <v>3016</v>
      </c>
      <c r="J8479" s="312" t="s">
        <v>1031</v>
      </c>
      <c r="K8479" s="312" t="s">
        <v>1032</v>
      </c>
    </row>
    <row r="8480" spans="1:11" ht="14.25" customHeight="1" x14ac:dyDescent="0.3">
      <c r="A8480" s="313" t="s">
        <v>1033</v>
      </c>
      <c r="B8480" s="315" t="s">
        <v>1071</v>
      </c>
      <c r="C8480" s="313" t="s">
        <v>420</v>
      </c>
      <c r="D8480" s="313" t="s">
        <v>1072</v>
      </c>
      <c r="E8480" s="603" t="s">
        <v>1069</v>
      </c>
      <c r="F8480" s="603"/>
      <c r="G8480" s="314" t="s">
        <v>1070</v>
      </c>
      <c r="H8480" s="399">
        <v>1</v>
      </c>
      <c r="I8480" s="316"/>
      <c r="J8480" s="316">
        <v>3.95</v>
      </c>
      <c r="K8480" s="316">
        <v>3.95</v>
      </c>
    </row>
    <row r="8481" spans="1:11" ht="30" customHeight="1" x14ac:dyDescent="0.3">
      <c r="A8481" s="400" t="s">
        <v>1038</v>
      </c>
      <c r="B8481" s="401" t="s">
        <v>798</v>
      </c>
      <c r="C8481" s="400" t="s">
        <v>420</v>
      </c>
      <c r="D8481" s="400" t="s">
        <v>4131</v>
      </c>
      <c r="E8481" s="605" t="s">
        <v>1039</v>
      </c>
      <c r="F8481" s="605"/>
      <c r="G8481" s="402" t="s">
        <v>422</v>
      </c>
      <c r="H8481" s="403">
        <v>0.1018</v>
      </c>
      <c r="I8481" s="403">
        <v>0</v>
      </c>
      <c r="J8481" s="404">
        <v>14</v>
      </c>
      <c r="K8481" s="404">
        <v>1.4252</v>
      </c>
    </row>
    <row r="8482" spans="1:11" ht="15" x14ac:dyDescent="0.3">
      <c r="A8482" s="400" t="s">
        <v>1038</v>
      </c>
      <c r="B8482" s="401" t="s">
        <v>4303</v>
      </c>
      <c r="C8482" s="400" t="s">
        <v>420</v>
      </c>
      <c r="D8482" s="400" t="s">
        <v>4304</v>
      </c>
      <c r="E8482" s="605" t="s">
        <v>1039</v>
      </c>
      <c r="F8482" s="605"/>
      <c r="G8482" s="402" t="s">
        <v>422</v>
      </c>
      <c r="H8482" s="403">
        <v>1.5E-3</v>
      </c>
      <c r="I8482" s="403">
        <v>0</v>
      </c>
      <c r="J8482" s="404">
        <v>193.04</v>
      </c>
      <c r="K8482" s="404">
        <v>0.28955999999999998</v>
      </c>
    </row>
    <row r="8483" spans="1:11" ht="12.75" customHeight="1" x14ac:dyDescent="0.3">
      <c r="A8483" s="400" t="s">
        <v>1038</v>
      </c>
      <c r="B8483" s="401" t="s">
        <v>4944</v>
      </c>
      <c r="C8483" s="400" t="s">
        <v>420</v>
      </c>
      <c r="D8483" s="400" t="s">
        <v>4945</v>
      </c>
      <c r="E8483" s="605" t="s">
        <v>1039</v>
      </c>
      <c r="F8483" s="605"/>
      <c r="G8483" s="402" t="s">
        <v>4946</v>
      </c>
      <c r="H8483" s="403">
        <v>8.0000000000000004E-4</v>
      </c>
      <c r="I8483" s="403">
        <v>0</v>
      </c>
      <c r="J8483" s="404">
        <v>6</v>
      </c>
      <c r="K8483" s="404">
        <v>4.7999999999999996E-3</v>
      </c>
    </row>
    <row r="8484" spans="1:11" ht="12.75" customHeight="1" x14ac:dyDescent="0.3">
      <c r="A8484" s="400" t="s">
        <v>1038</v>
      </c>
      <c r="B8484" s="401" t="s">
        <v>4280</v>
      </c>
      <c r="C8484" s="400" t="s">
        <v>420</v>
      </c>
      <c r="D8484" s="400" t="s">
        <v>4281</v>
      </c>
      <c r="E8484" s="605" t="s">
        <v>1039</v>
      </c>
      <c r="F8484" s="605"/>
      <c r="G8484" s="402" t="s">
        <v>422</v>
      </c>
      <c r="H8484" s="403">
        <v>9.4100000000000003E-2</v>
      </c>
      <c r="I8484" s="403">
        <v>0</v>
      </c>
      <c r="J8484" s="404">
        <v>4.5</v>
      </c>
      <c r="K8484" s="404">
        <v>0.42344999999999999</v>
      </c>
    </row>
    <row r="8485" spans="1:11" ht="25.5" customHeight="1" x14ac:dyDescent="0.3">
      <c r="A8485" s="400" t="s">
        <v>1038</v>
      </c>
      <c r="B8485" s="401" t="s">
        <v>5003</v>
      </c>
      <c r="C8485" s="400" t="s">
        <v>420</v>
      </c>
      <c r="D8485" s="400" t="s">
        <v>5004</v>
      </c>
      <c r="E8485" s="605" t="s">
        <v>1039</v>
      </c>
      <c r="F8485" s="605"/>
      <c r="G8485" s="402" t="s">
        <v>422</v>
      </c>
      <c r="H8485" s="403">
        <v>2.9999999999999997E-4</v>
      </c>
      <c r="I8485" s="403">
        <v>0</v>
      </c>
      <c r="J8485" s="404">
        <v>18.579999999999998</v>
      </c>
      <c r="K8485" s="404">
        <v>5.574E-3</v>
      </c>
    </row>
    <row r="8486" spans="1:11" ht="25.5" customHeight="1" x14ac:dyDescent="0.3">
      <c r="A8486" s="400" t="s">
        <v>1038</v>
      </c>
      <c r="B8486" s="401" t="s">
        <v>5015</v>
      </c>
      <c r="C8486" s="400" t="s">
        <v>420</v>
      </c>
      <c r="D8486" s="400" t="s">
        <v>5016</v>
      </c>
      <c r="E8486" s="605" t="s">
        <v>1039</v>
      </c>
      <c r="F8486" s="605"/>
      <c r="G8486" s="402" t="s">
        <v>422</v>
      </c>
      <c r="H8486" s="403">
        <v>1E-4</v>
      </c>
      <c r="I8486" s="403">
        <v>0</v>
      </c>
      <c r="J8486" s="404">
        <v>39.5</v>
      </c>
      <c r="K8486" s="404">
        <v>3.9500000000000004E-3</v>
      </c>
    </row>
    <row r="8487" spans="1:11" ht="15" x14ac:dyDescent="0.3">
      <c r="A8487" s="400" t="s">
        <v>1038</v>
      </c>
      <c r="B8487" s="401" t="s">
        <v>4678</v>
      </c>
      <c r="C8487" s="400" t="s">
        <v>420</v>
      </c>
      <c r="D8487" s="400" t="s">
        <v>4679</v>
      </c>
      <c r="E8487" s="605" t="s">
        <v>2381</v>
      </c>
      <c r="F8487" s="605"/>
      <c r="G8487" s="402" t="s">
        <v>422</v>
      </c>
      <c r="H8487" s="403">
        <v>4.4999999999999997E-3</v>
      </c>
      <c r="I8487" s="403">
        <v>0</v>
      </c>
      <c r="J8487" s="404">
        <v>12.54</v>
      </c>
      <c r="K8487" s="404">
        <v>5.6430000000000001E-2</v>
      </c>
    </row>
    <row r="8488" spans="1:11" ht="14.25" customHeight="1" x14ac:dyDescent="0.3">
      <c r="A8488" s="400" t="s">
        <v>1038</v>
      </c>
      <c r="B8488" s="401" t="s">
        <v>4176</v>
      </c>
      <c r="C8488" s="400" t="s">
        <v>420</v>
      </c>
      <c r="D8488" s="400" t="s">
        <v>4177</v>
      </c>
      <c r="E8488" s="605" t="s">
        <v>1039</v>
      </c>
      <c r="F8488" s="605"/>
      <c r="G8488" s="402" t="s">
        <v>422</v>
      </c>
      <c r="H8488" s="403">
        <v>4.4999999999999997E-3</v>
      </c>
      <c r="I8488" s="403">
        <v>0</v>
      </c>
      <c r="J8488" s="404">
        <v>205</v>
      </c>
      <c r="K8488" s="404">
        <v>0.92249999999999999</v>
      </c>
    </row>
    <row r="8489" spans="1:11" ht="14.25" customHeight="1" x14ac:dyDescent="0.3">
      <c r="A8489" s="400" t="s">
        <v>1038</v>
      </c>
      <c r="B8489" s="401" t="s">
        <v>4501</v>
      </c>
      <c r="C8489" s="400" t="s">
        <v>420</v>
      </c>
      <c r="D8489" s="400" t="s">
        <v>4502</v>
      </c>
      <c r="E8489" s="605" t="s">
        <v>2381</v>
      </c>
      <c r="F8489" s="605"/>
      <c r="G8489" s="402" t="s">
        <v>1324</v>
      </c>
      <c r="H8489" s="403">
        <v>4.0000000000000002E-4</v>
      </c>
      <c r="I8489" s="403">
        <v>0</v>
      </c>
      <c r="J8489" s="404">
        <v>300</v>
      </c>
      <c r="K8489" s="404">
        <v>0.12</v>
      </c>
    </row>
    <row r="8490" spans="1:11" ht="17.399999999999999" customHeight="1" x14ac:dyDescent="0.3">
      <c r="A8490" s="400" t="s">
        <v>1038</v>
      </c>
      <c r="B8490" s="401" t="s">
        <v>4813</v>
      </c>
      <c r="C8490" s="400" t="s">
        <v>420</v>
      </c>
      <c r="D8490" s="400" t="s">
        <v>4814</v>
      </c>
      <c r="E8490" s="605" t="s">
        <v>1039</v>
      </c>
      <c r="F8490" s="605"/>
      <c r="G8490" s="402" t="s">
        <v>422</v>
      </c>
      <c r="H8490" s="403">
        <v>4.4999999999999997E-3</v>
      </c>
      <c r="I8490" s="403">
        <v>0</v>
      </c>
      <c r="J8490" s="404">
        <v>4.8099999999999996</v>
      </c>
      <c r="K8490" s="404">
        <v>2.1645000000000001E-2</v>
      </c>
    </row>
    <row r="8491" spans="1:11" ht="15" x14ac:dyDescent="0.3">
      <c r="A8491" s="400" t="s">
        <v>1038</v>
      </c>
      <c r="B8491" s="401" t="s">
        <v>4643</v>
      </c>
      <c r="C8491" s="400" t="s">
        <v>420</v>
      </c>
      <c r="D8491" s="400" t="s">
        <v>4644</v>
      </c>
      <c r="E8491" s="605" t="s">
        <v>1039</v>
      </c>
      <c r="F8491" s="605"/>
      <c r="G8491" s="402" t="s">
        <v>422</v>
      </c>
      <c r="H8491" s="403">
        <v>1.8E-3</v>
      </c>
      <c r="I8491" s="403">
        <v>0</v>
      </c>
      <c r="J8491" s="404">
        <v>18</v>
      </c>
      <c r="K8491" s="404">
        <v>3.2399999999999998E-2</v>
      </c>
    </row>
    <row r="8492" spans="1:11" ht="12.75" customHeight="1" x14ac:dyDescent="0.3">
      <c r="A8492" s="400" t="s">
        <v>1038</v>
      </c>
      <c r="B8492" s="401" t="s">
        <v>4214</v>
      </c>
      <c r="C8492" s="400" t="s">
        <v>420</v>
      </c>
      <c r="D8492" s="400" t="s">
        <v>4215</v>
      </c>
      <c r="E8492" s="605" t="s">
        <v>2381</v>
      </c>
      <c r="F8492" s="605"/>
      <c r="G8492" s="402" t="s">
        <v>422</v>
      </c>
      <c r="H8492" s="403">
        <v>0.1018</v>
      </c>
      <c r="I8492" s="403">
        <v>0</v>
      </c>
      <c r="J8492" s="404">
        <v>5</v>
      </c>
      <c r="K8492" s="404">
        <v>0.50900000000000001</v>
      </c>
    </row>
    <row r="8493" spans="1:11" ht="12.75" customHeight="1" x14ac:dyDescent="0.3">
      <c r="A8493" s="400" t="s">
        <v>1038</v>
      </c>
      <c r="B8493" s="401" t="s">
        <v>4980</v>
      </c>
      <c r="C8493" s="400" t="s">
        <v>420</v>
      </c>
      <c r="D8493" s="400" t="s">
        <v>4981</v>
      </c>
      <c r="E8493" s="605" t="s">
        <v>1039</v>
      </c>
      <c r="F8493" s="605"/>
      <c r="G8493" s="402" t="s">
        <v>422</v>
      </c>
      <c r="H8493" s="403">
        <v>2.0000000000000001E-4</v>
      </c>
      <c r="I8493" s="403">
        <v>0</v>
      </c>
      <c r="J8493" s="404">
        <v>36.9</v>
      </c>
      <c r="K8493" s="404">
        <v>7.3800000000000003E-3</v>
      </c>
    </row>
    <row r="8494" spans="1:11" ht="25.5" customHeight="1" x14ac:dyDescent="0.3">
      <c r="A8494" s="400" t="s">
        <v>1038</v>
      </c>
      <c r="B8494" s="401" t="s">
        <v>7520</v>
      </c>
      <c r="C8494" s="400" t="s">
        <v>420</v>
      </c>
      <c r="D8494" s="400" t="s">
        <v>7521</v>
      </c>
      <c r="E8494" s="605" t="s">
        <v>1039</v>
      </c>
      <c r="F8494" s="605"/>
      <c r="G8494" s="402" t="s">
        <v>422</v>
      </c>
      <c r="H8494" s="403">
        <v>2.0000000000000001E-4</v>
      </c>
      <c r="I8494" s="403">
        <v>0</v>
      </c>
      <c r="J8494" s="404">
        <v>175.45</v>
      </c>
      <c r="K8494" s="404">
        <v>3.5090000000000003E-2</v>
      </c>
    </row>
    <row r="8495" spans="1:11" ht="25.5" customHeight="1" x14ac:dyDescent="0.3">
      <c r="A8495" s="400" t="s">
        <v>1038</v>
      </c>
      <c r="B8495" s="401" t="s">
        <v>7375</v>
      </c>
      <c r="C8495" s="400" t="s">
        <v>420</v>
      </c>
      <c r="D8495" s="400" t="s">
        <v>7376</v>
      </c>
      <c r="E8495" s="605" t="s">
        <v>1039</v>
      </c>
      <c r="F8495" s="605"/>
      <c r="G8495" s="402" t="s">
        <v>7189</v>
      </c>
      <c r="H8495" s="403">
        <v>2.3E-3</v>
      </c>
      <c r="I8495" s="403">
        <v>0</v>
      </c>
      <c r="J8495" s="404">
        <v>10.87</v>
      </c>
      <c r="K8495" s="404">
        <v>2.5000999999999999E-2</v>
      </c>
    </row>
    <row r="8496" spans="1:11" ht="30" customHeight="1" x14ac:dyDescent="0.3">
      <c r="A8496" s="400" t="s">
        <v>1038</v>
      </c>
      <c r="B8496" s="401" t="s">
        <v>7187</v>
      </c>
      <c r="C8496" s="400" t="s">
        <v>420</v>
      </c>
      <c r="D8496" s="400" t="s">
        <v>7188</v>
      </c>
      <c r="E8496" s="605" t="s">
        <v>1039</v>
      </c>
      <c r="F8496" s="605"/>
      <c r="G8496" s="402" t="s">
        <v>7189</v>
      </c>
      <c r="H8496" s="403">
        <v>8.0000000000000004E-4</v>
      </c>
      <c r="I8496" s="403">
        <v>0</v>
      </c>
      <c r="J8496" s="404">
        <v>73.930000000000007</v>
      </c>
      <c r="K8496" s="404">
        <v>5.9144000000000002E-2</v>
      </c>
    </row>
    <row r="8497" spans="1:11" ht="14.25" customHeight="1" x14ac:dyDescent="0.3">
      <c r="A8497" s="400" t="s">
        <v>1038</v>
      </c>
      <c r="B8497" s="401" t="s">
        <v>7629</v>
      </c>
      <c r="C8497" s="400" t="s">
        <v>420</v>
      </c>
      <c r="D8497" s="400" t="s">
        <v>7630</v>
      </c>
      <c r="E8497" s="605" t="s">
        <v>1039</v>
      </c>
      <c r="F8497" s="605"/>
      <c r="G8497" s="402" t="s">
        <v>422</v>
      </c>
      <c r="H8497" s="403">
        <v>2.0000000000000001E-4</v>
      </c>
      <c r="I8497" s="403">
        <v>0</v>
      </c>
      <c r="J8497" s="404">
        <v>20.11</v>
      </c>
      <c r="K8497" s="404">
        <v>4.0220000000000004E-3</v>
      </c>
    </row>
    <row r="8498" spans="1:11" ht="14.25" customHeight="1" x14ac:dyDescent="0.3">
      <c r="A8498" s="400" t="s">
        <v>1038</v>
      </c>
      <c r="B8498" s="401" t="s">
        <v>7555</v>
      </c>
      <c r="C8498" s="400" t="s">
        <v>420</v>
      </c>
      <c r="D8498" s="400" t="s">
        <v>7556</v>
      </c>
      <c r="E8498" s="605" t="s">
        <v>1039</v>
      </c>
      <c r="F8498" s="605"/>
      <c r="G8498" s="402" t="s">
        <v>422</v>
      </c>
      <c r="H8498" s="403">
        <v>5.9999999999999995E-4</v>
      </c>
      <c r="I8498" s="403">
        <v>0</v>
      </c>
      <c r="J8498" s="404">
        <v>13.5</v>
      </c>
      <c r="K8498" s="404">
        <v>8.0999999999999996E-3</v>
      </c>
    </row>
    <row r="8499" spans="1:11" ht="15" x14ac:dyDescent="0.3">
      <c r="A8499" s="405"/>
      <c r="B8499" s="405"/>
      <c r="C8499" s="405"/>
      <c r="D8499" s="405"/>
      <c r="E8499" s="405" t="s">
        <v>1046</v>
      </c>
      <c r="F8499" s="406">
        <v>0</v>
      </c>
      <c r="G8499" s="405" t="s">
        <v>1047</v>
      </c>
      <c r="H8499" s="406">
        <v>0</v>
      </c>
      <c r="I8499" s="405" t="s">
        <v>1048</v>
      </c>
      <c r="J8499" s="406">
        <v>0</v>
      </c>
      <c r="K8499"/>
    </row>
    <row r="8500" spans="1:11" ht="15.6" thickBot="1" x14ac:dyDescent="0.35">
      <c r="A8500" s="405"/>
      <c r="B8500" s="405"/>
      <c r="C8500" s="405"/>
      <c r="D8500" s="405"/>
      <c r="E8500" s="405" t="s">
        <v>1049</v>
      </c>
      <c r="F8500" s="406">
        <v>0</v>
      </c>
      <c r="G8500" s="405"/>
      <c r="H8500" s="606"/>
      <c r="I8500" s="606" t="s">
        <v>1050</v>
      </c>
      <c r="J8500" s="406">
        <v>3.95</v>
      </c>
      <c r="K8500"/>
    </row>
    <row r="8501" spans="1:11" ht="30" customHeight="1" thickTop="1" x14ac:dyDescent="0.3">
      <c r="A8501" s="407"/>
      <c r="B8501" s="407"/>
      <c r="C8501" s="407"/>
      <c r="D8501" s="407"/>
      <c r="E8501" s="407"/>
      <c r="F8501" s="407"/>
      <c r="G8501" s="407"/>
      <c r="H8501" s="407"/>
      <c r="I8501" s="407"/>
      <c r="J8501" s="407"/>
      <c r="K8501"/>
    </row>
    <row r="8502" spans="1:11" ht="30" customHeight="1" x14ac:dyDescent="0.3">
      <c r="A8502" s="382"/>
      <c r="B8502" s="312" t="s">
        <v>413</v>
      </c>
      <c r="C8502" s="382" t="s">
        <v>414</v>
      </c>
      <c r="D8502" s="382" t="s">
        <v>415</v>
      </c>
      <c r="E8502" s="586" t="s">
        <v>1029</v>
      </c>
      <c r="F8502" s="586"/>
      <c r="G8502" s="383" t="s">
        <v>416</v>
      </c>
      <c r="H8502" s="312" t="s">
        <v>1030</v>
      </c>
      <c r="I8502" s="312" t="s">
        <v>3016</v>
      </c>
      <c r="J8502" s="312" t="s">
        <v>1031</v>
      </c>
      <c r="K8502" s="312" t="s">
        <v>1032</v>
      </c>
    </row>
    <row r="8503" spans="1:11" ht="25.5" customHeight="1" x14ac:dyDescent="0.3">
      <c r="A8503" s="313" t="s">
        <v>1033</v>
      </c>
      <c r="B8503" s="315" t="s">
        <v>8182</v>
      </c>
      <c r="C8503" s="313" t="s">
        <v>439</v>
      </c>
      <c r="D8503" s="313" t="s">
        <v>7926</v>
      </c>
      <c r="E8503" s="603" t="s">
        <v>7770</v>
      </c>
      <c r="F8503" s="603"/>
      <c r="G8503" s="314" t="s">
        <v>1109</v>
      </c>
      <c r="H8503" s="399">
        <v>1</v>
      </c>
      <c r="I8503" s="316"/>
      <c r="J8503" s="316">
        <v>0.34</v>
      </c>
      <c r="K8503" s="316">
        <v>0.34</v>
      </c>
    </row>
    <row r="8504" spans="1:11" ht="25.5" customHeight="1" x14ac:dyDescent="0.3">
      <c r="A8504" s="586" t="s">
        <v>3312</v>
      </c>
      <c r="B8504" s="584" t="s">
        <v>413</v>
      </c>
      <c r="C8504" s="586" t="s">
        <v>414</v>
      </c>
      <c r="D8504" s="586" t="s">
        <v>7901</v>
      </c>
      <c r="E8504" s="585" t="s">
        <v>7902</v>
      </c>
      <c r="F8504" s="584"/>
      <c r="G8504" s="585" t="s">
        <v>7903</v>
      </c>
      <c r="H8504" s="584"/>
      <c r="I8504" s="584" t="s">
        <v>7904</v>
      </c>
      <c r="J8504" s="584" t="s">
        <v>7905</v>
      </c>
      <c r="K8504"/>
    </row>
    <row r="8505" spans="1:11" ht="45" customHeight="1" x14ac:dyDescent="0.3">
      <c r="A8505" s="584"/>
      <c r="B8505" s="584"/>
      <c r="C8505" s="584"/>
      <c r="D8505" s="584"/>
      <c r="E8505" s="312" t="s">
        <v>4013</v>
      </c>
      <c r="F8505" s="312" t="s">
        <v>4014</v>
      </c>
      <c r="G8505" s="312" t="s">
        <v>4013</v>
      </c>
      <c r="H8505" s="312" t="s">
        <v>4014</v>
      </c>
      <c r="I8505" s="584"/>
      <c r="J8505" s="584"/>
      <c r="K8505"/>
    </row>
    <row r="8506" spans="1:11" ht="14.25" customHeight="1" x14ac:dyDescent="0.3">
      <c r="A8506" s="581"/>
      <c r="B8506" s="581"/>
      <c r="C8506" s="581"/>
      <c r="D8506" s="581"/>
      <c r="E8506" s="581"/>
      <c r="F8506" s="581" t="s">
        <v>7906</v>
      </c>
      <c r="G8506" s="581"/>
      <c r="H8506" s="581"/>
      <c r="I8506" s="581"/>
      <c r="J8506" s="381">
        <v>0</v>
      </c>
      <c r="K8506"/>
    </row>
    <row r="8507" spans="1:11" ht="14.25" customHeight="1" x14ac:dyDescent="0.3">
      <c r="A8507" s="382" t="s">
        <v>371</v>
      </c>
      <c r="B8507" s="312" t="s">
        <v>413</v>
      </c>
      <c r="C8507" s="382" t="s">
        <v>414</v>
      </c>
      <c r="D8507" s="382" t="s">
        <v>1053</v>
      </c>
      <c r="E8507" s="312"/>
      <c r="F8507" s="584"/>
      <c r="G8507" s="584" t="s">
        <v>7907</v>
      </c>
      <c r="H8507" s="584" t="s">
        <v>7908</v>
      </c>
      <c r="I8507" s="584" t="s">
        <v>7904</v>
      </c>
      <c r="J8507" s="312" t="s">
        <v>7905</v>
      </c>
      <c r="K8507"/>
    </row>
    <row r="8508" spans="1:11" ht="17.399999999999999" customHeight="1" x14ac:dyDescent="0.3">
      <c r="A8508" s="581"/>
      <c r="B8508" s="581"/>
      <c r="C8508" s="581"/>
      <c r="D8508" s="581"/>
      <c r="E8508" s="581"/>
      <c r="F8508" s="581" t="s">
        <v>7910</v>
      </c>
      <c r="G8508" s="581"/>
      <c r="H8508" s="581"/>
      <c r="I8508" s="581"/>
      <c r="J8508" s="381">
        <v>0</v>
      </c>
      <c r="K8508"/>
    </row>
    <row r="8509" spans="1:11" ht="15" x14ac:dyDescent="0.3">
      <c r="A8509" s="581"/>
      <c r="B8509" s="581"/>
      <c r="C8509" s="581"/>
      <c r="D8509" s="581"/>
      <c r="E8509" s="581"/>
      <c r="F8509" s="581" t="s">
        <v>7911</v>
      </c>
      <c r="G8509" s="581"/>
      <c r="H8509" s="581"/>
      <c r="I8509" s="581"/>
      <c r="J8509" s="381">
        <v>0</v>
      </c>
      <c r="K8509"/>
    </row>
    <row r="8510" spans="1:11" ht="12.75" customHeight="1" x14ac:dyDescent="0.3">
      <c r="A8510" s="581"/>
      <c r="B8510" s="581"/>
      <c r="C8510" s="581"/>
      <c r="D8510" s="581"/>
      <c r="E8510" s="581"/>
      <c r="F8510" s="581" t="s">
        <v>7912</v>
      </c>
      <c r="G8510" s="581"/>
      <c r="H8510" s="581"/>
      <c r="I8510" s="581"/>
      <c r="J8510" s="381">
        <v>1</v>
      </c>
      <c r="K8510"/>
    </row>
    <row r="8511" spans="1:11" ht="12.75" customHeight="1" x14ac:dyDescent="0.3">
      <c r="A8511" s="581"/>
      <c r="B8511" s="581"/>
      <c r="C8511" s="581"/>
      <c r="D8511" s="581"/>
      <c r="E8511" s="581"/>
      <c r="F8511" s="581" t="s">
        <v>7913</v>
      </c>
      <c r="G8511" s="581"/>
      <c r="H8511" s="581"/>
      <c r="I8511" s="581"/>
      <c r="J8511" s="381">
        <v>0</v>
      </c>
      <c r="K8511"/>
    </row>
    <row r="8512" spans="1:11" ht="25.5" customHeight="1" x14ac:dyDescent="0.3">
      <c r="A8512" s="382" t="s">
        <v>7914</v>
      </c>
      <c r="B8512" s="312" t="s">
        <v>414</v>
      </c>
      <c r="C8512" s="382" t="s">
        <v>413</v>
      </c>
      <c r="D8512" s="382" t="s">
        <v>1039</v>
      </c>
      <c r="E8512" s="312"/>
      <c r="F8512" s="312"/>
      <c r="G8512" s="312" t="s">
        <v>7907</v>
      </c>
      <c r="H8512" s="312" t="s">
        <v>7908</v>
      </c>
      <c r="I8512" s="312" t="s">
        <v>1552</v>
      </c>
      <c r="J8512" s="312" t="s">
        <v>7905</v>
      </c>
      <c r="K8512"/>
    </row>
    <row r="8513" spans="1:11" ht="25.5" customHeight="1" x14ac:dyDescent="0.3">
      <c r="A8513" s="400" t="s">
        <v>1038</v>
      </c>
      <c r="B8513" s="401" t="s">
        <v>439</v>
      </c>
      <c r="C8513" s="400" t="s">
        <v>8183</v>
      </c>
      <c r="D8513" s="400" t="s">
        <v>7758</v>
      </c>
      <c r="E8513" s="400"/>
      <c r="F8513" s="400" t="s">
        <v>7916</v>
      </c>
      <c r="G8513" s="402" t="s">
        <v>1109</v>
      </c>
      <c r="H8513" s="404">
        <v>0.34</v>
      </c>
      <c r="I8513" s="403">
        <v>1</v>
      </c>
      <c r="J8513" s="404">
        <v>0.34</v>
      </c>
      <c r="K8513"/>
    </row>
    <row r="8514" spans="1:11" ht="17.399999999999999" customHeight="1" x14ac:dyDescent="0.3">
      <c r="A8514" s="581"/>
      <c r="B8514" s="581"/>
      <c r="C8514" s="581"/>
      <c r="D8514" s="581"/>
      <c r="E8514" s="581"/>
      <c r="F8514" s="581" t="s">
        <v>7920</v>
      </c>
      <c r="G8514" s="581"/>
      <c r="H8514" s="581"/>
      <c r="I8514" s="581"/>
      <c r="J8514" s="381">
        <v>0.34</v>
      </c>
      <c r="K8514"/>
    </row>
    <row r="8515" spans="1:11" ht="14.25" customHeight="1" x14ac:dyDescent="0.3">
      <c r="A8515" s="382" t="s">
        <v>7921</v>
      </c>
      <c r="B8515" s="312" t="s">
        <v>414</v>
      </c>
      <c r="C8515" s="382" t="s">
        <v>413</v>
      </c>
      <c r="D8515" s="382" t="s">
        <v>2381</v>
      </c>
      <c r="E8515" s="312"/>
      <c r="F8515" s="312"/>
      <c r="G8515" s="312" t="s">
        <v>7907</v>
      </c>
      <c r="H8515" s="312" t="s">
        <v>7908</v>
      </c>
      <c r="I8515" s="312" t="s">
        <v>1552</v>
      </c>
      <c r="J8515" s="312" t="s">
        <v>7905</v>
      </c>
      <c r="K8515"/>
    </row>
    <row r="8516" spans="1:11" ht="14.25" customHeight="1" x14ac:dyDescent="0.3">
      <c r="A8516" s="581"/>
      <c r="B8516" s="581"/>
      <c r="C8516" s="581"/>
      <c r="D8516" s="581"/>
      <c r="E8516" s="581"/>
      <c r="F8516" s="581" t="s">
        <v>7929</v>
      </c>
      <c r="G8516" s="581"/>
      <c r="H8516" s="581"/>
      <c r="I8516" s="581"/>
      <c r="J8516" s="381">
        <v>0</v>
      </c>
      <c r="K8516"/>
    </row>
    <row r="8517" spans="1:11" ht="30" customHeight="1" x14ac:dyDescent="0.3">
      <c r="A8517" s="382" t="s">
        <v>6</v>
      </c>
      <c r="B8517" s="312" t="s">
        <v>414</v>
      </c>
      <c r="C8517" s="382" t="s">
        <v>413</v>
      </c>
      <c r="D8517" s="382" t="s">
        <v>7930</v>
      </c>
      <c r="E8517" s="312" t="s">
        <v>7931</v>
      </c>
      <c r="F8517" s="312" t="s">
        <v>7932</v>
      </c>
      <c r="G8517" s="312" t="s">
        <v>7907</v>
      </c>
      <c r="H8517" s="312" t="s">
        <v>7908</v>
      </c>
      <c r="I8517" s="312" t="s">
        <v>1552</v>
      </c>
      <c r="J8517" s="312" t="s">
        <v>7905</v>
      </c>
      <c r="K8517"/>
    </row>
    <row r="8518" spans="1:11" ht="15" x14ac:dyDescent="0.3">
      <c r="A8518" s="581"/>
      <c r="B8518" s="581"/>
      <c r="C8518" s="581"/>
      <c r="D8518" s="581"/>
      <c r="E8518" s="581"/>
      <c r="F8518" s="581" t="s">
        <v>7933</v>
      </c>
      <c r="G8518" s="581"/>
      <c r="H8518" s="581"/>
      <c r="I8518" s="581"/>
      <c r="J8518" s="381">
        <v>0</v>
      </c>
      <c r="K8518"/>
    </row>
    <row r="8519" spans="1:11" ht="25.5" customHeight="1" x14ac:dyDescent="0.3">
      <c r="A8519" s="405"/>
      <c r="B8519" s="405"/>
      <c r="C8519" s="405"/>
      <c r="D8519" s="405"/>
      <c r="E8519" s="405" t="s">
        <v>1046</v>
      </c>
      <c r="F8519" s="406">
        <v>0</v>
      </c>
      <c r="G8519" s="405" t="s">
        <v>1047</v>
      </c>
      <c r="H8519" s="406">
        <v>0</v>
      </c>
      <c r="I8519" s="405" t="s">
        <v>1048</v>
      </c>
      <c r="J8519" s="406">
        <v>0</v>
      </c>
      <c r="K8519"/>
    </row>
    <row r="8520" spans="1:11" ht="25.5" customHeight="1" thickBot="1" x14ac:dyDescent="0.35">
      <c r="A8520" s="405"/>
      <c r="B8520" s="405"/>
      <c r="C8520" s="405"/>
      <c r="D8520" s="405"/>
      <c r="E8520" s="405" t="s">
        <v>1049</v>
      </c>
      <c r="F8520" s="406">
        <v>0</v>
      </c>
      <c r="G8520" s="405"/>
      <c r="H8520" s="606"/>
      <c r="I8520" s="606" t="s">
        <v>1050</v>
      </c>
      <c r="J8520" s="406">
        <v>0.34</v>
      </c>
      <c r="K8520"/>
    </row>
    <row r="8521" spans="1:11" ht="25.5" customHeight="1" thickTop="1" x14ac:dyDescent="0.3">
      <c r="A8521" s="407"/>
      <c r="B8521" s="407"/>
      <c r="C8521" s="407"/>
      <c r="D8521" s="407"/>
      <c r="E8521" s="407"/>
      <c r="F8521" s="407"/>
      <c r="G8521" s="407"/>
      <c r="H8521" s="407"/>
      <c r="I8521" s="407"/>
      <c r="J8521" s="407"/>
      <c r="K8521"/>
    </row>
    <row r="8522" spans="1:11" ht="25.5" customHeight="1" x14ac:dyDescent="0.3">
      <c r="A8522" s="382"/>
      <c r="B8522" s="312" t="s">
        <v>413</v>
      </c>
      <c r="C8522" s="382" t="s">
        <v>414</v>
      </c>
      <c r="D8522" s="382" t="s">
        <v>415</v>
      </c>
      <c r="E8522" s="586" t="s">
        <v>1029</v>
      </c>
      <c r="F8522" s="586"/>
      <c r="G8522" s="383" t="s">
        <v>416</v>
      </c>
      <c r="H8522" s="312" t="s">
        <v>1030</v>
      </c>
      <c r="I8522" s="312" t="s">
        <v>3016</v>
      </c>
      <c r="J8522" s="312" t="s">
        <v>1031</v>
      </c>
      <c r="K8522" s="312" t="s">
        <v>1032</v>
      </c>
    </row>
    <row r="8523" spans="1:11" ht="30" customHeight="1" x14ac:dyDescent="0.3">
      <c r="A8523" s="313" t="s">
        <v>1033</v>
      </c>
      <c r="B8523" s="315" t="s">
        <v>4866</v>
      </c>
      <c r="C8523" s="313" t="s">
        <v>439</v>
      </c>
      <c r="D8523" s="313" t="s">
        <v>7939</v>
      </c>
      <c r="E8523" s="603" t="s">
        <v>7770</v>
      </c>
      <c r="F8523" s="603"/>
      <c r="G8523" s="314" t="s">
        <v>1109</v>
      </c>
      <c r="H8523" s="399">
        <v>1</v>
      </c>
      <c r="I8523" s="316"/>
      <c r="J8523" s="316">
        <v>0.96</v>
      </c>
      <c r="K8523" s="316">
        <v>0.96</v>
      </c>
    </row>
    <row r="8524" spans="1:11" ht="15" x14ac:dyDescent="0.3">
      <c r="A8524" s="586" t="s">
        <v>3312</v>
      </c>
      <c r="B8524" s="584" t="s">
        <v>413</v>
      </c>
      <c r="C8524" s="586" t="s">
        <v>414</v>
      </c>
      <c r="D8524" s="586" t="s">
        <v>7901</v>
      </c>
      <c r="E8524" s="585" t="s">
        <v>7902</v>
      </c>
      <c r="F8524" s="584"/>
      <c r="G8524" s="585" t="s">
        <v>7903</v>
      </c>
      <c r="H8524" s="584"/>
      <c r="I8524" s="584" t="s">
        <v>7904</v>
      </c>
      <c r="J8524" s="584" t="s">
        <v>7905</v>
      </c>
      <c r="K8524"/>
    </row>
    <row r="8525" spans="1:11" ht="14.25" customHeight="1" x14ac:dyDescent="0.3">
      <c r="A8525" s="584"/>
      <c r="B8525" s="584"/>
      <c r="C8525" s="584"/>
      <c r="D8525" s="584"/>
      <c r="E8525" s="312" t="s">
        <v>4013</v>
      </c>
      <c r="F8525" s="312" t="s">
        <v>4014</v>
      </c>
      <c r="G8525" s="312" t="s">
        <v>4013</v>
      </c>
      <c r="H8525" s="312" t="s">
        <v>4014</v>
      </c>
      <c r="I8525" s="584"/>
      <c r="J8525" s="584"/>
      <c r="K8525"/>
    </row>
    <row r="8526" spans="1:11" ht="14.25" customHeight="1" x14ac:dyDescent="0.3">
      <c r="A8526" s="581"/>
      <c r="B8526" s="581"/>
      <c r="C8526" s="581"/>
      <c r="D8526" s="581"/>
      <c r="E8526" s="581"/>
      <c r="F8526" s="581" t="s">
        <v>7906</v>
      </c>
      <c r="G8526" s="581"/>
      <c r="H8526" s="581"/>
      <c r="I8526" s="581"/>
      <c r="J8526" s="381">
        <v>0</v>
      </c>
      <c r="K8526"/>
    </row>
    <row r="8527" spans="1:11" ht="15" x14ac:dyDescent="0.3">
      <c r="A8527" s="382" t="s">
        <v>371</v>
      </c>
      <c r="B8527" s="312" t="s">
        <v>413</v>
      </c>
      <c r="C8527" s="382" t="s">
        <v>414</v>
      </c>
      <c r="D8527" s="382" t="s">
        <v>1053</v>
      </c>
      <c r="E8527" s="312"/>
      <c r="F8527" s="584"/>
      <c r="G8527" s="584" t="s">
        <v>7907</v>
      </c>
      <c r="H8527" s="584" t="s">
        <v>7908</v>
      </c>
      <c r="I8527" s="584" t="s">
        <v>7904</v>
      </c>
      <c r="J8527" s="312" t="s">
        <v>7905</v>
      </c>
      <c r="K8527"/>
    </row>
    <row r="8528" spans="1:11" ht="15" x14ac:dyDescent="0.3">
      <c r="A8528" s="581"/>
      <c r="B8528" s="581"/>
      <c r="C8528" s="581"/>
      <c r="D8528" s="581"/>
      <c r="E8528" s="581"/>
      <c r="F8528" s="581" t="s">
        <v>7910</v>
      </c>
      <c r="G8528" s="581"/>
      <c r="H8528" s="581"/>
      <c r="I8528" s="581"/>
      <c r="J8528" s="381">
        <v>0</v>
      </c>
      <c r="K8528"/>
    </row>
    <row r="8529" spans="1:11" ht="45" customHeight="1" x14ac:dyDescent="0.3">
      <c r="A8529" s="581"/>
      <c r="B8529" s="581"/>
      <c r="C8529" s="581"/>
      <c r="D8529" s="581"/>
      <c r="E8529" s="581"/>
      <c r="F8529" s="581" t="s">
        <v>7911</v>
      </c>
      <c r="G8529" s="581"/>
      <c r="H8529" s="581"/>
      <c r="I8529" s="581"/>
      <c r="J8529" s="381">
        <v>0</v>
      </c>
      <c r="K8529"/>
    </row>
    <row r="8530" spans="1:11" ht="15" x14ac:dyDescent="0.3">
      <c r="A8530" s="581"/>
      <c r="B8530" s="581"/>
      <c r="C8530" s="581"/>
      <c r="D8530" s="581"/>
      <c r="E8530" s="581"/>
      <c r="F8530" s="581" t="s">
        <v>7912</v>
      </c>
      <c r="G8530" s="581"/>
      <c r="H8530" s="581"/>
      <c r="I8530" s="581"/>
      <c r="J8530" s="381">
        <v>1</v>
      </c>
      <c r="K8530"/>
    </row>
    <row r="8531" spans="1:11" ht="15" x14ac:dyDescent="0.3">
      <c r="A8531" s="581"/>
      <c r="B8531" s="581"/>
      <c r="C8531" s="581"/>
      <c r="D8531" s="581"/>
      <c r="E8531" s="581"/>
      <c r="F8531" s="581" t="s">
        <v>7913</v>
      </c>
      <c r="G8531" s="581"/>
      <c r="H8531" s="581"/>
      <c r="I8531" s="581"/>
      <c r="J8531" s="381">
        <v>0</v>
      </c>
      <c r="K8531"/>
    </row>
    <row r="8532" spans="1:11" ht="17.399999999999999" customHeight="1" x14ac:dyDescent="0.3">
      <c r="A8532" s="382" t="s">
        <v>7914</v>
      </c>
      <c r="B8532" s="312" t="s">
        <v>414</v>
      </c>
      <c r="C8532" s="382" t="s">
        <v>413</v>
      </c>
      <c r="D8532" s="382" t="s">
        <v>1039</v>
      </c>
      <c r="E8532" s="312"/>
      <c r="F8532" s="312"/>
      <c r="G8532" s="312" t="s">
        <v>7907</v>
      </c>
      <c r="H8532" s="312" t="s">
        <v>7908</v>
      </c>
      <c r="I8532" s="312" t="s">
        <v>1552</v>
      </c>
      <c r="J8532" s="312" t="s">
        <v>7905</v>
      </c>
      <c r="K8532"/>
    </row>
    <row r="8533" spans="1:11" ht="39.6" x14ac:dyDescent="0.3">
      <c r="A8533" s="400" t="s">
        <v>1038</v>
      </c>
      <c r="B8533" s="401" t="s">
        <v>439</v>
      </c>
      <c r="C8533" s="400" t="s">
        <v>8184</v>
      </c>
      <c r="D8533" s="400" t="s">
        <v>7715</v>
      </c>
      <c r="E8533" s="400"/>
      <c r="F8533" s="400" t="s">
        <v>7916</v>
      </c>
      <c r="G8533" s="402" t="s">
        <v>1109</v>
      </c>
      <c r="H8533" s="404">
        <v>0.96</v>
      </c>
      <c r="I8533" s="403">
        <v>1</v>
      </c>
      <c r="J8533" s="404">
        <v>0.96</v>
      </c>
      <c r="K8533"/>
    </row>
    <row r="8534" spans="1:11" ht="15" x14ac:dyDescent="0.3">
      <c r="A8534" s="581"/>
      <c r="B8534" s="581"/>
      <c r="C8534" s="581"/>
      <c r="D8534" s="581"/>
      <c r="E8534" s="581"/>
      <c r="F8534" s="581" t="s">
        <v>7920</v>
      </c>
      <c r="G8534" s="581"/>
      <c r="H8534" s="581"/>
      <c r="I8534" s="581"/>
      <c r="J8534" s="381">
        <v>0.96</v>
      </c>
      <c r="K8534"/>
    </row>
    <row r="8535" spans="1:11" ht="14.25" customHeight="1" x14ac:dyDescent="0.3">
      <c r="A8535" s="382" t="s">
        <v>7921</v>
      </c>
      <c r="B8535" s="312" t="s">
        <v>414</v>
      </c>
      <c r="C8535" s="382" t="s">
        <v>413</v>
      </c>
      <c r="D8535" s="382" t="s">
        <v>2381</v>
      </c>
      <c r="E8535" s="312"/>
      <c r="F8535" s="312"/>
      <c r="G8535" s="312" t="s">
        <v>7907</v>
      </c>
      <c r="H8535" s="312" t="s">
        <v>7908</v>
      </c>
      <c r="I8535" s="312" t="s">
        <v>1552</v>
      </c>
      <c r="J8535" s="312" t="s">
        <v>7905</v>
      </c>
      <c r="K8535"/>
    </row>
    <row r="8536" spans="1:11" ht="14.25" customHeight="1" x14ac:dyDescent="0.3">
      <c r="A8536" s="581"/>
      <c r="B8536" s="581"/>
      <c r="C8536" s="581"/>
      <c r="D8536" s="581"/>
      <c r="E8536" s="581"/>
      <c r="F8536" s="581" t="s">
        <v>7929</v>
      </c>
      <c r="G8536" s="581"/>
      <c r="H8536" s="581"/>
      <c r="I8536" s="581"/>
      <c r="J8536" s="381">
        <v>0</v>
      </c>
      <c r="K8536"/>
    </row>
    <row r="8537" spans="1:11" ht="27.6" x14ac:dyDescent="0.3">
      <c r="A8537" s="382" t="s">
        <v>6</v>
      </c>
      <c r="B8537" s="312" t="s">
        <v>414</v>
      </c>
      <c r="C8537" s="382" t="s">
        <v>413</v>
      </c>
      <c r="D8537" s="382" t="s">
        <v>7930</v>
      </c>
      <c r="E8537" s="312" t="s">
        <v>7931</v>
      </c>
      <c r="F8537" s="312" t="s">
        <v>7932</v>
      </c>
      <c r="G8537" s="312" t="s">
        <v>7907</v>
      </c>
      <c r="H8537" s="312" t="s">
        <v>7908</v>
      </c>
      <c r="I8537" s="312" t="s">
        <v>1552</v>
      </c>
      <c r="J8537" s="312" t="s">
        <v>7905</v>
      </c>
      <c r="K8537"/>
    </row>
    <row r="8538" spans="1:11" ht="15" x14ac:dyDescent="0.3">
      <c r="A8538" s="581"/>
      <c r="B8538" s="581"/>
      <c r="C8538" s="581"/>
      <c r="D8538" s="581"/>
      <c r="E8538" s="581"/>
      <c r="F8538" s="581" t="s">
        <v>7933</v>
      </c>
      <c r="G8538" s="581"/>
      <c r="H8538" s="581"/>
      <c r="I8538" s="581"/>
      <c r="J8538" s="381">
        <v>0</v>
      </c>
      <c r="K8538"/>
    </row>
    <row r="8539" spans="1:11" ht="12.75" customHeight="1" x14ac:dyDescent="0.3">
      <c r="A8539" s="405"/>
      <c r="B8539" s="405"/>
      <c r="C8539" s="405"/>
      <c r="D8539" s="405"/>
      <c r="E8539" s="405" t="s">
        <v>1046</v>
      </c>
      <c r="F8539" s="406">
        <v>0</v>
      </c>
      <c r="G8539" s="405" t="s">
        <v>1047</v>
      </c>
      <c r="H8539" s="406">
        <v>0</v>
      </c>
      <c r="I8539" s="405" t="s">
        <v>1048</v>
      </c>
      <c r="J8539" s="406">
        <v>0</v>
      </c>
      <c r="K8539"/>
    </row>
    <row r="8540" spans="1:11" ht="12.75" customHeight="1" thickBot="1" x14ac:dyDescent="0.35">
      <c r="A8540" s="405"/>
      <c r="B8540" s="405"/>
      <c r="C8540" s="405"/>
      <c r="D8540" s="405"/>
      <c r="E8540" s="405" t="s">
        <v>1049</v>
      </c>
      <c r="F8540" s="406">
        <v>0</v>
      </c>
      <c r="G8540" s="405"/>
      <c r="H8540" s="606"/>
      <c r="I8540" s="606" t="s">
        <v>1050</v>
      </c>
      <c r="J8540" s="406">
        <v>0.96</v>
      </c>
      <c r="K8540"/>
    </row>
    <row r="8541" spans="1:11" ht="25.5" customHeight="1" thickTop="1" x14ac:dyDescent="0.3">
      <c r="A8541" s="407"/>
      <c r="B8541" s="407"/>
      <c r="C8541" s="407"/>
      <c r="D8541" s="407"/>
      <c r="E8541" s="407"/>
      <c r="F8541" s="407"/>
      <c r="G8541" s="407"/>
      <c r="H8541" s="407"/>
      <c r="I8541" s="407"/>
      <c r="J8541" s="407"/>
      <c r="K8541"/>
    </row>
    <row r="8542" spans="1:11" ht="25.5" customHeight="1" x14ac:dyDescent="0.3">
      <c r="A8542" s="382"/>
      <c r="B8542" s="312" t="s">
        <v>413</v>
      </c>
      <c r="C8542" s="382" t="s">
        <v>414</v>
      </c>
      <c r="D8542" s="382" t="s">
        <v>415</v>
      </c>
      <c r="E8542" s="586" t="s">
        <v>1029</v>
      </c>
      <c r="F8542" s="586"/>
      <c r="G8542" s="383" t="s">
        <v>416</v>
      </c>
      <c r="H8542" s="312" t="s">
        <v>1030</v>
      </c>
      <c r="I8542" s="312" t="s">
        <v>3016</v>
      </c>
      <c r="J8542" s="312" t="s">
        <v>1031</v>
      </c>
      <c r="K8542" s="312" t="s">
        <v>1032</v>
      </c>
    </row>
    <row r="8543" spans="1:11" ht="26.4" x14ac:dyDescent="0.3">
      <c r="A8543" s="313" t="s">
        <v>1033</v>
      </c>
      <c r="B8543" s="315" t="s">
        <v>8185</v>
      </c>
      <c r="C8543" s="313" t="s">
        <v>439</v>
      </c>
      <c r="D8543" s="313" t="s">
        <v>8068</v>
      </c>
      <c r="E8543" s="603" t="s">
        <v>7770</v>
      </c>
      <c r="F8543" s="603"/>
      <c r="G8543" s="314" t="s">
        <v>1109</v>
      </c>
      <c r="H8543" s="399">
        <v>1</v>
      </c>
      <c r="I8543" s="316"/>
      <c r="J8543" s="316">
        <v>0.34</v>
      </c>
      <c r="K8543" s="316">
        <v>0.34</v>
      </c>
    </row>
    <row r="8544" spans="1:11" ht="15" x14ac:dyDescent="0.3">
      <c r="A8544" s="586" t="s">
        <v>3312</v>
      </c>
      <c r="B8544" s="584" t="s">
        <v>413</v>
      </c>
      <c r="C8544" s="586" t="s">
        <v>414</v>
      </c>
      <c r="D8544" s="586" t="s">
        <v>7901</v>
      </c>
      <c r="E8544" s="585" t="s">
        <v>7902</v>
      </c>
      <c r="F8544" s="584"/>
      <c r="G8544" s="585" t="s">
        <v>7903</v>
      </c>
      <c r="H8544" s="584"/>
      <c r="I8544" s="584" t="s">
        <v>7904</v>
      </c>
      <c r="J8544" s="584" t="s">
        <v>7905</v>
      </c>
      <c r="K8544"/>
    </row>
    <row r="8545" spans="1:11" ht="17.399999999999999" customHeight="1" x14ac:dyDescent="0.3">
      <c r="A8545" s="584"/>
      <c r="B8545" s="584"/>
      <c r="C8545" s="584"/>
      <c r="D8545" s="584"/>
      <c r="E8545" s="312" t="s">
        <v>4013</v>
      </c>
      <c r="F8545" s="312" t="s">
        <v>4014</v>
      </c>
      <c r="G8545" s="312" t="s">
        <v>4013</v>
      </c>
      <c r="H8545" s="312" t="s">
        <v>4014</v>
      </c>
      <c r="I8545" s="584"/>
      <c r="J8545" s="584"/>
      <c r="K8545"/>
    </row>
    <row r="8546" spans="1:11" ht="14.25" customHeight="1" x14ac:dyDescent="0.3">
      <c r="A8546" s="581"/>
      <c r="B8546" s="581"/>
      <c r="C8546" s="581"/>
      <c r="D8546" s="581"/>
      <c r="E8546" s="581"/>
      <c r="F8546" s="581" t="s">
        <v>7906</v>
      </c>
      <c r="G8546" s="581"/>
      <c r="H8546" s="581"/>
      <c r="I8546" s="581"/>
      <c r="J8546" s="381">
        <v>0</v>
      </c>
      <c r="K8546"/>
    </row>
    <row r="8547" spans="1:11" ht="14.25" customHeight="1" x14ac:dyDescent="0.3">
      <c r="A8547" s="382" t="s">
        <v>371</v>
      </c>
      <c r="B8547" s="312" t="s">
        <v>413</v>
      </c>
      <c r="C8547" s="382" t="s">
        <v>414</v>
      </c>
      <c r="D8547" s="382" t="s">
        <v>1053</v>
      </c>
      <c r="E8547" s="312"/>
      <c r="F8547" s="584"/>
      <c r="G8547" s="584" t="s">
        <v>7907</v>
      </c>
      <c r="H8547" s="584" t="s">
        <v>7908</v>
      </c>
      <c r="I8547" s="584" t="s">
        <v>7904</v>
      </c>
      <c r="J8547" s="312" t="s">
        <v>7905</v>
      </c>
      <c r="K8547"/>
    </row>
    <row r="8548" spans="1:11" ht="30" customHeight="1" x14ac:dyDescent="0.3">
      <c r="A8548" s="581"/>
      <c r="B8548" s="581"/>
      <c r="C8548" s="581"/>
      <c r="D8548" s="581"/>
      <c r="E8548" s="581"/>
      <c r="F8548" s="581" t="s">
        <v>7910</v>
      </c>
      <c r="G8548" s="581"/>
      <c r="H8548" s="581"/>
      <c r="I8548" s="581"/>
      <c r="J8548" s="381">
        <v>0</v>
      </c>
      <c r="K8548"/>
    </row>
    <row r="8549" spans="1:11" ht="30" customHeight="1" x14ac:dyDescent="0.3">
      <c r="A8549" s="581"/>
      <c r="B8549" s="581"/>
      <c r="C8549" s="581"/>
      <c r="D8549" s="581"/>
      <c r="E8549" s="581"/>
      <c r="F8549" s="581" t="s">
        <v>7911</v>
      </c>
      <c r="G8549" s="581"/>
      <c r="H8549" s="581"/>
      <c r="I8549" s="581"/>
      <c r="J8549" s="381">
        <v>0</v>
      </c>
      <c r="K8549"/>
    </row>
    <row r="8550" spans="1:11" ht="12.75" customHeight="1" x14ac:dyDescent="0.3">
      <c r="A8550" s="581"/>
      <c r="B8550" s="581"/>
      <c r="C8550" s="581"/>
      <c r="D8550" s="581"/>
      <c r="E8550" s="581"/>
      <c r="F8550" s="581" t="s">
        <v>7912</v>
      </c>
      <c r="G8550" s="581"/>
      <c r="H8550" s="581"/>
      <c r="I8550" s="581"/>
      <c r="J8550" s="381">
        <v>1</v>
      </c>
      <c r="K8550"/>
    </row>
    <row r="8551" spans="1:11" ht="12.75" customHeight="1" x14ac:dyDescent="0.3">
      <c r="A8551" s="581"/>
      <c r="B8551" s="581"/>
      <c r="C8551" s="581"/>
      <c r="D8551" s="581"/>
      <c r="E8551" s="581"/>
      <c r="F8551" s="581" t="s">
        <v>7913</v>
      </c>
      <c r="G8551" s="581"/>
      <c r="H8551" s="581"/>
      <c r="I8551" s="581"/>
      <c r="J8551" s="381">
        <v>0</v>
      </c>
      <c r="K8551"/>
    </row>
    <row r="8552" spans="1:11" ht="25.5" customHeight="1" x14ac:dyDescent="0.3">
      <c r="A8552" s="382" t="s">
        <v>7914</v>
      </c>
      <c r="B8552" s="312" t="s">
        <v>414</v>
      </c>
      <c r="C8552" s="382" t="s">
        <v>413</v>
      </c>
      <c r="D8552" s="382" t="s">
        <v>1039</v>
      </c>
      <c r="E8552" s="312"/>
      <c r="F8552" s="312"/>
      <c r="G8552" s="312" t="s">
        <v>7907</v>
      </c>
      <c r="H8552" s="312" t="s">
        <v>7908</v>
      </c>
      <c r="I8552" s="312" t="s">
        <v>1552</v>
      </c>
      <c r="J8552" s="312" t="s">
        <v>7905</v>
      </c>
      <c r="K8552"/>
    </row>
    <row r="8553" spans="1:11" ht="25.5" customHeight="1" x14ac:dyDescent="0.3">
      <c r="A8553" s="400" t="s">
        <v>1038</v>
      </c>
      <c r="B8553" s="401" t="s">
        <v>439</v>
      </c>
      <c r="C8553" s="400" t="s">
        <v>8183</v>
      </c>
      <c r="D8553" s="400" t="s">
        <v>7758</v>
      </c>
      <c r="E8553" s="400"/>
      <c r="F8553" s="400" t="s">
        <v>7916</v>
      </c>
      <c r="G8553" s="402" t="s">
        <v>1109</v>
      </c>
      <c r="H8553" s="404">
        <v>0.34</v>
      </c>
      <c r="I8553" s="403">
        <v>1</v>
      </c>
      <c r="J8553" s="404">
        <v>0.34</v>
      </c>
      <c r="K8553"/>
    </row>
    <row r="8554" spans="1:11" ht="15" x14ac:dyDescent="0.3">
      <c r="A8554" s="581"/>
      <c r="B8554" s="581"/>
      <c r="C8554" s="581"/>
      <c r="D8554" s="581"/>
      <c r="E8554" s="581"/>
      <c r="F8554" s="581" t="s">
        <v>7920</v>
      </c>
      <c r="G8554" s="581"/>
      <c r="H8554" s="581"/>
      <c r="I8554" s="581"/>
      <c r="J8554" s="381">
        <v>0.34</v>
      </c>
      <c r="K8554"/>
    </row>
    <row r="8555" spans="1:11" ht="27.6" x14ac:dyDescent="0.3">
      <c r="A8555" s="382" t="s">
        <v>7921</v>
      </c>
      <c r="B8555" s="312" t="s">
        <v>414</v>
      </c>
      <c r="C8555" s="382" t="s">
        <v>413</v>
      </c>
      <c r="D8555" s="382" t="s">
        <v>2381</v>
      </c>
      <c r="E8555" s="312"/>
      <c r="F8555" s="312"/>
      <c r="G8555" s="312" t="s">
        <v>7907</v>
      </c>
      <c r="H8555" s="312" t="s">
        <v>7908</v>
      </c>
      <c r="I8555" s="312" t="s">
        <v>1552</v>
      </c>
      <c r="J8555" s="312" t="s">
        <v>7905</v>
      </c>
      <c r="K8555"/>
    </row>
    <row r="8556" spans="1:11" ht="15" x14ac:dyDescent="0.3">
      <c r="A8556" s="581"/>
      <c r="B8556" s="581"/>
      <c r="C8556" s="581"/>
      <c r="D8556" s="581"/>
      <c r="E8556" s="581"/>
      <c r="F8556" s="581" t="s">
        <v>7929</v>
      </c>
      <c r="G8556" s="581"/>
      <c r="H8556" s="581"/>
      <c r="I8556" s="581"/>
      <c r="J8556" s="381">
        <v>0</v>
      </c>
      <c r="K8556"/>
    </row>
    <row r="8557" spans="1:11" ht="14.25" customHeight="1" x14ac:dyDescent="0.3">
      <c r="A8557" s="382" t="s">
        <v>6</v>
      </c>
      <c r="B8557" s="312" t="s">
        <v>414</v>
      </c>
      <c r="C8557" s="382" t="s">
        <v>413</v>
      </c>
      <c r="D8557" s="382" t="s">
        <v>7930</v>
      </c>
      <c r="E8557" s="312" t="s">
        <v>7931</v>
      </c>
      <c r="F8557" s="312" t="s">
        <v>7932</v>
      </c>
      <c r="G8557" s="312" t="s">
        <v>7907</v>
      </c>
      <c r="H8557" s="312" t="s">
        <v>7908</v>
      </c>
      <c r="I8557" s="312" t="s">
        <v>1552</v>
      </c>
      <c r="J8557" s="312" t="s">
        <v>7905</v>
      </c>
      <c r="K8557"/>
    </row>
    <row r="8558" spans="1:11" ht="14.25" customHeight="1" x14ac:dyDescent="0.3">
      <c r="A8558" s="581"/>
      <c r="B8558" s="581"/>
      <c r="C8558" s="581"/>
      <c r="D8558" s="581"/>
      <c r="E8558" s="581"/>
      <c r="F8558" s="581" t="s">
        <v>7933</v>
      </c>
      <c r="G8558" s="581"/>
      <c r="H8558" s="581"/>
      <c r="I8558" s="581"/>
      <c r="J8558" s="381">
        <v>0</v>
      </c>
      <c r="K8558"/>
    </row>
    <row r="8559" spans="1:11" ht="15" x14ac:dyDescent="0.3">
      <c r="A8559" s="405"/>
      <c r="B8559" s="405"/>
      <c r="C8559" s="405"/>
      <c r="D8559" s="405"/>
      <c r="E8559" s="405" t="s">
        <v>1046</v>
      </c>
      <c r="F8559" s="406">
        <v>0</v>
      </c>
      <c r="G8559" s="405" t="s">
        <v>1047</v>
      </c>
      <c r="H8559" s="406">
        <v>0</v>
      </c>
      <c r="I8559" s="405" t="s">
        <v>1048</v>
      </c>
      <c r="J8559" s="406">
        <v>0</v>
      </c>
      <c r="K8559"/>
    </row>
    <row r="8560" spans="1:11" ht="15.6" thickBot="1" x14ac:dyDescent="0.35">
      <c r="A8560" s="405"/>
      <c r="B8560" s="405"/>
      <c r="C8560" s="405"/>
      <c r="D8560" s="405"/>
      <c r="E8560" s="405" t="s">
        <v>1049</v>
      </c>
      <c r="F8560" s="406">
        <v>0</v>
      </c>
      <c r="G8560" s="405"/>
      <c r="H8560" s="606"/>
      <c r="I8560" s="606" t="s">
        <v>1050</v>
      </c>
      <c r="J8560" s="406">
        <v>0.34</v>
      </c>
      <c r="K8560"/>
    </row>
    <row r="8561" spans="1:11" ht="12.75" customHeight="1" thickTop="1" x14ac:dyDescent="0.3">
      <c r="A8561" s="407"/>
      <c r="B8561" s="407"/>
      <c r="C8561" s="407"/>
      <c r="D8561" s="407"/>
      <c r="E8561" s="407"/>
      <c r="F8561" s="407"/>
      <c r="G8561" s="407"/>
      <c r="H8561" s="407"/>
      <c r="I8561" s="407"/>
      <c r="J8561" s="407"/>
      <c r="K8561"/>
    </row>
    <row r="8562" spans="1:11" ht="12.75" customHeight="1" x14ac:dyDescent="0.3">
      <c r="A8562" s="382"/>
      <c r="B8562" s="312" t="s">
        <v>413</v>
      </c>
      <c r="C8562" s="382" t="s">
        <v>414</v>
      </c>
      <c r="D8562" s="382" t="s">
        <v>415</v>
      </c>
      <c r="E8562" s="586" t="s">
        <v>1029</v>
      </c>
      <c r="F8562" s="586"/>
      <c r="G8562" s="383" t="s">
        <v>416</v>
      </c>
      <c r="H8562" s="312" t="s">
        <v>1030</v>
      </c>
      <c r="I8562" s="312" t="s">
        <v>3016</v>
      </c>
      <c r="J8562" s="312" t="s">
        <v>1031</v>
      </c>
      <c r="K8562" s="312" t="s">
        <v>1032</v>
      </c>
    </row>
    <row r="8563" spans="1:11" ht="25.5" customHeight="1" x14ac:dyDescent="0.3">
      <c r="A8563" s="313" t="s">
        <v>1033</v>
      </c>
      <c r="B8563" s="315" t="s">
        <v>4868</v>
      </c>
      <c r="C8563" s="313" t="s">
        <v>439</v>
      </c>
      <c r="D8563" s="313" t="s">
        <v>8164</v>
      </c>
      <c r="E8563" s="603" t="s">
        <v>7770</v>
      </c>
      <c r="F8563" s="603"/>
      <c r="G8563" s="314" t="s">
        <v>1109</v>
      </c>
      <c r="H8563" s="399">
        <v>1</v>
      </c>
      <c r="I8563" s="316"/>
      <c r="J8563" s="316">
        <v>0.96</v>
      </c>
      <c r="K8563" s="316">
        <v>0.96</v>
      </c>
    </row>
    <row r="8564" spans="1:11" ht="25.5" customHeight="1" x14ac:dyDescent="0.3">
      <c r="A8564" s="586" t="s">
        <v>3312</v>
      </c>
      <c r="B8564" s="584" t="s">
        <v>413</v>
      </c>
      <c r="C8564" s="586" t="s">
        <v>414</v>
      </c>
      <c r="D8564" s="586" t="s">
        <v>7901</v>
      </c>
      <c r="E8564" s="585" t="s">
        <v>7902</v>
      </c>
      <c r="F8564" s="584"/>
      <c r="G8564" s="585" t="s">
        <v>7903</v>
      </c>
      <c r="H8564" s="584"/>
      <c r="I8564" s="584" t="s">
        <v>7904</v>
      </c>
      <c r="J8564" s="584" t="s">
        <v>7905</v>
      </c>
      <c r="K8564"/>
    </row>
    <row r="8565" spans="1:11" ht="15" x14ac:dyDescent="0.3">
      <c r="A8565" s="584"/>
      <c r="B8565" s="584"/>
      <c r="C8565" s="584"/>
      <c r="D8565" s="584"/>
      <c r="E8565" s="312" t="s">
        <v>4013</v>
      </c>
      <c r="F8565" s="312" t="s">
        <v>4014</v>
      </c>
      <c r="G8565" s="312" t="s">
        <v>4013</v>
      </c>
      <c r="H8565" s="312" t="s">
        <v>4014</v>
      </c>
      <c r="I8565" s="584"/>
      <c r="J8565" s="584"/>
      <c r="K8565"/>
    </row>
    <row r="8566" spans="1:11" ht="15" x14ac:dyDescent="0.3">
      <c r="A8566" s="581"/>
      <c r="B8566" s="581"/>
      <c r="C8566" s="581"/>
      <c r="D8566" s="581"/>
      <c r="E8566" s="581"/>
      <c r="F8566" s="581" t="s">
        <v>7906</v>
      </c>
      <c r="G8566" s="581"/>
      <c r="H8566" s="581"/>
      <c r="I8566" s="581"/>
      <c r="J8566" s="381">
        <v>0</v>
      </c>
      <c r="K8566"/>
    </row>
    <row r="8567" spans="1:11" ht="15" x14ac:dyDescent="0.3">
      <c r="A8567" s="382" t="s">
        <v>371</v>
      </c>
      <c r="B8567" s="312" t="s">
        <v>413</v>
      </c>
      <c r="C8567" s="382" t="s">
        <v>414</v>
      </c>
      <c r="D8567" s="382" t="s">
        <v>1053</v>
      </c>
      <c r="E8567" s="312"/>
      <c r="F8567" s="584"/>
      <c r="G8567" s="584" t="s">
        <v>7907</v>
      </c>
      <c r="H8567" s="584" t="s">
        <v>7908</v>
      </c>
      <c r="I8567" s="584" t="s">
        <v>7904</v>
      </c>
      <c r="J8567" s="312" t="s">
        <v>7905</v>
      </c>
      <c r="K8567"/>
    </row>
    <row r="8568" spans="1:11" ht="14.25" customHeight="1" x14ac:dyDescent="0.3">
      <c r="A8568" s="581"/>
      <c r="B8568" s="581"/>
      <c r="C8568" s="581"/>
      <c r="D8568" s="581"/>
      <c r="E8568" s="581"/>
      <c r="F8568" s="581" t="s">
        <v>7910</v>
      </c>
      <c r="G8568" s="581"/>
      <c r="H8568" s="581"/>
      <c r="I8568" s="581"/>
      <c r="J8568" s="381">
        <v>0</v>
      </c>
      <c r="K8568"/>
    </row>
    <row r="8569" spans="1:11" ht="14.25" customHeight="1" x14ac:dyDescent="0.3">
      <c r="A8569" s="581"/>
      <c r="B8569" s="581"/>
      <c r="C8569" s="581"/>
      <c r="D8569" s="581"/>
      <c r="E8569" s="581"/>
      <c r="F8569" s="581" t="s">
        <v>7911</v>
      </c>
      <c r="G8569" s="581"/>
      <c r="H8569" s="581"/>
      <c r="I8569" s="581"/>
      <c r="J8569" s="381">
        <v>0</v>
      </c>
      <c r="K8569"/>
    </row>
    <row r="8570" spans="1:11" ht="15" x14ac:dyDescent="0.3">
      <c r="A8570" s="581"/>
      <c r="B8570" s="581"/>
      <c r="C8570" s="581"/>
      <c r="D8570" s="581"/>
      <c r="E8570" s="581"/>
      <c r="F8570" s="581" t="s">
        <v>7912</v>
      </c>
      <c r="G8570" s="581"/>
      <c r="H8570" s="581"/>
      <c r="I8570" s="581"/>
      <c r="J8570" s="381">
        <v>1</v>
      </c>
      <c r="K8570"/>
    </row>
    <row r="8571" spans="1:11" ht="17.399999999999999" customHeight="1" x14ac:dyDescent="0.3">
      <c r="A8571" s="581"/>
      <c r="B8571" s="581"/>
      <c r="C8571" s="581"/>
      <c r="D8571" s="581"/>
      <c r="E8571" s="581"/>
      <c r="F8571" s="581" t="s">
        <v>7913</v>
      </c>
      <c r="G8571" s="581"/>
      <c r="H8571" s="581"/>
      <c r="I8571" s="581"/>
      <c r="J8571" s="381">
        <v>0</v>
      </c>
      <c r="K8571"/>
    </row>
    <row r="8572" spans="1:11" ht="12.75" customHeight="1" x14ac:dyDescent="0.3">
      <c r="A8572" s="382" t="s">
        <v>7914</v>
      </c>
      <c r="B8572" s="312" t="s">
        <v>414</v>
      </c>
      <c r="C8572" s="382" t="s">
        <v>413</v>
      </c>
      <c r="D8572" s="382" t="s">
        <v>1039</v>
      </c>
      <c r="E8572" s="312"/>
      <c r="F8572" s="312"/>
      <c r="G8572" s="312" t="s">
        <v>7907</v>
      </c>
      <c r="H8572" s="312" t="s">
        <v>7908</v>
      </c>
      <c r="I8572" s="312" t="s">
        <v>1552</v>
      </c>
      <c r="J8572" s="312" t="s">
        <v>7905</v>
      </c>
      <c r="K8572"/>
    </row>
    <row r="8573" spans="1:11" ht="12.75" customHeight="1" x14ac:dyDescent="0.3">
      <c r="A8573" s="400" t="s">
        <v>1038</v>
      </c>
      <c r="B8573" s="401" t="s">
        <v>439</v>
      </c>
      <c r="C8573" s="400" t="s">
        <v>8184</v>
      </c>
      <c r="D8573" s="400" t="s">
        <v>7715</v>
      </c>
      <c r="E8573" s="400"/>
      <c r="F8573" s="400" t="s">
        <v>7916</v>
      </c>
      <c r="G8573" s="402" t="s">
        <v>1109</v>
      </c>
      <c r="H8573" s="404">
        <v>0.96</v>
      </c>
      <c r="I8573" s="403">
        <v>1</v>
      </c>
      <c r="J8573" s="404">
        <v>0.96</v>
      </c>
      <c r="K8573"/>
    </row>
    <row r="8574" spans="1:11" ht="25.5" customHeight="1" x14ac:dyDescent="0.3">
      <c r="A8574" s="581"/>
      <c r="B8574" s="581"/>
      <c r="C8574" s="581"/>
      <c r="D8574" s="581"/>
      <c r="E8574" s="581"/>
      <c r="F8574" s="581" t="s">
        <v>7920</v>
      </c>
      <c r="G8574" s="581"/>
      <c r="H8574" s="581"/>
      <c r="I8574" s="581"/>
      <c r="J8574" s="381">
        <v>0.96</v>
      </c>
      <c r="K8574"/>
    </row>
    <row r="8575" spans="1:11" ht="25.5" customHeight="1" x14ac:dyDescent="0.3">
      <c r="A8575" s="382" t="s">
        <v>7921</v>
      </c>
      <c r="B8575" s="312" t="s">
        <v>414</v>
      </c>
      <c r="C8575" s="382" t="s">
        <v>413</v>
      </c>
      <c r="D8575" s="382" t="s">
        <v>2381</v>
      </c>
      <c r="E8575" s="312"/>
      <c r="F8575" s="312"/>
      <c r="G8575" s="312" t="s">
        <v>7907</v>
      </c>
      <c r="H8575" s="312" t="s">
        <v>7908</v>
      </c>
      <c r="I8575" s="312" t="s">
        <v>1552</v>
      </c>
      <c r="J8575" s="312" t="s">
        <v>7905</v>
      </c>
      <c r="K8575"/>
    </row>
    <row r="8576" spans="1:11" ht="45" customHeight="1" x14ac:dyDescent="0.3">
      <c r="A8576" s="581"/>
      <c r="B8576" s="581"/>
      <c r="C8576" s="581"/>
      <c r="D8576" s="581"/>
      <c r="E8576" s="581"/>
      <c r="F8576" s="581" t="s">
        <v>7929</v>
      </c>
      <c r="G8576" s="581"/>
      <c r="H8576" s="581"/>
      <c r="I8576" s="581"/>
      <c r="J8576" s="381">
        <v>0</v>
      </c>
      <c r="K8576"/>
    </row>
    <row r="8577" spans="1:11" ht="14.25" customHeight="1" x14ac:dyDescent="0.3">
      <c r="A8577" s="382" t="s">
        <v>6</v>
      </c>
      <c r="B8577" s="312" t="s">
        <v>414</v>
      </c>
      <c r="C8577" s="382" t="s">
        <v>413</v>
      </c>
      <c r="D8577" s="382" t="s">
        <v>7930</v>
      </c>
      <c r="E8577" s="312" t="s">
        <v>7931</v>
      </c>
      <c r="F8577" s="312" t="s">
        <v>7932</v>
      </c>
      <c r="G8577" s="312" t="s">
        <v>7907</v>
      </c>
      <c r="H8577" s="312" t="s">
        <v>7908</v>
      </c>
      <c r="I8577" s="312" t="s">
        <v>1552</v>
      </c>
      <c r="J8577" s="312" t="s">
        <v>7905</v>
      </c>
      <c r="K8577"/>
    </row>
    <row r="8578" spans="1:11" ht="14.25" customHeight="1" x14ac:dyDescent="0.3">
      <c r="A8578" s="581"/>
      <c r="B8578" s="581"/>
      <c r="C8578" s="581"/>
      <c r="D8578" s="581"/>
      <c r="E8578" s="581"/>
      <c r="F8578" s="581" t="s">
        <v>7933</v>
      </c>
      <c r="G8578" s="581"/>
      <c r="H8578" s="581"/>
      <c r="I8578" s="581"/>
      <c r="J8578" s="381">
        <v>0</v>
      </c>
      <c r="K8578"/>
    </row>
    <row r="8579" spans="1:11" ht="17.399999999999999" customHeight="1" x14ac:dyDescent="0.3">
      <c r="A8579" s="405"/>
      <c r="B8579" s="405"/>
      <c r="C8579" s="405"/>
      <c r="D8579" s="405"/>
      <c r="E8579" s="405" t="s">
        <v>1046</v>
      </c>
      <c r="F8579" s="406">
        <v>0</v>
      </c>
      <c r="G8579" s="405" t="s">
        <v>1047</v>
      </c>
      <c r="H8579" s="406">
        <v>0</v>
      </c>
      <c r="I8579" s="405" t="s">
        <v>1048</v>
      </c>
      <c r="J8579" s="406">
        <v>0</v>
      </c>
      <c r="K8579"/>
    </row>
    <row r="8580" spans="1:11" ht="15.6" thickBot="1" x14ac:dyDescent="0.35">
      <c r="A8580" s="405"/>
      <c r="B8580" s="405"/>
      <c r="C8580" s="405"/>
      <c r="D8580" s="405"/>
      <c r="E8580" s="405" t="s">
        <v>1049</v>
      </c>
      <c r="F8580" s="406">
        <v>0</v>
      </c>
      <c r="G8580" s="405"/>
      <c r="H8580" s="606"/>
      <c r="I8580" s="606" t="s">
        <v>1050</v>
      </c>
      <c r="J8580" s="406">
        <v>0.96</v>
      </c>
      <c r="K8580"/>
    </row>
    <row r="8581" spans="1:11" ht="12.75" customHeight="1" thickTop="1" x14ac:dyDescent="0.3">
      <c r="A8581" s="407"/>
      <c r="B8581" s="407"/>
      <c r="C8581" s="407"/>
      <c r="D8581" s="407"/>
      <c r="E8581" s="407"/>
      <c r="F8581" s="407"/>
      <c r="G8581" s="407"/>
      <c r="H8581" s="407"/>
      <c r="I8581" s="407"/>
      <c r="J8581" s="407"/>
      <c r="K8581"/>
    </row>
    <row r="8582" spans="1:11" ht="12.75" customHeight="1" x14ac:dyDescent="0.3">
      <c r="A8582" s="382"/>
      <c r="B8582" s="312" t="s">
        <v>413</v>
      </c>
      <c r="C8582" s="382" t="s">
        <v>414</v>
      </c>
      <c r="D8582" s="382" t="s">
        <v>415</v>
      </c>
      <c r="E8582" s="586" t="s">
        <v>1029</v>
      </c>
      <c r="F8582" s="586"/>
      <c r="G8582" s="383" t="s">
        <v>416</v>
      </c>
      <c r="H8582" s="312" t="s">
        <v>1030</v>
      </c>
      <c r="I8582" s="312" t="s">
        <v>3016</v>
      </c>
      <c r="J8582" s="312" t="s">
        <v>1031</v>
      </c>
      <c r="K8582" s="312" t="s">
        <v>1032</v>
      </c>
    </row>
    <row r="8583" spans="1:11" ht="25.5" customHeight="1" x14ac:dyDescent="0.3">
      <c r="A8583" s="313" t="s">
        <v>1033</v>
      </c>
      <c r="B8583" s="315" t="s">
        <v>9680</v>
      </c>
      <c r="C8583" s="313" t="s">
        <v>439</v>
      </c>
      <c r="D8583" s="313" t="s">
        <v>9629</v>
      </c>
      <c r="E8583" s="603" t="s">
        <v>7770</v>
      </c>
      <c r="F8583" s="603"/>
      <c r="G8583" s="314" t="s">
        <v>2627</v>
      </c>
      <c r="H8583" s="399">
        <v>1</v>
      </c>
      <c r="I8583" s="316"/>
      <c r="J8583" s="316">
        <v>5.1100000000000003</v>
      </c>
      <c r="K8583" s="316">
        <v>5.1100000000000003</v>
      </c>
    </row>
    <row r="8584" spans="1:11" ht="25.5" customHeight="1" x14ac:dyDescent="0.3">
      <c r="A8584" s="586" t="s">
        <v>3312</v>
      </c>
      <c r="B8584" s="584" t="s">
        <v>413</v>
      </c>
      <c r="C8584" s="586" t="s">
        <v>414</v>
      </c>
      <c r="D8584" s="586" t="s">
        <v>7901</v>
      </c>
      <c r="E8584" s="585" t="s">
        <v>7902</v>
      </c>
      <c r="F8584" s="584"/>
      <c r="G8584" s="585" t="s">
        <v>7903</v>
      </c>
      <c r="H8584" s="584"/>
      <c r="I8584" s="584" t="s">
        <v>7904</v>
      </c>
      <c r="J8584" s="584" t="s">
        <v>7905</v>
      </c>
      <c r="K8584"/>
    </row>
    <row r="8585" spans="1:11" ht="30" customHeight="1" x14ac:dyDescent="0.3">
      <c r="A8585" s="584"/>
      <c r="B8585" s="584"/>
      <c r="C8585" s="584"/>
      <c r="D8585" s="584"/>
      <c r="E8585" s="312" t="s">
        <v>4013</v>
      </c>
      <c r="F8585" s="312" t="s">
        <v>4014</v>
      </c>
      <c r="G8585" s="312" t="s">
        <v>4013</v>
      </c>
      <c r="H8585" s="312" t="s">
        <v>4014</v>
      </c>
      <c r="I8585" s="584"/>
      <c r="J8585" s="584"/>
      <c r="K8585"/>
    </row>
    <row r="8586" spans="1:11" ht="14.25" customHeight="1" x14ac:dyDescent="0.3">
      <c r="A8586" s="581"/>
      <c r="B8586" s="581"/>
      <c r="C8586" s="581"/>
      <c r="D8586" s="581"/>
      <c r="E8586" s="581"/>
      <c r="F8586" s="581" t="s">
        <v>7906</v>
      </c>
      <c r="G8586" s="581"/>
      <c r="H8586" s="581"/>
      <c r="I8586" s="581"/>
      <c r="J8586" s="381">
        <v>0</v>
      </c>
      <c r="K8586"/>
    </row>
    <row r="8587" spans="1:11" ht="14.25" customHeight="1" x14ac:dyDescent="0.3">
      <c r="A8587" s="382" t="s">
        <v>371</v>
      </c>
      <c r="B8587" s="312" t="s">
        <v>413</v>
      </c>
      <c r="C8587" s="382" t="s">
        <v>414</v>
      </c>
      <c r="D8587" s="382" t="s">
        <v>1053</v>
      </c>
      <c r="E8587" s="312"/>
      <c r="F8587" s="584"/>
      <c r="G8587" s="584" t="s">
        <v>7907</v>
      </c>
      <c r="H8587" s="584" t="s">
        <v>7908</v>
      </c>
      <c r="I8587" s="584" t="s">
        <v>7904</v>
      </c>
      <c r="J8587" s="312" t="s">
        <v>7905</v>
      </c>
      <c r="K8587"/>
    </row>
    <row r="8588" spans="1:11" ht="15" x14ac:dyDescent="0.3">
      <c r="A8588" s="581"/>
      <c r="B8588" s="581"/>
      <c r="C8588" s="581"/>
      <c r="D8588" s="581"/>
      <c r="E8588" s="581"/>
      <c r="F8588" s="581" t="s">
        <v>7910</v>
      </c>
      <c r="G8588" s="581"/>
      <c r="H8588" s="581"/>
      <c r="I8588" s="581"/>
      <c r="J8588" s="381">
        <v>0</v>
      </c>
      <c r="K8588"/>
    </row>
    <row r="8589" spans="1:11" ht="17.399999999999999" customHeight="1" x14ac:dyDescent="0.3">
      <c r="A8589" s="581"/>
      <c r="B8589" s="581"/>
      <c r="C8589" s="581"/>
      <c r="D8589" s="581"/>
      <c r="E8589" s="581"/>
      <c r="F8589" s="581" t="s">
        <v>7911</v>
      </c>
      <c r="G8589" s="581"/>
      <c r="H8589" s="581"/>
      <c r="I8589" s="581"/>
      <c r="J8589" s="381">
        <v>0</v>
      </c>
      <c r="K8589"/>
    </row>
    <row r="8590" spans="1:11" ht="12.75" customHeight="1" x14ac:dyDescent="0.3">
      <c r="A8590" s="581"/>
      <c r="B8590" s="581"/>
      <c r="C8590" s="581"/>
      <c r="D8590" s="581"/>
      <c r="E8590" s="581"/>
      <c r="F8590" s="581" t="s">
        <v>7912</v>
      </c>
      <c r="G8590" s="581"/>
      <c r="H8590" s="581"/>
      <c r="I8590" s="581"/>
      <c r="J8590" s="381">
        <v>1</v>
      </c>
      <c r="K8590"/>
    </row>
    <row r="8591" spans="1:11" ht="12.75" customHeight="1" x14ac:dyDescent="0.3">
      <c r="A8591" s="581"/>
      <c r="B8591" s="581"/>
      <c r="C8591" s="581"/>
      <c r="D8591" s="581"/>
      <c r="E8591" s="581"/>
      <c r="F8591" s="581" t="s">
        <v>7913</v>
      </c>
      <c r="G8591" s="581"/>
      <c r="H8591" s="581"/>
      <c r="I8591" s="581"/>
      <c r="J8591" s="381">
        <v>0</v>
      </c>
      <c r="K8591"/>
    </row>
    <row r="8592" spans="1:11" ht="25.5" customHeight="1" x14ac:dyDescent="0.3">
      <c r="A8592" s="382" t="s">
        <v>7914</v>
      </c>
      <c r="B8592" s="312" t="s">
        <v>414</v>
      </c>
      <c r="C8592" s="382" t="s">
        <v>413</v>
      </c>
      <c r="D8592" s="382" t="s">
        <v>1039</v>
      </c>
      <c r="E8592" s="312"/>
      <c r="F8592" s="312"/>
      <c r="G8592" s="312" t="s">
        <v>7907</v>
      </c>
      <c r="H8592" s="312" t="s">
        <v>7908</v>
      </c>
      <c r="I8592" s="312" t="s">
        <v>1552</v>
      </c>
      <c r="J8592" s="312" t="s">
        <v>7905</v>
      </c>
      <c r="K8592"/>
    </row>
    <row r="8593" spans="1:11" ht="25.5" customHeight="1" x14ac:dyDescent="0.3">
      <c r="A8593" s="400" t="s">
        <v>1038</v>
      </c>
      <c r="B8593" s="401" t="s">
        <v>439</v>
      </c>
      <c r="C8593" s="400" t="s">
        <v>9681</v>
      </c>
      <c r="D8593" s="400" t="s">
        <v>9516</v>
      </c>
      <c r="E8593" s="400"/>
      <c r="F8593" s="400" t="s">
        <v>7916</v>
      </c>
      <c r="G8593" s="402" t="s">
        <v>2627</v>
      </c>
      <c r="H8593" s="404">
        <v>5.1100000000000003</v>
      </c>
      <c r="I8593" s="403">
        <v>1</v>
      </c>
      <c r="J8593" s="404">
        <v>5.1100000000000003</v>
      </c>
      <c r="K8593"/>
    </row>
    <row r="8594" spans="1:11" ht="15" x14ac:dyDescent="0.3">
      <c r="A8594" s="581"/>
      <c r="B8594" s="581"/>
      <c r="C8594" s="581"/>
      <c r="D8594" s="581"/>
      <c r="E8594" s="581"/>
      <c r="F8594" s="581" t="s">
        <v>7920</v>
      </c>
      <c r="G8594" s="581"/>
      <c r="H8594" s="581"/>
      <c r="I8594" s="581"/>
      <c r="J8594" s="381">
        <v>5.1100000000000003</v>
      </c>
      <c r="K8594"/>
    </row>
    <row r="8595" spans="1:11" ht="14.25" customHeight="1" x14ac:dyDescent="0.3">
      <c r="A8595" s="382" t="s">
        <v>7921</v>
      </c>
      <c r="B8595" s="312" t="s">
        <v>414</v>
      </c>
      <c r="C8595" s="382" t="s">
        <v>413</v>
      </c>
      <c r="D8595" s="382" t="s">
        <v>2381</v>
      </c>
      <c r="E8595" s="312"/>
      <c r="F8595" s="312"/>
      <c r="G8595" s="312" t="s">
        <v>7907</v>
      </c>
      <c r="H8595" s="312" t="s">
        <v>7908</v>
      </c>
      <c r="I8595" s="312" t="s">
        <v>1552</v>
      </c>
      <c r="J8595" s="312" t="s">
        <v>7905</v>
      </c>
      <c r="K8595"/>
    </row>
    <row r="8596" spans="1:11" ht="14.25" customHeight="1" x14ac:dyDescent="0.3">
      <c r="A8596" s="581"/>
      <c r="B8596" s="581"/>
      <c r="C8596" s="581"/>
      <c r="D8596" s="581"/>
      <c r="E8596" s="581"/>
      <c r="F8596" s="581" t="s">
        <v>7929</v>
      </c>
      <c r="G8596" s="581"/>
      <c r="H8596" s="581"/>
      <c r="I8596" s="581"/>
      <c r="J8596" s="381">
        <v>0</v>
      </c>
      <c r="K8596"/>
    </row>
    <row r="8597" spans="1:11" ht="27.6" x14ac:dyDescent="0.3">
      <c r="A8597" s="382" t="s">
        <v>6</v>
      </c>
      <c r="B8597" s="312" t="s">
        <v>414</v>
      </c>
      <c r="C8597" s="382" t="s">
        <v>413</v>
      </c>
      <c r="D8597" s="382" t="s">
        <v>7930</v>
      </c>
      <c r="E8597" s="312" t="s">
        <v>7931</v>
      </c>
      <c r="F8597" s="312" t="s">
        <v>7932</v>
      </c>
      <c r="G8597" s="312" t="s">
        <v>7907</v>
      </c>
      <c r="H8597" s="312" t="s">
        <v>7908</v>
      </c>
      <c r="I8597" s="312" t="s">
        <v>1552</v>
      </c>
      <c r="J8597" s="312" t="s">
        <v>7905</v>
      </c>
      <c r="K8597"/>
    </row>
    <row r="8598" spans="1:11" ht="30" customHeight="1" x14ac:dyDescent="0.3">
      <c r="A8598" s="581"/>
      <c r="B8598" s="581"/>
      <c r="C8598" s="581"/>
      <c r="D8598" s="581"/>
      <c r="E8598" s="581"/>
      <c r="F8598" s="581" t="s">
        <v>7933</v>
      </c>
      <c r="G8598" s="581"/>
      <c r="H8598" s="581"/>
      <c r="I8598" s="581"/>
      <c r="J8598" s="381">
        <v>0</v>
      </c>
      <c r="K8598"/>
    </row>
    <row r="8599" spans="1:11" ht="12.75" customHeight="1" x14ac:dyDescent="0.3">
      <c r="A8599" s="405"/>
      <c r="B8599" s="405"/>
      <c r="C8599" s="405"/>
      <c r="D8599" s="405"/>
      <c r="E8599" s="405" t="s">
        <v>1046</v>
      </c>
      <c r="F8599" s="406">
        <v>0</v>
      </c>
      <c r="G8599" s="405" t="s">
        <v>1047</v>
      </c>
      <c r="H8599" s="406">
        <v>0</v>
      </c>
      <c r="I8599" s="405" t="s">
        <v>1048</v>
      </c>
      <c r="J8599" s="406">
        <v>0</v>
      </c>
      <c r="K8599"/>
    </row>
    <row r="8600" spans="1:11" ht="12.75" customHeight="1" thickBot="1" x14ac:dyDescent="0.35">
      <c r="A8600" s="405"/>
      <c r="B8600" s="405"/>
      <c r="C8600" s="405"/>
      <c r="D8600" s="405"/>
      <c r="E8600" s="405" t="s">
        <v>1049</v>
      </c>
      <c r="F8600" s="406">
        <v>0</v>
      </c>
      <c r="G8600" s="405"/>
      <c r="H8600" s="606"/>
      <c r="I8600" s="606" t="s">
        <v>1050</v>
      </c>
      <c r="J8600" s="406">
        <v>5.1100000000000003</v>
      </c>
      <c r="K8600"/>
    </row>
    <row r="8601" spans="1:11" ht="25.5" customHeight="1" thickTop="1" x14ac:dyDescent="0.3">
      <c r="A8601" s="407"/>
      <c r="B8601" s="407"/>
      <c r="C8601" s="407"/>
      <c r="D8601" s="407"/>
      <c r="E8601" s="407"/>
      <c r="F8601" s="407"/>
      <c r="G8601" s="407"/>
      <c r="H8601" s="407"/>
      <c r="I8601" s="407"/>
      <c r="J8601" s="407"/>
      <c r="K8601"/>
    </row>
    <row r="8602" spans="1:11" ht="25.5" customHeight="1" x14ac:dyDescent="0.3">
      <c r="A8602" s="382"/>
      <c r="B8602" s="312" t="s">
        <v>413</v>
      </c>
      <c r="C8602" s="382" t="s">
        <v>414</v>
      </c>
      <c r="D8602" s="382" t="s">
        <v>415</v>
      </c>
      <c r="E8602" s="586" t="s">
        <v>1029</v>
      </c>
      <c r="F8602" s="586"/>
      <c r="G8602" s="383" t="s">
        <v>416</v>
      </c>
      <c r="H8602" s="312" t="s">
        <v>1030</v>
      </c>
      <c r="I8602" s="312" t="s">
        <v>3016</v>
      </c>
      <c r="J8602" s="312" t="s">
        <v>1031</v>
      </c>
      <c r="K8602" s="312" t="s">
        <v>1032</v>
      </c>
    </row>
    <row r="8603" spans="1:11" ht="26.4" x14ac:dyDescent="0.3">
      <c r="A8603" s="313" t="s">
        <v>1033</v>
      </c>
      <c r="B8603" s="315" t="s">
        <v>5119</v>
      </c>
      <c r="C8603" s="313" t="s">
        <v>439</v>
      </c>
      <c r="D8603" s="313" t="s">
        <v>8186</v>
      </c>
      <c r="E8603" s="603" t="s">
        <v>7770</v>
      </c>
      <c r="F8603" s="603"/>
      <c r="G8603" s="314" t="s">
        <v>1109</v>
      </c>
      <c r="H8603" s="399">
        <v>1</v>
      </c>
      <c r="I8603" s="316"/>
      <c r="J8603" s="316">
        <v>0.03</v>
      </c>
      <c r="K8603" s="316">
        <v>0.03</v>
      </c>
    </row>
    <row r="8604" spans="1:11" ht="14.25" customHeight="1" x14ac:dyDescent="0.3">
      <c r="A8604" s="586" t="s">
        <v>3312</v>
      </c>
      <c r="B8604" s="584" t="s">
        <v>413</v>
      </c>
      <c r="C8604" s="586" t="s">
        <v>414</v>
      </c>
      <c r="D8604" s="586" t="s">
        <v>7901</v>
      </c>
      <c r="E8604" s="585" t="s">
        <v>7902</v>
      </c>
      <c r="F8604" s="584"/>
      <c r="G8604" s="585" t="s">
        <v>7903</v>
      </c>
      <c r="H8604" s="584"/>
      <c r="I8604" s="584" t="s">
        <v>7904</v>
      </c>
      <c r="J8604" s="584" t="s">
        <v>7905</v>
      </c>
      <c r="K8604"/>
    </row>
    <row r="8605" spans="1:11" ht="14.25" customHeight="1" x14ac:dyDescent="0.3">
      <c r="A8605" s="584"/>
      <c r="B8605" s="584"/>
      <c r="C8605" s="584"/>
      <c r="D8605" s="584"/>
      <c r="E8605" s="312" t="s">
        <v>4013</v>
      </c>
      <c r="F8605" s="312" t="s">
        <v>4014</v>
      </c>
      <c r="G8605" s="312" t="s">
        <v>4013</v>
      </c>
      <c r="H8605" s="312" t="s">
        <v>4014</v>
      </c>
      <c r="I8605" s="584"/>
      <c r="J8605" s="584"/>
      <c r="K8605"/>
    </row>
    <row r="8606" spans="1:11" ht="15" x14ac:dyDescent="0.3">
      <c r="A8606" s="581"/>
      <c r="B8606" s="581"/>
      <c r="C8606" s="581"/>
      <c r="D8606" s="581"/>
      <c r="E8606" s="581"/>
      <c r="F8606" s="581" t="s">
        <v>7906</v>
      </c>
      <c r="G8606" s="581"/>
      <c r="H8606" s="581"/>
      <c r="I8606" s="581"/>
      <c r="J8606" s="381">
        <v>0</v>
      </c>
      <c r="K8606"/>
    </row>
    <row r="8607" spans="1:11" ht="17.399999999999999" customHeight="1" x14ac:dyDescent="0.3">
      <c r="A8607" s="382" t="s">
        <v>371</v>
      </c>
      <c r="B8607" s="312" t="s">
        <v>413</v>
      </c>
      <c r="C8607" s="382" t="s">
        <v>414</v>
      </c>
      <c r="D8607" s="382" t="s">
        <v>1053</v>
      </c>
      <c r="E8607" s="312"/>
      <c r="F8607" s="584"/>
      <c r="G8607" s="584" t="s">
        <v>7907</v>
      </c>
      <c r="H8607" s="584" t="s">
        <v>7908</v>
      </c>
      <c r="I8607" s="584" t="s">
        <v>7904</v>
      </c>
      <c r="J8607" s="312" t="s">
        <v>7905</v>
      </c>
      <c r="K8607"/>
    </row>
    <row r="8608" spans="1:11" ht="12.75" customHeight="1" x14ac:dyDescent="0.3">
      <c r="A8608" s="581"/>
      <c r="B8608" s="581"/>
      <c r="C8608" s="581"/>
      <c r="D8608" s="581"/>
      <c r="E8608" s="581"/>
      <c r="F8608" s="581" t="s">
        <v>7910</v>
      </c>
      <c r="G8608" s="581"/>
      <c r="H8608" s="581"/>
      <c r="I8608" s="581"/>
      <c r="J8608" s="381">
        <v>0</v>
      </c>
      <c r="K8608"/>
    </row>
    <row r="8609" spans="1:11" ht="12.75" customHeight="1" x14ac:dyDescent="0.3">
      <c r="A8609" s="581"/>
      <c r="B8609" s="581"/>
      <c r="C8609" s="581"/>
      <c r="D8609" s="581"/>
      <c r="E8609" s="581"/>
      <c r="F8609" s="581" t="s">
        <v>7911</v>
      </c>
      <c r="G8609" s="581"/>
      <c r="H8609" s="581"/>
      <c r="I8609" s="581"/>
      <c r="J8609" s="381">
        <v>0</v>
      </c>
      <c r="K8609"/>
    </row>
    <row r="8610" spans="1:11" ht="25.5" customHeight="1" x14ac:dyDescent="0.3">
      <c r="A8610" s="581"/>
      <c r="B8610" s="581"/>
      <c r="C8610" s="581"/>
      <c r="D8610" s="581"/>
      <c r="E8610" s="581"/>
      <c r="F8610" s="581" t="s">
        <v>7912</v>
      </c>
      <c r="G8610" s="581"/>
      <c r="H8610" s="581"/>
      <c r="I8610" s="581"/>
      <c r="J8610" s="381">
        <v>1</v>
      </c>
      <c r="K8610"/>
    </row>
    <row r="8611" spans="1:11" ht="25.5" customHeight="1" x14ac:dyDescent="0.3">
      <c r="A8611" s="581"/>
      <c r="B8611" s="581"/>
      <c r="C8611" s="581"/>
      <c r="D8611" s="581"/>
      <c r="E8611" s="581"/>
      <c r="F8611" s="581" t="s">
        <v>7913</v>
      </c>
      <c r="G8611" s="581"/>
      <c r="H8611" s="581"/>
      <c r="I8611" s="581"/>
      <c r="J8611" s="381">
        <v>0</v>
      </c>
      <c r="K8611"/>
    </row>
    <row r="8612" spans="1:11" ht="27.6" x14ac:dyDescent="0.3">
      <c r="A8612" s="382" t="s">
        <v>7914</v>
      </c>
      <c r="B8612" s="312" t="s">
        <v>414</v>
      </c>
      <c r="C8612" s="382" t="s">
        <v>413</v>
      </c>
      <c r="D8612" s="382" t="s">
        <v>1039</v>
      </c>
      <c r="E8612" s="312"/>
      <c r="F8612" s="312"/>
      <c r="G8612" s="312" t="s">
        <v>7907</v>
      </c>
      <c r="H8612" s="312" t="s">
        <v>7908</v>
      </c>
      <c r="I8612" s="312" t="s">
        <v>1552</v>
      </c>
      <c r="J8612" s="312" t="s">
        <v>7905</v>
      </c>
      <c r="K8612"/>
    </row>
    <row r="8613" spans="1:11" ht="14.25" customHeight="1" x14ac:dyDescent="0.3">
      <c r="A8613" s="400" t="s">
        <v>1038</v>
      </c>
      <c r="B8613" s="401" t="s">
        <v>439</v>
      </c>
      <c r="C8613" s="400" t="s">
        <v>8187</v>
      </c>
      <c r="D8613" s="400" t="s">
        <v>7763</v>
      </c>
      <c r="E8613" s="400"/>
      <c r="F8613" s="400" t="s">
        <v>7916</v>
      </c>
      <c r="G8613" s="402" t="s">
        <v>1109</v>
      </c>
      <c r="H8613" s="404">
        <v>0.03</v>
      </c>
      <c r="I8613" s="403">
        <v>1</v>
      </c>
      <c r="J8613" s="404">
        <v>0.03</v>
      </c>
      <c r="K8613"/>
    </row>
    <row r="8614" spans="1:11" ht="14.25" customHeight="1" x14ac:dyDescent="0.3">
      <c r="A8614" s="581"/>
      <c r="B8614" s="581"/>
      <c r="C8614" s="581"/>
      <c r="D8614" s="581"/>
      <c r="E8614" s="581"/>
      <c r="F8614" s="581" t="s">
        <v>7920</v>
      </c>
      <c r="G8614" s="581"/>
      <c r="H8614" s="581"/>
      <c r="I8614" s="581"/>
      <c r="J8614" s="381">
        <v>0.03</v>
      </c>
      <c r="K8614"/>
    </row>
    <row r="8615" spans="1:11" ht="27.6" x14ac:dyDescent="0.3">
      <c r="A8615" s="382" t="s">
        <v>7921</v>
      </c>
      <c r="B8615" s="312" t="s">
        <v>414</v>
      </c>
      <c r="C8615" s="382" t="s">
        <v>413</v>
      </c>
      <c r="D8615" s="382" t="s">
        <v>2381</v>
      </c>
      <c r="E8615" s="312"/>
      <c r="F8615" s="312"/>
      <c r="G8615" s="312" t="s">
        <v>7907</v>
      </c>
      <c r="H8615" s="312" t="s">
        <v>7908</v>
      </c>
      <c r="I8615" s="312" t="s">
        <v>1552</v>
      </c>
      <c r="J8615" s="312" t="s">
        <v>7905</v>
      </c>
      <c r="K8615"/>
    </row>
    <row r="8616" spans="1:11" ht="15" customHeight="1" x14ac:dyDescent="0.3">
      <c r="A8616" s="581"/>
      <c r="B8616" s="581"/>
      <c r="C8616" s="581"/>
      <c r="D8616" s="581"/>
      <c r="E8616" s="581"/>
      <c r="F8616" s="581" t="s">
        <v>7929</v>
      </c>
      <c r="G8616" s="581"/>
      <c r="H8616" s="581"/>
      <c r="I8616" s="581"/>
      <c r="J8616" s="381">
        <v>0</v>
      </c>
      <c r="K8616"/>
    </row>
    <row r="8617" spans="1:11" ht="39.6" customHeight="1" x14ac:dyDescent="0.3">
      <c r="A8617" s="382" t="s">
        <v>6</v>
      </c>
      <c r="B8617" s="312" t="s">
        <v>414</v>
      </c>
      <c r="C8617" s="382" t="s">
        <v>413</v>
      </c>
      <c r="D8617" s="382" t="s">
        <v>7930</v>
      </c>
      <c r="E8617" s="312" t="s">
        <v>7931</v>
      </c>
      <c r="F8617" s="312" t="s">
        <v>7932</v>
      </c>
      <c r="G8617" s="312" t="s">
        <v>7907</v>
      </c>
      <c r="H8617" s="312" t="s">
        <v>7908</v>
      </c>
      <c r="I8617" s="312" t="s">
        <v>1552</v>
      </c>
      <c r="J8617" s="312" t="s">
        <v>7905</v>
      </c>
      <c r="K8617"/>
    </row>
    <row r="8618" spans="1:11" ht="15" x14ac:dyDescent="0.3">
      <c r="A8618" s="581"/>
      <c r="B8618" s="581"/>
      <c r="C8618" s="581"/>
      <c r="D8618" s="581"/>
      <c r="E8618" s="581"/>
      <c r="F8618" s="581" t="s">
        <v>7933</v>
      </c>
      <c r="G8618" s="581"/>
      <c r="H8618" s="581"/>
      <c r="I8618" s="581"/>
      <c r="J8618" s="381">
        <v>0</v>
      </c>
      <c r="K8618"/>
    </row>
    <row r="8619" spans="1:11" ht="25.5" customHeight="1" x14ac:dyDescent="0.3">
      <c r="A8619" s="405"/>
      <c r="B8619" s="405"/>
      <c r="C8619" s="405"/>
      <c r="D8619" s="405"/>
      <c r="E8619" s="405" t="s">
        <v>1046</v>
      </c>
      <c r="F8619" s="406">
        <v>0</v>
      </c>
      <c r="G8619" s="405" t="s">
        <v>1047</v>
      </c>
      <c r="H8619" s="406">
        <v>0</v>
      </c>
      <c r="I8619" s="405" t="s">
        <v>1048</v>
      </c>
      <c r="J8619" s="406">
        <v>0</v>
      </c>
      <c r="K8619"/>
    </row>
    <row r="8620" spans="1:11" ht="25.5" customHeight="1" thickBot="1" x14ac:dyDescent="0.35">
      <c r="A8620" s="405"/>
      <c r="B8620" s="405"/>
      <c r="C8620" s="405"/>
      <c r="D8620" s="405"/>
      <c r="E8620" s="405" t="s">
        <v>1049</v>
      </c>
      <c r="F8620" s="406">
        <v>0</v>
      </c>
      <c r="G8620" s="405"/>
      <c r="H8620" s="606"/>
      <c r="I8620" s="606" t="s">
        <v>1050</v>
      </c>
      <c r="J8620" s="406">
        <v>0.03</v>
      </c>
      <c r="K8620"/>
    </row>
    <row r="8621" spans="1:11" ht="15.6" thickTop="1" x14ac:dyDescent="0.3">
      <c r="A8621" s="407"/>
      <c r="B8621" s="407"/>
      <c r="C8621" s="407"/>
      <c r="D8621" s="407"/>
      <c r="E8621" s="407"/>
      <c r="F8621" s="407"/>
      <c r="G8621" s="407"/>
      <c r="H8621" s="407"/>
      <c r="I8621" s="407"/>
      <c r="J8621" s="407"/>
      <c r="K8621"/>
    </row>
    <row r="8622" spans="1:11" ht="15" x14ac:dyDescent="0.3">
      <c r="A8622" s="382"/>
      <c r="B8622" s="312" t="s">
        <v>413</v>
      </c>
      <c r="C8622" s="382" t="s">
        <v>414</v>
      </c>
      <c r="D8622" s="382" t="s">
        <v>415</v>
      </c>
      <c r="E8622" s="586" t="s">
        <v>1029</v>
      </c>
      <c r="F8622" s="586"/>
      <c r="G8622" s="383" t="s">
        <v>416</v>
      </c>
      <c r="H8622" s="312" t="s">
        <v>1030</v>
      </c>
      <c r="I8622" s="312" t="s">
        <v>3016</v>
      </c>
      <c r="J8622" s="312" t="s">
        <v>1031</v>
      </c>
      <c r="K8622" s="312" t="s">
        <v>1032</v>
      </c>
    </row>
    <row r="8623" spans="1:11" ht="14.25" customHeight="1" x14ac:dyDescent="0.3">
      <c r="A8623" s="313" t="s">
        <v>1033</v>
      </c>
      <c r="B8623" s="315" t="s">
        <v>1378</v>
      </c>
      <c r="C8623" s="313" t="s">
        <v>439</v>
      </c>
      <c r="D8623" s="313" t="s">
        <v>1379</v>
      </c>
      <c r="E8623" s="603" t="s">
        <v>781</v>
      </c>
      <c r="F8623" s="603"/>
      <c r="G8623" s="314" t="s">
        <v>437</v>
      </c>
      <c r="H8623" s="399">
        <v>1</v>
      </c>
      <c r="I8623" s="316"/>
      <c r="J8623" s="316">
        <v>10.17</v>
      </c>
      <c r="K8623" s="316">
        <v>10.17</v>
      </c>
    </row>
    <row r="8624" spans="1:11" ht="14.25" customHeight="1" x14ac:dyDescent="0.3">
      <c r="A8624" s="408" t="s">
        <v>1034</v>
      </c>
      <c r="B8624" s="409" t="s">
        <v>4835</v>
      </c>
      <c r="C8624" s="408" t="s">
        <v>439</v>
      </c>
      <c r="D8624" s="408" t="s">
        <v>8188</v>
      </c>
      <c r="E8624" s="604" t="s">
        <v>7770</v>
      </c>
      <c r="F8624" s="604"/>
      <c r="G8624" s="410" t="s">
        <v>422</v>
      </c>
      <c r="H8624" s="412">
        <v>0.66666669999999995</v>
      </c>
      <c r="I8624" s="412">
        <v>0</v>
      </c>
      <c r="J8624" s="411">
        <v>6.08</v>
      </c>
      <c r="K8624" s="411">
        <v>4.0533334999999999</v>
      </c>
    </row>
    <row r="8625" spans="1:11" ht="26.4" x14ac:dyDescent="0.3">
      <c r="A8625" s="408" t="s">
        <v>1034</v>
      </c>
      <c r="B8625" s="409" t="s">
        <v>7934</v>
      </c>
      <c r="C8625" s="408" t="s">
        <v>439</v>
      </c>
      <c r="D8625" s="408" t="s">
        <v>296</v>
      </c>
      <c r="E8625" s="604" t="s">
        <v>7770</v>
      </c>
      <c r="F8625" s="604"/>
      <c r="G8625" s="410" t="s">
        <v>1109</v>
      </c>
      <c r="H8625" s="412">
        <v>7.3333300000000004E-2</v>
      </c>
      <c r="I8625" s="412">
        <v>0</v>
      </c>
      <c r="J8625" s="411">
        <v>28.03</v>
      </c>
      <c r="K8625" s="411">
        <v>2.0555324000000001</v>
      </c>
    </row>
    <row r="8626" spans="1:11" ht="17.399999999999999" customHeight="1" x14ac:dyDescent="0.3">
      <c r="A8626" s="408" t="s">
        <v>1034</v>
      </c>
      <c r="B8626" s="409" t="s">
        <v>8160</v>
      </c>
      <c r="C8626" s="408" t="s">
        <v>439</v>
      </c>
      <c r="D8626" s="408" t="s">
        <v>135</v>
      </c>
      <c r="E8626" s="604" t="s">
        <v>7770</v>
      </c>
      <c r="F8626" s="604"/>
      <c r="G8626" s="410" t="s">
        <v>1109</v>
      </c>
      <c r="H8626" s="412">
        <v>1.83333E-2</v>
      </c>
      <c r="I8626" s="412">
        <v>0</v>
      </c>
      <c r="J8626" s="411">
        <v>34.11</v>
      </c>
      <c r="K8626" s="411">
        <v>0.62534889999999999</v>
      </c>
    </row>
    <row r="8627" spans="1:11" ht="25.5" customHeight="1" x14ac:dyDescent="0.3">
      <c r="A8627" s="400" t="s">
        <v>1038</v>
      </c>
      <c r="B8627" s="401" t="s">
        <v>7644</v>
      </c>
      <c r="C8627" s="400" t="s">
        <v>439</v>
      </c>
      <c r="D8627" s="400" t="s">
        <v>4965</v>
      </c>
      <c r="E8627" s="605" t="s">
        <v>1039</v>
      </c>
      <c r="F8627" s="605"/>
      <c r="G8627" s="402" t="s">
        <v>437</v>
      </c>
      <c r="H8627" s="403">
        <v>0.2</v>
      </c>
      <c r="I8627" s="403">
        <v>0</v>
      </c>
      <c r="J8627" s="404">
        <v>3.96</v>
      </c>
      <c r="K8627" s="404">
        <v>0.79200000000000004</v>
      </c>
    </row>
    <row r="8628" spans="1:11" ht="25.5" customHeight="1" x14ac:dyDescent="0.3">
      <c r="A8628" s="400" t="s">
        <v>1038</v>
      </c>
      <c r="B8628" s="401" t="s">
        <v>7609</v>
      </c>
      <c r="C8628" s="400" t="s">
        <v>439</v>
      </c>
      <c r="D8628" s="400" t="s">
        <v>4926</v>
      </c>
      <c r="E8628" s="605" t="s">
        <v>1039</v>
      </c>
      <c r="F8628" s="605"/>
      <c r="G8628" s="402" t="s">
        <v>422</v>
      </c>
      <c r="H8628" s="403">
        <v>0.6666666</v>
      </c>
      <c r="I8628" s="403">
        <v>0</v>
      </c>
      <c r="J8628" s="404">
        <v>2.1800000000000002</v>
      </c>
      <c r="K8628" s="404">
        <v>1.4533332000000001</v>
      </c>
    </row>
    <row r="8629" spans="1:11" ht="25.5" customHeight="1" x14ac:dyDescent="0.3">
      <c r="A8629" s="400" t="s">
        <v>1038</v>
      </c>
      <c r="B8629" s="401" t="s">
        <v>7662</v>
      </c>
      <c r="C8629" s="400" t="s">
        <v>439</v>
      </c>
      <c r="D8629" s="400" t="s">
        <v>1383</v>
      </c>
      <c r="E8629" s="605" t="s">
        <v>1039</v>
      </c>
      <c r="F8629" s="605"/>
      <c r="G8629" s="402" t="s">
        <v>422</v>
      </c>
      <c r="H8629" s="403">
        <v>1.3333333000000001</v>
      </c>
      <c r="I8629" s="403">
        <v>0</v>
      </c>
      <c r="J8629" s="404">
        <v>0.14000000000000001</v>
      </c>
      <c r="K8629" s="404">
        <v>0.18666669999999999</v>
      </c>
    </row>
    <row r="8630" spans="1:11" ht="25.5" customHeight="1" x14ac:dyDescent="0.3">
      <c r="A8630" s="400" t="s">
        <v>1038</v>
      </c>
      <c r="B8630" s="401" t="s">
        <v>7695</v>
      </c>
      <c r="C8630" s="400" t="s">
        <v>439</v>
      </c>
      <c r="D8630" s="400" t="s">
        <v>1380</v>
      </c>
      <c r="E8630" s="605" t="s">
        <v>1039</v>
      </c>
      <c r="F8630" s="605"/>
      <c r="G8630" s="402" t="s">
        <v>422</v>
      </c>
      <c r="H8630" s="403">
        <v>1.3333333000000001</v>
      </c>
      <c r="I8630" s="403">
        <v>0</v>
      </c>
      <c r="J8630" s="404">
        <v>0.18</v>
      </c>
      <c r="K8630" s="404">
        <v>0.24</v>
      </c>
    </row>
    <row r="8631" spans="1:11" ht="26.4" x14ac:dyDescent="0.3">
      <c r="A8631" s="400" t="s">
        <v>1038</v>
      </c>
      <c r="B8631" s="401" t="s">
        <v>7696</v>
      </c>
      <c r="C8631" s="400" t="s">
        <v>439</v>
      </c>
      <c r="D8631" s="400" t="s">
        <v>7697</v>
      </c>
      <c r="E8631" s="605" t="s">
        <v>1039</v>
      </c>
      <c r="F8631" s="605"/>
      <c r="G8631" s="402" t="s">
        <v>422</v>
      </c>
      <c r="H8631" s="403">
        <v>1.3333333000000001</v>
      </c>
      <c r="I8631" s="403">
        <v>0</v>
      </c>
      <c r="J8631" s="404">
        <v>0.32</v>
      </c>
      <c r="K8631" s="404">
        <v>0.42666670000000001</v>
      </c>
    </row>
    <row r="8632" spans="1:11" ht="26.4" x14ac:dyDescent="0.3">
      <c r="A8632" s="400" t="s">
        <v>1038</v>
      </c>
      <c r="B8632" s="401" t="s">
        <v>7700</v>
      </c>
      <c r="C8632" s="400" t="s">
        <v>439</v>
      </c>
      <c r="D8632" s="400" t="s">
        <v>7701</v>
      </c>
      <c r="E8632" s="605" t="s">
        <v>1039</v>
      </c>
      <c r="F8632" s="605"/>
      <c r="G8632" s="402" t="s">
        <v>422</v>
      </c>
      <c r="H8632" s="403">
        <v>1.3333333000000001</v>
      </c>
      <c r="I8632" s="403">
        <v>0</v>
      </c>
      <c r="J8632" s="404">
        <v>0.25</v>
      </c>
      <c r="K8632" s="404">
        <v>0.3333333</v>
      </c>
    </row>
    <row r="8633" spans="1:11" ht="15" x14ac:dyDescent="0.3">
      <c r="A8633" s="405"/>
      <c r="B8633" s="405"/>
      <c r="C8633" s="405"/>
      <c r="D8633" s="405"/>
      <c r="E8633" s="405" t="s">
        <v>1046</v>
      </c>
      <c r="F8633" s="406">
        <v>3.7</v>
      </c>
      <c r="G8633" s="405" t="s">
        <v>1047</v>
      </c>
      <c r="H8633" s="406">
        <v>0</v>
      </c>
      <c r="I8633" s="405" t="s">
        <v>1048</v>
      </c>
      <c r="J8633" s="406">
        <v>3.7</v>
      </c>
      <c r="K8633"/>
    </row>
    <row r="8634" spans="1:11" ht="15.6" thickBot="1" x14ac:dyDescent="0.35">
      <c r="A8634" s="405"/>
      <c r="B8634" s="405"/>
      <c r="C8634" s="405"/>
      <c r="D8634" s="405"/>
      <c r="E8634" s="405" t="s">
        <v>1049</v>
      </c>
      <c r="F8634" s="406">
        <v>0</v>
      </c>
      <c r="G8634" s="405"/>
      <c r="H8634" s="606"/>
      <c r="I8634" s="606" t="s">
        <v>1050</v>
      </c>
      <c r="J8634" s="406">
        <v>10.17</v>
      </c>
      <c r="K8634"/>
    </row>
    <row r="8635" spans="1:11" ht="14.25" customHeight="1" thickTop="1" x14ac:dyDescent="0.3">
      <c r="A8635" s="407"/>
      <c r="B8635" s="407"/>
      <c r="C8635" s="407"/>
      <c r="D8635" s="407"/>
      <c r="E8635" s="407"/>
      <c r="F8635" s="407"/>
      <c r="G8635" s="407"/>
      <c r="H8635" s="407"/>
      <c r="I8635" s="407"/>
      <c r="J8635" s="407"/>
      <c r="K8635"/>
    </row>
    <row r="8636" spans="1:11" ht="14.25" customHeight="1" x14ac:dyDescent="0.3">
      <c r="A8636" s="382"/>
      <c r="B8636" s="312" t="s">
        <v>413</v>
      </c>
      <c r="C8636" s="382" t="s">
        <v>414</v>
      </c>
      <c r="D8636" s="382" t="s">
        <v>415</v>
      </c>
      <c r="E8636" s="586" t="s">
        <v>1029</v>
      </c>
      <c r="F8636" s="586"/>
      <c r="G8636" s="383" t="s">
        <v>416</v>
      </c>
      <c r="H8636" s="312" t="s">
        <v>1030</v>
      </c>
      <c r="I8636" s="312" t="s">
        <v>3016</v>
      </c>
      <c r="J8636" s="312" t="s">
        <v>1031</v>
      </c>
      <c r="K8636" s="312" t="s">
        <v>1032</v>
      </c>
    </row>
    <row r="8637" spans="1:11" ht="52.8" x14ac:dyDescent="0.3">
      <c r="A8637" s="313" t="s">
        <v>1033</v>
      </c>
      <c r="B8637" s="315" t="s">
        <v>5160</v>
      </c>
      <c r="C8637" s="313" t="s">
        <v>395</v>
      </c>
      <c r="D8637" s="313" t="s">
        <v>7796</v>
      </c>
      <c r="E8637" s="603" t="s">
        <v>7797</v>
      </c>
      <c r="F8637" s="603"/>
      <c r="G8637" s="314" t="s">
        <v>7</v>
      </c>
      <c r="H8637" s="399">
        <v>1</v>
      </c>
      <c r="I8637" s="316"/>
      <c r="J8637" s="316">
        <v>12.98</v>
      </c>
      <c r="K8637" s="316">
        <v>12.98</v>
      </c>
    </row>
    <row r="8638" spans="1:11" ht="26.4" x14ac:dyDescent="0.3">
      <c r="A8638" s="408" t="s">
        <v>1034</v>
      </c>
      <c r="B8638" s="409" t="s">
        <v>1113</v>
      </c>
      <c r="C8638" s="408" t="s">
        <v>395</v>
      </c>
      <c r="D8638" s="408" t="s">
        <v>129</v>
      </c>
      <c r="E8638" s="604" t="s">
        <v>7768</v>
      </c>
      <c r="F8638" s="604"/>
      <c r="G8638" s="410" t="s">
        <v>6</v>
      </c>
      <c r="H8638" s="412">
        <v>4.8000000000000001E-2</v>
      </c>
      <c r="I8638" s="412">
        <v>0</v>
      </c>
      <c r="J8638" s="411">
        <v>33.450000000000003</v>
      </c>
      <c r="K8638" s="411">
        <v>1.6055999999999999</v>
      </c>
    </row>
    <row r="8639" spans="1:11" ht="39.6" customHeight="1" x14ac:dyDescent="0.3">
      <c r="A8639" s="408" t="s">
        <v>1034</v>
      </c>
      <c r="B8639" s="409" t="s">
        <v>1112</v>
      </c>
      <c r="C8639" s="408" t="s">
        <v>395</v>
      </c>
      <c r="D8639" s="408" t="s">
        <v>137</v>
      </c>
      <c r="E8639" s="604" t="s">
        <v>7768</v>
      </c>
      <c r="F8639" s="604"/>
      <c r="G8639" s="410" t="s">
        <v>6</v>
      </c>
      <c r="H8639" s="412">
        <v>0.2114</v>
      </c>
      <c r="I8639" s="412">
        <v>0</v>
      </c>
      <c r="J8639" s="411">
        <v>40.299999999999997</v>
      </c>
      <c r="K8639" s="411">
        <v>8.5194200000000002</v>
      </c>
    </row>
    <row r="8640" spans="1:11" ht="26.4" x14ac:dyDescent="0.3">
      <c r="A8640" s="400" t="s">
        <v>1038</v>
      </c>
      <c r="B8640" s="401" t="s">
        <v>6864</v>
      </c>
      <c r="C8640" s="400" t="s">
        <v>395</v>
      </c>
      <c r="D8640" s="400" t="s">
        <v>6865</v>
      </c>
      <c r="E8640" s="605" t="s">
        <v>1039</v>
      </c>
      <c r="F8640" s="605"/>
      <c r="G8640" s="402" t="s">
        <v>4</v>
      </c>
      <c r="H8640" s="403">
        <v>1.7857000000000001</v>
      </c>
      <c r="I8640" s="403">
        <v>0</v>
      </c>
      <c r="J8640" s="404">
        <v>1.6</v>
      </c>
      <c r="K8640" s="404">
        <v>2.8571200000000001</v>
      </c>
    </row>
    <row r="8641" spans="1:11" ht="25.5" customHeight="1" x14ac:dyDescent="0.3">
      <c r="A8641" s="405"/>
      <c r="B8641" s="405"/>
      <c r="C8641" s="405"/>
      <c r="D8641" s="405"/>
      <c r="E8641" s="405" t="s">
        <v>1046</v>
      </c>
      <c r="F8641" s="406">
        <v>7.6</v>
      </c>
      <c r="G8641" s="405" t="s">
        <v>1047</v>
      </c>
      <c r="H8641" s="406">
        <v>0</v>
      </c>
      <c r="I8641" s="405" t="s">
        <v>1048</v>
      </c>
      <c r="J8641" s="406">
        <v>7.6</v>
      </c>
      <c r="K8641"/>
    </row>
    <row r="8642" spans="1:11" ht="25.5" customHeight="1" thickBot="1" x14ac:dyDescent="0.35">
      <c r="A8642" s="405"/>
      <c r="B8642" s="405"/>
      <c r="C8642" s="405"/>
      <c r="D8642" s="405"/>
      <c r="E8642" s="405" t="s">
        <v>1049</v>
      </c>
      <c r="F8642" s="406">
        <v>0</v>
      </c>
      <c r="G8642" s="405"/>
      <c r="H8642" s="606"/>
      <c r="I8642" s="606" t="s">
        <v>1050</v>
      </c>
      <c r="J8642" s="406">
        <v>12.98</v>
      </c>
      <c r="K8642"/>
    </row>
    <row r="8643" spans="1:11" ht="15.6" thickTop="1" x14ac:dyDescent="0.3">
      <c r="A8643" s="407"/>
      <c r="B8643" s="407"/>
      <c r="C8643" s="407"/>
      <c r="D8643" s="407"/>
      <c r="E8643" s="407"/>
      <c r="F8643" s="407"/>
      <c r="G8643" s="407"/>
      <c r="H8643" s="407"/>
      <c r="I8643" s="407"/>
      <c r="J8643" s="407"/>
      <c r="K8643"/>
    </row>
    <row r="8644" spans="1:11" ht="15" x14ac:dyDescent="0.3">
      <c r="A8644" s="382"/>
      <c r="B8644" s="312" t="s">
        <v>413</v>
      </c>
      <c r="C8644" s="382" t="s">
        <v>414</v>
      </c>
      <c r="D8644" s="382" t="s">
        <v>415</v>
      </c>
      <c r="E8644" s="586" t="s">
        <v>1029</v>
      </c>
      <c r="F8644" s="586"/>
      <c r="G8644" s="383" t="s">
        <v>416</v>
      </c>
      <c r="H8644" s="312" t="s">
        <v>1030</v>
      </c>
      <c r="I8644" s="312" t="s">
        <v>3016</v>
      </c>
      <c r="J8644" s="312" t="s">
        <v>1031</v>
      </c>
      <c r="K8644" s="312" t="s">
        <v>1032</v>
      </c>
    </row>
    <row r="8645" spans="1:11" ht="14.25" customHeight="1" x14ac:dyDescent="0.3">
      <c r="A8645" s="313" t="s">
        <v>1033</v>
      </c>
      <c r="B8645" s="315" t="s">
        <v>5164</v>
      </c>
      <c r="C8645" s="313" t="s">
        <v>395</v>
      </c>
      <c r="D8645" s="313" t="s">
        <v>7804</v>
      </c>
      <c r="E8645" s="603" t="s">
        <v>7797</v>
      </c>
      <c r="F8645" s="603"/>
      <c r="G8645" s="314" t="s">
        <v>7</v>
      </c>
      <c r="H8645" s="399">
        <v>1</v>
      </c>
      <c r="I8645" s="316"/>
      <c r="J8645" s="316">
        <v>4.8499999999999996</v>
      </c>
      <c r="K8645" s="316">
        <v>4.8499999999999996</v>
      </c>
    </row>
    <row r="8646" spans="1:11" ht="14.25" customHeight="1" x14ac:dyDescent="0.3">
      <c r="A8646" s="408" t="s">
        <v>1034</v>
      </c>
      <c r="B8646" s="409" t="s">
        <v>1113</v>
      </c>
      <c r="C8646" s="408" t="s">
        <v>395</v>
      </c>
      <c r="D8646" s="408" t="s">
        <v>129</v>
      </c>
      <c r="E8646" s="604" t="s">
        <v>7768</v>
      </c>
      <c r="F8646" s="604"/>
      <c r="G8646" s="410" t="s">
        <v>6</v>
      </c>
      <c r="H8646" s="412">
        <v>1.7899999999999999E-2</v>
      </c>
      <c r="I8646" s="412">
        <v>0</v>
      </c>
      <c r="J8646" s="411">
        <v>33.450000000000003</v>
      </c>
      <c r="K8646" s="411">
        <v>0.59875500000000004</v>
      </c>
    </row>
    <row r="8647" spans="1:11" ht="26.4" x14ac:dyDescent="0.3">
      <c r="A8647" s="408" t="s">
        <v>1034</v>
      </c>
      <c r="B8647" s="409" t="s">
        <v>1112</v>
      </c>
      <c r="C8647" s="408" t="s">
        <v>395</v>
      </c>
      <c r="D8647" s="408" t="s">
        <v>137</v>
      </c>
      <c r="E8647" s="604" t="s">
        <v>7768</v>
      </c>
      <c r="F8647" s="604"/>
      <c r="G8647" s="410" t="s">
        <v>6</v>
      </c>
      <c r="H8647" s="412">
        <v>7.8899999999999998E-2</v>
      </c>
      <c r="I8647" s="412">
        <v>0</v>
      </c>
      <c r="J8647" s="411">
        <v>40.299999999999997</v>
      </c>
      <c r="K8647" s="411">
        <v>3.1796700000000002</v>
      </c>
    </row>
    <row r="8648" spans="1:11" ht="26.4" x14ac:dyDescent="0.3">
      <c r="A8648" s="400" t="s">
        <v>1038</v>
      </c>
      <c r="B8648" s="401" t="s">
        <v>6864</v>
      </c>
      <c r="C8648" s="400" t="s">
        <v>395</v>
      </c>
      <c r="D8648" s="400" t="s">
        <v>6865</v>
      </c>
      <c r="E8648" s="605" t="s">
        <v>1039</v>
      </c>
      <c r="F8648" s="605"/>
      <c r="G8648" s="402" t="s">
        <v>4</v>
      </c>
      <c r="H8648" s="403">
        <v>0.66669999999999996</v>
      </c>
      <c r="I8648" s="403">
        <v>0</v>
      </c>
      <c r="J8648" s="404">
        <v>1.6</v>
      </c>
      <c r="K8648" s="404">
        <v>1.0667199999999999</v>
      </c>
    </row>
    <row r="8649" spans="1:11" ht="25.5" customHeight="1" x14ac:dyDescent="0.3">
      <c r="A8649" s="405"/>
      <c r="B8649" s="405"/>
      <c r="C8649" s="405"/>
      <c r="D8649" s="405"/>
      <c r="E8649" s="405" t="s">
        <v>1046</v>
      </c>
      <c r="F8649" s="406">
        <v>2.83</v>
      </c>
      <c r="G8649" s="405" t="s">
        <v>1047</v>
      </c>
      <c r="H8649" s="406">
        <v>0</v>
      </c>
      <c r="I8649" s="405" t="s">
        <v>1048</v>
      </c>
      <c r="J8649" s="406">
        <v>2.83</v>
      </c>
      <c r="K8649"/>
    </row>
    <row r="8650" spans="1:11" ht="25.5" customHeight="1" thickBot="1" x14ac:dyDescent="0.35">
      <c r="A8650" s="405"/>
      <c r="B8650" s="405"/>
      <c r="C8650" s="405"/>
      <c r="D8650" s="405"/>
      <c r="E8650" s="405" t="s">
        <v>1049</v>
      </c>
      <c r="F8650" s="406">
        <v>0</v>
      </c>
      <c r="G8650" s="405"/>
      <c r="H8650" s="606"/>
      <c r="I8650" s="606" t="s">
        <v>1050</v>
      </c>
      <c r="J8650" s="406">
        <v>4.8499999999999996</v>
      </c>
      <c r="K8650"/>
    </row>
    <row r="8651" spans="1:11" ht="25.5" customHeight="1" thickTop="1" x14ac:dyDescent="0.3">
      <c r="A8651" s="407"/>
      <c r="B8651" s="407"/>
      <c r="C8651" s="407"/>
      <c r="D8651" s="407"/>
      <c r="E8651" s="407"/>
      <c r="F8651" s="407"/>
      <c r="G8651" s="407"/>
      <c r="H8651" s="407"/>
      <c r="I8651" s="407"/>
      <c r="J8651" s="407"/>
      <c r="K8651"/>
    </row>
    <row r="8652" spans="1:11" ht="17.399999999999999" customHeight="1" x14ac:dyDescent="0.3">
      <c r="A8652" s="382"/>
      <c r="B8652" s="312" t="s">
        <v>413</v>
      </c>
      <c r="C8652" s="382" t="s">
        <v>414</v>
      </c>
      <c r="D8652" s="382" t="s">
        <v>415</v>
      </c>
      <c r="E8652" s="586" t="s">
        <v>1029</v>
      </c>
      <c r="F8652" s="586"/>
      <c r="G8652" s="383" t="s">
        <v>416</v>
      </c>
      <c r="H8652" s="312" t="s">
        <v>1030</v>
      </c>
      <c r="I8652" s="312" t="s">
        <v>3016</v>
      </c>
      <c r="J8652" s="312" t="s">
        <v>1031</v>
      </c>
      <c r="K8652" s="312" t="s">
        <v>1032</v>
      </c>
    </row>
    <row r="8653" spans="1:11" ht="14.25" customHeight="1" x14ac:dyDescent="0.3">
      <c r="A8653" s="313" t="s">
        <v>1033</v>
      </c>
      <c r="B8653" s="315" t="s">
        <v>7889</v>
      </c>
      <c r="C8653" s="313" t="s">
        <v>5902</v>
      </c>
      <c r="D8653" s="313" t="s">
        <v>7890</v>
      </c>
      <c r="E8653" s="603">
        <v>15.03</v>
      </c>
      <c r="F8653" s="603"/>
      <c r="G8653" s="314" t="s">
        <v>3</v>
      </c>
      <c r="H8653" s="399">
        <v>1</v>
      </c>
      <c r="I8653" s="316"/>
      <c r="J8653" s="316">
        <v>16.97</v>
      </c>
      <c r="K8653" s="316">
        <v>16.97</v>
      </c>
    </row>
    <row r="8654" spans="1:11" ht="14.25" customHeight="1" x14ac:dyDescent="0.3">
      <c r="A8654" s="400" t="s">
        <v>1038</v>
      </c>
      <c r="B8654" s="401" t="s">
        <v>7295</v>
      </c>
      <c r="C8654" s="400" t="s">
        <v>5902</v>
      </c>
      <c r="D8654" s="400" t="s">
        <v>7296</v>
      </c>
      <c r="E8654" s="605" t="s">
        <v>1053</v>
      </c>
      <c r="F8654" s="605"/>
      <c r="G8654" s="402" t="s">
        <v>6</v>
      </c>
      <c r="H8654" s="403">
        <v>0.11</v>
      </c>
      <c r="I8654" s="403">
        <v>0</v>
      </c>
      <c r="J8654" s="404">
        <v>22.71</v>
      </c>
      <c r="K8654" s="404">
        <v>2.4981</v>
      </c>
    </row>
    <row r="8655" spans="1:11" ht="30" customHeight="1" x14ac:dyDescent="0.3">
      <c r="A8655" s="400" t="s">
        <v>1038</v>
      </c>
      <c r="B8655" s="401" t="s">
        <v>2331</v>
      </c>
      <c r="C8655" s="400" t="s">
        <v>5902</v>
      </c>
      <c r="D8655" s="400" t="s">
        <v>2332</v>
      </c>
      <c r="E8655" s="605" t="s">
        <v>1053</v>
      </c>
      <c r="F8655" s="605"/>
      <c r="G8655" s="402" t="s">
        <v>6</v>
      </c>
      <c r="H8655" s="403">
        <v>0.11</v>
      </c>
      <c r="I8655" s="403">
        <v>0</v>
      </c>
      <c r="J8655" s="404">
        <v>36.06</v>
      </c>
      <c r="K8655" s="404">
        <v>3.9666000000000001</v>
      </c>
    </row>
    <row r="8656" spans="1:11" ht="30" customHeight="1" x14ac:dyDescent="0.3">
      <c r="A8656" s="400" t="s">
        <v>1038</v>
      </c>
      <c r="B8656" s="401" t="s">
        <v>6957</v>
      </c>
      <c r="C8656" s="400" t="s">
        <v>5902</v>
      </c>
      <c r="D8656" s="400" t="s">
        <v>6958</v>
      </c>
      <c r="E8656" s="605" t="s">
        <v>1039</v>
      </c>
      <c r="F8656" s="605"/>
      <c r="G8656" s="402" t="s">
        <v>7</v>
      </c>
      <c r="H8656" s="403">
        <v>0.16420000000000001</v>
      </c>
      <c r="I8656" s="403">
        <v>0</v>
      </c>
      <c r="J8656" s="404">
        <v>63.01</v>
      </c>
      <c r="K8656" s="404">
        <v>10.346242</v>
      </c>
    </row>
    <row r="8657" spans="1:11" ht="12.75" customHeight="1" x14ac:dyDescent="0.3">
      <c r="A8657" s="400" t="s">
        <v>1038</v>
      </c>
      <c r="B8657" s="401" t="s">
        <v>7655</v>
      </c>
      <c r="C8657" s="400" t="s">
        <v>5902</v>
      </c>
      <c r="D8657" s="400" t="s">
        <v>7656</v>
      </c>
      <c r="E8657" s="605" t="s">
        <v>1039</v>
      </c>
      <c r="F8657" s="605"/>
      <c r="G8657" s="402" t="s">
        <v>3</v>
      </c>
      <c r="H8657" s="403">
        <v>1.6799999999999999E-2</v>
      </c>
      <c r="I8657" s="403">
        <v>0</v>
      </c>
      <c r="J8657" s="404">
        <v>9.24</v>
      </c>
      <c r="K8657" s="404">
        <v>0.15523200000000001</v>
      </c>
    </row>
    <row r="8658" spans="1:11" ht="12.75" customHeight="1" x14ac:dyDescent="0.3">
      <c r="A8658" s="405"/>
      <c r="B8658" s="405"/>
      <c r="C8658" s="405"/>
      <c r="D8658" s="405"/>
      <c r="E8658" s="405" t="s">
        <v>1046</v>
      </c>
      <c r="F8658" s="406">
        <v>6.47</v>
      </c>
      <c r="G8658" s="405" t="s">
        <v>1047</v>
      </c>
      <c r="H8658" s="406">
        <v>0</v>
      </c>
      <c r="I8658" s="405" t="s">
        <v>1048</v>
      </c>
      <c r="J8658" s="406">
        <v>6.47</v>
      </c>
      <c r="K8658"/>
    </row>
    <row r="8659" spans="1:11" ht="25.5" customHeight="1" thickBot="1" x14ac:dyDescent="0.35">
      <c r="A8659" s="405"/>
      <c r="B8659" s="405"/>
      <c r="C8659" s="405"/>
      <c r="D8659" s="405"/>
      <c r="E8659" s="405" t="s">
        <v>1049</v>
      </c>
      <c r="F8659" s="406">
        <v>0</v>
      </c>
      <c r="G8659" s="405"/>
      <c r="H8659" s="606"/>
      <c r="I8659" s="606" t="s">
        <v>1050</v>
      </c>
      <c r="J8659" s="406">
        <v>16.97</v>
      </c>
      <c r="K8659"/>
    </row>
    <row r="8660" spans="1:11" ht="25.5" customHeight="1" thickTop="1" x14ac:dyDescent="0.3">
      <c r="A8660" s="407"/>
      <c r="B8660" s="407"/>
      <c r="C8660" s="407"/>
      <c r="D8660" s="407"/>
      <c r="E8660" s="407"/>
      <c r="F8660" s="407"/>
      <c r="G8660" s="407"/>
      <c r="H8660" s="407"/>
      <c r="I8660" s="407"/>
      <c r="J8660" s="407"/>
      <c r="K8660"/>
    </row>
    <row r="8661" spans="1:11" ht="15" x14ac:dyDescent="0.3">
      <c r="A8661" s="382"/>
      <c r="B8661" s="312" t="s">
        <v>413</v>
      </c>
      <c r="C8661" s="382" t="s">
        <v>414</v>
      </c>
      <c r="D8661" s="382" t="s">
        <v>415</v>
      </c>
      <c r="E8661" s="586" t="s">
        <v>1029</v>
      </c>
      <c r="F8661" s="586"/>
      <c r="G8661" s="383" t="s">
        <v>416</v>
      </c>
      <c r="H8661" s="312" t="s">
        <v>1030</v>
      </c>
      <c r="I8661" s="312" t="s">
        <v>3016</v>
      </c>
      <c r="J8661" s="312" t="s">
        <v>1031</v>
      </c>
      <c r="K8661" s="312" t="s">
        <v>1032</v>
      </c>
    </row>
    <row r="8662" spans="1:11" ht="14.25" customHeight="1" x14ac:dyDescent="0.3">
      <c r="A8662" s="313" t="s">
        <v>1033</v>
      </c>
      <c r="B8662" s="315" t="s">
        <v>8189</v>
      </c>
      <c r="C8662" s="313" t="s">
        <v>395</v>
      </c>
      <c r="D8662" s="313" t="s">
        <v>8190</v>
      </c>
      <c r="E8662" s="603" t="s">
        <v>7772</v>
      </c>
      <c r="F8662" s="603"/>
      <c r="G8662" s="314" t="s">
        <v>19</v>
      </c>
      <c r="H8662" s="399">
        <v>1</v>
      </c>
      <c r="I8662" s="316"/>
      <c r="J8662" s="316">
        <v>9.5500000000000007</v>
      </c>
      <c r="K8662" s="316">
        <v>9.5500000000000007</v>
      </c>
    </row>
    <row r="8663" spans="1:11" ht="14.25" customHeight="1" x14ac:dyDescent="0.3">
      <c r="A8663" s="581"/>
      <c r="B8663" s="581"/>
      <c r="C8663" s="581"/>
      <c r="D8663" s="581"/>
      <c r="E8663" s="581"/>
      <c r="F8663" s="581" t="s">
        <v>7961</v>
      </c>
      <c r="G8663" s="581"/>
      <c r="H8663" s="581"/>
      <c r="I8663" s="581"/>
      <c r="J8663" s="413">
        <v>0</v>
      </c>
      <c r="K8663"/>
    </row>
    <row r="8664" spans="1:11" ht="15" x14ac:dyDescent="0.3">
      <c r="A8664" s="581"/>
      <c r="B8664" s="581"/>
      <c r="C8664" s="581"/>
      <c r="D8664" s="581"/>
      <c r="E8664" s="581"/>
      <c r="F8664" s="581" t="s">
        <v>7962</v>
      </c>
      <c r="G8664" s="581"/>
      <c r="H8664" s="581"/>
      <c r="I8664" s="581"/>
      <c r="J8664" s="413">
        <v>0</v>
      </c>
      <c r="K8664"/>
    </row>
    <row r="8665" spans="1:11" ht="17.399999999999999" customHeight="1" x14ac:dyDescent="0.3">
      <c r="A8665" s="581"/>
      <c r="B8665" s="581"/>
      <c r="C8665" s="581"/>
      <c r="D8665" s="581"/>
      <c r="E8665" s="581"/>
      <c r="F8665" s="581" t="s">
        <v>7963</v>
      </c>
      <c r="G8665" s="581"/>
      <c r="H8665" s="581"/>
      <c r="I8665" s="581"/>
      <c r="J8665" s="413">
        <v>0</v>
      </c>
      <c r="K8665"/>
    </row>
    <row r="8666" spans="1:11" ht="12.75" customHeight="1" x14ac:dyDescent="0.3">
      <c r="A8666" s="581"/>
      <c r="B8666" s="581"/>
      <c r="C8666" s="581"/>
      <c r="D8666" s="581"/>
      <c r="E8666" s="581"/>
      <c r="F8666" s="581" t="s">
        <v>7964</v>
      </c>
      <c r="G8666" s="581"/>
      <c r="H8666" s="581"/>
      <c r="I8666" s="581"/>
      <c r="J8666" s="413">
        <v>0</v>
      </c>
      <c r="K8666"/>
    </row>
    <row r="8667" spans="1:11" ht="12.75" customHeight="1" x14ac:dyDescent="0.3">
      <c r="A8667" s="581"/>
      <c r="B8667" s="581"/>
      <c r="C8667" s="581"/>
      <c r="D8667" s="581"/>
      <c r="E8667" s="581"/>
      <c r="F8667" s="581" t="s">
        <v>7965</v>
      </c>
      <c r="G8667" s="581"/>
      <c r="H8667" s="581"/>
      <c r="I8667" s="581"/>
      <c r="J8667" s="413">
        <v>0</v>
      </c>
      <c r="K8667"/>
    </row>
    <row r="8668" spans="1:11" ht="25.5" customHeight="1" x14ac:dyDescent="0.3">
      <c r="A8668" s="382" t="s">
        <v>7969</v>
      </c>
      <c r="B8668" s="312" t="s">
        <v>414</v>
      </c>
      <c r="C8668" s="382" t="s">
        <v>413</v>
      </c>
      <c r="D8668" s="382" t="s">
        <v>7970</v>
      </c>
      <c r="E8668" s="312" t="s">
        <v>1552</v>
      </c>
      <c r="F8668" s="312" t="s">
        <v>7907</v>
      </c>
      <c r="G8668" s="584" t="s">
        <v>7967</v>
      </c>
      <c r="H8668" s="584"/>
      <c r="I8668" s="584"/>
      <c r="J8668" s="312" t="s">
        <v>7905</v>
      </c>
      <c r="K8668"/>
    </row>
    <row r="8669" spans="1:11" ht="25.5" customHeight="1" x14ac:dyDescent="0.3">
      <c r="A8669" s="408" t="s">
        <v>7922</v>
      </c>
      <c r="B8669" s="409" t="s">
        <v>395</v>
      </c>
      <c r="C8669" s="408">
        <v>93423</v>
      </c>
      <c r="D8669" s="408" t="s">
        <v>8191</v>
      </c>
      <c r="E8669" s="412">
        <v>1</v>
      </c>
      <c r="F8669" s="410" t="s">
        <v>6</v>
      </c>
      <c r="G8669" s="608">
        <v>7.06</v>
      </c>
      <c r="H8669" s="608"/>
      <c r="I8669" s="604"/>
      <c r="J8669" s="415">
        <v>7.06</v>
      </c>
      <c r="K8669"/>
    </row>
    <row r="8670" spans="1:11" ht="26.4" x14ac:dyDescent="0.3">
      <c r="A8670" s="408" t="s">
        <v>7922</v>
      </c>
      <c r="B8670" s="409" t="s">
        <v>395</v>
      </c>
      <c r="C8670" s="408">
        <v>93424</v>
      </c>
      <c r="D8670" s="408" t="s">
        <v>8192</v>
      </c>
      <c r="E8670" s="412">
        <v>1</v>
      </c>
      <c r="F8670" s="410" t="s">
        <v>6</v>
      </c>
      <c r="G8670" s="608">
        <v>2.4900000000000002</v>
      </c>
      <c r="H8670" s="608"/>
      <c r="I8670" s="604"/>
      <c r="J8670" s="415">
        <v>2.4900000000000002</v>
      </c>
      <c r="K8670"/>
    </row>
    <row r="8671" spans="1:11" ht="14.25" customHeight="1" x14ac:dyDescent="0.3">
      <c r="A8671" s="581"/>
      <c r="B8671" s="581"/>
      <c r="C8671" s="581"/>
      <c r="D8671" s="581"/>
      <c r="E8671" s="581"/>
      <c r="F8671" s="581" t="s">
        <v>7971</v>
      </c>
      <c r="G8671" s="581"/>
      <c r="H8671" s="581"/>
      <c r="I8671" s="581"/>
      <c r="J8671" s="413">
        <v>9.5500000000000007</v>
      </c>
      <c r="K8671"/>
    </row>
    <row r="8672" spans="1:11" ht="14.25" customHeight="1" x14ac:dyDescent="0.3">
      <c r="A8672" s="405"/>
      <c r="B8672" s="405"/>
      <c r="C8672" s="405"/>
      <c r="D8672" s="405"/>
      <c r="E8672" s="405" t="s">
        <v>1046</v>
      </c>
      <c r="F8672" s="406">
        <v>0</v>
      </c>
      <c r="G8672" s="405" t="s">
        <v>1047</v>
      </c>
      <c r="H8672" s="406">
        <v>0</v>
      </c>
      <c r="I8672" s="405" t="s">
        <v>1048</v>
      </c>
      <c r="J8672" s="406">
        <v>0</v>
      </c>
      <c r="K8672"/>
    </row>
    <row r="8673" spans="1:11" ht="15.6" thickBot="1" x14ac:dyDescent="0.35">
      <c r="A8673" s="405"/>
      <c r="B8673" s="405"/>
      <c r="C8673" s="405"/>
      <c r="D8673" s="405"/>
      <c r="E8673" s="405" t="s">
        <v>1049</v>
      </c>
      <c r="F8673" s="406">
        <v>0</v>
      </c>
      <c r="G8673" s="405"/>
      <c r="H8673" s="606"/>
      <c r="I8673" s="606" t="s">
        <v>1050</v>
      </c>
      <c r="J8673" s="406">
        <v>9.5500000000000007</v>
      </c>
      <c r="K8673"/>
    </row>
    <row r="8674" spans="1:11" ht="15.6" thickTop="1" x14ac:dyDescent="0.3">
      <c r="A8674" s="407"/>
      <c r="B8674" s="407"/>
      <c r="C8674" s="407"/>
      <c r="D8674" s="407"/>
      <c r="E8674" s="407"/>
      <c r="F8674" s="407"/>
      <c r="G8674" s="407"/>
      <c r="H8674" s="407"/>
      <c r="I8674" s="407"/>
      <c r="J8674" s="407"/>
      <c r="K8674"/>
    </row>
    <row r="8675" spans="1:11" ht="12.75" customHeight="1" x14ac:dyDescent="0.3">
      <c r="A8675" s="382"/>
      <c r="B8675" s="312" t="s">
        <v>413</v>
      </c>
      <c r="C8675" s="382" t="s">
        <v>414</v>
      </c>
      <c r="D8675" s="382" t="s">
        <v>415</v>
      </c>
      <c r="E8675" s="586" t="s">
        <v>1029</v>
      </c>
      <c r="F8675" s="586"/>
      <c r="G8675" s="383" t="s">
        <v>416</v>
      </c>
      <c r="H8675" s="312" t="s">
        <v>1030</v>
      </c>
      <c r="I8675" s="312" t="s">
        <v>3016</v>
      </c>
      <c r="J8675" s="312" t="s">
        <v>1031</v>
      </c>
      <c r="K8675" s="312" t="s">
        <v>1032</v>
      </c>
    </row>
    <row r="8676" spans="1:11" ht="12.75" customHeight="1" x14ac:dyDescent="0.3">
      <c r="A8676" s="313" t="s">
        <v>1033</v>
      </c>
      <c r="B8676" s="315" t="s">
        <v>8193</v>
      </c>
      <c r="C8676" s="313" t="s">
        <v>395</v>
      </c>
      <c r="D8676" s="313" t="s">
        <v>8194</v>
      </c>
      <c r="E8676" s="603" t="s">
        <v>7772</v>
      </c>
      <c r="F8676" s="603"/>
      <c r="G8676" s="314" t="s">
        <v>15</v>
      </c>
      <c r="H8676" s="399">
        <v>1</v>
      </c>
      <c r="I8676" s="316"/>
      <c r="J8676" s="316">
        <v>205.52</v>
      </c>
      <c r="K8676" s="316">
        <v>205.52</v>
      </c>
    </row>
    <row r="8677" spans="1:11" ht="25.5" customHeight="1" x14ac:dyDescent="0.3">
      <c r="A8677" s="408" t="s">
        <v>1034</v>
      </c>
      <c r="B8677" s="409" t="s">
        <v>8195</v>
      </c>
      <c r="C8677" s="408" t="s">
        <v>395</v>
      </c>
      <c r="D8677" s="408" t="s">
        <v>8191</v>
      </c>
      <c r="E8677" s="604" t="s">
        <v>7946</v>
      </c>
      <c r="F8677" s="604"/>
      <c r="G8677" s="410" t="s">
        <v>6</v>
      </c>
      <c r="H8677" s="412">
        <v>1</v>
      </c>
      <c r="I8677" s="412">
        <v>0</v>
      </c>
      <c r="J8677" s="411">
        <v>7.06</v>
      </c>
      <c r="K8677" s="411">
        <v>7.06</v>
      </c>
    </row>
    <row r="8678" spans="1:11" ht="25.5" customHeight="1" x14ac:dyDescent="0.3">
      <c r="A8678" s="408" t="s">
        <v>1034</v>
      </c>
      <c r="B8678" s="409" t="s">
        <v>8196</v>
      </c>
      <c r="C8678" s="408" t="s">
        <v>395</v>
      </c>
      <c r="D8678" s="408" t="s">
        <v>8192</v>
      </c>
      <c r="E8678" s="604" t="s">
        <v>7946</v>
      </c>
      <c r="F8678" s="604"/>
      <c r="G8678" s="410" t="s">
        <v>6</v>
      </c>
      <c r="H8678" s="412">
        <v>1</v>
      </c>
      <c r="I8678" s="412">
        <v>0</v>
      </c>
      <c r="J8678" s="411">
        <v>2.4900000000000002</v>
      </c>
      <c r="K8678" s="411">
        <v>2.4900000000000002</v>
      </c>
    </row>
    <row r="8679" spans="1:11" ht="26.4" x14ac:dyDescent="0.3">
      <c r="A8679" s="408" t="s">
        <v>1034</v>
      </c>
      <c r="B8679" s="409" t="s">
        <v>8197</v>
      </c>
      <c r="C8679" s="408" t="s">
        <v>395</v>
      </c>
      <c r="D8679" s="408" t="s">
        <v>8198</v>
      </c>
      <c r="E8679" s="604" t="s">
        <v>7946</v>
      </c>
      <c r="F8679" s="604"/>
      <c r="G8679" s="410" t="s">
        <v>6</v>
      </c>
      <c r="H8679" s="412">
        <v>1</v>
      </c>
      <c r="I8679" s="412">
        <v>0</v>
      </c>
      <c r="J8679" s="411">
        <v>6.3</v>
      </c>
      <c r="K8679" s="411">
        <v>6.3</v>
      </c>
    </row>
    <row r="8680" spans="1:11" ht="14.25" customHeight="1" x14ac:dyDescent="0.3">
      <c r="A8680" s="408" t="s">
        <v>1034</v>
      </c>
      <c r="B8680" s="409" t="s">
        <v>8199</v>
      </c>
      <c r="C8680" s="408" t="s">
        <v>395</v>
      </c>
      <c r="D8680" s="408" t="s">
        <v>8200</v>
      </c>
      <c r="E8680" s="604" t="s">
        <v>7946</v>
      </c>
      <c r="F8680" s="604"/>
      <c r="G8680" s="410" t="s">
        <v>6</v>
      </c>
      <c r="H8680" s="412">
        <v>1</v>
      </c>
      <c r="I8680" s="412">
        <v>0</v>
      </c>
      <c r="J8680" s="411">
        <v>189.67</v>
      </c>
      <c r="K8680" s="411">
        <v>189.67</v>
      </c>
    </row>
    <row r="8681" spans="1:11" ht="14.25" customHeight="1" x14ac:dyDescent="0.3">
      <c r="A8681" s="405"/>
      <c r="B8681" s="405"/>
      <c r="C8681" s="405"/>
      <c r="D8681" s="405"/>
      <c r="E8681" s="405" t="s">
        <v>1046</v>
      </c>
      <c r="F8681" s="406">
        <v>0</v>
      </c>
      <c r="G8681" s="405" t="s">
        <v>1047</v>
      </c>
      <c r="H8681" s="406">
        <v>0</v>
      </c>
      <c r="I8681" s="405" t="s">
        <v>1048</v>
      </c>
      <c r="J8681" s="406">
        <v>0</v>
      </c>
      <c r="K8681"/>
    </row>
    <row r="8682" spans="1:11" ht="30" customHeight="1" thickBot="1" x14ac:dyDescent="0.35">
      <c r="A8682" s="405"/>
      <c r="B8682" s="405"/>
      <c r="C8682" s="405"/>
      <c r="D8682" s="405"/>
      <c r="E8682" s="405" t="s">
        <v>1049</v>
      </c>
      <c r="F8682" s="406">
        <v>0</v>
      </c>
      <c r="G8682" s="405"/>
      <c r="H8682" s="606"/>
      <c r="I8682" s="606" t="s">
        <v>1050</v>
      </c>
      <c r="J8682" s="406">
        <v>205.52</v>
      </c>
      <c r="K8682"/>
    </row>
    <row r="8683" spans="1:11" ht="15.6" thickTop="1" x14ac:dyDescent="0.3">
      <c r="A8683" s="407"/>
      <c r="B8683" s="407"/>
      <c r="C8683" s="407"/>
      <c r="D8683" s="407"/>
      <c r="E8683" s="407"/>
      <c r="F8683" s="407"/>
      <c r="G8683" s="407"/>
      <c r="H8683" s="407"/>
      <c r="I8683" s="407"/>
      <c r="J8683" s="407"/>
      <c r="K8683"/>
    </row>
    <row r="8684" spans="1:11" ht="12.75" customHeight="1" x14ac:dyDescent="0.3">
      <c r="A8684" s="382"/>
      <c r="B8684" s="312" t="s">
        <v>413</v>
      </c>
      <c r="C8684" s="382" t="s">
        <v>414</v>
      </c>
      <c r="D8684" s="382" t="s">
        <v>415</v>
      </c>
      <c r="E8684" s="586" t="s">
        <v>1029</v>
      </c>
      <c r="F8684" s="586"/>
      <c r="G8684" s="383" t="s">
        <v>416</v>
      </c>
      <c r="H8684" s="312" t="s">
        <v>1030</v>
      </c>
      <c r="I8684" s="312" t="s">
        <v>3016</v>
      </c>
      <c r="J8684" s="312" t="s">
        <v>1031</v>
      </c>
      <c r="K8684" s="312" t="s">
        <v>1032</v>
      </c>
    </row>
    <row r="8685" spans="1:11" ht="12.75" customHeight="1" x14ac:dyDescent="0.3">
      <c r="A8685" s="313" t="s">
        <v>1033</v>
      </c>
      <c r="B8685" s="315" t="s">
        <v>8195</v>
      </c>
      <c r="C8685" s="313" t="s">
        <v>395</v>
      </c>
      <c r="D8685" s="313" t="s">
        <v>8191</v>
      </c>
      <c r="E8685" s="603" t="s">
        <v>7946</v>
      </c>
      <c r="F8685" s="603"/>
      <c r="G8685" s="314" t="s">
        <v>6</v>
      </c>
      <c r="H8685" s="399">
        <v>1</v>
      </c>
      <c r="I8685" s="316"/>
      <c r="J8685" s="316">
        <v>7.06</v>
      </c>
      <c r="K8685" s="316">
        <v>7.06</v>
      </c>
    </row>
    <row r="8686" spans="1:11" ht="25.5" customHeight="1" x14ac:dyDescent="0.3">
      <c r="A8686" s="400" t="s">
        <v>1038</v>
      </c>
      <c r="B8686" s="401" t="s">
        <v>5075</v>
      </c>
      <c r="C8686" s="400" t="s">
        <v>395</v>
      </c>
      <c r="D8686" s="400" t="s">
        <v>5076</v>
      </c>
      <c r="E8686" s="605" t="s">
        <v>1317</v>
      </c>
      <c r="F8686" s="605"/>
      <c r="G8686" s="402" t="s">
        <v>4</v>
      </c>
      <c r="H8686" s="403">
        <v>4.0000000000000003E-5</v>
      </c>
      <c r="I8686" s="403">
        <v>0</v>
      </c>
      <c r="J8686" s="404">
        <v>176513.59</v>
      </c>
      <c r="K8686" s="404">
        <v>7.0605435999999999</v>
      </c>
    </row>
    <row r="8687" spans="1:11" ht="25.5" customHeight="1" x14ac:dyDescent="0.3">
      <c r="A8687" s="405"/>
      <c r="B8687" s="405"/>
      <c r="C8687" s="405"/>
      <c r="D8687" s="405"/>
      <c r="E8687" s="405" t="s">
        <v>1046</v>
      </c>
      <c r="F8687" s="406">
        <v>0</v>
      </c>
      <c r="G8687" s="405" t="s">
        <v>1047</v>
      </c>
      <c r="H8687" s="406">
        <v>0</v>
      </c>
      <c r="I8687" s="405" t="s">
        <v>1048</v>
      </c>
      <c r="J8687" s="406">
        <v>0</v>
      </c>
      <c r="K8687"/>
    </row>
    <row r="8688" spans="1:11" ht="15.6" thickBot="1" x14ac:dyDescent="0.35">
      <c r="A8688" s="405"/>
      <c r="B8688" s="405"/>
      <c r="C8688" s="405"/>
      <c r="D8688" s="405"/>
      <c r="E8688" s="405" t="s">
        <v>1049</v>
      </c>
      <c r="F8688" s="406">
        <v>0</v>
      </c>
      <c r="G8688" s="405"/>
      <c r="H8688" s="606"/>
      <c r="I8688" s="606" t="s">
        <v>1050</v>
      </c>
      <c r="J8688" s="406">
        <v>7.06</v>
      </c>
      <c r="K8688"/>
    </row>
    <row r="8689" spans="1:11" ht="14.25" customHeight="1" thickTop="1" x14ac:dyDescent="0.3">
      <c r="A8689" s="407"/>
      <c r="B8689" s="407"/>
      <c r="C8689" s="407"/>
      <c r="D8689" s="407"/>
      <c r="E8689" s="407"/>
      <c r="F8689" s="407"/>
      <c r="G8689" s="407"/>
      <c r="H8689" s="407"/>
      <c r="I8689" s="407"/>
      <c r="J8689" s="407"/>
      <c r="K8689"/>
    </row>
    <row r="8690" spans="1:11" ht="14.25" customHeight="1" x14ac:dyDescent="0.3">
      <c r="A8690" s="382"/>
      <c r="B8690" s="312" t="s">
        <v>413</v>
      </c>
      <c r="C8690" s="382" t="s">
        <v>414</v>
      </c>
      <c r="D8690" s="382" t="s">
        <v>415</v>
      </c>
      <c r="E8690" s="586" t="s">
        <v>1029</v>
      </c>
      <c r="F8690" s="586"/>
      <c r="G8690" s="383" t="s">
        <v>416</v>
      </c>
      <c r="H8690" s="312" t="s">
        <v>1030</v>
      </c>
      <c r="I8690" s="312" t="s">
        <v>3016</v>
      </c>
      <c r="J8690" s="312" t="s">
        <v>1031</v>
      </c>
      <c r="K8690" s="312" t="s">
        <v>1032</v>
      </c>
    </row>
    <row r="8691" spans="1:11" ht="17.399999999999999" customHeight="1" x14ac:dyDescent="0.3">
      <c r="A8691" s="313" t="s">
        <v>1033</v>
      </c>
      <c r="B8691" s="315" t="s">
        <v>8196</v>
      </c>
      <c r="C8691" s="313" t="s">
        <v>395</v>
      </c>
      <c r="D8691" s="313" t="s">
        <v>8192</v>
      </c>
      <c r="E8691" s="603" t="s">
        <v>7946</v>
      </c>
      <c r="F8691" s="603"/>
      <c r="G8691" s="314" t="s">
        <v>6</v>
      </c>
      <c r="H8691" s="399">
        <v>1</v>
      </c>
      <c r="I8691" s="316"/>
      <c r="J8691" s="316">
        <v>2.4900000000000002</v>
      </c>
      <c r="K8691" s="316">
        <v>2.4900000000000002</v>
      </c>
    </row>
    <row r="8692" spans="1:11" ht="15" x14ac:dyDescent="0.3">
      <c r="A8692" s="400" t="s">
        <v>1038</v>
      </c>
      <c r="B8692" s="401" t="s">
        <v>5075</v>
      </c>
      <c r="C8692" s="400" t="s">
        <v>395</v>
      </c>
      <c r="D8692" s="400" t="s">
        <v>5076</v>
      </c>
      <c r="E8692" s="605" t="s">
        <v>1317</v>
      </c>
      <c r="F8692" s="605"/>
      <c r="G8692" s="402" t="s">
        <v>4</v>
      </c>
      <c r="H8692" s="403">
        <v>1.4100000000000001E-5</v>
      </c>
      <c r="I8692" s="403">
        <v>0</v>
      </c>
      <c r="J8692" s="404">
        <v>176513.59</v>
      </c>
      <c r="K8692" s="404">
        <v>2.4888416000000002</v>
      </c>
    </row>
    <row r="8693" spans="1:11" ht="12.75" customHeight="1" x14ac:dyDescent="0.3">
      <c r="A8693" s="405"/>
      <c r="B8693" s="405"/>
      <c r="C8693" s="405"/>
      <c r="D8693" s="405"/>
      <c r="E8693" s="405" t="s">
        <v>1046</v>
      </c>
      <c r="F8693" s="406">
        <v>0</v>
      </c>
      <c r="G8693" s="405" t="s">
        <v>1047</v>
      </c>
      <c r="H8693" s="406">
        <v>0</v>
      </c>
      <c r="I8693" s="405" t="s">
        <v>1048</v>
      </c>
      <c r="J8693" s="406">
        <v>0</v>
      </c>
      <c r="K8693"/>
    </row>
    <row r="8694" spans="1:11" ht="12.75" customHeight="1" thickBot="1" x14ac:dyDescent="0.35">
      <c r="A8694" s="405"/>
      <c r="B8694" s="405"/>
      <c r="C8694" s="405"/>
      <c r="D8694" s="405"/>
      <c r="E8694" s="405" t="s">
        <v>1049</v>
      </c>
      <c r="F8694" s="406">
        <v>0</v>
      </c>
      <c r="G8694" s="405"/>
      <c r="H8694" s="606"/>
      <c r="I8694" s="606" t="s">
        <v>1050</v>
      </c>
      <c r="J8694" s="406">
        <v>2.4900000000000002</v>
      </c>
      <c r="K8694"/>
    </row>
    <row r="8695" spans="1:11" ht="25.5" customHeight="1" thickTop="1" x14ac:dyDescent="0.3">
      <c r="A8695" s="407"/>
      <c r="B8695" s="407"/>
      <c r="C8695" s="407"/>
      <c r="D8695" s="407"/>
      <c r="E8695" s="407"/>
      <c r="F8695" s="407"/>
      <c r="G8695" s="407"/>
      <c r="H8695" s="407"/>
      <c r="I8695" s="407"/>
      <c r="J8695" s="407"/>
      <c r="K8695"/>
    </row>
    <row r="8696" spans="1:11" ht="25.5" customHeight="1" x14ac:dyDescent="0.3">
      <c r="A8696" s="382"/>
      <c r="B8696" s="312" t="s">
        <v>413</v>
      </c>
      <c r="C8696" s="382" t="s">
        <v>414</v>
      </c>
      <c r="D8696" s="382" t="s">
        <v>415</v>
      </c>
      <c r="E8696" s="586" t="s">
        <v>1029</v>
      </c>
      <c r="F8696" s="586"/>
      <c r="G8696" s="383" t="s">
        <v>416</v>
      </c>
      <c r="H8696" s="312" t="s">
        <v>1030</v>
      </c>
      <c r="I8696" s="312" t="s">
        <v>3016</v>
      </c>
      <c r="J8696" s="312" t="s">
        <v>1031</v>
      </c>
      <c r="K8696" s="312" t="s">
        <v>1032</v>
      </c>
    </row>
    <row r="8697" spans="1:11" ht="26.4" x14ac:dyDescent="0.3">
      <c r="A8697" s="313" t="s">
        <v>1033</v>
      </c>
      <c r="B8697" s="315" t="s">
        <v>8197</v>
      </c>
      <c r="C8697" s="313" t="s">
        <v>395</v>
      </c>
      <c r="D8697" s="313" t="s">
        <v>8198</v>
      </c>
      <c r="E8697" s="603" t="s">
        <v>7946</v>
      </c>
      <c r="F8697" s="603"/>
      <c r="G8697" s="314" t="s">
        <v>6</v>
      </c>
      <c r="H8697" s="399">
        <v>1</v>
      </c>
      <c r="I8697" s="316"/>
      <c r="J8697" s="316">
        <v>6.3</v>
      </c>
      <c r="K8697" s="316">
        <v>6.3</v>
      </c>
    </row>
    <row r="8698" spans="1:11" ht="14.25" customHeight="1" x14ac:dyDescent="0.3">
      <c r="A8698" s="400" t="s">
        <v>1038</v>
      </c>
      <c r="B8698" s="401" t="s">
        <v>5075</v>
      </c>
      <c r="C8698" s="400" t="s">
        <v>395</v>
      </c>
      <c r="D8698" s="400" t="s">
        <v>5076</v>
      </c>
      <c r="E8698" s="605" t="s">
        <v>1317</v>
      </c>
      <c r="F8698" s="605"/>
      <c r="G8698" s="402" t="s">
        <v>4</v>
      </c>
      <c r="H8698" s="403">
        <v>3.57E-5</v>
      </c>
      <c r="I8698" s="403">
        <v>0</v>
      </c>
      <c r="J8698" s="404">
        <v>176513.59</v>
      </c>
      <c r="K8698" s="404">
        <v>6.3015352</v>
      </c>
    </row>
    <row r="8699" spans="1:11" ht="14.25" customHeight="1" x14ac:dyDescent="0.3">
      <c r="A8699" s="405"/>
      <c r="B8699" s="405"/>
      <c r="C8699" s="405"/>
      <c r="D8699" s="405"/>
      <c r="E8699" s="405" t="s">
        <v>1046</v>
      </c>
      <c r="F8699" s="406">
        <v>0</v>
      </c>
      <c r="G8699" s="405" t="s">
        <v>1047</v>
      </c>
      <c r="H8699" s="406">
        <v>0</v>
      </c>
      <c r="I8699" s="405" t="s">
        <v>1048</v>
      </c>
      <c r="J8699" s="406">
        <v>0</v>
      </c>
      <c r="K8699"/>
    </row>
    <row r="8700" spans="1:11" ht="15.6" thickBot="1" x14ac:dyDescent="0.35">
      <c r="A8700" s="405"/>
      <c r="B8700" s="405"/>
      <c r="C8700" s="405"/>
      <c r="D8700" s="405"/>
      <c r="E8700" s="405" t="s">
        <v>1049</v>
      </c>
      <c r="F8700" s="406">
        <v>0</v>
      </c>
      <c r="G8700" s="405"/>
      <c r="H8700" s="606"/>
      <c r="I8700" s="606" t="s">
        <v>1050</v>
      </c>
      <c r="J8700" s="406">
        <v>6.3</v>
      </c>
      <c r="K8700"/>
    </row>
    <row r="8701" spans="1:11" ht="15.6" thickTop="1" x14ac:dyDescent="0.3">
      <c r="A8701" s="407"/>
      <c r="B8701" s="407"/>
      <c r="C8701" s="407"/>
      <c r="D8701" s="407"/>
      <c r="E8701" s="407"/>
      <c r="F8701" s="407"/>
      <c r="G8701" s="407"/>
      <c r="H8701" s="407"/>
      <c r="I8701" s="407"/>
      <c r="J8701" s="407"/>
      <c r="K8701"/>
    </row>
    <row r="8702" spans="1:11" ht="38.25" customHeight="1" x14ac:dyDescent="0.3">
      <c r="A8702" s="382"/>
      <c r="B8702" s="312" t="s">
        <v>413</v>
      </c>
      <c r="C8702" s="382" t="s">
        <v>414</v>
      </c>
      <c r="D8702" s="382" t="s">
        <v>415</v>
      </c>
      <c r="E8702" s="586" t="s">
        <v>1029</v>
      </c>
      <c r="F8702" s="586"/>
      <c r="G8702" s="383" t="s">
        <v>416</v>
      </c>
      <c r="H8702" s="312" t="s">
        <v>1030</v>
      </c>
      <c r="I8702" s="312" t="s">
        <v>3016</v>
      </c>
      <c r="J8702" s="312" t="s">
        <v>1031</v>
      </c>
      <c r="K8702" s="312" t="s">
        <v>1032</v>
      </c>
    </row>
    <row r="8703" spans="1:11" ht="38.25" customHeight="1" x14ac:dyDescent="0.3">
      <c r="A8703" s="313" t="s">
        <v>1033</v>
      </c>
      <c r="B8703" s="315" t="s">
        <v>8199</v>
      </c>
      <c r="C8703" s="313" t="s">
        <v>395</v>
      </c>
      <c r="D8703" s="313" t="s">
        <v>8200</v>
      </c>
      <c r="E8703" s="603" t="s">
        <v>7946</v>
      </c>
      <c r="F8703" s="603"/>
      <c r="G8703" s="314" t="s">
        <v>6</v>
      </c>
      <c r="H8703" s="399">
        <v>1</v>
      </c>
      <c r="I8703" s="316"/>
      <c r="J8703" s="316">
        <v>189.67</v>
      </c>
      <c r="K8703" s="316">
        <v>189.67</v>
      </c>
    </row>
    <row r="8704" spans="1:11" ht="25.5" customHeight="1" x14ac:dyDescent="0.3">
      <c r="A8704" s="400" t="s">
        <v>1038</v>
      </c>
      <c r="B8704" s="401" t="s">
        <v>4383</v>
      </c>
      <c r="C8704" s="400" t="s">
        <v>395</v>
      </c>
      <c r="D8704" s="400" t="s">
        <v>4384</v>
      </c>
      <c r="E8704" s="605" t="s">
        <v>1039</v>
      </c>
      <c r="F8704" s="605"/>
      <c r="G8704" s="402" t="s">
        <v>8</v>
      </c>
      <c r="H8704" s="403">
        <v>26.79</v>
      </c>
      <c r="I8704" s="403">
        <v>0</v>
      </c>
      <c r="J8704" s="404">
        <v>7.08</v>
      </c>
      <c r="K8704" s="404">
        <v>189.67320000000001</v>
      </c>
    </row>
    <row r="8705" spans="1:11" ht="25.5" customHeight="1" x14ac:dyDescent="0.3">
      <c r="A8705" s="405"/>
      <c r="B8705" s="405"/>
      <c r="C8705" s="405"/>
      <c r="D8705" s="405"/>
      <c r="E8705" s="405" t="s">
        <v>1046</v>
      </c>
      <c r="F8705" s="406">
        <v>0</v>
      </c>
      <c r="G8705" s="405" t="s">
        <v>1047</v>
      </c>
      <c r="H8705" s="406">
        <v>0</v>
      </c>
      <c r="I8705" s="405" t="s">
        <v>1048</v>
      </c>
      <c r="J8705" s="406">
        <v>0</v>
      </c>
      <c r="K8705"/>
    </row>
    <row r="8706" spans="1:11" ht="15.6" thickBot="1" x14ac:dyDescent="0.35">
      <c r="A8706" s="405"/>
      <c r="B8706" s="405"/>
      <c r="C8706" s="405"/>
      <c r="D8706" s="405"/>
      <c r="E8706" s="405" t="s">
        <v>1049</v>
      </c>
      <c r="F8706" s="406">
        <v>0</v>
      </c>
      <c r="G8706" s="405"/>
      <c r="H8706" s="606"/>
      <c r="I8706" s="606" t="s">
        <v>1050</v>
      </c>
      <c r="J8706" s="406">
        <v>189.67</v>
      </c>
      <c r="K8706"/>
    </row>
    <row r="8707" spans="1:11" ht="30" customHeight="1" thickTop="1" x14ac:dyDescent="0.3">
      <c r="A8707" s="407"/>
      <c r="B8707" s="407"/>
      <c r="C8707" s="407"/>
      <c r="D8707" s="407"/>
      <c r="E8707" s="407"/>
      <c r="F8707" s="407"/>
      <c r="G8707" s="407"/>
      <c r="H8707" s="407"/>
      <c r="I8707" s="407"/>
      <c r="J8707" s="407"/>
      <c r="K8707"/>
    </row>
    <row r="8708" spans="1:11" ht="30" customHeight="1" x14ac:dyDescent="0.3">
      <c r="A8708" s="382"/>
      <c r="B8708" s="312" t="s">
        <v>413</v>
      </c>
      <c r="C8708" s="382" t="s">
        <v>414</v>
      </c>
      <c r="D8708" s="382" t="s">
        <v>415</v>
      </c>
      <c r="E8708" s="586" t="s">
        <v>1029</v>
      </c>
      <c r="F8708" s="586"/>
      <c r="G8708" s="383" t="s">
        <v>416</v>
      </c>
      <c r="H8708" s="312" t="s">
        <v>1030</v>
      </c>
      <c r="I8708" s="312" t="s">
        <v>3016</v>
      </c>
      <c r="J8708" s="312" t="s">
        <v>1031</v>
      </c>
      <c r="K8708" s="312" t="s">
        <v>1032</v>
      </c>
    </row>
    <row r="8709" spans="1:11" ht="26.4" x14ac:dyDescent="0.3">
      <c r="A8709" s="313" t="s">
        <v>1033</v>
      </c>
      <c r="B8709" s="315" t="s">
        <v>8201</v>
      </c>
      <c r="C8709" s="313" t="s">
        <v>395</v>
      </c>
      <c r="D8709" s="313" t="s">
        <v>8202</v>
      </c>
      <c r="E8709" s="603" t="s">
        <v>7772</v>
      </c>
      <c r="F8709" s="603"/>
      <c r="G8709" s="314" t="s">
        <v>19</v>
      </c>
      <c r="H8709" s="399">
        <v>1</v>
      </c>
      <c r="I8709" s="316"/>
      <c r="J8709" s="316">
        <v>34.18</v>
      </c>
      <c r="K8709" s="316">
        <v>34.18</v>
      </c>
    </row>
    <row r="8710" spans="1:11" ht="14.25" customHeight="1" x14ac:dyDescent="0.3">
      <c r="A8710" s="408" t="s">
        <v>1034</v>
      </c>
      <c r="B8710" s="409" t="s">
        <v>8203</v>
      </c>
      <c r="C8710" s="408" t="s">
        <v>395</v>
      </c>
      <c r="D8710" s="408" t="s">
        <v>8204</v>
      </c>
      <c r="E8710" s="604" t="s">
        <v>7768</v>
      </c>
      <c r="F8710" s="604"/>
      <c r="G8710" s="410" t="s">
        <v>6</v>
      </c>
      <c r="H8710" s="412">
        <v>1</v>
      </c>
      <c r="I8710" s="412">
        <v>0</v>
      </c>
      <c r="J8710" s="411">
        <v>33.799999999999997</v>
      </c>
      <c r="K8710" s="411">
        <v>33.799999999999997</v>
      </c>
    </row>
    <row r="8711" spans="1:11" ht="14.25" customHeight="1" x14ac:dyDescent="0.3">
      <c r="A8711" s="408" t="s">
        <v>1034</v>
      </c>
      <c r="B8711" s="409" t="s">
        <v>8205</v>
      </c>
      <c r="C8711" s="408" t="s">
        <v>395</v>
      </c>
      <c r="D8711" s="408" t="s">
        <v>8206</v>
      </c>
      <c r="E8711" s="604" t="s">
        <v>7946</v>
      </c>
      <c r="F8711" s="604"/>
      <c r="G8711" s="410" t="s">
        <v>6</v>
      </c>
      <c r="H8711" s="412">
        <v>1</v>
      </c>
      <c r="I8711" s="412">
        <v>0</v>
      </c>
      <c r="J8711" s="411">
        <v>0.31</v>
      </c>
      <c r="K8711" s="411">
        <v>0.31</v>
      </c>
    </row>
    <row r="8712" spans="1:11" ht="26.4" x14ac:dyDescent="0.3">
      <c r="A8712" s="408" t="s">
        <v>1034</v>
      </c>
      <c r="B8712" s="409" t="s">
        <v>8207</v>
      </c>
      <c r="C8712" s="408" t="s">
        <v>395</v>
      </c>
      <c r="D8712" s="408" t="s">
        <v>8208</v>
      </c>
      <c r="E8712" s="604" t="s">
        <v>7946</v>
      </c>
      <c r="F8712" s="604"/>
      <c r="G8712" s="410" t="s">
        <v>6</v>
      </c>
      <c r="H8712" s="412">
        <v>1</v>
      </c>
      <c r="I8712" s="412">
        <v>0</v>
      </c>
      <c r="J8712" s="411">
        <v>7.0000000000000007E-2</v>
      </c>
      <c r="K8712" s="411">
        <v>7.0000000000000007E-2</v>
      </c>
    </row>
    <row r="8713" spans="1:11" ht="15" x14ac:dyDescent="0.3">
      <c r="A8713" s="405"/>
      <c r="B8713" s="405"/>
      <c r="C8713" s="405"/>
      <c r="D8713" s="405"/>
      <c r="E8713" s="405" t="s">
        <v>1046</v>
      </c>
      <c r="F8713" s="406">
        <v>24.85</v>
      </c>
      <c r="G8713" s="405" t="s">
        <v>1047</v>
      </c>
      <c r="H8713" s="406">
        <v>0</v>
      </c>
      <c r="I8713" s="405" t="s">
        <v>1048</v>
      </c>
      <c r="J8713" s="406">
        <v>24.85</v>
      </c>
      <c r="K8713"/>
    </row>
    <row r="8714" spans="1:11" ht="38.25" customHeight="1" thickBot="1" x14ac:dyDescent="0.35">
      <c r="A8714" s="405"/>
      <c r="B8714" s="405"/>
      <c r="C8714" s="405"/>
      <c r="D8714" s="405"/>
      <c r="E8714" s="405" t="s">
        <v>1049</v>
      </c>
      <c r="F8714" s="406">
        <v>0</v>
      </c>
      <c r="G8714" s="405"/>
      <c r="H8714" s="606"/>
      <c r="I8714" s="606" t="s">
        <v>1050</v>
      </c>
      <c r="J8714" s="406">
        <v>34.18</v>
      </c>
      <c r="K8714"/>
    </row>
    <row r="8715" spans="1:11" ht="38.25" customHeight="1" thickTop="1" x14ac:dyDescent="0.3">
      <c r="A8715" s="407"/>
      <c r="B8715" s="407"/>
      <c r="C8715" s="407"/>
      <c r="D8715" s="407"/>
      <c r="E8715" s="407"/>
      <c r="F8715" s="407"/>
      <c r="G8715" s="407"/>
      <c r="H8715" s="407"/>
      <c r="I8715" s="407"/>
      <c r="J8715" s="407"/>
      <c r="K8715"/>
    </row>
    <row r="8716" spans="1:11" ht="25.5" customHeight="1" x14ac:dyDescent="0.3">
      <c r="A8716" s="382"/>
      <c r="B8716" s="312" t="s">
        <v>413</v>
      </c>
      <c r="C8716" s="382" t="s">
        <v>414</v>
      </c>
      <c r="D8716" s="382" t="s">
        <v>415</v>
      </c>
      <c r="E8716" s="586" t="s">
        <v>1029</v>
      </c>
      <c r="F8716" s="586"/>
      <c r="G8716" s="383" t="s">
        <v>416</v>
      </c>
      <c r="H8716" s="312" t="s">
        <v>1030</v>
      </c>
      <c r="I8716" s="312" t="s">
        <v>3016</v>
      </c>
      <c r="J8716" s="312" t="s">
        <v>1031</v>
      </c>
      <c r="K8716" s="312" t="s">
        <v>1032</v>
      </c>
    </row>
    <row r="8717" spans="1:11" ht="25.5" customHeight="1" x14ac:dyDescent="0.3">
      <c r="A8717" s="313" t="s">
        <v>1033</v>
      </c>
      <c r="B8717" s="315" t="s">
        <v>8209</v>
      </c>
      <c r="C8717" s="313" t="s">
        <v>395</v>
      </c>
      <c r="D8717" s="313" t="s">
        <v>8210</v>
      </c>
      <c r="E8717" s="603" t="s">
        <v>7772</v>
      </c>
      <c r="F8717" s="603"/>
      <c r="G8717" s="314" t="s">
        <v>15</v>
      </c>
      <c r="H8717" s="399">
        <v>1</v>
      </c>
      <c r="I8717" s="316"/>
      <c r="J8717" s="316">
        <v>35.479999999999997</v>
      </c>
      <c r="K8717" s="316">
        <v>35.479999999999997</v>
      </c>
    </row>
    <row r="8718" spans="1:11" ht="26.4" x14ac:dyDescent="0.3">
      <c r="A8718" s="408" t="s">
        <v>1034</v>
      </c>
      <c r="B8718" s="409" t="s">
        <v>8203</v>
      </c>
      <c r="C8718" s="408" t="s">
        <v>395</v>
      </c>
      <c r="D8718" s="408" t="s">
        <v>8204</v>
      </c>
      <c r="E8718" s="604" t="s">
        <v>7768</v>
      </c>
      <c r="F8718" s="604"/>
      <c r="G8718" s="410" t="s">
        <v>6</v>
      </c>
      <c r="H8718" s="412">
        <v>1</v>
      </c>
      <c r="I8718" s="412">
        <v>0</v>
      </c>
      <c r="J8718" s="411">
        <v>33.799999999999997</v>
      </c>
      <c r="K8718" s="411">
        <v>33.799999999999997</v>
      </c>
    </row>
    <row r="8719" spans="1:11" ht="14.25" customHeight="1" x14ac:dyDescent="0.3">
      <c r="A8719" s="408" t="s">
        <v>1034</v>
      </c>
      <c r="B8719" s="409" t="s">
        <v>8205</v>
      </c>
      <c r="C8719" s="408" t="s">
        <v>395</v>
      </c>
      <c r="D8719" s="408" t="s">
        <v>8206</v>
      </c>
      <c r="E8719" s="604" t="s">
        <v>7946</v>
      </c>
      <c r="F8719" s="604"/>
      <c r="G8719" s="410" t="s">
        <v>6</v>
      </c>
      <c r="H8719" s="412">
        <v>1</v>
      </c>
      <c r="I8719" s="412">
        <v>0</v>
      </c>
      <c r="J8719" s="411">
        <v>0.31</v>
      </c>
      <c r="K8719" s="411">
        <v>0.31</v>
      </c>
    </row>
    <row r="8720" spans="1:11" ht="14.25" customHeight="1" x14ac:dyDescent="0.3">
      <c r="A8720" s="408" t="s">
        <v>1034</v>
      </c>
      <c r="B8720" s="409" t="s">
        <v>8207</v>
      </c>
      <c r="C8720" s="408" t="s">
        <v>395</v>
      </c>
      <c r="D8720" s="408" t="s">
        <v>8208</v>
      </c>
      <c r="E8720" s="604" t="s">
        <v>7946</v>
      </c>
      <c r="F8720" s="604"/>
      <c r="G8720" s="410" t="s">
        <v>6</v>
      </c>
      <c r="H8720" s="412">
        <v>1</v>
      </c>
      <c r="I8720" s="412">
        <v>0</v>
      </c>
      <c r="J8720" s="411">
        <v>7.0000000000000007E-2</v>
      </c>
      <c r="K8720" s="411">
        <v>7.0000000000000007E-2</v>
      </c>
    </row>
    <row r="8721" spans="1:11" ht="30" customHeight="1" x14ac:dyDescent="0.3">
      <c r="A8721" s="408" t="s">
        <v>1034</v>
      </c>
      <c r="B8721" s="409" t="s">
        <v>8211</v>
      </c>
      <c r="C8721" s="408" t="s">
        <v>395</v>
      </c>
      <c r="D8721" s="408" t="s">
        <v>8212</v>
      </c>
      <c r="E8721" s="604" t="s">
        <v>7946</v>
      </c>
      <c r="F8721" s="604"/>
      <c r="G8721" s="410" t="s">
        <v>6</v>
      </c>
      <c r="H8721" s="412">
        <v>1</v>
      </c>
      <c r="I8721" s="412">
        <v>0</v>
      </c>
      <c r="J8721" s="411">
        <v>0.3</v>
      </c>
      <c r="K8721" s="411">
        <v>0.3</v>
      </c>
    </row>
    <row r="8722" spans="1:11" ht="39.6" x14ac:dyDescent="0.3">
      <c r="A8722" s="408" t="s">
        <v>1034</v>
      </c>
      <c r="B8722" s="409" t="s">
        <v>8213</v>
      </c>
      <c r="C8722" s="408" t="s">
        <v>395</v>
      </c>
      <c r="D8722" s="408" t="s">
        <v>8214</v>
      </c>
      <c r="E8722" s="604" t="s">
        <v>7946</v>
      </c>
      <c r="F8722" s="604"/>
      <c r="G8722" s="410" t="s">
        <v>6</v>
      </c>
      <c r="H8722" s="412">
        <v>1</v>
      </c>
      <c r="I8722" s="412">
        <v>0</v>
      </c>
      <c r="J8722" s="411">
        <v>1</v>
      </c>
      <c r="K8722" s="411">
        <v>1</v>
      </c>
    </row>
    <row r="8723" spans="1:11" ht="38.25" customHeight="1" x14ac:dyDescent="0.3">
      <c r="A8723" s="405"/>
      <c r="B8723" s="405"/>
      <c r="C8723" s="405"/>
      <c r="D8723" s="405"/>
      <c r="E8723" s="405" t="s">
        <v>1046</v>
      </c>
      <c r="F8723" s="406">
        <v>24.85</v>
      </c>
      <c r="G8723" s="405" t="s">
        <v>1047</v>
      </c>
      <c r="H8723" s="406">
        <v>0</v>
      </c>
      <c r="I8723" s="405" t="s">
        <v>1048</v>
      </c>
      <c r="J8723" s="406">
        <v>24.85</v>
      </c>
      <c r="K8723"/>
    </row>
    <row r="8724" spans="1:11" ht="38.25" customHeight="1" thickBot="1" x14ac:dyDescent="0.35">
      <c r="A8724" s="405"/>
      <c r="B8724" s="405"/>
      <c r="C8724" s="405"/>
      <c r="D8724" s="405"/>
      <c r="E8724" s="405" t="s">
        <v>1049</v>
      </c>
      <c r="F8724" s="406">
        <v>0</v>
      </c>
      <c r="G8724" s="405"/>
      <c r="H8724" s="606"/>
      <c r="I8724" s="606" t="s">
        <v>1050</v>
      </c>
      <c r="J8724" s="406">
        <v>35.479999999999997</v>
      </c>
      <c r="K8724"/>
    </row>
    <row r="8725" spans="1:11" ht="25.5" customHeight="1" thickTop="1" x14ac:dyDescent="0.3">
      <c r="A8725" s="407"/>
      <c r="B8725" s="407"/>
      <c r="C8725" s="407"/>
      <c r="D8725" s="407"/>
      <c r="E8725" s="407"/>
      <c r="F8725" s="407"/>
      <c r="G8725" s="407"/>
      <c r="H8725" s="407"/>
      <c r="I8725" s="407"/>
      <c r="J8725" s="407"/>
      <c r="K8725"/>
    </row>
    <row r="8726" spans="1:11" ht="25.5" customHeight="1" x14ac:dyDescent="0.3">
      <c r="A8726" s="382"/>
      <c r="B8726" s="312" t="s">
        <v>413</v>
      </c>
      <c r="C8726" s="382" t="s">
        <v>414</v>
      </c>
      <c r="D8726" s="382" t="s">
        <v>415</v>
      </c>
      <c r="E8726" s="586" t="s">
        <v>1029</v>
      </c>
      <c r="F8726" s="586"/>
      <c r="G8726" s="383" t="s">
        <v>416</v>
      </c>
      <c r="H8726" s="312" t="s">
        <v>1030</v>
      </c>
      <c r="I8726" s="312" t="s">
        <v>3016</v>
      </c>
      <c r="J8726" s="312" t="s">
        <v>1031</v>
      </c>
      <c r="K8726" s="312" t="s">
        <v>1032</v>
      </c>
    </row>
    <row r="8727" spans="1:11" ht="26.4" x14ac:dyDescent="0.3">
      <c r="A8727" s="313" t="s">
        <v>1033</v>
      </c>
      <c r="B8727" s="315" t="s">
        <v>8205</v>
      </c>
      <c r="C8727" s="313" t="s">
        <v>395</v>
      </c>
      <c r="D8727" s="313" t="s">
        <v>8206</v>
      </c>
      <c r="E8727" s="603" t="s">
        <v>7946</v>
      </c>
      <c r="F8727" s="603"/>
      <c r="G8727" s="314" t="s">
        <v>6</v>
      </c>
      <c r="H8727" s="399">
        <v>1</v>
      </c>
      <c r="I8727" s="316"/>
      <c r="J8727" s="316">
        <v>0.31</v>
      </c>
      <c r="K8727" s="316">
        <v>0.31</v>
      </c>
    </row>
    <row r="8728" spans="1:11" ht="14.25" customHeight="1" x14ac:dyDescent="0.3">
      <c r="A8728" s="400" t="s">
        <v>1038</v>
      </c>
      <c r="B8728" s="401" t="s">
        <v>5091</v>
      </c>
      <c r="C8728" s="400" t="s">
        <v>395</v>
      </c>
      <c r="D8728" s="400" t="s">
        <v>5092</v>
      </c>
      <c r="E8728" s="605" t="s">
        <v>1317</v>
      </c>
      <c r="F8728" s="605"/>
      <c r="G8728" s="402" t="s">
        <v>4</v>
      </c>
      <c r="H8728" s="403">
        <v>6.3999999999999997E-5</v>
      </c>
      <c r="I8728" s="403">
        <v>0</v>
      </c>
      <c r="J8728" s="404">
        <v>4919.97</v>
      </c>
      <c r="K8728" s="404">
        <v>0.31487809999999999</v>
      </c>
    </row>
    <row r="8729" spans="1:11" ht="14.25" customHeight="1" x14ac:dyDescent="0.3">
      <c r="A8729" s="405"/>
      <c r="B8729" s="405"/>
      <c r="C8729" s="405"/>
      <c r="D8729" s="405"/>
      <c r="E8729" s="405" t="s">
        <v>1046</v>
      </c>
      <c r="F8729" s="406">
        <v>0</v>
      </c>
      <c r="G8729" s="405" t="s">
        <v>1047</v>
      </c>
      <c r="H8729" s="406">
        <v>0</v>
      </c>
      <c r="I8729" s="405" t="s">
        <v>1048</v>
      </c>
      <c r="J8729" s="406">
        <v>0</v>
      </c>
      <c r="K8729"/>
    </row>
    <row r="8730" spans="1:11" ht="17.399999999999999" customHeight="1" thickBot="1" x14ac:dyDescent="0.35">
      <c r="A8730" s="405"/>
      <c r="B8730" s="405"/>
      <c r="C8730" s="405"/>
      <c r="D8730" s="405"/>
      <c r="E8730" s="405" t="s">
        <v>1049</v>
      </c>
      <c r="F8730" s="406">
        <v>0</v>
      </c>
      <c r="G8730" s="405"/>
      <c r="H8730" s="606"/>
      <c r="I8730" s="606" t="s">
        <v>1050</v>
      </c>
      <c r="J8730" s="406">
        <v>0.31</v>
      </c>
      <c r="K8730"/>
    </row>
    <row r="8731" spans="1:11" ht="15.6" thickTop="1" x14ac:dyDescent="0.3">
      <c r="A8731" s="407"/>
      <c r="B8731" s="407"/>
      <c r="C8731" s="407"/>
      <c r="D8731" s="407"/>
      <c r="E8731" s="407"/>
      <c r="F8731" s="407"/>
      <c r="G8731" s="407"/>
      <c r="H8731" s="407"/>
      <c r="I8731" s="407"/>
      <c r="J8731" s="407"/>
      <c r="K8731"/>
    </row>
    <row r="8732" spans="1:11" ht="38.25" customHeight="1" x14ac:dyDescent="0.3">
      <c r="A8732" s="382"/>
      <c r="B8732" s="312" t="s">
        <v>413</v>
      </c>
      <c r="C8732" s="382" t="s">
        <v>414</v>
      </c>
      <c r="D8732" s="382" t="s">
        <v>415</v>
      </c>
      <c r="E8732" s="586" t="s">
        <v>1029</v>
      </c>
      <c r="F8732" s="586"/>
      <c r="G8732" s="383" t="s">
        <v>416</v>
      </c>
      <c r="H8732" s="312" t="s">
        <v>1030</v>
      </c>
      <c r="I8732" s="312" t="s">
        <v>3016</v>
      </c>
      <c r="J8732" s="312" t="s">
        <v>1031</v>
      </c>
      <c r="K8732" s="312" t="s">
        <v>1032</v>
      </c>
    </row>
    <row r="8733" spans="1:11" ht="38.25" customHeight="1" x14ac:dyDescent="0.3">
      <c r="A8733" s="313" t="s">
        <v>1033</v>
      </c>
      <c r="B8733" s="315" t="s">
        <v>8207</v>
      </c>
      <c r="C8733" s="313" t="s">
        <v>395</v>
      </c>
      <c r="D8733" s="313" t="s">
        <v>8208</v>
      </c>
      <c r="E8733" s="603" t="s">
        <v>7946</v>
      </c>
      <c r="F8733" s="603"/>
      <c r="G8733" s="314" t="s">
        <v>6</v>
      </c>
      <c r="H8733" s="399">
        <v>1</v>
      </c>
      <c r="I8733" s="316"/>
      <c r="J8733" s="316">
        <v>7.0000000000000007E-2</v>
      </c>
      <c r="K8733" s="316">
        <v>7.0000000000000007E-2</v>
      </c>
    </row>
    <row r="8734" spans="1:11" ht="25.5" customHeight="1" x14ac:dyDescent="0.3">
      <c r="A8734" s="400" t="s">
        <v>1038</v>
      </c>
      <c r="B8734" s="401" t="s">
        <v>5091</v>
      </c>
      <c r="C8734" s="400" t="s">
        <v>395</v>
      </c>
      <c r="D8734" s="400" t="s">
        <v>5092</v>
      </c>
      <c r="E8734" s="605" t="s">
        <v>1317</v>
      </c>
      <c r="F8734" s="605"/>
      <c r="G8734" s="402" t="s">
        <v>4</v>
      </c>
      <c r="H8734" s="403">
        <v>1.4800000000000001E-5</v>
      </c>
      <c r="I8734" s="403">
        <v>0</v>
      </c>
      <c r="J8734" s="404">
        <v>4919.97</v>
      </c>
      <c r="K8734" s="404">
        <v>7.2815599999999994E-2</v>
      </c>
    </row>
    <row r="8735" spans="1:11" ht="25.5" customHeight="1" x14ac:dyDescent="0.3">
      <c r="A8735" s="405"/>
      <c r="B8735" s="405"/>
      <c r="C8735" s="405"/>
      <c r="D8735" s="405"/>
      <c r="E8735" s="405" t="s">
        <v>1046</v>
      </c>
      <c r="F8735" s="406">
        <v>0</v>
      </c>
      <c r="G8735" s="405" t="s">
        <v>1047</v>
      </c>
      <c r="H8735" s="406">
        <v>0</v>
      </c>
      <c r="I8735" s="405" t="s">
        <v>1048</v>
      </c>
      <c r="J8735" s="406">
        <v>0</v>
      </c>
      <c r="K8735"/>
    </row>
    <row r="8736" spans="1:11" ht="15.6" thickBot="1" x14ac:dyDescent="0.35">
      <c r="A8736" s="405"/>
      <c r="B8736" s="405"/>
      <c r="C8736" s="405"/>
      <c r="D8736" s="405"/>
      <c r="E8736" s="405" t="s">
        <v>1049</v>
      </c>
      <c r="F8736" s="406">
        <v>0</v>
      </c>
      <c r="G8736" s="405"/>
      <c r="H8736" s="606"/>
      <c r="I8736" s="606" t="s">
        <v>1050</v>
      </c>
      <c r="J8736" s="406">
        <v>7.0000000000000007E-2</v>
      </c>
      <c r="K8736"/>
    </row>
    <row r="8737" spans="1:11" ht="14.25" customHeight="1" thickTop="1" x14ac:dyDescent="0.3">
      <c r="A8737" s="407"/>
      <c r="B8737" s="407"/>
      <c r="C8737" s="407"/>
      <c r="D8737" s="407"/>
      <c r="E8737" s="407"/>
      <c r="F8737" s="407"/>
      <c r="G8737" s="407"/>
      <c r="H8737" s="407"/>
      <c r="I8737" s="407"/>
      <c r="J8737" s="407"/>
      <c r="K8737"/>
    </row>
    <row r="8738" spans="1:11" ht="14.25" customHeight="1" x14ac:dyDescent="0.3">
      <c r="A8738" s="382"/>
      <c r="B8738" s="312" t="s">
        <v>413</v>
      </c>
      <c r="C8738" s="382" t="s">
        <v>414</v>
      </c>
      <c r="D8738" s="382" t="s">
        <v>415</v>
      </c>
      <c r="E8738" s="586" t="s">
        <v>1029</v>
      </c>
      <c r="F8738" s="586"/>
      <c r="G8738" s="383" t="s">
        <v>416</v>
      </c>
      <c r="H8738" s="312" t="s">
        <v>1030</v>
      </c>
      <c r="I8738" s="312" t="s">
        <v>3016</v>
      </c>
      <c r="J8738" s="312" t="s">
        <v>1031</v>
      </c>
      <c r="K8738" s="312" t="s">
        <v>1032</v>
      </c>
    </row>
    <row r="8739" spans="1:11" ht="26.4" x14ac:dyDescent="0.3">
      <c r="A8739" s="313" t="s">
        <v>1033</v>
      </c>
      <c r="B8739" s="315" t="s">
        <v>8211</v>
      </c>
      <c r="C8739" s="313" t="s">
        <v>395</v>
      </c>
      <c r="D8739" s="313" t="s">
        <v>8212</v>
      </c>
      <c r="E8739" s="603" t="s">
        <v>7946</v>
      </c>
      <c r="F8739" s="603"/>
      <c r="G8739" s="314" t="s">
        <v>6</v>
      </c>
      <c r="H8739" s="399">
        <v>1</v>
      </c>
      <c r="I8739" s="316"/>
      <c r="J8739" s="316">
        <v>0.3</v>
      </c>
      <c r="K8739" s="316">
        <v>0.3</v>
      </c>
    </row>
    <row r="8740" spans="1:11" ht="26.4" x14ac:dyDescent="0.3">
      <c r="A8740" s="400" t="s">
        <v>1038</v>
      </c>
      <c r="B8740" s="401" t="s">
        <v>5091</v>
      </c>
      <c r="C8740" s="400" t="s">
        <v>395</v>
      </c>
      <c r="D8740" s="400" t="s">
        <v>5092</v>
      </c>
      <c r="E8740" s="605" t="s">
        <v>1317</v>
      </c>
      <c r="F8740" s="605"/>
      <c r="G8740" s="402" t="s">
        <v>4</v>
      </c>
      <c r="H8740" s="403">
        <v>6.0000000000000002E-5</v>
      </c>
      <c r="I8740" s="403">
        <v>0</v>
      </c>
      <c r="J8740" s="404">
        <v>4919.97</v>
      </c>
      <c r="K8740" s="404">
        <v>0.29519820000000002</v>
      </c>
    </row>
    <row r="8741" spans="1:11" ht="12.75" customHeight="1" x14ac:dyDescent="0.3">
      <c r="A8741" s="405"/>
      <c r="B8741" s="405"/>
      <c r="C8741" s="405"/>
      <c r="D8741" s="405"/>
      <c r="E8741" s="405" t="s">
        <v>1046</v>
      </c>
      <c r="F8741" s="406">
        <v>0</v>
      </c>
      <c r="G8741" s="405" t="s">
        <v>1047</v>
      </c>
      <c r="H8741" s="406">
        <v>0</v>
      </c>
      <c r="I8741" s="405" t="s">
        <v>1048</v>
      </c>
      <c r="J8741" s="406">
        <v>0</v>
      </c>
      <c r="K8741"/>
    </row>
    <row r="8742" spans="1:11" ht="12.75" customHeight="1" thickBot="1" x14ac:dyDescent="0.35">
      <c r="A8742" s="405"/>
      <c r="B8742" s="405"/>
      <c r="C8742" s="405"/>
      <c r="D8742" s="405"/>
      <c r="E8742" s="405" t="s">
        <v>1049</v>
      </c>
      <c r="F8742" s="406">
        <v>0</v>
      </c>
      <c r="G8742" s="405"/>
      <c r="H8742" s="606"/>
      <c r="I8742" s="606" t="s">
        <v>1050</v>
      </c>
      <c r="J8742" s="406">
        <v>0.3</v>
      </c>
      <c r="K8742"/>
    </row>
    <row r="8743" spans="1:11" ht="25.5" customHeight="1" thickTop="1" x14ac:dyDescent="0.3">
      <c r="A8743" s="407"/>
      <c r="B8743" s="407"/>
      <c r="C8743" s="407"/>
      <c r="D8743" s="407"/>
      <c r="E8743" s="407"/>
      <c r="F8743" s="407"/>
      <c r="G8743" s="407"/>
      <c r="H8743" s="407"/>
      <c r="I8743" s="407"/>
      <c r="J8743" s="407"/>
      <c r="K8743"/>
    </row>
    <row r="8744" spans="1:11" ht="25.5" customHeight="1" x14ac:dyDescent="0.3">
      <c r="A8744" s="382"/>
      <c r="B8744" s="312" t="s">
        <v>413</v>
      </c>
      <c r="C8744" s="382" t="s">
        <v>414</v>
      </c>
      <c r="D8744" s="382" t="s">
        <v>415</v>
      </c>
      <c r="E8744" s="586" t="s">
        <v>1029</v>
      </c>
      <c r="F8744" s="586"/>
      <c r="G8744" s="383" t="s">
        <v>416</v>
      </c>
      <c r="H8744" s="312" t="s">
        <v>1030</v>
      </c>
      <c r="I8744" s="312" t="s">
        <v>3016</v>
      </c>
      <c r="J8744" s="312" t="s">
        <v>1031</v>
      </c>
      <c r="K8744" s="312" t="s">
        <v>1032</v>
      </c>
    </row>
    <row r="8745" spans="1:11" ht="39.6" x14ac:dyDescent="0.3">
      <c r="A8745" s="313" t="s">
        <v>1033</v>
      </c>
      <c r="B8745" s="315" t="s">
        <v>8213</v>
      </c>
      <c r="C8745" s="313" t="s">
        <v>395</v>
      </c>
      <c r="D8745" s="313" t="s">
        <v>8214</v>
      </c>
      <c r="E8745" s="603" t="s">
        <v>7946</v>
      </c>
      <c r="F8745" s="603"/>
      <c r="G8745" s="314" t="s">
        <v>6</v>
      </c>
      <c r="H8745" s="399">
        <v>1</v>
      </c>
      <c r="I8745" s="316"/>
      <c r="J8745" s="316">
        <v>1</v>
      </c>
      <c r="K8745" s="316">
        <v>1</v>
      </c>
    </row>
    <row r="8746" spans="1:11" ht="15" customHeight="1" x14ac:dyDescent="0.3">
      <c r="A8746" s="400" t="s">
        <v>1038</v>
      </c>
      <c r="B8746" s="401" t="s">
        <v>4620</v>
      </c>
      <c r="C8746" s="400" t="s">
        <v>395</v>
      </c>
      <c r="D8746" s="400" t="s">
        <v>4621</v>
      </c>
      <c r="E8746" s="605" t="s">
        <v>1039</v>
      </c>
      <c r="F8746" s="605"/>
      <c r="G8746" s="402" t="s">
        <v>4622</v>
      </c>
      <c r="H8746" s="403">
        <v>0.78</v>
      </c>
      <c r="I8746" s="403">
        <v>0</v>
      </c>
      <c r="J8746" s="404">
        <v>1.28</v>
      </c>
      <c r="K8746" s="404">
        <v>0.99839999999999995</v>
      </c>
    </row>
    <row r="8747" spans="1:11" ht="14.25" customHeight="1" x14ac:dyDescent="0.3">
      <c r="A8747" s="405"/>
      <c r="B8747" s="405"/>
      <c r="C8747" s="405"/>
      <c r="D8747" s="405"/>
      <c r="E8747" s="405" t="s">
        <v>1046</v>
      </c>
      <c r="F8747" s="406">
        <v>0</v>
      </c>
      <c r="G8747" s="405" t="s">
        <v>1047</v>
      </c>
      <c r="H8747" s="406">
        <v>0</v>
      </c>
      <c r="I8747" s="405" t="s">
        <v>1048</v>
      </c>
      <c r="J8747" s="406">
        <v>0</v>
      </c>
      <c r="K8747"/>
    </row>
    <row r="8748" spans="1:11" ht="14.25" customHeight="1" thickBot="1" x14ac:dyDescent="0.35">
      <c r="A8748" s="405"/>
      <c r="B8748" s="405"/>
      <c r="C8748" s="405"/>
      <c r="D8748" s="405"/>
      <c r="E8748" s="405" t="s">
        <v>1049</v>
      </c>
      <c r="F8748" s="406">
        <v>0</v>
      </c>
      <c r="G8748" s="405"/>
      <c r="H8748" s="606"/>
      <c r="I8748" s="606" t="s">
        <v>1050</v>
      </c>
      <c r="J8748" s="406">
        <v>1</v>
      </c>
      <c r="K8748"/>
    </row>
    <row r="8749" spans="1:11" ht="15.6" thickTop="1" x14ac:dyDescent="0.3">
      <c r="A8749" s="407"/>
      <c r="B8749" s="407"/>
      <c r="C8749" s="407"/>
      <c r="D8749" s="407"/>
      <c r="E8749" s="407"/>
      <c r="F8749" s="407"/>
      <c r="G8749" s="407"/>
      <c r="H8749" s="407"/>
      <c r="I8749" s="407"/>
      <c r="J8749" s="407"/>
      <c r="K8749"/>
    </row>
    <row r="8750" spans="1:11" ht="15" x14ac:dyDescent="0.3">
      <c r="A8750" s="382"/>
      <c r="B8750" s="312" t="s">
        <v>413</v>
      </c>
      <c r="C8750" s="382" t="s">
        <v>414</v>
      </c>
      <c r="D8750" s="382" t="s">
        <v>415</v>
      </c>
      <c r="E8750" s="586" t="s">
        <v>1029</v>
      </c>
      <c r="F8750" s="586"/>
      <c r="G8750" s="383" t="s">
        <v>416</v>
      </c>
      <c r="H8750" s="312" t="s">
        <v>1030</v>
      </c>
      <c r="I8750" s="312" t="s">
        <v>3016</v>
      </c>
      <c r="J8750" s="312" t="s">
        <v>1031</v>
      </c>
      <c r="K8750" s="312" t="s">
        <v>1032</v>
      </c>
    </row>
    <row r="8751" spans="1:11" ht="39.6" x14ac:dyDescent="0.3">
      <c r="A8751" s="313" t="s">
        <v>1033</v>
      </c>
      <c r="B8751" s="315" t="s">
        <v>5256</v>
      </c>
      <c r="C8751" s="313" t="s">
        <v>395</v>
      </c>
      <c r="D8751" s="313" t="s">
        <v>5257</v>
      </c>
      <c r="E8751" s="603" t="s">
        <v>7772</v>
      </c>
      <c r="F8751" s="603"/>
      <c r="G8751" s="314" t="s">
        <v>19</v>
      </c>
      <c r="H8751" s="399">
        <v>1</v>
      </c>
      <c r="I8751" s="316"/>
      <c r="J8751" s="316">
        <v>193.93</v>
      </c>
      <c r="K8751" s="316">
        <v>193.93</v>
      </c>
    </row>
    <row r="8752" spans="1:11" ht="26.4" x14ac:dyDescent="0.3">
      <c r="A8752" s="408" t="s">
        <v>1034</v>
      </c>
      <c r="B8752" s="409" t="s">
        <v>8215</v>
      </c>
      <c r="C8752" s="408" t="s">
        <v>395</v>
      </c>
      <c r="D8752" s="408" t="s">
        <v>8216</v>
      </c>
      <c r="E8752" s="604" t="s">
        <v>7768</v>
      </c>
      <c r="F8752" s="604"/>
      <c r="G8752" s="410" t="s">
        <v>6</v>
      </c>
      <c r="H8752" s="412">
        <v>1</v>
      </c>
      <c r="I8752" s="412">
        <v>0</v>
      </c>
      <c r="J8752" s="411">
        <v>44.97</v>
      </c>
      <c r="K8752" s="411">
        <v>44.97</v>
      </c>
    </row>
    <row r="8753" spans="1:11" ht="39.6" x14ac:dyDescent="0.3">
      <c r="A8753" s="408" t="s">
        <v>1034</v>
      </c>
      <c r="B8753" s="409" t="s">
        <v>8217</v>
      </c>
      <c r="C8753" s="408" t="s">
        <v>395</v>
      </c>
      <c r="D8753" s="408" t="s">
        <v>8218</v>
      </c>
      <c r="E8753" s="604" t="s">
        <v>7946</v>
      </c>
      <c r="F8753" s="604"/>
      <c r="G8753" s="410" t="s">
        <v>6</v>
      </c>
      <c r="H8753" s="412">
        <v>1</v>
      </c>
      <c r="I8753" s="412">
        <v>0</v>
      </c>
      <c r="J8753" s="411">
        <v>99.64</v>
      </c>
      <c r="K8753" s="411">
        <v>99.64</v>
      </c>
    </row>
    <row r="8754" spans="1:11" ht="14.25" customHeight="1" x14ac:dyDescent="0.3">
      <c r="A8754" s="408" t="s">
        <v>1034</v>
      </c>
      <c r="B8754" s="409" t="s">
        <v>8219</v>
      </c>
      <c r="C8754" s="408" t="s">
        <v>395</v>
      </c>
      <c r="D8754" s="408" t="s">
        <v>8220</v>
      </c>
      <c r="E8754" s="604" t="s">
        <v>7946</v>
      </c>
      <c r="F8754" s="604"/>
      <c r="G8754" s="410" t="s">
        <v>6</v>
      </c>
      <c r="H8754" s="412">
        <v>1</v>
      </c>
      <c r="I8754" s="412">
        <v>0</v>
      </c>
      <c r="J8754" s="411">
        <v>35.119999999999997</v>
      </c>
      <c r="K8754" s="411">
        <v>35.119999999999997</v>
      </c>
    </row>
    <row r="8755" spans="1:11" ht="14.25" customHeight="1" x14ac:dyDescent="0.3">
      <c r="A8755" s="408" t="s">
        <v>1034</v>
      </c>
      <c r="B8755" s="409" t="s">
        <v>8221</v>
      </c>
      <c r="C8755" s="408" t="s">
        <v>395</v>
      </c>
      <c r="D8755" s="408" t="s">
        <v>8222</v>
      </c>
      <c r="E8755" s="604" t="s">
        <v>7946</v>
      </c>
      <c r="F8755" s="604"/>
      <c r="G8755" s="410" t="s">
        <v>6</v>
      </c>
      <c r="H8755" s="412">
        <v>1</v>
      </c>
      <c r="I8755" s="412">
        <v>0</v>
      </c>
      <c r="J8755" s="411">
        <v>14.2</v>
      </c>
      <c r="K8755" s="411">
        <v>14.2</v>
      </c>
    </row>
    <row r="8756" spans="1:11" ht="17.399999999999999" customHeight="1" x14ac:dyDescent="0.3">
      <c r="A8756" s="405"/>
      <c r="B8756" s="405"/>
      <c r="C8756" s="405"/>
      <c r="D8756" s="405"/>
      <c r="E8756" s="405" t="s">
        <v>1046</v>
      </c>
      <c r="F8756" s="406">
        <v>36.020000000000003</v>
      </c>
      <c r="G8756" s="405" t="s">
        <v>1047</v>
      </c>
      <c r="H8756" s="406">
        <v>0</v>
      </c>
      <c r="I8756" s="405" t="s">
        <v>1048</v>
      </c>
      <c r="J8756" s="406">
        <v>36.020000000000003</v>
      </c>
      <c r="K8756"/>
    </row>
    <row r="8757" spans="1:11" ht="15.6" thickBot="1" x14ac:dyDescent="0.35">
      <c r="A8757" s="405"/>
      <c r="B8757" s="405"/>
      <c r="C8757" s="405"/>
      <c r="D8757" s="405"/>
      <c r="E8757" s="405" t="s">
        <v>1049</v>
      </c>
      <c r="F8757" s="406">
        <v>0</v>
      </c>
      <c r="G8757" s="405"/>
      <c r="H8757" s="606"/>
      <c r="I8757" s="606" t="s">
        <v>1050</v>
      </c>
      <c r="J8757" s="406">
        <v>193.93</v>
      </c>
      <c r="K8757"/>
    </row>
    <row r="8758" spans="1:11" ht="15.6" thickTop="1" x14ac:dyDescent="0.3">
      <c r="A8758" s="407"/>
      <c r="B8758" s="407"/>
      <c r="C8758" s="407"/>
      <c r="D8758" s="407"/>
      <c r="E8758" s="407"/>
      <c r="F8758" s="407"/>
      <c r="G8758" s="407"/>
      <c r="H8758" s="407"/>
      <c r="I8758" s="407"/>
      <c r="J8758" s="407"/>
      <c r="K8758"/>
    </row>
    <row r="8759" spans="1:11" ht="15" customHeight="1" x14ac:dyDescent="0.3">
      <c r="A8759" s="382"/>
      <c r="B8759" s="312" t="s">
        <v>413</v>
      </c>
      <c r="C8759" s="382" t="s">
        <v>414</v>
      </c>
      <c r="D8759" s="382" t="s">
        <v>415</v>
      </c>
      <c r="E8759" s="586" t="s">
        <v>1029</v>
      </c>
      <c r="F8759" s="586"/>
      <c r="G8759" s="383" t="s">
        <v>416</v>
      </c>
      <c r="H8759" s="312" t="s">
        <v>1030</v>
      </c>
      <c r="I8759" s="312" t="s">
        <v>3016</v>
      </c>
      <c r="J8759" s="312" t="s">
        <v>1031</v>
      </c>
      <c r="K8759" s="312" t="s">
        <v>1032</v>
      </c>
    </row>
    <row r="8760" spans="1:11" ht="30" customHeight="1" x14ac:dyDescent="0.3">
      <c r="A8760" s="313" t="s">
        <v>1033</v>
      </c>
      <c r="B8760" s="315" t="s">
        <v>5258</v>
      </c>
      <c r="C8760" s="313" t="s">
        <v>395</v>
      </c>
      <c r="D8760" s="313" t="s">
        <v>5259</v>
      </c>
      <c r="E8760" s="603" t="s">
        <v>7772</v>
      </c>
      <c r="F8760" s="603"/>
      <c r="G8760" s="314" t="s">
        <v>15</v>
      </c>
      <c r="H8760" s="399">
        <v>1</v>
      </c>
      <c r="I8760" s="316"/>
      <c r="J8760" s="316">
        <v>370.74</v>
      </c>
      <c r="K8760" s="316">
        <v>370.74</v>
      </c>
    </row>
    <row r="8761" spans="1:11" ht="14.25" customHeight="1" x14ac:dyDescent="0.3">
      <c r="A8761" s="408" t="s">
        <v>1034</v>
      </c>
      <c r="B8761" s="409" t="s">
        <v>8215</v>
      </c>
      <c r="C8761" s="408" t="s">
        <v>395</v>
      </c>
      <c r="D8761" s="408" t="s">
        <v>8216</v>
      </c>
      <c r="E8761" s="604" t="s">
        <v>7768</v>
      </c>
      <c r="F8761" s="604"/>
      <c r="G8761" s="410" t="s">
        <v>6</v>
      </c>
      <c r="H8761" s="412">
        <v>1</v>
      </c>
      <c r="I8761" s="412">
        <v>0</v>
      </c>
      <c r="J8761" s="411">
        <v>44.97</v>
      </c>
      <c r="K8761" s="411">
        <v>44.97</v>
      </c>
    </row>
    <row r="8762" spans="1:11" ht="14.25" customHeight="1" x14ac:dyDescent="0.3">
      <c r="A8762" s="408" t="s">
        <v>1034</v>
      </c>
      <c r="B8762" s="409" t="s">
        <v>8217</v>
      </c>
      <c r="C8762" s="408" t="s">
        <v>395</v>
      </c>
      <c r="D8762" s="408" t="s">
        <v>8218</v>
      </c>
      <c r="E8762" s="604" t="s">
        <v>7946</v>
      </c>
      <c r="F8762" s="604"/>
      <c r="G8762" s="410" t="s">
        <v>6</v>
      </c>
      <c r="H8762" s="412">
        <v>1</v>
      </c>
      <c r="I8762" s="412">
        <v>0</v>
      </c>
      <c r="J8762" s="411">
        <v>99.64</v>
      </c>
      <c r="K8762" s="411">
        <v>99.64</v>
      </c>
    </row>
    <row r="8763" spans="1:11" ht="26.4" x14ac:dyDescent="0.3">
      <c r="A8763" s="408" t="s">
        <v>1034</v>
      </c>
      <c r="B8763" s="409" t="s">
        <v>8219</v>
      </c>
      <c r="C8763" s="408" t="s">
        <v>395</v>
      </c>
      <c r="D8763" s="408" t="s">
        <v>8220</v>
      </c>
      <c r="E8763" s="604" t="s">
        <v>7946</v>
      </c>
      <c r="F8763" s="604"/>
      <c r="G8763" s="410" t="s">
        <v>6</v>
      </c>
      <c r="H8763" s="412">
        <v>1</v>
      </c>
      <c r="I8763" s="412">
        <v>0</v>
      </c>
      <c r="J8763" s="411">
        <v>35.119999999999997</v>
      </c>
      <c r="K8763" s="411">
        <v>35.119999999999997</v>
      </c>
    </row>
    <row r="8764" spans="1:11" ht="39.6" x14ac:dyDescent="0.3">
      <c r="A8764" s="408" t="s">
        <v>1034</v>
      </c>
      <c r="B8764" s="409" t="s">
        <v>8223</v>
      </c>
      <c r="C8764" s="408" t="s">
        <v>395</v>
      </c>
      <c r="D8764" s="408" t="s">
        <v>8224</v>
      </c>
      <c r="E8764" s="604" t="s">
        <v>7946</v>
      </c>
      <c r="F8764" s="604"/>
      <c r="G8764" s="410" t="s">
        <v>6</v>
      </c>
      <c r="H8764" s="412">
        <v>1</v>
      </c>
      <c r="I8764" s="412">
        <v>0</v>
      </c>
      <c r="J8764" s="411">
        <v>160.16999999999999</v>
      </c>
      <c r="K8764" s="411">
        <v>160.16999999999999</v>
      </c>
    </row>
    <row r="8765" spans="1:11" ht="39.6" x14ac:dyDescent="0.3">
      <c r="A8765" s="408" t="s">
        <v>1034</v>
      </c>
      <c r="B8765" s="409" t="s">
        <v>8225</v>
      </c>
      <c r="C8765" s="408" t="s">
        <v>395</v>
      </c>
      <c r="D8765" s="408" t="s">
        <v>8226</v>
      </c>
      <c r="E8765" s="604" t="s">
        <v>7946</v>
      </c>
      <c r="F8765" s="604"/>
      <c r="G8765" s="410" t="s">
        <v>6</v>
      </c>
      <c r="H8765" s="412">
        <v>1</v>
      </c>
      <c r="I8765" s="412">
        <v>0</v>
      </c>
      <c r="J8765" s="411">
        <v>16.64</v>
      </c>
      <c r="K8765" s="411">
        <v>16.64</v>
      </c>
    </row>
    <row r="8766" spans="1:11" ht="39.6" x14ac:dyDescent="0.3">
      <c r="A8766" s="408" t="s">
        <v>1034</v>
      </c>
      <c r="B8766" s="409" t="s">
        <v>8221</v>
      </c>
      <c r="C8766" s="408" t="s">
        <v>395</v>
      </c>
      <c r="D8766" s="408" t="s">
        <v>8222</v>
      </c>
      <c r="E8766" s="604" t="s">
        <v>7946</v>
      </c>
      <c r="F8766" s="604"/>
      <c r="G8766" s="410" t="s">
        <v>6</v>
      </c>
      <c r="H8766" s="412">
        <v>1</v>
      </c>
      <c r="I8766" s="412">
        <v>0</v>
      </c>
      <c r="J8766" s="411">
        <v>14.2</v>
      </c>
      <c r="K8766" s="411">
        <v>14.2</v>
      </c>
    </row>
    <row r="8767" spans="1:11" ht="15" x14ac:dyDescent="0.3">
      <c r="A8767" s="405"/>
      <c r="B8767" s="405"/>
      <c r="C8767" s="405"/>
      <c r="D8767" s="405"/>
      <c r="E8767" s="405" t="s">
        <v>1046</v>
      </c>
      <c r="F8767" s="406">
        <v>36.020000000000003</v>
      </c>
      <c r="G8767" s="405" t="s">
        <v>1047</v>
      </c>
      <c r="H8767" s="406">
        <v>0</v>
      </c>
      <c r="I8767" s="405" t="s">
        <v>1048</v>
      </c>
      <c r="J8767" s="406">
        <v>36.020000000000003</v>
      </c>
      <c r="K8767"/>
    </row>
    <row r="8768" spans="1:11" ht="14.25" customHeight="1" thickBot="1" x14ac:dyDescent="0.35">
      <c r="A8768" s="405"/>
      <c r="B8768" s="405"/>
      <c r="C8768" s="405"/>
      <c r="D8768" s="405"/>
      <c r="E8768" s="405" t="s">
        <v>1049</v>
      </c>
      <c r="F8768" s="406">
        <v>0</v>
      </c>
      <c r="G8768" s="405"/>
      <c r="H8768" s="606"/>
      <c r="I8768" s="606" t="s">
        <v>1050</v>
      </c>
      <c r="J8768" s="406">
        <v>370.74</v>
      </c>
      <c r="K8768"/>
    </row>
    <row r="8769" spans="1:11" ht="14.25" customHeight="1" thickTop="1" x14ac:dyDescent="0.3">
      <c r="A8769" s="407"/>
      <c r="B8769" s="407"/>
      <c r="C8769" s="407"/>
      <c r="D8769" s="407"/>
      <c r="E8769" s="407"/>
      <c r="F8769" s="407"/>
      <c r="G8769" s="407"/>
      <c r="H8769" s="407"/>
      <c r="I8769" s="407"/>
      <c r="J8769" s="407"/>
      <c r="K8769"/>
    </row>
    <row r="8770" spans="1:11" ht="15" x14ac:dyDescent="0.3">
      <c r="A8770" s="382"/>
      <c r="B8770" s="312" t="s">
        <v>413</v>
      </c>
      <c r="C8770" s="382" t="s">
        <v>414</v>
      </c>
      <c r="D8770" s="382" t="s">
        <v>415</v>
      </c>
      <c r="E8770" s="586" t="s">
        <v>1029</v>
      </c>
      <c r="F8770" s="586"/>
      <c r="G8770" s="383" t="s">
        <v>416</v>
      </c>
      <c r="H8770" s="312" t="s">
        <v>1030</v>
      </c>
      <c r="I8770" s="312" t="s">
        <v>3016</v>
      </c>
      <c r="J8770" s="312" t="s">
        <v>1031</v>
      </c>
      <c r="K8770" s="312" t="s">
        <v>1032</v>
      </c>
    </row>
    <row r="8771" spans="1:11" ht="39.6" x14ac:dyDescent="0.3">
      <c r="A8771" s="313" t="s">
        <v>1033</v>
      </c>
      <c r="B8771" s="315" t="s">
        <v>8217</v>
      </c>
      <c r="C8771" s="313" t="s">
        <v>395</v>
      </c>
      <c r="D8771" s="313" t="s">
        <v>8218</v>
      </c>
      <c r="E8771" s="603" t="s">
        <v>7946</v>
      </c>
      <c r="F8771" s="603"/>
      <c r="G8771" s="314" t="s">
        <v>6</v>
      </c>
      <c r="H8771" s="399">
        <v>1</v>
      </c>
      <c r="I8771" s="316"/>
      <c r="J8771" s="316">
        <v>99.64</v>
      </c>
      <c r="K8771" s="316">
        <v>99.64</v>
      </c>
    </row>
    <row r="8772" spans="1:11" ht="30" customHeight="1" x14ac:dyDescent="0.3">
      <c r="A8772" s="400" t="s">
        <v>1038</v>
      </c>
      <c r="B8772" s="401" t="s">
        <v>4141</v>
      </c>
      <c r="C8772" s="400" t="s">
        <v>395</v>
      </c>
      <c r="D8772" s="400" t="s">
        <v>4142</v>
      </c>
      <c r="E8772" s="605" t="s">
        <v>1317</v>
      </c>
      <c r="F8772" s="605"/>
      <c r="G8772" s="402" t="s">
        <v>4</v>
      </c>
      <c r="H8772" s="403">
        <v>4.0000000000000003E-5</v>
      </c>
      <c r="I8772" s="403">
        <v>0</v>
      </c>
      <c r="J8772" s="404">
        <v>2491030.2799999998</v>
      </c>
      <c r="K8772" s="404">
        <v>99.641211200000001</v>
      </c>
    </row>
    <row r="8773" spans="1:11" ht="30" customHeight="1" x14ac:dyDescent="0.3">
      <c r="A8773" s="405"/>
      <c r="B8773" s="405"/>
      <c r="C8773" s="405"/>
      <c r="D8773" s="405"/>
      <c r="E8773" s="405" t="s">
        <v>1046</v>
      </c>
      <c r="F8773" s="406">
        <v>0</v>
      </c>
      <c r="G8773" s="405" t="s">
        <v>1047</v>
      </c>
      <c r="H8773" s="406">
        <v>0</v>
      </c>
      <c r="I8773" s="405" t="s">
        <v>1048</v>
      </c>
      <c r="J8773" s="406">
        <v>0</v>
      </c>
      <c r="K8773"/>
    </row>
    <row r="8774" spans="1:11" ht="15.6" thickBot="1" x14ac:dyDescent="0.35">
      <c r="A8774" s="405"/>
      <c r="B8774" s="405"/>
      <c r="C8774" s="405"/>
      <c r="D8774" s="405"/>
      <c r="E8774" s="405" t="s">
        <v>1049</v>
      </c>
      <c r="F8774" s="406">
        <v>0</v>
      </c>
      <c r="G8774" s="405"/>
      <c r="H8774" s="606"/>
      <c r="I8774" s="606" t="s">
        <v>1050</v>
      </c>
      <c r="J8774" s="406">
        <v>99.64</v>
      </c>
      <c r="K8774"/>
    </row>
    <row r="8775" spans="1:11" ht="14.25" customHeight="1" thickTop="1" x14ac:dyDescent="0.3">
      <c r="A8775" s="407"/>
      <c r="B8775" s="407"/>
      <c r="C8775" s="407"/>
      <c r="D8775" s="407"/>
      <c r="E8775" s="407"/>
      <c r="F8775" s="407"/>
      <c r="G8775" s="407"/>
      <c r="H8775" s="407"/>
      <c r="I8775" s="407"/>
      <c r="J8775" s="407"/>
      <c r="K8775"/>
    </row>
    <row r="8776" spans="1:11" ht="14.25" customHeight="1" x14ac:dyDescent="0.3">
      <c r="A8776" s="382"/>
      <c r="B8776" s="312" t="s">
        <v>413</v>
      </c>
      <c r="C8776" s="382" t="s">
        <v>414</v>
      </c>
      <c r="D8776" s="382" t="s">
        <v>415</v>
      </c>
      <c r="E8776" s="586" t="s">
        <v>1029</v>
      </c>
      <c r="F8776" s="586"/>
      <c r="G8776" s="383" t="s">
        <v>416</v>
      </c>
      <c r="H8776" s="312" t="s">
        <v>1030</v>
      </c>
      <c r="I8776" s="312" t="s">
        <v>3016</v>
      </c>
      <c r="J8776" s="312" t="s">
        <v>1031</v>
      </c>
      <c r="K8776" s="312" t="s">
        <v>1032</v>
      </c>
    </row>
    <row r="8777" spans="1:11" ht="39.6" x14ac:dyDescent="0.3">
      <c r="A8777" s="313" t="s">
        <v>1033</v>
      </c>
      <c r="B8777" s="315" t="s">
        <v>8221</v>
      </c>
      <c r="C8777" s="313" t="s">
        <v>395</v>
      </c>
      <c r="D8777" s="313" t="s">
        <v>8222</v>
      </c>
      <c r="E8777" s="603" t="s">
        <v>7946</v>
      </c>
      <c r="F8777" s="603"/>
      <c r="G8777" s="314" t="s">
        <v>6</v>
      </c>
      <c r="H8777" s="399">
        <v>1</v>
      </c>
      <c r="I8777" s="316"/>
      <c r="J8777" s="316">
        <v>14.2</v>
      </c>
      <c r="K8777" s="316">
        <v>14.2</v>
      </c>
    </row>
    <row r="8778" spans="1:11" ht="26.4" x14ac:dyDescent="0.3">
      <c r="A8778" s="400" t="s">
        <v>1038</v>
      </c>
      <c r="B8778" s="401" t="s">
        <v>4141</v>
      </c>
      <c r="C8778" s="400" t="s">
        <v>395</v>
      </c>
      <c r="D8778" s="400" t="s">
        <v>4142</v>
      </c>
      <c r="E8778" s="605" t="s">
        <v>1317</v>
      </c>
      <c r="F8778" s="605"/>
      <c r="G8778" s="402" t="s">
        <v>4</v>
      </c>
      <c r="H8778" s="403">
        <v>5.6999999999999996E-6</v>
      </c>
      <c r="I8778" s="403">
        <v>0</v>
      </c>
      <c r="J8778" s="404">
        <v>2491030.2799999998</v>
      </c>
      <c r="K8778" s="404">
        <v>14.1988726</v>
      </c>
    </row>
    <row r="8779" spans="1:11" ht="15" x14ac:dyDescent="0.3">
      <c r="A8779" s="405"/>
      <c r="B8779" s="405"/>
      <c r="C8779" s="405"/>
      <c r="D8779" s="405"/>
      <c r="E8779" s="405" t="s">
        <v>1046</v>
      </c>
      <c r="F8779" s="406">
        <v>0</v>
      </c>
      <c r="G8779" s="405" t="s">
        <v>1047</v>
      </c>
      <c r="H8779" s="406">
        <v>0</v>
      </c>
      <c r="I8779" s="405" t="s">
        <v>1048</v>
      </c>
      <c r="J8779" s="406">
        <v>0</v>
      </c>
      <c r="K8779"/>
    </row>
    <row r="8780" spans="1:11" ht="15.6" thickBot="1" x14ac:dyDescent="0.35">
      <c r="A8780" s="405"/>
      <c r="B8780" s="405"/>
      <c r="C8780" s="405"/>
      <c r="D8780" s="405"/>
      <c r="E8780" s="405" t="s">
        <v>1049</v>
      </c>
      <c r="F8780" s="406">
        <v>0</v>
      </c>
      <c r="G8780" s="405"/>
      <c r="H8780" s="606"/>
      <c r="I8780" s="606" t="s">
        <v>1050</v>
      </c>
      <c r="J8780" s="406">
        <v>14.2</v>
      </c>
      <c r="K8780"/>
    </row>
    <row r="8781" spans="1:11" ht="15.6" thickTop="1" x14ac:dyDescent="0.3">
      <c r="A8781" s="407"/>
      <c r="B8781" s="407"/>
      <c r="C8781" s="407"/>
      <c r="D8781" s="407"/>
      <c r="E8781" s="407"/>
      <c r="F8781" s="407"/>
      <c r="G8781" s="407"/>
      <c r="H8781" s="407"/>
      <c r="I8781" s="407"/>
      <c r="J8781" s="407"/>
      <c r="K8781"/>
    </row>
    <row r="8782" spans="1:11" ht="17.399999999999999" customHeight="1" x14ac:dyDescent="0.3">
      <c r="A8782" s="382"/>
      <c r="B8782" s="312" t="s">
        <v>413</v>
      </c>
      <c r="C8782" s="382" t="s">
        <v>414</v>
      </c>
      <c r="D8782" s="382" t="s">
        <v>415</v>
      </c>
      <c r="E8782" s="586" t="s">
        <v>1029</v>
      </c>
      <c r="F8782" s="586"/>
      <c r="G8782" s="383" t="s">
        <v>416</v>
      </c>
      <c r="H8782" s="312" t="s">
        <v>1030</v>
      </c>
      <c r="I8782" s="312" t="s">
        <v>3016</v>
      </c>
      <c r="J8782" s="312" t="s">
        <v>1031</v>
      </c>
      <c r="K8782" s="312" t="s">
        <v>1032</v>
      </c>
    </row>
    <row r="8783" spans="1:11" ht="14.25" customHeight="1" x14ac:dyDescent="0.3">
      <c r="A8783" s="313" t="s">
        <v>1033</v>
      </c>
      <c r="B8783" s="315" t="s">
        <v>8219</v>
      </c>
      <c r="C8783" s="313" t="s">
        <v>395</v>
      </c>
      <c r="D8783" s="313" t="s">
        <v>8220</v>
      </c>
      <c r="E8783" s="603" t="s">
        <v>7946</v>
      </c>
      <c r="F8783" s="603"/>
      <c r="G8783" s="314" t="s">
        <v>6</v>
      </c>
      <c r="H8783" s="399">
        <v>1</v>
      </c>
      <c r="I8783" s="316"/>
      <c r="J8783" s="316">
        <v>35.119999999999997</v>
      </c>
      <c r="K8783" s="316">
        <v>35.119999999999997</v>
      </c>
    </row>
    <row r="8784" spans="1:11" ht="14.25" customHeight="1" x14ac:dyDescent="0.3">
      <c r="A8784" s="400" t="s">
        <v>1038</v>
      </c>
      <c r="B8784" s="401" t="s">
        <v>4141</v>
      </c>
      <c r="C8784" s="400" t="s">
        <v>395</v>
      </c>
      <c r="D8784" s="400" t="s">
        <v>4142</v>
      </c>
      <c r="E8784" s="605" t="s">
        <v>1317</v>
      </c>
      <c r="F8784" s="605"/>
      <c r="G8784" s="402" t="s">
        <v>4</v>
      </c>
      <c r="H8784" s="403">
        <v>1.4100000000000001E-5</v>
      </c>
      <c r="I8784" s="403">
        <v>0</v>
      </c>
      <c r="J8784" s="404">
        <v>2491030.2799999998</v>
      </c>
      <c r="K8784" s="404">
        <v>35.123526900000002</v>
      </c>
    </row>
    <row r="8785" spans="1:11" ht="15" customHeight="1" x14ac:dyDescent="0.3">
      <c r="A8785" s="405"/>
      <c r="B8785" s="405"/>
      <c r="C8785" s="405"/>
      <c r="D8785" s="405"/>
      <c r="E8785" s="405" t="s">
        <v>1046</v>
      </c>
      <c r="F8785" s="406">
        <v>0</v>
      </c>
      <c r="G8785" s="405" t="s">
        <v>1047</v>
      </c>
      <c r="H8785" s="406">
        <v>0</v>
      </c>
      <c r="I8785" s="405" t="s">
        <v>1048</v>
      </c>
      <c r="J8785" s="406">
        <v>0</v>
      </c>
      <c r="K8785"/>
    </row>
    <row r="8786" spans="1:11" ht="30" customHeight="1" thickBot="1" x14ac:dyDescent="0.35">
      <c r="A8786" s="405"/>
      <c r="B8786" s="405"/>
      <c r="C8786" s="405"/>
      <c r="D8786" s="405"/>
      <c r="E8786" s="405" t="s">
        <v>1049</v>
      </c>
      <c r="F8786" s="406">
        <v>0</v>
      </c>
      <c r="G8786" s="405"/>
      <c r="H8786" s="606"/>
      <c r="I8786" s="606" t="s">
        <v>1050</v>
      </c>
      <c r="J8786" s="406">
        <v>35.119999999999997</v>
      </c>
      <c r="K8786"/>
    </row>
    <row r="8787" spans="1:11" ht="25.5" customHeight="1" thickTop="1" x14ac:dyDescent="0.3">
      <c r="A8787" s="407"/>
      <c r="B8787" s="407"/>
      <c r="C8787" s="407"/>
      <c r="D8787" s="407"/>
      <c r="E8787" s="407"/>
      <c r="F8787" s="407"/>
      <c r="G8787" s="407"/>
      <c r="H8787" s="407"/>
      <c r="I8787" s="407"/>
      <c r="J8787" s="407"/>
      <c r="K8787"/>
    </row>
    <row r="8788" spans="1:11" ht="25.5" customHeight="1" x14ac:dyDescent="0.3">
      <c r="A8788" s="382"/>
      <c r="B8788" s="312" t="s">
        <v>413</v>
      </c>
      <c r="C8788" s="382" t="s">
        <v>414</v>
      </c>
      <c r="D8788" s="382" t="s">
        <v>415</v>
      </c>
      <c r="E8788" s="586" t="s">
        <v>1029</v>
      </c>
      <c r="F8788" s="586"/>
      <c r="G8788" s="383" t="s">
        <v>416</v>
      </c>
      <c r="H8788" s="312" t="s">
        <v>1030</v>
      </c>
      <c r="I8788" s="312" t="s">
        <v>3016</v>
      </c>
      <c r="J8788" s="312" t="s">
        <v>1031</v>
      </c>
      <c r="K8788" s="312" t="s">
        <v>1032</v>
      </c>
    </row>
    <row r="8789" spans="1:11" ht="25.5" customHeight="1" x14ac:dyDescent="0.3">
      <c r="A8789" s="313" t="s">
        <v>1033</v>
      </c>
      <c r="B8789" s="315" t="s">
        <v>8223</v>
      </c>
      <c r="C8789" s="313" t="s">
        <v>395</v>
      </c>
      <c r="D8789" s="313" t="s">
        <v>8224</v>
      </c>
      <c r="E8789" s="603" t="s">
        <v>7946</v>
      </c>
      <c r="F8789" s="603"/>
      <c r="G8789" s="314" t="s">
        <v>6</v>
      </c>
      <c r="H8789" s="399">
        <v>1</v>
      </c>
      <c r="I8789" s="316"/>
      <c r="J8789" s="316">
        <v>160.16999999999999</v>
      </c>
      <c r="K8789" s="316">
        <v>160.16999999999999</v>
      </c>
    </row>
    <row r="8790" spans="1:11" ht="25.5" customHeight="1" x14ac:dyDescent="0.3">
      <c r="A8790" s="400" t="s">
        <v>1038</v>
      </c>
      <c r="B8790" s="401" t="s">
        <v>4141</v>
      </c>
      <c r="C8790" s="400" t="s">
        <v>395</v>
      </c>
      <c r="D8790" s="400" t="s">
        <v>4142</v>
      </c>
      <c r="E8790" s="605" t="s">
        <v>1317</v>
      </c>
      <c r="F8790" s="605"/>
      <c r="G8790" s="402" t="s">
        <v>4</v>
      </c>
      <c r="H8790" s="403">
        <v>6.4300000000000004E-5</v>
      </c>
      <c r="I8790" s="403">
        <v>0</v>
      </c>
      <c r="J8790" s="404">
        <v>2491030.2799999998</v>
      </c>
      <c r="K8790" s="404">
        <v>160.173247</v>
      </c>
    </row>
    <row r="8791" spans="1:11" ht="25.5" customHeight="1" x14ac:dyDescent="0.3">
      <c r="A8791" s="405"/>
      <c r="B8791" s="405"/>
      <c r="C8791" s="405"/>
      <c r="D8791" s="405"/>
      <c r="E8791" s="405" t="s">
        <v>1046</v>
      </c>
      <c r="F8791" s="406">
        <v>0</v>
      </c>
      <c r="G8791" s="405" t="s">
        <v>1047</v>
      </c>
      <c r="H8791" s="406">
        <v>0</v>
      </c>
      <c r="I8791" s="405" t="s">
        <v>1048</v>
      </c>
      <c r="J8791" s="406">
        <v>0</v>
      </c>
      <c r="K8791"/>
    </row>
    <row r="8792" spans="1:11" ht="25.5" customHeight="1" thickBot="1" x14ac:dyDescent="0.35">
      <c r="A8792" s="405"/>
      <c r="B8792" s="405"/>
      <c r="C8792" s="405"/>
      <c r="D8792" s="405"/>
      <c r="E8792" s="405" t="s">
        <v>1049</v>
      </c>
      <c r="F8792" s="406">
        <v>0</v>
      </c>
      <c r="G8792" s="405"/>
      <c r="H8792" s="606"/>
      <c r="I8792" s="606" t="s">
        <v>1050</v>
      </c>
      <c r="J8792" s="406">
        <v>160.16999999999999</v>
      </c>
      <c r="K8792"/>
    </row>
    <row r="8793" spans="1:11" ht="15.6" thickTop="1" x14ac:dyDescent="0.3">
      <c r="A8793" s="407"/>
      <c r="B8793" s="407"/>
      <c r="C8793" s="407"/>
      <c r="D8793" s="407"/>
      <c r="E8793" s="407"/>
      <c r="F8793" s="407"/>
      <c r="G8793" s="407"/>
      <c r="H8793" s="407"/>
      <c r="I8793" s="407"/>
      <c r="J8793" s="407"/>
      <c r="K8793"/>
    </row>
    <row r="8794" spans="1:11" ht="14.25" customHeight="1" x14ac:dyDescent="0.3">
      <c r="A8794" s="382"/>
      <c r="B8794" s="312" t="s">
        <v>413</v>
      </c>
      <c r="C8794" s="382" t="s">
        <v>414</v>
      </c>
      <c r="D8794" s="382" t="s">
        <v>415</v>
      </c>
      <c r="E8794" s="586" t="s">
        <v>1029</v>
      </c>
      <c r="F8794" s="586"/>
      <c r="G8794" s="383" t="s">
        <v>416</v>
      </c>
      <c r="H8794" s="312" t="s">
        <v>1030</v>
      </c>
      <c r="I8794" s="312" t="s">
        <v>3016</v>
      </c>
      <c r="J8794" s="312" t="s">
        <v>1031</v>
      </c>
      <c r="K8794" s="312" t="s">
        <v>1032</v>
      </c>
    </row>
    <row r="8795" spans="1:11" ht="14.25" customHeight="1" x14ac:dyDescent="0.3">
      <c r="A8795" s="313" t="s">
        <v>1033</v>
      </c>
      <c r="B8795" s="315" t="s">
        <v>8225</v>
      </c>
      <c r="C8795" s="313" t="s">
        <v>395</v>
      </c>
      <c r="D8795" s="313" t="s">
        <v>8226</v>
      </c>
      <c r="E8795" s="603" t="s">
        <v>7946</v>
      </c>
      <c r="F8795" s="603"/>
      <c r="G8795" s="314" t="s">
        <v>6</v>
      </c>
      <c r="H8795" s="399">
        <v>1</v>
      </c>
      <c r="I8795" s="316"/>
      <c r="J8795" s="316">
        <v>16.64</v>
      </c>
      <c r="K8795" s="316">
        <v>16.64</v>
      </c>
    </row>
    <row r="8796" spans="1:11" ht="15" x14ac:dyDescent="0.3">
      <c r="A8796" s="400" t="s">
        <v>1038</v>
      </c>
      <c r="B8796" s="401" t="s">
        <v>4620</v>
      </c>
      <c r="C8796" s="400" t="s">
        <v>395</v>
      </c>
      <c r="D8796" s="400" t="s">
        <v>4621</v>
      </c>
      <c r="E8796" s="605" t="s">
        <v>1039</v>
      </c>
      <c r="F8796" s="605"/>
      <c r="G8796" s="402" t="s">
        <v>4622</v>
      </c>
      <c r="H8796" s="403">
        <v>13</v>
      </c>
      <c r="I8796" s="403">
        <v>0</v>
      </c>
      <c r="J8796" s="404">
        <v>1.28</v>
      </c>
      <c r="K8796" s="404">
        <v>16.64</v>
      </c>
    </row>
    <row r="8797" spans="1:11" ht="15" x14ac:dyDescent="0.3">
      <c r="A8797" s="405"/>
      <c r="B8797" s="405"/>
      <c r="C8797" s="405"/>
      <c r="D8797" s="405"/>
      <c r="E8797" s="405" t="s">
        <v>1046</v>
      </c>
      <c r="F8797" s="406">
        <v>0</v>
      </c>
      <c r="G8797" s="405" t="s">
        <v>1047</v>
      </c>
      <c r="H8797" s="406">
        <v>0</v>
      </c>
      <c r="I8797" s="405" t="s">
        <v>1048</v>
      </c>
      <c r="J8797" s="406">
        <v>0</v>
      </c>
      <c r="K8797"/>
    </row>
    <row r="8798" spans="1:11" ht="25.5" customHeight="1" thickBot="1" x14ac:dyDescent="0.35">
      <c r="A8798" s="405"/>
      <c r="B8798" s="405"/>
      <c r="C8798" s="405"/>
      <c r="D8798" s="405"/>
      <c r="E8798" s="405" t="s">
        <v>1049</v>
      </c>
      <c r="F8798" s="406">
        <v>0</v>
      </c>
      <c r="G8798" s="405"/>
      <c r="H8798" s="606"/>
      <c r="I8798" s="606" t="s">
        <v>1050</v>
      </c>
      <c r="J8798" s="406">
        <v>16.64</v>
      </c>
      <c r="K8798"/>
    </row>
    <row r="8799" spans="1:11" ht="25.5" customHeight="1" thickTop="1" x14ac:dyDescent="0.3">
      <c r="A8799" s="407"/>
      <c r="B8799" s="407"/>
      <c r="C8799" s="407"/>
      <c r="D8799" s="407"/>
      <c r="E8799" s="407"/>
      <c r="F8799" s="407"/>
      <c r="G8799" s="407"/>
      <c r="H8799" s="407"/>
      <c r="I8799" s="407"/>
      <c r="J8799" s="407"/>
      <c r="K8799"/>
    </row>
    <row r="8800" spans="1:11" ht="38.25" customHeight="1" x14ac:dyDescent="0.3">
      <c r="A8800" s="382"/>
      <c r="B8800" s="312" t="s">
        <v>413</v>
      </c>
      <c r="C8800" s="382" t="s">
        <v>414</v>
      </c>
      <c r="D8800" s="382" t="s">
        <v>415</v>
      </c>
      <c r="E8800" s="586" t="s">
        <v>1029</v>
      </c>
      <c r="F8800" s="586"/>
      <c r="G8800" s="383" t="s">
        <v>416</v>
      </c>
      <c r="H8800" s="312" t="s">
        <v>1030</v>
      </c>
      <c r="I8800" s="312" t="s">
        <v>3016</v>
      </c>
      <c r="J8800" s="312" t="s">
        <v>1031</v>
      </c>
      <c r="K8800" s="312" t="s">
        <v>1032</v>
      </c>
    </row>
    <row r="8801" spans="1:11" ht="38.25" customHeight="1" x14ac:dyDescent="0.3">
      <c r="A8801" s="313" t="s">
        <v>1033</v>
      </c>
      <c r="B8801" s="315" t="s">
        <v>5162</v>
      </c>
      <c r="C8801" s="313" t="s">
        <v>395</v>
      </c>
      <c r="D8801" s="313" t="s">
        <v>7802</v>
      </c>
      <c r="E8801" s="603" t="s">
        <v>7783</v>
      </c>
      <c r="F8801" s="603"/>
      <c r="G8801" s="314" t="s">
        <v>4</v>
      </c>
      <c r="H8801" s="399">
        <v>1</v>
      </c>
      <c r="I8801" s="316"/>
      <c r="J8801" s="316">
        <v>62.67</v>
      </c>
      <c r="K8801" s="316">
        <v>62.67</v>
      </c>
    </row>
    <row r="8802" spans="1:11" ht="14.25" customHeight="1" x14ac:dyDescent="0.3">
      <c r="A8802" s="408" t="s">
        <v>1034</v>
      </c>
      <c r="B8802" s="409" t="s">
        <v>8227</v>
      </c>
      <c r="C8802" s="408" t="s">
        <v>395</v>
      </c>
      <c r="D8802" s="408" t="s">
        <v>8228</v>
      </c>
      <c r="E8802" s="604" t="s">
        <v>7783</v>
      </c>
      <c r="F8802" s="604"/>
      <c r="G8802" s="410" t="s">
        <v>4</v>
      </c>
      <c r="H8802" s="412">
        <v>1</v>
      </c>
      <c r="I8802" s="412">
        <v>0</v>
      </c>
      <c r="J8802" s="411">
        <v>13.43</v>
      </c>
      <c r="K8802" s="411">
        <v>13.43</v>
      </c>
    </row>
    <row r="8803" spans="1:11" ht="14.25" customHeight="1" x14ac:dyDescent="0.3">
      <c r="A8803" s="408" t="s">
        <v>1034</v>
      </c>
      <c r="B8803" s="409" t="s">
        <v>8229</v>
      </c>
      <c r="C8803" s="408" t="s">
        <v>395</v>
      </c>
      <c r="D8803" s="408" t="s">
        <v>8230</v>
      </c>
      <c r="E8803" s="604" t="s">
        <v>7783</v>
      </c>
      <c r="F8803" s="604"/>
      <c r="G8803" s="410" t="s">
        <v>4</v>
      </c>
      <c r="H8803" s="412">
        <v>1</v>
      </c>
      <c r="I8803" s="412">
        <v>0</v>
      </c>
      <c r="J8803" s="411">
        <v>49.24</v>
      </c>
      <c r="K8803" s="411">
        <v>49.24</v>
      </c>
    </row>
    <row r="8804" spans="1:11" ht="15" x14ac:dyDescent="0.3">
      <c r="A8804" s="405"/>
      <c r="B8804" s="405"/>
      <c r="C8804" s="405"/>
      <c r="D8804" s="405"/>
      <c r="E8804" s="405" t="s">
        <v>1046</v>
      </c>
      <c r="F8804" s="406">
        <v>34.18</v>
      </c>
      <c r="G8804" s="405" t="s">
        <v>1047</v>
      </c>
      <c r="H8804" s="406">
        <v>0</v>
      </c>
      <c r="I8804" s="405" t="s">
        <v>1048</v>
      </c>
      <c r="J8804" s="406">
        <v>34.18</v>
      </c>
      <c r="K8804"/>
    </row>
    <row r="8805" spans="1:11" ht="15.6" thickBot="1" x14ac:dyDescent="0.35">
      <c r="A8805" s="405"/>
      <c r="B8805" s="405"/>
      <c r="C8805" s="405"/>
      <c r="D8805" s="405"/>
      <c r="E8805" s="405" t="s">
        <v>1049</v>
      </c>
      <c r="F8805" s="406">
        <v>0</v>
      </c>
      <c r="G8805" s="405"/>
      <c r="H8805" s="606"/>
      <c r="I8805" s="606" t="s">
        <v>1050</v>
      </c>
      <c r="J8805" s="406">
        <v>62.67</v>
      </c>
      <c r="K8805"/>
    </row>
    <row r="8806" spans="1:11" ht="25.5" customHeight="1" thickTop="1" x14ac:dyDescent="0.3">
      <c r="A8806" s="407"/>
      <c r="B8806" s="407"/>
      <c r="C8806" s="407"/>
      <c r="D8806" s="407"/>
      <c r="E8806" s="407"/>
      <c r="F8806" s="407"/>
      <c r="G8806" s="407"/>
      <c r="H8806" s="407"/>
      <c r="I8806" s="407"/>
      <c r="J8806" s="407"/>
      <c r="K8806"/>
    </row>
    <row r="8807" spans="1:11" ht="25.5" customHeight="1" x14ac:dyDescent="0.3">
      <c r="A8807" s="382"/>
      <c r="B8807" s="312" t="s">
        <v>413</v>
      </c>
      <c r="C8807" s="382" t="s">
        <v>414</v>
      </c>
      <c r="D8807" s="382" t="s">
        <v>415</v>
      </c>
      <c r="E8807" s="586" t="s">
        <v>1029</v>
      </c>
      <c r="F8807" s="586"/>
      <c r="G8807" s="383" t="s">
        <v>416</v>
      </c>
      <c r="H8807" s="312" t="s">
        <v>1030</v>
      </c>
      <c r="I8807" s="312" t="s">
        <v>3016</v>
      </c>
      <c r="J8807" s="312" t="s">
        <v>1031</v>
      </c>
      <c r="K8807" s="312" t="s">
        <v>1032</v>
      </c>
    </row>
    <row r="8808" spans="1:11" ht="25.5" customHeight="1" x14ac:dyDescent="0.3">
      <c r="A8808" s="313" t="s">
        <v>1033</v>
      </c>
      <c r="B8808" s="315" t="s">
        <v>8229</v>
      </c>
      <c r="C8808" s="313" t="s">
        <v>395</v>
      </c>
      <c r="D8808" s="313" t="s">
        <v>8230</v>
      </c>
      <c r="E8808" s="603" t="s">
        <v>7783</v>
      </c>
      <c r="F8808" s="603"/>
      <c r="G8808" s="314" t="s">
        <v>4</v>
      </c>
      <c r="H8808" s="399">
        <v>1</v>
      </c>
      <c r="I8808" s="316"/>
      <c r="J8808" s="316">
        <v>49.24</v>
      </c>
      <c r="K8808" s="316">
        <v>49.24</v>
      </c>
    </row>
    <row r="8809" spans="1:11" ht="25.5" customHeight="1" x14ac:dyDescent="0.3">
      <c r="A8809" s="408" t="s">
        <v>1034</v>
      </c>
      <c r="B8809" s="409" t="s">
        <v>1035</v>
      </c>
      <c r="C8809" s="408" t="s">
        <v>395</v>
      </c>
      <c r="D8809" s="408" t="s">
        <v>128</v>
      </c>
      <c r="E8809" s="604" t="s">
        <v>7768</v>
      </c>
      <c r="F8809" s="604"/>
      <c r="G8809" s="410" t="s">
        <v>6</v>
      </c>
      <c r="H8809" s="412">
        <v>0.48599999999999999</v>
      </c>
      <c r="I8809" s="412">
        <v>0</v>
      </c>
      <c r="J8809" s="411">
        <v>34.5</v>
      </c>
      <c r="K8809" s="411">
        <v>16.766999999999999</v>
      </c>
    </row>
    <row r="8810" spans="1:11" ht="26.4" x14ac:dyDescent="0.3">
      <c r="A8810" s="408" t="s">
        <v>1034</v>
      </c>
      <c r="B8810" s="409" t="s">
        <v>1037</v>
      </c>
      <c r="C8810" s="408" t="s">
        <v>395</v>
      </c>
      <c r="D8810" s="408" t="s">
        <v>135</v>
      </c>
      <c r="E8810" s="604" t="s">
        <v>7768</v>
      </c>
      <c r="F8810" s="604"/>
      <c r="G8810" s="410" t="s">
        <v>6</v>
      </c>
      <c r="H8810" s="412">
        <v>0.48599999999999999</v>
      </c>
      <c r="I8810" s="412">
        <v>0</v>
      </c>
      <c r="J8810" s="411">
        <v>41.81</v>
      </c>
      <c r="K8810" s="411">
        <v>20.319659999999999</v>
      </c>
    </row>
    <row r="8811" spans="1:11" ht="14.25" customHeight="1" x14ac:dyDescent="0.3">
      <c r="A8811" s="400" t="s">
        <v>1038</v>
      </c>
      <c r="B8811" s="401" t="s">
        <v>1228</v>
      </c>
      <c r="C8811" s="400" t="s">
        <v>395</v>
      </c>
      <c r="D8811" s="400" t="s">
        <v>286</v>
      </c>
      <c r="E8811" s="605" t="s">
        <v>1039</v>
      </c>
      <c r="F8811" s="605"/>
      <c r="G8811" s="402" t="s">
        <v>4</v>
      </c>
      <c r="H8811" s="403">
        <v>1</v>
      </c>
      <c r="I8811" s="403">
        <v>0</v>
      </c>
      <c r="J8811" s="404">
        <v>6.47</v>
      </c>
      <c r="K8811" s="404">
        <v>6.47</v>
      </c>
    </row>
    <row r="8812" spans="1:11" ht="14.25" customHeight="1" x14ac:dyDescent="0.3">
      <c r="A8812" s="400" t="s">
        <v>1038</v>
      </c>
      <c r="B8812" s="401" t="s">
        <v>4970</v>
      </c>
      <c r="C8812" s="400" t="s">
        <v>395</v>
      </c>
      <c r="D8812" s="400" t="s">
        <v>4971</v>
      </c>
      <c r="E8812" s="605" t="s">
        <v>1039</v>
      </c>
      <c r="F8812" s="605"/>
      <c r="G8812" s="402" t="s">
        <v>4</v>
      </c>
      <c r="H8812" s="403">
        <v>1</v>
      </c>
      <c r="I8812" s="403">
        <v>0</v>
      </c>
      <c r="J8812" s="404">
        <v>5.68</v>
      </c>
      <c r="K8812" s="404">
        <v>5.68</v>
      </c>
    </row>
    <row r="8813" spans="1:11" ht="30" customHeight="1" x14ac:dyDescent="0.3">
      <c r="A8813" s="405"/>
      <c r="B8813" s="405"/>
      <c r="C8813" s="405"/>
      <c r="D8813" s="405"/>
      <c r="E8813" s="405" t="s">
        <v>1046</v>
      </c>
      <c r="F8813" s="406">
        <v>27.05</v>
      </c>
      <c r="G8813" s="405" t="s">
        <v>1047</v>
      </c>
      <c r="H8813" s="406">
        <v>0</v>
      </c>
      <c r="I8813" s="405" t="s">
        <v>1048</v>
      </c>
      <c r="J8813" s="406">
        <v>27.05</v>
      </c>
      <c r="K8813"/>
    </row>
    <row r="8814" spans="1:11" ht="30" customHeight="1" thickBot="1" x14ac:dyDescent="0.35">
      <c r="A8814" s="405"/>
      <c r="B8814" s="405"/>
      <c r="C8814" s="405"/>
      <c r="D8814" s="405"/>
      <c r="E8814" s="405" t="s">
        <v>1049</v>
      </c>
      <c r="F8814" s="406">
        <v>0</v>
      </c>
      <c r="G8814" s="405"/>
      <c r="H8814" s="606"/>
      <c r="I8814" s="606" t="s">
        <v>1050</v>
      </c>
      <c r="J8814" s="406">
        <v>49.24</v>
      </c>
      <c r="K8814"/>
    </row>
    <row r="8815" spans="1:11" ht="25.5" customHeight="1" thickTop="1" x14ac:dyDescent="0.3">
      <c r="A8815" s="407"/>
      <c r="B8815" s="407"/>
      <c r="C8815" s="407"/>
      <c r="D8815" s="407"/>
      <c r="E8815" s="407"/>
      <c r="F8815" s="407"/>
      <c r="G8815" s="407"/>
      <c r="H8815" s="407"/>
      <c r="I8815" s="407"/>
      <c r="J8815" s="407"/>
      <c r="K8815"/>
    </row>
    <row r="8816" spans="1:11" ht="25.5" customHeight="1" x14ac:dyDescent="0.3">
      <c r="A8816" s="382"/>
      <c r="B8816" s="312" t="s">
        <v>413</v>
      </c>
      <c r="C8816" s="382" t="s">
        <v>414</v>
      </c>
      <c r="D8816" s="382" t="s">
        <v>415</v>
      </c>
      <c r="E8816" s="586" t="s">
        <v>1029</v>
      </c>
      <c r="F8816" s="586"/>
      <c r="G8816" s="383" t="s">
        <v>416</v>
      </c>
      <c r="H8816" s="312" t="s">
        <v>1030</v>
      </c>
      <c r="I8816" s="312" t="s">
        <v>3016</v>
      </c>
      <c r="J8816" s="312" t="s">
        <v>1031</v>
      </c>
      <c r="K8816" s="312" t="s">
        <v>1032</v>
      </c>
    </row>
    <row r="8817" spans="1:11" ht="25.5" customHeight="1" x14ac:dyDescent="0.3">
      <c r="A8817" s="313" t="s">
        <v>1033</v>
      </c>
      <c r="B8817" s="315" t="s">
        <v>5153</v>
      </c>
      <c r="C8817" s="313" t="s">
        <v>395</v>
      </c>
      <c r="D8817" s="313" t="s">
        <v>7789</v>
      </c>
      <c r="E8817" s="603" t="s">
        <v>7783</v>
      </c>
      <c r="F8817" s="603"/>
      <c r="G8817" s="314" t="s">
        <v>4</v>
      </c>
      <c r="H8817" s="399">
        <v>1</v>
      </c>
      <c r="I8817" s="316"/>
      <c r="J8817" s="316">
        <v>55.47</v>
      </c>
      <c r="K8817" s="316">
        <v>55.47</v>
      </c>
    </row>
    <row r="8818" spans="1:11" ht="25.5" customHeight="1" x14ac:dyDescent="0.3">
      <c r="A8818" s="408" t="s">
        <v>1034</v>
      </c>
      <c r="B8818" s="409" t="s">
        <v>8227</v>
      </c>
      <c r="C8818" s="408" t="s">
        <v>395</v>
      </c>
      <c r="D8818" s="408" t="s">
        <v>8228</v>
      </c>
      <c r="E8818" s="604" t="s">
        <v>7783</v>
      </c>
      <c r="F8818" s="604"/>
      <c r="G8818" s="410" t="s">
        <v>4</v>
      </c>
      <c r="H8818" s="412">
        <v>1</v>
      </c>
      <c r="I8818" s="412">
        <v>0</v>
      </c>
      <c r="J8818" s="411">
        <v>13.43</v>
      </c>
      <c r="K8818" s="411">
        <v>13.43</v>
      </c>
    </row>
    <row r="8819" spans="1:11" ht="14.25" customHeight="1" x14ac:dyDescent="0.3">
      <c r="A8819" s="408" t="s">
        <v>1034</v>
      </c>
      <c r="B8819" s="409" t="s">
        <v>8231</v>
      </c>
      <c r="C8819" s="408" t="s">
        <v>395</v>
      </c>
      <c r="D8819" s="408" t="s">
        <v>8232</v>
      </c>
      <c r="E8819" s="604" t="s">
        <v>7783</v>
      </c>
      <c r="F8819" s="604"/>
      <c r="G8819" s="410" t="s">
        <v>4</v>
      </c>
      <c r="H8819" s="412">
        <v>1</v>
      </c>
      <c r="I8819" s="412">
        <v>0</v>
      </c>
      <c r="J8819" s="411">
        <v>42.04</v>
      </c>
      <c r="K8819" s="411">
        <v>42.04</v>
      </c>
    </row>
    <row r="8820" spans="1:11" ht="14.25" customHeight="1" x14ac:dyDescent="0.3">
      <c r="A8820" s="405"/>
      <c r="B8820" s="405"/>
      <c r="C8820" s="405"/>
      <c r="D8820" s="405"/>
      <c r="E8820" s="405" t="s">
        <v>1046</v>
      </c>
      <c r="F8820" s="406">
        <v>29.51</v>
      </c>
      <c r="G8820" s="405" t="s">
        <v>1047</v>
      </c>
      <c r="H8820" s="406">
        <v>0</v>
      </c>
      <c r="I8820" s="405" t="s">
        <v>1048</v>
      </c>
      <c r="J8820" s="406">
        <v>29.51</v>
      </c>
      <c r="K8820"/>
    </row>
    <row r="8821" spans="1:11" ht="15.6" thickBot="1" x14ac:dyDescent="0.35">
      <c r="A8821" s="405"/>
      <c r="B8821" s="405"/>
      <c r="C8821" s="405"/>
      <c r="D8821" s="405"/>
      <c r="E8821" s="405" t="s">
        <v>1049</v>
      </c>
      <c r="F8821" s="406">
        <v>0</v>
      </c>
      <c r="G8821" s="405"/>
      <c r="H8821" s="606"/>
      <c r="I8821" s="606" t="s">
        <v>1050</v>
      </c>
      <c r="J8821" s="406">
        <v>55.47</v>
      </c>
      <c r="K8821"/>
    </row>
    <row r="8822" spans="1:11" ht="15.6" thickTop="1" x14ac:dyDescent="0.3">
      <c r="A8822" s="407"/>
      <c r="B8822" s="407"/>
      <c r="C8822" s="407"/>
      <c r="D8822" s="407"/>
      <c r="E8822" s="407"/>
      <c r="F8822" s="407"/>
      <c r="G8822" s="407"/>
      <c r="H8822" s="407"/>
      <c r="I8822" s="407"/>
      <c r="J8822" s="407"/>
      <c r="K8822"/>
    </row>
    <row r="8823" spans="1:11" ht="25.5" customHeight="1" x14ac:dyDescent="0.3">
      <c r="A8823" s="382"/>
      <c r="B8823" s="312" t="s">
        <v>413</v>
      </c>
      <c r="C8823" s="382" t="s">
        <v>414</v>
      </c>
      <c r="D8823" s="382" t="s">
        <v>415</v>
      </c>
      <c r="E8823" s="586" t="s">
        <v>1029</v>
      </c>
      <c r="F8823" s="586"/>
      <c r="G8823" s="383" t="s">
        <v>416</v>
      </c>
      <c r="H8823" s="312" t="s">
        <v>1030</v>
      </c>
      <c r="I8823" s="312" t="s">
        <v>3016</v>
      </c>
      <c r="J8823" s="312" t="s">
        <v>1031</v>
      </c>
      <c r="K8823" s="312" t="s">
        <v>1032</v>
      </c>
    </row>
    <row r="8824" spans="1:11" ht="25.5" customHeight="1" x14ac:dyDescent="0.3">
      <c r="A8824" s="313" t="s">
        <v>1033</v>
      </c>
      <c r="B8824" s="315" t="s">
        <v>8231</v>
      </c>
      <c r="C8824" s="313" t="s">
        <v>395</v>
      </c>
      <c r="D8824" s="313" t="s">
        <v>8232</v>
      </c>
      <c r="E8824" s="603" t="s">
        <v>7783</v>
      </c>
      <c r="F8824" s="603"/>
      <c r="G8824" s="314" t="s">
        <v>4</v>
      </c>
      <c r="H8824" s="399">
        <v>1</v>
      </c>
      <c r="I8824" s="316"/>
      <c r="J8824" s="316">
        <v>42.04</v>
      </c>
      <c r="K8824" s="316">
        <v>42.04</v>
      </c>
    </row>
    <row r="8825" spans="1:11" ht="25.5" customHeight="1" x14ac:dyDescent="0.3">
      <c r="A8825" s="408" t="s">
        <v>1034</v>
      </c>
      <c r="B8825" s="409" t="s">
        <v>1035</v>
      </c>
      <c r="C8825" s="408" t="s">
        <v>395</v>
      </c>
      <c r="D8825" s="408" t="s">
        <v>128</v>
      </c>
      <c r="E8825" s="604" t="s">
        <v>7768</v>
      </c>
      <c r="F8825" s="604"/>
      <c r="G8825" s="410" t="s">
        <v>6</v>
      </c>
      <c r="H8825" s="412">
        <v>0.40200000000000002</v>
      </c>
      <c r="I8825" s="412">
        <v>0</v>
      </c>
      <c r="J8825" s="411">
        <v>34.5</v>
      </c>
      <c r="K8825" s="411">
        <v>13.869</v>
      </c>
    </row>
    <row r="8826" spans="1:11" ht="25.5" customHeight="1" x14ac:dyDescent="0.3">
      <c r="A8826" s="408" t="s">
        <v>1034</v>
      </c>
      <c r="B8826" s="409" t="s">
        <v>1037</v>
      </c>
      <c r="C8826" s="408" t="s">
        <v>395</v>
      </c>
      <c r="D8826" s="408" t="s">
        <v>135</v>
      </c>
      <c r="E8826" s="604" t="s">
        <v>7768</v>
      </c>
      <c r="F8826" s="604"/>
      <c r="G8826" s="410" t="s">
        <v>6</v>
      </c>
      <c r="H8826" s="412">
        <v>0.40200000000000002</v>
      </c>
      <c r="I8826" s="412">
        <v>0</v>
      </c>
      <c r="J8826" s="411">
        <v>41.81</v>
      </c>
      <c r="K8826" s="411">
        <v>16.80762</v>
      </c>
    </row>
    <row r="8827" spans="1:11" ht="14.25" customHeight="1" x14ac:dyDescent="0.3">
      <c r="A8827" s="400" t="s">
        <v>1038</v>
      </c>
      <c r="B8827" s="401" t="s">
        <v>4970</v>
      </c>
      <c r="C8827" s="400" t="s">
        <v>395</v>
      </c>
      <c r="D8827" s="400" t="s">
        <v>4971</v>
      </c>
      <c r="E8827" s="605" t="s">
        <v>1039</v>
      </c>
      <c r="F8827" s="605"/>
      <c r="G8827" s="402" t="s">
        <v>4</v>
      </c>
      <c r="H8827" s="403">
        <v>2</v>
      </c>
      <c r="I8827" s="403">
        <v>0</v>
      </c>
      <c r="J8827" s="404">
        <v>5.68</v>
      </c>
      <c r="K8827" s="404">
        <v>11.36</v>
      </c>
    </row>
    <row r="8828" spans="1:11" ht="14.25" customHeight="1" x14ac:dyDescent="0.3">
      <c r="A8828" s="405"/>
      <c r="B8828" s="405"/>
      <c r="C8828" s="405"/>
      <c r="D8828" s="405"/>
      <c r="E8828" s="405" t="s">
        <v>1046</v>
      </c>
      <c r="F8828" s="406">
        <v>22.38</v>
      </c>
      <c r="G8828" s="405" t="s">
        <v>1047</v>
      </c>
      <c r="H8828" s="406">
        <v>0</v>
      </c>
      <c r="I8828" s="405" t="s">
        <v>1048</v>
      </c>
      <c r="J8828" s="406">
        <v>22.38</v>
      </c>
      <c r="K8828"/>
    </row>
    <row r="8829" spans="1:11" ht="15.6" thickBot="1" x14ac:dyDescent="0.35">
      <c r="A8829" s="405"/>
      <c r="B8829" s="405"/>
      <c r="C8829" s="405"/>
      <c r="D8829" s="405"/>
      <c r="E8829" s="405" t="s">
        <v>1049</v>
      </c>
      <c r="F8829" s="406">
        <v>0</v>
      </c>
      <c r="G8829" s="405"/>
      <c r="H8829" s="606"/>
      <c r="I8829" s="606" t="s">
        <v>1050</v>
      </c>
      <c r="J8829" s="406">
        <v>42.04</v>
      </c>
      <c r="K8829"/>
    </row>
    <row r="8830" spans="1:11" ht="30" customHeight="1" thickTop="1" x14ac:dyDescent="0.3">
      <c r="A8830" s="407"/>
      <c r="B8830" s="407"/>
      <c r="C8830" s="407"/>
      <c r="D8830" s="407"/>
      <c r="E8830" s="407"/>
      <c r="F8830" s="407"/>
      <c r="G8830" s="407"/>
      <c r="H8830" s="407"/>
      <c r="I8830" s="407"/>
      <c r="J8830" s="407"/>
      <c r="K8830"/>
    </row>
    <row r="8831" spans="1:11" ht="30" customHeight="1" x14ac:dyDescent="0.3">
      <c r="A8831" s="382"/>
      <c r="B8831" s="312" t="s">
        <v>413</v>
      </c>
      <c r="C8831" s="382" t="s">
        <v>414</v>
      </c>
      <c r="D8831" s="382" t="s">
        <v>415</v>
      </c>
      <c r="E8831" s="586" t="s">
        <v>1029</v>
      </c>
      <c r="F8831" s="586"/>
      <c r="G8831" s="383" t="s">
        <v>416</v>
      </c>
      <c r="H8831" s="312" t="s">
        <v>1030</v>
      </c>
      <c r="I8831" s="312" t="s">
        <v>3016</v>
      </c>
      <c r="J8831" s="312" t="s">
        <v>1031</v>
      </c>
      <c r="K8831" s="312" t="s">
        <v>1032</v>
      </c>
    </row>
    <row r="8832" spans="1:11" ht="38.25" customHeight="1" x14ac:dyDescent="0.3">
      <c r="A8832" s="313" t="s">
        <v>1033</v>
      </c>
      <c r="B8832" s="315" t="s">
        <v>2387</v>
      </c>
      <c r="C8832" s="313" t="s">
        <v>395</v>
      </c>
      <c r="D8832" s="313" t="s">
        <v>152</v>
      </c>
      <c r="E8832" s="603" t="s">
        <v>7768</v>
      </c>
      <c r="F8832" s="603"/>
      <c r="G8832" s="314" t="s">
        <v>6</v>
      </c>
      <c r="H8832" s="399">
        <v>1</v>
      </c>
      <c r="I8832" s="316"/>
      <c r="J8832" s="316">
        <v>34.06</v>
      </c>
      <c r="K8832" s="316">
        <v>34.06</v>
      </c>
    </row>
    <row r="8833" spans="1:11" ht="38.25" customHeight="1" x14ac:dyDescent="0.3">
      <c r="A8833" s="408" t="s">
        <v>1034</v>
      </c>
      <c r="B8833" s="409" t="s">
        <v>8106</v>
      </c>
      <c r="C8833" s="408" t="s">
        <v>395</v>
      </c>
      <c r="D8833" s="408" t="s">
        <v>8107</v>
      </c>
      <c r="E8833" s="604" t="s">
        <v>7768</v>
      </c>
      <c r="F8833" s="604"/>
      <c r="G8833" s="410" t="s">
        <v>6</v>
      </c>
      <c r="H8833" s="412">
        <v>1</v>
      </c>
      <c r="I8833" s="412">
        <v>0</v>
      </c>
      <c r="J8833" s="411">
        <v>0.12</v>
      </c>
      <c r="K8833" s="411">
        <v>0.12</v>
      </c>
    </row>
    <row r="8834" spans="1:11" ht="38.25" customHeight="1" x14ac:dyDescent="0.3">
      <c r="A8834" s="400" t="s">
        <v>1038</v>
      </c>
      <c r="B8834" s="401" t="s">
        <v>4028</v>
      </c>
      <c r="C8834" s="400" t="s">
        <v>395</v>
      </c>
      <c r="D8834" s="400" t="s">
        <v>4029</v>
      </c>
      <c r="E8834" s="605" t="s">
        <v>4030</v>
      </c>
      <c r="F8834" s="605"/>
      <c r="G8834" s="402" t="s">
        <v>6</v>
      </c>
      <c r="H8834" s="403">
        <v>1</v>
      </c>
      <c r="I8834" s="403">
        <v>0</v>
      </c>
      <c r="J8834" s="404">
        <v>4.78</v>
      </c>
      <c r="K8834" s="404">
        <v>4.78</v>
      </c>
    </row>
    <row r="8835" spans="1:11" ht="25.5" customHeight="1" x14ac:dyDescent="0.3">
      <c r="A8835" s="400" t="s">
        <v>1038</v>
      </c>
      <c r="B8835" s="401" t="s">
        <v>4066</v>
      </c>
      <c r="C8835" s="400" t="s">
        <v>395</v>
      </c>
      <c r="D8835" s="400" t="s">
        <v>4067</v>
      </c>
      <c r="E8835" s="605" t="s">
        <v>2381</v>
      </c>
      <c r="F8835" s="605"/>
      <c r="G8835" s="402" t="s">
        <v>6</v>
      </c>
      <c r="H8835" s="403">
        <v>1</v>
      </c>
      <c r="I8835" s="403">
        <v>0</v>
      </c>
      <c r="J8835" s="404">
        <v>1.72</v>
      </c>
      <c r="K8835" s="404">
        <v>1.72</v>
      </c>
    </row>
    <row r="8836" spans="1:11" ht="25.5" customHeight="1" x14ac:dyDescent="0.3">
      <c r="A8836" s="400" t="s">
        <v>1038</v>
      </c>
      <c r="B8836" s="401" t="s">
        <v>4078</v>
      </c>
      <c r="C8836" s="400" t="s">
        <v>395</v>
      </c>
      <c r="D8836" s="400" t="s">
        <v>4079</v>
      </c>
      <c r="E8836" s="605" t="s">
        <v>4030</v>
      </c>
      <c r="F8836" s="605"/>
      <c r="G8836" s="402" t="s">
        <v>6</v>
      </c>
      <c r="H8836" s="403">
        <v>1</v>
      </c>
      <c r="I8836" s="403">
        <v>0</v>
      </c>
      <c r="J8836" s="404">
        <v>1.25</v>
      </c>
      <c r="K8836" s="404">
        <v>1.25</v>
      </c>
    </row>
    <row r="8837" spans="1:11" ht="14.25" customHeight="1" x14ac:dyDescent="0.3">
      <c r="A8837" s="400" t="s">
        <v>1038</v>
      </c>
      <c r="B8837" s="401" t="s">
        <v>4274</v>
      </c>
      <c r="C8837" s="400" t="s">
        <v>395</v>
      </c>
      <c r="D8837" s="400" t="s">
        <v>4275</v>
      </c>
      <c r="E8837" s="605" t="s">
        <v>2386</v>
      </c>
      <c r="F8837" s="605"/>
      <c r="G8837" s="402" t="s">
        <v>6</v>
      </c>
      <c r="H8837" s="403">
        <v>1</v>
      </c>
      <c r="I8837" s="403">
        <v>0</v>
      </c>
      <c r="J8837" s="404">
        <v>0.11</v>
      </c>
      <c r="K8837" s="404">
        <v>0.11</v>
      </c>
    </row>
    <row r="8838" spans="1:11" ht="14.25" customHeight="1" x14ac:dyDescent="0.3">
      <c r="A8838" s="400" t="s">
        <v>1038</v>
      </c>
      <c r="B8838" s="401" t="s">
        <v>4268</v>
      </c>
      <c r="C8838" s="400" t="s">
        <v>395</v>
      </c>
      <c r="D8838" s="400" t="s">
        <v>4269</v>
      </c>
      <c r="E8838" s="605" t="s">
        <v>1317</v>
      </c>
      <c r="F8838" s="605"/>
      <c r="G8838" s="402" t="s">
        <v>6</v>
      </c>
      <c r="H8838" s="403">
        <v>1</v>
      </c>
      <c r="I8838" s="403">
        <v>0</v>
      </c>
      <c r="J8838" s="404">
        <v>0.64</v>
      </c>
      <c r="K8838" s="404">
        <v>0.64</v>
      </c>
    </row>
    <row r="8839" spans="1:11" ht="26.4" x14ac:dyDescent="0.3">
      <c r="A8839" s="400" t="s">
        <v>1038</v>
      </c>
      <c r="B8839" s="401" t="s">
        <v>4218</v>
      </c>
      <c r="C8839" s="400" t="s">
        <v>395</v>
      </c>
      <c r="D8839" s="400" t="s">
        <v>4219</v>
      </c>
      <c r="E8839" s="605" t="s">
        <v>1317</v>
      </c>
      <c r="F8839" s="605"/>
      <c r="G8839" s="402" t="s">
        <v>6</v>
      </c>
      <c r="H8839" s="403">
        <v>1</v>
      </c>
      <c r="I8839" s="403">
        <v>0</v>
      </c>
      <c r="J8839" s="404">
        <v>1.71</v>
      </c>
      <c r="K8839" s="404">
        <v>1.71</v>
      </c>
    </row>
    <row r="8840" spans="1:11" ht="30" customHeight="1" x14ac:dyDescent="0.3">
      <c r="A8840" s="400" t="s">
        <v>1038</v>
      </c>
      <c r="B8840" s="401" t="s">
        <v>4972</v>
      </c>
      <c r="C8840" s="400" t="s">
        <v>395</v>
      </c>
      <c r="D8840" s="400" t="s">
        <v>4973</v>
      </c>
      <c r="E8840" s="605" t="s">
        <v>1053</v>
      </c>
      <c r="F8840" s="605"/>
      <c r="G8840" s="402" t="s">
        <v>6</v>
      </c>
      <c r="H8840" s="403">
        <v>1</v>
      </c>
      <c r="I8840" s="403">
        <v>0</v>
      </c>
      <c r="J8840" s="404">
        <v>23.73</v>
      </c>
      <c r="K8840" s="404">
        <v>23.73</v>
      </c>
    </row>
    <row r="8841" spans="1:11" ht="25.5" customHeight="1" x14ac:dyDescent="0.3">
      <c r="A8841" s="405"/>
      <c r="B8841" s="405"/>
      <c r="C8841" s="405"/>
      <c r="D8841" s="405"/>
      <c r="E8841" s="405" t="s">
        <v>1046</v>
      </c>
      <c r="F8841" s="406">
        <v>23.85</v>
      </c>
      <c r="G8841" s="405" t="s">
        <v>1047</v>
      </c>
      <c r="H8841" s="406">
        <v>0</v>
      </c>
      <c r="I8841" s="405" t="s">
        <v>1048</v>
      </c>
      <c r="J8841" s="406">
        <v>23.85</v>
      </c>
      <c r="K8841"/>
    </row>
    <row r="8842" spans="1:11" ht="25.5" customHeight="1" thickBot="1" x14ac:dyDescent="0.35">
      <c r="A8842" s="405"/>
      <c r="B8842" s="405"/>
      <c r="C8842" s="405"/>
      <c r="D8842" s="405"/>
      <c r="E8842" s="405" t="s">
        <v>1049</v>
      </c>
      <c r="F8842" s="406">
        <v>0</v>
      </c>
      <c r="G8842" s="405"/>
      <c r="H8842" s="606"/>
      <c r="I8842" s="606" t="s">
        <v>1050</v>
      </c>
      <c r="J8842" s="406">
        <v>34.06</v>
      </c>
      <c r="K8842"/>
    </row>
    <row r="8843" spans="1:11" ht="25.5" customHeight="1" thickTop="1" x14ac:dyDescent="0.3">
      <c r="A8843" s="407"/>
      <c r="B8843" s="407"/>
      <c r="C8843" s="407"/>
      <c r="D8843" s="407"/>
      <c r="E8843" s="407"/>
      <c r="F8843" s="407"/>
      <c r="G8843" s="407"/>
      <c r="H8843" s="407"/>
      <c r="I8843" s="407"/>
      <c r="J8843" s="407"/>
      <c r="K8843"/>
    </row>
    <row r="8844" spans="1:11" ht="25.5" customHeight="1" x14ac:dyDescent="0.3">
      <c r="A8844" s="382"/>
      <c r="B8844" s="312" t="s">
        <v>413</v>
      </c>
      <c r="C8844" s="382" t="s">
        <v>414</v>
      </c>
      <c r="D8844" s="382" t="s">
        <v>415</v>
      </c>
      <c r="E8844" s="586" t="s">
        <v>1029</v>
      </c>
      <c r="F8844" s="586"/>
      <c r="G8844" s="383" t="s">
        <v>416</v>
      </c>
      <c r="H8844" s="312" t="s">
        <v>1030</v>
      </c>
      <c r="I8844" s="312" t="s">
        <v>3016</v>
      </c>
      <c r="J8844" s="312" t="s">
        <v>1031</v>
      </c>
      <c r="K8844" s="312" t="s">
        <v>1032</v>
      </c>
    </row>
    <row r="8845" spans="1:11" ht="25.5" customHeight="1" x14ac:dyDescent="0.3">
      <c r="A8845" s="313" t="s">
        <v>1033</v>
      </c>
      <c r="B8845" s="315" t="s">
        <v>5166</v>
      </c>
      <c r="C8845" s="313" t="s">
        <v>395</v>
      </c>
      <c r="D8845" s="313" t="s">
        <v>7807</v>
      </c>
      <c r="E8845" s="603" t="s">
        <v>7808</v>
      </c>
      <c r="F8845" s="603"/>
      <c r="G8845" s="314" t="s">
        <v>4</v>
      </c>
      <c r="H8845" s="399">
        <v>1</v>
      </c>
      <c r="I8845" s="316"/>
      <c r="J8845" s="316">
        <v>12.13</v>
      </c>
      <c r="K8845" s="316">
        <v>12.13</v>
      </c>
    </row>
    <row r="8846" spans="1:11" ht="25.5" customHeight="1" x14ac:dyDescent="0.3">
      <c r="A8846" s="408" t="s">
        <v>1034</v>
      </c>
      <c r="B8846" s="409" t="s">
        <v>1113</v>
      </c>
      <c r="C8846" s="408" t="s">
        <v>395</v>
      </c>
      <c r="D8846" s="408" t="s">
        <v>129</v>
      </c>
      <c r="E8846" s="604" t="s">
        <v>7768</v>
      </c>
      <c r="F8846" s="604"/>
      <c r="G8846" s="410" t="s">
        <v>6</v>
      </c>
      <c r="H8846" s="412">
        <v>0.13589999999999999</v>
      </c>
      <c r="I8846" s="412">
        <v>0</v>
      </c>
      <c r="J8846" s="411">
        <v>33.450000000000003</v>
      </c>
      <c r="K8846" s="411">
        <v>4.5458550000000004</v>
      </c>
    </row>
    <row r="8847" spans="1:11" ht="14.25" customHeight="1" x14ac:dyDescent="0.3">
      <c r="A8847" s="408" t="s">
        <v>1034</v>
      </c>
      <c r="B8847" s="409" t="s">
        <v>1112</v>
      </c>
      <c r="C8847" s="408" t="s">
        <v>395</v>
      </c>
      <c r="D8847" s="408" t="s">
        <v>137</v>
      </c>
      <c r="E8847" s="604" t="s">
        <v>7768</v>
      </c>
      <c r="F8847" s="604"/>
      <c r="G8847" s="410" t="s">
        <v>6</v>
      </c>
      <c r="H8847" s="412">
        <v>0.13589999999999999</v>
      </c>
      <c r="I8847" s="412">
        <v>0</v>
      </c>
      <c r="J8847" s="411">
        <v>40.299999999999997</v>
      </c>
      <c r="K8847" s="411">
        <v>5.4767700000000001</v>
      </c>
    </row>
    <row r="8848" spans="1:11" ht="14.25" customHeight="1" x14ac:dyDescent="0.3">
      <c r="A8848" s="400" t="s">
        <v>1038</v>
      </c>
      <c r="B8848" s="401" t="s">
        <v>2587</v>
      </c>
      <c r="C8848" s="400" t="s">
        <v>395</v>
      </c>
      <c r="D8848" s="400" t="s">
        <v>349</v>
      </c>
      <c r="E8848" s="605" t="s">
        <v>1039</v>
      </c>
      <c r="F8848" s="605"/>
      <c r="G8848" s="402" t="s">
        <v>4</v>
      </c>
      <c r="H8848" s="403">
        <v>7.1000000000000004E-3</v>
      </c>
      <c r="I8848" s="403">
        <v>0</v>
      </c>
      <c r="J8848" s="404">
        <v>79.17</v>
      </c>
      <c r="K8848" s="404">
        <v>0.56210700000000002</v>
      </c>
    </row>
    <row r="8849" spans="1:11" ht="15" x14ac:dyDescent="0.3">
      <c r="A8849" s="400" t="s">
        <v>1038</v>
      </c>
      <c r="B8849" s="401" t="s">
        <v>4854</v>
      </c>
      <c r="C8849" s="400" t="s">
        <v>395</v>
      </c>
      <c r="D8849" s="400" t="s">
        <v>4855</v>
      </c>
      <c r="E8849" s="605" t="s">
        <v>1039</v>
      </c>
      <c r="F8849" s="605"/>
      <c r="G8849" s="402" t="s">
        <v>4</v>
      </c>
      <c r="H8849" s="403">
        <v>1</v>
      </c>
      <c r="I8849" s="403">
        <v>0</v>
      </c>
      <c r="J8849" s="404">
        <v>0.76</v>
      </c>
      <c r="K8849" s="404">
        <v>0.76</v>
      </c>
    </row>
    <row r="8850" spans="1:11" ht="26.4" x14ac:dyDescent="0.3">
      <c r="A8850" s="400" t="s">
        <v>1038</v>
      </c>
      <c r="B8850" s="401" t="s">
        <v>2588</v>
      </c>
      <c r="C8850" s="400" t="s">
        <v>395</v>
      </c>
      <c r="D8850" s="400" t="s">
        <v>350</v>
      </c>
      <c r="E8850" s="605" t="s">
        <v>1039</v>
      </c>
      <c r="F8850" s="605"/>
      <c r="G8850" s="402" t="s">
        <v>4</v>
      </c>
      <c r="H8850" s="403">
        <v>8.0000000000000002E-3</v>
      </c>
      <c r="I8850" s="403">
        <v>0</v>
      </c>
      <c r="J8850" s="404">
        <v>89.7</v>
      </c>
      <c r="K8850" s="404">
        <v>0.71760000000000002</v>
      </c>
    </row>
    <row r="8851" spans="1:11" ht="17.399999999999999" customHeight="1" x14ac:dyDescent="0.3">
      <c r="A8851" s="400" t="s">
        <v>1038</v>
      </c>
      <c r="B8851" s="401" t="s">
        <v>1372</v>
      </c>
      <c r="C8851" s="400" t="s">
        <v>395</v>
      </c>
      <c r="D8851" s="400" t="s">
        <v>266</v>
      </c>
      <c r="E8851" s="605" t="s">
        <v>1039</v>
      </c>
      <c r="F8851" s="605"/>
      <c r="G8851" s="402" t="s">
        <v>4</v>
      </c>
      <c r="H8851" s="403">
        <v>3.0200000000000001E-2</v>
      </c>
      <c r="I8851" s="403">
        <v>0</v>
      </c>
      <c r="J8851" s="404">
        <v>2.09</v>
      </c>
      <c r="K8851" s="404">
        <v>6.3117999999999994E-2</v>
      </c>
    </row>
    <row r="8852" spans="1:11" ht="15" x14ac:dyDescent="0.3">
      <c r="A8852" s="405"/>
      <c r="B8852" s="405"/>
      <c r="C8852" s="405"/>
      <c r="D8852" s="405"/>
      <c r="E8852" s="405" t="s">
        <v>1046</v>
      </c>
      <c r="F8852" s="406">
        <v>7.38</v>
      </c>
      <c r="G8852" s="405" t="s">
        <v>1047</v>
      </c>
      <c r="H8852" s="406">
        <v>0</v>
      </c>
      <c r="I8852" s="405" t="s">
        <v>1048</v>
      </c>
      <c r="J8852" s="406">
        <v>7.38</v>
      </c>
      <c r="K8852"/>
    </row>
    <row r="8853" spans="1:11" ht="25.5" customHeight="1" thickBot="1" x14ac:dyDescent="0.35">
      <c r="A8853" s="405"/>
      <c r="B8853" s="405"/>
      <c r="C8853" s="405"/>
      <c r="D8853" s="405"/>
      <c r="E8853" s="405" t="s">
        <v>1049</v>
      </c>
      <c r="F8853" s="406">
        <v>0</v>
      </c>
      <c r="G8853" s="405"/>
      <c r="H8853" s="606"/>
      <c r="I8853" s="606" t="s">
        <v>1050</v>
      </c>
      <c r="J8853" s="406">
        <v>12.13</v>
      </c>
      <c r="K8853"/>
    </row>
    <row r="8854" spans="1:11" ht="25.5" customHeight="1" thickTop="1" x14ac:dyDescent="0.3">
      <c r="A8854" s="407"/>
      <c r="B8854" s="407"/>
      <c r="C8854" s="407"/>
      <c r="D8854" s="407"/>
      <c r="E8854" s="407"/>
      <c r="F8854" s="407"/>
      <c r="G8854" s="407"/>
      <c r="H8854" s="407"/>
      <c r="I8854" s="407"/>
      <c r="J8854" s="407"/>
      <c r="K8854"/>
    </row>
    <row r="8855" spans="1:11" ht="25.5" customHeight="1" x14ac:dyDescent="0.3">
      <c r="A8855" s="382"/>
      <c r="B8855" s="312" t="s">
        <v>413</v>
      </c>
      <c r="C8855" s="382" t="s">
        <v>414</v>
      </c>
      <c r="D8855" s="382" t="s">
        <v>415</v>
      </c>
      <c r="E8855" s="586" t="s">
        <v>1029</v>
      </c>
      <c r="F8855" s="586"/>
      <c r="G8855" s="383" t="s">
        <v>416</v>
      </c>
      <c r="H8855" s="312" t="s">
        <v>1030</v>
      </c>
      <c r="I8855" s="312" t="s">
        <v>3016</v>
      </c>
      <c r="J8855" s="312" t="s">
        <v>1031</v>
      </c>
      <c r="K8855" s="312" t="s">
        <v>1032</v>
      </c>
    </row>
    <row r="8856" spans="1:11" ht="39.6" x14ac:dyDescent="0.3">
      <c r="A8856" s="313" t="s">
        <v>1033</v>
      </c>
      <c r="B8856" s="315" t="s">
        <v>5171</v>
      </c>
      <c r="C8856" s="313" t="s">
        <v>395</v>
      </c>
      <c r="D8856" s="313" t="s">
        <v>5172</v>
      </c>
      <c r="E8856" s="603" t="s">
        <v>1319</v>
      </c>
      <c r="F8856" s="603"/>
      <c r="G8856" s="314" t="s">
        <v>4</v>
      </c>
      <c r="H8856" s="399">
        <v>1</v>
      </c>
      <c r="I8856" s="316"/>
      <c r="J8856" s="316">
        <v>52.22</v>
      </c>
      <c r="K8856" s="316">
        <v>52.22</v>
      </c>
    </row>
    <row r="8857" spans="1:11" ht="14.25" customHeight="1" x14ac:dyDescent="0.3">
      <c r="A8857" s="408" t="s">
        <v>1034</v>
      </c>
      <c r="B8857" s="409" t="s">
        <v>7894</v>
      </c>
      <c r="C8857" s="408" t="s">
        <v>395</v>
      </c>
      <c r="D8857" s="408" t="s">
        <v>7895</v>
      </c>
      <c r="E8857" s="604" t="s">
        <v>7808</v>
      </c>
      <c r="F8857" s="604"/>
      <c r="G8857" s="410" t="s">
        <v>4</v>
      </c>
      <c r="H8857" s="412">
        <v>2</v>
      </c>
      <c r="I8857" s="412">
        <v>0</v>
      </c>
      <c r="J8857" s="411">
        <v>9.0500000000000007</v>
      </c>
      <c r="K8857" s="411">
        <v>18.100000000000001</v>
      </c>
    </row>
    <row r="8858" spans="1:11" ht="14.25" customHeight="1" x14ac:dyDescent="0.3">
      <c r="A8858" s="408" t="s">
        <v>1034</v>
      </c>
      <c r="B8858" s="409" t="s">
        <v>8233</v>
      </c>
      <c r="C8858" s="408" t="s">
        <v>395</v>
      </c>
      <c r="D8858" s="408" t="s">
        <v>8234</v>
      </c>
      <c r="E8858" s="604" t="s">
        <v>7811</v>
      </c>
      <c r="F8858" s="604"/>
      <c r="G8858" s="410" t="s">
        <v>4</v>
      </c>
      <c r="H8858" s="412">
        <v>1</v>
      </c>
      <c r="I8858" s="412">
        <v>0</v>
      </c>
      <c r="J8858" s="411">
        <v>34.119999999999997</v>
      </c>
      <c r="K8858" s="411">
        <v>34.119999999999997</v>
      </c>
    </row>
    <row r="8859" spans="1:11" ht="15" x14ac:dyDescent="0.3">
      <c r="A8859" s="405"/>
      <c r="B8859" s="405"/>
      <c r="C8859" s="405"/>
      <c r="D8859" s="405"/>
      <c r="E8859" s="405" t="s">
        <v>1046</v>
      </c>
      <c r="F8859" s="406">
        <v>16.239999999999998</v>
      </c>
      <c r="G8859" s="405" t="s">
        <v>1047</v>
      </c>
      <c r="H8859" s="406">
        <v>0.01</v>
      </c>
      <c r="I8859" s="405" t="s">
        <v>1048</v>
      </c>
      <c r="J8859" s="406">
        <v>16.25</v>
      </c>
      <c r="K8859"/>
    </row>
    <row r="8860" spans="1:11" ht="15.6" thickBot="1" x14ac:dyDescent="0.35">
      <c r="A8860" s="405"/>
      <c r="B8860" s="405"/>
      <c r="C8860" s="405"/>
      <c r="D8860" s="405"/>
      <c r="E8860" s="405" t="s">
        <v>1049</v>
      </c>
      <c r="F8860" s="406">
        <v>0</v>
      </c>
      <c r="G8860" s="405"/>
      <c r="H8860" s="606"/>
      <c r="I8860" s="606" t="s">
        <v>1050</v>
      </c>
      <c r="J8860" s="406">
        <v>52.22</v>
      </c>
      <c r="K8860"/>
    </row>
    <row r="8861" spans="1:11" ht="12.75" customHeight="1" thickTop="1" x14ac:dyDescent="0.3">
      <c r="A8861" s="407"/>
      <c r="B8861" s="407"/>
      <c r="C8861" s="407"/>
      <c r="D8861" s="407"/>
      <c r="E8861" s="407"/>
      <c r="F8861" s="407"/>
      <c r="G8861" s="407"/>
      <c r="H8861" s="407"/>
      <c r="I8861" s="407"/>
      <c r="J8861" s="407"/>
      <c r="K8861"/>
    </row>
    <row r="8862" spans="1:11" ht="12.75" customHeight="1" x14ac:dyDescent="0.3">
      <c r="A8862" s="382"/>
      <c r="B8862" s="312" t="s">
        <v>413</v>
      </c>
      <c r="C8862" s="382" t="s">
        <v>414</v>
      </c>
      <c r="D8862" s="382" t="s">
        <v>415</v>
      </c>
      <c r="E8862" s="586" t="s">
        <v>1029</v>
      </c>
      <c r="F8862" s="586"/>
      <c r="G8862" s="383" t="s">
        <v>416</v>
      </c>
      <c r="H8862" s="312" t="s">
        <v>1030</v>
      </c>
      <c r="I8862" s="312" t="s">
        <v>3016</v>
      </c>
      <c r="J8862" s="312" t="s">
        <v>1031</v>
      </c>
      <c r="K8862" s="312" t="s">
        <v>1032</v>
      </c>
    </row>
    <row r="8863" spans="1:11" ht="25.5" customHeight="1" x14ac:dyDescent="0.3">
      <c r="A8863" s="313" t="s">
        <v>1033</v>
      </c>
      <c r="B8863" s="315" t="s">
        <v>5144</v>
      </c>
      <c r="C8863" s="313" t="s">
        <v>395</v>
      </c>
      <c r="D8863" s="313" t="s">
        <v>7780</v>
      </c>
      <c r="E8863" s="603" t="s">
        <v>7781</v>
      </c>
      <c r="F8863" s="603"/>
      <c r="G8863" s="314" t="s">
        <v>675</v>
      </c>
      <c r="H8863" s="399">
        <v>1</v>
      </c>
      <c r="I8863" s="316"/>
      <c r="J8863" s="316">
        <v>44.18</v>
      </c>
      <c r="K8863" s="316">
        <v>44.18</v>
      </c>
    </row>
    <row r="8864" spans="1:11" ht="25.5" customHeight="1" x14ac:dyDescent="0.3">
      <c r="A8864" s="408" t="s">
        <v>1034</v>
      </c>
      <c r="B8864" s="409" t="s">
        <v>1302</v>
      </c>
      <c r="C8864" s="408" t="s">
        <v>395</v>
      </c>
      <c r="D8864" s="408" t="s">
        <v>144</v>
      </c>
      <c r="E8864" s="604" t="s">
        <v>7768</v>
      </c>
      <c r="F8864" s="604"/>
      <c r="G8864" s="410" t="s">
        <v>6</v>
      </c>
      <c r="H8864" s="412">
        <v>0.25414999999999999</v>
      </c>
      <c r="I8864" s="412">
        <v>0</v>
      </c>
      <c r="J8864" s="411">
        <v>42.06</v>
      </c>
      <c r="K8864" s="411">
        <v>10.689549</v>
      </c>
    </row>
    <row r="8865" spans="1:11" ht="26.4" x14ac:dyDescent="0.3">
      <c r="A8865" s="408" t="s">
        <v>1034</v>
      </c>
      <c r="B8865" s="409" t="s">
        <v>1290</v>
      </c>
      <c r="C8865" s="408" t="s">
        <v>395</v>
      </c>
      <c r="D8865" s="408" t="s">
        <v>147</v>
      </c>
      <c r="E8865" s="604" t="s">
        <v>7768</v>
      </c>
      <c r="F8865" s="604"/>
      <c r="G8865" s="410" t="s">
        <v>6</v>
      </c>
      <c r="H8865" s="412">
        <v>9.1899999999999996E-2</v>
      </c>
      <c r="I8865" s="412">
        <v>0</v>
      </c>
      <c r="J8865" s="411">
        <v>32.82</v>
      </c>
      <c r="K8865" s="411">
        <v>3.0161579999999999</v>
      </c>
    </row>
    <row r="8866" spans="1:11" ht="39.6" x14ac:dyDescent="0.3">
      <c r="A8866" s="408" t="s">
        <v>1034</v>
      </c>
      <c r="B8866" s="409" t="s">
        <v>5195</v>
      </c>
      <c r="C8866" s="408" t="s">
        <v>395</v>
      </c>
      <c r="D8866" s="408" t="s">
        <v>5196</v>
      </c>
      <c r="E8866" s="604" t="s">
        <v>7773</v>
      </c>
      <c r="F8866" s="604"/>
      <c r="G8866" s="410" t="s">
        <v>713</v>
      </c>
      <c r="H8866" s="412">
        <v>6.9000000000000006E-2</v>
      </c>
      <c r="I8866" s="412">
        <v>0</v>
      </c>
      <c r="J8866" s="411">
        <v>441.61</v>
      </c>
      <c r="K8866" s="411">
        <v>30.47109</v>
      </c>
    </row>
    <row r="8867" spans="1:11" ht="15" x14ac:dyDescent="0.3">
      <c r="A8867" s="405"/>
      <c r="B8867" s="405"/>
      <c r="C8867" s="405"/>
      <c r="D8867" s="405"/>
      <c r="E8867" s="405" t="s">
        <v>1046</v>
      </c>
      <c r="F8867" s="406">
        <v>15.77</v>
      </c>
      <c r="G8867" s="405" t="s">
        <v>1047</v>
      </c>
      <c r="H8867" s="406">
        <v>0</v>
      </c>
      <c r="I8867" s="405" t="s">
        <v>1048</v>
      </c>
      <c r="J8867" s="406">
        <v>15.77</v>
      </c>
      <c r="K8867"/>
    </row>
    <row r="8868" spans="1:11" ht="14.25" customHeight="1" thickBot="1" x14ac:dyDescent="0.35">
      <c r="A8868" s="405"/>
      <c r="B8868" s="405"/>
      <c r="C8868" s="405"/>
      <c r="D8868" s="405"/>
      <c r="E8868" s="405" t="s">
        <v>1049</v>
      </c>
      <c r="F8868" s="406">
        <v>0</v>
      </c>
      <c r="G8868" s="405"/>
      <c r="H8868" s="606"/>
      <c r="I8868" s="606" t="s">
        <v>1050</v>
      </c>
      <c r="J8868" s="406">
        <v>44.18</v>
      </c>
      <c r="K8868"/>
    </row>
    <row r="8869" spans="1:11" ht="14.25" customHeight="1" thickTop="1" x14ac:dyDescent="0.3">
      <c r="A8869" s="407"/>
      <c r="B8869" s="407"/>
      <c r="C8869" s="407"/>
      <c r="D8869" s="407"/>
      <c r="E8869" s="407"/>
      <c r="F8869" s="407"/>
      <c r="G8869" s="407"/>
      <c r="H8869" s="407"/>
      <c r="I8869" s="407"/>
      <c r="J8869" s="407"/>
      <c r="K8869"/>
    </row>
    <row r="8870" spans="1:11" ht="15" x14ac:dyDescent="0.3">
      <c r="A8870" s="382"/>
      <c r="B8870" s="312" t="s">
        <v>413</v>
      </c>
      <c r="C8870" s="382" t="s">
        <v>414</v>
      </c>
      <c r="D8870" s="382" t="s">
        <v>415</v>
      </c>
      <c r="E8870" s="586" t="s">
        <v>1029</v>
      </c>
      <c r="F8870" s="586"/>
      <c r="G8870" s="383" t="s">
        <v>416</v>
      </c>
      <c r="H8870" s="312" t="s">
        <v>1030</v>
      </c>
      <c r="I8870" s="312" t="s">
        <v>3016</v>
      </c>
      <c r="J8870" s="312" t="s">
        <v>1031</v>
      </c>
      <c r="K8870" s="312" t="s">
        <v>1032</v>
      </c>
    </row>
    <row r="8871" spans="1:11" ht="39.6" x14ac:dyDescent="0.3">
      <c r="A8871" s="313" t="s">
        <v>1033</v>
      </c>
      <c r="B8871" s="315" t="s">
        <v>5156</v>
      </c>
      <c r="C8871" s="313" t="s">
        <v>395</v>
      </c>
      <c r="D8871" s="313" t="s">
        <v>5157</v>
      </c>
      <c r="E8871" s="603" t="s">
        <v>1227</v>
      </c>
      <c r="F8871" s="603"/>
      <c r="G8871" s="314" t="s">
        <v>4</v>
      </c>
      <c r="H8871" s="399">
        <v>1</v>
      </c>
      <c r="I8871" s="316"/>
      <c r="J8871" s="316">
        <v>284.12</v>
      </c>
      <c r="K8871" s="316">
        <v>284.12</v>
      </c>
    </row>
    <row r="8872" spans="1:11" ht="26.4" x14ac:dyDescent="0.3">
      <c r="A8872" s="408" t="s">
        <v>1034</v>
      </c>
      <c r="B8872" s="409" t="s">
        <v>1037</v>
      </c>
      <c r="C8872" s="408" t="s">
        <v>395</v>
      </c>
      <c r="D8872" s="408" t="s">
        <v>135</v>
      </c>
      <c r="E8872" s="604" t="s">
        <v>7768</v>
      </c>
      <c r="F8872" s="604"/>
      <c r="G8872" s="410" t="s">
        <v>6</v>
      </c>
      <c r="H8872" s="412">
        <v>0.41439999999999999</v>
      </c>
      <c r="I8872" s="412">
        <v>0</v>
      </c>
      <c r="J8872" s="411">
        <v>41.81</v>
      </c>
      <c r="K8872" s="411">
        <v>17.326063999999999</v>
      </c>
    </row>
    <row r="8873" spans="1:11" ht="26.4" x14ac:dyDescent="0.3">
      <c r="A8873" s="408" t="s">
        <v>1034</v>
      </c>
      <c r="B8873" s="409" t="s">
        <v>1035</v>
      </c>
      <c r="C8873" s="408" t="s">
        <v>395</v>
      </c>
      <c r="D8873" s="408" t="s">
        <v>128</v>
      </c>
      <c r="E8873" s="604" t="s">
        <v>7768</v>
      </c>
      <c r="F8873" s="604"/>
      <c r="G8873" s="410" t="s">
        <v>6</v>
      </c>
      <c r="H8873" s="412">
        <v>0.17269999999999999</v>
      </c>
      <c r="I8873" s="412">
        <v>0</v>
      </c>
      <c r="J8873" s="411">
        <v>34.5</v>
      </c>
      <c r="K8873" s="411">
        <v>5.9581499999999998</v>
      </c>
    </row>
    <row r="8874" spans="1:11" ht="39.6" x14ac:dyDescent="0.3">
      <c r="A8874" s="400" t="s">
        <v>1038</v>
      </c>
      <c r="B8874" s="401" t="s">
        <v>4310</v>
      </c>
      <c r="C8874" s="400" t="s">
        <v>395</v>
      </c>
      <c r="D8874" s="400" t="s">
        <v>4311</v>
      </c>
      <c r="E8874" s="605" t="s">
        <v>1039</v>
      </c>
      <c r="F8874" s="605"/>
      <c r="G8874" s="402" t="s">
        <v>4</v>
      </c>
      <c r="H8874" s="403">
        <v>1</v>
      </c>
      <c r="I8874" s="403">
        <v>0</v>
      </c>
      <c r="J8874" s="404">
        <v>260.83999999999997</v>
      </c>
      <c r="K8874" s="404">
        <v>260.83999999999997</v>
      </c>
    </row>
    <row r="8875" spans="1:11" ht="15" x14ac:dyDescent="0.3">
      <c r="A8875" s="405"/>
      <c r="B8875" s="405"/>
      <c r="C8875" s="405"/>
      <c r="D8875" s="405"/>
      <c r="E8875" s="405" t="s">
        <v>1046</v>
      </c>
      <c r="F8875" s="406">
        <v>17.23</v>
      </c>
      <c r="G8875" s="405" t="s">
        <v>1047</v>
      </c>
      <c r="H8875" s="406">
        <v>0</v>
      </c>
      <c r="I8875" s="405" t="s">
        <v>1048</v>
      </c>
      <c r="J8875" s="406">
        <v>17.23</v>
      </c>
      <c r="K8875"/>
    </row>
    <row r="8876" spans="1:11" ht="15.6" thickBot="1" x14ac:dyDescent="0.35">
      <c r="A8876" s="405"/>
      <c r="B8876" s="405"/>
      <c r="C8876" s="405"/>
      <c r="D8876" s="405"/>
      <c r="E8876" s="405" t="s">
        <v>1049</v>
      </c>
      <c r="F8876" s="406">
        <v>0</v>
      </c>
      <c r="G8876" s="405"/>
      <c r="H8876" s="606"/>
      <c r="I8876" s="606" t="s">
        <v>1050</v>
      </c>
      <c r="J8876" s="406">
        <v>284.12</v>
      </c>
      <c r="K8876"/>
    </row>
    <row r="8877" spans="1:11" ht="14.4" customHeight="1" thickTop="1" x14ac:dyDescent="0.3">
      <c r="A8877" s="407"/>
      <c r="B8877" s="407"/>
      <c r="C8877" s="407"/>
      <c r="D8877" s="407"/>
      <c r="E8877" s="407"/>
      <c r="F8877" s="407"/>
      <c r="G8877" s="407"/>
      <c r="H8877" s="407"/>
      <c r="I8877" s="407"/>
      <c r="J8877" s="407"/>
      <c r="K8877"/>
    </row>
    <row r="8878" spans="1:11" ht="15" x14ac:dyDescent="0.3">
      <c r="A8878" s="382"/>
      <c r="B8878" s="312" t="s">
        <v>413</v>
      </c>
      <c r="C8878" s="382" t="s">
        <v>414</v>
      </c>
      <c r="D8878" s="382" t="s">
        <v>415</v>
      </c>
      <c r="E8878" s="586" t="s">
        <v>1029</v>
      </c>
      <c r="F8878" s="586"/>
      <c r="G8878" s="383" t="s">
        <v>416</v>
      </c>
      <c r="H8878" s="312" t="s">
        <v>1030</v>
      </c>
      <c r="I8878" s="312" t="s">
        <v>3016</v>
      </c>
      <c r="J8878" s="312" t="s">
        <v>1031</v>
      </c>
      <c r="K8878" s="312" t="s">
        <v>1032</v>
      </c>
    </row>
    <row r="8879" spans="1:11" ht="39.6" x14ac:dyDescent="0.3">
      <c r="A8879" s="313" t="s">
        <v>1033</v>
      </c>
      <c r="B8879" s="315" t="s">
        <v>5248</v>
      </c>
      <c r="C8879" s="313" t="s">
        <v>395</v>
      </c>
      <c r="D8879" s="313" t="s">
        <v>5249</v>
      </c>
      <c r="E8879" s="603" t="s">
        <v>1227</v>
      </c>
      <c r="F8879" s="603"/>
      <c r="G8879" s="314" t="s">
        <v>4</v>
      </c>
      <c r="H8879" s="399">
        <v>1</v>
      </c>
      <c r="I8879" s="316"/>
      <c r="J8879" s="316">
        <v>9.75</v>
      </c>
      <c r="K8879" s="316">
        <v>9.75</v>
      </c>
    </row>
    <row r="8880" spans="1:11" ht="30" customHeight="1" x14ac:dyDescent="0.3">
      <c r="A8880" s="408" t="s">
        <v>1034</v>
      </c>
      <c r="B8880" s="409" t="s">
        <v>1037</v>
      </c>
      <c r="C8880" s="408" t="s">
        <v>395</v>
      </c>
      <c r="D8880" s="408" t="s">
        <v>135</v>
      </c>
      <c r="E8880" s="604" t="s">
        <v>7768</v>
      </c>
      <c r="F8880" s="604"/>
      <c r="G8880" s="410" t="s">
        <v>6</v>
      </c>
      <c r="H8880" s="412">
        <v>0.1057</v>
      </c>
      <c r="I8880" s="412">
        <v>0</v>
      </c>
      <c r="J8880" s="411">
        <v>41.81</v>
      </c>
      <c r="K8880" s="411">
        <v>4.4193170000000004</v>
      </c>
    </row>
    <row r="8881" spans="1:11" ht="30" customHeight="1" x14ac:dyDescent="0.3">
      <c r="A8881" s="408" t="s">
        <v>1034</v>
      </c>
      <c r="B8881" s="409" t="s">
        <v>1035</v>
      </c>
      <c r="C8881" s="408" t="s">
        <v>395</v>
      </c>
      <c r="D8881" s="408" t="s">
        <v>128</v>
      </c>
      <c r="E8881" s="604" t="s">
        <v>7768</v>
      </c>
      <c r="F8881" s="604"/>
      <c r="G8881" s="410" t="s">
        <v>6</v>
      </c>
      <c r="H8881" s="412">
        <v>0.1057</v>
      </c>
      <c r="I8881" s="412">
        <v>0</v>
      </c>
      <c r="J8881" s="411">
        <v>34.5</v>
      </c>
      <c r="K8881" s="411">
        <v>3.6466500000000002</v>
      </c>
    </row>
    <row r="8882" spans="1:11" ht="30" customHeight="1" x14ac:dyDescent="0.3">
      <c r="A8882" s="400" t="s">
        <v>1038</v>
      </c>
      <c r="B8882" s="401" t="s">
        <v>4789</v>
      </c>
      <c r="C8882" s="400" t="s">
        <v>395</v>
      </c>
      <c r="D8882" s="400" t="s">
        <v>4790</v>
      </c>
      <c r="E8882" s="605" t="s">
        <v>1039</v>
      </c>
      <c r="F8882" s="605"/>
      <c r="G8882" s="402" t="s">
        <v>4</v>
      </c>
      <c r="H8882" s="403">
        <v>1</v>
      </c>
      <c r="I8882" s="403">
        <v>0</v>
      </c>
      <c r="J8882" s="404">
        <v>1.68</v>
      </c>
      <c r="K8882" s="404">
        <v>1.68</v>
      </c>
    </row>
    <row r="8883" spans="1:11" ht="30" customHeight="1" x14ac:dyDescent="0.3">
      <c r="A8883" s="405"/>
      <c r="B8883" s="405"/>
      <c r="C8883" s="405"/>
      <c r="D8883" s="405"/>
      <c r="E8883" s="405" t="s">
        <v>1046</v>
      </c>
      <c r="F8883" s="406">
        <v>5.88</v>
      </c>
      <c r="G8883" s="405" t="s">
        <v>1047</v>
      </c>
      <c r="H8883" s="406">
        <v>0.01</v>
      </c>
      <c r="I8883" s="405" t="s">
        <v>1048</v>
      </c>
      <c r="J8883" s="406">
        <v>5.89</v>
      </c>
      <c r="K8883"/>
    </row>
    <row r="8884" spans="1:11" ht="30" customHeight="1" thickBot="1" x14ac:dyDescent="0.35">
      <c r="A8884" s="405"/>
      <c r="B8884" s="405"/>
      <c r="C8884" s="405"/>
      <c r="D8884" s="405"/>
      <c r="E8884" s="405" t="s">
        <v>1049</v>
      </c>
      <c r="F8884" s="406">
        <v>0</v>
      </c>
      <c r="G8884" s="405"/>
      <c r="H8884" s="606"/>
      <c r="I8884" s="606" t="s">
        <v>1050</v>
      </c>
      <c r="J8884" s="406">
        <v>9.75</v>
      </c>
      <c r="K8884"/>
    </row>
    <row r="8885" spans="1:11" ht="14.4" customHeight="1" thickTop="1" x14ac:dyDescent="0.3">
      <c r="A8885" s="407"/>
      <c r="B8885" s="407"/>
      <c r="C8885" s="407"/>
      <c r="D8885" s="407"/>
      <c r="E8885" s="407"/>
      <c r="F8885" s="407"/>
      <c r="G8885" s="407"/>
      <c r="H8885" s="407"/>
      <c r="I8885" s="407"/>
      <c r="J8885" s="407"/>
      <c r="K8885"/>
    </row>
    <row r="8886" spans="1:11" ht="30" customHeight="1" x14ac:dyDescent="0.3">
      <c r="A8886" s="382"/>
      <c r="B8886" s="312" t="s">
        <v>413</v>
      </c>
      <c r="C8886" s="382" t="s">
        <v>414</v>
      </c>
      <c r="D8886" s="382" t="s">
        <v>415</v>
      </c>
      <c r="E8886" s="586" t="s">
        <v>1029</v>
      </c>
      <c r="F8886" s="586"/>
      <c r="G8886" s="383" t="s">
        <v>416</v>
      </c>
      <c r="H8886" s="312" t="s">
        <v>1030</v>
      </c>
      <c r="I8886" s="312" t="s">
        <v>3016</v>
      </c>
      <c r="J8886" s="312" t="s">
        <v>1031</v>
      </c>
      <c r="K8886" s="312" t="s">
        <v>1032</v>
      </c>
    </row>
    <row r="8887" spans="1:11" ht="30" customHeight="1" x14ac:dyDescent="0.3">
      <c r="A8887" s="313" t="s">
        <v>1033</v>
      </c>
      <c r="B8887" s="315" t="s">
        <v>5252</v>
      </c>
      <c r="C8887" s="313" t="s">
        <v>395</v>
      </c>
      <c r="D8887" s="313" t="s">
        <v>5253</v>
      </c>
      <c r="E8887" s="603" t="s">
        <v>1227</v>
      </c>
      <c r="F8887" s="603"/>
      <c r="G8887" s="314" t="s">
        <v>4</v>
      </c>
      <c r="H8887" s="399">
        <v>1</v>
      </c>
      <c r="I8887" s="316"/>
      <c r="J8887" s="316">
        <v>15.62</v>
      </c>
      <c r="K8887" s="316">
        <v>15.62</v>
      </c>
    </row>
    <row r="8888" spans="1:11" ht="30" customHeight="1" x14ac:dyDescent="0.3">
      <c r="A8888" s="408" t="s">
        <v>1034</v>
      </c>
      <c r="B8888" s="409" t="s">
        <v>1037</v>
      </c>
      <c r="C8888" s="408" t="s">
        <v>395</v>
      </c>
      <c r="D8888" s="408" t="s">
        <v>135</v>
      </c>
      <c r="E8888" s="604" t="s">
        <v>7768</v>
      </c>
      <c r="F8888" s="604"/>
      <c r="G8888" s="410" t="s">
        <v>6</v>
      </c>
      <c r="H8888" s="412">
        <v>0.1827</v>
      </c>
      <c r="I8888" s="412">
        <v>0</v>
      </c>
      <c r="J8888" s="411">
        <v>41.81</v>
      </c>
      <c r="K8888" s="411">
        <v>7.638687</v>
      </c>
    </row>
    <row r="8889" spans="1:11" ht="30" customHeight="1" x14ac:dyDescent="0.3">
      <c r="A8889" s="408" t="s">
        <v>1034</v>
      </c>
      <c r="B8889" s="409" t="s">
        <v>1035</v>
      </c>
      <c r="C8889" s="408" t="s">
        <v>395</v>
      </c>
      <c r="D8889" s="408" t="s">
        <v>128</v>
      </c>
      <c r="E8889" s="604" t="s">
        <v>7768</v>
      </c>
      <c r="F8889" s="604"/>
      <c r="G8889" s="410" t="s">
        <v>6</v>
      </c>
      <c r="H8889" s="412">
        <v>0.1827</v>
      </c>
      <c r="I8889" s="412">
        <v>0</v>
      </c>
      <c r="J8889" s="411">
        <v>34.5</v>
      </c>
      <c r="K8889" s="411">
        <v>6.3031499999999996</v>
      </c>
    </row>
    <row r="8890" spans="1:11" ht="26.4" x14ac:dyDescent="0.3">
      <c r="A8890" s="400" t="s">
        <v>1038</v>
      </c>
      <c r="B8890" s="401" t="s">
        <v>4789</v>
      </c>
      <c r="C8890" s="400" t="s">
        <v>395</v>
      </c>
      <c r="D8890" s="400" t="s">
        <v>4790</v>
      </c>
      <c r="E8890" s="605" t="s">
        <v>1039</v>
      </c>
      <c r="F8890" s="605"/>
      <c r="G8890" s="402" t="s">
        <v>4</v>
      </c>
      <c r="H8890" s="403">
        <v>1</v>
      </c>
      <c r="I8890" s="403">
        <v>0</v>
      </c>
      <c r="J8890" s="404">
        <v>1.68</v>
      </c>
      <c r="K8890" s="404">
        <v>1.68</v>
      </c>
    </row>
    <row r="8891" spans="1:11" ht="15" x14ac:dyDescent="0.3">
      <c r="A8891" s="405"/>
      <c r="B8891" s="405"/>
      <c r="C8891" s="405"/>
      <c r="D8891" s="405"/>
      <c r="E8891" s="405" t="s">
        <v>1046</v>
      </c>
      <c r="F8891" s="406">
        <v>10.17</v>
      </c>
      <c r="G8891" s="405" t="s">
        <v>1047</v>
      </c>
      <c r="H8891" s="406">
        <v>0</v>
      </c>
      <c r="I8891" s="405" t="s">
        <v>1048</v>
      </c>
      <c r="J8891" s="406">
        <v>10.17</v>
      </c>
      <c r="K8891"/>
    </row>
    <row r="8892" spans="1:11" ht="14.4" customHeight="1" thickBot="1" x14ac:dyDescent="0.35">
      <c r="A8892" s="405"/>
      <c r="B8892" s="405"/>
      <c r="C8892" s="405"/>
      <c r="D8892" s="405"/>
      <c r="E8892" s="405" t="s">
        <v>1049</v>
      </c>
      <c r="F8892" s="406">
        <v>0</v>
      </c>
      <c r="G8892" s="405"/>
      <c r="H8892" s="606"/>
      <c r="I8892" s="606" t="s">
        <v>1050</v>
      </c>
      <c r="J8892" s="406">
        <v>15.62</v>
      </c>
      <c r="K8892"/>
    </row>
    <row r="8893" spans="1:11" ht="15.6" thickTop="1" x14ac:dyDescent="0.3">
      <c r="A8893" s="407"/>
      <c r="B8893" s="407"/>
      <c r="C8893" s="407"/>
      <c r="D8893" s="407"/>
      <c r="E8893" s="407"/>
      <c r="F8893" s="407"/>
      <c r="G8893" s="407"/>
      <c r="H8893" s="407"/>
      <c r="I8893" s="407"/>
      <c r="J8893" s="407"/>
      <c r="K8893"/>
    </row>
    <row r="8894" spans="1:11" ht="15" x14ac:dyDescent="0.3">
      <c r="A8894" s="382"/>
      <c r="B8894" s="312" t="s">
        <v>413</v>
      </c>
      <c r="C8894" s="382" t="s">
        <v>414</v>
      </c>
      <c r="D8894" s="382" t="s">
        <v>415</v>
      </c>
      <c r="E8894" s="586" t="s">
        <v>1029</v>
      </c>
      <c r="F8894" s="586"/>
      <c r="G8894" s="383" t="s">
        <v>416</v>
      </c>
      <c r="H8894" s="312" t="s">
        <v>1030</v>
      </c>
      <c r="I8894" s="312" t="s">
        <v>3016</v>
      </c>
      <c r="J8894" s="312" t="s">
        <v>1031</v>
      </c>
      <c r="K8894" s="312" t="s">
        <v>1032</v>
      </c>
    </row>
    <row r="8895" spans="1:11" ht="39.6" x14ac:dyDescent="0.3">
      <c r="A8895" s="313" t="s">
        <v>1033</v>
      </c>
      <c r="B8895" s="315" t="s">
        <v>5250</v>
      </c>
      <c r="C8895" s="313" t="s">
        <v>395</v>
      </c>
      <c r="D8895" s="313" t="s">
        <v>5251</v>
      </c>
      <c r="E8895" s="603" t="s">
        <v>1227</v>
      </c>
      <c r="F8895" s="603"/>
      <c r="G8895" s="314" t="s">
        <v>4</v>
      </c>
      <c r="H8895" s="399">
        <v>1</v>
      </c>
      <c r="I8895" s="316"/>
      <c r="J8895" s="316">
        <v>12.29</v>
      </c>
      <c r="K8895" s="316">
        <v>12.29</v>
      </c>
    </row>
    <row r="8896" spans="1:11" ht="17.399999999999999" customHeight="1" x14ac:dyDescent="0.3">
      <c r="A8896" s="408" t="s">
        <v>1034</v>
      </c>
      <c r="B8896" s="409" t="s">
        <v>1037</v>
      </c>
      <c r="C8896" s="408" t="s">
        <v>395</v>
      </c>
      <c r="D8896" s="408" t="s">
        <v>135</v>
      </c>
      <c r="E8896" s="604" t="s">
        <v>7768</v>
      </c>
      <c r="F8896" s="604"/>
      <c r="G8896" s="410" t="s">
        <v>6</v>
      </c>
      <c r="H8896" s="412">
        <v>0.13539999999999999</v>
      </c>
      <c r="I8896" s="412">
        <v>0</v>
      </c>
      <c r="J8896" s="411">
        <v>41.81</v>
      </c>
      <c r="K8896" s="411">
        <v>5.6610740000000002</v>
      </c>
    </row>
    <row r="8897" spans="1:11" ht="26.4" x14ac:dyDescent="0.3">
      <c r="A8897" s="408" t="s">
        <v>1034</v>
      </c>
      <c r="B8897" s="409" t="s">
        <v>1035</v>
      </c>
      <c r="C8897" s="408" t="s">
        <v>395</v>
      </c>
      <c r="D8897" s="408" t="s">
        <v>128</v>
      </c>
      <c r="E8897" s="604" t="s">
        <v>7768</v>
      </c>
      <c r="F8897" s="604"/>
      <c r="G8897" s="410" t="s">
        <v>6</v>
      </c>
      <c r="H8897" s="412">
        <v>0.13539999999999999</v>
      </c>
      <c r="I8897" s="412">
        <v>0</v>
      </c>
      <c r="J8897" s="411">
        <v>34.5</v>
      </c>
      <c r="K8897" s="411">
        <v>4.6712999999999996</v>
      </c>
    </row>
    <row r="8898" spans="1:11" ht="26.4" x14ac:dyDescent="0.3">
      <c r="A8898" s="400" t="s">
        <v>1038</v>
      </c>
      <c r="B8898" s="401" t="s">
        <v>4784</v>
      </c>
      <c r="C8898" s="400" t="s">
        <v>395</v>
      </c>
      <c r="D8898" s="400" t="s">
        <v>4785</v>
      </c>
      <c r="E8898" s="605" t="s">
        <v>1039</v>
      </c>
      <c r="F8898" s="605"/>
      <c r="G8898" s="402" t="s">
        <v>4</v>
      </c>
      <c r="H8898" s="403">
        <v>1</v>
      </c>
      <c r="I8898" s="403">
        <v>0</v>
      </c>
      <c r="J8898" s="404">
        <v>1.96</v>
      </c>
      <c r="K8898" s="404">
        <v>1.96</v>
      </c>
    </row>
    <row r="8899" spans="1:11" ht="14.4" customHeight="1" x14ac:dyDescent="0.3">
      <c r="A8899" s="405"/>
      <c r="B8899" s="405"/>
      <c r="C8899" s="405"/>
      <c r="D8899" s="405"/>
      <c r="E8899" s="405" t="s">
        <v>1046</v>
      </c>
      <c r="F8899" s="406">
        <v>7.53</v>
      </c>
      <c r="G8899" s="405" t="s">
        <v>1047</v>
      </c>
      <c r="H8899" s="406">
        <v>0</v>
      </c>
      <c r="I8899" s="405" t="s">
        <v>1048</v>
      </c>
      <c r="J8899" s="406">
        <v>7.53</v>
      </c>
      <c r="K8899"/>
    </row>
    <row r="8900" spans="1:11" ht="30" customHeight="1" thickBot="1" x14ac:dyDescent="0.35">
      <c r="A8900" s="405"/>
      <c r="B8900" s="405"/>
      <c r="C8900" s="405"/>
      <c r="D8900" s="405"/>
      <c r="E8900" s="405" t="s">
        <v>1049</v>
      </c>
      <c r="F8900" s="406">
        <v>0</v>
      </c>
      <c r="G8900" s="405"/>
      <c r="H8900" s="606"/>
      <c r="I8900" s="606" t="s">
        <v>1050</v>
      </c>
      <c r="J8900" s="406">
        <v>12.29</v>
      </c>
      <c r="K8900"/>
    </row>
    <row r="8901" spans="1:11" ht="15.6" thickTop="1" x14ac:dyDescent="0.3">
      <c r="A8901" s="407"/>
      <c r="B8901" s="407"/>
      <c r="C8901" s="407"/>
      <c r="D8901" s="407"/>
      <c r="E8901" s="407"/>
      <c r="F8901" s="407"/>
      <c r="G8901" s="407"/>
      <c r="H8901" s="407"/>
      <c r="I8901" s="407"/>
      <c r="J8901" s="407"/>
      <c r="K8901"/>
    </row>
    <row r="8902" spans="1:11" ht="15" x14ac:dyDescent="0.3">
      <c r="A8902" s="382"/>
      <c r="B8902" s="312" t="s">
        <v>413</v>
      </c>
      <c r="C8902" s="382" t="s">
        <v>414</v>
      </c>
      <c r="D8902" s="382" t="s">
        <v>415</v>
      </c>
      <c r="E8902" s="586" t="s">
        <v>1029</v>
      </c>
      <c r="F8902" s="586"/>
      <c r="G8902" s="383" t="s">
        <v>416</v>
      </c>
      <c r="H8902" s="312" t="s">
        <v>1030</v>
      </c>
      <c r="I8902" s="312" t="s">
        <v>3016</v>
      </c>
      <c r="J8902" s="312" t="s">
        <v>1031</v>
      </c>
      <c r="K8902" s="312" t="s">
        <v>1032</v>
      </c>
    </row>
    <row r="8903" spans="1:11" ht="15" x14ac:dyDescent="0.3">
      <c r="A8903" s="313" t="s">
        <v>1033</v>
      </c>
      <c r="B8903" s="315" t="s">
        <v>1561</v>
      </c>
      <c r="C8903" s="313" t="s">
        <v>395</v>
      </c>
      <c r="D8903" s="313" t="s">
        <v>138</v>
      </c>
      <c r="E8903" s="603" t="s">
        <v>7768</v>
      </c>
      <c r="F8903" s="603"/>
      <c r="G8903" s="314" t="s">
        <v>6</v>
      </c>
      <c r="H8903" s="399">
        <v>1</v>
      </c>
      <c r="I8903" s="316"/>
      <c r="J8903" s="316">
        <v>34.75</v>
      </c>
      <c r="K8903" s="316">
        <v>34.75</v>
      </c>
    </row>
    <row r="8904" spans="1:11" ht="26.4" x14ac:dyDescent="0.3">
      <c r="A8904" s="408" t="s">
        <v>1034</v>
      </c>
      <c r="B8904" s="409" t="s">
        <v>8108</v>
      </c>
      <c r="C8904" s="408" t="s">
        <v>395</v>
      </c>
      <c r="D8904" s="408" t="s">
        <v>8109</v>
      </c>
      <c r="E8904" s="604" t="s">
        <v>7768</v>
      </c>
      <c r="F8904" s="604"/>
      <c r="G8904" s="410" t="s">
        <v>6</v>
      </c>
      <c r="H8904" s="412">
        <v>1</v>
      </c>
      <c r="I8904" s="412">
        <v>0</v>
      </c>
      <c r="J8904" s="411">
        <v>0.36</v>
      </c>
      <c r="K8904" s="411">
        <v>0.36</v>
      </c>
    </row>
    <row r="8905" spans="1:11" ht="15" x14ac:dyDescent="0.3">
      <c r="A8905" s="400" t="s">
        <v>1038</v>
      </c>
      <c r="B8905" s="401" t="s">
        <v>4234</v>
      </c>
      <c r="C8905" s="400" t="s">
        <v>395</v>
      </c>
      <c r="D8905" s="400" t="s">
        <v>4235</v>
      </c>
      <c r="E8905" s="605" t="s">
        <v>1053</v>
      </c>
      <c r="F8905" s="605"/>
      <c r="G8905" s="402" t="s">
        <v>6</v>
      </c>
      <c r="H8905" s="403">
        <v>1</v>
      </c>
      <c r="I8905" s="403">
        <v>0</v>
      </c>
      <c r="J8905" s="404">
        <v>24.18</v>
      </c>
      <c r="K8905" s="404">
        <v>24.18</v>
      </c>
    </row>
    <row r="8906" spans="1:11" ht="15" x14ac:dyDescent="0.3">
      <c r="A8906" s="400" t="s">
        <v>1038</v>
      </c>
      <c r="B8906" s="401" t="s">
        <v>4028</v>
      </c>
      <c r="C8906" s="400" t="s">
        <v>395</v>
      </c>
      <c r="D8906" s="400" t="s">
        <v>4029</v>
      </c>
      <c r="E8906" s="605" t="s">
        <v>4030</v>
      </c>
      <c r="F8906" s="605"/>
      <c r="G8906" s="402" t="s">
        <v>6</v>
      </c>
      <c r="H8906" s="403">
        <v>1</v>
      </c>
      <c r="I8906" s="403">
        <v>0</v>
      </c>
      <c r="J8906" s="404">
        <v>4.78</v>
      </c>
      <c r="K8906" s="404">
        <v>4.78</v>
      </c>
    </row>
    <row r="8907" spans="1:11" ht="14.4" customHeight="1" x14ac:dyDescent="0.3">
      <c r="A8907" s="400" t="s">
        <v>1038</v>
      </c>
      <c r="B8907" s="401" t="s">
        <v>4066</v>
      </c>
      <c r="C8907" s="400" t="s">
        <v>395</v>
      </c>
      <c r="D8907" s="400" t="s">
        <v>4067</v>
      </c>
      <c r="E8907" s="605" t="s">
        <v>2381</v>
      </c>
      <c r="F8907" s="605"/>
      <c r="G8907" s="402" t="s">
        <v>6</v>
      </c>
      <c r="H8907" s="403">
        <v>1</v>
      </c>
      <c r="I8907" s="403">
        <v>0</v>
      </c>
      <c r="J8907" s="404">
        <v>1.72</v>
      </c>
      <c r="K8907" s="404">
        <v>1.72</v>
      </c>
    </row>
    <row r="8908" spans="1:11" ht="15" x14ac:dyDescent="0.3">
      <c r="A8908" s="400" t="s">
        <v>1038</v>
      </c>
      <c r="B8908" s="401" t="s">
        <v>4078</v>
      </c>
      <c r="C8908" s="400" t="s">
        <v>395</v>
      </c>
      <c r="D8908" s="400" t="s">
        <v>4079</v>
      </c>
      <c r="E8908" s="605" t="s">
        <v>4030</v>
      </c>
      <c r="F8908" s="605"/>
      <c r="G8908" s="402" t="s">
        <v>6</v>
      </c>
      <c r="H8908" s="403">
        <v>1</v>
      </c>
      <c r="I8908" s="403">
        <v>0</v>
      </c>
      <c r="J8908" s="404">
        <v>1.25</v>
      </c>
      <c r="K8908" s="404">
        <v>1.25</v>
      </c>
    </row>
    <row r="8909" spans="1:11" ht="17.399999999999999" customHeight="1" x14ac:dyDescent="0.3">
      <c r="A8909" s="400" t="s">
        <v>1038</v>
      </c>
      <c r="B8909" s="401" t="s">
        <v>4274</v>
      </c>
      <c r="C8909" s="400" t="s">
        <v>395</v>
      </c>
      <c r="D8909" s="400" t="s">
        <v>4275</v>
      </c>
      <c r="E8909" s="605" t="s">
        <v>2386</v>
      </c>
      <c r="F8909" s="605"/>
      <c r="G8909" s="402" t="s">
        <v>6</v>
      </c>
      <c r="H8909" s="403">
        <v>1</v>
      </c>
      <c r="I8909" s="403">
        <v>0</v>
      </c>
      <c r="J8909" s="404">
        <v>0.11</v>
      </c>
      <c r="K8909" s="404">
        <v>0.11</v>
      </c>
    </row>
    <row r="8910" spans="1:11" ht="26.4" x14ac:dyDescent="0.3">
      <c r="A8910" s="400" t="s">
        <v>1038</v>
      </c>
      <c r="B8910" s="401" t="s">
        <v>4268</v>
      </c>
      <c r="C8910" s="400" t="s">
        <v>395</v>
      </c>
      <c r="D8910" s="400" t="s">
        <v>4269</v>
      </c>
      <c r="E8910" s="605" t="s">
        <v>1317</v>
      </c>
      <c r="F8910" s="605"/>
      <c r="G8910" s="402" t="s">
        <v>6</v>
      </c>
      <c r="H8910" s="403">
        <v>1</v>
      </c>
      <c r="I8910" s="403">
        <v>0</v>
      </c>
      <c r="J8910" s="404">
        <v>0.64</v>
      </c>
      <c r="K8910" s="404">
        <v>0.64</v>
      </c>
    </row>
    <row r="8911" spans="1:11" ht="26.4" x14ac:dyDescent="0.3">
      <c r="A8911" s="400" t="s">
        <v>1038</v>
      </c>
      <c r="B8911" s="401" t="s">
        <v>4218</v>
      </c>
      <c r="C8911" s="400" t="s">
        <v>395</v>
      </c>
      <c r="D8911" s="400" t="s">
        <v>4219</v>
      </c>
      <c r="E8911" s="605" t="s">
        <v>1317</v>
      </c>
      <c r="F8911" s="605"/>
      <c r="G8911" s="402" t="s">
        <v>6</v>
      </c>
      <c r="H8911" s="403">
        <v>1</v>
      </c>
      <c r="I8911" s="403">
        <v>0</v>
      </c>
      <c r="J8911" s="404">
        <v>1.71</v>
      </c>
      <c r="K8911" s="404">
        <v>1.71</v>
      </c>
    </row>
    <row r="8912" spans="1:11" ht="15" x14ac:dyDescent="0.3">
      <c r="A8912" s="405"/>
      <c r="B8912" s="405"/>
      <c r="C8912" s="405"/>
      <c r="D8912" s="405"/>
      <c r="E8912" s="405" t="s">
        <v>1046</v>
      </c>
      <c r="F8912" s="406">
        <v>24.54</v>
      </c>
      <c r="G8912" s="405" t="s">
        <v>1047</v>
      </c>
      <c r="H8912" s="406">
        <v>0</v>
      </c>
      <c r="I8912" s="405" t="s">
        <v>1048</v>
      </c>
      <c r="J8912" s="406">
        <v>24.54</v>
      </c>
      <c r="K8912"/>
    </row>
    <row r="8913" spans="1:11" ht="30" customHeight="1" thickBot="1" x14ac:dyDescent="0.35">
      <c r="A8913" s="405"/>
      <c r="B8913" s="405"/>
      <c r="C8913" s="405"/>
      <c r="D8913" s="405"/>
      <c r="E8913" s="405" t="s">
        <v>1049</v>
      </c>
      <c r="F8913" s="406">
        <v>0</v>
      </c>
      <c r="G8913" s="405"/>
      <c r="H8913" s="606"/>
      <c r="I8913" s="606" t="s">
        <v>1050</v>
      </c>
      <c r="J8913" s="406">
        <v>34.75</v>
      </c>
      <c r="K8913"/>
    </row>
    <row r="8914" spans="1:11" ht="30" customHeight="1" thickTop="1" x14ac:dyDescent="0.3">
      <c r="A8914" s="407"/>
      <c r="B8914" s="407"/>
      <c r="C8914" s="407"/>
      <c r="D8914" s="407"/>
      <c r="E8914" s="407"/>
      <c r="F8914" s="407"/>
      <c r="G8914" s="407"/>
      <c r="H8914" s="407"/>
      <c r="I8914" s="407"/>
      <c r="J8914" s="407"/>
      <c r="K8914"/>
    </row>
    <row r="8915" spans="1:11" ht="14.4" customHeight="1" x14ac:dyDescent="0.3">
      <c r="A8915" s="382"/>
      <c r="B8915" s="312" t="s">
        <v>413</v>
      </c>
      <c r="C8915" s="382" t="s">
        <v>414</v>
      </c>
      <c r="D8915" s="382" t="s">
        <v>415</v>
      </c>
      <c r="E8915" s="586" t="s">
        <v>1029</v>
      </c>
      <c r="F8915" s="586"/>
      <c r="G8915" s="383" t="s">
        <v>416</v>
      </c>
      <c r="H8915" s="312" t="s">
        <v>1030</v>
      </c>
      <c r="I8915" s="312" t="s">
        <v>3016</v>
      </c>
      <c r="J8915" s="312" t="s">
        <v>1031</v>
      </c>
      <c r="K8915" s="312" t="s">
        <v>1032</v>
      </c>
    </row>
    <row r="8916" spans="1:11" ht="26.4" x14ac:dyDescent="0.3">
      <c r="A8916" s="313" t="s">
        <v>1033</v>
      </c>
      <c r="B8916" s="315" t="s">
        <v>5194</v>
      </c>
      <c r="C8916" s="313" t="s">
        <v>395</v>
      </c>
      <c r="D8916" s="313" t="s">
        <v>7822</v>
      </c>
      <c r="E8916" s="603" t="s">
        <v>7772</v>
      </c>
      <c r="F8916" s="603"/>
      <c r="G8916" s="314" t="s">
        <v>19</v>
      </c>
      <c r="H8916" s="399">
        <v>1</v>
      </c>
      <c r="I8916" s="316"/>
      <c r="J8916" s="316">
        <v>40.200000000000003</v>
      </c>
      <c r="K8916" s="316">
        <v>40.200000000000003</v>
      </c>
    </row>
    <row r="8917" spans="1:11" ht="17.399999999999999" customHeight="1" x14ac:dyDescent="0.3">
      <c r="A8917" s="408" t="s">
        <v>1034</v>
      </c>
      <c r="B8917" s="409" t="s">
        <v>8235</v>
      </c>
      <c r="C8917" s="408" t="s">
        <v>395</v>
      </c>
      <c r="D8917" s="408" t="s">
        <v>8236</v>
      </c>
      <c r="E8917" s="604" t="s">
        <v>7946</v>
      </c>
      <c r="F8917" s="604"/>
      <c r="G8917" s="410" t="s">
        <v>6</v>
      </c>
      <c r="H8917" s="412">
        <v>1</v>
      </c>
      <c r="I8917" s="412">
        <v>0</v>
      </c>
      <c r="J8917" s="411">
        <v>0.75</v>
      </c>
      <c r="K8917" s="411">
        <v>0.75</v>
      </c>
    </row>
    <row r="8918" spans="1:11" ht="26.4" x14ac:dyDescent="0.3">
      <c r="A8918" s="408" t="s">
        <v>1034</v>
      </c>
      <c r="B8918" s="409" t="s">
        <v>8237</v>
      </c>
      <c r="C8918" s="408" t="s">
        <v>395</v>
      </c>
      <c r="D8918" s="408" t="s">
        <v>8238</v>
      </c>
      <c r="E8918" s="604" t="s">
        <v>7946</v>
      </c>
      <c r="F8918" s="604"/>
      <c r="G8918" s="410" t="s">
        <v>6</v>
      </c>
      <c r="H8918" s="412">
        <v>1</v>
      </c>
      <c r="I8918" s="412">
        <v>0</v>
      </c>
      <c r="J8918" s="411">
        <v>0.17</v>
      </c>
      <c r="K8918" s="411">
        <v>0.17</v>
      </c>
    </row>
    <row r="8919" spans="1:11" ht="26.4" x14ac:dyDescent="0.3">
      <c r="A8919" s="408" t="s">
        <v>1034</v>
      </c>
      <c r="B8919" s="409" t="s">
        <v>8239</v>
      </c>
      <c r="C8919" s="408" t="s">
        <v>395</v>
      </c>
      <c r="D8919" s="408" t="s">
        <v>8240</v>
      </c>
      <c r="E8919" s="604" t="s">
        <v>7768</v>
      </c>
      <c r="F8919" s="604"/>
      <c r="G8919" s="410" t="s">
        <v>6</v>
      </c>
      <c r="H8919" s="412">
        <v>1</v>
      </c>
      <c r="I8919" s="412">
        <v>0</v>
      </c>
      <c r="J8919" s="411">
        <v>39.28</v>
      </c>
      <c r="K8919" s="411">
        <v>39.28</v>
      </c>
    </row>
    <row r="8920" spans="1:11" ht="45" customHeight="1" x14ac:dyDescent="0.3">
      <c r="A8920" s="405"/>
      <c r="B8920" s="405"/>
      <c r="C8920" s="405"/>
      <c r="D8920" s="405"/>
      <c r="E8920" s="405" t="s">
        <v>1046</v>
      </c>
      <c r="F8920" s="406">
        <v>30.33</v>
      </c>
      <c r="G8920" s="405" t="s">
        <v>1047</v>
      </c>
      <c r="H8920" s="406">
        <v>0</v>
      </c>
      <c r="I8920" s="405" t="s">
        <v>1048</v>
      </c>
      <c r="J8920" s="406">
        <v>30.33</v>
      </c>
      <c r="K8920"/>
    </row>
    <row r="8921" spans="1:11" ht="45" customHeight="1" thickBot="1" x14ac:dyDescent="0.35">
      <c r="A8921" s="405"/>
      <c r="B8921" s="405"/>
      <c r="C8921" s="405"/>
      <c r="D8921" s="405"/>
      <c r="E8921" s="405" t="s">
        <v>1049</v>
      </c>
      <c r="F8921" s="406">
        <v>0</v>
      </c>
      <c r="G8921" s="405"/>
      <c r="H8921" s="606"/>
      <c r="I8921" s="606" t="s">
        <v>1050</v>
      </c>
      <c r="J8921" s="406">
        <v>40.200000000000003</v>
      </c>
      <c r="K8921"/>
    </row>
    <row r="8922" spans="1:11" ht="45" customHeight="1" thickTop="1" x14ac:dyDescent="0.3">
      <c r="A8922" s="407"/>
      <c r="B8922" s="407"/>
      <c r="C8922" s="407"/>
      <c r="D8922" s="407"/>
      <c r="E8922" s="407"/>
      <c r="F8922" s="407"/>
      <c r="G8922" s="407"/>
      <c r="H8922" s="407"/>
      <c r="I8922" s="407"/>
      <c r="J8922" s="407"/>
      <c r="K8922"/>
    </row>
    <row r="8923" spans="1:11" ht="15" x14ac:dyDescent="0.3">
      <c r="A8923" s="382"/>
      <c r="B8923" s="312" t="s">
        <v>413</v>
      </c>
      <c r="C8923" s="382" t="s">
        <v>414</v>
      </c>
      <c r="D8923" s="382" t="s">
        <v>415</v>
      </c>
      <c r="E8923" s="586" t="s">
        <v>1029</v>
      </c>
      <c r="F8923" s="586"/>
      <c r="G8923" s="383" t="s">
        <v>416</v>
      </c>
      <c r="H8923" s="312" t="s">
        <v>1030</v>
      </c>
      <c r="I8923" s="312" t="s">
        <v>3016</v>
      </c>
      <c r="J8923" s="312" t="s">
        <v>1031</v>
      </c>
      <c r="K8923" s="312" t="s">
        <v>1032</v>
      </c>
    </row>
    <row r="8924" spans="1:11" ht="17.399999999999999" customHeight="1" x14ac:dyDescent="0.3">
      <c r="A8924" s="313" t="s">
        <v>1033</v>
      </c>
      <c r="B8924" s="315" t="s">
        <v>5192</v>
      </c>
      <c r="C8924" s="313" t="s">
        <v>395</v>
      </c>
      <c r="D8924" s="313" t="s">
        <v>5193</v>
      </c>
      <c r="E8924" s="603" t="s">
        <v>7772</v>
      </c>
      <c r="F8924" s="603"/>
      <c r="G8924" s="314" t="s">
        <v>15</v>
      </c>
      <c r="H8924" s="399">
        <v>1</v>
      </c>
      <c r="I8924" s="316"/>
      <c r="J8924" s="316">
        <v>43.32</v>
      </c>
      <c r="K8924" s="316">
        <v>43.32</v>
      </c>
    </row>
    <row r="8925" spans="1:11" ht="26.4" x14ac:dyDescent="0.3">
      <c r="A8925" s="408" t="s">
        <v>1034</v>
      </c>
      <c r="B8925" s="409" t="s">
        <v>8235</v>
      </c>
      <c r="C8925" s="408" t="s">
        <v>395</v>
      </c>
      <c r="D8925" s="408" t="s">
        <v>8236</v>
      </c>
      <c r="E8925" s="604" t="s">
        <v>7946</v>
      </c>
      <c r="F8925" s="604"/>
      <c r="G8925" s="410" t="s">
        <v>6</v>
      </c>
      <c r="H8925" s="412">
        <v>1</v>
      </c>
      <c r="I8925" s="412">
        <v>0</v>
      </c>
      <c r="J8925" s="411">
        <v>0.75</v>
      </c>
      <c r="K8925" s="411">
        <v>0.75</v>
      </c>
    </row>
    <row r="8926" spans="1:11" ht="26.4" x14ac:dyDescent="0.3">
      <c r="A8926" s="408" t="s">
        <v>1034</v>
      </c>
      <c r="B8926" s="409" t="s">
        <v>8237</v>
      </c>
      <c r="C8926" s="408" t="s">
        <v>395</v>
      </c>
      <c r="D8926" s="408" t="s">
        <v>8238</v>
      </c>
      <c r="E8926" s="604" t="s">
        <v>7946</v>
      </c>
      <c r="F8926" s="604"/>
      <c r="G8926" s="410" t="s">
        <v>6</v>
      </c>
      <c r="H8926" s="412">
        <v>1</v>
      </c>
      <c r="I8926" s="412">
        <v>0</v>
      </c>
      <c r="J8926" s="411">
        <v>0.17</v>
      </c>
      <c r="K8926" s="411">
        <v>0.17</v>
      </c>
    </row>
    <row r="8927" spans="1:11" ht="45" customHeight="1" x14ac:dyDescent="0.3">
      <c r="A8927" s="408" t="s">
        <v>1034</v>
      </c>
      <c r="B8927" s="409" t="s">
        <v>8241</v>
      </c>
      <c r="C8927" s="408" t="s">
        <v>395</v>
      </c>
      <c r="D8927" s="408" t="s">
        <v>8242</v>
      </c>
      <c r="E8927" s="604" t="s">
        <v>7946</v>
      </c>
      <c r="F8927" s="604"/>
      <c r="G8927" s="410" t="s">
        <v>6</v>
      </c>
      <c r="H8927" s="412">
        <v>1</v>
      </c>
      <c r="I8927" s="412">
        <v>0</v>
      </c>
      <c r="J8927" s="411">
        <v>0.94</v>
      </c>
      <c r="K8927" s="411">
        <v>0.94</v>
      </c>
    </row>
    <row r="8928" spans="1:11" ht="45" customHeight="1" x14ac:dyDescent="0.3">
      <c r="A8928" s="408" t="s">
        <v>1034</v>
      </c>
      <c r="B8928" s="409" t="s">
        <v>8243</v>
      </c>
      <c r="C8928" s="408" t="s">
        <v>395</v>
      </c>
      <c r="D8928" s="408" t="s">
        <v>8244</v>
      </c>
      <c r="E8928" s="604" t="s">
        <v>7946</v>
      </c>
      <c r="F8928" s="604"/>
      <c r="G8928" s="410" t="s">
        <v>6</v>
      </c>
      <c r="H8928" s="412">
        <v>1</v>
      </c>
      <c r="I8928" s="412">
        <v>0</v>
      </c>
      <c r="J8928" s="411">
        <v>2.1800000000000002</v>
      </c>
      <c r="K8928" s="411">
        <v>2.1800000000000002</v>
      </c>
    </row>
    <row r="8929" spans="1:11" ht="45" customHeight="1" x14ac:dyDescent="0.3">
      <c r="A8929" s="408" t="s">
        <v>1034</v>
      </c>
      <c r="B8929" s="409" t="s">
        <v>8239</v>
      </c>
      <c r="C8929" s="408" t="s">
        <v>395</v>
      </c>
      <c r="D8929" s="408" t="s">
        <v>8240</v>
      </c>
      <c r="E8929" s="604" t="s">
        <v>7768</v>
      </c>
      <c r="F8929" s="604"/>
      <c r="G8929" s="410" t="s">
        <v>6</v>
      </c>
      <c r="H8929" s="412">
        <v>1</v>
      </c>
      <c r="I8929" s="412">
        <v>0</v>
      </c>
      <c r="J8929" s="411">
        <v>39.28</v>
      </c>
      <c r="K8929" s="411">
        <v>39.28</v>
      </c>
    </row>
    <row r="8930" spans="1:11" ht="45" customHeight="1" x14ac:dyDescent="0.3">
      <c r="A8930" s="405"/>
      <c r="B8930" s="405"/>
      <c r="C8930" s="405"/>
      <c r="D8930" s="405"/>
      <c r="E8930" s="405" t="s">
        <v>1046</v>
      </c>
      <c r="F8930" s="406">
        <v>30.33</v>
      </c>
      <c r="G8930" s="405" t="s">
        <v>1047</v>
      </c>
      <c r="H8930" s="406">
        <v>0</v>
      </c>
      <c r="I8930" s="405" t="s">
        <v>1048</v>
      </c>
      <c r="J8930" s="406">
        <v>30.33</v>
      </c>
      <c r="K8930"/>
    </row>
    <row r="8931" spans="1:11" ht="45" customHeight="1" thickBot="1" x14ac:dyDescent="0.35">
      <c r="A8931" s="405"/>
      <c r="B8931" s="405"/>
      <c r="C8931" s="405"/>
      <c r="D8931" s="405"/>
      <c r="E8931" s="405" t="s">
        <v>1049</v>
      </c>
      <c r="F8931" s="406">
        <v>0</v>
      </c>
      <c r="G8931" s="405"/>
      <c r="H8931" s="606"/>
      <c r="I8931" s="606" t="s">
        <v>1050</v>
      </c>
      <c r="J8931" s="406">
        <v>43.32</v>
      </c>
      <c r="K8931"/>
    </row>
    <row r="8932" spans="1:11" ht="15.6" thickTop="1" x14ac:dyDescent="0.3">
      <c r="A8932" s="407"/>
      <c r="B8932" s="407"/>
      <c r="C8932" s="407"/>
      <c r="D8932" s="407"/>
      <c r="E8932" s="407"/>
      <c r="F8932" s="407"/>
      <c r="G8932" s="407"/>
      <c r="H8932" s="407"/>
      <c r="I8932" s="407"/>
      <c r="J8932" s="407"/>
      <c r="K8932"/>
    </row>
    <row r="8933" spans="1:11" ht="17.399999999999999" customHeight="1" x14ac:dyDescent="0.3">
      <c r="A8933" s="382"/>
      <c r="B8933" s="312" t="s">
        <v>413</v>
      </c>
      <c r="C8933" s="382" t="s">
        <v>414</v>
      </c>
      <c r="D8933" s="382" t="s">
        <v>415</v>
      </c>
      <c r="E8933" s="586" t="s">
        <v>1029</v>
      </c>
      <c r="F8933" s="586"/>
      <c r="G8933" s="383" t="s">
        <v>416</v>
      </c>
      <c r="H8933" s="312" t="s">
        <v>1030</v>
      </c>
      <c r="I8933" s="312" t="s">
        <v>3016</v>
      </c>
      <c r="J8933" s="312" t="s">
        <v>1031</v>
      </c>
      <c r="K8933" s="312" t="s">
        <v>1032</v>
      </c>
    </row>
    <row r="8934" spans="1:11" ht="26.4" x14ac:dyDescent="0.3">
      <c r="A8934" s="313" t="s">
        <v>1033</v>
      </c>
      <c r="B8934" s="315" t="s">
        <v>8235</v>
      </c>
      <c r="C8934" s="313" t="s">
        <v>395</v>
      </c>
      <c r="D8934" s="313" t="s">
        <v>8236</v>
      </c>
      <c r="E8934" s="603" t="s">
        <v>7946</v>
      </c>
      <c r="F8934" s="603"/>
      <c r="G8934" s="314" t="s">
        <v>6</v>
      </c>
      <c r="H8934" s="399">
        <v>1</v>
      </c>
      <c r="I8934" s="316"/>
      <c r="J8934" s="316">
        <v>0.75</v>
      </c>
      <c r="K8934" s="316">
        <v>0.75</v>
      </c>
    </row>
    <row r="8935" spans="1:11" ht="39.6" x14ac:dyDescent="0.3">
      <c r="A8935" s="400" t="s">
        <v>1038</v>
      </c>
      <c r="B8935" s="401" t="s">
        <v>4995</v>
      </c>
      <c r="C8935" s="400" t="s">
        <v>395</v>
      </c>
      <c r="D8935" s="400" t="s">
        <v>4996</v>
      </c>
      <c r="E8935" s="605" t="s">
        <v>1317</v>
      </c>
      <c r="F8935" s="605"/>
      <c r="G8935" s="402" t="s">
        <v>4</v>
      </c>
      <c r="H8935" s="403">
        <v>6.3999999999999997E-5</v>
      </c>
      <c r="I8935" s="403">
        <v>0</v>
      </c>
      <c r="J8935" s="404">
        <v>11699</v>
      </c>
      <c r="K8935" s="404">
        <v>0.74873599999999996</v>
      </c>
    </row>
    <row r="8936" spans="1:11" ht="45" customHeight="1" x14ac:dyDescent="0.3">
      <c r="A8936" s="405"/>
      <c r="B8936" s="405"/>
      <c r="C8936" s="405"/>
      <c r="D8936" s="405"/>
      <c r="E8936" s="405" t="s">
        <v>1046</v>
      </c>
      <c r="F8936" s="406">
        <v>0</v>
      </c>
      <c r="G8936" s="405" t="s">
        <v>1047</v>
      </c>
      <c r="H8936" s="406">
        <v>0</v>
      </c>
      <c r="I8936" s="405" t="s">
        <v>1048</v>
      </c>
      <c r="J8936" s="406">
        <v>0</v>
      </c>
      <c r="K8936"/>
    </row>
    <row r="8937" spans="1:11" ht="15.6" thickBot="1" x14ac:dyDescent="0.35">
      <c r="A8937" s="405"/>
      <c r="B8937" s="405"/>
      <c r="C8937" s="405"/>
      <c r="D8937" s="405"/>
      <c r="E8937" s="405" t="s">
        <v>1049</v>
      </c>
      <c r="F8937" s="406">
        <v>0</v>
      </c>
      <c r="G8937" s="405"/>
      <c r="H8937" s="606"/>
      <c r="I8937" s="606" t="s">
        <v>1050</v>
      </c>
      <c r="J8937" s="406">
        <v>0.75</v>
      </c>
      <c r="K8937"/>
    </row>
    <row r="8938" spans="1:11" ht="15.6" thickTop="1" x14ac:dyDescent="0.3">
      <c r="A8938" s="407"/>
      <c r="B8938" s="407"/>
      <c r="C8938" s="407"/>
      <c r="D8938" s="407"/>
      <c r="E8938" s="407"/>
      <c r="F8938" s="407"/>
      <c r="G8938" s="407"/>
      <c r="H8938" s="407"/>
      <c r="I8938" s="407"/>
      <c r="J8938" s="407"/>
      <c r="K8938"/>
    </row>
    <row r="8939" spans="1:11" ht="17.399999999999999" customHeight="1" x14ac:dyDescent="0.3">
      <c r="A8939" s="382"/>
      <c r="B8939" s="312" t="s">
        <v>413</v>
      </c>
      <c r="C8939" s="382" t="s">
        <v>414</v>
      </c>
      <c r="D8939" s="382" t="s">
        <v>415</v>
      </c>
      <c r="E8939" s="586" t="s">
        <v>1029</v>
      </c>
      <c r="F8939" s="586"/>
      <c r="G8939" s="383" t="s">
        <v>416</v>
      </c>
      <c r="H8939" s="312" t="s">
        <v>1030</v>
      </c>
      <c r="I8939" s="312" t="s">
        <v>3016</v>
      </c>
      <c r="J8939" s="312" t="s">
        <v>1031</v>
      </c>
      <c r="K8939" s="312" t="s">
        <v>1032</v>
      </c>
    </row>
    <row r="8940" spans="1:11" ht="26.4" x14ac:dyDescent="0.3">
      <c r="A8940" s="313" t="s">
        <v>1033</v>
      </c>
      <c r="B8940" s="315" t="s">
        <v>8237</v>
      </c>
      <c r="C8940" s="313" t="s">
        <v>395</v>
      </c>
      <c r="D8940" s="313" t="s">
        <v>8238</v>
      </c>
      <c r="E8940" s="603" t="s">
        <v>7946</v>
      </c>
      <c r="F8940" s="603"/>
      <c r="G8940" s="314" t="s">
        <v>6</v>
      </c>
      <c r="H8940" s="399">
        <v>1</v>
      </c>
      <c r="I8940" s="316"/>
      <c r="J8940" s="316">
        <v>0.17</v>
      </c>
      <c r="K8940" s="316">
        <v>0.17</v>
      </c>
    </row>
    <row r="8941" spans="1:11" ht="39.6" x14ac:dyDescent="0.3">
      <c r="A8941" s="400" t="s">
        <v>1038</v>
      </c>
      <c r="B8941" s="401" t="s">
        <v>4995</v>
      </c>
      <c r="C8941" s="400" t="s">
        <v>395</v>
      </c>
      <c r="D8941" s="400" t="s">
        <v>4996</v>
      </c>
      <c r="E8941" s="605" t="s">
        <v>1317</v>
      </c>
      <c r="F8941" s="605"/>
      <c r="G8941" s="402" t="s">
        <v>4</v>
      </c>
      <c r="H8941" s="403">
        <v>1.4800000000000001E-5</v>
      </c>
      <c r="I8941" s="403">
        <v>0</v>
      </c>
      <c r="J8941" s="404">
        <v>11699</v>
      </c>
      <c r="K8941" s="404">
        <v>0.1731452</v>
      </c>
    </row>
    <row r="8942" spans="1:11" ht="45" customHeight="1" x14ac:dyDescent="0.3">
      <c r="A8942" s="405"/>
      <c r="B8942" s="405"/>
      <c r="C8942" s="405"/>
      <c r="D8942" s="405"/>
      <c r="E8942" s="405" t="s">
        <v>1046</v>
      </c>
      <c r="F8942" s="406">
        <v>0</v>
      </c>
      <c r="G8942" s="405" t="s">
        <v>1047</v>
      </c>
      <c r="H8942" s="406">
        <v>0</v>
      </c>
      <c r="I8942" s="405" t="s">
        <v>1048</v>
      </c>
      <c r="J8942" s="406">
        <v>0</v>
      </c>
      <c r="K8942"/>
    </row>
    <row r="8943" spans="1:11" ht="15.6" thickBot="1" x14ac:dyDescent="0.35">
      <c r="A8943" s="405"/>
      <c r="B8943" s="405"/>
      <c r="C8943" s="405"/>
      <c r="D8943" s="405"/>
      <c r="E8943" s="405" t="s">
        <v>1049</v>
      </c>
      <c r="F8943" s="406">
        <v>0</v>
      </c>
      <c r="G8943" s="405"/>
      <c r="H8943" s="606"/>
      <c r="I8943" s="606" t="s">
        <v>1050</v>
      </c>
      <c r="J8943" s="406">
        <v>0.17</v>
      </c>
      <c r="K8943"/>
    </row>
    <row r="8944" spans="1:11" ht="15.6" thickTop="1" x14ac:dyDescent="0.3">
      <c r="A8944" s="407"/>
      <c r="B8944" s="407"/>
      <c r="C8944" s="407"/>
      <c r="D8944" s="407"/>
      <c r="E8944" s="407"/>
      <c r="F8944" s="407"/>
      <c r="G8944" s="407"/>
      <c r="H8944" s="407"/>
      <c r="I8944" s="407"/>
      <c r="J8944" s="407"/>
      <c r="K8944"/>
    </row>
    <row r="8945" spans="1:11" ht="17.399999999999999" customHeight="1" x14ac:dyDescent="0.3">
      <c r="A8945" s="382"/>
      <c r="B8945" s="312" t="s">
        <v>413</v>
      </c>
      <c r="C8945" s="382" t="s">
        <v>414</v>
      </c>
      <c r="D8945" s="382" t="s">
        <v>415</v>
      </c>
      <c r="E8945" s="586" t="s">
        <v>1029</v>
      </c>
      <c r="F8945" s="586"/>
      <c r="G8945" s="383" t="s">
        <v>416</v>
      </c>
      <c r="H8945" s="312" t="s">
        <v>1030</v>
      </c>
      <c r="I8945" s="312" t="s">
        <v>3016</v>
      </c>
      <c r="J8945" s="312" t="s">
        <v>1031</v>
      </c>
      <c r="K8945" s="312" t="s">
        <v>1032</v>
      </c>
    </row>
    <row r="8946" spans="1:11" ht="26.4" x14ac:dyDescent="0.3">
      <c r="A8946" s="313" t="s">
        <v>1033</v>
      </c>
      <c r="B8946" s="315" t="s">
        <v>8241</v>
      </c>
      <c r="C8946" s="313" t="s">
        <v>395</v>
      </c>
      <c r="D8946" s="313" t="s">
        <v>8242</v>
      </c>
      <c r="E8946" s="603" t="s">
        <v>7946</v>
      </c>
      <c r="F8946" s="603"/>
      <c r="G8946" s="314" t="s">
        <v>6</v>
      </c>
      <c r="H8946" s="399">
        <v>1</v>
      </c>
      <c r="I8946" s="316"/>
      <c r="J8946" s="316">
        <v>0.94</v>
      </c>
      <c r="K8946" s="316">
        <v>0.94</v>
      </c>
    </row>
    <row r="8947" spans="1:11" ht="39.6" x14ac:dyDescent="0.3">
      <c r="A8947" s="400" t="s">
        <v>1038</v>
      </c>
      <c r="B8947" s="401" t="s">
        <v>4995</v>
      </c>
      <c r="C8947" s="400" t="s">
        <v>395</v>
      </c>
      <c r="D8947" s="400" t="s">
        <v>4996</v>
      </c>
      <c r="E8947" s="605" t="s">
        <v>1317</v>
      </c>
      <c r="F8947" s="605"/>
      <c r="G8947" s="402" t="s">
        <v>4</v>
      </c>
      <c r="H8947" s="403">
        <v>8.0000000000000007E-5</v>
      </c>
      <c r="I8947" s="403">
        <v>0</v>
      </c>
      <c r="J8947" s="404">
        <v>11699</v>
      </c>
      <c r="K8947" s="404">
        <v>0.93591999999999997</v>
      </c>
    </row>
    <row r="8948" spans="1:11" ht="45" customHeight="1" x14ac:dyDescent="0.3">
      <c r="A8948" s="405"/>
      <c r="B8948" s="405"/>
      <c r="C8948" s="405"/>
      <c r="D8948" s="405"/>
      <c r="E8948" s="405" t="s">
        <v>1046</v>
      </c>
      <c r="F8948" s="406">
        <v>0</v>
      </c>
      <c r="G8948" s="405" t="s">
        <v>1047</v>
      </c>
      <c r="H8948" s="406">
        <v>0</v>
      </c>
      <c r="I8948" s="405" t="s">
        <v>1048</v>
      </c>
      <c r="J8948" s="406">
        <v>0</v>
      </c>
      <c r="K8948"/>
    </row>
    <row r="8949" spans="1:11" ht="15.6" thickBot="1" x14ac:dyDescent="0.35">
      <c r="A8949" s="405"/>
      <c r="B8949" s="405"/>
      <c r="C8949" s="405"/>
      <c r="D8949" s="405"/>
      <c r="E8949" s="405" t="s">
        <v>1049</v>
      </c>
      <c r="F8949" s="406">
        <v>0</v>
      </c>
      <c r="G8949" s="405"/>
      <c r="H8949" s="606"/>
      <c r="I8949" s="606" t="s">
        <v>1050</v>
      </c>
      <c r="J8949" s="406">
        <v>0.94</v>
      </c>
      <c r="K8949"/>
    </row>
    <row r="8950" spans="1:11" ht="15.6" thickTop="1" x14ac:dyDescent="0.3">
      <c r="A8950" s="407"/>
      <c r="B8950" s="407"/>
      <c r="C8950" s="407"/>
      <c r="D8950" s="407"/>
      <c r="E8950" s="407"/>
      <c r="F8950" s="407"/>
      <c r="G8950" s="407"/>
      <c r="H8950" s="407"/>
      <c r="I8950" s="407"/>
      <c r="J8950" s="407"/>
      <c r="K8950"/>
    </row>
    <row r="8951" spans="1:11" ht="17.399999999999999" customHeight="1" x14ac:dyDescent="0.3">
      <c r="A8951" s="382"/>
      <c r="B8951" s="312" t="s">
        <v>413</v>
      </c>
      <c r="C8951" s="382" t="s">
        <v>414</v>
      </c>
      <c r="D8951" s="382" t="s">
        <v>415</v>
      </c>
      <c r="E8951" s="586" t="s">
        <v>1029</v>
      </c>
      <c r="F8951" s="586"/>
      <c r="G8951" s="383" t="s">
        <v>416</v>
      </c>
      <c r="H8951" s="312" t="s">
        <v>1030</v>
      </c>
      <c r="I8951" s="312" t="s">
        <v>3016</v>
      </c>
      <c r="J8951" s="312" t="s">
        <v>1031</v>
      </c>
      <c r="K8951" s="312" t="s">
        <v>1032</v>
      </c>
    </row>
    <row r="8952" spans="1:11" ht="39.6" x14ac:dyDescent="0.3">
      <c r="A8952" s="313" t="s">
        <v>1033</v>
      </c>
      <c r="B8952" s="315" t="s">
        <v>8243</v>
      </c>
      <c r="C8952" s="313" t="s">
        <v>395</v>
      </c>
      <c r="D8952" s="313" t="s">
        <v>8244</v>
      </c>
      <c r="E8952" s="603" t="s">
        <v>7946</v>
      </c>
      <c r="F8952" s="603"/>
      <c r="G8952" s="314" t="s">
        <v>6</v>
      </c>
      <c r="H8952" s="399">
        <v>1</v>
      </c>
      <c r="I8952" s="316"/>
      <c r="J8952" s="316">
        <v>2.1800000000000002</v>
      </c>
      <c r="K8952" s="316">
        <v>2.1800000000000002</v>
      </c>
    </row>
    <row r="8953" spans="1:11" ht="15" x14ac:dyDescent="0.3">
      <c r="A8953" s="400" t="s">
        <v>1038</v>
      </c>
      <c r="B8953" s="401" t="s">
        <v>4620</v>
      </c>
      <c r="C8953" s="400" t="s">
        <v>395</v>
      </c>
      <c r="D8953" s="400" t="s">
        <v>4621</v>
      </c>
      <c r="E8953" s="605" t="s">
        <v>1039</v>
      </c>
      <c r="F8953" s="605"/>
      <c r="G8953" s="402" t="s">
        <v>4622</v>
      </c>
      <c r="H8953" s="403">
        <v>1.7</v>
      </c>
      <c r="I8953" s="403">
        <v>0</v>
      </c>
      <c r="J8953" s="404">
        <v>1.28</v>
      </c>
      <c r="K8953" s="404">
        <v>2.1760000000000002</v>
      </c>
    </row>
    <row r="8954" spans="1:11" ht="45" customHeight="1" x14ac:dyDescent="0.3">
      <c r="A8954" s="405"/>
      <c r="B8954" s="405"/>
      <c r="C8954" s="405"/>
      <c r="D8954" s="405"/>
      <c r="E8954" s="405" t="s">
        <v>1046</v>
      </c>
      <c r="F8954" s="406">
        <v>0</v>
      </c>
      <c r="G8954" s="405" t="s">
        <v>1047</v>
      </c>
      <c r="H8954" s="406">
        <v>0</v>
      </c>
      <c r="I8954" s="405" t="s">
        <v>1048</v>
      </c>
      <c r="J8954" s="406">
        <v>0</v>
      </c>
      <c r="K8954"/>
    </row>
    <row r="8955" spans="1:11" ht="15.6" thickBot="1" x14ac:dyDescent="0.35">
      <c r="A8955" s="405"/>
      <c r="B8955" s="405"/>
      <c r="C8955" s="405"/>
      <c r="D8955" s="405"/>
      <c r="E8955" s="405" t="s">
        <v>1049</v>
      </c>
      <c r="F8955" s="406">
        <v>0</v>
      </c>
      <c r="G8955" s="405"/>
      <c r="H8955" s="606"/>
      <c r="I8955" s="606" t="s">
        <v>1050</v>
      </c>
      <c r="J8955" s="406">
        <v>2.1800000000000002</v>
      </c>
      <c r="K8955"/>
    </row>
    <row r="8956" spans="1:11" ht="15.6" thickTop="1" x14ac:dyDescent="0.3">
      <c r="A8956" s="407"/>
      <c r="B8956" s="407"/>
      <c r="C8956" s="407"/>
      <c r="D8956" s="407"/>
      <c r="E8956" s="407"/>
      <c r="F8956" s="407"/>
      <c r="G8956" s="407"/>
      <c r="H8956" s="407"/>
      <c r="I8956" s="407"/>
      <c r="J8956" s="407"/>
      <c r="K8956"/>
    </row>
    <row r="8957" spans="1:11" ht="17.399999999999999" customHeight="1" x14ac:dyDescent="0.3">
      <c r="A8957" s="382"/>
      <c r="B8957" s="312" t="s">
        <v>413</v>
      </c>
      <c r="C8957" s="382" t="s">
        <v>414</v>
      </c>
      <c r="D8957" s="382" t="s">
        <v>415</v>
      </c>
      <c r="E8957" s="586" t="s">
        <v>1029</v>
      </c>
      <c r="F8957" s="586"/>
      <c r="G8957" s="383" t="s">
        <v>416</v>
      </c>
      <c r="H8957" s="312" t="s">
        <v>1030</v>
      </c>
      <c r="I8957" s="312" t="s">
        <v>3016</v>
      </c>
      <c r="J8957" s="312" t="s">
        <v>1031</v>
      </c>
      <c r="K8957" s="312" t="s">
        <v>1032</v>
      </c>
    </row>
    <row r="8958" spans="1:11" ht="26.4" x14ac:dyDescent="0.3">
      <c r="A8958" s="313" t="s">
        <v>1033</v>
      </c>
      <c r="B8958" s="315" t="s">
        <v>2585</v>
      </c>
      <c r="C8958" s="313" t="s">
        <v>395</v>
      </c>
      <c r="D8958" s="313" t="s">
        <v>139</v>
      </c>
      <c r="E8958" s="603" t="s">
        <v>7768</v>
      </c>
      <c r="F8958" s="603"/>
      <c r="G8958" s="314" t="s">
        <v>6</v>
      </c>
      <c r="H8958" s="399">
        <v>1</v>
      </c>
      <c r="I8958" s="316"/>
      <c r="J8958" s="316">
        <v>44.82</v>
      </c>
      <c r="K8958" s="316">
        <v>44.82</v>
      </c>
    </row>
    <row r="8959" spans="1:11" ht="26.4" x14ac:dyDescent="0.3">
      <c r="A8959" s="408" t="s">
        <v>1034</v>
      </c>
      <c r="B8959" s="409" t="s">
        <v>8110</v>
      </c>
      <c r="C8959" s="408" t="s">
        <v>395</v>
      </c>
      <c r="D8959" s="408" t="s">
        <v>8111</v>
      </c>
      <c r="E8959" s="604" t="s">
        <v>7768</v>
      </c>
      <c r="F8959" s="604"/>
      <c r="G8959" s="410" t="s">
        <v>6</v>
      </c>
      <c r="H8959" s="412">
        <v>1</v>
      </c>
      <c r="I8959" s="412">
        <v>0</v>
      </c>
      <c r="J8959" s="411">
        <v>0.3</v>
      </c>
      <c r="K8959" s="411">
        <v>0.3</v>
      </c>
    </row>
    <row r="8960" spans="1:11" ht="30" customHeight="1" x14ac:dyDescent="0.3">
      <c r="A8960" s="400" t="s">
        <v>1038</v>
      </c>
      <c r="B8960" s="401" t="s">
        <v>4193</v>
      </c>
      <c r="C8960" s="400" t="s">
        <v>395</v>
      </c>
      <c r="D8960" s="400" t="s">
        <v>4194</v>
      </c>
      <c r="E8960" s="605" t="s">
        <v>1053</v>
      </c>
      <c r="F8960" s="605"/>
      <c r="G8960" s="402" t="s">
        <v>6</v>
      </c>
      <c r="H8960" s="403">
        <v>1</v>
      </c>
      <c r="I8960" s="403">
        <v>0</v>
      </c>
      <c r="J8960" s="404">
        <v>35.57</v>
      </c>
      <c r="K8960" s="404">
        <v>35.57</v>
      </c>
    </row>
    <row r="8961" spans="1:11" ht="30" customHeight="1" x14ac:dyDescent="0.3">
      <c r="A8961" s="400" t="s">
        <v>1038</v>
      </c>
      <c r="B8961" s="401" t="s">
        <v>4028</v>
      </c>
      <c r="C8961" s="400" t="s">
        <v>395</v>
      </c>
      <c r="D8961" s="400" t="s">
        <v>4029</v>
      </c>
      <c r="E8961" s="605" t="s">
        <v>4030</v>
      </c>
      <c r="F8961" s="605"/>
      <c r="G8961" s="402" t="s">
        <v>6</v>
      </c>
      <c r="H8961" s="403">
        <v>1</v>
      </c>
      <c r="I8961" s="403">
        <v>0</v>
      </c>
      <c r="J8961" s="404">
        <v>4.78</v>
      </c>
      <c r="K8961" s="404">
        <v>4.78</v>
      </c>
    </row>
    <row r="8962" spans="1:11" ht="30" customHeight="1" x14ac:dyDescent="0.3">
      <c r="A8962" s="400" t="s">
        <v>1038</v>
      </c>
      <c r="B8962" s="401" t="s">
        <v>4066</v>
      </c>
      <c r="C8962" s="400" t="s">
        <v>395</v>
      </c>
      <c r="D8962" s="400" t="s">
        <v>4067</v>
      </c>
      <c r="E8962" s="605" t="s">
        <v>2381</v>
      </c>
      <c r="F8962" s="605"/>
      <c r="G8962" s="402" t="s">
        <v>6</v>
      </c>
      <c r="H8962" s="403">
        <v>1</v>
      </c>
      <c r="I8962" s="403">
        <v>0</v>
      </c>
      <c r="J8962" s="404">
        <v>1.72</v>
      </c>
      <c r="K8962" s="404">
        <v>1.72</v>
      </c>
    </row>
    <row r="8963" spans="1:11" ht="30" customHeight="1" x14ac:dyDescent="0.3">
      <c r="A8963" s="400" t="s">
        <v>1038</v>
      </c>
      <c r="B8963" s="401" t="s">
        <v>4078</v>
      </c>
      <c r="C8963" s="400" t="s">
        <v>395</v>
      </c>
      <c r="D8963" s="400" t="s">
        <v>4079</v>
      </c>
      <c r="E8963" s="605" t="s">
        <v>4030</v>
      </c>
      <c r="F8963" s="605"/>
      <c r="G8963" s="402" t="s">
        <v>6</v>
      </c>
      <c r="H8963" s="403">
        <v>1</v>
      </c>
      <c r="I8963" s="403">
        <v>0</v>
      </c>
      <c r="J8963" s="404">
        <v>1.25</v>
      </c>
      <c r="K8963" s="404">
        <v>1.25</v>
      </c>
    </row>
    <row r="8964" spans="1:11" ht="15" x14ac:dyDescent="0.3">
      <c r="A8964" s="400" t="s">
        <v>1038</v>
      </c>
      <c r="B8964" s="401" t="s">
        <v>4274</v>
      </c>
      <c r="C8964" s="400" t="s">
        <v>395</v>
      </c>
      <c r="D8964" s="400" t="s">
        <v>4275</v>
      </c>
      <c r="E8964" s="605" t="s">
        <v>2386</v>
      </c>
      <c r="F8964" s="605"/>
      <c r="G8964" s="402" t="s">
        <v>6</v>
      </c>
      <c r="H8964" s="403">
        <v>1</v>
      </c>
      <c r="I8964" s="403">
        <v>0</v>
      </c>
      <c r="J8964" s="404">
        <v>0.11</v>
      </c>
      <c r="K8964" s="404">
        <v>0.11</v>
      </c>
    </row>
    <row r="8965" spans="1:11" ht="26.4" x14ac:dyDescent="0.3">
      <c r="A8965" s="400" t="s">
        <v>1038</v>
      </c>
      <c r="B8965" s="401" t="s">
        <v>5001</v>
      </c>
      <c r="C8965" s="400" t="s">
        <v>395</v>
      </c>
      <c r="D8965" s="400" t="s">
        <v>5002</v>
      </c>
      <c r="E8965" s="605" t="s">
        <v>1317</v>
      </c>
      <c r="F8965" s="605"/>
      <c r="G8965" s="402" t="s">
        <v>6</v>
      </c>
      <c r="H8965" s="403">
        <v>1</v>
      </c>
      <c r="I8965" s="403">
        <v>0</v>
      </c>
      <c r="J8965" s="404">
        <v>0.02</v>
      </c>
      <c r="K8965" s="404">
        <v>0.02</v>
      </c>
    </row>
    <row r="8966" spans="1:11" ht="17.399999999999999" customHeight="1" x14ac:dyDescent="0.3">
      <c r="A8966" s="400" t="s">
        <v>1038</v>
      </c>
      <c r="B8966" s="401" t="s">
        <v>4508</v>
      </c>
      <c r="C8966" s="400" t="s">
        <v>395</v>
      </c>
      <c r="D8966" s="400" t="s">
        <v>4509</v>
      </c>
      <c r="E8966" s="605" t="s">
        <v>1317</v>
      </c>
      <c r="F8966" s="605"/>
      <c r="G8966" s="402" t="s">
        <v>6</v>
      </c>
      <c r="H8966" s="403">
        <v>1</v>
      </c>
      <c r="I8966" s="403">
        <v>0</v>
      </c>
      <c r="J8966" s="404">
        <v>1.07</v>
      </c>
      <c r="K8966" s="404">
        <v>1.07</v>
      </c>
    </row>
    <row r="8967" spans="1:11" ht="15" x14ac:dyDescent="0.3">
      <c r="A8967" s="405"/>
      <c r="B8967" s="405"/>
      <c r="C8967" s="405"/>
      <c r="D8967" s="405"/>
      <c r="E8967" s="405" t="s">
        <v>1046</v>
      </c>
      <c r="F8967" s="406">
        <v>35.869999999999997</v>
      </c>
      <c r="G8967" s="405" t="s">
        <v>1047</v>
      </c>
      <c r="H8967" s="406">
        <v>0</v>
      </c>
      <c r="I8967" s="405" t="s">
        <v>1048</v>
      </c>
      <c r="J8967" s="406">
        <v>35.869999999999997</v>
      </c>
      <c r="K8967"/>
    </row>
    <row r="8968" spans="1:11" ht="15.6" thickBot="1" x14ac:dyDescent="0.35">
      <c r="A8968" s="405"/>
      <c r="B8968" s="405"/>
      <c r="C8968" s="405"/>
      <c r="D8968" s="405"/>
      <c r="E8968" s="405" t="s">
        <v>1049</v>
      </c>
      <c r="F8968" s="406">
        <v>0</v>
      </c>
      <c r="G8968" s="405"/>
      <c r="H8968" s="606"/>
      <c r="I8968" s="606" t="s">
        <v>1050</v>
      </c>
      <c r="J8968" s="406">
        <v>44.82</v>
      </c>
      <c r="K8968"/>
    </row>
    <row r="8969" spans="1:11" ht="15.6" thickTop="1" x14ac:dyDescent="0.3">
      <c r="A8969" s="407"/>
      <c r="B8969" s="407"/>
      <c r="C8969" s="407"/>
      <c r="D8969" s="407"/>
      <c r="E8969" s="407"/>
      <c r="F8969" s="407"/>
      <c r="G8969" s="407"/>
      <c r="H8969" s="407"/>
      <c r="I8969" s="407"/>
      <c r="J8969" s="407"/>
      <c r="K8969"/>
    </row>
    <row r="8970" spans="1:11" ht="15" x14ac:dyDescent="0.3">
      <c r="A8970" s="382"/>
      <c r="B8970" s="312" t="s">
        <v>413</v>
      </c>
      <c r="C8970" s="382" t="s">
        <v>414</v>
      </c>
      <c r="D8970" s="382" t="s">
        <v>415</v>
      </c>
      <c r="E8970" s="586" t="s">
        <v>1029</v>
      </c>
      <c r="F8970" s="586"/>
      <c r="G8970" s="383" t="s">
        <v>416</v>
      </c>
      <c r="H8970" s="312" t="s">
        <v>1030</v>
      </c>
      <c r="I8970" s="312" t="s">
        <v>3016</v>
      </c>
      <c r="J8970" s="312" t="s">
        <v>1031</v>
      </c>
      <c r="K8970" s="312" t="s">
        <v>1032</v>
      </c>
    </row>
    <row r="8971" spans="1:11" ht="26.4" x14ac:dyDescent="0.3">
      <c r="A8971" s="313" t="s">
        <v>1033</v>
      </c>
      <c r="B8971" s="315" t="s">
        <v>1371</v>
      </c>
      <c r="C8971" s="313" t="s">
        <v>395</v>
      </c>
      <c r="D8971" s="313" t="s">
        <v>140</v>
      </c>
      <c r="E8971" s="603" t="s">
        <v>7768</v>
      </c>
      <c r="F8971" s="603"/>
      <c r="G8971" s="314" t="s">
        <v>6</v>
      </c>
      <c r="H8971" s="399">
        <v>1</v>
      </c>
      <c r="I8971" s="316"/>
      <c r="J8971" s="316">
        <v>50.11</v>
      </c>
      <c r="K8971" s="316">
        <v>50.11</v>
      </c>
    </row>
    <row r="8972" spans="1:11" ht="17.399999999999999" customHeight="1" x14ac:dyDescent="0.3">
      <c r="A8972" s="408" t="s">
        <v>1034</v>
      </c>
      <c r="B8972" s="409" t="s">
        <v>8114</v>
      </c>
      <c r="C8972" s="408" t="s">
        <v>395</v>
      </c>
      <c r="D8972" s="408" t="s">
        <v>8115</v>
      </c>
      <c r="E8972" s="604" t="s">
        <v>7768</v>
      </c>
      <c r="F8972" s="604"/>
      <c r="G8972" s="410" t="s">
        <v>6</v>
      </c>
      <c r="H8972" s="412">
        <v>1</v>
      </c>
      <c r="I8972" s="412">
        <v>0</v>
      </c>
      <c r="J8972" s="411">
        <v>0.6</v>
      </c>
      <c r="K8972" s="411">
        <v>0.6</v>
      </c>
    </row>
    <row r="8973" spans="1:11" ht="15" x14ac:dyDescent="0.3">
      <c r="A8973" s="400" t="s">
        <v>1038</v>
      </c>
      <c r="B8973" s="401" t="s">
        <v>4394</v>
      </c>
      <c r="C8973" s="400" t="s">
        <v>395</v>
      </c>
      <c r="D8973" s="400" t="s">
        <v>4395</v>
      </c>
      <c r="E8973" s="605" t="s">
        <v>1053</v>
      </c>
      <c r="F8973" s="605"/>
      <c r="G8973" s="402" t="s">
        <v>6</v>
      </c>
      <c r="H8973" s="403">
        <v>1</v>
      </c>
      <c r="I8973" s="403">
        <v>0</v>
      </c>
      <c r="J8973" s="404">
        <v>40.56</v>
      </c>
      <c r="K8973" s="404">
        <v>40.56</v>
      </c>
    </row>
    <row r="8974" spans="1:11" ht="15" x14ac:dyDescent="0.3">
      <c r="A8974" s="400" t="s">
        <v>1038</v>
      </c>
      <c r="B8974" s="401" t="s">
        <v>4028</v>
      </c>
      <c r="C8974" s="400" t="s">
        <v>395</v>
      </c>
      <c r="D8974" s="400" t="s">
        <v>4029</v>
      </c>
      <c r="E8974" s="605" t="s">
        <v>4030</v>
      </c>
      <c r="F8974" s="605"/>
      <c r="G8974" s="402" t="s">
        <v>6</v>
      </c>
      <c r="H8974" s="403">
        <v>1</v>
      </c>
      <c r="I8974" s="403">
        <v>0</v>
      </c>
      <c r="J8974" s="404">
        <v>4.78</v>
      </c>
      <c r="K8974" s="404">
        <v>4.78</v>
      </c>
    </row>
    <row r="8975" spans="1:11" ht="45" customHeight="1" x14ac:dyDescent="0.3">
      <c r="A8975" s="400" t="s">
        <v>1038</v>
      </c>
      <c r="B8975" s="401" t="s">
        <v>4066</v>
      </c>
      <c r="C8975" s="400" t="s">
        <v>395</v>
      </c>
      <c r="D8975" s="400" t="s">
        <v>4067</v>
      </c>
      <c r="E8975" s="605" t="s">
        <v>2381</v>
      </c>
      <c r="F8975" s="605"/>
      <c r="G8975" s="402" t="s">
        <v>6</v>
      </c>
      <c r="H8975" s="403">
        <v>1</v>
      </c>
      <c r="I8975" s="403">
        <v>0</v>
      </c>
      <c r="J8975" s="404">
        <v>1.72</v>
      </c>
      <c r="K8975" s="404">
        <v>1.72</v>
      </c>
    </row>
    <row r="8976" spans="1:11" ht="30" customHeight="1" x14ac:dyDescent="0.3">
      <c r="A8976" s="400" t="s">
        <v>1038</v>
      </c>
      <c r="B8976" s="401" t="s">
        <v>4078</v>
      </c>
      <c r="C8976" s="400" t="s">
        <v>395</v>
      </c>
      <c r="D8976" s="400" t="s">
        <v>4079</v>
      </c>
      <c r="E8976" s="605" t="s">
        <v>4030</v>
      </c>
      <c r="F8976" s="605"/>
      <c r="G8976" s="402" t="s">
        <v>6</v>
      </c>
      <c r="H8976" s="403">
        <v>1</v>
      </c>
      <c r="I8976" s="403">
        <v>0</v>
      </c>
      <c r="J8976" s="404">
        <v>1.25</v>
      </c>
      <c r="K8976" s="404">
        <v>1.25</v>
      </c>
    </row>
    <row r="8977" spans="1:11" ht="45" customHeight="1" x14ac:dyDescent="0.3">
      <c r="A8977" s="400" t="s">
        <v>1038</v>
      </c>
      <c r="B8977" s="401" t="s">
        <v>4274</v>
      </c>
      <c r="C8977" s="400" t="s">
        <v>395</v>
      </c>
      <c r="D8977" s="400" t="s">
        <v>4275</v>
      </c>
      <c r="E8977" s="605" t="s">
        <v>2386</v>
      </c>
      <c r="F8977" s="605"/>
      <c r="G8977" s="402" t="s">
        <v>6</v>
      </c>
      <c r="H8977" s="403">
        <v>1</v>
      </c>
      <c r="I8977" s="403">
        <v>0</v>
      </c>
      <c r="J8977" s="404">
        <v>0.11</v>
      </c>
      <c r="K8977" s="404">
        <v>0.11</v>
      </c>
    </row>
    <row r="8978" spans="1:11" ht="45" customHeight="1" x14ac:dyDescent="0.3">
      <c r="A8978" s="400" t="s">
        <v>1038</v>
      </c>
      <c r="B8978" s="401" t="s">
        <v>5001</v>
      </c>
      <c r="C8978" s="400" t="s">
        <v>395</v>
      </c>
      <c r="D8978" s="400" t="s">
        <v>5002</v>
      </c>
      <c r="E8978" s="605" t="s">
        <v>1317</v>
      </c>
      <c r="F8978" s="605"/>
      <c r="G8978" s="402" t="s">
        <v>6</v>
      </c>
      <c r="H8978" s="403">
        <v>1</v>
      </c>
      <c r="I8978" s="403">
        <v>0</v>
      </c>
      <c r="J8978" s="404">
        <v>0.02</v>
      </c>
      <c r="K8978" s="404">
        <v>0.02</v>
      </c>
    </row>
    <row r="8979" spans="1:11" ht="26.4" x14ac:dyDescent="0.3">
      <c r="A8979" s="400" t="s">
        <v>1038</v>
      </c>
      <c r="B8979" s="401" t="s">
        <v>4508</v>
      </c>
      <c r="C8979" s="400" t="s">
        <v>395</v>
      </c>
      <c r="D8979" s="400" t="s">
        <v>4509</v>
      </c>
      <c r="E8979" s="605" t="s">
        <v>1317</v>
      </c>
      <c r="F8979" s="605"/>
      <c r="G8979" s="402" t="s">
        <v>6</v>
      </c>
      <c r="H8979" s="403">
        <v>1</v>
      </c>
      <c r="I8979" s="403">
        <v>0</v>
      </c>
      <c r="J8979" s="404">
        <v>1.07</v>
      </c>
      <c r="K8979" s="404">
        <v>1.07</v>
      </c>
    </row>
    <row r="8980" spans="1:11" ht="17.399999999999999" customHeight="1" x14ac:dyDescent="0.3">
      <c r="A8980" s="405"/>
      <c r="B8980" s="405"/>
      <c r="C8980" s="405"/>
      <c r="D8980" s="405"/>
      <c r="E8980" s="405" t="s">
        <v>1046</v>
      </c>
      <c r="F8980" s="406">
        <v>41.16</v>
      </c>
      <c r="G8980" s="405" t="s">
        <v>1047</v>
      </c>
      <c r="H8980" s="406">
        <v>0</v>
      </c>
      <c r="I8980" s="405" t="s">
        <v>1048</v>
      </c>
      <c r="J8980" s="406">
        <v>41.16</v>
      </c>
      <c r="K8980"/>
    </row>
    <row r="8981" spans="1:11" ht="15.6" thickBot="1" x14ac:dyDescent="0.35">
      <c r="A8981" s="405"/>
      <c r="B8981" s="405"/>
      <c r="C8981" s="405"/>
      <c r="D8981" s="405"/>
      <c r="E8981" s="405" t="s">
        <v>1049</v>
      </c>
      <c r="F8981" s="406">
        <v>0</v>
      </c>
      <c r="G8981" s="405"/>
      <c r="H8981" s="606"/>
      <c r="I8981" s="606" t="s">
        <v>1050</v>
      </c>
      <c r="J8981" s="406">
        <v>50.11</v>
      </c>
      <c r="K8981"/>
    </row>
    <row r="8982" spans="1:11" ht="15.6" thickTop="1" x14ac:dyDescent="0.3">
      <c r="A8982" s="407"/>
      <c r="B8982" s="407"/>
      <c r="C8982" s="407"/>
      <c r="D8982" s="407"/>
      <c r="E8982" s="407"/>
      <c r="F8982" s="407"/>
      <c r="G8982" s="407"/>
      <c r="H8982" s="407"/>
      <c r="I8982" s="407"/>
      <c r="J8982" s="407"/>
      <c r="K8982"/>
    </row>
    <row r="8983" spans="1:11" ht="45" customHeight="1" x14ac:dyDescent="0.3">
      <c r="A8983" s="382"/>
      <c r="B8983" s="312" t="s">
        <v>413</v>
      </c>
      <c r="C8983" s="382" t="s">
        <v>414</v>
      </c>
      <c r="D8983" s="382" t="s">
        <v>415</v>
      </c>
      <c r="E8983" s="586" t="s">
        <v>1029</v>
      </c>
      <c r="F8983" s="586"/>
      <c r="G8983" s="383" t="s">
        <v>416</v>
      </c>
      <c r="H8983" s="312" t="s">
        <v>1030</v>
      </c>
      <c r="I8983" s="312" t="s">
        <v>3016</v>
      </c>
      <c r="J8983" s="312" t="s">
        <v>1031</v>
      </c>
      <c r="K8983" s="312" t="s">
        <v>1032</v>
      </c>
    </row>
    <row r="8984" spans="1:11" ht="45" customHeight="1" x14ac:dyDescent="0.3">
      <c r="A8984" s="313" t="s">
        <v>1033</v>
      </c>
      <c r="B8984" s="315" t="s">
        <v>5214</v>
      </c>
      <c r="C8984" s="313" t="s">
        <v>395</v>
      </c>
      <c r="D8984" s="313" t="s">
        <v>7843</v>
      </c>
      <c r="E8984" s="603" t="s">
        <v>7768</v>
      </c>
      <c r="F8984" s="603"/>
      <c r="G8984" s="314" t="s">
        <v>6</v>
      </c>
      <c r="H8984" s="399">
        <v>1</v>
      </c>
      <c r="I8984" s="316"/>
      <c r="J8984" s="316">
        <v>41.72</v>
      </c>
      <c r="K8984" s="316">
        <v>41.72</v>
      </c>
    </row>
    <row r="8985" spans="1:11" ht="45" customHeight="1" x14ac:dyDescent="0.3">
      <c r="A8985" s="408" t="s">
        <v>1034</v>
      </c>
      <c r="B8985" s="409" t="s">
        <v>8112</v>
      </c>
      <c r="C8985" s="408" t="s">
        <v>395</v>
      </c>
      <c r="D8985" s="408" t="s">
        <v>8113</v>
      </c>
      <c r="E8985" s="604" t="s">
        <v>7768</v>
      </c>
      <c r="F8985" s="604"/>
      <c r="G8985" s="410" t="s">
        <v>6</v>
      </c>
      <c r="H8985" s="412">
        <v>1</v>
      </c>
      <c r="I8985" s="412">
        <v>0</v>
      </c>
      <c r="J8985" s="411">
        <v>0.37</v>
      </c>
      <c r="K8985" s="411">
        <v>0.37</v>
      </c>
    </row>
    <row r="8986" spans="1:11" ht="30" customHeight="1" x14ac:dyDescent="0.3">
      <c r="A8986" s="400" t="s">
        <v>1038</v>
      </c>
      <c r="B8986" s="401" t="s">
        <v>4028</v>
      </c>
      <c r="C8986" s="400" t="s">
        <v>395</v>
      </c>
      <c r="D8986" s="400" t="s">
        <v>4029</v>
      </c>
      <c r="E8986" s="605" t="s">
        <v>4030</v>
      </c>
      <c r="F8986" s="605"/>
      <c r="G8986" s="402" t="s">
        <v>6</v>
      </c>
      <c r="H8986" s="403">
        <v>1</v>
      </c>
      <c r="I8986" s="403">
        <v>0</v>
      </c>
      <c r="J8986" s="404">
        <v>4.78</v>
      </c>
      <c r="K8986" s="404">
        <v>4.78</v>
      </c>
    </row>
    <row r="8987" spans="1:11" ht="45" customHeight="1" x14ac:dyDescent="0.3">
      <c r="A8987" s="400" t="s">
        <v>1038</v>
      </c>
      <c r="B8987" s="401" t="s">
        <v>4066</v>
      </c>
      <c r="C8987" s="400" t="s">
        <v>395</v>
      </c>
      <c r="D8987" s="400" t="s">
        <v>4067</v>
      </c>
      <c r="E8987" s="605" t="s">
        <v>2381</v>
      </c>
      <c r="F8987" s="605"/>
      <c r="G8987" s="402" t="s">
        <v>6</v>
      </c>
      <c r="H8987" s="403">
        <v>1</v>
      </c>
      <c r="I8987" s="403">
        <v>0</v>
      </c>
      <c r="J8987" s="404">
        <v>1.72</v>
      </c>
      <c r="K8987" s="404">
        <v>1.72</v>
      </c>
    </row>
    <row r="8988" spans="1:11" ht="45" customHeight="1" x14ac:dyDescent="0.3">
      <c r="A8988" s="400" t="s">
        <v>1038</v>
      </c>
      <c r="B8988" s="401" t="s">
        <v>4078</v>
      </c>
      <c r="C8988" s="400" t="s">
        <v>395</v>
      </c>
      <c r="D8988" s="400" t="s">
        <v>4079</v>
      </c>
      <c r="E8988" s="605" t="s">
        <v>4030</v>
      </c>
      <c r="F8988" s="605"/>
      <c r="G8988" s="402" t="s">
        <v>6</v>
      </c>
      <c r="H8988" s="403">
        <v>1</v>
      </c>
      <c r="I8988" s="403">
        <v>0</v>
      </c>
      <c r="J8988" s="404">
        <v>1.25</v>
      </c>
      <c r="K8988" s="404">
        <v>1.25</v>
      </c>
    </row>
    <row r="8989" spans="1:11" ht="15" x14ac:dyDescent="0.3">
      <c r="A8989" s="400" t="s">
        <v>1038</v>
      </c>
      <c r="B8989" s="401" t="s">
        <v>4274</v>
      </c>
      <c r="C8989" s="400" t="s">
        <v>395</v>
      </c>
      <c r="D8989" s="400" t="s">
        <v>4275</v>
      </c>
      <c r="E8989" s="605" t="s">
        <v>2386</v>
      </c>
      <c r="F8989" s="605"/>
      <c r="G8989" s="402" t="s">
        <v>6</v>
      </c>
      <c r="H8989" s="403">
        <v>1</v>
      </c>
      <c r="I8989" s="403">
        <v>0</v>
      </c>
      <c r="J8989" s="404">
        <v>0.11</v>
      </c>
      <c r="K8989" s="404">
        <v>0.11</v>
      </c>
    </row>
    <row r="8990" spans="1:11" ht="17.399999999999999" customHeight="1" x14ac:dyDescent="0.3">
      <c r="A8990" s="400" t="s">
        <v>1038</v>
      </c>
      <c r="B8990" s="401" t="s">
        <v>5001</v>
      </c>
      <c r="C8990" s="400" t="s">
        <v>395</v>
      </c>
      <c r="D8990" s="400" t="s">
        <v>5002</v>
      </c>
      <c r="E8990" s="605" t="s">
        <v>1317</v>
      </c>
      <c r="F8990" s="605"/>
      <c r="G8990" s="402" t="s">
        <v>6</v>
      </c>
      <c r="H8990" s="403">
        <v>1</v>
      </c>
      <c r="I8990" s="403">
        <v>0</v>
      </c>
      <c r="J8990" s="404">
        <v>0.02</v>
      </c>
      <c r="K8990" s="404">
        <v>0.02</v>
      </c>
    </row>
    <row r="8991" spans="1:11" ht="26.4" x14ac:dyDescent="0.3">
      <c r="A8991" s="400" t="s">
        <v>1038</v>
      </c>
      <c r="B8991" s="401" t="s">
        <v>4508</v>
      </c>
      <c r="C8991" s="400" t="s">
        <v>395</v>
      </c>
      <c r="D8991" s="400" t="s">
        <v>4509</v>
      </c>
      <c r="E8991" s="605" t="s">
        <v>1317</v>
      </c>
      <c r="F8991" s="605"/>
      <c r="G8991" s="402" t="s">
        <v>6</v>
      </c>
      <c r="H8991" s="403">
        <v>1</v>
      </c>
      <c r="I8991" s="403">
        <v>0</v>
      </c>
      <c r="J8991" s="404">
        <v>1.07</v>
      </c>
      <c r="K8991" s="404">
        <v>1.07</v>
      </c>
    </row>
    <row r="8992" spans="1:11" ht="15" x14ac:dyDescent="0.3">
      <c r="A8992" s="400" t="s">
        <v>1038</v>
      </c>
      <c r="B8992" s="401" t="s">
        <v>4559</v>
      </c>
      <c r="C8992" s="400" t="s">
        <v>395</v>
      </c>
      <c r="D8992" s="400" t="s">
        <v>4560</v>
      </c>
      <c r="E8992" s="605" t="s">
        <v>1053</v>
      </c>
      <c r="F8992" s="605"/>
      <c r="G8992" s="402" t="s">
        <v>6</v>
      </c>
      <c r="H8992" s="403">
        <v>1</v>
      </c>
      <c r="I8992" s="403">
        <v>0</v>
      </c>
      <c r="J8992" s="404">
        <v>32.4</v>
      </c>
      <c r="K8992" s="404">
        <v>32.4</v>
      </c>
    </row>
    <row r="8993" spans="1:11" ht="45" customHeight="1" x14ac:dyDescent="0.3">
      <c r="A8993" s="405"/>
      <c r="B8993" s="405"/>
      <c r="C8993" s="405"/>
      <c r="D8993" s="405"/>
      <c r="E8993" s="405" t="s">
        <v>1046</v>
      </c>
      <c r="F8993" s="406">
        <v>32.770000000000003</v>
      </c>
      <c r="G8993" s="405" t="s">
        <v>1047</v>
      </c>
      <c r="H8993" s="406">
        <v>0</v>
      </c>
      <c r="I8993" s="405" t="s">
        <v>1048</v>
      </c>
      <c r="J8993" s="406">
        <v>32.770000000000003</v>
      </c>
      <c r="K8993"/>
    </row>
    <row r="8994" spans="1:11" ht="15.6" thickBot="1" x14ac:dyDescent="0.35">
      <c r="A8994" s="405"/>
      <c r="B8994" s="405"/>
      <c r="C8994" s="405"/>
      <c r="D8994" s="405"/>
      <c r="E8994" s="405" t="s">
        <v>1049</v>
      </c>
      <c r="F8994" s="406">
        <v>0</v>
      </c>
      <c r="G8994" s="405"/>
      <c r="H8994" s="606"/>
      <c r="I8994" s="606" t="s">
        <v>1050</v>
      </c>
      <c r="J8994" s="406">
        <v>41.72</v>
      </c>
      <c r="K8994"/>
    </row>
    <row r="8995" spans="1:11" ht="15.6" thickTop="1" x14ac:dyDescent="0.3">
      <c r="A8995" s="407"/>
      <c r="B8995" s="407"/>
      <c r="C8995" s="407"/>
      <c r="D8995" s="407"/>
      <c r="E8995" s="407"/>
      <c r="F8995" s="407"/>
      <c r="G8995" s="407"/>
      <c r="H8995" s="407"/>
      <c r="I8995" s="407"/>
      <c r="J8995" s="407"/>
      <c r="K8995"/>
    </row>
    <row r="8996" spans="1:11" ht="17.399999999999999" customHeight="1" x14ac:dyDescent="0.3">
      <c r="A8996" s="382"/>
      <c r="B8996" s="312" t="s">
        <v>413</v>
      </c>
      <c r="C8996" s="382" t="s">
        <v>414</v>
      </c>
      <c r="D8996" s="382" t="s">
        <v>415</v>
      </c>
      <c r="E8996" s="586" t="s">
        <v>1029</v>
      </c>
      <c r="F8996" s="586"/>
      <c r="G8996" s="383" t="s">
        <v>416</v>
      </c>
      <c r="H8996" s="312" t="s">
        <v>1030</v>
      </c>
      <c r="I8996" s="312" t="s">
        <v>3016</v>
      </c>
      <c r="J8996" s="312" t="s">
        <v>1031</v>
      </c>
      <c r="K8996" s="312" t="s">
        <v>1032</v>
      </c>
    </row>
    <row r="8997" spans="1:11" ht="39.6" x14ac:dyDescent="0.3">
      <c r="A8997" s="313" t="s">
        <v>1033</v>
      </c>
      <c r="B8997" s="315" t="s">
        <v>5227</v>
      </c>
      <c r="C8997" s="313" t="s">
        <v>395</v>
      </c>
      <c r="D8997" s="313" t="s">
        <v>5228</v>
      </c>
      <c r="E8997" s="603" t="s">
        <v>7772</v>
      </c>
      <c r="F8997" s="603"/>
      <c r="G8997" s="314" t="s">
        <v>19</v>
      </c>
      <c r="H8997" s="399">
        <v>1</v>
      </c>
      <c r="I8997" s="316"/>
      <c r="J8997" s="316">
        <v>119.71</v>
      </c>
      <c r="K8997" s="316">
        <v>119.71</v>
      </c>
    </row>
    <row r="8998" spans="1:11" ht="26.4" x14ac:dyDescent="0.3">
      <c r="A8998" s="408" t="s">
        <v>1034</v>
      </c>
      <c r="B8998" s="409" t="s">
        <v>8245</v>
      </c>
      <c r="C8998" s="408" t="s">
        <v>395</v>
      </c>
      <c r="D8998" s="408" t="s">
        <v>8246</v>
      </c>
      <c r="E8998" s="604" t="s">
        <v>7768</v>
      </c>
      <c r="F8998" s="604"/>
      <c r="G8998" s="410" t="s">
        <v>6</v>
      </c>
      <c r="H8998" s="412">
        <v>1</v>
      </c>
      <c r="I8998" s="412">
        <v>0</v>
      </c>
      <c r="J8998" s="411">
        <v>43.16</v>
      </c>
      <c r="K8998" s="411">
        <v>43.16</v>
      </c>
    </row>
    <row r="8999" spans="1:11" ht="45" customHeight="1" x14ac:dyDescent="0.3">
      <c r="A8999" s="408" t="s">
        <v>1034</v>
      </c>
      <c r="B8999" s="409" t="s">
        <v>8247</v>
      </c>
      <c r="C8999" s="408" t="s">
        <v>395</v>
      </c>
      <c r="D8999" s="408" t="s">
        <v>8248</v>
      </c>
      <c r="E8999" s="604" t="s">
        <v>7946</v>
      </c>
      <c r="F8999" s="604"/>
      <c r="G8999" s="410" t="s">
        <v>6</v>
      </c>
      <c r="H8999" s="412">
        <v>1</v>
      </c>
      <c r="I8999" s="412">
        <v>0</v>
      </c>
      <c r="J8999" s="411">
        <v>56.6</v>
      </c>
      <c r="K8999" s="411">
        <v>56.6</v>
      </c>
    </row>
    <row r="9000" spans="1:11" ht="39.6" x14ac:dyDescent="0.3">
      <c r="A9000" s="408" t="s">
        <v>1034</v>
      </c>
      <c r="B9000" s="409" t="s">
        <v>8249</v>
      </c>
      <c r="C9000" s="408" t="s">
        <v>395</v>
      </c>
      <c r="D9000" s="408" t="s">
        <v>8250</v>
      </c>
      <c r="E9000" s="604" t="s">
        <v>7946</v>
      </c>
      <c r="F9000" s="604"/>
      <c r="G9000" s="410" t="s">
        <v>6</v>
      </c>
      <c r="H9000" s="412">
        <v>1</v>
      </c>
      <c r="I9000" s="412">
        <v>0</v>
      </c>
      <c r="J9000" s="411">
        <v>19.95</v>
      </c>
      <c r="K9000" s="411">
        <v>19.95</v>
      </c>
    </row>
    <row r="9001" spans="1:11" ht="15" x14ac:dyDescent="0.3">
      <c r="A9001" s="405"/>
      <c r="B9001" s="405"/>
      <c r="C9001" s="405"/>
      <c r="D9001" s="405"/>
      <c r="E9001" s="405" t="s">
        <v>1046</v>
      </c>
      <c r="F9001" s="406">
        <v>34.21</v>
      </c>
      <c r="G9001" s="405" t="s">
        <v>1047</v>
      </c>
      <c r="H9001" s="406">
        <v>0</v>
      </c>
      <c r="I9001" s="405" t="s">
        <v>1048</v>
      </c>
      <c r="J9001" s="406">
        <v>34.21</v>
      </c>
      <c r="K9001"/>
    </row>
    <row r="9002" spans="1:11" ht="17.399999999999999" customHeight="1" thickBot="1" x14ac:dyDescent="0.35">
      <c r="A9002" s="405"/>
      <c r="B9002" s="405"/>
      <c r="C9002" s="405"/>
      <c r="D9002" s="405"/>
      <c r="E9002" s="405" t="s">
        <v>1049</v>
      </c>
      <c r="F9002" s="406">
        <v>0</v>
      </c>
      <c r="G9002" s="405"/>
      <c r="H9002" s="606"/>
      <c r="I9002" s="606" t="s">
        <v>1050</v>
      </c>
      <c r="J9002" s="406">
        <v>119.71</v>
      </c>
      <c r="K9002"/>
    </row>
    <row r="9003" spans="1:11" ht="15.6" thickTop="1" x14ac:dyDescent="0.3">
      <c r="A9003" s="407"/>
      <c r="B9003" s="407"/>
      <c r="C9003" s="407"/>
      <c r="D9003" s="407"/>
      <c r="E9003" s="407"/>
      <c r="F9003" s="407"/>
      <c r="G9003" s="407"/>
      <c r="H9003" s="407"/>
      <c r="I9003" s="407"/>
      <c r="J9003" s="407"/>
      <c r="K9003"/>
    </row>
    <row r="9004" spans="1:11" ht="15" x14ac:dyDescent="0.3">
      <c r="A9004" s="382"/>
      <c r="B9004" s="312" t="s">
        <v>413</v>
      </c>
      <c r="C9004" s="382" t="s">
        <v>414</v>
      </c>
      <c r="D9004" s="382" t="s">
        <v>415</v>
      </c>
      <c r="E9004" s="586" t="s">
        <v>1029</v>
      </c>
      <c r="F9004" s="586"/>
      <c r="G9004" s="383" t="s">
        <v>416</v>
      </c>
      <c r="H9004" s="312" t="s">
        <v>1030</v>
      </c>
      <c r="I9004" s="312" t="s">
        <v>3016</v>
      </c>
      <c r="J9004" s="312" t="s">
        <v>1031</v>
      </c>
      <c r="K9004" s="312" t="s">
        <v>1032</v>
      </c>
    </row>
    <row r="9005" spans="1:11" ht="45" customHeight="1" x14ac:dyDescent="0.3">
      <c r="A9005" s="313" t="s">
        <v>1033</v>
      </c>
      <c r="B9005" s="315" t="s">
        <v>5225</v>
      </c>
      <c r="C9005" s="313" t="s">
        <v>395</v>
      </c>
      <c r="D9005" s="313" t="s">
        <v>5226</v>
      </c>
      <c r="E9005" s="603" t="s">
        <v>7772</v>
      </c>
      <c r="F9005" s="603"/>
      <c r="G9005" s="314" t="s">
        <v>15</v>
      </c>
      <c r="H9005" s="399">
        <v>1</v>
      </c>
      <c r="I9005" s="316"/>
      <c r="J9005" s="316">
        <v>309.74</v>
      </c>
      <c r="K9005" s="316">
        <v>309.74</v>
      </c>
    </row>
    <row r="9006" spans="1:11" ht="39.6" x14ac:dyDescent="0.3">
      <c r="A9006" s="408" t="s">
        <v>1034</v>
      </c>
      <c r="B9006" s="409" t="s">
        <v>8251</v>
      </c>
      <c r="C9006" s="408" t="s">
        <v>395</v>
      </c>
      <c r="D9006" s="408" t="s">
        <v>8252</v>
      </c>
      <c r="E9006" s="604" t="s">
        <v>7946</v>
      </c>
      <c r="F9006" s="604"/>
      <c r="G9006" s="410" t="s">
        <v>6</v>
      </c>
      <c r="H9006" s="412">
        <v>1</v>
      </c>
      <c r="I9006" s="412">
        <v>0</v>
      </c>
      <c r="J9006" s="411">
        <v>99.05</v>
      </c>
      <c r="K9006" s="411">
        <v>99.05</v>
      </c>
    </row>
    <row r="9007" spans="1:11" ht="39.6" x14ac:dyDescent="0.3">
      <c r="A9007" s="408" t="s">
        <v>1034</v>
      </c>
      <c r="B9007" s="409" t="s">
        <v>8253</v>
      </c>
      <c r="C9007" s="408" t="s">
        <v>395</v>
      </c>
      <c r="D9007" s="408" t="s">
        <v>8254</v>
      </c>
      <c r="E9007" s="604" t="s">
        <v>7946</v>
      </c>
      <c r="F9007" s="604"/>
      <c r="G9007" s="410" t="s">
        <v>6</v>
      </c>
      <c r="H9007" s="412">
        <v>1</v>
      </c>
      <c r="I9007" s="412">
        <v>0</v>
      </c>
      <c r="J9007" s="411">
        <v>90.98</v>
      </c>
      <c r="K9007" s="411">
        <v>90.98</v>
      </c>
    </row>
    <row r="9008" spans="1:11" ht="17.399999999999999" customHeight="1" x14ac:dyDescent="0.3">
      <c r="A9008" s="408" t="s">
        <v>1034</v>
      </c>
      <c r="B9008" s="409" t="s">
        <v>8245</v>
      </c>
      <c r="C9008" s="408" t="s">
        <v>395</v>
      </c>
      <c r="D9008" s="408" t="s">
        <v>8246</v>
      </c>
      <c r="E9008" s="604" t="s">
        <v>7768</v>
      </c>
      <c r="F9008" s="604"/>
      <c r="G9008" s="410" t="s">
        <v>6</v>
      </c>
      <c r="H9008" s="412">
        <v>1</v>
      </c>
      <c r="I9008" s="412">
        <v>0</v>
      </c>
      <c r="J9008" s="411">
        <v>43.16</v>
      </c>
      <c r="K9008" s="411">
        <v>43.16</v>
      </c>
    </row>
    <row r="9009" spans="1:11" ht="39.6" x14ac:dyDescent="0.3">
      <c r="A9009" s="408" t="s">
        <v>1034</v>
      </c>
      <c r="B9009" s="409" t="s">
        <v>8247</v>
      </c>
      <c r="C9009" s="408" t="s">
        <v>395</v>
      </c>
      <c r="D9009" s="408" t="s">
        <v>8248</v>
      </c>
      <c r="E9009" s="604" t="s">
        <v>7946</v>
      </c>
      <c r="F9009" s="604"/>
      <c r="G9009" s="410" t="s">
        <v>6</v>
      </c>
      <c r="H9009" s="412">
        <v>1</v>
      </c>
      <c r="I9009" s="412">
        <v>0</v>
      </c>
      <c r="J9009" s="411">
        <v>56.6</v>
      </c>
      <c r="K9009" s="411">
        <v>56.6</v>
      </c>
    </row>
    <row r="9010" spans="1:11" ht="39.6" x14ac:dyDescent="0.3">
      <c r="A9010" s="408" t="s">
        <v>1034</v>
      </c>
      <c r="B9010" s="409" t="s">
        <v>8249</v>
      </c>
      <c r="C9010" s="408" t="s">
        <v>395</v>
      </c>
      <c r="D9010" s="408" t="s">
        <v>8250</v>
      </c>
      <c r="E9010" s="604" t="s">
        <v>7946</v>
      </c>
      <c r="F9010" s="604"/>
      <c r="G9010" s="410" t="s">
        <v>6</v>
      </c>
      <c r="H9010" s="412">
        <v>1</v>
      </c>
      <c r="I9010" s="412">
        <v>0</v>
      </c>
      <c r="J9010" s="411">
        <v>19.95</v>
      </c>
      <c r="K9010" s="411">
        <v>19.95</v>
      </c>
    </row>
    <row r="9011" spans="1:11" ht="45" customHeight="1" x14ac:dyDescent="0.3">
      <c r="A9011" s="405"/>
      <c r="B9011" s="405"/>
      <c r="C9011" s="405"/>
      <c r="D9011" s="405"/>
      <c r="E9011" s="405" t="s">
        <v>1046</v>
      </c>
      <c r="F9011" s="406">
        <v>34.21</v>
      </c>
      <c r="G9011" s="405" t="s">
        <v>1047</v>
      </c>
      <c r="H9011" s="406">
        <v>0</v>
      </c>
      <c r="I9011" s="405" t="s">
        <v>1048</v>
      </c>
      <c r="J9011" s="406">
        <v>34.21</v>
      </c>
      <c r="K9011"/>
    </row>
    <row r="9012" spans="1:11" ht="15.6" thickBot="1" x14ac:dyDescent="0.35">
      <c r="A9012" s="405"/>
      <c r="B9012" s="405"/>
      <c r="C9012" s="405"/>
      <c r="D9012" s="405"/>
      <c r="E9012" s="405" t="s">
        <v>1049</v>
      </c>
      <c r="F9012" s="406">
        <v>0</v>
      </c>
      <c r="G9012" s="405"/>
      <c r="H9012" s="606"/>
      <c r="I9012" s="606" t="s">
        <v>1050</v>
      </c>
      <c r="J9012" s="406">
        <v>309.74</v>
      </c>
      <c r="K9012"/>
    </row>
    <row r="9013" spans="1:11" ht="15.6" thickTop="1" x14ac:dyDescent="0.3">
      <c r="A9013" s="407"/>
      <c r="B9013" s="407"/>
      <c r="C9013" s="407"/>
      <c r="D9013" s="407"/>
      <c r="E9013" s="407"/>
      <c r="F9013" s="407"/>
      <c r="G9013" s="407"/>
      <c r="H9013" s="407"/>
      <c r="I9013" s="407"/>
      <c r="J9013" s="407"/>
      <c r="K9013"/>
    </row>
    <row r="9014" spans="1:11" ht="17.399999999999999" customHeight="1" x14ac:dyDescent="0.3">
      <c r="A9014" s="382"/>
      <c r="B9014" s="312" t="s">
        <v>413</v>
      </c>
      <c r="C9014" s="382" t="s">
        <v>414</v>
      </c>
      <c r="D9014" s="382" t="s">
        <v>415</v>
      </c>
      <c r="E9014" s="586" t="s">
        <v>1029</v>
      </c>
      <c r="F9014" s="586"/>
      <c r="G9014" s="383" t="s">
        <v>416</v>
      </c>
      <c r="H9014" s="312" t="s">
        <v>1030</v>
      </c>
      <c r="I9014" s="312" t="s">
        <v>3016</v>
      </c>
      <c r="J9014" s="312" t="s">
        <v>1031</v>
      </c>
      <c r="K9014" s="312" t="s">
        <v>1032</v>
      </c>
    </row>
    <row r="9015" spans="1:11" ht="39.6" x14ac:dyDescent="0.3">
      <c r="A9015" s="313" t="s">
        <v>1033</v>
      </c>
      <c r="B9015" s="315" t="s">
        <v>8247</v>
      </c>
      <c r="C9015" s="313" t="s">
        <v>395</v>
      </c>
      <c r="D9015" s="313" t="s">
        <v>8248</v>
      </c>
      <c r="E9015" s="603" t="s">
        <v>7946</v>
      </c>
      <c r="F9015" s="603"/>
      <c r="G9015" s="314" t="s">
        <v>6</v>
      </c>
      <c r="H9015" s="399">
        <v>1</v>
      </c>
      <c r="I9015" s="316"/>
      <c r="J9015" s="316">
        <v>56.6</v>
      </c>
      <c r="K9015" s="316">
        <v>56.6</v>
      </c>
    </row>
    <row r="9016" spans="1:11" ht="26.4" x14ac:dyDescent="0.3">
      <c r="A9016" s="400" t="s">
        <v>1038</v>
      </c>
      <c r="B9016" s="401" t="s">
        <v>4852</v>
      </c>
      <c r="C9016" s="400" t="s">
        <v>395</v>
      </c>
      <c r="D9016" s="400" t="s">
        <v>4853</v>
      </c>
      <c r="E9016" s="605" t="s">
        <v>1317</v>
      </c>
      <c r="F9016" s="605"/>
      <c r="G9016" s="402" t="s">
        <v>4</v>
      </c>
      <c r="H9016" s="403">
        <v>4.0000000000000003E-5</v>
      </c>
      <c r="I9016" s="403">
        <v>0</v>
      </c>
      <c r="J9016" s="404">
        <v>1415000</v>
      </c>
      <c r="K9016" s="404">
        <v>56.6</v>
      </c>
    </row>
    <row r="9017" spans="1:11" ht="45" customHeight="1" x14ac:dyDescent="0.3">
      <c r="A9017" s="405"/>
      <c r="B9017" s="405"/>
      <c r="C9017" s="405"/>
      <c r="D9017" s="405"/>
      <c r="E9017" s="405" t="s">
        <v>1046</v>
      </c>
      <c r="F9017" s="406">
        <v>0</v>
      </c>
      <c r="G9017" s="405" t="s">
        <v>1047</v>
      </c>
      <c r="H9017" s="406">
        <v>0</v>
      </c>
      <c r="I9017" s="405" t="s">
        <v>1048</v>
      </c>
      <c r="J9017" s="406">
        <v>0</v>
      </c>
      <c r="K9017"/>
    </row>
    <row r="9018" spans="1:11" ht="15.6" thickBot="1" x14ac:dyDescent="0.35">
      <c r="A9018" s="405"/>
      <c r="B9018" s="405"/>
      <c r="C9018" s="405"/>
      <c r="D9018" s="405"/>
      <c r="E9018" s="405" t="s">
        <v>1049</v>
      </c>
      <c r="F9018" s="406">
        <v>0</v>
      </c>
      <c r="G9018" s="405"/>
      <c r="H9018" s="606"/>
      <c r="I9018" s="606" t="s">
        <v>1050</v>
      </c>
      <c r="J9018" s="406">
        <v>56.6</v>
      </c>
      <c r="K9018"/>
    </row>
    <row r="9019" spans="1:11" ht="30" customHeight="1" thickTop="1" x14ac:dyDescent="0.3">
      <c r="A9019" s="407"/>
      <c r="B9019" s="407"/>
      <c r="C9019" s="407"/>
      <c r="D9019" s="407"/>
      <c r="E9019" s="407"/>
      <c r="F9019" s="407"/>
      <c r="G9019" s="407"/>
      <c r="H9019" s="407"/>
      <c r="I9019" s="407"/>
      <c r="J9019" s="407"/>
      <c r="K9019"/>
    </row>
    <row r="9020" spans="1:11" ht="30" customHeight="1" x14ac:dyDescent="0.3">
      <c r="A9020" s="382"/>
      <c r="B9020" s="312" t="s">
        <v>413</v>
      </c>
      <c r="C9020" s="382" t="s">
        <v>414</v>
      </c>
      <c r="D9020" s="382" t="s">
        <v>415</v>
      </c>
      <c r="E9020" s="586" t="s">
        <v>1029</v>
      </c>
      <c r="F9020" s="586"/>
      <c r="G9020" s="383" t="s">
        <v>416</v>
      </c>
      <c r="H9020" s="312" t="s">
        <v>1030</v>
      </c>
      <c r="I9020" s="312" t="s">
        <v>3016</v>
      </c>
      <c r="J9020" s="312" t="s">
        <v>1031</v>
      </c>
      <c r="K9020" s="312" t="s">
        <v>1032</v>
      </c>
    </row>
    <row r="9021" spans="1:11" ht="39.6" x14ac:dyDescent="0.3">
      <c r="A9021" s="313" t="s">
        <v>1033</v>
      </c>
      <c r="B9021" s="315" t="s">
        <v>8249</v>
      </c>
      <c r="C9021" s="313" t="s">
        <v>395</v>
      </c>
      <c r="D9021" s="313" t="s">
        <v>8250</v>
      </c>
      <c r="E9021" s="603" t="s">
        <v>7946</v>
      </c>
      <c r="F9021" s="603"/>
      <c r="G9021" s="314" t="s">
        <v>6</v>
      </c>
      <c r="H9021" s="399">
        <v>1</v>
      </c>
      <c r="I9021" s="316"/>
      <c r="J9021" s="316">
        <v>19.95</v>
      </c>
      <c r="K9021" s="316">
        <v>19.95</v>
      </c>
    </row>
    <row r="9022" spans="1:11" ht="26.4" x14ac:dyDescent="0.3">
      <c r="A9022" s="400" t="s">
        <v>1038</v>
      </c>
      <c r="B9022" s="401" t="s">
        <v>4852</v>
      </c>
      <c r="C9022" s="400" t="s">
        <v>395</v>
      </c>
      <c r="D9022" s="400" t="s">
        <v>4853</v>
      </c>
      <c r="E9022" s="605" t="s">
        <v>1317</v>
      </c>
      <c r="F9022" s="605"/>
      <c r="G9022" s="402" t="s">
        <v>4</v>
      </c>
      <c r="H9022" s="403">
        <v>1.4100000000000001E-5</v>
      </c>
      <c r="I9022" s="403">
        <v>0</v>
      </c>
      <c r="J9022" s="404">
        <v>1415000</v>
      </c>
      <c r="K9022" s="404">
        <v>19.951499999999999</v>
      </c>
    </row>
    <row r="9023" spans="1:11" ht="17.399999999999999" customHeight="1" x14ac:dyDescent="0.3">
      <c r="A9023" s="405"/>
      <c r="B9023" s="405"/>
      <c r="C9023" s="405"/>
      <c r="D9023" s="405"/>
      <c r="E9023" s="405" t="s">
        <v>1046</v>
      </c>
      <c r="F9023" s="406">
        <v>0</v>
      </c>
      <c r="G9023" s="405" t="s">
        <v>1047</v>
      </c>
      <c r="H9023" s="406">
        <v>0</v>
      </c>
      <c r="I9023" s="405" t="s">
        <v>1048</v>
      </c>
      <c r="J9023" s="406">
        <v>0</v>
      </c>
      <c r="K9023"/>
    </row>
    <row r="9024" spans="1:11" ht="15.6" thickBot="1" x14ac:dyDescent="0.35">
      <c r="A9024" s="405"/>
      <c r="B9024" s="405"/>
      <c r="C9024" s="405"/>
      <c r="D9024" s="405"/>
      <c r="E9024" s="405" t="s">
        <v>1049</v>
      </c>
      <c r="F9024" s="406">
        <v>0</v>
      </c>
      <c r="G9024" s="405"/>
      <c r="H9024" s="606"/>
      <c r="I9024" s="606" t="s">
        <v>1050</v>
      </c>
      <c r="J9024" s="406">
        <v>19.95</v>
      </c>
      <c r="K9024"/>
    </row>
    <row r="9025" spans="1:11" ht="15.6" thickTop="1" x14ac:dyDescent="0.3">
      <c r="A9025" s="407"/>
      <c r="B9025" s="407"/>
      <c r="C9025" s="407"/>
      <c r="D9025" s="407"/>
      <c r="E9025" s="407"/>
      <c r="F9025" s="407"/>
      <c r="G9025" s="407"/>
      <c r="H9025" s="407"/>
      <c r="I9025" s="407"/>
      <c r="J9025" s="407"/>
      <c r="K9025"/>
    </row>
    <row r="9026" spans="1:11" ht="30" customHeight="1" x14ac:dyDescent="0.3">
      <c r="A9026" s="382"/>
      <c r="B9026" s="312" t="s">
        <v>413</v>
      </c>
      <c r="C9026" s="382" t="s">
        <v>414</v>
      </c>
      <c r="D9026" s="382" t="s">
        <v>415</v>
      </c>
      <c r="E9026" s="586" t="s">
        <v>1029</v>
      </c>
      <c r="F9026" s="586"/>
      <c r="G9026" s="383" t="s">
        <v>416</v>
      </c>
      <c r="H9026" s="312" t="s">
        <v>1030</v>
      </c>
      <c r="I9026" s="312" t="s">
        <v>3016</v>
      </c>
      <c r="J9026" s="312" t="s">
        <v>1031</v>
      </c>
      <c r="K9026" s="312" t="s">
        <v>1032</v>
      </c>
    </row>
    <row r="9027" spans="1:11" ht="30" customHeight="1" x14ac:dyDescent="0.3">
      <c r="A9027" s="313" t="s">
        <v>1033</v>
      </c>
      <c r="B9027" s="315" t="s">
        <v>8253</v>
      </c>
      <c r="C9027" s="313" t="s">
        <v>395</v>
      </c>
      <c r="D9027" s="313" t="s">
        <v>8254</v>
      </c>
      <c r="E9027" s="603" t="s">
        <v>7946</v>
      </c>
      <c r="F9027" s="603"/>
      <c r="G9027" s="314" t="s">
        <v>6</v>
      </c>
      <c r="H9027" s="399">
        <v>1</v>
      </c>
      <c r="I9027" s="316"/>
      <c r="J9027" s="316">
        <v>90.98</v>
      </c>
      <c r="K9027" s="316">
        <v>90.98</v>
      </c>
    </row>
    <row r="9028" spans="1:11" ht="30" customHeight="1" x14ac:dyDescent="0.3">
      <c r="A9028" s="400" t="s">
        <v>1038</v>
      </c>
      <c r="B9028" s="401" t="s">
        <v>4852</v>
      </c>
      <c r="C9028" s="400" t="s">
        <v>395</v>
      </c>
      <c r="D9028" s="400" t="s">
        <v>4853</v>
      </c>
      <c r="E9028" s="605" t="s">
        <v>1317</v>
      </c>
      <c r="F9028" s="605"/>
      <c r="G9028" s="402" t="s">
        <v>4</v>
      </c>
      <c r="H9028" s="403">
        <v>6.4300000000000004E-5</v>
      </c>
      <c r="I9028" s="403">
        <v>0</v>
      </c>
      <c r="J9028" s="404">
        <v>1415000</v>
      </c>
      <c r="K9028" s="404">
        <v>90.984499999999997</v>
      </c>
    </row>
    <row r="9029" spans="1:11" ht="15" x14ac:dyDescent="0.3">
      <c r="A9029" s="405"/>
      <c r="B9029" s="405"/>
      <c r="C9029" s="405"/>
      <c r="D9029" s="405"/>
      <c r="E9029" s="405" t="s">
        <v>1046</v>
      </c>
      <c r="F9029" s="406">
        <v>0</v>
      </c>
      <c r="G9029" s="405" t="s">
        <v>1047</v>
      </c>
      <c r="H9029" s="406">
        <v>0</v>
      </c>
      <c r="I9029" s="405" t="s">
        <v>1048</v>
      </c>
      <c r="J9029" s="406">
        <v>0</v>
      </c>
      <c r="K9029"/>
    </row>
    <row r="9030" spans="1:11" ht="15.6" thickBot="1" x14ac:dyDescent="0.35">
      <c r="A9030" s="405"/>
      <c r="B9030" s="405"/>
      <c r="C9030" s="405"/>
      <c r="D9030" s="405"/>
      <c r="E9030" s="405" t="s">
        <v>1049</v>
      </c>
      <c r="F9030" s="406">
        <v>0</v>
      </c>
      <c r="G9030" s="405"/>
      <c r="H9030" s="606"/>
      <c r="I9030" s="606" t="s">
        <v>1050</v>
      </c>
      <c r="J9030" s="406">
        <v>90.98</v>
      </c>
      <c r="K9030"/>
    </row>
    <row r="9031" spans="1:11" ht="15.6" thickTop="1" x14ac:dyDescent="0.3">
      <c r="A9031" s="407"/>
      <c r="B9031" s="407"/>
      <c r="C9031" s="407"/>
      <c r="D9031" s="407"/>
      <c r="E9031" s="407"/>
      <c r="F9031" s="407"/>
      <c r="G9031" s="407"/>
      <c r="H9031" s="407"/>
      <c r="I9031" s="407"/>
      <c r="J9031" s="407"/>
      <c r="K9031"/>
    </row>
    <row r="9032" spans="1:11" ht="17.399999999999999" customHeight="1" x14ac:dyDescent="0.3">
      <c r="A9032" s="382"/>
      <c r="B9032" s="312" t="s">
        <v>413</v>
      </c>
      <c r="C9032" s="382" t="s">
        <v>414</v>
      </c>
      <c r="D9032" s="382" t="s">
        <v>415</v>
      </c>
      <c r="E9032" s="586" t="s">
        <v>1029</v>
      </c>
      <c r="F9032" s="586"/>
      <c r="G9032" s="383" t="s">
        <v>416</v>
      </c>
      <c r="H9032" s="312" t="s">
        <v>1030</v>
      </c>
      <c r="I9032" s="312" t="s">
        <v>3016</v>
      </c>
      <c r="J9032" s="312" t="s">
        <v>1031</v>
      </c>
      <c r="K9032" s="312" t="s">
        <v>1032</v>
      </c>
    </row>
    <row r="9033" spans="1:11" ht="39.6" x14ac:dyDescent="0.3">
      <c r="A9033" s="313" t="s">
        <v>1033</v>
      </c>
      <c r="B9033" s="315" t="s">
        <v>8251</v>
      </c>
      <c r="C9033" s="313" t="s">
        <v>395</v>
      </c>
      <c r="D9033" s="313" t="s">
        <v>8252</v>
      </c>
      <c r="E9033" s="603" t="s">
        <v>7946</v>
      </c>
      <c r="F9033" s="603"/>
      <c r="G9033" s="314" t="s">
        <v>6</v>
      </c>
      <c r="H9033" s="399">
        <v>1</v>
      </c>
      <c r="I9033" s="316"/>
      <c r="J9033" s="316">
        <v>99.05</v>
      </c>
      <c r="K9033" s="316">
        <v>99.05</v>
      </c>
    </row>
    <row r="9034" spans="1:11" ht="15" x14ac:dyDescent="0.3">
      <c r="A9034" s="400" t="s">
        <v>1038</v>
      </c>
      <c r="B9034" s="401" t="s">
        <v>4383</v>
      </c>
      <c r="C9034" s="400" t="s">
        <v>395</v>
      </c>
      <c r="D9034" s="400" t="s">
        <v>4384</v>
      </c>
      <c r="E9034" s="605" t="s">
        <v>1039</v>
      </c>
      <c r="F9034" s="605"/>
      <c r="G9034" s="402" t="s">
        <v>8</v>
      </c>
      <c r="H9034" s="403">
        <v>13.99</v>
      </c>
      <c r="I9034" s="403">
        <v>0</v>
      </c>
      <c r="J9034" s="404">
        <v>7.08</v>
      </c>
      <c r="K9034" s="404">
        <v>99.049199999999999</v>
      </c>
    </row>
    <row r="9035" spans="1:11" ht="45" customHeight="1" x14ac:dyDescent="0.3">
      <c r="A9035" s="405"/>
      <c r="B9035" s="405"/>
      <c r="C9035" s="405"/>
      <c r="D9035" s="405"/>
      <c r="E9035" s="405" t="s">
        <v>1046</v>
      </c>
      <c r="F9035" s="406">
        <v>0</v>
      </c>
      <c r="G9035" s="405" t="s">
        <v>1047</v>
      </c>
      <c r="H9035" s="406">
        <v>0</v>
      </c>
      <c r="I9035" s="405" t="s">
        <v>1048</v>
      </c>
      <c r="J9035" s="406">
        <v>0</v>
      </c>
      <c r="K9035"/>
    </row>
    <row r="9036" spans="1:11" ht="30" customHeight="1" thickBot="1" x14ac:dyDescent="0.35">
      <c r="A9036" s="405"/>
      <c r="B9036" s="405"/>
      <c r="C9036" s="405"/>
      <c r="D9036" s="405"/>
      <c r="E9036" s="405" t="s">
        <v>1049</v>
      </c>
      <c r="F9036" s="406">
        <v>0</v>
      </c>
      <c r="G9036" s="405"/>
      <c r="H9036" s="606"/>
      <c r="I9036" s="606" t="s">
        <v>1050</v>
      </c>
      <c r="J9036" s="406">
        <v>99.05</v>
      </c>
      <c r="K9036"/>
    </row>
    <row r="9037" spans="1:11" ht="45" customHeight="1" thickTop="1" x14ac:dyDescent="0.3">
      <c r="A9037" s="407"/>
      <c r="B9037" s="407"/>
      <c r="C9037" s="407"/>
      <c r="D9037" s="407"/>
      <c r="E9037" s="407"/>
      <c r="F9037" s="407"/>
      <c r="G9037" s="407"/>
      <c r="H9037" s="407"/>
      <c r="I9037" s="407"/>
      <c r="J9037" s="407"/>
      <c r="K9037"/>
    </row>
    <row r="9038" spans="1:11" ht="45" customHeight="1" x14ac:dyDescent="0.3">
      <c r="A9038" s="382"/>
      <c r="B9038" s="312" t="s">
        <v>413</v>
      </c>
      <c r="C9038" s="382" t="s">
        <v>414</v>
      </c>
      <c r="D9038" s="382" t="s">
        <v>415</v>
      </c>
      <c r="E9038" s="586" t="s">
        <v>1029</v>
      </c>
      <c r="F9038" s="586"/>
      <c r="G9038" s="383" t="s">
        <v>416</v>
      </c>
      <c r="H9038" s="312" t="s">
        <v>1030</v>
      </c>
      <c r="I9038" s="312" t="s">
        <v>3016</v>
      </c>
      <c r="J9038" s="312" t="s">
        <v>1031</v>
      </c>
      <c r="K9038" s="312" t="s">
        <v>1032</v>
      </c>
    </row>
    <row r="9039" spans="1:11" ht="15" x14ac:dyDescent="0.3">
      <c r="A9039" s="313" t="s">
        <v>1033</v>
      </c>
      <c r="B9039" s="315" t="s">
        <v>8027</v>
      </c>
      <c r="C9039" s="313" t="s">
        <v>395</v>
      </c>
      <c r="D9039" s="313" t="s">
        <v>8028</v>
      </c>
      <c r="E9039" s="603" t="s">
        <v>7768</v>
      </c>
      <c r="F9039" s="603"/>
      <c r="G9039" s="314" t="s">
        <v>6</v>
      </c>
      <c r="H9039" s="399">
        <v>1</v>
      </c>
      <c r="I9039" s="316"/>
      <c r="J9039" s="316">
        <v>59.02</v>
      </c>
      <c r="K9039" s="316">
        <v>59.02</v>
      </c>
    </row>
    <row r="9040" spans="1:11" ht="17.399999999999999" customHeight="1" x14ac:dyDescent="0.3">
      <c r="A9040" s="408" t="s">
        <v>1034</v>
      </c>
      <c r="B9040" s="409" t="s">
        <v>8116</v>
      </c>
      <c r="C9040" s="408" t="s">
        <v>395</v>
      </c>
      <c r="D9040" s="408" t="s">
        <v>8117</v>
      </c>
      <c r="E9040" s="604" t="s">
        <v>7768</v>
      </c>
      <c r="F9040" s="604"/>
      <c r="G9040" s="410" t="s">
        <v>6</v>
      </c>
      <c r="H9040" s="412">
        <v>1</v>
      </c>
      <c r="I9040" s="412">
        <v>0</v>
      </c>
      <c r="J9040" s="411">
        <v>0.25</v>
      </c>
      <c r="K9040" s="411">
        <v>0.25</v>
      </c>
    </row>
    <row r="9041" spans="1:11" ht="15" x14ac:dyDescent="0.3">
      <c r="A9041" s="400" t="s">
        <v>1038</v>
      </c>
      <c r="B9041" s="401" t="s">
        <v>4765</v>
      </c>
      <c r="C9041" s="400" t="s">
        <v>395</v>
      </c>
      <c r="D9041" s="400" t="s">
        <v>4766</v>
      </c>
      <c r="E9041" s="605" t="s">
        <v>1053</v>
      </c>
      <c r="F9041" s="605"/>
      <c r="G9041" s="402" t="s">
        <v>6</v>
      </c>
      <c r="H9041" s="403">
        <v>1</v>
      </c>
      <c r="I9041" s="403">
        <v>0</v>
      </c>
      <c r="J9041" s="404">
        <v>49.82</v>
      </c>
      <c r="K9041" s="404">
        <v>49.82</v>
      </c>
    </row>
    <row r="9042" spans="1:11" ht="15" x14ac:dyDescent="0.3">
      <c r="A9042" s="400" t="s">
        <v>1038</v>
      </c>
      <c r="B9042" s="401" t="s">
        <v>4028</v>
      </c>
      <c r="C9042" s="400" t="s">
        <v>395</v>
      </c>
      <c r="D9042" s="400" t="s">
        <v>4029</v>
      </c>
      <c r="E9042" s="605" t="s">
        <v>4030</v>
      </c>
      <c r="F9042" s="605"/>
      <c r="G9042" s="402" t="s">
        <v>6</v>
      </c>
      <c r="H9042" s="403">
        <v>1</v>
      </c>
      <c r="I9042" s="403">
        <v>0</v>
      </c>
      <c r="J9042" s="404">
        <v>4.78</v>
      </c>
      <c r="K9042" s="404">
        <v>4.78</v>
      </c>
    </row>
    <row r="9043" spans="1:11" ht="45" customHeight="1" x14ac:dyDescent="0.3">
      <c r="A9043" s="400" t="s">
        <v>1038</v>
      </c>
      <c r="B9043" s="401" t="s">
        <v>4066</v>
      </c>
      <c r="C9043" s="400" t="s">
        <v>395</v>
      </c>
      <c r="D9043" s="400" t="s">
        <v>4067</v>
      </c>
      <c r="E9043" s="605" t="s">
        <v>2381</v>
      </c>
      <c r="F9043" s="605"/>
      <c r="G9043" s="402" t="s">
        <v>6</v>
      </c>
      <c r="H9043" s="403">
        <v>1</v>
      </c>
      <c r="I9043" s="403">
        <v>0</v>
      </c>
      <c r="J9043" s="404">
        <v>1.72</v>
      </c>
      <c r="K9043" s="404">
        <v>1.72</v>
      </c>
    </row>
    <row r="9044" spans="1:11" ht="30" customHeight="1" x14ac:dyDescent="0.3">
      <c r="A9044" s="400" t="s">
        <v>1038</v>
      </c>
      <c r="B9044" s="401" t="s">
        <v>4078</v>
      </c>
      <c r="C9044" s="400" t="s">
        <v>395</v>
      </c>
      <c r="D9044" s="400" t="s">
        <v>4079</v>
      </c>
      <c r="E9044" s="605" t="s">
        <v>4030</v>
      </c>
      <c r="F9044" s="605"/>
      <c r="G9044" s="402" t="s">
        <v>6</v>
      </c>
      <c r="H9044" s="403">
        <v>1</v>
      </c>
      <c r="I9044" s="403">
        <v>0</v>
      </c>
      <c r="J9044" s="404">
        <v>1.25</v>
      </c>
      <c r="K9044" s="404">
        <v>1.25</v>
      </c>
    </row>
    <row r="9045" spans="1:11" ht="45" customHeight="1" x14ac:dyDescent="0.3">
      <c r="A9045" s="400" t="s">
        <v>1038</v>
      </c>
      <c r="B9045" s="401" t="s">
        <v>4274</v>
      </c>
      <c r="C9045" s="400" t="s">
        <v>395</v>
      </c>
      <c r="D9045" s="400" t="s">
        <v>4275</v>
      </c>
      <c r="E9045" s="605" t="s">
        <v>2386</v>
      </c>
      <c r="F9045" s="605"/>
      <c r="G9045" s="402" t="s">
        <v>6</v>
      </c>
      <c r="H9045" s="403">
        <v>1</v>
      </c>
      <c r="I9045" s="403">
        <v>0</v>
      </c>
      <c r="J9045" s="404">
        <v>0.11</v>
      </c>
      <c r="K9045" s="404">
        <v>0.11</v>
      </c>
    </row>
    <row r="9046" spans="1:11" ht="45" customHeight="1" x14ac:dyDescent="0.3">
      <c r="A9046" s="400" t="s">
        <v>1038</v>
      </c>
      <c r="B9046" s="401" t="s">
        <v>5001</v>
      </c>
      <c r="C9046" s="400" t="s">
        <v>395</v>
      </c>
      <c r="D9046" s="400" t="s">
        <v>5002</v>
      </c>
      <c r="E9046" s="605" t="s">
        <v>1317</v>
      </c>
      <c r="F9046" s="605"/>
      <c r="G9046" s="402" t="s">
        <v>6</v>
      </c>
      <c r="H9046" s="403">
        <v>1</v>
      </c>
      <c r="I9046" s="403">
        <v>0</v>
      </c>
      <c r="J9046" s="404">
        <v>0.02</v>
      </c>
      <c r="K9046" s="404">
        <v>0.02</v>
      </c>
    </row>
    <row r="9047" spans="1:11" ht="45" customHeight="1" x14ac:dyDescent="0.3">
      <c r="A9047" s="400" t="s">
        <v>1038</v>
      </c>
      <c r="B9047" s="401" t="s">
        <v>4508</v>
      </c>
      <c r="C9047" s="400" t="s">
        <v>395</v>
      </c>
      <c r="D9047" s="400" t="s">
        <v>4509</v>
      </c>
      <c r="E9047" s="605" t="s">
        <v>1317</v>
      </c>
      <c r="F9047" s="605"/>
      <c r="G9047" s="402" t="s">
        <v>6</v>
      </c>
      <c r="H9047" s="403">
        <v>1</v>
      </c>
      <c r="I9047" s="403">
        <v>0</v>
      </c>
      <c r="J9047" s="404">
        <v>1.07</v>
      </c>
      <c r="K9047" s="404">
        <v>1.07</v>
      </c>
    </row>
    <row r="9048" spans="1:11" ht="45" customHeight="1" x14ac:dyDescent="0.3">
      <c r="A9048" s="405"/>
      <c r="B9048" s="405"/>
      <c r="C9048" s="405"/>
      <c r="D9048" s="405"/>
      <c r="E9048" s="405" t="s">
        <v>1046</v>
      </c>
      <c r="F9048" s="406">
        <v>50.07</v>
      </c>
      <c r="G9048" s="405" t="s">
        <v>1047</v>
      </c>
      <c r="H9048" s="406">
        <v>0</v>
      </c>
      <c r="I9048" s="405" t="s">
        <v>1048</v>
      </c>
      <c r="J9048" s="406">
        <v>50.07</v>
      </c>
      <c r="K9048"/>
    </row>
    <row r="9049" spans="1:11" ht="15.6" thickBot="1" x14ac:dyDescent="0.35">
      <c r="A9049" s="405"/>
      <c r="B9049" s="405"/>
      <c r="C9049" s="405"/>
      <c r="D9049" s="405"/>
      <c r="E9049" s="405" t="s">
        <v>1049</v>
      </c>
      <c r="F9049" s="406">
        <v>0</v>
      </c>
      <c r="G9049" s="405"/>
      <c r="H9049" s="606"/>
      <c r="I9049" s="606" t="s">
        <v>1050</v>
      </c>
      <c r="J9049" s="406">
        <v>59.02</v>
      </c>
      <c r="K9049"/>
    </row>
    <row r="9050" spans="1:11" ht="17.399999999999999" customHeight="1" thickTop="1" x14ac:dyDescent="0.3">
      <c r="A9050" s="407"/>
      <c r="B9050" s="407"/>
      <c r="C9050" s="407"/>
      <c r="D9050" s="407"/>
      <c r="E9050" s="407"/>
      <c r="F9050" s="407"/>
      <c r="G9050" s="407"/>
      <c r="H9050" s="407"/>
      <c r="I9050" s="407"/>
      <c r="J9050" s="407"/>
      <c r="K9050"/>
    </row>
    <row r="9051" spans="1:11" ht="15" x14ac:dyDescent="0.3">
      <c r="A9051" s="382"/>
      <c r="B9051" s="312" t="s">
        <v>413</v>
      </c>
      <c r="C9051" s="382" t="s">
        <v>414</v>
      </c>
      <c r="D9051" s="382" t="s">
        <v>415</v>
      </c>
      <c r="E9051" s="586" t="s">
        <v>1029</v>
      </c>
      <c r="F9051" s="586"/>
      <c r="G9051" s="383" t="s">
        <v>416</v>
      </c>
      <c r="H9051" s="312" t="s">
        <v>1030</v>
      </c>
      <c r="I9051" s="312" t="s">
        <v>3016</v>
      </c>
      <c r="J9051" s="312" t="s">
        <v>1031</v>
      </c>
      <c r="K9051" s="312" t="s">
        <v>1032</v>
      </c>
    </row>
    <row r="9052" spans="1:11" ht="15" x14ac:dyDescent="0.3">
      <c r="A9052" s="313" t="s">
        <v>1033</v>
      </c>
      <c r="B9052" s="315" t="s">
        <v>8049</v>
      </c>
      <c r="C9052" s="313" t="s">
        <v>395</v>
      </c>
      <c r="D9052" s="313" t="s">
        <v>8050</v>
      </c>
      <c r="E9052" s="603" t="s">
        <v>7768</v>
      </c>
      <c r="F9052" s="603"/>
      <c r="G9052" s="314" t="s">
        <v>6</v>
      </c>
      <c r="H9052" s="399">
        <v>1</v>
      </c>
      <c r="I9052" s="316"/>
      <c r="J9052" s="316">
        <v>57.14</v>
      </c>
      <c r="K9052" s="316">
        <v>57.14</v>
      </c>
    </row>
    <row r="9053" spans="1:11" ht="45" customHeight="1" x14ac:dyDescent="0.3">
      <c r="A9053" s="408" t="s">
        <v>1034</v>
      </c>
      <c r="B9053" s="409" t="s">
        <v>8118</v>
      </c>
      <c r="C9053" s="408" t="s">
        <v>395</v>
      </c>
      <c r="D9053" s="408" t="s">
        <v>8119</v>
      </c>
      <c r="E9053" s="604" t="s">
        <v>7768</v>
      </c>
      <c r="F9053" s="604"/>
      <c r="G9053" s="410" t="s">
        <v>6</v>
      </c>
      <c r="H9053" s="412">
        <v>1</v>
      </c>
      <c r="I9053" s="412">
        <v>0</v>
      </c>
      <c r="J9053" s="411">
        <v>0.24</v>
      </c>
      <c r="K9053" s="411">
        <v>0.24</v>
      </c>
    </row>
    <row r="9054" spans="1:11" ht="15" x14ac:dyDescent="0.3">
      <c r="A9054" s="400" t="s">
        <v>1038</v>
      </c>
      <c r="B9054" s="401" t="s">
        <v>4927</v>
      </c>
      <c r="C9054" s="400" t="s">
        <v>395</v>
      </c>
      <c r="D9054" s="400" t="s">
        <v>4928</v>
      </c>
      <c r="E9054" s="605" t="s">
        <v>1053</v>
      </c>
      <c r="F9054" s="605"/>
      <c r="G9054" s="402" t="s">
        <v>6</v>
      </c>
      <c r="H9054" s="403">
        <v>1</v>
      </c>
      <c r="I9054" s="403">
        <v>0</v>
      </c>
      <c r="J9054" s="404">
        <v>47.95</v>
      </c>
      <c r="K9054" s="404">
        <v>47.95</v>
      </c>
    </row>
    <row r="9055" spans="1:11" ht="15" x14ac:dyDescent="0.3">
      <c r="A9055" s="400" t="s">
        <v>1038</v>
      </c>
      <c r="B9055" s="401" t="s">
        <v>4028</v>
      </c>
      <c r="C9055" s="400" t="s">
        <v>395</v>
      </c>
      <c r="D9055" s="400" t="s">
        <v>4029</v>
      </c>
      <c r="E9055" s="605" t="s">
        <v>4030</v>
      </c>
      <c r="F9055" s="605"/>
      <c r="G9055" s="402" t="s">
        <v>6</v>
      </c>
      <c r="H9055" s="403">
        <v>1</v>
      </c>
      <c r="I9055" s="403">
        <v>0</v>
      </c>
      <c r="J9055" s="404">
        <v>4.78</v>
      </c>
      <c r="K9055" s="404">
        <v>4.78</v>
      </c>
    </row>
    <row r="9056" spans="1:11" ht="17.399999999999999" customHeight="1" x14ac:dyDescent="0.3">
      <c r="A9056" s="400" t="s">
        <v>1038</v>
      </c>
      <c r="B9056" s="401" t="s">
        <v>4066</v>
      </c>
      <c r="C9056" s="400" t="s">
        <v>395</v>
      </c>
      <c r="D9056" s="400" t="s">
        <v>4067</v>
      </c>
      <c r="E9056" s="605" t="s">
        <v>2381</v>
      </c>
      <c r="F9056" s="605"/>
      <c r="G9056" s="402" t="s">
        <v>6</v>
      </c>
      <c r="H9056" s="403">
        <v>1</v>
      </c>
      <c r="I9056" s="403">
        <v>0</v>
      </c>
      <c r="J9056" s="404">
        <v>1.72</v>
      </c>
      <c r="K9056" s="404">
        <v>1.72</v>
      </c>
    </row>
    <row r="9057" spans="1:11" ht="15" x14ac:dyDescent="0.3">
      <c r="A9057" s="400" t="s">
        <v>1038</v>
      </c>
      <c r="B9057" s="401" t="s">
        <v>4078</v>
      </c>
      <c r="C9057" s="400" t="s">
        <v>395</v>
      </c>
      <c r="D9057" s="400" t="s">
        <v>4079</v>
      </c>
      <c r="E9057" s="605" t="s">
        <v>4030</v>
      </c>
      <c r="F9057" s="605"/>
      <c r="G9057" s="402" t="s">
        <v>6</v>
      </c>
      <c r="H9057" s="403">
        <v>1</v>
      </c>
      <c r="I9057" s="403">
        <v>0</v>
      </c>
      <c r="J9057" s="404">
        <v>1.25</v>
      </c>
      <c r="K9057" s="404">
        <v>1.25</v>
      </c>
    </row>
    <row r="9058" spans="1:11" ht="15" x14ac:dyDescent="0.3">
      <c r="A9058" s="400" t="s">
        <v>1038</v>
      </c>
      <c r="B9058" s="401" t="s">
        <v>4274</v>
      </c>
      <c r="C9058" s="400" t="s">
        <v>395</v>
      </c>
      <c r="D9058" s="400" t="s">
        <v>4275</v>
      </c>
      <c r="E9058" s="605" t="s">
        <v>2386</v>
      </c>
      <c r="F9058" s="605"/>
      <c r="G9058" s="402" t="s">
        <v>6</v>
      </c>
      <c r="H9058" s="403">
        <v>1</v>
      </c>
      <c r="I9058" s="403">
        <v>0</v>
      </c>
      <c r="J9058" s="404">
        <v>0.11</v>
      </c>
      <c r="K9058" s="404">
        <v>0.11</v>
      </c>
    </row>
    <row r="9059" spans="1:11" ht="45" customHeight="1" x14ac:dyDescent="0.3">
      <c r="A9059" s="400" t="s">
        <v>1038</v>
      </c>
      <c r="B9059" s="401" t="s">
        <v>5001</v>
      </c>
      <c r="C9059" s="400" t="s">
        <v>395</v>
      </c>
      <c r="D9059" s="400" t="s">
        <v>5002</v>
      </c>
      <c r="E9059" s="605" t="s">
        <v>1317</v>
      </c>
      <c r="F9059" s="605"/>
      <c r="G9059" s="402" t="s">
        <v>6</v>
      </c>
      <c r="H9059" s="403">
        <v>1</v>
      </c>
      <c r="I9059" s="403">
        <v>0</v>
      </c>
      <c r="J9059" s="404">
        <v>0.02</v>
      </c>
      <c r="K9059" s="404">
        <v>0.02</v>
      </c>
    </row>
    <row r="9060" spans="1:11" ht="26.4" x14ac:dyDescent="0.3">
      <c r="A9060" s="400" t="s">
        <v>1038</v>
      </c>
      <c r="B9060" s="401" t="s">
        <v>4508</v>
      </c>
      <c r="C9060" s="400" t="s">
        <v>395</v>
      </c>
      <c r="D9060" s="400" t="s">
        <v>4509</v>
      </c>
      <c r="E9060" s="605" t="s">
        <v>1317</v>
      </c>
      <c r="F9060" s="605"/>
      <c r="G9060" s="402" t="s">
        <v>6</v>
      </c>
      <c r="H9060" s="403">
        <v>1</v>
      </c>
      <c r="I9060" s="403">
        <v>0</v>
      </c>
      <c r="J9060" s="404">
        <v>1.07</v>
      </c>
      <c r="K9060" s="404">
        <v>1.07</v>
      </c>
    </row>
    <row r="9061" spans="1:11" ht="15" x14ac:dyDescent="0.3">
      <c r="A9061" s="405"/>
      <c r="B9061" s="405"/>
      <c r="C9061" s="405"/>
      <c r="D9061" s="405"/>
      <c r="E9061" s="405" t="s">
        <v>1046</v>
      </c>
      <c r="F9061" s="406">
        <v>48.19</v>
      </c>
      <c r="G9061" s="405" t="s">
        <v>1047</v>
      </c>
      <c r="H9061" s="406">
        <v>0</v>
      </c>
      <c r="I9061" s="405" t="s">
        <v>1048</v>
      </c>
      <c r="J9061" s="406">
        <v>48.19</v>
      </c>
      <c r="K9061"/>
    </row>
    <row r="9062" spans="1:11" ht="17.399999999999999" customHeight="1" thickBot="1" x14ac:dyDescent="0.35">
      <c r="A9062" s="405"/>
      <c r="B9062" s="405"/>
      <c r="C9062" s="405"/>
      <c r="D9062" s="405"/>
      <c r="E9062" s="405" t="s">
        <v>1049</v>
      </c>
      <c r="F9062" s="406">
        <v>0</v>
      </c>
      <c r="G9062" s="405"/>
      <c r="H9062" s="606"/>
      <c r="I9062" s="606" t="s">
        <v>1050</v>
      </c>
      <c r="J9062" s="406">
        <v>57.14</v>
      </c>
      <c r="K9062"/>
    </row>
    <row r="9063" spans="1:11" ht="15.6" thickTop="1" x14ac:dyDescent="0.3">
      <c r="A9063" s="407"/>
      <c r="B9063" s="407"/>
      <c r="C9063" s="407"/>
      <c r="D9063" s="407"/>
      <c r="E9063" s="407"/>
      <c r="F9063" s="407"/>
      <c r="G9063" s="407"/>
      <c r="H9063" s="407"/>
      <c r="I9063" s="407"/>
      <c r="J9063" s="407"/>
      <c r="K9063"/>
    </row>
    <row r="9064" spans="1:11" ht="15" x14ac:dyDescent="0.3">
      <c r="A9064" s="382"/>
      <c r="B9064" s="312" t="s">
        <v>413</v>
      </c>
      <c r="C9064" s="382" t="s">
        <v>414</v>
      </c>
      <c r="D9064" s="382" t="s">
        <v>415</v>
      </c>
      <c r="E9064" s="586" t="s">
        <v>1029</v>
      </c>
      <c r="F9064" s="586"/>
      <c r="G9064" s="383" t="s">
        <v>416</v>
      </c>
      <c r="H9064" s="312" t="s">
        <v>1030</v>
      </c>
      <c r="I9064" s="312" t="s">
        <v>3016</v>
      </c>
      <c r="J9064" s="312" t="s">
        <v>1031</v>
      </c>
      <c r="K9064" s="312" t="s">
        <v>1032</v>
      </c>
    </row>
    <row r="9065" spans="1:11" ht="45" customHeight="1" x14ac:dyDescent="0.3">
      <c r="A9065" s="313" t="s">
        <v>1033</v>
      </c>
      <c r="B9065" s="315" t="s">
        <v>7972</v>
      </c>
      <c r="C9065" s="313" t="s">
        <v>439</v>
      </c>
      <c r="D9065" s="313" t="s">
        <v>7973</v>
      </c>
      <c r="E9065" s="603" t="s">
        <v>781</v>
      </c>
      <c r="F9065" s="603"/>
      <c r="G9065" s="314" t="s">
        <v>1109</v>
      </c>
      <c r="H9065" s="399">
        <v>1</v>
      </c>
      <c r="I9065" s="316"/>
      <c r="J9065" s="316">
        <v>32.159999999999997</v>
      </c>
      <c r="K9065" s="316">
        <v>32.159999999999997</v>
      </c>
    </row>
    <row r="9066" spans="1:11" ht="26.4" x14ac:dyDescent="0.3">
      <c r="A9066" s="408" t="s">
        <v>1034</v>
      </c>
      <c r="B9066" s="409" t="s">
        <v>5090</v>
      </c>
      <c r="C9066" s="408" t="s">
        <v>439</v>
      </c>
      <c r="D9066" s="408" t="s">
        <v>8170</v>
      </c>
      <c r="E9066" s="604" t="s">
        <v>7770</v>
      </c>
      <c r="F9066" s="604"/>
      <c r="G9066" s="410" t="s">
        <v>1109</v>
      </c>
      <c r="H9066" s="412">
        <v>1</v>
      </c>
      <c r="I9066" s="412">
        <v>0</v>
      </c>
      <c r="J9066" s="411">
        <v>0.9</v>
      </c>
      <c r="K9066" s="411">
        <v>0.9</v>
      </c>
    </row>
    <row r="9067" spans="1:11" ht="26.4" x14ac:dyDescent="0.3">
      <c r="A9067" s="408" t="s">
        <v>1034</v>
      </c>
      <c r="B9067" s="409" t="s">
        <v>5119</v>
      </c>
      <c r="C9067" s="408" t="s">
        <v>439</v>
      </c>
      <c r="D9067" s="408" t="s">
        <v>8186</v>
      </c>
      <c r="E9067" s="604" t="s">
        <v>7770</v>
      </c>
      <c r="F9067" s="604"/>
      <c r="G9067" s="410" t="s">
        <v>1109</v>
      </c>
      <c r="H9067" s="412">
        <v>1</v>
      </c>
      <c r="I9067" s="412">
        <v>0</v>
      </c>
      <c r="J9067" s="411">
        <v>0.03</v>
      </c>
      <c r="K9067" s="411">
        <v>0.03</v>
      </c>
    </row>
    <row r="9068" spans="1:11" ht="17.399999999999999" customHeight="1" x14ac:dyDescent="0.3">
      <c r="A9068" s="408" t="s">
        <v>1034</v>
      </c>
      <c r="B9068" s="409" t="s">
        <v>5116</v>
      </c>
      <c r="C9068" s="408" t="s">
        <v>439</v>
      </c>
      <c r="D9068" s="408" t="s">
        <v>8120</v>
      </c>
      <c r="E9068" s="604" t="s">
        <v>7770</v>
      </c>
      <c r="F9068" s="604"/>
      <c r="G9068" s="410" t="s">
        <v>1109</v>
      </c>
      <c r="H9068" s="412">
        <v>1</v>
      </c>
      <c r="I9068" s="412">
        <v>0</v>
      </c>
      <c r="J9068" s="411">
        <v>0.21</v>
      </c>
      <c r="K9068" s="411">
        <v>0.21</v>
      </c>
    </row>
    <row r="9069" spans="1:11" ht="26.4" x14ac:dyDescent="0.3">
      <c r="A9069" s="400" t="s">
        <v>1038</v>
      </c>
      <c r="B9069" s="401" t="s">
        <v>7004</v>
      </c>
      <c r="C9069" s="400" t="s">
        <v>439</v>
      </c>
      <c r="D9069" s="400" t="s">
        <v>4618</v>
      </c>
      <c r="E9069" s="605" t="s">
        <v>1039</v>
      </c>
      <c r="F9069" s="605"/>
      <c r="G9069" s="402" t="s">
        <v>1109</v>
      </c>
      <c r="H9069" s="403">
        <v>1</v>
      </c>
      <c r="I9069" s="403">
        <v>0</v>
      </c>
      <c r="J9069" s="404">
        <v>2.41</v>
      </c>
      <c r="K9069" s="404">
        <v>2.41</v>
      </c>
    </row>
    <row r="9070" spans="1:11" ht="15" x14ac:dyDescent="0.3">
      <c r="A9070" s="400" t="s">
        <v>1038</v>
      </c>
      <c r="B9070" s="401" t="s">
        <v>7233</v>
      </c>
      <c r="C9070" s="400" t="s">
        <v>439</v>
      </c>
      <c r="D9070" s="400" t="s">
        <v>4723</v>
      </c>
      <c r="E9070" s="605" t="s">
        <v>1039</v>
      </c>
      <c r="F9070" s="605"/>
      <c r="G9070" s="402" t="s">
        <v>1109</v>
      </c>
      <c r="H9070" s="403">
        <v>1</v>
      </c>
      <c r="I9070" s="403">
        <v>0</v>
      </c>
      <c r="J9070" s="404">
        <v>0.9</v>
      </c>
      <c r="K9070" s="404">
        <v>0.9</v>
      </c>
    </row>
    <row r="9071" spans="1:11" ht="45" customHeight="1" x14ac:dyDescent="0.3">
      <c r="A9071" s="400" t="s">
        <v>1038</v>
      </c>
      <c r="B9071" s="401" t="s">
        <v>7598</v>
      </c>
      <c r="C9071" s="400" t="s">
        <v>439</v>
      </c>
      <c r="D9071" s="400" t="s">
        <v>4974</v>
      </c>
      <c r="E9071" s="605" t="s">
        <v>1039</v>
      </c>
      <c r="F9071" s="605"/>
      <c r="G9071" s="402" t="s">
        <v>1109</v>
      </c>
      <c r="H9071" s="403">
        <v>1</v>
      </c>
      <c r="I9071" s="403">
        <v>0</v>
      </c>
      <c r="J9071" s="404">
        <v>0.11</v>
      </c>
      <c r="K9071" s="404">
        <v>0.11</v>
      </c>
    </row>
    <row r="9072" spans="1:11" ht="15" x14ac:dyDescent="0.3">
      <c r="A9072" s="400" t="s">
        <v>1038</v>
      </c>
      <c r="B9072" s="401" t="s">
        <v>7092</v>
      </c>
      <c r="C9072" s="400" t="s">
        <v>439</v>
      </c>
      <c r="D9072" s="400" t="s">
        <v>4716</v>
      </c>
      <c r="E9072" s="605" t="s">
        <v>1039</v>
      </c>
      <c r="F9072" s="605"/>
      <c r="G9072" s="402" t="s">
        <v>1109</v>
      </c>
      <c r="H9072" s="403">
        <v>1</v>
      </c>
      <c r="I9072" s="403">
        <v>0</v>
      </c>
      <c r="J9072" s="404">
        <v>1.57</v>
      </c>
      <c r="K9072" s="404">
        <v>1.57</v>
      </c>
    </row>
    <row r="9073" spans="1:11" ht="15" x14ac:dyDescent="0.3">
      <c r="A9073" s="400" t="s">
        <v>1038</v>
      </c>
      <c r="B9073" s="401" t="s">
        <v>7620</v>
      </c>
      <c r="C9073" s="400" t="s">
        <v>439</v>
      </c>
      <c r="D9073" s="400" t="s">
        <v>4975</v>
      </c>
      <c r="E9073" s="605" t="s">
        <v>1053</v>
      </c>
      <c r="F9073" s="605"/>
      <c r="G9073" s="402" t="s">
        <v>6</v>
      </c>
      <c r="H9073" s="403">
        <v>1</v>
      </c>
      <c r="I9073" s="403">
        <v>0</v>
      </c>
      <c r="J9073" s="404">
        <v>26.033999999999999</v>
      </c>
      <c r="K9073" s="404">
        <v>26.033999999999999</v>
      </c>
    </row>
    <row r="9074" spans="1:11" ht="17.399999999999999" customHeight="1" x14ac:dyDescent="0.3">
      <c r="A9074" s="405"/>
      <c r="B9074" s="405"/>
      <c r="C9074" s="405"/>
      <c r="D9074" s="405"/>
      <c r="E9074" s="405" t="s">
        <v>1046</v>
      </c>
      <c r="F9074" s="406">
        <v>26.25</v>
      </c>
      <c r="G9074" s="405" t="s">
        <v>1047</v>
      </c>
      <c r="H9074" s="406">
        <v>0</v>
      </c>
      <c r="I9074" s="405" t="s">
        <v>1048</v>
      </c>
      <c r="J9074" s="406">
        <v>26.25</v>
      </c>
      <c r="K9074"/>
    </row>
    <row r="9075" spans="1:11" ht="15.6" thickBot="1" x14ac:dyDescent="0.35">
      <c r="A9075" s="405"/>
      <c r="B9075" s="405"/>
      <c r="C9075" s="405"/>
      <c r="D9075" s="405"/>
      <c r="E9075" s="405" t="s">
        <v>1049</v>
      </c>
      <c r="F9075" s="406">
        <v>0</v>
      </c>
      <c r="G9075" s="405"/>
      <c r="H9075" s="606"/>
      <c r="I9075" s="606" t="s">
        <v>1050</v>
      </c>
      <c r="J9075" s="406">
        <v>32.159999999999997</v>
      </c>
      <c r="K9075"/>
    </row>
    <row r="9076" spans="1:11" ht="15.6" thickTop="1" x14ac:dyDescent="0.3">
      <c r="A9076" s="407"/>
      <c r="B9076" s="407"/>
      <c r="C9076" s="407"/>
      <c r="D9076" s="407"/>
      <c r="E9076" s="407"/>
      <c r="F9076" s="407"/>
      <c r="G9076" s="407"/>
      <c r="H9076" s="407"/>
      <c r="I9076" s="407"/>
      <c r="J9076" s="407"/>
      <c r="K9076"/>
    </row>
    <row r="9077" spans="1:11" ht="45" customHeight="1" x14ac:dyDescent="0.3">
      <c r="A9077" s="382"/>
      <c r="B9077" s="312" t="s">
        <v>413</v>
      </c>
      <c r="C9077" s="382" t="s">
        <v>414</v>
      </c>
      <c r="D9077" s="382" t="s">
        <v>415</v>
      </c>
      <c r="E9077" s="586" t="s">
        <v>1029</v>
      </c>
      <c r="F9077" s="586"/>
      <c r="G9077" s="383" t="s">
        <v>416</v>
      </c>
      <c r="H9077" s="312" t="s">
        <v>1030</v>
      </c>
      <c r="I9077" s="312" t="s">
        <v>3016</v>
      </c>
      <c r="J9077" s="312" t="s">
        <v>1031</v>
      </c>
      <c r="K9077" s="312" t="s">
        <v>1032</v>
      </c>
    </row>
    <row r="9078" spans="1:11" ht="30" customHeight="1" x14ac:dyDescent="0.3">
      <c r="A9078" s="313" t="s">
        <v>1033</v>
      </c>
      <c r="B9078" s="315" t="s">
        <v>2280</v>
      </c>
      <c r="C9078" s="313" t="s">
        <v>395</v>
      </c>
      <c r="D9078" s="313" t="s">
        <v>151</v>
      </c>
      <c r="E9078" s="603" t="s">
        <v>7768</v>
      </c>
      <c r="F9078" s="603"/>
      <c r="G9078" s="314" t="s">
        <v>6</v>
      </c>
      <c r="H9078" s="399">
        <v>1</v>
      </c>
      <c r="I9078" s="316"/>
      <c r="J9078" s="316">
        <v>34.119999999999997</v>
      </c>
      <c r="K9078" s="316">
        <v>34.119999999999997</v>
      </c>
    </row>
    <row r="9079" spans="1:11" ht="45" customHeight="1" x14ac:dyDescent="0.3">
      <c r="A9079" s="408" t="s">
        <v>1034</v>
      </c>
      <c r="B9079" s="409" t="s">
        <v>8122</v>
      </c>
      <c r="C9079" s="408" t="s">
        <v>395</v>
      </c>
      <c r="D9079" s="408" t="s">
        <v>8123</v>
      </c>
      <c r="E9079" s="604" t="s">
        <v>7768</v>
      </c>
      <c r="F9079" s="604"/>
      <c r="G9079" s="410" t="s">
        <v>6</v>
      </c>
      <c r="H9079" s="412">
        <v>1</v>
      </c>
      <c r="I9079" s="412">
        <v>0</v>
      </c>
      <c r="J9079" s="411">
        <v>0.21</v>
      </c>
      <c r="K9079" s="411">
        <v>0.21</v>
      </c>
    </row>
    <row r="9080" spans="1:11" ht="45" customHeight="1" x14ac:dyDescent="0.3">
      <c r="A9080" s="400" t="s">
        <v>1038</v>
      </c>
      <c r="B9080" s="401" t="s">
        <v>4028</v>
      </c>
      <c r="C9080" s="400" t="s">
        <v>395</v>
      </c>
      <c r="D9080" s="400" t="s">
        <v>4029</v>
      </c>
      <c r="E9080" s="605" t="s">
        <v>4030</v>
      </c>
      <c r="F9080" s="605"/>
      <c r="G9080" s="402" t="s">
        <v>6</v>
      </c>
      <c r="H9080" s="403">
        <v>1</v>
      </c>
      <c r="I9080" s="403">
        <v>0</v>
      </c>
      <c r="J9080" s="404">
        <v>4.78</v>
      </c>
      <c r="K9080" s="404">
        <v>4.78</v>
      </c>
    </row>
    <row r="9081" spans="1:11" ht="15" x14ac:dyDescent="0.3">
      <c r="A9081" s="400" t="s">
        <v>1038</v>
      </c>
      <c r="B9081" s="401" t="s">
        <v>4066</v>
      </c>
      <c r="C9081" s="400" t="s">
        <v>395</v>
      </c>
      <c r="D9081" s="400" t="s">
        <v>4067</v>
      </c>
      <c r="E9081" s="605" t="s">
        <v>2381</v>
      </c>
      <c r="F9081" s="605"/>
      <c r="G9081" s="402" t="s">
        <v>6</v>
      </c>
      <c r="H9081" s="403">
        <v>1</v>
      </c>
      <c r="I9081" s="403">
        <v>0</v>
      </c>
      <c r="J9081" s="404">
        <v>1.72</v>
      </c>
      <c r="K9081" s="404">
        <v>1.72</v>
      </c>
    </row>
    <row r="9082" spans="1:11" ht="17.399999999999999" customHeight="1" x14ac:dyDescent="0.3">
      <c r="A9082" s="400" t="s">
        <v>1038</v>
      </c>
      <c r="B9082" s="401" t="s">
        <v>4078</v>
      </c>
      <c r="C9082" s="400" t="s">
        <v>395</v>
      </c>
      <c r="D9082" s="400" t="s">
        <v>4079</v>
      </c>
      <c r="E9082" s="605" t="s">
        <v>4030</v>
      </c>
      <c r="F9082" s="605"/>
      <c r="G9082" s="402" t="s">
        <v>6</v>
      </c>
      <c r="H9082" s="403">
        <v>1</v>
      </c>
      <c r="I9082" s="403">
        <v>0</v>
      </c>
      <c r="J9082" s="404">
        <v>1.25</v>
      </c>
      <c r="K9082" s="404">
        <v>1.25</v>
      </c>
    </row>
    <row r="9083" spans="1:11" ht="15" x14ac:dyDescent="0.3">
      <c r="A9083" s="400" t="s">
        <v>1038</v>
      </c>
      <c r="B9083" s="401" t="s">
        <v>4274</v>
      </c>
      <c r="C9083" s="400" t="s">
        <v>395</v>
      </c>
      <c r="D9083" s="400" t="s">
        <v>4275</v>
      </c>
      <c r="E9083" s="605" t="s">
        <v>2386</v>
      </c>
      <c r="F9083" s="605"/>
      <c r="G9083" s="402" t="s">
        <v>6</v>
      </c>
      <c r="H9083" s="403">
        <v>1</v>
      </c>
      <c r="I9083" s="403">
        <v>0</v>
      </c>
      <c r="J9083" s="404">
        <v>0.11</v>
      </c>
      <c r="K9083" s="404">
        <v>0.11</v>
      </c>
    </row>
    <row r="9084" spans="1:11" ht="15" x14ac:dyDescent="0.3">
      <c r="A9084" s="400" t="s">
        <v>1038</v>
      </c>
      <c r="B9084" s="401" t="s">
        <v>4158</v>
      </c>
      <c r="C9084" s="400" t="s">
        <v>395</v>
      </c>
      <c r="D9084" s="400" t="s">
        <v>4159</v>
      </c>
      <c r="E9084" s="605" t="s">
        <v>1053</v>
      </c>
      <c r="F9084" s="605"/>
      <c r="G9084" s="402" t="s">
        <v>6</v>
      </c>
      <c r="H9084" s="403">
        <v>1</v>
      </c>
      <c r="I9084" s="403">
        <v>0</v>
      </c>
      <c r="J9084" s="404">
        <v>24.96</v>
      </c>
      <c r="K9084" s="404">
        <v>24.96</v>
      </c>
    </row>
    <row r="9085" spans="1:11" ht="45" customHeight="1" x14ac:dyDescent="0.3">
      <c r="A9085" s="400" t="s">
        <v>1038</v>
      </c>
      <c r="B9085" s="401" t="s">
        <v>5001</v>
      </c>
      <c r="C9085" s="400" t="s">
        <v>395</v>
      </c>
      <c r="D9085" s="400" t="s">
        <v>5002</v>
      </c>
      <c r="E9085" s="605" t="s">
        <v>1317</v>
      </c>
      <c r="F9085" s="605"/>
      <c r="G9085" s="402" t="s">
        <v>6</v>
      </c>
      <c r="H9085" s="403">
        <v>1</v>
      </c>
      <c r="I9085" s="403">
        <v>0</v>
      </c>
      <c r="J9085" s="404">
        <v>0.02</v>
      </c>
      <c r="K9085" s="404">
        <v>0.02</v>
      </c>
    </row>
    <row r="9086" spans="1:11" ht="45" customHeight="1" x14ac:dyDescent="0.3">
      <c r="A9086" s="400" t="s">
        <v>1038</v>
      </c>
      <c r="B9086" s="401" t="s">
        <v>4508</v>
      </c>
      <c r="C9086" s="400" t="s">
        <v>395</v>
      </c>
      <c r="D9086" s="400" t="s">
        <v>4509</v>
      </c>
      <c r="E9086" s="605" t="s">
        <v>1317</v>
      </c>
      <c r="F9086" s="605"/>
      <c r="G9086" s="402" t="s">
        <v>6</v>
      </c>
      <c r="H9086" s="403">
        <v>1</v>
      </c>
      <c r="I9086" s="403">
        <v>0</v>
      </c>
      <c r="J9086" s="404">
        <v>1.07</v>
      </c>
      <c r="K9086" s="404">
        <v>1.07</v>
      </c>
    </row>
    <row r="9087" spans="1:11" ht="45" customHeight="1" x14ac:dyDescent="0.3">
      <c r="A9087" s="405"/>
      <c r="B9087" s="405"/>
      <c r="C9087" s="405"/>
      <c r="D9087" s="405"/>
      <c r="E9087" s="405" t="s">
        <v>1046</v>
      </c>
      <c r="F9087" s="406">
        <v>25.17</v>
      </c>
      <c r="G9087" s="405" t="s">
        <v>1047</v>
      </c>
      <c r="H9087" s="406">
        <v>0</v>
      </c>
      <c r="I9087" s="405" t="s">
        <v>1048</v>
      </c>
      <c r="J9087" s="406">
        <v>25.17</v>
      </c>
      <c r="K9087"/>
    </row>
    <row r="9088" spans="1:11" ht="30" customHeight="1" thickBot="1" x14ac:dyDescent="0.35">
      <c r="A9088" s="405"/>
      <c r="B9088" s="405"/>
      <c r="C9088" s="405"/>
      <c r="D9088" s="405"/>
      <c r="E9088" s="405" t="s">
        <v>1049</v>
      </c>
      <c r="F9088" s="406">
        <v>0</v>
      </c>
      <c r="G9088" s="405"/>
      <c r="H9088" s="606"/>
      <c r="I9088" s="606" t="s">
        <v>1050</v>
      </c>
      <c r="J9088" s="406">
        <v>34.119999999999997</v>
      </c>
      <c r="K9088"/>
    </row>
    <row r="9089" spans="1:11" ht="45" customHeight="1" thickTop="1" x14ac:dyDescent="0.3">
      <c r="A9089" s="407"/>
      <c r="B9089" s="407"/>
      <c r="C9089" s="407"/>
      <c r="D9089" s="407"/>
      <c r="E9089" s="407"/>
      <c r="F9089" s="407"/>
      <c r="G9089" s="407"/>
      <c r="H9089" s="407"/>
      <c r="I9089" s="407"/>
      <c r="J9089" s="407"/>
      <c r="K9089"/>
    </row>
    <row r="9090" spans="1:11" ht="45" customHeight="1" x14ac:dyDescent="0.3">
      <c r="A9090" s="382"/>
      <c r="B9090" s="312" t="s">
        <v>413</v>
      </c>
      <c r="C9090" s="382" t="s">
        <v>414</v>
      </c>
      <c r="D9090" s="382" t="s">
        <v>415</v>
      </c>
      <c r="E9090" s="586" t="s">
        <v>1029</v>
      </c>
      <c r="F9090" s="586"/>
      <c r="G9090" s="383" t="s">
        <v>416</v>
      </c>
      <c r="H9090" s="312" t="s">
        <v>1030</v>
      </c>
      <c r="I9090" s="312" t="s">
        <v>3016</v>
      </c>
      <c r="J9090" s="312" t="s">
        <v>1031</v>
      </c>
      <c r="K9090" s="312" t="s">
        <v>1032</v>
      </c>
    </row>
    <row r="9091" spans="1:11" ht="15" x14ac:dyDescent="0.3">
      <c r="A9091" s="313" t="s">
        <v>1033</v>
      </c>
      <c r="B9091" s="315" t="s">
        <v>8176</v>
      </c>
      <c r="C9091" s="313" t="s">
        <v>395</v>
      </c>
      <c r="D9091" s="313" t="s">
        <v>8177</v>
      </c>
      <c r="E9091" s="603" t="s">
        <v>7768</v>
      </c>
      <c r="F9091" s="603"/>
      <c r="G9091" s="314" t="s">
        <v>6</v>
      </c>
      <c r="H9091" s="399">
        <v>1</v>
      </c>
      <c r="I9091" s="316"/>
      <c r="J9091" s="316">
        <v>42.58</v>
      </c>
      <c r="K9091" s="316">
        <v>42.58</v>
      </c>
    </row>
    <row r="9092" spans="1:11" ht="17.399999999999999" customHeight="1" x14ac:dyDescent="0.3">
      <c r="A9092" s="408" t="s">
        <v>1034</v>
      </c>
      <c r="B9092" s="409" t="s">
        <v>8124</v>
      </c>
      <c r="C9092" s="408" t="s">
        <v>395</v>
      </c>
      <c r="D9092" s="408" t="s">
        <v>8125</v>
      </c>
      <c r="E9092" s="604" t="s">
        <v>7768</v>
      </c>
      <c r="F9092" s="604"/>
      <c r="G9092" s="410" t="s">
        <v>6</v>
      </c>
      <c r="H9092" s="412">
        <v>1</v>
      </c>
      <c r="I9092" s="412">
        <v>0</v>
      </c>
      <c r="J9092" s="411">
        <v>0.38</v>
      </c>
      <c r="K9092" s="411">
        <v>0.38</v>
      </c>
    </row>
    <row r="9093" spans="1:11" ht="15" x14ac:dyDescent="0.3">
      <c r="A9093" s="400" t="s">
        <v>1038</v>
      </c>
      <c r="B9093" s="401" t="s">
        <v>4900</v>
      </c>
      <c r="C9093" s="400" t="s">
        <v>395</v>
      </c>
      <c r="D9093" s="400" t="s">
        <v>4901</v>
      </c>
      <c r="E9093" s="605" t="s">
        <v>1053</v>
      </c>
      <c r="F9093" s="605"/>
      <c r="G9093" s="402" t="s">
        <v>6</v>
      </c>
      <c r="H9093" s="403">
        <v>1</v>
      </c>
      <c r="I9093" s="403">
        <v>0</v>
      </c>
      <c r="J9093" s="404">
        <v>33.25</v>
      </c>
      <c r="K9093" s="404">
        <v>33.25</v>
      </c>
    </row>
    <row r="9094" spans="1:11" ht="15" x14ac:dyDescent="0.3">
      <c r="A9094" s="400" t="s">
        <v>1038</v>
      </c>
      <c r="B9094" s="401" t="s">
        <v>4028</v>
      </c>
      <c r="C9094" s="400" t="s">
        <v>395</v>
      </c>
      <c r="D9094" s="400" t="s">
        <v>4029</v>
      </c>
      <c r="E9094" s="605" t="s">
        <v>4030</v>
      </c>
      <c r="F9094" s="605"/>
      <c r="G9094" s="402" t="s">
        <v>6</v>
      </c>
      <c r="H9094" s="403">
        <v>1</v>
      </c>
      <c r="I9094" s="403">
        <v>0</v>
      </c>
      <c r="J9094" s="404">
        <v>4.78</v>
      </c>
      <c r="K9094" s="404">
        <v>4.78</v>
      </c>
    </row>
    <row r="9095" spans="1:11" ht="45" customHeight="1" x14ac:dyDescent="0.3">
      <c r="A9095" s="400" t="s">
        <v>1038</v>
      </c>
      <c r="B9095" s="401" t="s">
        <v>4066</v>
      </c>
      <c r="C9095" s="400" t="s">
        <v>395</v>
      </c>
      <c r="D9095" s="400" t="s">
        <v>4067</v>
      </c>
      <c r="E9095" s="605" t="s">
        <v>2381</v>
      </c>
      <c r="F9095" s="605"/>
      <c r="G9095" s="402" t="s">
        <v>6</v>
      </c>
      <c r="H9095" s="403">
        <v>1</v>
      </c>
      <c r="I9095" s="403">
        <v>0</v>
      </c>
      <c r="J9095" s="404">
        <v>1.72</v>
      </c>
      <c r="K9095" s="404">
        <v>1.72</v>
      </c>
    </row>
    <row r="9096" spans="1:11" ht="15" x14ac:dyDescent="0.3">
      <c r="A9096" s="400" t="s">
        <v>1038</v>
      </c>
      <c r="B9096" s="401" t="s">
        <v>4078</v>
      </c>
      <c r="C9096" s="400" t="s">
        <v>395</v>
      </c>
      <c r="D9096" s="400" t="s">
        <v>4079</v>
      </c>
      <c r="E9096" s="605" t="s">
        <v>4030</v>
      </c>
      <c r="F9096" s="605"/>
      <c r="G9096" s="402" t="s">
        <v>6</v>
      </c>
      <c r="H9096" s="403">
        <v>1</v>
      </c>
      <c r="I9096" s="403">
        <v>0</v>
      </c>
      <c r="J9096" s="404">
        <v>1.25</v>
      </c>
      <c r="K9096" s="404">
        <v>1.25</v>
      </c>
    </row>
    <row r="9097" spans="1:11" ht="15" x14ac:dyDescent="0.3">
      <c r="A9097" s="400" t="s">
        <v>1038</v>
      </c>
      <c r="B9097" s="401" t="s">
        <v>4274</v>
      </c>
      <c r="C9097" s="400" t="s">
        <v>395</v>
      </c>
      <c r="D9097" s="400" t="s">
        <v>4275</v>
      </c>
      <c r="E9097" s="605" t="s">
        <v>2386</v>
      </c>
      <c r="F9097" s="605"/>
      <c r="G9097" s="402" t="s">
        <v>6</v>
      </c>
      <c r="H9097" s="403">
        <v>1</v>
      </c>
      <c r="I9097" s="403">
        <v>0</v>
      </c>
      <c r="J9097" s="404">
        <v>0.11</v>
      </c>
      <c r="K9097" s="404">
        <v>0.11</v>
      </c>
    </row>
    <row r="9098" spans="1:11" ht="17.399999999999999" customHeight="1" x14ac:dyDescent="0.3">
      <c r="A9098" s="400" t="s">
        <v>1038</v>
      </c>
      <c r="B9098" s="401" t="s">
        <v>5001</v>
      </c>
      <c r="C9098" s="400" t="s">
        <v>395</v>
      </c>
      <c r="D9098" s="400" t="s">
        <v>5002</v>
      </c>
      <c r="E9098" s="605" t="s">
        <v>1317</v>
      </c>
      <c r="F9098" s="605"/>
      <c r="G9098" s="402" t="s">
        <v>6</v>
      </c>
      <c r="H9098" s="403">
        <v>1</v>
      </c>
      <c r="I9098" s="403">
        <v>0</v>
      </c>
      <c r="J9098" s="404">
        <v>0.02</v>
      </c>
      <c r="K9098" s="404">
        <v>0.02</v>
      </c>
    </row>
    <row r="9099" spans="1:11" ht="26.4" x14ac:dyDescent="0.3">
      <c r="A9099" s="400" t="s">
        <v>1038</v>
      </c>
      <c r="B9099" s="401" t="s">
        <v>4508</v>
      </c>
      <c r="C9099" s="400" t="s">
        <v>395</v>
      </c>
      <c r="D9099" s="400" t="s">
        <v>4509</v>
      </c>
      <c r="E9099" s="605" t="s">
        <v>1317</v>
      </c>
      <c r="F9099" s="605"/>
      <c r="G9099" s="402" t="s">
        <v>6</v>
      </c>
      <c r="H9099" s="403">
        <v>1</v>
      </c>
      <c r="I9099" s="403">
        <v>0</v>
      </c>
      <c r="J9099" s="404">
        <v>1.07</v>
      </c>
      <c r="K9099" s="404">
        <v>1.07</v>
      </c>
    </row>
    <row r="9100" spans="1:11" ht="15" x14ac:dyDescent="0.3">
      <c r="A9100" s="405"/>
      <c r="B9100" s="405"/>
      <c r="C9100" s="405"/>
      <c r="D9100" s="405"/>
      <c r="E9100" s="405" t="s">
        <v>1046</v>
      </c>
      <c r="F9100" s="406">
        <v>33.630000000000003</v>
      </c>
      <c r="G9100" s="405" t="s">
        <v>1047</v>
      </c>
      <c r="H9100" s="406">
        <v>0</v>
      </c>
      <c r="I9100" s="405" t="s">
        <v>1048</v>
      </c>
      <c r="J9100" s="406">
        <v>33.630000000000003</v>
      </c>
      <c r="K9100"/>
    </row>
    <row r="9101" spans="1:11" ht="45" customHeight="1" thickBot="1" x14ac:dyDescent="0.35">
      <c r="A9101" s="405"/>
      <c r="B9101" s="405"/>
      <c r="C9101" s="405"/>
      <c r="D9101" s="405"/>
      <c r="E9101" s="405" t="s">
        <v>1049</v>
      </c>
      <c r="F9101" s="406">
        <v>0</v>
      </c>
      <c r="G9101" s="405"/>
      <c r="H9101" s="606"/>
      <c r="I9101" s="606" t="s">
        <v>1050</v>
      </c>
      <c r="J9101" s="406">
        <v>42.58</v>
      </c>
      <c r="K9101"/>
    </row>
    <row r="9102" spans="1:11" ht="15.6" thickTop="1" x14ac:dyDescent="0.3">
      <c r="A9102" s="407"/>
      <c r="B9102" s="407"/>
      <c r="C9102" s="407"/>
      <c r="D9102" s="407"/>
      <c r="E9102" s="407"/>
      <c r="F9102" s="407"/>
      <c r="G9102" s="407"/>
      <c r="H9102" s="407"/>
      <c r="I9102" s="407"/>
      <c r="J9102" s="407"/>
      <c r="K9102"/>
    </row>
    <row r="9103" spans="1:11" ht="15" x14ac:dyDescent="0.3">
      <c r="A9103" s="382"/>
      <c r="B9103" s="312" t="s">
        <v>413</v>
      </c>
      <c r="C9103" s="382" t="s">
        <v>414</v>
      </c>
      <c r="D9103" s="382" t="s">
        <v>415</v>
      </c>
      <c r="E9103" s="586" t="s">
        <v>1029</v>
      </c>
      <c r="F9103" s="586"/>
      <c r="G9103" s="383" t="s">
        <v>416</v>
      </c>
      <c r="H9103" s="312" t="s">
        <v>1030</v>
      </c>
      <c r="I9103" s="312" t="s">
        <v>3016</v>
      </c>
      <c r="J9103" s="312" t="s">
        <v>1031</v>
      </c>
      <c r="K9103" s="312" t="s">
        <v>1032</v>
      </c>
    </row>
    <row r="9104" spans="1:11" ht="17.399999999999999" customHeight="1" x14ac:dyDescent="0.3">
      <c r="A9104" s="313" t="s">
        <v>1033</v>
      </c>
      <c r="B9104" s="315" t="s">
        <v>8203</v>
      </c>
      <c r="C9104" s="313" t="s">
        <v>395</v>
      </c>
      <c r="D9104" s="313" t="s">
        <v>8204</v>
      </c>
      <c r="E9104" s="603" t="s">
        <v>7768</v>
      </c>
      <c r="F9104" s="603"/>
      <c r="G9104" s="314" t="s">
        <v>6</v>
      </c>
      <c r="H9104" s="399">
        <v>1</v>
      </c>
      <c r="I9104" s="316"/>
      <c r="J9104" s="316">
        <v>33.799999999999997</v>
      </c>
      <c r="K9104" s="316">
        <v>33.799999999999997</v>
      </c>
    </row>
    <row r="9105" spans="1:11" ht="26.4" x14ac:dyDescent="0.3">
      <c r="A9105" s="408" t="s">
        <v>1034</v>
      </c>
      <c r="B9105" s="409" t="s">
        <v>8126</v>
      </c>
      <c r="C9105" s="408" t="s">
        <v>395</v>
      </c>
      <c r="D9105" s="408" t="s">
        <v>8127</v>
      </c>
      <c r="E9105" s="604" t="s">
        <v>7768</v>
      </c>
      <c r="F9105" s="604"/>
      <c r="G9105" s="410" t="s">
        <v>6</v>
      </c>
      <c r="H9105" s="412">
        <v>1</v>
      </c>
      <c r="I9105" s="412">
        <v>0</v>
      </c>
      <c r="J9105" s="411">
        <v>0.4</v>
      </c>
      <c r="K9105" s="411">
        <v>0.4</v>
      </c>
    </row>
    <row r="9106" spans="1:11" ht="15" x14ac:dyDescent="0.3">
      <c r="A9106" s="400" t="s">
        <v>1038</v>
      </c>
      <c r="B9106" s="401" t="s">
        <v>4922</v>
      </c>
      <c r="C9106" s="400" t="s">
        <v>395</v>
      </c>
      <c r="D9106" s="400" t="s">
        <v>4923</v>
      </c>
      <c r="E9106" s="605" t="s">
        <v>1053</v>
      </c>
      <c r="F9106" s="605"/>
      <c r="G9106" s="402" t="s">
        <v>6</v>
      </c>
      <c r="H9106" s="403">
        <v>1</v>
      </c>
      <c r="I9106" s="403">
        <v>0</v>
      </c>
      <c r="J9106" s="404">
        <v>24.45</v>
      </c>
      <c r="K9106" s="404">
        <v>24.45</v>
      </c>
    </row>
    <row r="9107" spans="1:11" ht="45" customHeight="1" x14ac:dyDescent="0.3">
      <c r="A9107" s="400" t="s">
        <v>1038</v>
      </c>
      <c r="B9107" s="401" t="s">
        <v>4028</v>
      </c>
      <c r="C9107" s="400" t="s">
        <v>395</v>
      </c>
      <c r="D9107" s="400" t="s">
        <v>4029</v>
      </c>
      <c r="E9107" s="605" t="s">
        <v>4030</v>
      </c>
      <c r="F9107" s="605"/>
      <c r="G9107" s="402" t="s">
        <v>6</v>
      </c>
      <c r="H9107" s="403">
        <v>1</v>
      </c>
      <c r="I9107" s="403">
        <v>0</v>
      </c>
      <c r="J9107" s="404">
        <v>4.78</v>
      </c>
      <c r="K9107" s="404">
        <v>4.78</v>
      </c>
    </row>
    <row r="9108" spans="1:11" ht="15" x14ac:dyDescent="0.3">
      <c r="A9108" s="400" t="s">
        <v>1038</v>
      </c>
      <c r="B9108" s="401" t="s">
        <v>4066</v>
      </c>
      <c r="C9108" s="400" t="s">
        <v>395</v>
      </c>
      <c r="D9108" s="400" t="s">
        <v>4067</v>
      </c>
      <c r="E9108" s="605" t="s">
        <v>2381</v>
      </c>
      <c r="F9108" s="605"/>
      <c r="G9108" s="402" t="s">
        <v>6</v>
      </c>
      <c r="H9108" s="403">
        <v>1</v>
      </c>
      <c r="I9108" s="403">
        <v>0</v>
      </c>
      <c r="J9108" s="404">
        <v>1.72</v>
      </c>
      <c r="K9108" s="404">
        <v>1.72</v>
      </c>
    </row>
    <row r="9109" spans="1:11" ht="15" x14ac:dyDescent="0.3">
      <c r="A9109" s="400" t="s">
        <v>1038</v>
      </c>
      <c r="B9109" s="401" t="s">
        <v>4078</v>
      </c>
      <c r="C9109" s="400" t="s">
        <v>395</v>
      </c>
      <c r="D9109" s="400" t="s">
        <v>4079</v>
      </c>
      <c r="E9109" s="605" t="s">
        <v>4030</v>
      </c>
      <c r="F9109" s="605"/>
      <c r="G9109" s="402" t="s">
        <v>6</v>
      </c>
      <c r="H9109" s="403">
        <v>1</v>
      </c>
      <c r="I9109" s="403">
        <v>0</v>
      </c>
      <c r="J9109" s="404">
        <v>1.25</v>
      </c>
      <c r="K9109" s="404">
        <v>1.25</v>
      </c>
    </row>
    <row r="9110" spans="1:11" ht="17.399999999999999" customHeight="1" x14ac:dyDescent="0.3">
      <c r="A9110" s="400" t="s">
        <v>1038</v>
      </c>
      <c r="B9110" s="401" t="s">
        <v>4274</v>
      </c>
      <c r="C9110" s="400" t="s">
        <v>395</v>
      </c>
      <c r="D9110" s="400" t="s">
        <v>4275</v>
      </c>
      <c r="E9110" s="605" t="s">
        <v>2386</v>
      </c>
      <c r="F9110" s="605"/>
      <c r="G9110" s="402" t="s">
        <v>6</v>
      </c>
      <c r="H9110" s="403">
        <v>1</v>
      </c>
      <c r="I9110" s="403">
        <v>0</v>
      </c>
      <c r="J9110" s="404">
        <v>0.11</v>
      </c>
      <c r="K9110" s="404">
        <v>0.11</v>
      </c>
    </row>
    <row r="9111" spans="1:11" ht="26.4" x14ac:dyDescent="0.3">
      <c r="A9111" s="400" t="s">
        <v>1038</v>
      </c>
      <c r="B9111" s="401" t="s">
        <v>5001</v>
      </c>
      <c r="C9111" s="400" t="s">
        <v>395</v>
      </c>
      <c r="D9111" s="400" t="s">
        <v>5002</v>
      </c>
      <c r="E9111" s="605" t="s">
        <v>1317</v>
      </c>
      <c r="F9111" s="605"/>
      <c r="G9111" s="402" t="s">
        <v>6</v>
      </c>
      <c r="H9111" s="403">
        <v>1</v>
      </c>
      <c r="I9111" s="403">
        <v>0</v>
      </c>
      <c r="J9111" s="404">
        <v>0.02</v>
      </c>
      <c r="K9111" s="404">
        <v>0.02</v>
      </c>
    </row>
    <row r="9112" spans="1:11" ht="26.4" x14ac:dyDescent="0.3">
      <c r="A9112" s="400" t="s">
        <v>1038</v>
      </c>
      <c r="B9112" s="401" t="s">
        <v>4508</v>
      </c>
      <c r="C9112" s="400" t="s">
        <v>395</v>
      </c>
      <c r="D9112" s="400" t="s">
        <v>4509</v>
      </c>
      <c r="E9112" s="605" t="s">
        <v>1317</v>
      </c>
      <c r="F9112" s="605"/>
      <c r="G9112" s="402" t="s">
        <v>6</v>
      </c>
      <c r="H9112" s="403">
        <v>1</v>
      </c>
      <c r="I9112" s="403">
        <v>0</v>
      </c>
      <c r="J9112" s="404">
        <v>1.07</v>
      </c>
      <c r="K9112" s="404">
        <v>1.07</v>
      </c>
    </row>
    <row r="9113" spans="1:11" ht="45" customHeight="1" x14ac:dyDescent="0.3">
      <c r="A9113" s="405"/>
      <c r="B9113" s="405"/>
      <c r="C9113" s="405"/>
      <c r="D9113" s="405"/>
      <c r="E9113" s="405" t="s">
        <v>1046</v>
      </c>
      <c r="F9113" s="406">
        <v>24.85</v>
      </c>
      <c r="G9113" s="405" t="s">
        <v>1047</v>
      </c>
      <c r="H9113" s="406">
        <v>0</v>
      </c>
      <c r="I9113" s="405" t="s">
        <v>1048</v>
      </c>
      <c r="J9113" s="406">
        <v>24.85</v>
      </c>
      <c r="K9113"/>
    </row>
    <row r="9114" spans="1:11" ht="15.6" thickBot="1" x14ac:dyDescent="0.35">
      <c r="A9114" s="405"/>
      <c r="B9114" s="405"/>
      <c r="C9114" s="405"/>
      <c r="D9114" s="405"/>
      <c r="E9114" s="405" t="s">
        <v>1049</v>
      </c>
      <c r="F9114" s="406">
        <v>0</v>
      </c>
      <c r="G9114" s="405"/>
      <c r="H9114" s="606"/>
      <c r="I9114" s="606" t="s">
        <v>1050</v>
      </c>
      <c r="J9114" s="406">
        <v>33.799999999999997</v>
      </c>
      <c r="K9114"/>
    </row>
    <row r="9115" spans="1:11" ht="15.6" thickTop="1" x14ac:dyDescent="0.3">
      <c r="A9115" s="407"/>
      <c r="B9115" s="407"/>
      <c r="C9115" s="407"/>
      <c r="D9115" s="407"/>
      <c r="E9115" s="407"/>
      <c r="F9115" s="407"/>
      <c r="G9115" s="407"/>
      <c r="H9115" s="407"/>
      <c r="I9115" s="407"/>
      <c r="J9115" s="407"/>
      <c r="K9115"/>
    </row>
    <row r="9116" spans="1:11" ht="17.399999999999999" customHeight="1" x14ac:dyDescent="0.3">
      <c r="A9116" s="382"/>
      <c r="B9116" s="312" t="s">
        <v>413</v>
      </c>
      <c r="C9116" s="382" t="s">
        <v>414</v>
      </c>
      <c r="D9116" s="382" t="s">
        <v>415</v>
      </c>
      <c r="E9116" s="586" t="s">
        <v>1029</v>
      </c>
      <c r="F9116" s="586"/>
      <c r="G9116" s="383" t="s">
        <v>416</v>
      </c>
      <c r="H9116" s="312" t="s">
        <v>1030</v>
      </c>
      <c r="I9116" s="312" t="s">
        <v>3016</v>
      </c>
      <c r="J9116" s="312" t="s">
        <v>1031</v>
      </c>
      <c r="K9116" s="312" t="s">
        <v>1032</v>
      </c>
    </row>
    <row r="9117" spans="1:11" ht="15" x14ac:dyDescent="0.3">
      <c r="A9117" s="313" t="s">
        <v>1033</v>
      </c>
      <c r="B9117" s="315" t="s">
        <v>8215</v>
      </c>
      <c r="C9117" s="313" t="s">
        <v>395</v>
      </c>
      <c r="D9117" s="313" t="s">
        <v>8216</v>
      </c>
      <c r="E9117" s="603" t="s">
        <v>7768</v>
      </c>
      <c r="F9117" s="603"/>
      <c r="G9117" s="314" t="s">
        <v>6</v>
      </c>
      <c r="H9117" s="399">
        <v>1</v>
      </c>
      <c r="I9117" s="316"/>
      <c r="J9117" s="316">
        <v>44.97</v>
      </c>
      <c r="K9117" s="316">
        <v>44.97</v>
      </c>
    </row>
    <row r="9118" spans="1:11" ht="26.4" x14ac:dyDescent="0.3">
      <c r="A9118" s="408" t="s">
        <v>1034</v>
      </c>
      <c r="B9118" s="409" t="s">
        <v>8128</v>
      </c>
      <c r="C9118" s="408" t="s">
        <v>395</v>
      </c>
      <c r="D9118" s="408" t="s">
        <v>8129</v>
      </c>
      <c r="E9118" s="604" t="s">
        <v>7768</v>
      </c>
      <c r="F9118" s="604"/>
      <c r="G9118" s="410" t="s">
        <v>6</v>
      </c>
      <c r="H9118" s="412">
        <v>1</v>
      </c>
      <c r="I9118" s="412">
        <v>0</v>
      </c>
      <c r="J9118" s="411">
        <v>0.57999999999999996</v>
      </c>
      <c r="K9118" s="411">
        <v>0.57999999999999996</v>
      </c>
    </row>
    <row r="9119" spans="1:11" ht="45" customHeight="1" x14ac:dyDescent="0.3">
      <c r="A9119" s="400" t="s">
        <v>1038</v>
      </c>
      <c r="B9119" s="401" t="s">
        <v>4295</v>
      </c>
      <c r="C9119" s="400" t="s">
        <v>395</v>
      </c>
      <c r="D9119" s="400" t="s">
        <v>4296</v>
      </c>
      <c r="E9119" s="605" t="s">
        <v>1053</v>
      </c>
      <c r="F9119" s="605"/>
      <c r="G9119" s="402" t="s">
        <v>6</v>
      </c>
      <c r="H9119" s="403">
        <v>1</v>
      </c>
      <c r="I9119" s="403">
        <v>0</v>
      </c>
      <c r="J9119" s="404">
        <v>35.44</v>
      </c>
      <c r="K9119" s="404">
        <v>35.44</v>
      </c>
    </row>
    <row r="9120" spans="1:11" ht="45" customHeight="1" x14ac:dyDescent="0.3">
      <c r="A9120" s="400" t="s">
        <v>1038</v>
      </c>
      <c r="B9120" s="401" t="s">
        <v>4028</v>
      </c>
      <c r="C9120" s="400" t="s">
        <v>395</v>
      </c>
      <c r="D9120" s="400" t="s">
        <v>4029</v>
      </c>
      <c r="E9120" s="605" t="s">
        <v>4030</v>
      </c>
      <c r="F9120" s="605"/>
      <c r="G9120" s="402" t="s">
        <v>6</v>
      </c>
      <c r="H9120" s="403">
        <v>1</v>
      </c>
      <c r="I9120" s="403">
        <v>0</v>
      </c>
      <c r="J9120" s="404">
        <v>4.78</v>
      </c>
      <c r="K9120" s="404">
        <v>4.78</v>
      </c>
    </row>
    <row r="9121" spans="1:11" ht="45" customHeight="1" x14ac:dyDescent="0.3">
      <c r="A9121" s="400" t="s">
        <v>1038</v>
      </c>
      <c r="B9121" s="401" t="s">
        <v>4066</v>
      </c>
      <c r="C9121" s="400" t="s">
        <v>395</v>
      </c>
      <c r="D9121" s="400" t="s">
        <v>4067</v>
      </c>
      <c r="E9121" s="605" t="s">
        <v>2381</v>
      </c>
      <c r="F9121" s="605"/>
      <c r="G9121" s="402" t="s">
        <v>6</v>
      </c>
      <c r="H9121" s="403">
        <v>1</v>
      </c>
      <c r="I9121" s="403">
        <v>0</v>
      </c>
      <c r="J9121" s="404">
        <v>1.72</v>
      </c>
      <c r="K9121" s="404">
        <v>1.72</v>
      </c>
    </row>
    <row r="9122" spans="1:11" ht="30" customHeight="1" x14ac:dyDescent="0.3">
      <c r="A9122" s="400" t="s">
        <v>1038</v>
      </c>
      <c r="B9122" s="401" t="s">
        <v>4078</v>
      </c>
      <c r="C9122" s="400" t="s">
        <v>395</v>
      </c>
      <c r="D9122" s="400" t="s">
        <v>4079</v>
      </c>
      <c r="E9122" s="605" t="s">
        <v>4030</v>
      </c>
      <c r="F9122" s="605"/>
      <c r="G9122" s="402" t="s">
        <v>6</v>
      </c>
      <c r="H9122" s="403">
        <v>1</v>
      </c>
      <c r="I9122" s="403">
        <v>0</v>
      </c>
      <c r="J9122" s="404">
        <v>1.25</v>
      </c>
      <c r="K9122" s="404">
        <v>1.25</v>
      </c>
    </row>
    <row r="9123" spans="1:11" ht="15" x14ac:dyDescent="0.3">
      <c r="A9123" s="400" t="s">
        <v>1038</v>
      </c>
      <c r="B9123" s="401" t="s">
        <v>4274</v>
      </c>
      <c r="C9123" s="400" t="s">
        <v>395</v>
      </c>
      <c r="D9123" s="400" t="s">
        <v>4275</v>
      </c>
      <c r="E9123" s="605" t="s">
        <v>2386</v>
      </c>
      <c r="F9123" s="605"/>
      <c r="G9123" s="402" t="s">
        <v>6</v>
      </c>
      <c r="H9123" s="403">
        <v>1</v>
      </c>
      <c r="I9123" s="403">
        <v>0</v>
      </c>
      <c r="J9123" s="404">
        <v>0.11</v>
      </c>
      <c r="K9123" s="404">
        <v>0.11</v>
      </c>
    </row>
    <row r="9124" spans="1:11" ht="17.399999999999999" customHeight="1" x14ac:dyDescent="0.3">
      <c r="A9124" s="400" t="s">
        <v>1038</v>
      </c>
      <c r="B9124" s="401" t="s">
        <v>5001</v>
      </c>
      <c r="C9124" s="400" t="s">
        <v>395</v>
      </c>
      <c r="D9124" s="400" t="s">
        <v>5002</v>
      </c>
      <c r="E9124" s="605" t="s">
        <v>1317</v>
      </c>
      <c r="F9124" s="605"/>
      <c r="G9124" s="402" t="s">
        <v>6</v>
      </c>
      <c r="H9124" s="403">
        <v>1</v>
      </c>
      <c r="I9124" s="403">
        <v>0</v>
      </c>
      <c r="J9124" s="404">
        <v>0.02</v>
      </c>
      <c r="K9124" s="404">
        <v>0.02</v>
      </c>
    </row>
    <row r="9125" spans="1:11" ht="26.4" x14ac:dyDescent="0.3">
      <c r="A9125" s="400" t="s">
        <v>1038</v>
      </c>
      <c r="B9125" s="401" t="s">
        <v>4508</v>
      </c>
      <c r="C9125" s="400" t="s">
        <v>395</v>
      </c>
      <c r="D9125" s="400" t="s">
        <v>4509</v>
      </c>
      <c r="E9125" s="605" t="s">
        <v>1317</v>
      </c>
      <c r="F9125" s="605"/>
      <c r="G9125" s="402" t="s">
        <v>6</v>
      </c>
      <c r="H9125" s="403">
        <v>1</v>
      </c>
      <c r="I9125" s="403">
        <v>0</v>
      </c>
      <c r="J9125" s="404">
        <v>1.07</v>
      </c>
      <c r="K9125" s="404">
        <v>1.07</v>
      </c>
    </row>
    <row r="9126" spans="1:11" ht="15" x14ac:dyDescent="0.3">
      <c r="A9126" s="405"/>
      <c r="B9126" s="405"/>
      <c r="C9126" s="405"/>
      <c r="D9126" s="405"/>
      <c r="E9126" s="405" t="s">
        <v>1046</v>
      </c>
      <c r="F9126" s="406">
        <v>36.020000000000003</v>
      </c>
      <c r="G9126" s="405" t="s">
        <v>1047</v>
      </c>
      <c r="H9126" s="406">
        <v>0</v>
      </c>
      <c r="I9126" s="405" t="s">
        <v>1048</v>
      </c>
      <c r="J9126" s="406">
        <v>36.020000000000003</v>
      </c>
      <c r="K9126"/>
    </row>
    <row r="9127" spans="1:11" ht="45" customHeight="1" thickBot="1" x14ac:dyDescent="0.35">
      <c r="A9127" s="405"/>
      <c r="B9127" s="405"/>
      <c r="C9127" s="405"/>
      <c r="D9127" s="405"/>
      <c r="E9127" s="405" t="s">
        <v>1049</v>
      </c>
      <c r="F9127" s="406">
        <v>0</v>
      </c>
      <c r="G9127" s="405"/>
      <c r="H9127" s="606"/>
      <c r="I9127" s="606" t="s">
        <v>1050</v>
      </c>
      <c r="J9127" s="406">
        <v>44.97</v>
      </c>
      <c r="K9127"/>
    </row>
    <row r="9128" spans="1:11" ht="45" customHeight="1" thickTop="1" x14ac:dyDescent="0.3">
      <c r="A9128" s="407"/>
      <c r="B9128" s="407"/>
      <c r="C9128" s="407"/>
      <c r="D9128" s="407"/>
      <c r="E9128" s="407"/>
      <c r="F9128" s="407"/>
      <c r="G9128" s="407"/>
      <c r="H9128" s="407"/>
      <c r="I9128" s="407"/>
      <c r="J9128" s="407"/>
      <c r="K9128"/>
    </row>
    <row r="9129" spans="1:11" ht="45" customHeight="1" x14ac:dyDescent="0.3">
      <c r="A9129" s="382"/>
      <c r="B9129" s="312" t="s">
        <v>413</v>
      </c>
      <c r="C9129" s="382" t="s">
        <v>414</v>
      </c>
      <c r="D9129" s="382" t="s">
        <v>415</v>
      </c>
      <c r="E9129" s="586" t="s">
        <v>1029</v>
      </c>
      <c r="F9129" s="586"/>
      <c r="G9129" s="383" t="s">
        <v>416</v>
      </c>
      <c r="H9129" s="312" t="s">
        <v>1030</v>
      </c>
      <c r="I9129" s="312" t="s">
        <v>3016</v>
      </c>
      <c r="J9129" s="312" t="s">
        <v>1031</v>
      </c>
      <c r="K9129" s="312" t="s">
        <v>1032</v>
      </c>
    </row>
    <row r="9130" spans="1:11" ht="45" customHeight="1" x14ac:dyDescent="0.3">
      <c r="A9130" s="313" t="s">
        <v>1033</v>
      </c>
      <c r="B9130" s="315" t="s">
        <v>8239</v>
      </c>
      <c r="C9130" s="313" t="s">
        <v>395</v>
      </c>
      <c r="D9130" s="313" t="s">
        <v>8240</v>
      </c>
      <c r="E9130" s="603" t="s">
        <v>7768</v>
      </c>
      <c r="F9130" s="603"/>
      <c r="G9130" s="314" t="s">
        <v>6</v>
      </c>
      <c r="H9130" s="399">
        <v>1</v>
      </c>
      <c r="I9130" s="316"/>
      <c r="J9130" s="316">
        <v>39.28</v>
      </c>
      <c r="K9130" s="316">
        <v>39.28</v>
      </c>
    </row>
    <row r="9131" spans="1:11" ht="45" customHeight="1" x14ac:dyDescent="0.3">
      <c r="A9131" s="408" t="s">
        <v>1034</v>
      </c>
      <c r="B9131" s="409" t="s">
        <v>8130</v>
      </c>
      <c r="C9131" s="408" t="s">
        <v>395</v>
      </c>
      <c r="D9131" s="408" t="s">
        <v>8131</v>
      </c>
      <c r="E9131" s="604" t="s">
        <v>7768</v>
      </c>
      <c r="F9131" s="604"/>
      <c r="G9131" s="410" t="s">
        <v>6</v>
      </c>
      <c r="H9131" s="412">
        <v>1</v>
      </c>
      <c r="I9131" s="412">
        <v>0</v>
      </c>
      <c r="J9131" s="411">
        <v>0.25</v>
      </c>
      <c r="K9131" s="411">
        <v>0.25</v>
      </c>
    </row>
    <row r="9132" spans="1:11" ht="30" customHeight="1" x14ac:dyDescent="0.3">
      <c r="A9132" s="400" t="s">
        <v>1038</v>
      </c>
      <c r="B9132" s="401" t="s">
        <v>4238</v>
      </c>
      <c r="C9132" s="400" t="s">
        <v>395</v>
      </c>
      <c r="D9132" s="400" t="s">
        <v>4239</v>
      </c>
      <c r="E9132" s="605" t="s">
        <v>1053</v>
      </c>
      <c r="F9132" s="605"/>
      <c r="G9132" s="402" t="s">
        <v>6</v>
      </c>
      <c r="H9132" s="403">
        <v>1</v>
      </c>
      <c r="I9132" s="403">
        <v>0</v>
      </c>
      <c r="J9132" s="404">
        <v>30.08</v>
      </c>
      <c r="K9132" s="404">
        <v>30.08</v>
      </c>
    </row>
    <row r="9133" spans="1:11" ht="15" x14ac:dyDescent="0.3">
      <c r="A9133" s="400" t="s">
        <v>1038</v>
      </c>
      <c r="B9133" s="401" t="s">
        <v>4028</v>
      </c>
      <c r="C9133" s="400" t="s">
        <v>395</v>
      </c>
      <c r="D9133" s="400" t="s">
        <v>4029</v>
      </c>
      <c r="E9133" s="605" t="s">
        <v>4030</v>
      </c>
      <c r="F9133" s="605"/>
      <c r="G9133" s="402" t="s">
        <v>6</v>
      </c>
      <c r="H9133" s="403">
        <v>1</v>
      </c>
      <c r="I9133" s="403">
        <v>0</v>
      </c>
      <c r="J9133" s="404">
        <v>4.78</v>
      </c>
      <c r="K9133" s="404">
        <v>4.78</v>
      </c>
    </row>
    <row r="9134" spans="1:11" ht="17.399999999999999" customHeight="1" x14ac:dyDescent="0.3">
      <c r="A9134" s="400" t="s">
        <v>1038</v>
      </c>
      <c r="B9134" s="401" t="s">
        <v>4066</v>
      </c>
      <c r="C9134" s="400" t="s">
        <v>395</v>
      </c>
      <c r="D9134" s="400" t="s">
        <v>4067</v>
      </c>
      <c r="E9134" s="605" t="s">
        <v>2381</v>
      </c>
      <c r="F9134" s="605"/>
      <c r="G9134" s="402" t="s">
        <v>6</v>
      </c>
      <c r="H9134" s="403">
        <v>1</v>
      </c>
      <c r="I9134" s="403">
        <v>0</v>
      </c>
      <c r="J9134" s="404">
        <v>1.72</v>
      </c>
      <c r="K9134" s="404">
        <v>1.72</v>
      </c>
    </row>
    <row r="9135" spans="1:11" ht="15" x14ac:dyDescent="0.3">
      <c r="A9135" s="400" t="s">
        <v>1038</v>
      </c>
      <c r="B9135" s="401" t="s">
        <v>4078</v>
      </c>
      <c r="C9135" s="400" t="s">
        <v>395</v>
      </c>
      <c r="D9135" s="400" t="s">
        <v>4079</v>
      </c>
      <c r="E9135" s="605" t="s">
        <v>4030</v>
      </c>
      <c r="F9135" s="605"/>
      <c r="G9135" s="402" t="s">
        <v>6</v>
      </c>
      <c r="H9135" s="403">
        <v>1</v>
      </c>
      <c r="I9135" s="403">
        <v>0</v>
      </c>
      <c r="J9135" s="404">
        <v>1.25</v>
      </c>
      <c r="K9135" s="404">
        <v>1.25</v>
      </c>
    </row>
    <row r="9136" spans="1:11" ht="15" x14ac:dyDescent="0.3">
      <c r="A9136" s="400" t="s">
        <v>1038</v>
      </c>
      <c r="B9136" s="401" t="s">
        <v>4274</v>
      </c>
      <c r="C9136" s="400" t="s">
        <v>395</v>
      </c>
      <c r="D9136" s="400" t="s">
        <v>4275</v>
      </c>
      <c r="E9136" s="605" t="s">
        <v>2386</v>
      </c>
      <c r="F9136" s="605"/>
      <c r="G9136" s="402" t="s">
        <v>6</v>
      </c>
      <c r="H9136" s="403">
        <v>1</v>
      </c>
      <c r="I9136" s="403">
        <v>0</v>
      </c>
      <c r="J9136" s="404">
        <v>0.11</v>
      </c>
      <c r="K9136" s="404">
        <v>0.11</v>
      </c>
    </row>
    <row r="9137" spans="1:11" ht="45" customHeight="1" x14ac:dyDescent="0.3">
      <c r="A9137" s="400" t="s">
        <v>1038</v>
      </c>
      <c r="B9137" s="401" t="s">
        <v>5001</v>
      </c>
      <c r="C9137" s="400" t="s">
        <v>395</v>
      </c>
      <c r="D9137" s="400" t="s">
        <v>5002</v>
      </c>
      <c r="E9137" s="605" t="s">
        <v>1317</v>
      </c>
      <c r="F9137" s="605"/>
      <c r="G9137" s="402" t="s">
        <v>6</v>
      </c>
      <c r="H9137" s="403">
        <v>1</v>
      </c>
      <c r="I9137" s="403">
        <v>0</v>
      </c>
      <c r="J9137" s="404">
        <v>0.02</v>
      </c>
      <c r="K9137" s="404">
        <v>0.02</v>
      </c>
    </row>
    <row r="9138" spans="1:11" ht="26.4" x14ac:dyDescent="0.3">
      <c r="A9138" s="400" t="s">
        <v>1038</v>
      </c>
      <c r="B9138" s="401" t="s">
        <v>4508</v>
      </c>
      <c r="C9138" s="400" t="s">
        <v>395</v>
      </c>
      <c r="D9138" s="400" t="s">
        <v>4509</v>
      </c>
      <c r="E9138" s="605" t="s">
        <v>1317</v>
      </c>
      <c r="F9138" s="605"/>
      <c r="G9138" s="402" t="s">
        <v>6</v>
      </c>
      <c r="H9138" s="403">
        <v>1</v>
      </c>
      <c r="I9138" s="403">
        <v>0</v>
      </c>
      <c r="J9138" s="404">
        <v>1.07</v>
      </c>
      <c r="K9138" s="404">
        <v>1.07</v>
      </c>
    </row>
    <row r="9139" spans="1:11" ht="15" x14ac:dyDescent="0.3">
      <c r="A9139" s="405"/>
      <c r="B9139" s="405"/>
      <c r="C9139" s="405"/>
      <c r="D9139" s="405"/>
      <c r="E9139" s="405" t="s">
        <v>1046</v>
      </c>
      <c r="F9139" s="406">
        <v>30.33</v>
      </c>
      <c r="G9139" s="405" t="s">
        <v>1047</v>
      </c>
      <c r="H9139" s="406">
        <v>0</v>
      </c>
      <c r="I9139" s="405" t="s">
        <v>1048</v>
      </c>
      <c r="J9139" s="406">
        <v>30.33</v>
      </c>
      <c r="K9139"/>
    </row>
    <row r="9140" spans="1:11" ht="17.399999999999999" customHeight="1" thickBot="1" x14ac:dyDescent="0.35">
      <c r="A9140" s="405"/>
      <c r="B9140" s="405"/>
      <c r="C9140" s="405"/>
      <c r="D9140" s="405"/>
      <c r="E9140" s="405" t="s">
        <v>1049</v>
      </c>
      <c r="F9140" s="406">
        <v>0</v>
      </c>
      <c r="G9140" s="405"/>
      <c r="H9140" s="606"/>
      <c r="I9140" s="606" t="s">
        <v>1050</v>
      </c>
      <c r="J9140" s="406">
        <v>39.28</v>
      </c>
      <c r="K9140"/>
    </row>
    <row r="9141" spans="1:11" ht="15.6" thickTop="1" x14ac:dyDescent="0.3">
      <c r="A9141" s="407"/>
      <c r="B9141" s="407"/>
      <c r="C9141" s="407"/>
      <c r="D9141" s="407"/>
      <c r="E9141" s="407"/>
      <c r="F9141" s="407"/>
      <c r="G9141" s="407"/>
      <c r="H9141" s="407"/>
      <c r="I9141" s="407"/>
      <c r="J9141" s="407"/>
      <c r="K9141"/>
    </row>
    <row r="9142" spans="1:11" ht="15" x14ac:dyDescent="0.3">
      <c r="A9142" s="382"/>
      <c r="B9142" s="312" t="s">
        <v>413</v>
      </c>
      <c r="C9142" s="382" t="s">
        <v>414</v>
      </c>
      <c r="D9142" s="382" t="s">
        <v>415</v>
      </c>
      <c r="E9142" s="586" t="s">
        <v>1029</v>
      </c>
      <c r="F9142" s="586"/>
      <c r="G9142" s="383" t="s">
        <v>416</v>
      </c>
      <c r="H9142" s="312" t="s">
        <v>1030</v>
      </c>
      <c r="I9142" s="312" t="s">
        <v>3016</v>
      </c>
      <c r="J9142" s="312" t="s">
        <v>1031</v>
      </c>
      <c r="K9142" s="312" t="s">
        <v>1032</v>
      </c>
    </row>
    <row r="9143" spans="1:11" ht="45" customHeight="1" x14ac:dyDescent="0.3">
      <c r="A9143" s="313" t="s">
        <v>1033</v>
      </c>
      <c r="B9143" s="315" t="s">
        <v>8245</v>
      </c>
      <c r="C9143" s="313" t="s">
        <v>395</v>
      </c>
      <c r="D9143" s="313" t="s">
        <v>8246</v>
      </c>
      <c r="E9143" s="603" t="s">
        <v>7768</v>
      </c>
      <c r="F9143" s="603"/>
      <c r="G9143" s="314" t="s">
        <v>6</v>
      </c>
      <c r="H9143" s="399">
        <v>1</v>
      </c>
      <c r="I9143" s="316"/>
      <c r="J9143" s="316">
        <v>43.16</v>
      </c>
      <c r="K9143" s="316">
        <v>43.16</v>
      </c>
    </row>
    <row r="9144" spans="1:11" ht="26.4" x14ac:dyDescent="0.3">
      <c r="A9144" s="408" t="s">
        <v>1034</v>
      </c>
      <c r="B9144" s="409" t="s">
        <v>8132</v>
      </c>
      <c r="C9144" s="408" t="s">
        <v>395</v>
      </c>
      <c r="D9144" s="408" t="s">
        <v>8133</v>
      </c>
      <c r="E9144" s="604" t="s">
        <v>7768</v>
      </c>
      <c r="F9144" s="604"/>
      <c r="G9144" s="410" t="s">
        <v>6</v>
      </c>
      <c r="H9144" s="412">
        <v>1</v>
      </c>
      <c r="I9144" s="412">
        <v>0</v>
      </c>
      <c r="J9144" s="411">
        <v>0.28000000000000003</v>
      </c>
      <c r="K9144" s="411">
        <v>0.28000000000000003</v>
      </c>
    </row>
    <row r="9145" spans="1:11" ht="15" x14ac:dyDescent="0.3">
      <c r="A9145" s="400" t="s">
        <v>1038</v>
      </c>
      <c r="B9145" s="401" t="s">
        <v>4938</v>
      </c>
      <c r="C9145" s="400" t="s">
        <v>395</v>
      </c>
      <c r="D9145" s="400" t="s">
        <v>4939</v>
      </c>
      <c r="E9145" s="605" t="s">
        <v>1053</v>
      </c>
      <c r="F9145" s="605"/>
      <c r="G9145" s="402" t="s">
        <v>6</v>
      </c>
      <c r="H9145" s="403">
        <v>1</v>
      </c>
      <c r="I9145" s="403">
        <v>0</v>
      </c>
      <c r="J9145" s="404">
        <v>33.93</v>
      </c>
      <c r="K9145" s="404">
        <v>33.93</v>
      </c>
    </row>
    <row r="9146" spans="1:11" ht="17.399999999999999" customHeight="1" x14ac:dyDescent="0.3">
      <c r="A9146" s="400" t="s">
        <v>1038</v>
      </c>
      <c r="B9146" s="401" t="s">
        <v>4028</v>
      </c>
      <c r="C9146" s="400" t="s">
        <v>395</v>
      </c>
      <c r="D9146" s="400" t="s">
        <v>4029</v>
      </c>
      <c r="E9146" s="605" t="s">
        <v>4030</v>
      </c>
      <c r="F9146" s="605"/>
      <c r="G9146" s="402" t="s">
        <v>6</v>
      </c>
      <c r="H9146" s="403">
        <v>1</v>
      </c>
      <c r="I9146" s="403">
        <v>0</v>
      </c>
      <c r="J9146" s="404">
        <v>4.78</v>
      </c>
      <c r="K9146" s="404">
        <v>4.78</v>
      </c>
    </row>
    <row r="9147" spans="1:11" ht="15" x14ac:dyDescent="0.3">
      <c r="A9147" s="400" t="s">
        <v>1038</v>
      </c>
      <c r="B9147" s="401" t="s">
        <v>4066</v>
      </c>
      <c r="C9147" s="400" t="s">
        <v>395</v>
      </c>
      <c r="D9147" s="400" t="s">
        <v>4067</v>
      </c>
      <c r="E9147" s="605" t="s">
        <v>2381</v>
      </c>
      <c r="F9147" s="605"/>
      <c r="G9147" s="402" t="s">
        <v>6</v>
      </c>
      <c r="H9147" s="403">
        <v>1</v>
      </c>
      <c r="I9147" s="403">
        <v>0</v>
      </c>
      <c r="J9147" s="404">
        <v>1.72</v>
      </c>
      <c r="K9147" s="404">
        <v>1.72</v>
      </c>
    </row>
    <row r="9148" spans="1:11" ht="15" x14ac:dyDescent="0.3">
      <c r="A9148" s="400" t="s">
        <v>1038</v>
      </c>
      <c r="B9148" s="401" t="s">
        <v>4078</v>
      </c>
      <c r="C9148" s="400" t="s">
        <v>395</v>
      </c>
      <c r="D9148" s="400" t="s">
        <v>4079</v>
      </c>
      <c r="E9148" s="605" t="s">
        <v>4030</v>
      </c>
      <c r="F9148" s="605"/>
      <c r="G9148" s="402" t="s">
        <v>6</v>
      </c>
      <c r="H9148" s="403">
        <v>1</v>
      </c>
      <c r="I9148" s="403">
        <v>0</v>
      </c>
      <c r="J9148" s="404">
        <v>1.25</v>
      </c>
      <c r="K9148" s="404">
        <v>1.25</v>
      </c>
    </row>
    <row r="9149" spans="1:11" ht="45" customHeight="1" x14ac:dyDescent="0.3">
      <c r="A9149" s="400" t="s">
        <v>1038</v>
      </c>
      <c r="B9149" s="401" t="s">
        <v>4274</v>
      </c>
      <c r="C9149" s="400" t="s">
        <v>395</v>
      </c>
      <c r="D9149" s="400" t="s">
        <v>4275</v>
      </c>
      <c r="E9149" s="605" t="s">
        <v>2386</v>
      </c>
      <c r="F9149" s="605"/>
      <c r="G9149" s="402" t="s">
        <v>6</v>
      </c>
      <c r="H9149" s="403">
        <v>1</v>
      </c>
      <c r="I9149" s="403">
        <v>0</v>
      </c>
      <c r="J9149" s="404">
        <v>0.11</v>
      </c>
      <c r="K9149" s="404">
        <v>0.11</v>
      </c>
    </row>
    <row r="9150" spans="1:11" ht="26.4" x14ac:dyDescent="0.3">
      <c r="A9150" s="400" t="s">
        <v>1038</v>
      </c>
      <c r="B9150" s="401" t="s">
        <v>5001</v>
      </c>
      <c r="C9150" s="400" t="s">
        <v>395</v>
      </c>
      <c r="D9150" s="400" t="s">
        <v>5002</v>
      </c>
      <c r="E9150" s="605" t="s">
        <v>1317</v>
      </c>
      <c r="F9150" s="605"/>
      <c r="G9150" s="402" t="s">
        <v>6</v>
      </c>
      <c r="H9150" s="403">
        <v>1</v>
      </c>
      <c r="I9150" s="403">
        <v>0</v>
      </c>
      <c r="J9150" s="404">
        <v>0.02</v>
      </c>
      <c r="K9150" s="404">
        <v>0.02</v>
      </c>
    </row>
    <row r="9151" spans="1:11" ht="26.4" x14ac:dyDescent="0.3">
      <c r="A9151" s="400" t="s">
        <v>1038</v>
      </c>
      <c r="B9151" s="401" t="s">
        <v>4508</v>
      </c>
      <c r="C9151" s="400" t="s">
        <v>395</v>
      </c>
      <c r="D9151" s="400" t="s">
        <v>4509</v>
      </c>
      <c r="E9151" s="605" t="s">
        <v>1317</v>
      </c>
      <c r="F9151" s="605"/>
      <c r="G9151" s="402" t="s">
        <v>6</v>
      </c>
      <c r="H9151" s="403">
        <v>1</v>
      </c>
      <c r="I9151" s="403">
        <v>0</v>
      </c>
      <c r="J9151" s="404">
        <v>1.07</v>
      </c>
      <c r="K9151" s="404">
        <v>1.07</v>
      </c>
    </row>
    <row r="9152" spans="1:11" ht="17.399999999999999" customHeight="1" x14ac:dyDescent="0.3">
      <c r="A9152" s="405"/>
      <c r="B9152" s="405"/>
      <c r="C9152" s="405"/>
      <c r="D9152" s="405"/>
      <c r="E9152" s="405" t="s">
        <v>1046</v>
      </c>
      <c r="F9152" s="406">
        <v>34.21</v>
      </c>
      <c r="G9152" s="405" t="s">
        <v>1047</v>
      </c>
      <c r="H9152" s="406">
        <v>0</v>
      </c>
      <c r="I9152" s="405" t="s">
        <v>1048</v>
      </c>
      <c r="J9152" s="406">
        <v>34.21</v>
      </c>
      <c r="K9152"/>
    </row>
    <row r="9153" spans="1:11" ht="15.6" thickBot="1" x14ac:dyDescent="0.35">
      <c r="A9153" s="405"/>
      <c r="B9153" s="405"/>
      <c r="C9153" s="405"/>
      <c r="D9153" s="405"/>
      <c r="E9153" s="405" t="s">
        <v>1049</v>
      </c>
      <c r="F9153" s="406">
        <v>0</v>
      </c>
      <c r="G9153" s="405"/>
      <c r="H9153" s="606"/>
      <c r="I9153" s="606" t="s">
        <v>1050</v>
      </c>
      <c r="J9153" s="406">
        <v>43.16</v>
      </c>
      <c r="K9153"/>
    </row>
    <row r="9154" spans="1:11" ht="15.6" thickTop="1" x14ac:dyDescent="0.3">
      <c r="A9154" s="407"/>
      <c r="B9154" s="407"/>
      <c r="C9154" s="407"/>
      <c r="D9154" s="407"/>
      <c r="E9154" s="407"/>
      <c r="F9154" s="407"/>
      <c r="G9154" s="407"/>
      <c r="H9154" s="407"/>
      <c r="I9154" s="407"/>
      <c r="J9154" s="407"/>
      <c r="K9154"/>
    </row>
    <row r="9155" spans="1:11" ht="45" customHeight="1" x14ac:dyDescent="0.3">
      <c r="A9155" s="382"/>
      <c r="B9155" s="312" t="s">
        <v>413</v>
      </c>
      <c r="C9155" s="382" t="s">
        <v>414</v>
      </c>
      <c r="D9155" s="382" t="s">
        <v>415</v>
      </c>
      <c r="E9155" s="586" t="s">
        <v>1029</v>
      </c>
      <c r="F9155" s="586"/>
      <c r="G9155" s="383" t="s">
        <v>416</v>
      </c>
      <c r="H9155" s="312" t="s">
        <v>1030</v>
      </c>
      <c r="I9155" s="312" t="s">
        <v>3016</v>
      </c>
      <c r="J9155" s="312" t="s">
        <v>1031</v>
      </c>
      <c r="K9155" s="312" t="s">
        <v>1032</v>
      </c>
    </row>
    <row r="9156" spans="1:11" ht="26.4" x14ac:dyDescent="0.3">
      <c r="A9156" s="313" t="s">
        <v>1033</v>
      </c>
      <c r="B9156" s="315" t="s">
        <v>1538</v>
      </c>
      <c r="C9156" s="313" t="s">
        <v>395</v>
      </c>
      <c r="D9156" s="313" t="s">
        <v>141</v>
      </c>
      <c r="E9156" s="603" t="s">
        <v>7768</v>
      </c>
      <c r="F9156" s="603"/>
      <c r="G9156" s="314" t="s">
        <v>6</v>
      </c>
      <c r="H9156" s="399">
        <v>1</v>
      </c>
      <c r="I9156" s="316"/>
      <c r="J9156" s="316">
        <v>42.37</v>
      </c>
      <c r="K9156" s="316">
        <v>42.37</v>
      </c>
    </row>
    <row r="9157" spans="1:11" ht="26.4" x14ac:dyDescent="0.3">
      <c r="A9157" s="408" t="s">
        <v>1034</v>
      </c>
      <c r="B9157" s="409" t="s">
        <v>8134</v>
      </c>
      <c r="C9157" s="408" t="s">
        <v>395</v>
      </c>
      <c r="D9157" s="408" t="s">
        <v>8135</v>
      </c>
      <c r="E9157" s="604" t="s">
        <v>7768</v>
      </c>
      <c r="F9157" s="604"/>
      <c r="G9157" s="410" t="s">
        <v>6</v>
      </c>
      <c r="H9157" s="412">
        <v>1</v>
      </c>
      <c r="I9157" s="412">
        <v>0</v>
      </c>
      <c r="J9157" s="411">
        <v>0.38</v>
      </c>
      <c r="K9157" s="411">
        <v>0.38</v>
      </c>
    </row>
    <row r="9158" spans="1:11" ht="17.399999999999999" customHeight="1" x14ac:dyDescent="0.3">
      <c r="A9158" s="400" t="s">
        <v>1038</v>
      </c>
      <c r="B9158" s="401" t="s">
        <v>4231</v>
      </c>
      <c r="C9158" s="400" t="s">
        <v>395</v>
      </c>
      <c r="D9158" s="400" t="s">
        <v>4232</v>
      </c>
      <c r="E9158" s="605" t="s">
        <v>1053</v>
      </c>
      <c r="F9158" s="605"/>
      <c r="G9158" s="402" t="s">
        <v>6</v>
      </c>
      <c r="H9158" s="403">
        <v>1</v>
      </c>
      <c r="I9158" s="403">
        <v>0</v>
      </c>
      <c r="J9158" s="404">
        <v>33.04</v>
      </c>
      <c r="K9158" s="404">
        <v>33.04</v>
      </c>
    </row>
    <row r="9159" spans="1:11" ht="15" x14ac:dyDescent="0.3">
      <c r="A9159" s="400" t="s">
        <v>1038</v>
      </c>
      <c r="B9159" s="401" t="s">
        <v>4028</v>
      </c>
      <c r="C9159" s="400" t="s">
        <v>395</v>
      </c>
      <c r="D9159" s="400" t="s">
        <v>4029</v>
      </c>
      <c r="E9159" s="605" t="s">
        <v>4030</v>
      </c>
      <c r="F9159" s="605"/>
      <c r="G9159" s="402" t="s">
        <v>6</v>
      </c>
      <c r="H9159" s="403">
        <v>1</v>
      </c>
      <c r="I9159" s="403">
        <v>0</v>
      </c>
      <c r="J9159" s="404">
        <v>4.78</v>
      </c>
      <c r="K9159" s="404">
        <v>4.78</v>
      </c>
    </row>
    <row r="9160" spans="1:11" ht="15" x14ac:dyDescent="0.3">
      <c r="A9160" s="400" t="s">
        <v>1038</v>
      </c>
      <c r="B9160" s="401" t="s">
        <v>4066</v>
      </c>
      <c r="C9160" s="400" t="s">
        <v>395</v>
      </c>
      <c r="D9160" s="400" t="s">
        <v>4067</v>
      </c>
      <c r="E9160" s="605" t="s">
        <v>2381</v>
      </c>
      <c r="F9160" s="605"/>
      <c r="G9160" s="402" t="s">
        <v>6</v>
      </c>
      <c r="H9160" s="403">
        <v>1</v>
      </c>
      <c r="I9160" s="403">
        <v>0</v>
      </c>
      <c r="J9160" s="404">
        <v>1.72</v>
      </c>
      <c r="K9160" s="404">
        <v>1.72</v>
      </c>
    </row>
    <row r="9161" spans="1:11" ht="30" customHeight="1" x14ac:dyDescent="0.3">
      <c r="A9161" s="400" t="s">
        <v>1038</v>
      </c>
      <c r="B9161" s="401" t="s">
        <v>4078</v>
      </c>
      <c r="C9161" s="400" t="s">
        <v>395</v>
      </c>
      <c r="D9161" s="400" t="s">
        <v>4079</v>
      </c>
      <c r="E9161" s="605" t="s">
        <v>4030</v>
      </c>
      <c r="F9161" s="605"/>
      <c r="G9161" s="402" t="s">
        <v>6</v>
      </c>
      <c r="H9161" s="403">
        <v>1</v>
      </c>
      <c r="I9161" s="403">
        <v>0</v>
      </c>
      <c r="J9161" s="404">
        <v>1.25</v>
      </c>
      <c r="K9161" s="404">
        <v>1.25</v>
      </c>
    </row>
    <row r="9162" spans="1:11" ht="30" customHeight="1" x14ac:dyDescent="0.3">
      <c r="A9162" s="400" t="s">
        <v>1038</v>
      </c>
      <c r="B9162" s="401" t="s">
        <v>4274</v>
      </c>
      <c r="C9162" s="400" t="s">
        <v>395</v>
      </c>
      <c r="D9162" s="400" t="s">
        <v>4275</v>
      </c>
      <c r="E9162" s="605" t="s">
        <v>2386</v>
      </c>
      <c r="F9162" s="605"/>
      <c r="G9162" s="402" t="s">
        <v>6</v>
      </c>
      <c r="H9162" s="403">
        <v>1</v>
      </c>
      <c r="I9162" s="403">
        <v>0</v>
      </c>
      <c r="J9162" s="404">
        <v>0.11</v>
      </c>
      <c r="K9162" s="404">
        <v>0.11</v>
      </c>
    </row>
    <row r="9163" spans="1:11" ht="30" customHeight="1" x14ac:dyDescent="0.3">
      <c r="A9163" s="400" t="s">
        <v>1038</v>
      </c>
      <c r="B9163" s="401" t="s">
        <v>5001</v>
      </c>
      <c r="C9163" s="400" t="s">
        <v>395</v>
      </c>
      <c r="D9163" s="400" t="s">
        <v>5002</v>
      </c>
      <c r="E9163" s="605" t="s">
        <v>1317</v>
      </c>
      <c r="F9163" s="605"/>
      <c r="G9163" s="402" t="s">
        <v>6</v>
      </c>
      <c r="H9163" s="403">
        <v>1</v>
      </c>
      <c r="I9163" s="403">
        <v>0</v>
      </c>
      <c r="J9163" s="404">
        <v>0.02</v>
      </c>
      <c r="K9163" s="404">
        <v>0.02</v>
      </c>
    </row>
    <row r="9164" spans="1:11" ht="30" customHeight="1" x14ac:dyDescent="0.3">
      <c r="A9164" s="400" t="s">
        <v>1038</v>
      </c>
      <c r="B9164" s="401" t="s">
        <v>4508</v>
      </c>
      <c r="C9164" s="400" t="s">
        <v>395</v>
      </c>
      <c r="D9164" s="400" t="s">
        <v>4509</v>
      </c>
      <c r="E9164" s="605" t="s">
        <v>1317</v>
      </c>
      <c r="F9164" s="605"/>
      <c r="G9164" s="402" t="s">
        <v>6</v>
      </c>
      <c r="H9164" s="403">
        <v>1</v>
      </c>
      <c r="I9164" s="403">
        <v>0</v>
      </c>
      <c r="J9164" s="404">
        <v>1.07</v>
      </c>
      <c r="K9164" s="404">
        <v>1.07</v>
      </c>
    </row>
    <row r="9165" spans="1:11" ht="15" x14ac:dyDescent="0.3">
      <c r="A9165" s="405"/>
      <c r="B9165" s="405"/>
      <c r="C9165" s="405"/>
      <c r="D9165" s="405"/>
      <c r="E9165" s="405" t="s">
        <v>1046</v>
      </c>
      <c r="F9165" s="406">
        <v>33.42</v>
      </c>
      <c r="G9165" s="405" t="s">
        <v>1047</v>
      </c>
      <c r="H9165" s="406">
        <v>0</v>
      </c>
      <c r="I9165" s="405" t="s">
        <v>1048</v>
      </c>
      <c r="J9165" s="406">
        <v>33.42</v>
      </c>
      <c r="K9165"/>
    </row>
    <row r="9166" spans="1:11" ht="17.399999999999999" customHeight="1" thickBot="1" x14ac:dyDescent="0.35">
      <c r="A9166" s="405"/>
      <c r="B9166" s="405"/>
      <c r="C9166" s="405"/>
      <c r="D9166" s="405"/>
      <c r="E9166" s="405" t="s">
        <v>1049</v>
      </c>
      <c r="F9166" s="406">
        <v>0</v>
      </c>
      <c r="G9166" s="405"/>
      <c r="H9166" s="606"/>
      <c r="I9166" s="606" t="s">
        <v>1050</v>
      </c>
      <c r="J9166" s="406">
        <v>42.37</v>
      </c>
      <c r="K9166"/>
    </row>
    <row r="9167" spans="1:11" ht="15.6" thickTop="1" x14ac:dyDescent="0.3">
      <c r="A9167" s="407"/>
      <c r="B9167" s="407"/>
      <c r="C9167" s="407"/>
      <c r="D9167" s="407"/>
      <c r="E9167" s="407"/>
      <c r="F9167" s="407"/>
      <c r="G9167" s="407"/>
      <c r="H9167" s="407"/>
      <c r="I9167" s="407"/>
      <c r="J9167" s="407"/>
      <c r="K9167"/>
    </row>
    <row r="9168" spans="1:11" ht="15" x14ac:dyDescent="0.3">
      <c r="A9168" s="382"/>
      <c r="B9168" s="312" t="s">
        <v>413</v>
      </c>
      <c r="C9168" s="382" t="s">
        <v>414</v>
      </c>
      <c r="D9168" s="382" t="s">
        <v>415</v>
      </c>
      <c r="E9168" s="586" t="s">
        <v>1029</v>
      </c>
      <c r="F9168" s="586"/>
      <c r="G9168" s="383" t="s">
        <v>416</v>
      </c>
      <c r="H9168" s="312" t="s">
        <v>1030</v>
      </c>
      <c r="I9168" s="312" t="s">
        <v>3016</v>
      </c>
      <c r="J9168" s="312" t="s">
        <v>1031</v>
      </c>
      <c r="K9168" s="312" t="s">
        <v>1032</v>
      </c>
    </row>
    <row r="9169" spans="1:11" ht="30" customHeight="1" x14ac:dyDescent="0.3">
      <c r="A9169" s="313" t="s">
        <v>1033</v>
      </c>
      <c r="B9169" s="315" t="s">
        <v>8255</v>
      </c>
      <c r="C9169" s="313" t="s">
        <v>395</v>
      </c>
      <c r="D9169" s="313" t="s">
        <v>8256</v>
      </c>
      <c r="E9169" s="603" t="s">
        <v>7768</v>
      </c>
      <c r="F9169" s="603"/>
      <c r="G9169" s="314" t="s">
        <v>6</v>
      </c>
      <c r="H9169" s="399">
        <v>1</v>
      </c>
      <c r="I9169" s="316"/>
      <c r="J9169" s="316">
        <v>38.21</v>
      </c>
      <c r="K9169" s="316">
        <v>38.21</v>
      </c>
    </row>
    <row r="9170" spans="1:11" ht="30" customHeight="1" x14ac:dyDescent="0.3">
      <c r="A9170" s="408" t="s">
        <v>1034</v>
      </c>
      <c r="B9170" s="409" t="s">
        <v>8136</v>
      </c>
      <c r="C9170" s="408" t="s">
        <v>395</v>
      </c>
      <c r="D9170" s="408" t="s">
        <v>8137</v>
      </c>
      <c r="E9170" s="604" t="s">
        <v>7768</v>
      </c>
      <c r="F9170" s="604"/>
      <c r="G9170" s="410" t="s">
        <v>6</v>
      </c>
      <c r="H9170" s="412">
        <v>1</v>
      </c>
      <c r="I9170" s="412">
        <v>0</v>
      </c>
      <c r="J9170" s="411">
        <v>0.24</v>
      </c>
      <c r="K9170" s="411">
        <v>0.24</v>
      </c>
    </row>
    <row r="9171" spans="1:11" ht="30" customHeight="1" x14ac:dyDescent="0.3">
      <c r="A9171" s="400" t="s">
        <v>1038</v>
      </c>
      <c r="B9171" s="401" t="s">
        <v>4704</v>
      </c>
      <c r="C9171" s="400" t="s">
        <v>395</v>
      </c>
      <c r="D9171" s="400" t="s">
        <v>4705</v>
      </c>
      <c r="E9171" s="605" t="s">
        <v>1053</v>
      </c>
      <c r="F9171" s="605"/>
      <c r="G9171" s="402" t="s">
        <v>6</v>
      </c>
      <c r="H9171" s="403">
        <v>1</v>
      </c>
      <c r="I9171" s="403">
        <v>0</v>
      </c>
      <c r="J9171" s="404">
        <v>29.02</v>
      </c>
      <c r="K9171" s="404">
        <v>29.02</v>
      </c>
    </row>
    <row r="9172" spans="1:11" ht="30" customHeight="1" x14ac:dyDescent="0.3">
      <c r="A9172" s="400" t="s">
        <v>1038</v>
      </c>
      <c r="B9172" s="401" t="s">
        <v>4028</v>
      </c>
      <c r="C9172" s="400" t="s">
        <v>395</v>
      </c>
      <c r="D9172" s="400" t="s">
        <v>4029</v>
      </c>
      <c r="E9172" s="605" t="s">
        <v>4030</v>
      </c>
      <c r="F9172" s="605"/>
      <c r="G9172" s="402" t="s">
        <v>6</v>
      </c>
      <c r="H9172" s="403">
        <v>1</v>
      </c>
      <c r="I9172" s="403">
        <v>0</v>
      </c>
      <c r="J9172" s="404">
        <v>4.78</v>
      </c>
      <c r="K9172" s="404">
        <v>4.78</v>
      </c>
    </row>
    <row r="9173" spans="1:11" ht="30" customHeight="1" x14ac:dyDescent="0.3">
      <c r="A9173" s="400" t="s">
        <v>1038</v>
      </c>
      <c r="B9173" s="401" t="s">
        <v>4066</v>
      </c>
      <c r="C9173" s="400" t="s">
        <v>395</v>
      </c>
      <c r="D9173" s="400" t="s">
        <v>4067</v>
      </c>
      <c r="E9173" s="605" t="s">
        <v>2381</v>
      </c>
      <c r="F9173" s="605"/>
      <c r="G9173" s="402" t="s">
        <v>6</v>
      </c>
      <c r="H9173" s="403">
        <v>1</v>
      </c>
      <c r="I9173" s="403">
        <v>0</v>
      </c>
      <c r="J9173" s="404">
        <v>1.72</v>
      </c>
      <c r="K9173" s="404">
        <v>1.72</v>
      </c>
    </row>
    <row r="9174" spans="1:11" ht="30" customHeight="1" x14ac:dyDescent="0.3">
      <c r="A9174" s="400" t="s">
        <v>1038</v>
      </c>
      <c r="B9174" s="401" t="s">
        <v>4078</v>
      </c>
      <c r="C9174" s="400" t="s">
        <v>395</v>
      </c>
      <c r="D9174" s="400" t="s">
        <v>4079</v>
      </c>
      <c r="E9174" s="605" t="s">
        <v>4030</v>
      </c>
      <c r="F9174" s="605"/>
      <c r="G9174" s="402" t="s">
        <v>6</v>
      </c>
      <c r="H9174" s="403">
        <v>1</v>
      </c>
      <c r="I9174" s="403">
        <v>0</v>
      </c>
      <c r="J9174" s="404">
        <v>1.25</v>
      </c>
      <c r="K9174" s="404">
        <v>1.25</v>
      </c>
    </row>
    <row r="9175" spans="1:11" ht="15" x14ac:dyDescent="0.3">
      <c r="A9175" s="400" t="s">
        <v>1038</v>
      </c>
      <c r="B9175" s="401" t="s">
        <v>4274</v>
      </c>
      <c r="C9175" s="400" t="s">
        <v>395</v>
      </c>
      <c r="D9175" s="400" t="s">
        <v>4275</v>
      </c>
      <c r="E9175" s="605" t="s">
        <v>2386</v>
      </c>
      <c r="F9175" s="605"/>
      <c r="G9175" s="402" t="s">
        <v>6</v>
      </c>
      <c r="H9175" s="403">
        <v>1</v>
      </c>
      <c r="I9175" s="403">
        <v>0</v>
      </c>
      <c r="J9175" s="404">
        <v>0.11</v>
      </c>
      <c r="K9175" s="404">
        <v>0.11</v>
      </c>
    </row>
    <row r="9176" spans="1:11" ht="17.399999999999999" customHeight="1" x14ac:dyDescent="0.3">
      <c r="A9176" s="400" t="s">
        <v>1038</v>
      </c>
      <c r="B9176" s="401" t="s">
        <v>5001</v>
      </c>
      <c r="C9176" s="400" t="s">
        <v>395</v>
      </c>
      <c r="D9176" s="400" t="s">
        <v>5002</v>
      </c>
      <c r="E9176" s="605" t="s">
        <v>1317</v>
      </c>
      <c r="F9176" s="605"/>
      <c r="G9176" s="402" t="s">
        <v>6</v>
      </c>
      <c r="H9176" s="403">
        <v>1</v>
      </c>
      <c r="I9176" s="403">
        <v>0</v>
      </c>
      <c r="J9176" s="404">
        <v>0.02</v>
      </c>
      <c r="K9176" s="404">
        <v>0.02</v>
      </c>
    </row>
    <row r="9177" spans="1:11" ht="26.4" x14ac:dyDescent="0.3">
      <c r="A9177" s="400" t="s">
        <v>1038</v>
      </c>
      <c r="B9177" s="401" t="s">
        <v>4508</v>
      </c>
      <c r="C9177" s="400" t="s">
        <v>395</v>
      </c>
      <c r="D9177" s="400" t="s">
        <v>4509</v>
      </c>
      <c r="E9177" s="605" t="s">
        <v>1317</v>
      </c>
      <c r="F9177" s="605"/>
      <c r="G9177" s="402" t="s">
        <v>6</v>
      </c>
      <c r="H9177" s="403">
        <v>1</v>
      </c>
      <c r="I9177" s="403">
        <v>0</v>
      </c>
      <c r="J9177" s="404">
        <v>1.07</v>
      </c>
      <c r="K9177" s="404">
        <v>1.07</v>
      </c>
    </row>
    <row r="9178" spans="1:11" ht="15" x14ac:dyDescent="0.3">
      <c r="A9178" s="405"/>
      <c r="B9178" s="405"/>
      <c r="C9178" s="405"/>
      <c r="D9178" s="405"/>
      <c r="E9178" s="405" t="s">
        <v>1046</v>
      </c>
      <c r="F9178" s="406">
        <v>29.26</v>
      </c>
      <c r="G9178" s="405" t="s">
        <v>1047</v>
      </c>
      <c r="H9178" s="406">
        <v>0</v>
      </c>
      <c r="I9178" s="405" t="s">
        <v>1048</v>
      </c>
      <c r="J9178" s="406">
        <v>29.26</v>
      </c>
      <c r="K9178"/>
    </row>
    <row r="9179" spans="1:11" ht="30" customHeight="1" thickBot="1" x14ac:dyDescent="0.35">
      <c r="A9179" s="405"/>
      <c r="B9179" s="405"/>
      <c r="C9179" s="405"/>
      <c r="D9179" s="405"/>
      <c r="E9179" s="405" t="s">
        <v>1049</v>
      </c>
      <c r="F9179" s="406">
        <v>0</v>
      </c>
      <c r="G9179" s="405"/>
      <c r="H9179" s="606"/>
      <c r="I9179" s="606" t="s">
        <v>1050</v>
      </c>
      <c r="J9179" s="406">
        <v>38.21</v>
      </c>
      <c r="K9179"/>
    </row>
    <row r="9180" spans="1:11" ht="15.6" thickTop="1" x14ac:dyDescent="0.3">
      <c r="A9180" s="407"/>
      <c r="B9180" s="407"/>
      <c r="C9180" s="407"/>
      <c r="D9180" s="407"/>
      <c r="E9180" s="407"/>
      <c r="F9180" s="407"/>
      <c r="G9180" s="407"/>
      <c r="H9180" s="407"/>
      <c r="I9180" s="407"/>
      <c r="J9180" s="407"/>
      <c r="K9180"/>
    </row>
    <row r="9181" spans="1:11" ht="15" x14ac:dyDescent="0.3">
      <c r="A9181" s="382"/>
      <c r="B9181" s="312" t="s">
        <v>413</v>
      </c>
      <c r="C9181" s="382" t="s">
        <v>414</v>
      </c>
      <c r="D9181" s="382" t="s">
        <v>415</v>
      </c>
      <c r="E9181" s="586" t="s">
        <v>1029</v>
      </c>
      <c r="F9181" s="586"/>
      <c r="G9181" s="383" t="s">
        <v>416</v>
      </c>
      <c r="H9181" s="312" t="s">
        <v>1030</v>
      </c>
      <c r="I9181" s="312" t="s">
        <v>3016</v>
      </c>
      <c r="J9181" s="312" t="s">
        <v>1031</v>
      </c>
      <c r="K9181" s="312" t="s">
        <v>1032</v>
      </c>
    </row>
    <row r="9182" spans="1:11" ht="17.399999999999999" customHeight="1" x14ac:dyDescent="0.3">
      <c r="A9182" s="313" t="s">
        <v>1033</v>
      </c>
      <c r="B9182" s="315" t="s">
        <v>8257</v>
      </c>
      <c r="C9182" s="313" t="s">
        <v>395</v>
      </c>
      <c r="D9182" s="313" t="s">
        <v>8258</v>
      </c>
      <c r="E9182" s="603" t="s">
        <v>7768</v>
      </c>
      <c r="F9182" s="603"/>
      <c r="G9182" s="314" t="s">
        <v>6</v>
      </c>
      <c r="H9182" s="399">
        <v>1</v>
      </c>
      <c r="I9182" s="316"/>
      <c r="J9182" s="316">
        <v>39.950000000000003</v>
      </c>
      <c r="K9182" s="316">
        <v>39.950000000000003</v>
      </c>
    </row>
    <row r="9183" spans="1:11" ht="26.4" x14ac:dyDescent="0.3">
      <c r="A9183" s="408" t="s">
        <v>1034</v>
      </c>
      <c r="B9183" s="409" t="s">
        <v>8138</v>
      </c>
      <c r="C9183" s="408" t="s">
        <v>395</v>
      </c>
      <c r="D9183" s="408" t="s">
        <v>8139</v>
      </c>
      <c r="E9183" s="604" t="s">
        <v>7768</v>
      </c>
      <c r="F9183" s="604"/>
      <c r="G9183" s="410" t="s">
        <v>6</v>
      </c>
      <c r="H9183" s="412">
        <v>1</v>
      </c>
      <c r="I9183" s="412">
        <v>0</v>
      </c>
      <c r="J9183" s="411">
        <v>0.26</v>
      </c>
      <c r="K9183" s="411">
        <v>0.26</v>
      </c>
    </row>
    <row r="9184" spans="1:11" ht="15" x14ac:dyDescent="0.3">
      <c r="A9184" s="400" t="s">
        <v>1038</v>
      </c>
      <c r="B9184" s="401" t="s">
        <v>4920</v>
      </c>
      <c r="C9184" s="400" t="s">
        <v>395</v>
      </c>
      <c r="D9184" s="400" t="s">
        <v>4921</v>
      </c>
      <c r="E9184" s="605" t="s">
        <v>1053</v>
      </c>
      <c r="F9184" s="605"/>
      <c r="G9184" s="402" t="s">
        <v>6</v>
      </c>
      <c r="H9184" s="403">
        <v>1</v>
      </c>
      <c r="I9184" s="403">
        <v>0</v>
      </c>
      <c r="J9184" s="404">
        <v>30.74</v>
      </c>
      <c r="K9184" s="404">
        <v>30.74</v>
      </c>
    </row>
    <row r="9185" spans="1:11" ht="30" customHeight="1" x14ac:dyDescent="0.3">
      <c r="A9185" s="400" t="s">
        <v>1038</v>
      </c>
      <c r="B9185" s="401" t="s">
        <v>4028</v>
      </c>
      <c r="C9185" s="400" t="s">
        <v>395</v>
      </c>
      <c r="D9185" s="400" t="s">
        <v>4029</v>
      </c>
      <c r="E9185" s="605" t="s">
        <v>4030</v>
      </c>
      <c r="F9185" s="605"/>
      <c r="G9185" s="402" t="s">
        <v>6</v>
      </c>
      <c r="H9185" s="403">
        <v>1</v>
      </c>
      <c r="I9185" s="403">
        <v>0</v>
      </c>
      <c r="J9185" s="404">
        <v>4.78</v>
      </c>
      <c r="K9185" s="404">
        <v>4.78</v>
      </c>
    </row>
    <row r="9186" spans="1:11" ht="15" x14ac:dyDescent="0.3">
      <c r="A9186" s="400" t="s">
        <v>1038</v>
      </c>
      <c r="B9186" s="401" t="s">
        <v>4066</v>
      </c>
      <c r="C9186" s="400" t="s">
        <v>395</v>
      </c>
      <c r="D9186" s="400" t="s">
        <v>4067</v>
      </c>
      <c r="E9186" s="605" t="s">
        <v>2381</v>
      </c>
      <c r="F9186" s="605"/>
      <c r="G9186" s="402" t="s">
        <v>6</v>
      </c>
      <c r="H9186" s="403">
        <v>1</v>
      </c>
      <c r="I9186" s="403">
        <v>0</v>
      </c>
      <c r="J9186" s="404">
        <v>1.72</v>
      </c>
      <c r="K9186" s="404">
        <v>1.72</v>
      </c>
    </row>
    <row r="9187" spans="1:11" ht="15" x14ac:dyDescent="0.3">
      <c r="A9187" s="400" t="s">
        <v>1038</v>
      </c>
      <c r="B9187" s="401" t="s">
        <v>4078</v>
      </c>
      <c r="C9187" s="400" t="s">
        <v>395</v>
      </c>
      <c r="D9187" s="400" t="s">
        <v>4079</v>
      </c>
      <c r="E9187" s="605" t="s">
        <v>4030</v>
      </c>
      <c r="F9187" s="605"/>
      <c r="G9187" s="402" t="s">
        <v>6</v>
      </c>
      <c r="H9187" s="403">
        <v>1</v>
      </c>
      <c r="I9187" s="403">
        <v>0</v>
      </c>
      <c r="J9187" s="404">
        <v>1.25</v>
      </c>
      <c r="K9187" s="404">
        <v>1.25</v>
      </c>
    </row>
    <row r="9188" spans="1:11" ht="17.399999999999999" customHeight="1" x14ac:dyDescent="0.3">
      <c r="A9188" s="400" t="s">
        <v>1038</v>
      </c>
      <c r="B9188" s="401" t="s">
        <v>4274</v>
      </c>
      <c r="C9188" s="400" t="s">
        <v>395</v>
      </c>
      <c r="D9188" s="400" t="s">
        <v>4275</v>
      </c>
      <c r="E9188" s="605" t="s">
        <v>2386</v>
      </c>
      <c r="F9188" s="605"/>
      <c r="G9188" s="402" t="s">
        <v>6</v>
      </c>
      <c r="H9188" s="403">
        <v>1</v>
      </c>
      <c r="I9188" s="403">
        <v>0</v>
      </c>
      <c r="J9188" s="404">
        <v>0.11</v>
      </c>
      <c r="K9188" s="404">
        <v>0.11</v>
      </c>
    </row>
    <row r="9189" spans="1:11" ht="26.4" x14ac:dyDescent="0.3">
      <c r="A9189" s="400" t="s">
        <v>1038</v>
      </c>
      <c r="B9189" s="401" t="s">
        <v>5001</v>
      </c>
      <c r="C9189" s="400" t="s">
        <v>395</v>
      </c>
      <c r="D9189" s="400" t="s">
        <v>5002</v>
      </c>
      <c r="E9189" s="605" t="s">
        <v>1317</v>
      </c>
      <c r="F9189" s="605"/>
      <c r="G9189" s="402" t="s">
        <v>6</v>
      </c>
      <c r="H9189" s="403">
        <v>1</v>
      </c>
      <c r="I9189" s="403">
        <v>0</v>
      </c>
      <c r="J9189" s="404">
        <v>0.02</v>
      </c>
      <c r="K9189" s="404">
        <v>0.02</v>
      </c>
    </row>
    <row r="9190" spans="1:11" ht="26.4" x14ac:dyDescent="0.3">
      <c r="A9190" s="400" t="s">
        <v>1038</v>
      </c>
      <c r="B9190" s="401" t="s">
        <v>4508</v>
      </c>
      <c r="C9190" s="400" t="s">
        <v>395</v>
      </c>
      <c r="D9190" s="400" t="s">
        <v>4509</v>
      </c>
      <c r="E9190" s="605" t="s">
        <v>1317</v>
      </c>
      <c r="F9190" s="605"/>
      <c r="G9190" s="402" t="s">
        <v>6</v>
      </c>
      <c r="H9190" s="403">
        <v>1</v>
      </c>
      <c r="I9190" s="403">
        <v>0</v>
      </c>
      <c r="J9190" s="404">
        <v>1.07</v>
      </c>
      <c r="K9190" s="404">
        <v>1.07</v>
      </c>
    </row>
    <row r="9191" spans="1:11" ht="30" customHeight="1" x14ac:dyDescent="0.3">
      <c r="A9191" s="405"/>
      <c r="B9191" s="405"/>
      <c r="C9191" s="405"/>
      <c r="D9191" s="405"/>
      <c r="E9191" s="405" t="s">
        <v>1046</v>
      </c>
      <c r="F9191" s="406">
        <v>31</v>
      </c>
      <c r="G9191" s="405" t="s">
        <v>1047</v>
      </c>
      <c r="H9191" s="406">
        <v>0</v>
      </c>
      <c r="I9191" s="405" t="s">
        <v>1048</v>
      </c>
      <c r="J9191" s="406">
        <v>31</v>
      </c>
      <c r="K9191"/>
    </row>
    <row r="9192" spans="1:11" ht="15.6" thickBot="1" x14ac:dyDescent="0.35">
      <c r="A9192" s="405"/>
      <c r="B9192" s="405"/>
      <c r="C9192" s="405"/>
      <c r="D9192" s="405"/>
      <c r="E9192" s="405" t="s">
        <v>1049</v>
      </c>
      <c r="F9192" s="406">
        <v>0</v>
      </c>
      <c r="G9192" s="405"/>
      <c r="H9192" s="606"/>
      <c r="I9192" s="606" t="s">
        <v>1050</v>
      </c>
      <c r="J9192" s="406">
        <v>39.950000000000003</v>
      </c>
      <c r="K9192"/>
    </row>
    <row r="9193" spans="1:11" ht="15.6" thickTop="1" x14ac:dyDescent="0.3">
      <c r="A9193" s="407"/>
      <c r="B9193" s="407"/>
      <c r="C9193" s="407"/>
      <c r="D9193" s="407"/>
      <c r="E9193" s="407"/>
      <c r="F9193" s="407"/>
      <c r="G9193" s="407"/>
      <c r="H9193" s="407"/>
      <c r="I9193" s="407"/>
      <c r="J9193" s="407"/>
      <c r="K9193"/>
    </row>
    <row r="9194" spans="1:11" ht="17.399999999999999" customHeight="1" x14ac:dyDescent="0.3">
      <c r="A9194" s="382"/>
      <c r="B9194" s="312" t="s">
        <v>413</v>
      </c>
      <c r="C9194" s="382" t="s">
        <v>414</v>
      </c>
      <c r="D9194" s="382" t="s">
        <v>415</v>
      </c>
      <c r="E9194" s="586" t="s">
        <v>1029</v>
      </c>
      <c r="F9194" s="586"/>
      <c r="G9194" s="383" t="s">
        <v>416</v>
      </c>
      <c r="H9194" s="312" t="s">
        <v>1030</v>
      </c>
      <c r="I9194" s="312" t="s">
        <v>3016</v>
      </c>
      <c r="J9194" s="312" t="s">
        <v>1031</v>
      </c>
      <c r="K9194" s="312" t="s">
        <v>1032</v>
      </c>
    </row>
    <row r="9195" spans="1:11" ht="26.4" x14ac:dyDescent="0.3">
      <c r="A9195" s="313" t="s">
        <v>1033</v>
      </c>
      <c r="B9195" s="315" t="s">
        <v>1289</v>
      </c>
      <c r="C9195" s="313" t="s">
        <v>395</v>
      </c>
      <c r="D9195" s="313" t="s">
        <v>142</v>
      </c>
      <c r="E9195" s="603" t="s">
        <v>7768</v>
      </c>
      <c r="F9195" s="603"/>
      <c r="G9195" s="314" t="s">
        <v>6</v>
      </c>
      <c r="H9195" s="399">
        <v>1</v>
      </c>
      <c r="I9195" s="316"/>
      <c r="J9195" s="316">
        <v>43.16</v>
      </c>
      <c r="K9195" s="316">
        <v>43.16</v>
      </c>
    </row>
    <row r="9196" spans="1:11" ht="26.4" x14ac:dyDescent="0.3">
      <c r="A9196" s="408" t="s">
        <v>1034</v>
      </c>
      <c r="B9196" s="409" t="s">
        <v>8140</v>
      </c>
      <c r="C9196" s="408" t="s">
        <v>395</v>
      </c>
      <c r="D9196" s="408" t="s">
        <v>8141</v>
      </c>
      <c r="E9196" s="604" t="s">
        <v>7768</v>
      </c>
      <c r="F9196" s="604"/>
      <c r="G9196" s="410" t="s">
        <v>6</v>
      </c>
      <c r="H9196" s="412">
        <v>1</v>
      </c>
      <c r="I9196" s="412">
        <v>0</v>
      </c>
      <c r="J9196" s="411">
        <v>0.28000000000000003</v>
      </c>
      <c r="K9196" s="411">
        <v>0.28000000000000003</v>
      </c>
    </row>
    <row r="9197" spans="1:11" ht="30" customHeight="1" x14ac:dyDescent="0.3">
      <c r="A9197" s="400" t="s">
        <v>1038</v>
      </c>
      <c r="B9197" s="401" t="s">
        <v>4837</v>
      </c>
      <c r="C9197" s="400" t="s">
        <v>395</v>
      </c>
      <c r="D9197" s="400" t="s">
        <v>4838</v>
      </c>
      <c r="E9197" s="605" t="s">
        <v>1053</v>
      </c>
      <c r="F9197" s="605"/>
      <c r="G9197" s="402" t="s">
        <v>6</v>
      </c>
      <c r="H9197" s="403">
        <v>1</v>
      </c>
      <c r="I9197" s="403">
        <v>0</v>
      </c>
      <c r="J9197" s="404">
        <v>33.93</v>
      </c>
      <c r="K9197" s="404">
        <v>33.93</v>
      </c>
    </row>
    <row r="9198" spans="1:11" ht="15" x14ac:dyDescent="0.3">
      <c r="A9198" s="400" t="s">
        <v>1038</v>
      </c>
      <c r="B9198" s="401" t="s">
        <v>4028</v>
      </c>
      <c r="C9198" s="400" t="s">
        <v>395</v>
      </c>
      <c r="D9198" s="400" t="s">
        <v>4029</v>
      </c>
      <c r="E9198" s="605" t="s">
        <v>4030</v>
      </c>
      <c r="F9198" s="605"/>
      <c r="G9198" s="402" t="s">
        <v>6</v>
      </c>
      <c r="H9198" s="403">
        <v>1</v>
      </c>
      <c r="I9198" s="403">
        <v>0</v>
      </c>
      <c r="J9198" s="404">
        <v>4.78</v>
      </c>
      <c r="K9198" s="404">
        <v>4.78</v>
      </c>
    </row>
    <row r="9199" spans="1:11" ht="15" x14ac:dyDescent="0.3">
      <c r="A9199" s="400" t="s">
        <v>1038</v>
      </c>
      <c r="B9199" s="401" t="s">
        <v>4066</v>
      </c>
      <c r="C9199" s="400" t="s">
        <v>395</v>
      </c>
      <c r="D9199" s="400" t="s">
        <v>4067</v>
      </c>
      <c r="E9199" s="605" t="s">
        <v>2381</v>
      </c>
      <c r="F9199" s="605"/>
      <c r="G9199" s="402" t="s">
        <v>6</v>
      </c>
      <c r="H9199" s="403">
        <v>1</v>
      </c>
      <c r="I9199" s="403">
        <v>0</v>
      </c>
      <c r="J9199" s="404">
        <v>1.72</v>
      </c>
      <c r="K9199" s="404">
        <v>1.72</v>
      </c>
    </row>
    <row r="9200" spans="1:11" ht="17.399999999999999" customHeight="1" x14ac:dyDescent="0.3">
      <c r="A9200" s="400" t="s">
        <v>1038</v>
      </c>
      <c r="B9200" s="401" t="s">
        <v>4078</v>
      </c>
      <c r="C9200" s="400" t="s">
        <v>395</v>
      </c>
      <c r="D9200" s="400" t="s">
        <v>4079</v>
      </c>
      <c r="E9200" s="605" t="s">
        <v>4030</v>
      </c>
      <c r="F9200" s="605"/>
      <c r="G9200" s="402" t="s">
        <v>6</v>
      </c>
      <c r="H9200" s="403">
        <v>1</v>
      </c>
      <c r="I9200" s="403">
        <v>0</v>
      </c>
      <c r="J9200" s="404">
        <v>1.25</v>
      </c>
      <c r="K9200" s="404">
        <v>1.25</v>
      </c>
    </row>
    <row r="9201" spans="1:11" ht="15" x14ac:dyDescent="0.3">
      <c r="A9201" s="400" t="s">
        <v>1038</v>
      </c>
      <c r="B9201" s="401" t="s">
        <v>4274</v>
      </c>
      <c r="C9201" s="400" t="s">
        <v>395</v>
      </c>
      <c r="D9201" s="400" t="s">
        <v>4275</v>
      </c>
      <c r="E9201" s="605" t="s">
        <v>2386</v>
      </c>
      <c r="F9201" s="605"/>
      <c r="G9201" s="402" t="s">
        <v>6</v>
      </c>
      <c r="H9201" s="403">
        <v>1</v>
      </c>
      <c r="I9201" s="403">
        <v>0</v>
      </c>
      <c r="J9201" s="404">
        <v>0.11</v>
      </c>
      <c r="K9201" s="404">
        <v>0.11</v>
      </c>
    </row>
    <row r="9202" spans="1:11" ht="26.4" x14ac:dyDescent="0.3">
      <c r="A9202" s="400" t="s">
        <v>1038</v>
      </c>
      <c r="B9202" s="401" t="s">
        <v>5001</v>
      </c>
      <c r="C9202" s="400" t="s">
        <v>395</v>
      </c>
      <c r="D9202" s="400" t="s">
        <v>5002</v>
      </c>
      <c r="E9202" s="605" t="s">
        <v>1317</v>
      </c>
      <c r="F9202" s="605"/>
      <c r="G9202" s="402" t="s">
        <v>6</v>
      </c>
      <c r="H9202" s="403">
        <v>1</v>
      </c>
      <c r="I9202" s="403">
        <v>0</v>
      </c>
      <c r="J9202" s="404">
        <v>0.02</v>
      </c>
      <c r="K9202" s="404">
        <v>0.02</v>
      </c>
    </row>
    <row r="9203" spans="1:11" ht="15" customHeight="1" x14ac:dyDescent="0.3">
      <c r="A9203" s="400" t="s">
        <v>1038</v>
      </c>
      <c r="B9203" s="401" t="s">
        <v>4508</v>
      </c>
      <c r="C9203" s="400" t="s">
        <v>395</v>
      </c>
      <c r="D9203" s="400" t="s">
        <v>4509</v>
      </c>
      <c r="E9203" s="605" t="s">
        <v>1317</v>
      </c>
      <c r="F9203" s="605"/>
      <c r="G9203" s="402" t="s">
        <v>6</v>
      </c>
      <c r="H9203" s="403">
        <v>1</v>
      </c>
      <c r="I9203" s="403">
        <v>0</v>
      </c>
      <c r="J9203" s="404">
        <v>1.07</v>
      </c>
      <c r="K9203" s="404">
        <v>1.07</v>
      </c>
    </row>
    <row r="9204" spans="1:11" ht="30" customHeight="1" x14ac:dyDescent="0.3">
      <c r="A9204" s="405"/>
      <c r="B9204" s="405"/>
      <c r="C9204" s="405"/>
      <c r="D9204" s="405"/>
      <c r="E9204" s="405" t="s">
        <v>1046</v>
      </c>
      <c r="F9204" s="406">
        <v>34.21</v>
      </c>
      <c r="G9204" s="405" t="s">
        <v>1047</v>
      </c>
      <c r="H9204" s="406">
        <v>0</v>
      </c>
      <c r="I9204" s="405" t="s">
        <v>1048</v>
      </c>
      <c r="J9204" s="406">
        <v>34.21</v>
      </c>
      <c r="K9204"/>
    </row>
    <row r="9205" spans="1:11" ht="15.6" thickBot="1" x14ac:dyDescent="0.35">
      <c r="A9205" s="405"/>
      <c r="B9205" s="405"/>
      <c r="C9205" s="405"/>
      <c r="D9205" s="405"/>
      <c r="E9205" s="405" t="s">
        <v>1049</v>
      </c>
      <c r="F9205" s="406">
        <v>0</v>
      </c>
      <c r="G9205" s="405"/>
      <c r="H9205" s="606"/>
      <c r="I9205" s="606" t="s">
        <v>1050</v>
      </c>
      <c r="J9205" s="406">
        <v>43.16</v>
      </c>
      <c r="K9205"/>
    </row>
    <row r="9206" spans="1:11" ht="15.6" thickTop="1" x14ac:dyDescent="0.3">
      <c r="A9206" s="407"/>
      <c r="B9206" s="407"/>
      <c r="C9206" s="407"/>
      <c r="D9206" s="407"/>
      <c r="E9206" s="407"/>
      <c r="F9206" s="407"/>
      <c r="G9206" s="407"/>
      <c r="H9206" s="407"/>
      <c r="I9206" s="407"/>
      <c r="J9206" s="407"/>
      <c r="K9206"/>
    </row>
    <row r="9207" spans="1:11" ht="15" x14ac:dyDescent="0.3">
      <c r="A9207" s="382"/>
      <c r="B9207" s="312" t="s">
        <v>413</v>
      </c>
      <c r="C9207" s="382" t="s">
        <v>414</v>
      </c>
      <c r="D9207" s="382" t="s">
        <v>415</v>
      </c>
      <c r="E9207" s="586" t="s">
        <v>1029</v>
      </c>
      <c r="F9207" s="586"/>
      <c r="G9207" s="383" t="s">
        <v>416</v>
      </c>
      <c r="H9207" s="312" t="s">
        <v>1030</v>
      </c>
      <c r="I9207" s="312" t="s">
        <v>3016</v>
      </c>
      <c r="J9207" s="312" t="s">
        <v>1031</v>
      </c>
      <c r="K9207" s="312" t="s">
        <v>1032</v>
      </c>
    </row>
    <row r="9208" spans="1:11" ht="15" x14ac:dyDescent="0.3">
      <c r="A9208" s="313" t="s">
        <v>1033</v>
      </c>
      <c r="B9208" s="315" t="s">
        <v>1553</v>
      </c>
      <c r="C9208" s="313" t="s">
        <v>395</v>
      </c>
      <c r="D9208" s="313" t="s">
        <v>143</v>
      </c>
      <c r="E9208" s="603" t="s">
        <v>7768</v>
      </c>
      <c r="F9208" s="603"/>
      <c r="G9208" s="314" t="s">
        <v>6</v>
      </c>
      <c r="H9208" s="399">
        <v>1</v>
      </c>
      <c r="I9208" s="316"/>
      <c r="J9208" s="316">
        <v>41.28</v>
      </c>
      <c r="K9208" s="316">
        <v>41.28</v>
      </c>
    </row>
    <row r="9209" spans="1:11" ht="26.4" x14ac:dyDescent="0.3">
      <c r="A9209" s="408" t="s">
        <v>1034</v>
      </c>
      <c r="B9209" s="409" t="s">
        <v>8142</v>
      </c>
      <c r="C9209" s="408" t="s">
        <v>395</v>
      </c>
      <c r="D9209" s="408" t="s">
        <v>8143</v>
      </c>
      <c r="E9209" s="604" t="s">
        <v>7768</v>
      </c>
      <c r="F9209" s="604"/>
      <c r="G9209" s="410" t="s">
        <v>6</v>
      </c>
      <c r="H9209" s="412">
        <v>1</v>
      </c>
      <c r="I9209" s="412">
        <v>0</v>
      </c>
      <c r="J9209" s="411">
        <v>0.27</v>
      </c>
      <c r="K9209" s="411">
        <v>0.27</v>
      </c>
    </row>
    <row r="9210" spans="1:11" ht="15" x14ac:dyDescent="0.3">
      <c r="A9210" s="400" t="s">
        <v>1038</v>
      </c>
      <c r="B9210" s="401" t="s">
        <v>4672</v>
      </c>
      <c r="C9210" s="400" t="s">
        <v>395</v>
      </c>
      <c r="D9210" s="400" t="s">
        <v>4673</v>
      </c>
      <c r="E9210" s="605" t="s">
        <v>1053</v>
      </c>
      <c r="F9210" s="605"/>
      <c r="G9210" s="402" t="s">
        <v>6</v>
      </c>
      <c r="H9210" s="403">
        <v>1</v>
      </c>
      <c r="I9210" s="403">
        <v>0</v>
      </c>
      <c r="J9210" s="404">
        <v>32.06</v>
      </c>
      <c r="K9210" s="404">
        <v>32.06</v>
      </c>
    </row>
    <row r="9211" spans="1:11" ht="15" x14ac:dyDescent="0.3">
      <c r="A9211" s="400" t="s">
        <v>1038</v>
      </c>
      <c r="B9211" s="401" t="s">
        <v>4028</v>
      </c>
      <c r="C9211" s="400" t="s">
        <v>395</v>
      </c>
      <c r="D9211" s="400" t="s">
        <v>4029</v>
      </c>
      <c r="E9211" s="605" t="s">
        <v>4030</v>
      </c>
      <c r="F9211" s="605"/>
      <c r="G9211" s="402" t="s">
        <v>6</v>
      </c>
      <c r="H9211" s="403">
        <v>1</v>
      </c>
      <c r="I9211" s="403">
        <v>0</v>
      </c>
      <c r="J9211" s="404">
        <v>4.78</v>
      </c>
      <c r="K9211" s="404">
        <v>4.78</v>
      </c>
    </row>
    <row r="9212" spans="1:11" ht="15" x14ac:dyDescent="0.3">
      <c r="A9212" s="400" t="s">
        <v>1038</v>
      </c>
      <c r="B9212" s="401" t="s">
        <v>4066</v>
      </c>
      <c r="C9212" s="400" t="s">
        <v>395</v>
      </c>
      <c r="D9212" s="400" t="s">
        <v>4067</v>
      </c>
      <c r="E9212" s="605" t="s">
        <v>2381</v>
      </c>
      <c r="F9212" s="605"/>
      <c r="G9212" s="402" t="s">
        <v>6</v>
      </c>
      <c r="H9212" s="403">
        <v>1</v>
      </c>
      <c r="I9212" s="403">
        <v>0</v>
      </c>
      <c r="J9212" s="404">
        <v>1.72</v>
      </c>
      <c r="K9212" s="404">
        <v>1.72</v>
      </c>
    </row>
    <row r="9213" spans="1:11" ht="17.399999999999999" customHeight="1" x14ac:dyDescent="0.3">
      <c r="A9213" s="400" t="s">
        <v>1038</v>
      </c>
      <c r="B9213" s="401" t="s">
        <v>4078</v>
      </c>
      <c r="C9213" s="400" t="s">
        <v>395</v>
      </c>
      <c r="D9213" s="400" t="s">
        <v>4079</v>
      </c>
      <c r="E9213" s="605" t="s">
        <v>4030</v>
      </c>
      <c r="F9213" s="605"/>
      <c r="G9213" s="402" t="s">
        <v>6</v>
      </c>
      <c r="H9213" s="403">
        <v>1</v>
      </c>
      <c r="I9213" s="403">
        <v>0</v>
      </c>
      <c r="J9213" s="404">
        <v>1.25</v>
      </c>
      <c r="K9213" s="404">
        <v>1.25</v>
      </c>
    </row>
    <row r="9214" spans="1:11" ht="15" x14ac:dyDescent="0.3">
      <c r="A9214" s="400" t="s">
        <v>1038</v>
      </c>
      <c r="B9214" s="401" t="s">
        <v>4274</v>
      </c>
      <c r="C9214" s="400" t="s">
        <v>395</v>
      </c>
      <c r="D9214" s="400" t="s">
        <v>4275</v>
      </c>
      <c r="E9214" s="605" t="s">
        <v>2386</v>
      </c>
      <c r="F9214" s="605"/>
      <c r="G9214" s="402" t="s">
        <v>6</v>
      </c>
      <c r="H9214" s="403">
        <v>1</v>
      </c>
      <c r="I9214" s="403">
        <v>0</v>
      </c>
      <c r="J9214" s="404">
        <v>0.11</v>
      </c>
      <c r="K9214" s="404">
        <v>0.11</v>
      </c>
    </row>
    <row r="9215" spans="1:11" ht="26.4" x14ac:dyDescent="0.3">
      <c r="A9215" s="400" t="s">
        <v>1038</v>
      </c>
      <c r="B9215" s="401" t="s">
        <v>5001</v>
      </c>
      <c r="C9215" s="400" t="s">
        <v>395</v>
      </c>
      <c r="D9215" s="400" t="s">
        <v>5002</v>
      </c>
      <c r="E9215" s="605" t="s">
        <v>1317</v>
      </c>
      <c r="F9215" s="605"/>
      <c r="G9215" s="402" t="s">
        <v>6</v>
      </c>
      <c r="H9215" s="403">
        <v>1</v>
      </c>
      <c r="I9215" s="403">
        <v>0</v>
      </c>
      <c r="J9215" s="404">
        <v>0.02</v>
      </c>
      <c r="K9215" s="404">
        <v>0.02</v>
      </c>
    </row>
    <row r="9216" spans="1:11" ht="15" customHeight="1" x14ac:dyDescent="0.3">
      <c r="A9216" s="400" t="s">
        <v>1038</v>
      </c>
      <c r="B9216" s="401" t="s">
        <v>4508</v>
      </c>
      <c r="C9216" s="400" t="s">
        <v>395</v>
      </c>
      <c r="D9216" s="400" t="s">
        <v>4509</v>
      </c>
      <c r="E9216" s="605" t="s">
        <v>1317</v>
      </c>
      <c r="F9216" s="605"/>
      <c r="G9216" s="402" t="s">
        <v>6</v>
      </c>
      <c r="H9216" s="403">
        <v>1</v>
      </c>
      <c r="I9216" s="403">
        <v>0</v>
      </c>
      <c r="J9216" s="404">
        <v>1.07</v>
      </c>
      <c r="K9216" s="404">
        <v>1.07</v>
      </c>
    </row>
    <row r="9217" spans="1:11" ht="30" customHeight="1" x14ac:dyDescent="0.3">
      <c r="A9217" s="405"/>
      <c r="B9217" s="405"/>
      <c r="C9217" s="405"/>
      <c r="D9217" s="405"/>
      <c r="E9217" s="405" t="s">
        <v>1046</v>
      </c>
      <c r="F9217" s="406">
        <v>32.33</v>
      </c>
      <c r="G9217" s="405" t="s">
        <v>1047</v>
      </c>
      <c r="H9217" s="406">
        <v>0</v>
      </c>
      <c r="I9217" s="405" t="s">
        <v>1048</v>
      </c>
      <c r="J9217" s="406">
        <v>32.33</v>
      </c>
      <c r="K9217"/>
    </row>
    <row r="9218" spans="1:11" ht="15.6" thickBot="1" x14ac:dyDescent="0.35">
      <c r="A9218" s="405"/>
      <c r="B9218" s="405"/>
      <c r="C9218" s="405"/>
      <c r="D9218" s="405"/>
      <c r="E9218" s="405" t="s">
        <v>1049</v>
      </c>
      <c r="F9218" s="406">
        <v>0</v>
      </c>
      <c r="G9218" s="405"/>
      <c r="H9218" s="606"/>
      <c r="I9218" s="606" t="s">
        <v>1050</v>
      </c>
      <c r="J9218" s="406">
        <v>41.28</v>
      </c>
      <c r="K9218"/>
    </row>
    <row r="9219" spans="1:11" ht="15.6" thickTop="1" x14ac:dyDescent="0.3">
      <c r="A9219" s="407"/>
      <c r="B9219" s="407"/>
      <c r="C9219" s="407"/>
      <c r="D9219" s="407"/>
      <c r="E9219" s="407"/>
      <c r="F9219" s="407"/>
      <c r="G9219" s="407"/>
      <c r="H9219" s="407"/>
      <c r="I9219" s="407"/>
      <c r="J9219" s="407"/>
      <c r="K9219"/>
    </row>
    <row r="9220" spans="1:11" ht="15" x14ac:dyDescent="0.3">
      <c r="A9220" s="382"/>
      <c r="B9220" s="312" t="s">
        <v>413</v>
      </c>
      <c r="C9220" s="382" t="s">
        <v>414</v>
      </c>
      <c r="D9220" s="382" t="s">
        <v>415</v>
      </c>
      <c r="E9220" s="586" t="s">
        <v>1029</v>
      </c>
      <c r="F9220" s="586"/>
      <c r="G9220" s="383" t="s">
        <v>416</v>
      </c>
      <c r="H9220" s="312" t="s">
        <v>1030</v>
      </c>
      <c r="I9220" s="312" t="s">
        <v>3016</v>
      </c>
      <c r="J9220" s="312" t="s">
        <v>1031</v>
      </c>
      <c r="K9220" s="312" t="s">
        <v>1032</v>
      </c>
    </row>
    <row r="9221" spans="1:11" ht="39.6" x14ac:dyDescent="0.3">
      <c r="A9221" s="313" t="s">
        <v>1033</v>
      </c>
      <c r="B9221" s="315" t="s">
        <v>5138</v>
      </c>
      <c r="C9221" s="313" t="s">
        <v>395</v>
      </c>
      <c r="D9221" s="313" t="s">
        <v>7774</v>
      </c>
      <c r="E9221" s="603" t="s">
        <v>7771</v>
      </c>
      <c r="F9221" s="603"/>
      <c r="G9221" s="314" t="s">
        <v>675</v>
      </c>
      <c r="H9221" s="399">
        <v>1</v>
      </c>
      <c r="I9221" s="316"/>
      <c r="J9221" s="316">
        <v>129.85</v>
      </c>
      <c r="K9221" s="316">
        <v>129.85</v>
      </c>
    </row>
    <row r="9222" spans="1:11" ht="26.4" x14ac:dyDescent="0.3">
      <c r="A9222" s="408" t="s">
        <v>1034</v>
      </c>
      <c r="B9222" s="409" t="s">
        <v>1288</v>
      </c>
      <c r="C9222" s="408" t="s">
        <v>395</v>
      </c>
      <c r="D9222" s="408" t="s">
        <v>124</v>
      </c>
      <c r="E9222" s="604" t="s">
        <v>7768</v>
      </c>
      <c r="F9222" s="604"/>
      <c r="G9222" s="410" t="s">
        <v>6</v>
      </c>
      <c r="H9222" s="412">
        <v>0.68899999999999995</v>
      </c>
      <c r="I9222" s="412">
        <v>0</v>
      </c>
      <c r="J9222" s="411">
        <v>33.47</v>
      </c>
      <c r="K9222" s="411">
        <v>23.060829999999999</v>
      </c>
    </row>
    <row r="9223" spans="1:11" ht="26.4" x14ac:dyDescent="0.3">
      <c r="A9223" s="408" t="s">
        <v>1034</v>
      </c>
      <c r="B9223" s="409" t="s">
        <v>1287</v>
      </c>
      <c r="C9223" s="408" t="s">
        <v>395</v>
      </c>
      <c r="D9223" s="408" t="s">
        <v>134</v>
      </c>
      <c r="E9223" s="604" t="s">
        <v>7768</v>
      </c>
      <c r="F9223" s="604"/>
      <c r="G9223" s="410" t="s">
        <v>6</v>
      </c>
      <c r="H9223" s="412">
        <v>1.0209999999999999</v>
      </c>
      <c r="I9223" s="412">
        <v>0</v>
      </c>
      <c r="J9223" s="411">
        <v>42.08</v>
      </c>
      <c r="K9223" s="411">
        <v>42.963679999999997</v>
      </c>
    </row>
    <row r="9224" spans="1:11" ht="26.4" x14ac:dyDescent="0.3">
      <c r="A9224" s="408" t="s">
        <v>1034</v>
      </c>
      <c r="B9224" s="409" t="s">
        <v>5130</v>
      </c>
      <c r="C9224" s="408" t="s">
        <v>395</v>
      </c>
      <c r="D9224" s="408" t="s">
        <v>5131</v>
      </c>
      <c r="E9224" s="604" t="s">
        <v>7772</v>
      </c>
      <c r="F9224" s="604"/>
      <c r="G9224" s="410" t="s">
        <v>15</v>
      </c>
      <c r="H9224" s="412">
        <v>2.53E-2</v>
      </c>
      <c r="I9224" s="412">
        <v>0</v>
      </c>
      <c r="J9224" s="411">
        <v>44.3</v>
      </c>
      <c r="K9224" s="411">
        <v>1.12079</v>
      </c>
    </row>
    <row r="9225" spans="1:11" ht="26.4" x14ac:dyDescent="0.3">
      <c r="A9225" s="408" t="s">
        <v>1034</v>
      </c>
      <c r="B9225" s="409" t="s">
        <v>5132</v>
      </c>
      <c r="C9225" s="408" t="s">
        <v>395</v>
      </c>
      <c r="D9225" s="408" t="s">
        <v>5133</v>
      </c>
      <c r="E9225" s="604" t="s">
        <v>7772</v>
      </c>
      <c r="F9225" s="604"/>
      <c r="G9225" s="410" t="s">
        <v>19</v>
      </c>
      <c r="H9225" s="412">
        <v>0.1016</v>
      </c>
      <c r="I9225" s="412">
        <v>0</v>
      </c>
      <c r="J9225" s="411">
        <v>42.49</v>
      </c>
      <c r="K9225" s="411">
        <v>4.3169839999999997</v>
      </c>
    </row>
    <row r="9226" spans="1:11" ht="17.399999999999999" customHeight="1" x14ac:dyDescent="0.3">
      <c r="A9226" s="408" t="s">
        <v>1034</v>
      </c>
      <c r="B9226" s="409" t="s">
        <v>5134</v>
      </c>
      <c r="C9226" s="408" t="s">
        <v>395</v>
      </c>
      <c r="D9226" s="408" t="s">
        <v>5135</v>
      </c>
      <c r="E9226" s="604" t="s">
        <v>7773</v>
      </c>
      <c r="F9226" s="604"/>
      <c r="G9226" s="410" t="s">
        <v>713</v>
      </c>
      <c r="H9226" s="412">
        <v>4.3E-3</v>
      </c>
      <c r="I9226" s="412">
        <v>0</v>
      </c>
      <c r="J9226" s="411">
        <v>535.80999999999995</v>
      </c>
      <c r="K9226" s="411">
        <v>2.3039830000000001</v>
      </c>
    </row>
    <row r="9227" spans="1:11" ht="26.4" x14ac:dyDescent="0.3">
      <c r="A9227" s="400" t="s">
        <v>1038</v>
      </c>
      <c r="B9227" s="401" t="s">
        <v>2495</v>
      </c>
      <c r="C9227" s="400" t="s">
        <v>395</v>
      </c>
      <c r="D9227" s="400" t="s">
        <v>306</v>
      </c>
      <c r="E9227" s="605" t="s">
        <v>1039</v>
      </c>
      <c r="F9227" s="605"/>
      <c r="G9227" s="402" t="s">
        <v>7</v>
      </c>
      <c r="H9227" s="403">
        <v>1.8032999999999999</v>
      </c>
      <c r="I9227" s="403">
        <v>0</v>
      </c>
      <c r="J9227" s="404">
        <v>7.92</v>
      </c>
      <c r="K9227" s="404">
        <v>14.282135999999999</v>
      </c>
    </row>
    <row r="9228" spans="1:11" ht="15" x14ac:dyDescent="0.3">
      <c r="A9228" s="400" t="s">
        <v>1038</v>
      </c>
      <c r="B9228" s="401" t="s">
        <v>1305</v>
      </c>
      <c r="C9228" s="400" t="s">
        <v>395</v>
      </c>
      <c r="D9228" s="400" t="s">
        <v>275</v>
      </c>
      <c r="E9228" s="605" t="s">
        <v>1039</v>
      </c>
      <c r="F9228" s="605"/>
      <c r="G9228" s="402" t="s">
        <v>3</v>
      </c>
      <c r="H9228" s="403">
        <v>6.9000000000000006E-2</v>
      </c>
      <c r="I9228" s="403">
        <v>0</v>
      </c>
      <c r="J9228" s="404">
        <v>18</v>
      </c>
      <c r="K9228" s="404">
        <v>1.242</v>
      </c>
    </row>
    <row r="9229" spans="1:11" ht="26.4" x14ac:dyDescent="0.3">
      <c r="A9229" s="400" t="s">
        <v>1038</v>
      </c>
      <c r="B9229" s="401" t="s">
        <v>6537</v>
      </c>
      <c r="C9229" s="400" t="s">
        <v>395</v>
      </c>
      <c r="D9229" s="400" t="s">
        <v>6538</v>
      </c>
      <c r="E9229" s="605" t="s">
        <v>1039</v>
      </c>
      <c r="F9229" s="605"/>
      <c r="G9229" s="402" t="s">
        <v>7</v>
      </c>
      <c r="H9229" s="403">
        <v>1.8032999999999999</v>
      </c>
      <c r="I9229" s="403">
        <v>0</v>
      </c>
      <c r="J9229" s="404">
        <v>5.65</v>
      </c>
      <c r="K9229" s="404">
        <v>10.188644999999999</v>
      </c>
    </row>
    <row r="9230" spans="1:11" ht="39.6" x14ac:dyDescent="0.3">
      <c r="A9230" s="400" t="s">
        <v>1038</v>
      </c>
      <c r="B9230" s="401" t="s">
        <v>4094</v>
      </c>
      <c r="C9230" s="400" t="s">
        <v>395</v>
      </c>
      <c r="D9230" s="400" t="s">
        <v>4095</v>
      </c>
      <c r="E9230" s="605" t="s">
        <v>1039</v>
      </c>
      <c r="F9230" s="605"/>
      <c r="G9230" s="402" t="s">
        <v>675</v>
      </c>
      <c r="H9230" s="403">
        <v>1.050038</v>
      </c>
      <c r="I9230" s="403">
        <v>0</v>
      </c>
      <c r="J9230" s="404">
        <v>28.92</v>
      </c>
      <c r="K9230" s="404">
        <v>30.367099</v>
      </c>
    </row>
    <row r="9231" spans="1:11" ht="15" x14ac:dyDescent="0.3">
      <c r="A9231" s="405"/>
      <c r="B9231" s="405"/>
      <c r="C9231" s="405"/>
      <c r="D9231" s="405"/>
      <c r="E9231" s="405" t="s">
        <v>1046</v>
      </c>
      <c r="F9231" s="406">
        <v>54.08</v>
      </c>
      <c r="G9231" s="405" t="s">
        <v>1047</v>
      </c>
      <c r="H9231" s="406">
        <v>0.01</v>
      </c>
      <c r="I9231" s="405" t="s">
        <v>1048</v>
      </c>
      <c r="J9231" s="406">
        <v>54.09</v>
      </c>
      <c r="K9231"/>
    </row>
    <row r="9232" spans="1:11" ht="15.6" thickBot="1" x14ac:dyDescent="0.35">
      <c r="A9232" s="405"/>
      <c r="B9232" s="405"/>
      <c r="C9232" s="405"/>
      <c r="D9232" s="405"/>
      <c r="E9232" s="405" t="s">
        <v>1049</v>
      </c>
      <c r="F9232" s="406">
        <v>0</v>
      </c>
      <c r="G9232" s="405"/>
      <c r="H9232" s="606"/>
      <c r="I9232" s="606" t="s">
        <v>1050</v>
      </c>
      <c r="J9232" s="406">
        <v>129.85</v>
      </c>
      <c r="K9232"/>
    </row>
    <row r="9233" spans="1:11" ht="15.6" thickTop="1" x14ac:dyDescent="0.3">
      <c r="A9233" s="407"/>
      <c r="B9233" s="407"/>
      <c r="C9233" s="407"/>
      <c r="D9233" s="407"/>
      <c r="E9233" s="407"/>
      <c r="F9233" s="407"/>
      <c r="G9233" s="407"/>
      <c r="H9233" s="407"/>
      <c r="I9233" s="407"/>
      <c r="J9233" s="407"/>
      <c r="K9233"/>
    </row>
    <row r="9234" spans="1:11" ht="15" x14ac:dyDescent="0.3">
      <c r="A9234" s="382"/>
      <c r="B9234" s="312" t="s">
        <v>413</v>
      </c>
      <c r="C9234" s="382" t="s">
        <v>414</v>
      </c>
      <c r="D9234" s="382" t="s">
        <v>415</v>
      </c>
      <c r="E9234" s="586" t="s">
        <v>1029</v>
      </c>
      <c r="F9234" s="586"/>
      <c r="G9234" s="383" t="s">
        <v>416</v>
      </c>
      <c r="H9234" s="312" t="s">
        <v>1030</v>
      </c>
      <c r="I9234" s="312" t="s">
        <v>3016</v>
      </c>
      <c r="J9234" s="312" t="s">
        <v>1031</v>
      </c>
      <c r="K9234" s="312" t="s">
        <v>1032</v>
      </c>
    </row>
    <row r="9235" spans="1:11" ht="39.6" x14ac:dyDescent="0.3">
      <c r="A9235" s="313" t="s">
        <v>1033</v>
      </c>
      <c r="B9235" s="315" t="s">
        <v>5140</v>
      </c>
      <c r="C9235" s="313" t="s">
        <v>395</v>
      </c>
      <c r="D9235" s="313" t="s">
        <v>7776</v>
      </c>
      <c r="E9235" s="603" t="s">
        <v>7771</v>
      </c>
      <c r="F9235" s="603"/>
      <c r="G9235" s="314" t="s">
        <v>675</v>
      </c>
      <c r="H9235" s="399">
        <v>1</v>
      </c>
      <c r="I9235" s="316"/>
      <c r="J9235" s="316">
        <v>169.83</v>
      </c>
      <c r="K9235" s="316">
        <v>169.83</v>
      </c>
    </row>
    <row r="9236" spans="1:11" ht="26.4" x14ac:dyDescent="0.3">
      <c r="A9236" s="408" t="s">
        <v>1034</v>
      </c>
      <c r="B9236" s="409" t="s">
        <v>1288</v>
      </c>
      <c r="C9236" s="408" t="s">
        <v>395</v>
      </c>
      <c r="D9236" s="408" t="s">
        <v>124</v>
      </c>
      <c r="E9236" s="604" t="s">
        <v>7768</v>
      </c>
      <c r="F9236" s="604"/>
      <c r="G9236" s="410" t="s">
        <v>6</v>
      </c>
      <c r="H9236" s="412">
        <v>0.995</v>
      </c>
      <c r="I9236" s="412">
        <v>0</v>
      </c>
      <c r="J9236" s="411">
        <v>33.47</v>
      </c>
      <c r="K9236" s="411">
        <v>33.30265</v>
      </c>
    </row>
    <row r="9237" spans="1:11" ht="26.4" x14ac:dyDescent="0.3">
      <c r="A9237" s="408" t="s">
        <v>1034</v>
      </c>
      <c r="B9237" s="409" t="s">
        <v>1287</v>
      </c>
      <c r="C9237" s="408" t="s">
        <v>395</v>
      </c>
      <c r="D9237" s="408" t="s">
        <v>134</v>
      </c>
      <c r="E9237" s="604" t="s">
        <v>7768</v>
      </c>
      <c r="F9237" s="604"/>
      <c r="G9237" s="410" t="s">
        <v>6</v>
      </c>
      <c r="H9237" s="412">
        <v>1.4750000000000001</v>
      </c>
      <c r="I9237" s="412">
        <v>0</v>
      </c>
      <c r="J9237" s="411">
        <v>42.08</v>
      </c>
      <c r="K9237" s="411">
        <v>62.067999999999998</v>
      </c>
    </row>
    <row r="9238" spans="1:11" ht="26.4" x14ac:dyDescent="0.3">
      <c r="A9238" s="408" t="s">
        <v>1034</v>
      </c>
      <c r="B9238" s="409" t="s">
        <v>5130</v>
      </c>
      <c r="C9238" s="408" t="s">
        <v>395</v>
      </c>
      <c r="D9238" s="408" t="s">
        <v>5131</v>
      </c>
      <c r="E9238" s="604" t="s">
        <v>7772</v>
      </c>
      <c r="F9238" s="604"/>
      <c r="G9238" s="410" t="s">
        <v>15</v>
      </c>
      <c r="H9238" s="412">
        <v>3.4599999999999999E-2</v>
      </c>
      <c r="I9238" s="412">
        <v>0</v>
      </c>
      <c r="J9238" s="411">
        <v>44.3</v>
      </c>
      <c r="K9238" s="411">
        <v>1.53278</v>
      </c>
    </row>
    <row r="9239" spans="1:11" ht="17.399999999999999" customHeight="1" x14ac:dyDescent="0.3">
      <c r="A9239" s="408" t="s">
        <v>1034</v>
      </c>
      <c r="B9239" s="409" t="s">
        <v>5132</v>
      </c>
      <c r="C9239" s="408" t="s">
        <v>395</v>
      </c>
      <c r="D9239" s="408" t="s">
        <v>5133</v>
      </c>
      <c r="E9239" s="604" t="s">
        <v>7772</v>
      </c>
      <c r="F9239" s="604"/>
      <c r="G9239" s="410" t="s">
        <v>19</v>
      </c>
      <c r="H9239" s="412">
        <v>0.1391</v>
      </c>
      <c r="I9239" s="412">
        <v>0</v>
      </c>
      <c r="J9239" s="411">
        <v>42.49</v>
      </c>
      <c r="K9239" s="411">
        <v>5.9103589999999997</v>
      </c>
    </row>
    <row r="9240" spans="1:11" ht="26.4" x14ac:dyDescent="0.3">
      <c r="A9240" s="408" t="s">
        <v>1034</v>
      </c>
      <c r="B9240" s="409" t="s">
        <v>5134</v>
      </c>
      <c r="C9240" s="408" t="s">
        <v>395</v>
      </c>
      <c r="D9240" s="408" t="s">
        <v>5135</v>
      </c>
      <c r="E9240" s="604" t="s">
        <v>7773</v>
      </c>
      <c r="F9240" s="604"/>
      <c r="G9240" s="410" t="s">
        <v>713</v>
      </c>
      <c r="H9240" s="412">
        <v>6.1999999999999998E-3</v>
      </c>
      <c r="I9240" s="412">
        <v>0</v>
      </c>
      <c r="J9240" s="411">
        <v>535.80999999999995</v>
      </c>
      <c r="K9240" s="411">
        <v>3.322022</v>
      </c>
    </row>
    <row r="9241" spans="1:11" ht="26.4" x14ac:dyDescent="0.3">
      <c r="A9241" s="400" t="s">
        <v>1038</v>
      </c>
      <c r="B9241" s="401" t="s">
        <v>2495</v>
      </c>
      <c r="C9241" s="400" t="s">
        <v>395</v>
      </c>
      <c r="D9241" s="400" t="s">
        <v>306</v>
      </c>
      <c r="E9241" s="605" t="s">
        <v>1039</v>
      </c>
      <c r="F9241" s="605"/>
      <c r="G9241" s="402" t="s">
        <v>7</v>
      </c>
      <c r="H9241" s="403">
        <v>2.6139000000000001</v>
      </c>
      <c r="I9241" s="403">
        <v>0</v>
      </c>
      <c r="J9241" s="404">
        <v>7.92</v>
      </c>
      <c r="K9241" s="404">
        <v>20.702088</v>
      </c>
    </row>
    <row r="9242" spans="1:11" ht="15" x14ac:dyDescent="0.3">
      <c r="A9242" s="400" t="s">
        <v>1038</v>
      </c>
      <c r="B9242" s="401" t="s">
        <v>1305</v>
      </c>
      <c r="C9242" s="400" t="s">
        <v>395</v>
      </c>
      <c r="D9242" s="400" t="s">
        <v>275</v>
      </c>
      <c r="E9242" s="605" t="s">
        <v>1039</v>
      </c>
      <c r="F9242" s="605"/>
      <c r="G9242" s="402" t="s">
        <v>3</v>
      </c>
      <c r="H9242" s="403">
        <v>8.5999999999999993E-2</v>
      </c>
      <c r="I9242" s="403">
        <v>0</v>
      </c>
      <c r="J9242" s="404">
        <v>18</v>
      </c>
      <c r="K9242" s="404">
        <v>1.548</v>
      </c>
    </row>
    <row r="9243" spans="1:11" ht="16.95" customHeight="1" x14ac:dyDescent="0.3">
      <c r="A9243" s="400" t="s">
        <v>1038</v>
      </c>
      <c r="B9243" s="401" t="s">
        <v>6537</v>
      </c>
      <c r="C9243" s="400" t="s">
        <v>395</v>
      </c>
      <c r="D9243" s="400" t="s">
        <v>6538</v>
      </c>
      <c r="E9243" s="605" t="s">
        <v>1039</v>
      </c>
      <c r="F9243" s="605"/>
      <c r="G9243" s="402" t="s">
        <v>7</v>
      </c>
      <c r="H9243" s="403">
        <v>1.9603999999999999</v>
      </c>
      <c r="I9243" s="403">
        <v>0</v>
      </c>
      <c r="J9243" s="404">
        <v>5.65</v>
      </c>
      <c r="K9243" s="404">
        <v>11.07626</v>
      </c>
    </row>
    <row r="9244" spans="1:11" ht="16.95" customHeight="1" x14ac:dyDescent="0.3">
      <c r="A9244" s="400" t="s">
        <v>1038</v>
      </c>
      <c r="B9244" s="401" t="s">
        <v>4094</v>
      </c>
      <c r="C9244" s="400" t="s">
        <v>395</v>
      </c>
      <c r="D9244" s="400" t="s">
        <v>4095</v>
      </c>
      <c r="E9244" s="605" t="s">
        <v>1039</v>
      </c>
      <c r="F9244" s="605"/>
      <c r="G9244" s="402" t="s">
        <v>675</v>
      </c>
      <c r="H9244" s="403">
        <v>1.050038</v>
      </c>
      <c r="I9244" s="403">
        <v>0</v>
      </c>
      <c r="J9244" s="404">
        <v>28.92</v>
      </c>
      <c r="K9244" s="404">
        <v>30.367099</v>
      </c>
    </row>
    <row r="9245" spans="1:11" ht="16.95" customHeight="1" x14ac:dyDescent="0.3">
      <c r="A9245" s="405"/>
      <c r="B9245" s="405"/>
      <c r="C9245" s="405"/>
      <c r="D9245" s="405"/>
      <c r="E9245" s="405" t="s">
        <v>1046</v>
      </c>
      <c r="F9245" s="406">
        <v>77.8</v>
      </c>
      <c r="G9245" s="405" t="s">
        <v>1047</v>
      </c>
      <c r="H9245" s="406">
        <v>0</v>
      </c>
      <c r="I9245" s="405" t="s">
        <v>1048</v>
      </c>
      <c r="J9245" s="406">
        <v>77.8</v>
      </c>
      <c r="K9245"/>
    </row>
    <row r="9246" spans="1:11" ht="16.95" customHeight="1" thickBot="1" x14ac:dyDescent="0.35">
      <c r="A9246" s="405"/>
      <c r="B9246" s="405"/>
      <c r="C9246" s="405"/>
      <c r="D9246" s="405"/>
      <c r="E9246" s="405" t="s">
        <v>1049</v>
      </c>
      <c r="F9246" s="406">
        <v>0</v>
      </c>
      <c r="G9246" s="405"/>
      <c r="H9246" s="606"/>
      <c r="I9246" s="606" t="s">
        <v>1050</v>
      </c>
      <c r="J9246" s="406">
        <v>169.83</v>
      </c>
      <c r="K9246"/>
    </row>
    <row r="9247" spans="1:11" ht="16.95" customHeight="1" thickTop="1" x14ac:dyDescent="0.3">
      <c r="A9247" s="407"/>
      <c r="B9247" s="407"/>
      <c r="C9247" s="407"/>
      <c r="D9247" s="407"/>
      <c r="E9247" s="407"/>
      <c r="F9247" s="407"/>
      <c r="G9247" s="407"/>
      <c r="H9247" s="407"/>
      <c r="I9247" s="407"/>
      <c r="J9247" s="407"/>
      <c r="K9247"/>
    </row>
    <row r="9248" spans="1:11" ht="16.95" customHeight="1" x14ac:dyDescent="0.3">
      <c r="A9248" s="382"/>
      <c r="B9248" s="312" t="s">
        <v>413</v>
      </c>
      <c r="C9248" s="382" t="s">
        <v>414</v>
      </c>
      <c r="D9248" s="382" t="s">
        <v>415</v>
      </c>
      <c r="E9248" s="586" t="s">
        <v>1029</v>
      </c>
      <c r="F9248" s="586"/>
      <c r="G9248" s="383" t="s">
        <v>416</v>
      </c>
      <c r="H9248" s="312" t="s">
        <v>1030</v>
      </c>
      <c r="I9248" s="312" t="s">
        <v>3016</v>
      </c>
      <c r="J9248" s="312" t="s">
        <v>1031</v>
      </c>
      <c r="K9248" s="312" t="s">
        <v>1032</v>
      </c>
    </row>
    <row r="9249" spans="1:11" ht="39.6" x14ac:dyDescent="0.3">
      <c r="A9249" s="313" t="s">
        <v>1033</v>
      </c>
      <c r="B9249" s="315" t="s">
        <v>5136</v>
      </c>
      <c r="C9249" s="313" t="s">
        <v>395</v>
      </c>
      <c r="D9249" s="313" t="s">
        <v>5137</v>
      </c>
      <c r="E9249" s="603" t="s">
        <v>3195</v>
      </c>
      <c r="F9249" s="603"/>
      <c r="G9249" s="314" t="s">
        <v>675</v>
      </c>
      <c r="H9249" s="399">
        <v>1</v>
      </c>
      <c r="I9249" s="316"/>
      <c r="J9249" s="316">
        <v>179.64</v>
      </c>
      <c r="K9249" s="316">
        <v>179.64</v>
      </c>
    </row>
    <row r="9250" spans="1:11" ht="16.95" customHeight="1" x14ac:dyDescent="0.3">
      <c r="A9250" s="408" t="s">
        <v>1034</v>
      </c>
      <c r="B9250" s="409" t="s">
        <v>5130</v>
      </c>
      <c r="C9250" s="408" t="s">
        <v>395</v>
      </c>
      <c r="D9250" s="408" t="s">
        <v>5131</v>
      </c>
      <c r="E9250" s="604" t="s">
        <v>7772</v>
      </c>
      <c r="F9250" s="604"/>
      <c r="G9250" s="410" t="s">
        <v>15</v>
      </c>
      <c r="H9250" s="412">
        <v>7.6E-3</v>
      </c>
      <c r="I9250" s="412">
        <v>0</v>
      </c>
      <c r="J9250" s="411">
        <v>44.3</v>
      </c>
      <c r="K9250" s="411">
        <v>0.33667999999999998</v>
      </c>
    </row>
    <row r="9251" spans="1:11" ht="16.95" customHeight="1" x14ac:dyDescent="0.3">
      <c r="A9251" s="408" t="s">
        <v>1034</v>
      </c>
      <c r="B9251" s="409" t="s">
        <v>5132</v>
      </c>
      <c r="C9251" s="408" t="s">
        <v>395</v>
      </c>
      <c r="D9251" s="408" t="s">
        <v>5133</v>
      </c>
      <c r="E9251" s="604" t="s">
        <v>7772</v>
      </c>
      <c r="F9251" s="604"/>
      <c r="G9251" s="410" t="s">
        <v>19</v>
      </c>
      <c r="H9251" s="412">
        <v>3.32E-2</v>
      </c>
      <c r="I9251" s="412">
        <v>0</v>
      </c>
      <c r="J9251" s="411">
        <v>42.49</v>
      </c>
      <c r="K9251" s="411">
        <v>1.410668</v>
      </c>
    </row>
    <row r="9252" spans="1:11" ht="26.4" x14ac:dyDescent="0.3">
      <c r="A9252" s="408" t="s">
        <v>1034</v>
      </c>
      <c r="B9252" s="409" t="s">
        <v>5134</v>
      </c>
      <c r="C9252" s="408" t="s">
        <v>395</v>
      </c>
      <c r="D9252" s="408" t="s">
        <v>5135</v>
      </c>
      <c r="E9252" s="604" t="s">
        <v>7773</v>
      </c>
      <c r="F9252" s="604"/>
      <c r="G9252" s="410" t="s">
        <v>713</v>
      </c>
      <c r="H9252" s="412">
        <v>1.5E-3</v>
      </c>
      <c r="I9252" s="412">
        <v>0</v>
      </c>
      <c r="J9252" s="411">
        <v>535.80999999999995</v>
      </c>
      <c r="K9252" s="411">
        <v>0.80371499999999996</v>
      </c>
    </row>
    <row r="9253" spans="1:11" ht="16.95" customHeight="1" x14ac:dyDescent="0.3">
      <c r="A9253" s="408" t="s">
        <v>1034</v>
      </c>
      <c r="B9253" s="409" t="s">
        <v>1288</v>
      </c>
      <c r="C9253" s="408" t="s">
        <v>395</v>
      </c>
      <c r="D9253" s="408" t="s">
        <v>124</v>
      </c>
      <c r="E9253" s="604" t="s">
        <v>7768</v>
      </c>
      <c r="F9253" s="604"/>
      <c r="G9253" s="410" t="s">
        <v>6</v>
      </c>
      <c r="H9253" s="412">
        <v>0.28439999999999999</v>
      </c>
      <c r="I9253" s="412">
        <v>0</v>
      </c>
      <c r="J9253" s="411">
        <v>33.47</v>
      </c>
      <c r="K9253" s="411">
        <v>9.5188679999999994</v>
      </c>
    </row>
    <row r="9254" spans="1:11" ht="26.4" x14ac:dyDescent="0.3">
      <c r="A9254" s="408" t="s">
        <v>1034</v>
      </c>
      <c r="B9254" s="409" t="s">
        <v>1287</v>
      </c>
      <c r="C9254" s="408" t="s">
        <v>395</v>
      </c>
      <c r="D9254" s="408" t="s">
        <v>134</v>
      </c>
      <c r="E9254" s="604" t="s">
        <v>7768</v>
      </c>
      <c r="F9254" s="604"/>
      <c r="G9254" s="410" t="s">
        <v>6</v>
      </c>
      <c r="H9254" s="412">
        <v>0.85319999999999996</v>
      </c>
      <c r="I9254" s="412">
        <v>0</v>
      </c>
      <c r="J9254" s="411">
        <v>42.08</v>
      </c>
      <c r="K9254" s="411">
        <v>35.902656</v>
      </c>
    </row>
    <row r="9255" spans="1:11" ht="17.399999999999999" customHeight="1" x14ac:dyDescent="0.3">
      <c r="A9255" s="400" t="s">
        <v>1038</v>
      </c>
      <c r="B9255" s="401" t="s">
        <v>4063</v>
      </c>
      <c r="C9255" s="400" t="s">
        <v>395</v>
      </c>
      <c r="D9255" s="400" t="s">
        <v>4064</v>
      </c>
      <c r="E9255" s="605" t="s">
        <v>1039</v>
      </c>
      <c r="F9255" s="605"/>
      <c r="G9255" s="402" t="s">
        <v>7</v>
      </c>
      <c r="H9255" s="403">
        <v>1.2307999999999999</v>
      </c>
      <c r="I9255" s="403">
        <v>0</v>
      </c>
      <c r="J9255" s="404">
        <v>30.99</v>
      </c>
      <c r="K9255" s="404">
        <v>38.142491999999997</v>
      </c>
    </row>
    <row r="9256" spans="1:11" ht="39.6" x14ac:dyDescent="0.3">
      <c r="A9256" s="400" t="s">
        <v>1038</v>
      </c>
      <c r="B9256" s="401" t="s">
        <v>4094</v>
      </c>
      <c r="C9256" s="400" t="s">
        <v>395</v>
      </c>
      <c r="D9256" s="400" t="s">
        <v>4095</v>
      </c>
      <c r="E9256" s="605" t="s">
        <v>1039</v>
      </c>
      <c r="F9256" s="605"/>
      <c r="G9256" s="402" t="s">
        <v>675</v>
      </c>
      <c r="H9256" s="403">
        <v>1.050038</v>
      </c>
      <c r="I9256" s="403">
        <v>0</v>
      </c>
      <c r="J9256" s="404">
        <v>28.92</v>
      </c>
      <c r="K9256" s="404">
        <v>30.367099</v>
      </c>
    </row>
    <row r="9257" spans="1:11" ht="15" x14ac:dyDescent="0.3">
      <c r="A9257" s="400" t="s">
        <v>1038</v>
      </c>
      <c r="B9257" s="401" t="s">
        <v>1305</v>
      </c>
      <c r="C9257" s="400" t="s">
        <v>395</v>
      </c>
      <c r="D9257" s="400" t="s">
        <v>275</v>
      </c>
      <c r="E9257" s="605" t="s">
        <v>1039</v>
      </c>
      <c r="F9257" s="605"/>
      <c r="G9257" s="402" t="s">
        <v>3</v>
      </c>
      <c r="H9257" s="403">
        <v>5.1700000000000003E-2</v>
      </c>
      <c r="I9257" s="403">
        <v>0</v>
      </c>
      <c r="J9257" s="404">
        <v>18</v>
      </c>
      <c r="K9257" s="404">
        <v>0.93059999999999998</v>
      </c>
    </row>
    <row r="9258" spans="1:11" ht="15" customHeight="1" x14ac:dyDescent="0.3">
      <c r="A9258" s="400" t="s">
        <v>1038</v>
      </c>
      <c r="B9258" s="401" t="s">
        <v>4033</v>
      </c>
      <c r="C9258" s="400" t="s">
        <v>395</v>
      </c>
      <c r="D9258" s="400" t="s">
        <v>4034</v>
      </c>
      <c r="E9258" s="605" t="s">
        <v>1039</v>
      </c>
      <c r="F9258" s="605"/>
      <c r="G9258" s="402" t="s">
        <v>7</v>
      </c>
      <c r="H9258" s="403">
        <v>1.6922999999999999</v>
      </c>
      <c r="I9258" s="403">
        <v>0</v>
      </c>
      <c r="J9258" s="404">
        <v>36.770000000000003</v>
      </c>
      <c r="K9258" s="404">
        <v>62.225870999999998</v>
      </c>
    </row>
    <row r="9259" spans="1:11" ht="30" customHeight="1" x14ac:dyDescent="0.3">
      <c r="A9259" s="405"/>
      <c r="B9259" s="405"/>
      <c r="C9259" s="405"/>
      <c r="D9259" s="405"/>
      <c r="E9259" s="405" t="s">
        <v>1046</v>
      </c>
      <c r="F9259" s="406">
        <v>35.82</v>
      </c>
      <c r="G9259" s="405" t="s">
        <v>1047</v>
      </c>
      <c r="H9259" s="406">
        <v>0</v>
      </c>
      <c r="I9259" s="405" t="s">
        <v>1048</v>
      </c>
      <c r="J9259" s="406">
        <v>35.82</v>
      </c>
      <c r="K9259"/>
    </row>
    <row r="9260" spans="1:11" ht="15.6" thickBot="1" x14ac:dyDescent="0.35">
      <c r="A9260" s="405"/>
      <c r="B9260" s="405"/>
      <c r="C9260" s="405"/>
      <c r="D9260" s="405"/>
      <c r="E9260" s="405" t="s">
        <v>1049</v>
      </c>
      <c r="F9260" s="406">
        <v>0</v>
      </c>
      <c r="G9260" s="405"/>
      <c r="H9260" s="606"/>
      <c r="I9260" s="606" t="s">
        <v>1050</v>
      </c>
      <c r="J9260" s="406">
        <v>179.64</v>
      </c>
      <c r="K9260"/>
    </row>
    <row r="9261" spans="1:11" ht="15.6" thickTop="1" x14ac:dyDescent="0.3">
      <c r="A9261" s="407"/>
      <c r="B9261" s="407"/>
      <c r="C9261" s="407"/>
      <c r="D9261" s="407"/>
      <c r="E9261" s="407"/>
      <c r="F9261" s="407"/>
      <c r="G9261" s="407"/>
      <c r="H9261" s="407"/>
      <c r="I9261" s="407"/>
      <c r="J9261" s="407"/>
      <c r="K9261"/>
    </row>
    <row r="9262" spans="1:11" ht="15" x14ac:dyDescent="0.3">
      <c r="A9262" s="382"/>
      <c r="B9262" s="312" t="s">
        <v>413</v>
      </c>
      <c r="C9262" s="382" t="s">
        <v>414</v>
      </c>
      <c r="D9262" s="382" t="s">
        <v>415</v>
      </c>
      <c r="E9262" s="586" t="s">
        <v>1029</v>
      </c>
      <c r="F9262" s="586"/>
      <c r="G9262" s="383" t="s">
        <v>416</v>
      </c>
      <c r="H9262" s="312" t="s">
        <v>1030</v>
      </c>
      <c r="I9262" s="312" t="s">
        <v>3016</v>
      </c>
      <c r="J9262" s="312" t="s">
        <v>1031</v>
      </c>
      <c r="K9262" s="312" t="s">
        <v>1032</v>
      </c>
    </row>
    <row r="9263" spans="1:11" ht="26.4" x14ac:dyDescent="0.3">
      <c r="A9263" s="313" t="s">
        <v>1033</v>
      </c>
      <c r="B9263" s="315" t="s">
        <v>5139</v>
      </c>
      <c r="C9263" s="313" t="s">
        <v>395</v>
      </c>
      <c r="D9263" s="313" t="s">
        <v>7775</v>
      </c>
      <c r="E9263" s="603" t="s">
        <v>7771</v>
      </c>
      <c r="F9263" s="603"/>
      <c r="G9263" s="314" t="s">
        <v>675</v>
      </c>
      <c r="H9263" s="399">
        <v>1</v>
      </c>
      <c r="I9263" s="316"/>
      <c r="J9263" s="316">
        <v>109.02</v>
      </c>
      <c r="K9263" s="316">
        <v>109.02</v>
      </c>
    </row>
    <row r="9264" spans="1:11" ht="26.4" x14ac:dyDescent="0.3">
      <c r="A9264" s="408" t="s">
        <v>1034</v>
      </c>
      <c r="B9264" s="409" t="s">
        <v>1288</v>
      </c>
      <c r="C9264" s="408" t="s">
        <v>395</v>
      </c>
      <c r="D9264" s="408" t="s">
        <v>124</v>
      </c>
      <c r="E9264" s="604" t="s">
        <v>7768</v>
      </c>
      <c r="F9264" s="604"/>
      <c r="G9264" s="410" t="s">
        <v>6</v>
      </c>
      <c r="H9264" s="412">
        <v>0.55000000000000004</v>
      </c>
      <c r="I9264" s="412">
        <v>0</v>
      </c>
      <c r="J9264" s="411">
        <v>33.47</v>
      </c>
      <c r="K9264" s="411">
        <v>18.4085</v>
      </c>
    </row>
    <row r="9265" spans="1:11" ht="26.4" x14ac:dyDescent="0.3">
      <c r="A9265" s="408" t="s">
        <v>1034</v>
      </c>
      <c r="B9265" s="409" t="s">
        <v>1287</v>
      </c>
      <c r="C9265" s="408" t="s">
        <v>395</v>
      </c>
      <c r="D9265" s="408" t="s">
        <v>134</v>
      </c>
      <c r="E9265" s="604" t="s">
        <v>7768</v>
      </c>
      <c r="F9265" s="604"/>
      <c r="G9265" s="410" t="s">
        <v>6</v>
      </c>
      <c r="H9265" s="412">
        <v>0.81599999999999995</v>
      </c>
      <c r="I9265" s="412">
        <v>0</v>
      </c>
      <c r="J9265" s="411">
        <v>42.08</v>
      </c>
      <c r="K9265" s="411">
        <v>34.33728</v>
      </c>
    </row>
    <row r="9266" spans="1:11" ht="26.4" x14ac:dyDescent="0.3">
      <c r="A9266" s="408" t="s">
        <v>1034</v>
      </c>
      <c r="B9266" s="409" t="s">
        <v>5130</v>
      </c>
      <c r="C9266" s="408" t="s">
        <v>395</v>
      </c>
      <c r="D9266" s="408" t="s">
        <v>5131</v>
      </c>
      <c r="E9266" s="604" t="s">
        <v>7772</v>
      </c>
      <c r="F9266" s="604"/>
      <c r="G9266" s="410" t="s">
        <v>15</v>
      </c>
      <c r="H9266" s="412">
        <v>1.8700000000000001E-2</v>
      </c>
      <c r="I9266" s="412">
        <v>0</v>
      </c>
      <c r="J9266" s="411">
        <v>44.3</v>
      </c>
      <c r="K9266" s="411">
        <v>0.82840999999999998</v>
      </c>
    </row>
    <row r="9267" spans="1:11" ht="26.4" x14ac:dyDescent="0.3">
      <c r="A9267" s="408" t="s">
        <v>1034</v>
      </c>
      <c r="B9267" s="409" t="s">
        <v>5132</v>
      </c>
      <c r="C9267" s="408" t="s">
        <v>395</v>
      </c>
      <c r="D9267" s="408" t="s">
        <v>5133</v>
      </c>
      <c r="E9267" s="604" t="s">
        <v>7772</v>
      </c>
      <c r="F9267" s="604"/>
      <c r="G9267" s="410" t="s">
        <v>19</v>
      </c>
      <c r="H9267" s="412">
        <v>7.51E-2</v>
      </c>
      <c r="I9267" s="412">
        <v>0</v>
      </c>
      <c r="J9267" s="411">
        <v>42.49</v>
      </c>
      <c r="K9267" s="411">
        <v>3.1909990000000001</v>
      </c>
    </row>
    <row r="9268" spans="1:11" ht="17.399999999999999" customHeight="1" x14ac:dyDescent="0.3">
      <c r="A9268" s="408" t="s">
        <v>1034</v>
      </c>
      <c r="B9268" s="409" t="s">
        <v>5134</v>
      </c>
      <c r="C9268" s="408" t="s">
        <v>395</v>
      </c>
      <c r="D9268" s="408" t="s">
        <v>5135</v>
      </c>
      <c r="E9268" s="604" t="s">
        <v>7773</v>
      </c>
      <c r="F9268" s="604"/>
      <c r="G9268" s="410" t="s">
        <v>713</v>
      </c>
      <c r="H9268" s="412">
        <v>2.8999999999999998E-3</v>
      </c>
      <c r="I9268" s="412">
        <v>0</v>
      </c>
      <c r="J9268" s="411">
        <v>535.80999999999995</v>
      </c>
      <c r="K9268" s="411">
        <v>1.553849</v>
      </c>
    </row>
    <row r="9269" spans="1:11" ht="26.4" x14ac:dyDescent="0.3">
      <c r="A9269" s="400" t="s">
        <v>1038</v>
      </c>
      <c r="B9269" s="401" t="s">
        <v>2495</v>
      </c>
      <c r="C9269" s="400" t="s">
        <v>395</v>
      </c>
      <c r="D9269" s="400" t="s">
        <v>306</v>
      </c>
      <c r="E9269" s="605" t="s">
        <v>1039</v>
      </c>
      <c r="F9269" s="605"/>
      <c r="G9269" s="402" t="s">
        <v>7</v>
      </c>
      <c r="H9269" s="403">
        <v>1.2307999999999999</v>
      </c>
      <c r="I9269" s="403">
        <v>0</v>
      </c>
      <c r="J9269" s="404">
        <v>7.92</v>
      </c>
      <c r="K9269" s="404">
        <v>9.7479359999999993</v>
      </c>
    </row>
    <row r="9270" spans="1:11" ht="15" x14ac:dyDescent="0.3">
      <c r="A9270" s="400" t="s">
        <v>1038</v>
      </c>
      <c r="B9270" s="401" t="s">
        <v>1305</v>
      </c>
      <c r="C9270" s="400" t="s">
        <v>395</v>
      </c>
      <c r="D9270" s="400" t="s">
        <v>275</v>
      </c>
      <c r="E9270" s="605" t="s">
        <v>1039</v>
      </c>
      <c r="F9270" s="605"/>
      <c r="G9270" s="402" t="s">
        <v>3</v>
      </c>
      <c r="H9270" s="403">
        <v>5.7000000000000002E-2</v>
      </c>
      <c r="I9270" s="403">
        <v>0</v>
      </c>
      <c r="J9270" s="404">
        <v>18</v>
      </c>
      <c r="K9270" s="404">
        <v>1.026</v>
      </c>
    </row>
    <row r="9271" spans="1:11" ht="26.4" x14ac:dyDescent="0.3">
      <c r="A9271" s="400" t="s">
        <v>1038</v>
      </c>
      <c r="B9271" s="401" t="s">
        <v>6537</v>
      </c>
      <c r="C9271" s="400" t="s">
        <v>395</v>
      </c>
      <c r="D9271" s="400" t="s">
        <v>6538</v>
      </c>
      <c r="E9271" s="605" t="s">
        <v>1039</v>
      </c>
      <c r="F9271" s="605"/>
      <c r="G9271" s="402" t="s">
        <v>7</v>
      </c>
      <c r="H9271" s="403">
        <v>1.6922999999999999</v>
      </c>
      <c r="I9271" s="403">
        <v>0</v>
      </c>
      <c r="J9271" s="404">
        <v>5.65</v>
      </c>
      <c r="K9271" s="404">
        <v>9.5614950000000007</v>
      </c>
    </row>
    <row r="9272" spans="1:11" ht="16.95" customHeight="1" x14ac:dyDescent="0.3">
      <c r="A9272" s="400" t="s">
        <v>1038</v>
      </c>
      <c r="B9272" s="401" t="s">
        <v>4094</v>
      </c>
      <c r="C9272" s="400" t="s">
        <v>395</v>
      </c>
      <c r="D9272" s="400" t="s">
        <v>4095</v>
      </c>
      <c r="E9272" s="605" t="s">
        <v>1039</v>
      </c>
      <c r="F9272" s="605"/>
      <c r="G9272" s="402" t="s">
        <v>675</v>
      </c>
      <c r="H9272" s="403">
        <v>1.050038</v>
      </c>
      <c r="I9272" s="403">
        <v>0</v>
      </c>
      <c r="J9272" s="404">
        <v>28.92</v>
      </c>
      <c r="K9272" s="404">
        <v>30.367099</v>
      </c>
    </row>
    <row r="9273" spans="1:11" ht="15" x14ac:dyDescent="0.3">
      <c r="A9273" s="405"/>
      <c r="B9273" s="405"/>
      <c r="C9273" s="405"/>
      <c r="D9273" s="405"/>
      <c r="E9273" s="405" t="s">
        <v>1046</v>
      </c>
      <c r="F9273" s="406">
        <v>42.87</v>
      </c>
      <c r="G9273" s="405" t="s">
        <v>1047</v>
      </c>
      <c r="H9273" s="406">
        <v>0</v>
      </c>
      <c r="I9273" s="405" t="s">
        <v>1048</v>
      </c>
      <c r="J9273" s="406">
        <v>42.87</v>
      </c>
      <c r="K9273"/>
    </row>
    <row r="9274" spans="1:11" ht="15.6" thickBot="1" x14ac:dyDescent="0.35">
      <c r="A9274" s="405"/>
      <c r="B9274" s="405"/>
      <c r="C9274" s="405"/>
      <c r="D9274" s="405"/>
      <c r="E9274" s="405" t="s">
        <v>1049</v>
      </c>
      <c r="F9274" s="406">
        <v>0</v>
      </c>
      <c r="G9274" s="405"/>
      <c r="H9274" s="606"/>
      <c r="I9274" s="606" t="s">
        <v>1050</v>
      </c>
      <c r="J9274" s="406">
        <v>109.02</v>
      </c>
      <c r="K9274"/>
    </row>
    <row r="9275" spans="1:11" ht="16.95" customHeight="1" thickTop="1" x14ac:dyDescent="0.3">
      <c r="A9275" s="407"/>
      <c r="B9275" s="407"/>
      <c r="C9275" s="407"/>
      <c r="D9275" s="407"/>
      <c r="E9275" s="407"/>
      <c r="F9275" s="407"/>
      <c r="G9275" s="407"/>
      <c r="H9275" s="407"/>
      <c r="I9275" s="407"/>
      <c r="J9275" s="407"/>
      <c r="K9275"/>
    </row>
    <row r="9276" spans="1:11" ht="15" x14ac:dyDescent="0.3">
      <c r="A9276" s="382"/>
      <c r="B9276" s="312" t="s">
        <v>413</v>
      </c>
      <c r="C9276" s="382" t="s">
        <v>414</v>
      </c>
      <c r="D9276" s="382" t="s">
        <v>415</v>
      </c>
      <c r="E9276" s="586" t="s">
        <v>1029</v>
      </c>
      <c r="F9276" s="586"/>
      <c r="G9276" s="383" t="s">
        <v>416</v>
      </c>
      <c r="H9276" s="312" t="s">
        <v>1030</v>
      </c>
      <c r="I9276" s="312" t="s">
        <v>3016</v>
      </c>
      <c r="J9276" s="312" t="s">
        <v>1031</v>
      </c>
      <c r="K9276" s="312" t="s">
        <v>1032</v>
      </c>
    </row>
    <row r="9277" spans="1:11" ht="16.95" customHeight="1" x14ac:dyDescent="0.3">
      <c r="A9277" s="313" t="s">
        <v>1033</v>
      </c>
      <c r="B9277" s="315" t="s">
        <v>1302</v>
      </c>
      <c r="C9277" s="313" t="s">
        <v>395</v>
      </c>
      <c r="D9277" s="313" t="s">
        <v>144</v>
      </c>
      <c r="E9277" s="603" t="s">
        <v>7768</v>
      </c>
      <c r="F9277" s="603"/>
      <c r="G9277" s="314" t="s">
        <v>6</v>
      </c>
      <c r="H9277" s="399">
        <v>1</v>
      </c>
      <c r="I9277" s="316"/>
      <c r="J9277" s="316">
        <v>42.06</v>
      </c>
      <c r="K9277" s="316">
        <v>42.06</v>
      </c>
    </row>
    <row r="9278" spans="1:11" ht="16.95" customHeight="1" x14ac:dyDescent="0.3">
      <c r="A9278" s="408" t="s">
        <v>1034</v>
      </c>
      <c r="B9278" s="409" t="s">
        <v>8144</v>
      </c>
      <c r="C9278" s="408" t="s">
        <v>395</v>
      </c>
      <c r="D9278" s="408" t="s">
        <v>8145</v>
      </c>
      <c r="E9278" s="604" t="s">
        <v>7768</v>
      </c>
      <c r="F9278" s="604"/>
      <c r="G9278" s="410" t="s">
        <v>6</v>
      </c>
      <c r="H9278" s="412">
        <v>1</v>
      </c>
      <c r="I9278" s="412">
        <v>0</v>
      </c>
      <c r="J9278" s="411">
        <v>0.66</v>
      </c>
      <c r="K9278" s="411">
        <v>0.66</v>
      </c>
    </row>
    <row r="9279" spans="1:11" ht="16.95" customHeight="1" x14ac:dyDescent="0.3">
      <c r="A9279" s="400" t="s">
        <v>1038</v>
      </c>
      <c r="B9279" s="401" t="s">
        <v>1482</v>
      </c>
      <c r="C9279" s="400" t="s">
        <v>395</v>
      </c>
      <c r="D9279" s="400" t="s">
        <v>406</v>
      </c>
      <c r="E9279" s="605" t="s">
        <v>1053</v>
      </c>
      <c r="F9279" s="605"/>
      <c r="G9279" s="402" t="s">
        <v>6</v>
      </c>
      <c r="H9279" s="403">
        <v>1</v>
      </c>
      <c r="I9279" s="403">
        <v>0</v>
      </c>
      <c r="J9279" s="404">
        <v>31.19</v>
      </c>
      <c r="K9279" s="404">
        <v>31.19</v>
      </c>
    </row>
    <row r="9280" spans="1:11" ht="15" x14ac:dyDescent="0.3">
      <c r="A9280" s="400" t="s">
        <v>1038</v>
      </c>
      <c r="B9280" s="401" t="s">
        <v>4028</v>
      </c>
      <c r="C9280" s="400" t="s">
        <v>395</v>
      </c>
      <c r="D9280" s="400" t="s">
        <v>4029</v>
      </c>
      <c r="E9280" s="605" t="s">
        <v>4030</v>
      </c>
      <c r="F9280" s="605"/>
      <c r="G9280" s="402" t="s">
        <v>6</v>
      </c>
      <c r="H9280" s="403">
        <v>1</v>
      </c>
      <c r="I9280" s="403">
        <v>0</v>
      </c>
      <c r="J9280" s="404">
        <v>4.78</v>
      </c>
      <c r="K9280" s="404">
        <v>4.78</v>
      </c>
    </row>
    <row r="9281" spans="1:11" ht="15" x14ac:dyDescent="0.3">
      <c r="A9281" s="400" t="s">
        <v>1038</v>
      </c>
      <c r="B9281" s="401" t="s">
        <v>4066</v>
      </c>
      <c r="C9281" s="400" t="s">
        <v>395</v>
      </c>
      <c r="D9281" s="400" t="s">
        <v>4067</v>
      </c>
      <c r="E9281" s="605" t="s">
        <v>2381</v>
      </c>
      <c r="F9281" s="605"/>
      <c r="G9281" s="402" t="s">
        <v>6</v>
      </c>
      <c r="H9281" s="403">
        <v>1</v>
      </c>
      <c r="I9281" s="403">
        <v>0</v>
      </c>
      <c r="J9281" s="404">
        <v>1.72</v>
      </c>
      <c r="K9281" s="404">
        <v>1.72</v>
      </c>
    </row>
    <row r="9282" spans="1:11" ht="15" x14ac:dyDescent="0.3">
      <c r="A9282" s="400" t="s">
        <v>1038</v>
      </c>
      <c r="B9282" s="401" t="s">
        <v>4078</v>
      </c>
      <c r="C9282" s="400" t="s">
        <v>395</v>
      </c>
      <c r="D9282" s="400" t="s">
        <v>4079</v>
      </c>
      <c r="E9282" s="605" t="s">
        <v>4030</v>
      </c>
      <c r="F9282" s="605"/>
      <c r="G9282" s="402" t="s">
        <v>6</v>
      </c>
      <c r="H9282" s="403">
        <v>1</v>
      </c>
      <c r="I9282" s="403">
        <v>0</v>
      </c>
      <c r="J9282" s="404">
        <v>1.25</v>
      </c>
      <c r="K9282" s="404">
        <v>1.25</v>
      </c>
    </row>
    <row r="9283" spans="1:11" ht="15" x14ac:dyDescent="0.3">
      <c r="A9283" s="400" t="s">
        <v>1038</v>
      </c>
      <c r="B9283" s="401" t="s">
        <v>4274</v>
      </c>
      <c r="C9283" s="400" t="s">
        <v>395</v>
      </c>
      <c r="D9283" s="400" t="s">
        <v>4275</v>
      </c>
      <c r="E9283" s="605" t="s">
        <v>2386</v>
      </c>
      <c r="F9283" s="605"/>
      <c r="G9283" s="402" t="s">
        <v>6</v>
      </c>
      <c r="H9283" s="403">
        <v>1</v>
      </c>
      <c r="I9283" s="403">
        <v>0</v>
      </c>
      <c r="J9283" s="404">
        <v>0.11</v>
      </c>
      <c r="K9283" s="404">
        <v>0.11</v>
      </c>
    </row>
    <row r="9284" spans="1:11" ht="26.4" x14ac:dyDescent="0.3">
      <c r="A9284" s="400" t="s">
        <v>1038</v>
      </c>
      <c r="B9284" s="401" t="s">
        <v>4268</v>
      </c>
      <c r="C9284" s="400" t="s">
        <v>395</v>
      </c>
      <c r="D9284" s="400" t="s">
        <v>4269</v>
      </c>
      <c r="E9284" s="605" t="s">
        <v>1317</v>
      </c>
      <c r="F9284" s="605"/>
      <c r="G9284" s="402" t="s">
        <v>6</v>
      </c>
      <c r="H9284" s="403">
        <v>1</v>
      </c>
      <c r="I9284" s="403">
        <v>0</v>
      </c>
      <c r="J9284" s="404">
        <v>0.64</v>
      </c>
      <c r="K9284" s="404">
        <v>0.64</v>
      </c>
    </row>
    <row r="9285" spans="1:11" ht="26.4" x14ac:dyDescent="0.3">
      <c r="A9285" s="400" t="s">
        <v>1038</v>
      </c>
      <c r="B9285" s="401" t="s">
        <v>4218</v>
      </c>
      <c r="C9285" s="400" t="s">
        <v>395</v>
      </c>
      <c r="D9285" s="400" t="s">
        <v>4219</v>
      </c>
      <c r="E9285" s="605" t="s">
        <v>1317</v>
      </c>
      <c r="F9285" s="605"/>
      <c r="G9285" s="402" t="s">
        <v>6</v>
      </c>
      <c r="H9285" s="403">
        <v>1</v>
      </c>
      <c r="I9285" s="403">
        <v>0</v>
      </c>
      <c r="J9285" s="404">
        <v>1.71</v>
      </c>
      <c r="K9285" s="404">
        <v>1.71</v>
      </c>
    </row>
    <row r="9286" spans="1:11" ht="15" x14ac:dyDescent="0.3">
      <c r="A9286" s="405"/>
      <c r="B9286" s="405"/>
      <c r="C9286" s="405"/>
      <c r="D9286" s="405"/>
      <c r="E9286" s="405" t="s">
        <v>1046</v>
      </c>
      <c r="F9286" s="406">
        <v>31.85</v>
      </c>
      <c r="G9286" s="405" t="s">
        <v>1047</v>
      </c>
      <c r="H9286" s="406">
        <v>0</v>
      </c>
      <c r="I9286" s="405" t="s">
        <v>1048</v>
      </c>
      <c r="J9286" s="406">
        <v>31.85</v>
      </c>
      <c r="K9286"/>
    </row>
    <row r="9287" spans="1:11" ht="15.6" thickBot="1" x14ac:dyDescent="0.35">
      <c r="A9287" s="405"/>
      <c r="B9287" s="405"/>
      <c r="C9287" s="405"/>
      <c r="D9287" s="405"/>
      <c r="E9287" s="405" t="s">
        <v>1049</v>
      </c>
      <c r="F9287" s="406">
        <v>0</v>
      </c>
      <c r="G9287" s="405"/>
      <c r="H9287" s="606"/>
      <c r="I9287" s="606" t="s">
        <v>1050</v>
      </c>
      <c r="J9287" s="406">
        <v>42.06</v>
      </c>
      <c r="K9287"/>
    </row>
    <row r="9288" spans="1:11" ht="15.6" thickTop="1" x14ac:dyDescent="0.3">
      <c r="A9288" s="407"/>
      <c r="B9288" s="407"/>
      <c r="C9288" s="407"/>
      <c r="D9288" s="407"/>
      <c r="E9288" s="407"/>
      <c r="F9288" s="407"/>
      <c r="G9288" s="407"/>
      <c r="H9288" s="407"/>
      <c r="I9288" s="407"/>
      <c r="J9288" s="407"/>
      <c r="K9288"/>
    </row>
    <row r="9289" spans="1:11" ht="15" x14ac:dyDescent="0.3">
      <c r="A9289" s="382"/>
      <c r="B9289" s="312" t="s">
        <v>413</v>
      </c>
      <c r="C9289" s="382" t="s">
        <v>414</v>
      </c>
      <c r="D9289" s="382" t="s">
        <v>415</v>
      </c>
      <c r="E9289" s="586" t="s">
        <v>1029</v>
      </c>
      <c r="F9289" s="586"/>
      <c r="G9289" s="383" t="s">
        <v>416</v>
      </c>
      <c r="H9289" s="312" t="s">
        <v>1030</v>
      </c>
      <c r="I9289" s="312" t="s">
        <v>3016</v>
      </c>
      <c r="J9289" s="312" t="s">
        <v>1031</v>
      </c>
      <c r="K9289" s="312" t="s">
        <v>1032</v>
      </c>
    </row>
    <row r="9290" spans="1:11" ht="15" x14ac:dyDescent="0.3">
      <c r="A9290" s="313" t="s">
        <v>1033</v>
      </c>
      <c r="B9290" s="315" t="s">
        <v>1145</v>
      </c>
      <c r="C9290" s="313" t="s">
        <v>439</v>
      </c>
      <c r="D9290" s="313" t="s">
        <v>144</v>
      </c>
      <c r="E9290" s="603" t="s">
        <v>781</v>
      </c>
      <c r="F9290" s="603"/>
      <c r="G9290" s="314" t="s">
        <v>1109</v>
      </c>
      <c r="H9290" s="399">
        <v>1</v>
      </c>
      <c r="I9290" s="316"/>
      <c r="J9290" s="316">
        <v>33.619999999999997</v>
      </c>
      <c r="K9290" s="316">
        <v>33.619999999999997</v>
      </c>
    </row>
    <row r="9291" spans="1:11" ht="15" x14ac:dyDescent="0.3">
      <c r="A9291" s="400" t="s">
        <v>1038</v>
      </c>
      <c r="B9291" s="401" t="s">
        <v>7210</v>
      </c>
      <c r="C9291" s="400" t="s">
        <v>439</v>
      </c>
      <c r="D9291" s="400" t="s">
        <v>1464</v>
      </c>
      <c r="E9291" s="605" t="s">
        <v>1053</v>
      </c>
      <c r="F9291" s="605"/>
      <c r="G9291" s="402" t="s">
        <v>6</v>
      </c>
      <c r="H9291" s="403">
        <v>1</v>
      </c>
      <c r="I9291" s="403">
        <v>0</v>
      </c>
      <c r="J9291" s="404">
        <v>25.8611</v>
      </c>
      <c r="K9291" s="404">
        <v>25.8611</v>
      </c>
    </row>
    <row r="9292" spans="1:11" ht="17.399999999999999" customHeight="1" x14ac:dyDescent="0.3">
      <c r="A9292" s="400" t="s">
        <v>1038</v>
      </c>
      <c r="B9292" s="401" t="s">
        <v>7004</v>
      </c>
      <c r="C9292" s="400" t="s">
        <v>439</v>
      </c>
      <c r="D9292" s="400" t="s">
        <v>4618</v>
      </c>
      <c r="E9292" s="605" t="s">
        <v>1039</v>
      </c>
      <c r="F9292" s="605"/>
      <c r="G9292" s="402" t="s">
        <v>1109</v>
      </c>
      <c r="H9292" s="403">
        <v>1</v>
      </c>
      <c r="I9292" s="403">
        <v>0</v>
      </c>
      <c r="J9292" s="404">
        <v>2.41</v>
      </c>
      <c r="K9292" s="404">
        <v>2.41</v>
      </c>
    </row>
    <row r="9293" spans="1:11" ht="15" x14ac:dyDescent="0.3">
      <c r="A9293" s="400" t="s">
        <v>1038</v>
      </c>
      <c r="B9293" s="401" t="s">
        <v>7092</v>
      </c>
      <c r="C9293" s="400" t="s">
        <v>439</v>
      </c>
      <c r="D9293" s="400" t="s">
        <v>4716</v>
      </c>
      <c r="E9293" s="605" t="s">
        <v>1039</v>
      </c>
      <c r="F9293" s="605"/>
      <c r="G9293" s="402" t="s">
        <v>1109</v>
      </c>
      <c r="H9293" s="403">
        <v>1</v>
      </c>
      <c r="I9293" s="403">
        <v>0</v>
      </c>
      <c r="J9293" s="404">
        <v>1.57</v>
      </c>
      <c r="K9293" s="404">
        <v>1.57</v>
      </c>
    </row>
    <row r="9294" spans="1:11" ht="15" x14ac:dyDescent="0.3">
      <c r="A9294" s="400" t="s">
        <v>1038</v>
      </c>
      <c r="B9294" s="401" t="s">
        <v>7598</v>
      </c>
      <c r="C9294" s="400" t="s">
        <v>439</v>
      </c>
      <c r="D9294" s="400" t="s">
        <v>4974</v>
      </c>
      <c r="E9294" s="605" t="s">
        <v>1039</v>
      </c>
      <c r="F9294" s="605"/>
      <c r="G9294" s="402" t="s">
        <v>1109</v>
      </c>
      <c r="H9294" s="403">
        <v>1</v>
      </c>
      <c r="I9294" s="403">
        <v>0</v>
      </c>
      <c r="J9294" s="404">
        <v>0.11</v>
      </c>
      <c r="K9294" s="404">
        <v>0.11</v>
      </c>
    </row>
    <row r="9295" spans="1:11" ht="30" customHeight="1" x14ac:dyDescent="0.3">
      <c r="A9295" s="400" t="s">
        <v>1038</v>
      </c>
      <c r="B9295" s="401" t="s">
        <v>7233</v>
      </c>
      <c r="C9295" s="400" t="s">
        <v>439</v>
      </c>
      <c r="D9295" s="400" t="s">
        <v>4723</v>
      </c>
      <c r="E9295" s="605" t="s">
        <v>1039</v>
      </c>
      <c r="F9295" s="605"/>
      <c r="G9295" s="402" t="s">
        <v>1109</v>
      </c>
      <c r="H9295" s="403">
        <v>1</v>
      </c>
      <c r="I9295" s="403">
        <v>0</v>
      </c>
      <c r="J9295" s="404">
        <v>0.9</v>
      </c>
      <c r="K9295" s="404">
        <v>0.9</v>
      </c>
    </row>
    <row r="9296" spans="1:11" ht="30" customHeight="1" x14ac:dyDescent="0.3">
      <c r="A9296" s="400" t="s">
        <v>1038</v>
      </c>
      <c r="B9296" s="401" t="s">
        <v>5047</v>
      </c>
      <c r="C9296" s="400" t="s">
        <v>439</v>
      </c>
      <c r="D9296" s="400" t="s">
        <v>5048</v>
      </c>
      <c r="E9296" s="605" t="s">
        <v>2381</v>
      </c>
      <c r="F9296" s="605"/>
      <c r="G9296" s="402" t="s">
        <v>1109</v>
      </c>
      <c r="H9296" s="403">
        <v>1</v>
      </c>
      <c r="I9296" s="403">
        <v>0</v>
      </c>
      <c r="J9296" s="404">
        <v>0.43</v>
      </c>
      <c r="K9296" s="404">
        <v>0.43</v>
      </c>
    </row>
    <row r="9297" spans="1:11" ht="30" customHeight="1" x14ac:dyDescent="0.3">
      <c r="A9297" s="400" t="s">
        <v>1038</v>
      </c>
      <c r="B9297" s="401" t="s">
        <v>4990</v>
      </c>
      <c r="C9297" s="400" t="s">
        <v>439</v>
      </c>
      <c r="D9297" s="400" t="s">
        <v>4991</v>
      </c>
      <c r="E9297" s="605" t="s">
        <v>2381</v>
      </c>
      <c r="F9297" s="605"/>
      <c r="G9297" s="402" t="s">
        <v>1109</v>
      </c>
      <c r="H9297" s="403">
        <v>1</v>
      </c>
      <c r="I9297" s="403">
        <v>0</v>
      </c>
      <c r="J9297" s="404">
        <v>1.39</v>
      </c>
      <c r="K9297" s="404">
        <v>1.39</v>
      </c>
    </row>
    <row r="9298" spans="1:11" ht="26.4" x14ac:dyDescent="0.3">
      <c r="A9298" s="400" t="s">
        <v>1038</v>
      </c>
      <c r="B9298" s="401" t="s">
        <v>5005</v>
      </c>
      <c r="C9298" s="400" t="s">
        <v>439</v>
      </c>
      <c r="D9298" s="400" t="s">
        <v>5006</v>
      </c>
      <c r="E9298" s="605" t="s">
        <v>2381</v>
      </c>
      <c r="F9298" s="605"/>
      <c r="G9298" s="402" t="s">
        <v>1109</v>
      </c>
      <c r="H9298" s="403">
        <v>1</v>
      </c>
      <c r="I9298" s="403">
        <v>0</v>
      </c>
      <c r="J9298" s="404">
        <v>0.95</v>
      </c>
      <c r="K9298" s="404">
        <v>0.95</v>
      </c>
    </row>
    <row r="9299" spans="1:11" ht="15" x14ac:dyDescent="0.3">
      <c r="A9299" s="405"/>
      <c r="B9299" s="405"/>
      <c r="C9299" s="405"/>
      <c r="D9299" s="405"/>
      <c r="E9299" s="405" t="s">
        <v>1046</v>
      </c>
      <c r="F9299" s="406">
        <v>25.86</v>
      </c>
      <c r="G9299" s="405" t="s">
        <v>1047</v>
      </c>
      <c r="H9299" s="406">
        <v>0</v>
      </c>
      <c r="I9299" s="405" t="s">
        <v>1048</v>
      </c>
      <c r="J9299" s="406">
        <v>25.86</v>
      </c>
      <c r="K9299"/>
    </row>
    <row r="9300" spans="1:11" ht="15.6" thickBot="1" x14ac:dyDescent="0.35">
      <c r="A9300" s="405"/>
      <c r="B9300" s="405"/>
      <c r="C9300" s="405"/>
      <c r="D9300" s="405"/>
      <c r="E9300" s="405" t="s">
        <v>1049</v>
      </c>
      <c r="F9300" s="406">
        <v>0</v>
      </c>
      <c r="G9300" s="405"/>
      <c r="H9300" s="606"/>
      <c r="I9300" s="606" t="s">
        <v>1050</v>
      </c>
      <c r="J9300" s="406">
        <v>33.619999999999997</v>
      </c>
      <c r="K9300"/>
    </row>
    <row r="9301" spans="1:11" ht="17.399999999999999" customHeight="1" thickTop="1" x14ac:dyDescent="0.3">
      <c r="A9301" s="407"/>
      <c r="B9301" s="407"/>
      <c r="C9301" s="407"/>
      <c r="D9301" s="407"/>
      <c r="E9301" s="407"/>
      <c r="F9301" s="407"/>
      <c r="G9301" s="407"/>
      <c r="H9301" s="407"/>
      <c r="I9301" s="407"/>
      <c r="J9301" s="407"/>
      <c r="K9301"/>
    </row>
    <row r="9302" spans="1:11" ht="15" x14ac:dyDescent="0.3">
      <c r="A9302" s="382"/>
      <c r="B9302" s="312" t="s">
        <v>413</v>
      </c>
      <c r="C9302" s="382" t="s">
        <v>414</v>
      </c>
      <c r="D9302" s="382" t="s">
        <v>415</v>
      </c>
      <c r="E9302" s="586" t="s">
        <v>1029</v>
      </c>
      <c r="F9302" s="586"/>
      <c r="G9302" s="383" t="s">
        <v>416</v>
      </c>
      <c r="H9302" s="312" t="s">
        <v>1030</v>
      </c>
      <c r="I9302" s="312" t="s">
        <v>3016</v>
      </c>
      <c r="J9302" s="312" t="s">
        <v>1031</v>
      </c>
      <c r="K9302" s="312" t="s">
        <v>1032</v>
      </c>
    </row>
    <row r="9303" spans="1:11" ht="26.4" x14ac:dyDescent="0.3">
      <c r="A9303" s="313" t="s">
        <v>1033</v>
      </c>
      <c r="B9303" s="315" t="s">
        <v>8022</v>
      </c>
      <c r="C9303" s="313" t="s">
        <v>395</v>
      </c>
      <c r="D9303" s="313" t="s">
        <v>8023</v>
      </c>
      <c r="E9303" s="603" t="s">
        <v>8024</v>
      </c>
      <c r="F9303" s="603"/>
      <c r="G9303" s="314" t="s">
        <v>713</v>
      </c>
      <c r="H9303" s="399">
        <v>1</v>
      </c>
      <c r="I9303" s="316"/>
      <c r="J9303" s="316">
        <v>4004.09</v>
      </c>
      <c r="K9303" s="316">
        <v>4004.09</v>
      </c>
    </row>
    <row r="9304" spans="1:11" ht="15" customHeight="1" x14ac:dyDescent="0.3">
      <c r="A9304" s="408" t="s">
        <v>1034</v>
      </c>
      <c r="B9304" s="409" t="s">
        <v>1288</v>
      </c>
      <c r="C9304" s="408" t="s">
        <v>395</v>
      </c>
      <c r="D9304" s="408" t="s">
        <v>124</v>
      </c>
      <c r="E9304" s="604" t="s">
        <v>7768</v>
      </c>
      <c r="F9304" s="604"/>
      <c r="G9304" s="410" t="s">
        <v>6</v>
      </c>
      <c r="H9304" s="412">
        <v>1.1919999999999999</v>
      </c>
      <c r="I9304" s="412">
        <v>0</v>
      </c>
      <c r="J9304" s="411">
        <v>33.47</v>
      </c>
      <c r="K9304" s="411">
        <v>39.896239999999999</v>
      </c>
    </row>
    <row r="9305" spans="1:11" ht="30" customHeight="1" x14ac:dyDescent="0.3">
      <c r="A9305" s="408" t="s">
        <v>1034</v>
      </c>
      <c r="B9305" s="409" t="s">
        <v>1403</v>
      </c>
      <c r="C9305" s="408" t="s">
        <v>395</v>
      </c>
      <c r="D9305" s="408" t="s">
        <v>7865</v>
      </c>
      <c r="E9305" s="604" t="s">
        <v>7768</v>
      </c>
      <c r="F9305" s="604"/>
      <c r="G9305" s="410" t="s">
        <v>6</v>
      </c>
      <c r="H9305" s="412">
        <v>5.96</v>
      </c>
      <c r="I9305" s="412">
        <v>0</v>
      </c>
      <c r="J9305" s="411">
        <v>44.64</v>
      </c>
      <c r="K9305" s="411">
        <v>266.05439999999999</v>
      </c>
    </row>
    <row r="9306" spans="1:11" ht="26.4" x14ac:dyDescent="0.3">
      <c r="A9306" s="408" t="s">
        <v>1034</v>
      </c>
      <c r="B9306" s="409" t="s">
        <v>1302</v>
      </c>
      <c r="C9306" s="408" t="s">
        <v>395</v>
      </c>
      <c r="D9306" s="408" t="s">
        <v>144</v>
      </c>
      <c r="E9306" s="604" t="s">
        <v>7768</v>
      </c>
      <c r="F9306" s="604"/>
      <c r="G9306" s="410" t="s">
        <v>6</v>
      </c>
      <c r="H9306" s="412">
        <v>31.349900000000002</v>
      </c>
      <c r="I9306" s="412">
        <v>0</v>
      </c>
      <c r="J9306" s="411">
        <v>42.06</v>
      </c>
      <c r="K9306" s="411">
        <v>1318.5767940000001</v>
      </c>
    </row>
    <row r="9307" spans="1:11" ht="26.4" x14ac:dyDescent="0.3">
      <c r="A9307" s="408" t="s">
        <v>1034</v>
      </c>
      <c r="B9307" s="409" t="s">
        <v>1290</v>
      </c>
      <c r="C9307" s="408" t="s">
        <v>395</v>
      </c>
      <c r="D9307" s="408" t="s">
        <v>147</v>
      </c>
      <c r="E9307" s="604" t="s">
        <v>7768</v>
      </c>
      <c r="F9307" s="604"/>
      <c r="G9307" s="410" t="s">
        <v>6</v>
      </c>
      <c r="H9307" s="412">
        <v>31.349900000000002</v>
      </c>
      <c r="I9307" s="412">
        <v>0</v>
      </c>
      <c r="J9307" s="411">
        <v>32.82</v>
      </c>
      <c r="K9307" s="411">
        <v>1028.903718</v>
      </c>
    </row>
    <row r="9308" spans="1:11" ht="26.4" x14ac:dyDescent="0.3">
      <c r="A9308" s="408" t="s">
        <v>1034</v>
      </c>
      <c r="B9308" s="409" t="s">
        <v>1299</v>
      </c>
      <c r="C9308" s="408" t="s">
        <v>395</v>
      </c>
      <c r="D9308" s="408" t="s">
        <v>16</v>
      </c>
      <c r="E9308" s="604" t="s">
        <v>7772</v>
      </c>
      <c r="F9308" s="604"/>
      <c r="G9308" s="410" t="s">
        <v>15</v>
      </c>
      <c r="H9308" s="412">
        <v>6.6349999999999998</v>
      </c>
      <c r="I9308" s="412">
        <v>0</v>
      </c>
      <c r="J9308" s="411">
        <v>1.54</v>
      </c>
      <c r="K9308" s="411">
        <v>10.2179</v>
      </c>
    </row>
    <row r="9309" spans="1:11" ht="26.4" x14ac:dyDescent="0.3">
      <c r="A9309" s="408" t="s">
        <v>1034</v>
      </c>
      <c r="B9309" s="409" t="s">
        <v>5238</v>
      </c>
      <c r="C9309" s="408" t="s">
        <v>395</v>
      </c>
      <c r="D9309" s="408" t="s">
        <v>5239</v>
      </c>
      <c r="E9309" s="604" t="s">
        <v>7772</v>
      </c>
      <c r="F9309" s="604"/>
      <c r="G9309" s="410" t="s">
        <v>19</v>
      </c>
      <c r="H9309" s="412">
        <v>18.091699999999999</v>
      </c>
      <c r="I9309" s="412">
        <v>0</v>
      </c>
      <c r="J9309" s="411">
        <v>0.53</v>
      </c>
      <c r="K9309" s="411">
        <v>9.5886010000000006</v>
      </c>
    </row>
    <row r="9310" spans="1:11" ht="26.4" x14ac:dyDescent="0.3">
      <c r="A9310" s="408" t="s">
        <v>1034</v>
      </c>
      <c r="B9310" s="409" t="s">
        <v>5130</v>
      </c>
      <c r="C9310" s="408" t="s">
        <v>395</v>
      </c>
      <c r="D9310" s="408" t="s">
        <v>5131</v>
      </c>
      <c r="E9310" s="604" t="s">
        <v>7772</v>
      </c>
      <c r="F9310" s="604"/>
      <c r="G9310" s="410" t="s">
        <v>15</v>
      </c>
      <c r="H9310" s="412">
        <v>0.48770000000000002</v>
      </c>
      <c r="I9310" s="412">
        <v>0</v>
      </c>
      <c r="J9310" s="411">
        <v>44.3</v>
      </c>
      <c r="K9310" s="411">
        <v>21.60511</v>
      </c>
    </row>
    <row r="9311" spans="1:11" ht="26.4" x14ac:dyDescent="0.3">
      <c r="A9311" s="408" t="s">
        <v>1034</v>
      </c>
      <c r="B9311" s="409" t="s">
        <v>5132</v>
      </c>
      <c r="C9311" s="408" t="s">
        <v>395</v>
      </c>
      <c r="D9311" s="408" t="s">
        <v>5133</v>
      </c>
      <c r="E9311" s="604" t="s">
        <v>7772</v>
      </c>
      <c r="F9311" s="604"/>
      <c r="G9311" s="410" t="s">
        <v>19</v>
      </c>
      <c r="H9311" s="412">
        <v>0.70430000000000004</v>
      </c>
      <c r="I9311" s="412">
        <v>0</v>
      </c>
      <c r="J9311" s="411">
        <v>42.49</v>
      </c>
      <c r="K9311" s="411">
        <v>29.925706999999999</v>
      </c>
    </row>
    <row r="9312" spans="1:11" ht="26.4" x14ac:dyDescent="0.3">
      <c r="A9312" s="408" t="s">
        <v>1034</v>
      </c>
      <c r="B9312" s="409" t="s">
        <v>7976</v>
      </c>
      <c r="C9312" s="408" t="s">
        <v>395</v>
      </c>
      <c r="D9312" s="408" t="s">
        <v>7977</v>
      </c>
      <c r="E9312" s="604" t="s">
        <v>7820</v>
      </c>
      <c r="F9312" s="604"/>
      <c r="G9312" s="410" t="s">
        <v>3</v>
      </c>
      <c r="H9312" s="412">
        <v>27.898800000000001</v>
      </c>
      <c r="I9312" s="412">
        <v>0</v>
      </c>
      <c r="J9312" s="411">
        <v>18.78</v>
      </c>
      <c r="K9312" s="411">
        <v>523.93946400000004</v>
      </c>
    </row>
    <row r="9313" spans="1:11" ht="39.6" x14ac:dyDescent="0.3">
      <c r="A9313" s="408" t="s">
        <v>1034</v>
      </c>
      <c r="B9313" s="409" t="s">
        <v>8081</v>
      </c>
      <c r="C9313" s="408" t="s">
        <v>395</v>
      </c>
      <c r="D9313" s="408" t="s">
        <v>8082</v>
      </c>
      <c r="E9313" s="604" t="s">
        <v>7773</v>
      </c>
      <c r="F9313" s="604"/>
      <c r="G9313" s="410" t="s">
        <v>713</v>
      </c>
      <c r="H9313" s="412">
        <v>1.2</v>
      </c>
      <c r="I9313" s="412">
        <v>0</v>
      </c>
      <c r="J9313" s="411">
        <v>534.45000000000005</v>
      </c>
      <c r="K9313" s="411">
        <v>641.34</v>
      </c>
    </row>
    <row r="9314" spans="1:11" ht="17.399999999999999" customHeight="1" x14ac:dyDescent="0.3">
      <c r="A9314" s="400" t="s">
        <v>1038</v>
      </c>
      <c r="B9314" s="401" t="s">
        <v>5029</v>
      </c>
      <c r="C9314" s="400" t="s">
        <v>395</v>
      </c>
      <c r="D9314" s="400" t="s">
        <v>5030</v>
      </c>
      <c r="E9314" s="605" t="s">
        <v>1039</v>
      </c>
      <c r="F9314" s="605"/>
      <c r="G9314" s="402" t="s">
        <v>675</v>
      </c>
      <c r="H9314" s="403">
        <v>1.9403999999999999</v>
      </c>
      <c r="I9314" s="403">
        <v>0</v>
      </c>
      <c r="J9314" s="404">
        <v>45.9</v>
      </c>
      <c r="K9314" s="404">
        <v>89.064359999999994</v>
      </c>
    </row>
    <row r="9315" spans="1:11" ht="26.4" x14ac:dyDescent="0.3">
      <c r="A9315" s="400" t="s">
        <v>1038</v>
      </c>
      <c r="B9315" s="401" t="s">
        <v>1550</v>
      </c>
      <c r="C9315" s="400" t="s">
        <v>395</v>
      </c>
      <c r="D9315" s="400" t="s">
        <v>257</v>
      </c>
      <c r="E9315" s="605" t="s">
        <v>1039</v>
      </c>
      <c r="F9315" s="605"/>
      <c r="G9315" s="402" t="s">
        <v>8</v>
      </c>
      <c r="H9315" s="403">
        <v>8.3299999999999999E-2</v>
      </c>
      <c r="I9315" s="403">
        <v>0</v>
      </c>
      <c r="J9315" s="404">
        <v>6.49</v>
      </c>
      <c r="K9315" s="404">
        <v>0.54061700000000001</v>
      </c>
    </row>
    <row r="9316" spans="1:11" ht="26.4" x14ac:dyDescent="0.3">
      <c r="A9316" s="400" t="s">
        <v>1038</v>
      </c>
      <c r="B9316" s="401" t="s">
        <v>2496</v>
      </c>
      <c r="C9316" s="400" t="s">
        <v>395</v>
      </c>
      <c r="D9316" s="400" t="s">
        <v>307</v>
      </c>
      <c r="E9316" s="605" t="s">
        <v>1039</v>
      </c>
      <c r="F9316" s="605"/>
      <c r="G9316" s="402" t="s">
        <v>7</v>
      </c>
      <c r="H9316" s="403">
        <v>5.6283000000000003</v>
      </c>
      <c r="I9316" s="403">
        <v>0</v>
      </c>
      <c r="J9316" s="404">
        <v>2.77</v>
      </c>
      <c r="K9316" s="404">
        <v>15.590391</v>
      </c>
    </row>
    <row r="9317" spans="1:11" ht="15" x14ac:dyDescent="0.3">
      <c r="A9317" s="400" t="s">
        <v>1038</v>
      </c>
      <c r="B9317" s="401" t="s">
        <v>5097</v>
      </c>
      <c r="C9317" s="400" t="s">
        <v>395</v>
      </c>
      <c r="D9317" s="400" t="s">
        <v>5098</v>
      </c>
      <c r="E9317" s="605" t="s">
        <v>1039</v>
      </c>
      <c r="F9317" s="605"/>
      <c r="G9317" s="402" t="s">
        <v>3</v>
      </c>
      <c r="H9317" s="403">
        <v>0.4365</v>
      </c>
      <c r="I9317" s="403">
        <v>0</v>
      </c>
      <c r="J9317" s="404">
        <v>20.27</v>
      </c>
      <c r="K9317" s="404">
        <v>8.8478549999999991</v>
      </c>
    </row>
    <row r="9318" spans="1:11" ht="30" customHeight="1" x14ac:dyDescent="0.3">
      <c r="A9318" s="405"/>
      <c r="B9318" s="405"/>
      <c r="C9318" s="405"/>
      <c r="D9318" s="405"/>
      <c r="E9318" s="405" t="s">
        <v>1046</v>
      </c>
      <c r="F9318" s="406">
        <v>2265.64</v>
      </c>
      <c r="G9318" s="405" t="s">
        <v>1047</v>
      </c>
      <c r="H9318" s="406">
        <v>0.05</v>
      </c>
      <c r="I9318" s="405" t="s">
        <v>1048</v>
      </c>
      <c r="J9318" s="406">
        <v>2265.69</v>
      </c>
      <c r="K9318"/>
    </row>
    <row r="9319" spans="1:11" ht="30" customHeight="1" thickBot="1" x14ac:dyDescent="0.35">
      <c r="A9319" s="405"/>
      <c r="B9319" s="405"/>
      <c r="C9319" s="405"/>
      <c r="D9319" s="405"/>
      <c r="E9319" s="405" t="s">
        <v>1049</v>
      </c>
      <c r="F9319" s="406">
        <v>0</v>
      </c>
      <c r="G9319" s="405"/>
      <c r="H9319" s="606"/>
      <c r="I9319" s="606" t="s">
        <v>1050</v>
      </c>
      <c r="J9319" s="406">
        <v>4004.09</v>
      </c>
      <c r="K9319"/>
    </row>
    <row r="9320" spans="1:11" ht="30" customHeight="1" thickTop="1" x14ac:dyDescent="0.3">
      <c r="A9320" s="407"/>
      <c r="B9320" s="407"/>
      <c r="C9320" s="407"/>
      <c r="D9320" s="407"/>
      <c r="E9320" s="407"/>
      <c r="F9320" s="407"/>
      <c r="G9320" s="407"/>
      <c r="H9320" s="407"/>
      <c r="I9320" s="407"/>
      <c r="J9320" s="407"/>
      <c r="K9320"/>
    </row>
    <row r="9321" spans="1:11" ht="30" customHeight="1" x14ac:dyDescent="0.3">
      <c r="A9321" s="382"/>
      <c r="B9321" s="312" t="s">
        <v>413</v>
      </c>
      <c r="C9321" s="382" t="s">
        <v>414</v>
      </c>
      <c r="D9321" s="382" t="s">
        <v>415</v>
      </c>
      <c r="E9321" s="586" t="s">
        <v>1029</v>
      </c>
      <c r="F9321" s="586"/>
      <c r="G9321" s="383" t="s">
        <v>416</v>
      </c>
      <c r="H9321" s="312" t="s">
        <v>1030</v>
      </c>
      <c r="I9321" s="312" t="s">
        <v>3016</v>
      </c>
      <c r="J9321" s="312" t="s">
        <v>1031</v>
      </c>
      <c r="K9321" s="312" t="s">
        <v>1032</v>
      </c>
    </row>
    <row r="9322" spans="1:11" ht="15" x14ac:dyDescent="0.3">
      <c r="A9322" s="313" t="s">
        <v>1033</v>
      </c>
      <c r="B9322" s="315" t="s">
        <v>1427</v>
      </c>
      <c r="C9322" s="313" t="s">
        <v>395</v>
      </c>
      <c r="D9322" s="313" t="s">
        <v>145</v>
      </c>
      <c r="E9322" s="603" t="s">
        <v>7768</v>
      </c>
      <c r="F9322" s="603"/>
      <c r="G9322" s="314" t="s">
        <v>6</v>
      </c>
      <c r="H9322" s="399">
        <v>1</v>
      </c>
      <c r="I9322" s="316"/>
      <c r="J9322" s="316">
        <v>42.87</v>
      </c>
      <c r="K9322" s="316">
        <v>42.87</v>
      </c>
    </row>
    <row r="9323" spans="1:11" ht="26.4" x14ac:dyDescent="0.3">
      <c r="A9323" s="408" t="s">
        <v>1034</v>
      </c>
      <c r="B9323" s="409" t="s">
        <v>8146</v>
      </c>
      <c r="C9323" s="408" t="s">
        <v>395</v>
      </c>
      <c r="D9323" s="408" t="s">
        <v>8147</v>
      </c>
      <c r="E9323" s="604" t="s">
        <v>7768</v>
      </c>
      <c r="F9323" s="604"/>
      <c r="G9323" s="410" t="s">
        <v>6</v>
      </c>
      <c r="H9323" s="412">
        <v>1</v>
      </c>
      <c r="I9323" s="412">
        <v>0</v>
      </c>
      <c r="J9323" s="411">
        <v>0.45</v>
      </c>
      <c r="K9323" s="411">
        <v>0.45</v>
      </c>
    </row>
    <row r="9324" spans="1:11" ht="15" x14ac:dyDescent="0.3">
      <c r="A9324" s="400" t="s">
        <v>1038</v>
      </c>
      <c r="B9324" s="401" t="s">
        <v>3165</v>
      </c>
      <c r="C9324" s="400" t="s">
        <v>395</v>
      </c>
      <c r="D9324" s="400" t="s">
        <v>3166</v>
      </c>
      <c r="E9324" s="605" t="s">
        <v>1053</v>
      </c>
      <c r="F9324" s="605"/>
      <c r="G9324" s="402" t="s">
        <v>6</v>
      </c>
      <c r="H9324" s="403">
        <v>1</v>
      </c>
      <c r="I9324" s="403">
        <v>0</v>
      </c>
      <c r="J9324" s="404">
        <v>30.49</v>
      </c>
      <c r="K9324" s="404">
        <v>30.49</v>
      </c>
    </row>
    <row r="9325" spans="1:11" ht="15" x14ac:dyDescent="0.3">
      <c r="A9325" s="400" t="s">
        <v>1038</v>
      </c>
      <c r="B9325" s="401" t="s">
        <v>4028</v>
      </c>
      <c r="C9325" s="400" t="s">
        <v>395</v>
      </c>
      <c r="D9325" s="400" t="s">
        <v>4029</v>
      </c>
      <c r="E9325" s="605" t="s">
        <v>4030</v>
      </c>
      <c r="F9325" s="605"/>
      <c r="G9325" s="402" t="s">
        <v>6</v>
      </c>
      <c r="H9325" s="403">
        <v>1</v>
      </c>
      <c r="I9325" s="403">
        <v>0</v>
      </c>
      <c r="J9325" s="404">
        <v>4.78</v>
      </c>
      <c r="K9325" s="404">
        <v>4.78</v>
      </c>
    </row>
    <row r="9326" spans="1:11" ht="17.399999999999999" customHeight="1" x14ac:dyDescent="0.3">
      <c r="A9326" s="400" t="s">
        <v>1038</v>
      </c>
      <c r="B9326" s="401" t="s">
        <v>4066</v>
      </c>
      <c r="C9326" s="400" t="s">
        <v>395</v>
      </c>
      <c r="D9326" s="400" t="s">
        <v>4067</v>
      </c>
      <c r="E9326" s="605" t="s">
        <v>2381</v>
      </c>
      <c r="F9326" s="605"/>
      <c r="G9326" s="402" t="s">
        <v>6</v>
      </c>
      <c r="H9326" s="403">
        <v>1</v>
      </c>
      <c r="I9326" s="403">
        <v>0</v>
      </c>
      <c r="J9326" s="404">
        <v>1.72</v>
      </c>
      <c r="K9326" s="404">
        <v>1.72</v>
      </c>
    </row>
    <row r="9327" spans="1:11" ht="15" x14ac:dyDescent="0.3">
      <c r="A9327" s="400" t="s">
        <v>1038</v>
      </c>
      <c r="B9327" s="401" t="s">
        <v>4078</v>
      </c>
      <c r="C9327" s="400" t="s">
        <v>395</v>
      </c>
      <c r="D9327" s="400" t="s">
        <v>4079</v>
      </c>
      <c r="E9327" s="605" t="s">
        <v>4030</v>
      </c>
      <c r="F9327" s="605"/>
      <c r="G9327" s="402" t="s">
        <v>6</v>
      </c>
      <c r="H9327" s="403">
        <v>1</v>
      </c>
      <c r="I9327" s="403">
        <v>0</v>
      </c>
      <c r="J9327" s="404">
        <v>1.25</v>
      </c>
      <c r="K9327" s="404">
        <v>1.25</v>
      </c>
    </row>
    <row r="9328" spans="1:11" ht="15" x14ac:dyDescent="0.3">
      <c r="A9328" s="400" t="s">
        <v>1038</v>
      </c>
      <c r="B9328" s="401" t="s">
        <v>4274</v>
      </c>
      <c r="C9328" s="400" t="s">
        <v>395</v>
      </c>
      <c r="D9328" s="400" t="s">
        <v>4275</v>
      </c>
      <c r="E9328" s="605" t="s">
        <v>2386</v>
      </c>
      <c r="F9328" s="605"/>
      <c r="G9328" s="402" t="s">
        <v>6</v>
      </c>
      <c r="H9328" s="403">
        <v>1</v>
      </c>
      <c r="I9328" s="403">
        <v>0</v>
      </c>
      <c r="J9328" s="404">
        <v>0.11</v>
      </c>
      <c r="K9328" s="404">
        <v>0.11</v>
      </c>
    </row>
    <row r="9329" spans="1:11" ht="30" customHeight="1" x14ac:dyDescent="0.3">
      <c r="A9329" s="400" t="s">
        <v>1038</v>
      </c>
      <c r="B9329" s="401" t="s">
        <v>4364</v>
      </c>
      <c r="C9329" s="400" t="s">
        <v>395</v>
      </c>
      <c r="D9329" s="400" t="s">
        <v>4365</v>
      </c>
      <c r="E9329" s="605" t="s">
        <v>1317</v>
      </c>
      <c r="F9329" s="605"/>
      <c r="G9329" s="402" t="s">
        <v>6</v>
      </c>
      <c r="H9329" s="403">
        <v>1</v>
      </c>
      <c r="I9329" s="403">
        <v>0</v>
      </c>
      <c r="J9329" s="404">
        <v>1.9</v>
      </c>
      <c r="K9329" s="404">
        <v>1.9</v>
      </c>
    </row>
    <row r="9330" spans="1:11" ht="16.95" customHeight="1" x14ac:dyDescent="0.3">
      <c r="A9330" s="400" t="s">
        <v>1038</v>
      </c>
      <c r="B9330" s="401" t="s">
        <v>4361</v>
      </c>
      <c r="C9330" s="400" t="s">
        <v>395</v>
      </c>
      <c r="D9330" s="400" t="s">
        <v>4362</v>
      </c>
      <c r="E9330" s="605" t="s">
        <v>1317</v>
      </c>
      <c r="F9330" s="605"/>
      <c r="G9330" s="402" t="s">
        <v>6</v>
      </c>
      <c r="H9330" s="403">
        <v>1</v>
      </c>
      <c r="I9330" s="403">
        <v>0</v>
      </c>
      <c r="J9330" s="404">
        <v>2.17</v>
      </c>
      <c r="K9330" s="404">
        <v>2.17</v>
      </c>
    </row>
    <row r="9331" spans="1:11" ht="16.95" customHeight="1" x14ac:dyDescent="0.3">
      <c r="A9331" s="405"/>
      <c r="B9331" s="405"/>
      <c r="C9331" s="405"/>
      <c r="D9331" s="405"/>
      <c r="E9331" s="405" t="s">
        <v>1046</v>
      </c>
      <c r="F9331" s="406">
        <v>30.94</v>
      </c>
      <c r="G9331" s="405" t="s">
        <v>1047</v>
      </c>
      <c r="H9331" s="406">
        <v>0</v>
      </c>
      <c r="I9331" s="405" t="s">
        <v>1048</v>
      </c>
      <c r="J9331" s="406">
        <v>30.94</v>
      </c>
      <c r="K9331"/>
    </row>
    <row r="9332" spans="1:11" ht="16.95" customHeight="1" thickBot="1" x14ac:dyDescent="0.35">
      <c r="A9332" s="405"/>
      <c r="B9332" s="405"/>
      <c r="C9332" s="405"/>
      <c r="D9332" s="405"/>
      <c r="E9332" s="405" t="s">
        <v>1049</v>
      </c>
      <c r="F9332" s="406">
        <v>0</v>
      </c>
      <c r="G9332" s="405"/>
      <c r="H9332" s="606"/>
      <c r="I9332" s="606" t="s">
        <v>1050</v>
      </c>
      <c r="J9332" s="406">
        <v>42.87</v>
      </c>
      <c r="K9332"/>
    </row>
    <row r="9333" spans="1:11" ht="16.95" customHeight="1" thickTop="1" x14ac:dyDescent="0.3">
      <c r="A9333" s="407"/>
      <c r="B9333" s="407"/>
      <c r="C9333" s="407"/>
      <c r="D9333" s="407"/>
      <c r="E9333" s="407"/>
      <c r="F9333" s="407"/>
      <c r="G9333" s="407"/>
      <c r="H9333" s="407"/>
      <c r="I9333" s="407"/>
      <c r="J9333" s="407"/>
      <c r="K9333"/>
    </row>
    <row r="9334" spans="1:11" ht="16.95" customHeight="1" x14ac:dyDescent="0.3">
      <c r="A9334" s="382"/>
      <c r="B9334" s="312" t="s">
        <v>413</v>
      </c>
      <c r="C9334" s="382" t="s">
        <v>414</v>
      </c>
      <c r="D9334" s="382" t="s">
        <v>415</v>
      </c>
      <c r="E9334" s="586" t="s">
        <v>1029</v>
      </c>
      <c r="F9334" s="586"/>
      <c r="G9334" s="383" t="s">
        <v>416</v>
      </c>
      <c r="H9334" s="312" t="s">
        <v>1030</v>
      </c>
      <c r="I9334" s="312" t="s">
        <v>3016</v>
      </c>
      <c r="J9334" s="312" t="s">
        <v>1031</v>
      </c>
      <c r="K9334" s="312" t="s">
        <v>1032</v>
      </c>
    </row>
    <row r="9335" spans="1:11" ht="16.95" customHeight="1" x14ac:dyDescent="0.3">
      <c r="A9335" s="313" t="s">
        <v>1033</v>
      </c>
      <c r="B9335" s="315" t="s">
        <v>996</v>
      </c>
      <c r="C9335" s="313" t="s">
        <v>395</v>
      </c>
      <c r="D9335" s="313" t="s">
        <v>7800</v>
      </c>
      <c r="E9335" s="603" t="s">
        <v>7801</v>
      </c>
      <c r="F9335" s="603"/>
      <c r="G9335" s="314" t="s">
        <v>675</v>
      </c>
      <c r="H9335" s="399">
        <v>1</v>
      </c>
      <c r="I9335" s="316"/>
      <c r="J9335" s="316">
        <v>16.059999999999999</v>
      </c>
      <c r="K9335" s="316">
        <v>16.059999999999999</v>
      </c>
    </row>
    <row r="9336" spans="1:11" ht="26.4" x14ac:dyDescent="0.3">
      <c r="A9336" s="408" t="s">
        <v>1034</v>
      </c>
      <c r="B9336" s="409" t="s">
        <v>1427</v>
      </c>
      <c r="C9336" s="408" t="s">
        <v>395</v>
      </c>
      <c r="D9336" s="408" t="s">
        <v>145</v>
      </c>
      <c r="E9336" s="604" t="s">
        <v>7768</v>
      </c>
      <c r="F9336" s="604"/>
      <c r="G9336" s="410" t="s">
        <v>6</v>
      </c>
      <c r="H9336" s="412">
        <v>0.16309999999999999</v>
      </c>
      <c r="I9336" s="412">
        <v>0</v>
      </c>
      <c r="J9336" s="411">
        <v>42.87</v>
      </c>
      <c r="K9336" s="411">
        <v>6.9920970000000002</v>
      </c>
    </row>
    <row r="9337" spans="1:11" ht="26.4" x14ac:dyDescent="0.3">
      <c r="A9337" s="408" t="s">
        <v>1034</v>
      </c>
      <c r="B9337" s="409" t="s">
        <v>1290</v>
      </c>
      <c r="C9337" s="408" t="s">
        <v>395</v>
      </c>
      <c r="D9337" s="408" t="s">
        <v>147</v>
      </c>
      <c r="E9337" s="604" t="s">
        <v>7768</v>
      </c>
      <c r="F9337" s="604"/>
      <c r="G9337" s="410" t="s">
        <v>6</v>
      </c>
      <c r="H9337" s="412">
        <v>5.4399999999999997E-2</v>
      </c>
      <c r="I9337" s="412">
        <v>0</v>
      </c>
      <c r="J9337" s="411">
        <v>32.82</v>
      </c>
      <c r="K9337" s="411">
        <v>1.7854080000000001</v>
      </c>
    </row>
    <row r="9338" spans="1:11" ht="15" x14ac:dyDescent="0.3">
      <c r="A9338" s="400" t="s">
        <v>1038</v>
      </c>
      <c r="B9338" s="401" t="s">
        <v>1436</v>
      </c>
      <c r="C9338" s="400" t="s">
        <v>395</v>
      </c>
      <c r="D9338" s="400" t="s">
        <v>369</v>
      </c>
      <c r="E9338" s="605" t="s">
        <v>1039</v>
      </c>
      <c r="F9338" s="605"/>
      <c r="G9338" s="402" t="s">
        <v>8</v>
      </c>
      <c r="H9338" s="403">
        <v>0.22850000000000001</v>
      </c>
      <c r="I9338" s="403">
        <v>0</v>
      </c>
      <c r="J9338" s="404">
        <v>31.86</v>
      </c>
      <c r="K9338" s="404">
        <v>7.2800099999999999</v>
      </c>
    </row>
    <row r="9339" spans="1:11" ht="15" x14ac:dyDescent="0.3">
      <c r="A9339" s="405"/>
      <c r="B9339" s="405"/>
      <c r="C9339" s="405"/>
      <c r="D9339" s="405"/>
      <c r="E9339" s="405" t="s">
        <v>1046</v>
      </c>
      <c r="F9339" s="406">
        <v>6.28</v>
      </c>
      <c r="G9339" s="405" t="s">
        <v>1047</v>
      </c>
      <c r="H9339" s="406">
        <v>0</v>
      </c>
      <c r="I9339" s="405" t="s">
        <v>1048</v>
      </c>
      <c r="J9339" s="406">
        <v>6.28</v>
      </c>
      <c r="K9339"/>
    </row>
    <row r="9340" spans="1:11" ht="16.95" customHeight="1" thickBot="1" x14ac:dyDescent="0.35">
      <c r="A9340" s="405"/>
      <c r="B9340" s="405"/>
      <c r="C9340" s="405"/>
      <c r="D9340" s="405"/>
      <c r="E9340" s="405" t="s">
        <v>1049</v>
      </c>
      <c r="F9340" s="406">
        <v>0</v>
      </c>
      <c r="G9340" s="405"/>
      <c r="H9340" s="606"/>
      <c r="I9340" s="606" t="s">
        <v>1050</v>
      </c>
      <c r="J9340" s="406">
        <v>16.059999999999999</v>
      </c>
      <c r="K9340"/>
    </row>
    <row r="9341" spans="1:11" ht="15.6" thickTop="1" x14ac:dyDescent="0.3">
      <c r="A9341" s="407"/>
      <c r="B9341" s="407"/>
      <c r="C9341" s="407"/>
      <c r="D9341" s="407"/>
      <c r="E9341" s="407"/>
      <c r="F9341" s="407"/>
      <c r="G9341" s="407"/>
      <c r="H9341" s="407"/>
      <c r="I9341" s="407"/>
      <c r="J9341" s="407"/>
      <c r="K9341"/>
    </row>
    <row r="9342" spans="1:11" ht="17.399999999999999" customHeight="1" x14ac:dyDescent="0.3">
      <c r="A9342" s="382"/>
      <c r="B9342" s="312" t="s">
        <v>413</v>
      </c>
      <c r="C9342" s="382" t="s">
        <v>414</v>
      </c>
      <c r="D9342" s="382" t="s">
        <v>415</v>
      </c>
      <c r="E9342" s="586" t="s">
        <v>1029</v>
      </c>
      <c r="F9342" s="586"/>
      <c r="G9342" s="383" t="s">
        <v>416</v>
      </c>
      <c r="H9342" s="312" t="s">
        <v>1030</v>
      </c>
      <c r="I9342" s="312" t="s">
        <v>3016</v>
      </c>
      <c r="J9342" s="312" t="s">
        <v>1031</v>
      </c>
      <c r="K9342" s="312" t="s">
        <v>1032</v>
      </c>
    </row>
    <row r="9343" spans="1:11" ht="39.6" x14ac:dyDescent="0.3">
      <c r="A9343" s="313" t="s">
        <v>1033</v>
      </c>
      <c r="B9343" s="315" t="s">
        <v>5240</v>
      </c>
      <c r="C9343" s="313" t="s">
        <v>395</v>
      </c>
      <c r="D9343" s="313" t="s">
        <v>5241</v>
      </c>
      <c r="E9343" s="603" t="s">
        <v>7772</v>
      </c>
      <c r="F9343" s="603"/>
      <c r="G9343" s="314" t="s">
        <v>19</v>
      </c>
      <c r="H9343" s="399">
        <v>1</v>
      </c>
      <c r="I9343" s="316"/>
      <c r="J9343" s="316">
        <v>0.72</v>
      </c>
      <c r="K9343" s="316">
        <v>0.72</v>
      </c>
    </row>
    <row r="9344" spans="1:11" ht="39.6" x14ac:dyDescent="0.3">
      <c r="A9344" s="408" t="s">
        <v>1034</v>
      </c>
      <c r="B9344" s="409" t="s">
        <v>8259</v>
      </c>
      <c r="C9344" s="408" t="s">
        <v>395</v>
      </c>
      <c r="D9344" s="408" t="s">
        <v>8260</v>
      </c>
      <c r="E9344" s="604" t="s">
        <v>7946</v>
      </c>
      <c r="F9344" s="604"/>
      <c r="G9344" s="410" t="s">
        <v>6</v>
      </c>
      <c r="H9344" s="412">
        <v>1</v>
      </c>
      <c r="I9344" s="412">
        <v>0</v>
      </c>
      <c r="J9344" s="411">
        <v>0.56999999999999995</v>
      </c>
      <c r="K9344" s="411">
        <v>0.56999999999999995</v>
      </c>
    </row>
    <row r="9345" spans="1:11" ht="30" customHeight="1" x14ac:dyDescent="0.3">
      <c r="A9345" s="408" t="s">
        <v>1034</v>
      </c>
      <c r="B9345" s="409" t="s">
        <v>8261</v>
      </c>
      <c r="C9345" s="408" t="s">
        <v>395</v>
      </c>
      <c r="D9345" s="408" t="s">
        <v>8262</v>
      </c>
      <c r="E9345" s="604" t="s">
        <v>7946</v>
      </c>
      <c r="F9345" s="604"/>
      <c r="G9345" s="410" t="s">
        <v>6</v>
      </c>
      <c r="H9345" s="412">
        <v>1</v>
      </c>
      <c r="I9345" s="412">
        <v>0</v>
      </c>
      <c r="J9345" s="411">
        <v>0.15</v>
      </c>
      <c r="K9345" s="411">
        <v>0.15</v>
      </c>
    </row>
    <row r="9346" spans="1:11" ht="16.95" customHeight="1" x14ac:dyDescent="0.3">
      <c r="A9346" s="405"/>
      <c r="B9346" s="405"/>
      <c r="C9346" s="405"/>
      <c r="D9346" s="405"/>
      <c r="E9346" s="405" t="s">
        <v>1046</v>
      </c>
      <c r="F9346" s="406">
        <v>0</v>
      </c>
      <c r="G9346" s="405" t="s">
        <v>1047</v>
      </c>
      <c r="H9346" s="406">
        <v>0</v>
      </c>
      <c r="I9346" s="405" t="s">
        <v>1048</v>
      </c>
      <c r="J9346" s="406">
        <v>0</v>
      </c>
      <c r="K9346"/>
    </row>
    <row r="9347" spans="1:11" ht="16.95" customHeight="1" thickBot="1" x14ac:dyDescent="0.35">
      <c r="A9347" s="405"/>
      <c r="B9347" s="405"/>
      <c r="C9347" s="405"/>
      <c r="D9347" s="405"/>
      <c r="E9347" s="405" t="s">
        <v>1049</v>
      </c>
      <c r="F9347" s="406">
        <v>0</v>
      </c>
      <c r="G9347" s="405"/>
      <c r="H9347" s="606"/>
      <c r="I9347" s="606" t="s">
        <v>1050</v>
      </c>
      <c r="J9347" s="406">
        <v>0.72</v>
      </c>
      <c r="K9347"/>
    </row>
    <row r="9348" spans="1:11" ht="16.95" customHeight="1" thickTop="1" x14ac:dyDescent="0.3">
      <c r="A9348" s="407"/>
      <c r="B9348" s="407"/>
      <c r="C9348" s="407"/>
      <c r="D9348" s="407"/>
      <c r="E9348" s="407"/>
      <c r="F9348" s="407"/>
      <c r="G9348" s="407"/>
      <c r="H9348" s="407"/>
      <c r="I9348" s="407"/>
      <c r="J9348" s="407"/>
      <c r="K9348"/>
    </row>
    <row r="9349" spans="1:11" ht="16.95" customHeight="1" x14ac:dyDescent="0.3">
      <c r="A9349" s="382"/>
      <c r="B9349" s="312" t="s">
        <v>413</v>
      </c>
      <c r="C9349" s="382" t="s">
        <v>414</v>
      </c>
      <c r="D9349" s="382" t="s">
        <v>415</v>
      </c>
      <c r="E9349" s="586" t="s">
        <v>1029</v>
      </c>
      <c r="F9349" s="586"/>
      <c r="G9349" s="383" t="s">
        <v>416</v>
      </c>
      <c r="H9349" s="312" t="s">
        <v>1030</v>
      </c>
      <c r="I9349" s="312" t="s">
        <v>3016</v>
      </c>
      <c r="J9349" s="312" t="s">
        <v>1031</v>
      </c>
      <c r="K9349" s="312" t="s">
        <v>1032</v>
      </c>
    </row>
    <row r="9350" spans="1:11" ht="16.95" customHeight="1" x14ac:dyDescent="0.3">
      <c r="A9350" s="313" t="s">
        <v>1033</v>
      </c>
      <c r="B9350" s="315" t="s">
        <v>1298</v>
      </c>
      <c r="C9350" s="313" t="s">
        <v>395</v>
      </c>
      <c r="D9350" s="313" t="s">
        <v>17</v>
      </c>
      <c r="E9350" s="603" t="s">
        <v>7772</v>
      </c>
      <c r="F9350" s="603"/>
      <c r="G9350" s="314" t="s">
        <v>15</v>
      </c>
      <c r="H9350" s="399">
        <v>1</v>
      </c>
      <c r="I9350" s="316"/>
      <c r="J9350" s="316">
        <v>10.98</v>
      </c>
      <c r="K9350" s="316">
        <v>10.98</v>
      </c>
    </row>
    <row r="9351" spans="1:11" ht="16.95" customHeight="1" x14ac:dyDescent="0.3">
      <c r="A9351" s="408" t="s">
        <v>1034</v>
      </c>
      <c r="B9351" s="409" t="s">
        <v>8259</v>
      </c>
      <c r="C9351" s="408" t="s">
        <v>395</v>
      </c>
      <c r="D9351" s="408" t="s">
        <v>8260</v>
      </c>
      <c r="E9351" s="604" t="s">
        <v>7946</v>
      </c>
      <c r="F9351" s="604"/>
      <c r="G9351" s="410" t="s">
        <v>6</v>
      </c>
      <c r="H9351" s="412">
        <v>1</v>
      </c>
      <c r="I9351" s="412">
        <v>0</v>
      </c>
      <c r="J9351" s="411">
        <v>0.56999999999999995</v>
      </c>
      <c r="K9351" s="411">
        <v>0.56999999999999995</v>
      </c>
    </row>
    <row r="9352" spans="1:11" ht="39.6" x14ac:dyDescent="0.3">
      <c r="A9352" s="408" t="s">
        <v>1034</v>
      </c>
      <c r="B9352" s="409" t="s">
        <v>8261</v>
      </c>
      <c r="C9352" s="408" t="s">
        <v>395</v>
      </c>
      <c r="D9352" s="408" t="s">
        <v>8262</v>
      </c>
      <c r="E9352" s="604" t="s">
        <v>7946</v>
      </c>
      <c r="F9352" s="604"/>
      <c r="G9352" s="410" t="s">
        <v>6</v>
      </c>
      <c r="H9352" s="412">
        <v>1</v>
      </c>
      <c r="I9352" s="412">
        <v>0</v>
      </c>
      <c r="J9352" s="411">
        <v>0.15</v>
      </c>
      <c r="K9352" s="411">
        <v>0.15</v>
      </c>
    </row>
    <row r="9353" spans="1:11" ht="16.95" customHeight="1" x14ac:dyDescent="0.3">
      <c r="A9353" s="408" t="s">
        <v>1034</v>
      </c>
      <c r="B9353" s="409" t="s">
        <v>8263</v>
      </c>
      <c r="C9353" s="408" t="s">
        <v>395</v>
      </c>
      <c r="D9353" s="408" t="s">
        <v>8264</v>
      </c>
      <c r="E9353" s="604" t="s">
        <v>7946</v>
      </c>
      <c r="F9353" s="604"/>
      <c r="G9353" s="410" t="s">
        <v>6</v>
      </c>
      <c r="H9353" s="412">
        <v>1</v>
      </c>
      <c r="I9353" s="412">
        <v>0</v>
      </c>
      <c r="J9353" s="411">
        <v>0.71</v>
      </c>
      <c r="K9353" s="411">
        <v>0.71</v>
      </c>
    </row>
    <row r="9354" spans="1:11" ht="39.6" x14ac:dyDescent="0.3">
      <c r="A9354" s="408" t="s">
        <v>1034</v>
      </c>
      <c r="B9354" s="409" t="s">
        <v>8265</v>
      </c>
      <c r="C9354" s="408" t="s">
        <v>395</v>
      </c>
      <c r="D9354" s="408" t="s">
        <v>8266</v>
      </c>
      <c r="E9354" s="604" t="s">
        <v>7946</v>
      </c>
      <c r="F9354" s="604"/>
      <c r="G9354" s="410" t="s">
        <v>6</v>
      </c>
      <c r="H9354" s="412">
        <v>1</v>
      </c>
      <c r="I9354" s="412">
        <v>0</v>
      </c>
      <c r="J9354" s="411">
        <v>9.5500000000000007</v>
      </c>
      <c r="K9354" s="411">
        <v>9.5500000000000007</v>
      </c>
    </row>
    <row r="9355" spans="1:11" ht="17.399999999999999" customHeight="1" x14ac:dyDescent="0.3">
      <c r="A9355" s="405"/>
      <c r="B9355" s="405"/>
      <c r="C9355" s="405"/>
      <c r="D9355" s="405"/>
      <c r="E9355" s="405" t="s">
        <v>1046</v>
      </c>
      <c r="F9355" s="406">
        <v>0</v>
      </c>
      <c r="G9355" s="405" t="s">
        <v>1047</v>
      </c>
      <c r="H9355" s="406">
        <v>0</v>
      </c>
      <c r="I9355" s="405" t="s">
        <v>1048</v>
      </c>
      <c r="J9355" s="406">
        <v>0</v>
      </c>
      <c r="K9355"/>
    </row>
    <row r="9356" spans="1:11" ht="15.6" thickBot="1" x14ac:dyDescent="0.35">
      <c r="A9356" s="405"/>
      <c r="B9356" s="405"/>
      <c r="C9356" s="405"/>
      <c r="D9356" s="405"/>
      <c r="E9356" s="405" t="s">
        <v>1049</v>
      </c>
      <c r="F9356" s="406">
        <v>0</v>
      </c>
      <c r="G9356" s="405"/>
      <c r="H9356" s="606"/>
      <c r="I9356" s="606" t="s">
        <v>1050</v>
      </c>
      <c r="J9356" s="406">
        <v>10.98</v>
      </c>
      <c r="K9356"/>
    </row>
    <row r="9357" spans="1:11" ht="15.6" thickTop="1" x14ac:dyDescent="0.3">
      <c r="A9357" s="407"/>
      <c r="B9357" s="407"/>
      <c r="C9357" s="407"/>
      <c r="D9357" s="407"/>
      <c r="E9357" s="407"/>
      <c r="F9357" s="407"/>
      <c r="G9357" s="407"/>
      <c r="H9357" s="407"/>
      <c r="I9357" s="407"/>
      <c r="J9357" s="407"/>
      <c r="K9357"/>
    </row>
    <row r="9358" spans="1:11" ht="30" customHeight="1" x14ac:dyDescent="0.3">
      <c r="A9358" s="382"/>
      <c r="B9358" s="312" t="s">
        <v>413</v>
      </c>
      <c r="C9358" s="382" t="s">
        <v>414</v>
      </c>
      <c r="D9358" s="382" t="s">
        <v>415</v>
      </c>
      <c r="E9358" s="586" t="s">
        <v>1029</v>
      </c>
      <c r="F9358" s="586"/>
      <c r="G9358" s="383" t="s">
        <v>416</v>
      </c>
      <c r="H9358" s="312" t="s">
        <v>1030</v>
      </c>
      <c r="I9358" s="312" t="s">
        <v>3016</v>
      </c>
      <c r="J9358" s="312" t="s">
        <v>1031</v>
      </c>
      <c r="K9358" s="312" t="s">
        <v>1032</v>
      </c>
    </row>
    <row r="9359" spans="1:11" ht="16.95" customHeight="1" x14ac:dyDescent="0.3">
      <c r="A9359" s="313" t="s">
        <v>1033</v>
      </c>
      <c r="B9359" s="315" t="s">
        <v>8259</v>
      </c>
      <c r="C9359" s="313" t="s">
        <v>395</v>
      </c>
      <c r="D9359" s="313" t="s">
        <v>8260</v>
      </c>
      <c r="E9359" s="603" t="s">
        <v>7946</v>
      </c>
      <c r="F9359" s="603"/>
      <c r="G9359" s="314" t="s">
        <v>6</v>
      </c>
      <c r="H9359" s="399">
        <v>1</v>
      </c>
      <c r="I9359" s="316"/>
      <c r="J9359" s="316">
        <v>0.56999999999999995</v>
      </c>
      <c r="K9359" s="316">
        <v>0.56999999999999995</v>
      </c>
    </row>
    <row r="9360" spans="1:11" ht="16.95" customHeight="1" x14ac:dyDescent="0.3">
      <c r="A9360" s="400" t="s">
        <v>1038</v>
      </c>
      <c r="B9360" s="401" t="s">
        <v>5059</v>
      </c>
      <c r="C9360" s="400" t="s">
        <v>395</v>
      </c>
      <c r="D9360" s="400" t="s">
        <v>5060</v>
      </c>
      <c r="E9360" s="605" t="s">
        <v>1317</v>
      </c>
      <c r="F9360" s="605"/>
      <c r="G9360" s="402" t="s">
        <v>4</v>
      </c>
      <c r="H9360" s="403">
        <v>5.3300000000000001E-5</v>
      </c>
      <c r="I9360" s="403">
        <v>0</v>
      </c>
      <c r="J9360" s="404">
        <v>10637.56</v>
      </c>
      <c r="K9360" s="404">
        <v>0.56698190000000004</v>
      </c>
    </row>
    <row r="9361" spans="1:11" ht="16.95" customHeight="1" x14ac:dyDescent="0.3">
      <c r="A9361" s="405"/>
      <c r="B9361" s="405"/>
      <c r="C9361" s="405"/>
      <c r="D9361" s="405"/>
      <c r="E9361" s="405" t="s">
        <v>1046</v>
      </c>
      <c r="F9361" s="406">
        <v>0</v>
      </c>
      <c r="G9361" s="405" t="s">
        <v>1047</v>
      </c>
      <c r="H9361" s="406">
        <v>0</v>
      </c>
      <c r="I9361" s="405" t="s">
        <v>1048</v>
      </c>
      <c r="J9361" s="406">
        <v>0</v>
      </c>
      <c r="K9361"/>
    </row>
    <row r="9362" spans="1:11" ht="16.95" customHeight="1" thickBot="1" x14ac:dyDescent="0.35">
      <c r="A9362" s="405"/>
      <c r="B9362" s="405"/>
      <c r="C9362" s="405"/>
      <c r="D9362" s="405"/>
      <c r="E9362" s="405" t="s">
        <v>1049</v>
      </c>
      <c r="F9362" s="406">
        <v>0</v>
      </c>
      <c r="G9362" s="405"/>
      <c r="H9362" s="606"/>
      <c r="I9362" s="606" t="s">
        <v>1050</v>
      </c>
      <c r="J9362" s="406">
        <v>0.56999999999999995</v>
      </c>
      <c r="K9362"/>
    </row>
    <row r="9363" spans="1:11" ht="16.95" customHeight="1" thickTop="1" x14ac:dyDescent="0.3">
      <c r="A9363" s="407"/>
      <c r="B9363" s="407"/>
      <c r="C9363" s="407"/>
      <c r="D9363" s="407"/>
      <c r="E9363" s="407"/>
      <c r="F9363" s="407"/>
      <c r="G9363" s="407"/>
      <c r="H9363" s="407"/>
      <c r="I9363" s="407"/>
      <c r="J9363" s="407"/>
      <c r="K9363"/>
    </row>
    <row r="9364" spans="1:11" ht="16.95" customHeight="1" x14ac:dyDescent="0.3">
      <c r="A9364" s="382"/>
      <c r="B9364" s="312" t="s">
        <v>413</v>
      </c>
      <c r="C9364" s="382" t="s">
        <v>414</v>
      </c>
      <c r="D9364" s="382" t="s">
        <v>415</v>
      </c>
      <c r="E9364" s="586" t="s">
        <v>1029</v>
      </c>
      <c r="F9364" s="586"/>
      <c r="G9364" s="383" t="s">
        <v>416</v>
      </c>
      <c r="H9364" s="312" t="s">
        <v>1030</v>
      </c>
      <c r="I9364" s="312" t="s">
        <v>3016</v>
      </c>
      <c r="J9364" s="312" t="s">
        <v>1031</v>
      </c>
      <c r="K9364" s="312" t="s">
        <v>1032</v>
      </c>
    </row>
    <row r="9365" spans="1:11" ht="39.6" x14ac:dyDescent="0.3">
      <c r="A9365" s="313" t="s">
        <v>1033</v>
      </c>
      <c r="B9365" s="315" t="s">
        <v>8261</v>
      </c>
      <c r="C9365" s="313" t="s">
        <v>395</v>
      </c>
      <c r="D9365" s="313" t="s">
        <v>8262</v>
      </c>
      <c r="E9365" s="603" t="s">
        <v>7946</v>
      </c>
      <c r="F9365" s="603"/>
      <c r="G9365" s="314" t="s">
        <v>6</v>
      </c>
      <c r="H9365" s="399">
        <v>1</v>
      </c>
      <c r="I9365" s="316"/>
      <c r="J9365" s="316">
        <v>0.15</v>
      </c>
      <c r="K9365" s="316">
        <v>0.15</v>
      </c>
    </row>
    <row r="9366" spans="1:11" ht="16.95" customHeight="1" x14ac:dyDescent="0.3">
      <c r="A9366" s="400" t="s">
        <v>1038</v>
      </c>
      <c r="B9366" s="401" t="s">
        <v>5059</v>
      </c>
      <c r="C9366" s="400" t="s">
        <v>395</v>
      </c>
      <c r="D9366" s="400" t="s">
        <v>5060</v>
      </c>
      <c r="E9366" s="605" t="s">
        <v>1317</v>
      </c>
      <c r="F9366" s="605"/>
      <c r="G9366" s="402" t="s">
        <v>4</v>
      </c>
      <c r="H9366" s="403">
        <v>1.43E-5</v>
      </c>
      <c r="I9366" s="403">
        <v>0</v>
      </c>
      <c r="J9366" s="404">
        <v>10637.56</v>
      </c>
      <c r="K9366" s="404">
        <v>0.15211710000000001</v>
      </c>
    </row>
    <row r="9367" spans="1:11" ht="15" x14ac:dyDescent="0.3">
      <c r="A9367" s="405"/>
      <c r="B9367" s="405"/>
      <c r="C9367" s="405"/>
      <c r="D9367" s="405"/>
      <c r="E9367" s="405" t="s">
        <v>1046</v>
      </c>
      <c r="F9367" s="406">
        <v>0</v>
      </c>
      <c r="G9367" s="405" t="s">
        <v>1047</v>
      </c>
      <c r="H9367" s="406">
        <v>0</v>
      </c>
      <c r="I9367" s="405" t="s">
        <v>1048</v>
      </c>
      <c r="J9367" s="406">
        <v>0</v>
      </c>
      <c r="K9367"/>
    </row>
    <row r="9368" spans="1:11" ht="17.399999999999999" customHeight="1" thickBot="1" x14ac:dyDescent="0.35">
      <c r="A9368" s="405"/>
      <c r="B9368" s="405"/>
      <c r="C9368" s="405"/>
      <c r="D9368" s="405"/>
      <c r="E9368" s="405" t="s">
        <v>1049</v>
      </c>
      <c r="F9368" s="406">
        <v>0</v>
      </c>
      <c r="G9368" s="405"/>
      <c r="H9368" s="606"/>
      <c r="I9368" s="606" t="s">
        <v>1050</v>
      </c>
      <c r="J9368" s="406">
        <v>0.15</v>
      </c>
      <c r="K9368"/>
    </row>
    <row r="9369" spans="1:11" ht="15.6" thickTop="1" x14ac:dyDescent="0.3">
      <c r="A9369" s="407"/>
      <c r="B9369" s="407"/>
      <c r="C9369" s="407"/>
      <c r="D9369" s="407"/>
      <c r="E9369" s="407"/>
      <c r="F9369" s="407"/>
      <c r="G9369" s="407"/>
      <c r="H9369" s="407"/>
      <c r="I9369" s="407"/>
      <c r="J9369" s="407"/>
      <c r="K9369"/>
    </row>
    <row r="9370" spans="1:11" ht="15" x14ac:dyDescent="0.3">
      <c r="A9370" s="382"/>
      <c r="B9370" s="312" t="s">
        <v>413</v>
      </c>
      <c r="C9370" s="382" t="s">
        <v>414</v>
      </c>
      <c r="D9370" s="382" t="s">
        <v>415</v>
      </c>
      <c r="E9370" s="586" t="s">
        <v>1029</v>
      </c>
      <c r="F9370" s="586"/>
      <c r="G9370" s="383" t="s">
        <v>416</v>
      </c>
      <c r="H9370" s="312" t="s">
        <v>1030</v>
      </c>
      <c r="I9370" s="312" t="s">
        <v>3016</v>
      </c>
      <c r="J9370" s="312" t="s">
        <v>1031</v>
      </c>
      <c r="K9370" s="312" t="s">
        <v>1032</v>
      </c>
    </row>
    <row r="9371" spans="1:11" ht="30" customHeight="1" x14ac:dyDescent="0.3">
      <c r="A9371" s="313" t="s">
        <v>1033</v>
      </c>
      <c r="B9371" s="315" t="s">
        <v>8263</v>
      </c>
      <c r="C9371" s="313" t="s">
        <v>395</v>
      </c>
      <c r="D9371" s="313" t="s">
        <v>8264</v>
      </c>
      <c r="E9371" s="603" t="s">
        <v>7946</v>
      </c>
      <c r="F9371" s="603"/>
      <c r="G9371" s="314" t="s">
        <v>6</v>
      </c>
      <c r="H9371" s="399">
        <v>1</v>
      </c>
      <c r="I9371" s="316"/>
      <c r="J9371" s="316">
        <v>0.71</v>
      </c>
      <c r="K9371" s="316">
        <v>0.71</v>
      </c>
    </row>
    <row r="9372" spans="1:11" ht="16.95" customHeight="1" x14ac:dyDescent="0.3">
      <c r="A9372" s="400" t="s">
        <v>1038</v>
      </c>
      <c r="B9372" s="401" t="s">
        <v>5059</v>
      </c>
      <c r="C9372" s="400" t="s">
        <v>395</v>
      </c>
      <c r="D9372" s="400" t="s">
        <v>5060</v>
      </c>
      <c r="E9372" s="605" t="s">
        <v>1317</v>
      </c>
      <c r="F9372" s="605"/>
      <c r="G9372" s="402" t="s">
        <v>4</v>
      </c>
      <c r="H9372" s="403">
        <v>6.6699999999999995E-5</v>
      </c>
      <c r="I9372" s="403">
        <v>0</v>
      </c>
      <c r="J9372" s="404">
        <v>10637.56</v>
      </c>
      <c r="K9372" s="404">
        <v>0.70952530000000003</v>
      </c>
    </row>
    <row r="9373" spans="1:11" ht="16.95" customHeight="1" x14ac:dyDescent="0.3">
      <c r="A9373" s="405"/>
      <c r="B9373" s="405"/>
      <c r="C9373" s="405"/>
      <c r="D9373" s="405"/>
      <c r="E9373" s="405" t="s">
        <v>1046</v>
      </c>
      <c r="F9373" s="406">
        <v>0</v>
      </c>
      <c r="G9373" s="405" t="s">
        <v>1047</v>
      </c>
      <c r="H9373" s="406">
        <v>0</v>
      </c>
      <c r="I9373" s="405" t="s">
        <v>1048</v>
      </c>
      <c r="J9373" s="406">
        <v>0</v>
      </c>
      <c r="K9373"/>
    </row>
    <row r="9374" spans="1:11" ht="16.95" customHeight="1" thickBot="1" x14ac:dyDescent="0.35">
      <c r="A9374" s="405"/>
      <c r="B9374" s="405"/>
      <c r="C9374" s="405"/>
      <c r="D9374" s="405"/>
      <c r="E9374" s="405" t="s">
        <v>1049</v>
      </c>
      <c r="F9374" s="406">
        <v>0</v>
      </c>
      <c r="G9374" s="405"/>
      <c r="H9374" s="606"/>
      <c r="I9374" s="606" t="s">
        <v>1050</v>
      </c>
      <c r="J9374" s="406">
        <v>0.71</v>
      </c>
      <c r="K9374"/>
    </row>
    <row r="9375" spans="1:11" ht="16.95" customHeight="1" thickTop="1" x14ac:dyDescent="0.3">
      <c r="A9375" s="407"/>
      <c r="B9375" s="407"/>
      <c r="C9375" s="407"/>
      <c r="D9375" s="407"/>
      <c r="E9375" s="407"/>
      <c r="F9375" s="407"/>
      <c r="G9375" s="407"/>
      <c r="H9375" s="407"/>
      <c r="I9375" s="407"/>
      <c r="J9375" s="407"/>
      <c r="K9375"/>
    </row>
    <row r="9376" spans="1:11" ht="16.95" customHeight="1" x14ac:dyDescent="0.3">
      <c r="A9376" s="382"/>
      <c r="B9376" s="312" t="s">
        <v>413</v>
      </c>
      <c r="C9376" s="382" t="s">
        <v>414</v>
      </c>
      <c r="D9376" s="382" t="s">
        <v>415</v>
      </c>
      <c r="E9376" s="586" t="s">
        <v>1029</v>
      </c>
      <c r="F9376" s="586"/>
      <c r="G9376" s="383" t="s">
        <v>416</v>
      </c>
      <c r="H9376" s="312" t="s">
        <v>1030</v>
      </c>
      <c r="I9376" s="312" t="s">
        <v>3016</v>
      </c>
      <c r="J9376" s="312" t="s">
        <v>1031</v>
      </c>
      <c r="K9376" s="312" t="s">
        <v>1032</v>
      </c>
    </row>
    <row r="9377" spans="1:11" ht="16.95" customHeight="1" x14ac:dyDescent="0.3">
      <c r="A9377" s="313" t="s">
        <v>1033</v>
      </c>
      <c r="B9377" s="315" t="s">
        <v>8265</v>
      </c>
      <c r="C9377" s="313" t="s">
        <v>395</v>
      </c>
      <c r="D9377" s="313" t="s">
        <v>8266</v>
      </c>
      <c r="E9377" s="603" t="s">
        <v>7946</v>
      </c>
      <c r="F9377" s="603"/>
      <c r="G9377" s="314" t="s">
        <v>6</v>
      </c>
      <c r="H9377" s="399">
        <v>1</v>
      </c>
      <c r="I9377" s="316"/>
      <c r="J9377" s="316">
        <v>9.5500000000000007</v>
      </c>
      <c r="K9377" s="316">
        <v>9.5500000000000007</v>
      </c>
    </row>
    <row r="9378" spans="1:11" ht="15" x14ac:dyDescent="0.3">
      <c r="A9378" s="400" t="s">
        <v>1038</v>
      </c>
      <c r="B9378" s="401" t="s">
        <v>4741</v>
      </c>
      <c r="C9378" s="400" t="s">
        <v>395</v>
      </c>
      <c r="D9378" s="400" t="s">
        <v>4742</v>
      </c>
      <c r="E9378" s="605" t="s">
        <v>1039</v>
      </c>
      <c r="F9378" s="605"/>
      <c r="G9378" s="402" t="s">
        <v>8</v>
      </c>
      <c r="H9378" s="403">
        <v>1.44</v>
      </c>
      <c r="I9378" s="403">
        <v>0</v>
      </c>
      <c r="J9378" s="404">
        <v>6.63</v>
      </c>
      <c r="K9378" s="404">
        <v>9.5472000000000001</v>
      </c>
    </row>
    <row r="9379" spans="1:11" ht="16.95" customHeight="1" x14ac:dyDescent="0.3">
      <c r="A9379" s="405"/>
      <c r="B9379" s="405"/>
      <c r="C9379" s="405"/>
      <c r="D9379" s="405"/>
      <c r="E9379" s="405" t="s">
        <v>1046</v>
      </c>
      <c r="F9379" s="406">
        <v>0</v>
      </c>
      <c r="G9379" s="405" t="s">
        <v>1047</v>
      </c>
      <c r="H9379" s="406">
        <v>0</v>
      </c>
      <c r="I9379" s="405" t="s">
        <v>1048</v>
      </c>
      <c r="J9379" s="406">
        <v>0</v>
      </c>
      <c r="K9379"/>
    </row>
    <row r="9380" spans="1:11" ht="15.6" thickBot="1" x14ac:dyDescent="0.35">
      <c r="A9380" s="405"/>
      <c r="B9380" s="405"/>
      <c r="C9380" s="405"/>
      <c r="D9380" s="405"/>
      <c r="E9380" s="405" t="s">
        <v>1049</v>
      </c>
      <c r="F9380" s="406">
        <v>0</v>
      </c>
      <c r="G9380" s="405"/>
      <c r="H9380" s="606"/>
      <c r="I9380" s="606" t="s">
        <v>1050</v>
      </c>
      <c r="J9380" s="406">
        <v>9.5500000000000007</v>
      </c>
      <c r="K9380"/>
    </row>
    <row r="9381" spans="1:11" ht="17.399999999999999" customHeight="1" thickTop="1" x14ac:dyDescent="0.3">
      <c r="A9381" s="407"/>
      <c r="B9381" s="407"/>
      <c r="C9381" s="407"/>
      <c r="D9381" s="407"/>
      <c r="E9381" s="407"/>
      <c r="F9381" s="407"/>
      <c r="G9381" s="407"/>
      <c r="H9381" s="407"/>
      <c r="I9381" s="407"/>
      <c r="J9381" s="407"/>
      <c r="K9381"/>
    </row>
    <row r="9382" spans="1:11" ht="15" x14ac:dyDescent="0.3">
      <c r="A9382" s="382"/>
      <c r="B9382" s="312" t="s">
        <v>413</v>
      </c>
      <c r="C9382" s="382" t="s">
        <v>414</v>
      </c>
      <c r="D9382" s="382" t="s">
        <v>415</v>
      </c>
      <c r="E9382" s="586" t="s">
        <v>1029</v>
      </c>
      <c r="F9382" s="586"/>
      <c r="G9382" s="383" t="s">
        <v>416</v>
      </c>
      <c r="H9382" s="312" t="s">
        <v>1030</v>
      </c>
      <c r="I9382" s="312" t="s">
        <v>3016</v>
      </c>
      <c r="J9382" s="312" t="s">
        <v>1031</v>
      </c>
      <c r="K9382" s="312" t="s">
        <v>1032</v>
      </c>
    </row>
    <row r="9383" spans="1:11" ht="26.4" x14ac:dyDescent="0.3">
      <c r="A9383" s="313" t="s">
        <v>1033</v>
      </c>
      <c r="B9383" s="315" t="s">
        <v>8019</v>
      </c>
      <c r="C9383" s="313" t="s">
        <v>395</v>
      </c>
      <c r="D9383" s="313" t="s">
        <v>8020</v>
      </c>
      <c r="E9383" s="603" t="s">
        <v>8021</v>
      </c>
      <c r="F9383" s="603"/>
      <c r="G9383" s="314" t="s">
        <v>713</v>
      </c>
      <c r="H9383" s="399">
        <v>1</v>
      </c>
      <c r="I9383" s="316"/>
      <c r="J9383" s="316">
        <v>382.17</v>
      </c>
      <c r="K9383" s="316">
        <v>382.17</v>
      </c>
    </row>
    <row r="9384" spans="1:11" ht="45" customHeight="1" x14ac:dyDescent="0.3">
      <c r="A9384" s="408" t="s">
        <v>1034</v>
      </c>
      <c r="B9384" s="409" t="s">
        <v>1302</v>
      </c>
      <c r="C9384" s="408" t="s">
        <v>395</v>
      </c>
      <c r="D9384" s="408" t="s">
        <v>144</v>
      </c>
      <c r="E9384" s="604" t="s">
        <v>7768</v>
      </c>
      <c r="F9384" s="604"/>
      <c r="G9384" s="410" t="s">
        <v>6</v>
      </c>
      <c r="H9384" s="412">
        <v>2.0287700000000002</v>
      </c>
      <c r="I9384" s="412">
        <v>0</v>
      </c>
      <c r="J9384" s="411">
        <v>42.06</v>
      </c>
      <c r="K9384" s="411">
        <v>85.330066200000005</v>
      </c>
    </row>
    <row r="9385" spans="1:11" ht="16.95" customHeight="1" x14ac:dyDescent="0.3">
      <c r="A9385" s="408" t="s">
        <v>1034</v>
      </c>
      <c r="B9385" s="409" t="s">
        <v>1290</v>
      </c>
      <c r="C9385" s="408" t="s">
        <v>395</v>
      </c>
      <c r="D9385" s="408" t="s">
        <v>147</v>
      </c>
      <c r="E9385" s="604" t="s">
        <v>7768</v>
      </c>
      <c r="F9385" s="604"/>
      <c r="G9385" s="410" t="s">
        <v>6</v>
      </c>
      <c r="H9385" s="412">
        <v>3.504238</v>
      </c>
      <c r="I9385" s="412">
        <v>0</v>
      </c>
      <c r="J9385" s="411">
        <v>32.82</v>
      </c>
      <c r="K9385" s="411">
        <v>115.0090912</v>
      </c>
    </row>
    <row r="9386" spans="1:11" ht="16.95" customHeight="1" x14ac:dyDescent="0.3">
      <c r="A9386" s="408" t="s">
        <v>1034</v>
      </c>
      <c r="B9386" s="409" t="s">
        <v>5178</v>
      </c>
      <c r="C9386" s="408" t="s">
        <v>395</v>
      </c>
      <c r="D9386" s="408" t="s">
        <v>5179</v>
      </c>
      <c r="E9386" s="604" t="s">
        <v>7772</v>
      </c>
      <c r="F9386" s="604"/>
      <c r="G9386" s="410" t="s">
        <v>15</v>
      </c>
      <c r="H9386" s="412">
        <v>0.13505</v>
      </c>
      <c r="I9386" s="412">
        <v>0</v>
      </c>
      <c r="J9386" s="411">
        <v>51.31</v>
      </c>
      <c r="K9386" s="411">
        <v>6.9294155000000002</v>
      </c>
    </row>
    <row r="9387" spans="1:11" ht="16.95" customHeight="1" x14ac:dyDescent="0.3">
      <c r="A9387" s="400" t="s">
        <v>1038</v>
      </c>
      <c r="B9387" s="401" t="s">
        <v>2283</v>
      </c>
      <c r="C9387" s="400" t="s">
        <v>395</v>
      </c>
      <c r="D9387" s="400" t="s">
        <v>270</v>
      </c>
      <c r="E9387" s="605" t="s">
        <v>1039</v>
      </c>
      <c r="F9387" s="605"/>
      <c r="G9387" s="402" t="s">
        <v>713</v>
      </c>
      <c r="H9387" s="403">
        <v>1.1000000000000001</v>
      </c>
      <c r="I9387" s="403">
        <v>0</v>
      </c>
      <c r="J9387" s="404">
        <v>159</v>
      </c>
      <c r="K9387" s="404">
        <v>174.9</v>
      </c>
    </row>
    <row r="9388" spans="1:11" ht="16.95" customHeight="1" x14ac:dyDescent="0.3">
      <c r="A9388" s="405"/>
      <c r="B9388" s="405"/>
      <c r="C9388" s="405"/>
      <c r="D9388" s="405"/>
      <c r="E9388" s="405" t="s">
        <v>1046</v>
      </c>
      <c r="F9388" s="406">
        <v>148.36000000000001</v>
      </c>
      <c r="G9388" s="405" t="s">
        <v>1047</v>
      </c>
      <c r="H9388" s="406">
        <v>0</v>
      </c>
      <c r="I9388" s="405" t="s">
        <v>1048</v>
      </c>
      <c r="J9388" s="406">
        <v>148.36000000000001</v>
      </c>
      <c r="K9388"/>
    </row>
    <row r="9389" spans="1:11" ht="16.95" customHeight="1" thickBot="1" x14ac:dyDescent="0.35">
      <c r="A9389" s="405"/>
      <c r="B9389" s="405"/>
      <c r="C9389" s="405"/>
      <c r="D9389" s="405"/>
      <c r="E9389" s="405" t="s">
        <v>1049</v>
      </c>
      <c r="F9389" s="406">
        <v>0</v>
      </c>
      <c r="G9389" s="405"/>
      <c r="H9389" s="606"/>
      <c r="I9389" s="606" t="s">
        <v>1050</v>
      </c>
      <c r="J9389" s="406">
        <v>382.17</v>
      </c>
      <c r="K9389"/>
    </row>
    <row r="9390" spans="1:11" ht="16.95" customHeight="1" thickTop="1" x14ac:dyDescent="0.3">
      <c r="A9390" s="407"/>
      <c r="B9390" s="407"/>
      <c r="C9390" s="407"/>
      <c r="D9390" s="407"/>
      <c r="E9390" s="407"/>
      <c r="F9390" s="407"/>
      <c r="G9390" s="407"/>
      <c r="H9390" s="407"/>
      <c r="I9390" s="407"/>
      <c r="J9390" s="407"/>
      <c r="K9390"/>
    </row>
    <row r="9391" spans="1:11" ht="15" x14ac:dyDescent="0.3">
      <c r="A9391" s="382"/>
      <c r="B9391" s="312" t="s">
        <v>413</v>
      </c>
      <c r="C9391" s="382" t="s">
        <v>414</v>
      </c>
      <c r="D9391" s="382" t="s">
        <v>415</v>
      </c>
      <c r="E9391" s="586" t="s">
        <v>1029</v>
      </c>
      <c r="F9391" s="586"/>
      <c r="G9391" s="383" t="s">
        <v>416</v>
      </c>
      <c r="H9391" s="312" t="s">
        <v>1030</v>
      </c>
      <c r="I9391" s="312" t="s">
        <v>3016</v>
      </c>
      <c r="J9391" s="312" t="s">
        <v>1031</v>
      </c>
      <c r="K9391" s="312" t="s">
        <v>1032</v>
      </c>
    </row>
    <row r="9392" spans="1:11" ht="16.95" customHeight="1" x14ac:dyDescent="0.3">
      <c r="A9392" s="313" t="s">
        <v>1033</v>
      </c>
      <c r="B9392" s="315" t="s">
        <v>7891</v>
      </c>
      <c r="C9392" s="313" t="s">
        <v>5902</v>
      </c>
      <c r="D9392" s="313" t="s">
        <v>7892</v>
      </c>
      <c r="E9392" s="603">
        <v>33.07</v>
      </c>
      <c r="F9392" s="603"/>
      <c r="G9392" s="314" t="s">
        <v>3</v>
      </c>
      <c r="H9392" s="399">
        <v>1</v>
      </c>
      <c r="I9392" s="316"/>
      <c r="J9392" s="316">
        <v>4.5</v>
      </c>
      <c r="K9392" s="316">
        <v>4.5</v>
      </c>
    </row>
    <row r="9393" spans="1:11" ht="26.4" x14ac:dyDescent="0.3">
      <c r="A9393" s="400" t="s">
        <v>1038</v>
      </c>
      <c r="B9393" s="401" t="s">
        <v>7147</v>
      </c>
      <c r="C9393" s="400" t="s">
        <v>5902</v>
      </c>
      <c r="D9393" s="400" t="s">
        <v>7148</v>
      </c>
      <c r="E9393" s="605" t="s">
        <v>1039</v>
      </c>
      <c r="F9393" s="605"/>
      <c r="G9393" s="402" t="s">
        <v>3</v>
      </c>
      <c r="H9393" s="403">
        <v>1</v>
      </c>
      <c r="I9393" s="403">
        <v>0</v>
      </c>
      <c r="J9393" s="404">
        <v>4.5</v>
      </c>
      <c r="K9393" s="404">
        <v>4.5</v>
      </c>
    </row>
    <row r="9394" spans="1:11" ht="17.399999999999999" customHeight="1" x14ac:dyDescent="0.3">
      <c r="A9394" s="405"/>
      <c r="B9394" s="405"/>
      <c r="C9394" s="405"/>
      <c r="D9394" s="405"/>
      <c r="E9394" s="405" t="s">
        <v>1046</v>
      </c>
      <c r="F9394" s="406">
        <v>0</v>
      </c>
      <c r="G9394" s="405" t="s">
        <v>1047</v>
      </c>
      <c r="H9394" s="406">
        <v>0</v>
      </c>
      <c r="I9394" s="405" t="s">
        <v>1048</v>
      </c>
      <c r="J9394" s="406">
        <v>0</v>
      </c>
      <c r="K9394"/>
    </row>
    <row r="9395" spans="1:11" ht="15.6" thickBot="1" x14ac:dyDescent="0.35">
      <c r="A9395" s="405"/>
      <c r="B9395" s="405"/>
      <c r="C9395" s="405"/>
      <c r="D9395" s="405"/>
      <c r="E9395" s="405" t="s">
        <v>1049</v>
      </c>
      <c r="F9395" s="406">
        <v>0</v>
      </c>
      <c r="G9395" s="405"/>
      <c r="H9395" s="606"/>
      <c r="I9395" s="606" t="s">
        <v>1050</v>
      </c>
      <c r="J9395" s="406">
        <v>4.5</v>
      </c>
      <c r="K9395"/>
    </row>
    <row r="9396" spans="1:11" ht="15.6" thickTop="1" x14ac:dyDescent="0.3">
      <c r="A9396" s="407"/>
      <c r="B9396" s="407"/>
      <c r="C9396" s="407"/>
      <c r="D9396" s="407"/>
      <c r="E9396" s="407"/>
      <c r="F9396" s="407"/>
      <c r="G9396" s="407"/>
      <c r="H9396" s="407"/>
      <c r="I9396" s="407"/>
      <c r="J9396" s="407"/>
      <c r="K9396"/>
    </row>
    <row r="9397" spans="1:11" ht="30" customHeight="1" x14ac:dyDescent="0.3">
      <c r="A9397" s="382"/>
      <c r="B9397" s="312" t="s">
        <v>413</v>
      </c>
      <c r="C9397" s="382" t="s">
        <v>414</v>
      </c>
      <c r="D9397" s="382" t="s">
        <v>415</v>
      </c>
      <c r="E9397" s="586" t="s">
        <v>1029</v>
      </c>
      <c r="F9397" s="586"/>
      <c r="G9397" s="383" t="s">
        <v>416</v>
      </c>
      <c r="H9397" s="312" t="s">
        <v>1030</v>
      </c>
      <c r="I9397" s="312" t="s">
        <v>3016</v>
      </c>
      <c r="J9397" s="312" t="s">
        <v>1031</v>
      </c>
      <c r="K9397" s="312" t="s">
        <v>1032</v>
      </c>
    </row>
    <row r="9398" spans="1:11" ht="16.95" customHeight="1" x14ac:dyDescent="0.3">
      <c r="A9398" s="313" t="s">
        <v>1033</v>
      </c>
      <c r="B9398" s="315" t="s">
        <v>5262</v>
      </c>
      <c r="C9398" s="313" t="s">
        <v>395</v>
      </c>
      <c r="D9398" s="313" t="s">
        <v>5263</v>
      </c>
      <c r="E9398" s="603" t="s">
        <v>7772</v>
      </c>
      <c r="F9398" s="603"/>
      <c r="G9398" s="314" t="s">
        <v>19</v>
      </c>
      <c r="H9398" s="399">
        <v>1</v>
      </c>
      <c r="I9398" s="316"/>
      <c r="J9398" s="316">
        <v>99.1</v>
      </c>
      <c r="K9398" s="316">
        <v>99.1</v>
      </c>
    </row>
    <row r="9399" spans="1:11" ht="16.95" customHeight="1" x14ac:dyDescent="0.3">
      <c r="A9399" s="408" t="s">
        <v>1034</v>
      </c>
      <c r="B9399" s="409" t="s">
        <v>8255</v>
      </c>
      <c r="C9399" s="408" t="s">
        <v>395</v>
      </c>
      <c r="D9399" s="408" t="s">
        <v>8256</v>
      </c>
      <c r="E9399" s="604" t="s">
        <v>7768</v>
      </c>
      <c r="F9399" s="604"/>
      <c r="G9399" s="410" t="s">
        <v>6</v>
      </c>
      <c r="H9399" s="412">
        <v>1</v>
      </c>
      <c r="I9399" s="412">
        <v>0</v>
      </c>
      <c r="J9399" s="411">
        <v>38.21</v>
      </c>
      <c r="K9399" s="411">
        <v>38.21</v>
      </c>
    </row>
    <row r="9400" spans="1:11" ht="16.95" customHeight="1" x14ac:dyDescent="0.3">
      <c r="A9400" s="408" t="s">
        <v>1034</v>
      </c>
      <c r="B9400" s="409" t="s">
        <v>8267</v>
      </c>
      <c r="C9400" s="408" t="s">
        <v>395</v>
      </c>
      <c r="D9400" s="408" t="s">
        <v>8268</v>
      </c>
      <c r="E9400" s="604" t="s">
        <v>7946</v>
      </c>
      <c r="F9400" s="604"/>
      <c r="G9400" s="410" t="s">
        <v>6</v>
      </c>
      <c r="H9400" s="412">
        <v>1</v>
      </c>
      <c r="I9400" s="412">
        <v>0</v>
      </c>
      <c r="J9400" s="411">
        <v>48.16</v>
      </c>
      <c r="K9400" s="411">
        <v>48.16</v>
      </c>
    </row>
    <row r="9401" spans="1:11" ht="16.95" customHeight="1" x14ac:dyDescent="0.3">
      <c r="A9401" s="408" t="s">
        <v>1034</v>
      </c>
      <c r="B9401" s="409" t="s">
        <v>8269</v>
      </c>
      <c r="C9401" s="408" t="s">
        <v>395</v>
      </c>
      <c r="D9401" s="408" t="s">
        <v>8270</v>
      </c>
      <c r="E9401" s="604" t="s">
        <v>7946</v>
      </c>
      <c r="F9401" s="604"/>
      <c r="G9401" s="410" t="s">
        <v>6</v>
      </c>
      <c r="H9401" s="412">
        <v>1</v>
      </c>
      <c r="I9401" s="412">
        <v>0</v>
      </c>
      <c r="J9401" s="411">
        <v>12.73</v>
      </c>
      <c r="K9401" s="411">
        <v>12.73</v>
      </c>
    </row>
    <row r="9402" spans="1:11" ht="16.95" customHeight="1" x14ac:dyDescent="0.3">
      <c r="A9402" s="405"/>
      <c r="B9402" s="405"/>
      <c r="C9402" s="405"/>
      <c r="D9402" s="405"/>
      <c r="E9402" s="405" t="s">
        <v>1046</v>
      </c>
      <c r="F9402" s="406">
        <v>29.26</v>
      </c>
      <c r="G9402" s="405" t="s">
        <v>1047</v>
      </c>
      <c r="H9402" s="406">
        <v>0</v>
      </c>
      <c r="I9402" s="405" t="s">
        <v>1048</v>
      </c>
      <c r="J9402" s="406">
        <v>29.26</v>
      </c>
      <c r="K9402"/>
    </row>
    <row r="9403" spans="1:11" ht="16.95" customHeight="1" thickBot="1" x14ac:dyDescent="0.35">
      <c r="A9403" s="405"/>
      <c r="B9403" s="405"/>
      <c r="C9403" s="405"/>
      <c r="D9403" s="405"/>
      <c r="E9403" s="405" t="s">
        <v>1049</v>
      </c>
      <c r="F9403" s="406">
        <v>0</v>
      </c>
      <c r="G9403" s="405"/>
      <c r="H9403" s="606"/>
      <c r="I9403" s="606" t="s">
        <v>1050</v>
      </c>
      <c r="J9403" s="406">
        <v>99.1</v>
      </c>
      <c r="K9403"/>
    </row>
    <row r="9404" spans="1:11" ht="15.6" thickTop="1" x14ac:dyDescent="0.3">
      <c r="A9404" s="407"/>
      <c r="B9404" s="407"/>
      <c r="C9404" s="407"/>
      <c r="D9404" s="407"/>
      <c r="E9404" s="407"/>
      <c r="F9404" s="407"/>
      <c r="G9404" s="407"/>
      <c r="H9404" s="407"/>
      <c r="I9404" s="407"/>
      <c r="J9404" s="407"/>
      <c r="K9404"/>
    </row>
    <row r="9405" spans="1:11" ht="15" x14ac:dyDescent="0.3">
      <c r="A9405" s="382"/>
      <c r="B9405" s="312" t="s">
        <v>413</v>
      </c>
      <c r="C9405" s="382" t="s">
        <v>414</v>
      </c>
      <c r="D9405" s="382" t="s">
        <v>415</v>
      </c>
      <c r="E9405" s="586" t="s">
        <v>1029</v>
      </c>
      <c r="F9405" s="586"/>
      <c r="G9405" s="383" t="s">
        <v>416</v>
      </c>
      <c r="H9405" s="312" t="s">
        <v>1030</v>
      </c>
      <c r="I9405" s="312" t="s">
        <v>3016</v>
      </c>
      <c r="J9405" s="312" t="s">
        <v>1031</v>
      </c>
      <c r="K9405" s="312" t="s">
        <v>1032</v>
      </c>
    </row>
    <row r="9406" spans="1:11" ht="16.95" customHeight="1" x14ac:dyDescent="0.3">
      <c r="A9406" s="313" t="s">
        <v>1033</v>
      </c>
      <c r="B9406" s="315" t="s">
        <v>5260</v>
      </c>
      <c r="C9406" s="313" t="s">
        <v>395</v>
      </c>
      <c r="D9406" s="313" t="s">
        <v>5261</v>
      </c>
      <c r="E9406" s="603" t="s">
        <v>7772</v>
      </c>
      <c r="F9406" s="603"/>
      <c r="G9406" s="314" t="s">
        <v>15</v>
      </c>
      <c r="H9406" s="399">
        <v>1</v>
      </c>
      <c r="I9406" s="316"/>
      <c r="J9406" s="316">
        <v>213.39</v>
      </c>
      <c r="K9406" s="316">
        <v>213.39</v>
      </c>
    </row>
    <row r="9407" spans="1:11" ht="39.6" x14ac:dyDescent="0.3">
      <c r="A9407" s="408" t="s">
        <v>1034</v>
      </c>
      <c r="B9407" s="409" t="s">
        <v>8271</v>
      </c>
      <c r="C9407" s="408" t="s">
        <v>395</v>
      </c>
      <c r="D9407" s="408" t="s">
        <v>8272</v>
      </c>
      <c r="E9407" s="604" t="s">
        <v>7946</v>
      </c>
      <c r="F9407" s="604"/>
      <c r="G9407" s="410" t="s">
        <v>6</v>
      </c>
      <c r="H9407" s="412">
        <v>1</v>
      </c>
      <c r="I9407" s="412">
        <v>0</v>
      </c>
      <c r="J9407" s="411">
        <v>60.2</v>
      </c>
      <c r="K9407" s="411">
        <v>60.2</v>
      </c>
    </row>
    <row r="9408" spans="1:11" ht="17.399999999999999" customHeight="1" x14ac:dyDescent="0.3">
      <c r="A9408" s="408" t="s">
        <v>1034</v>
      </c>
      <c r="B9408" s="409" t="s">
        <v>8273</v>
      </c>
      <c r="C9408" s="408" t="s">
        <v>395</v>
      </c>
      <c r="D9408" s="408" t="s">
        <v>8274</v>
      </c>
      <c r="E9408" s="604" t="s">
        <v>7946</v>
      </c>
      <c r="F9408" s="604"/>
      <c r="G9408" s="410" t="s">
        <v>6</v>
      </c>
      <c r="H9408" s="412">
        <v>1</v>
      </c>
      <c r="I9408" s="412">
        <v>0</v>
      </c>
      <c r="J9408" s="411">
        <v>54.09</v>
      </c>
      <c r="K9408" s="411">
        <v>54.09</v>
      </c>
    </row>
    <row r="9409" spans="1:11" ht="26.4" x14ac:dyDescent="0.3">
      <c r="A9409" s="408" t="s">
        <v>1034</v>
      </c>
      <c r="B9409" s="409" t="s">
        <v>8255</v>
      </c>
      <c r="C9409" s="408" t="s">
        <v>395</v>
      </c>
      <c r="D9409" s="408" t="s">
        <v>8256</v>
      </c>
      <c r="E9409" s="604" t="s">
        <v>7768</v>
      </c>
      <c r="F9409" s="604"/>
      <c r="G9409" s="410" t="s">
        <v>6</v>
      </c>
      <c r="H9409" s="412">
        <v>1</v>
      </c>
      <c r="I9409" s="412">
        <v>0</v>
      </c>
      <c r="J9409" s="411">
        <v>38.21</v>
      </c>
      <c r="K9409" s="411">
        <v>38.21</v>
      </c>
    </row>
    <row r="9410" spans="1:11" ht="39.6" x14ac:dyDescent="0.3">
      <c r="A9410" s="408" t="s">
        <v>1034</v>
      </c>
      <c r="B9410" s="409" t="s">
        <v>8267</v>
      </c>
      <c r="C9410" s="408" t="s">
        <v>395</v>
      </c>
      <c r="D9410" s="408" t="s">
        <v>8268</v>
      </c>
      <c r="E9410" s="604" t="s">
        <v>7946</v>
      </c>
      <c r="F9410" s="604"/>
      <c r="G9410" s="410" t="s">
        <v>6</v>
      </c>
      <c r="H9410" s="412">
        <v>1</v>
      </c>
      <c r="I9410" s="412">
        <v>0</v>
      </c>
      <c r="J9410" s="411">
        <v>48.16</v>
      </c>
      <c r="K9410" s="411">
        <v>48.16</v>
      </c>
    </row>
    <row r="9411" spans="1:11" ht="30" customHeight="1" x14ac:dyDescent="0.3">
      <c r="A9411" s="408" t="s">
        <v>1034</v>
      </c>
      <c r="B9411" s="409" t="s">
        <v>8269</v>
      </c>
      <c r="C9411" s="408" t="s">
        <v>395</v>
      </c>
      <c r="D9411" s="408" t="s">
        <v>8270</v>
      </c>
      <c r="E9411" s="604" t="s">
        <v>7946</v>
      </c>
      <c r="F9411" s="604"/>
      <c r="G9411" s="410" t="s">
        <v>6</v>
      </c>
      <c r="H9411" s="412">
        <v>1</v>
      </c>
      <c r="I9411" s="412">
        <v>0</v>
      </c>
      <c r="J9411" s="411">
        <v>12.73</v>
      </c>
      <c r="K9411" s="411">
        <v>12.73</v>
      </c>
    </row>
    <row r="9412" spans="1:11" ht="16.95" customHeight="1" x14ac:dyDescent="0.3">
      <c r="A9412" s="405"/>
      <c r="B9412" s="405"/>
      <c r="C9412" s="405"/>
      <c r="D9412" s="405"/>
      <c r="E9412" s="405" t="s">
        <v>1046</v>
      </c>
      <c r="F9412" s="406">
        <v>29.26</v>
      </c>
      <c r="G9412" s="405" t="s">
        <v>1047</v>
      </c>
      <c r="H9412" s="406">
        <v>0</v>
      </c>
      <c r="I9412" s="405" t="s">
        <v>1048</v>
      </c>
      <c r="J9412" s="406">
        <v>29.26</v>
      </c>
      <c r="K9412"/>
    </row>
    <row r="9413" spans="1:11" ht="16.95" customHeight="1" thickBot="1" x14ac:dyDescent="0.35">
      <c r="A9413" s="405"/>
      <c r="B9413" s="405"/>
      <c r="C9413" s="405"/>
      <c r="D9413" s="405"/>
      <c r="E9413" s="405" t="s">
        <v>1049</v>
      </c>
      <c r="F9413" s="406">
        <v>0</v>
      </c>
      <c r="G9413" s="405"/>
      <c r="H9413" s="606"/>
      <c r="I9413" s="606" t="s">
        <v>1050</v>
      </c>
      <c r="J9413" s="406">
        <v>213.39</v>
      </c>
      <c r="K9413"/>
    </row>
    <row r="9414" spans="1:11" ht="16.95" customHeight="1" thickTop="1" x14ac:dyDescent="0.3">
      <c r="A9414" s="407"/>
      <c r="B9414" s="407"/>
      <c r="C9414" s="407"/>
      <c r="D9414" s="407"/>
      <c r="E9414" s="407"/>
      <c r="F9414" s="407"/>
      <c r="G9414" s="407"/>
      <c r="H9414" s="407"/>
      <c r="I9414" s="407"/>
      <c r="J9414" s="407"/>
      <c r="K9414"/>
    </row>
    <row r="9415" spans="1:11" ht="16.95" customHeight="1" x14ac:dyDescent="0.3">
      <c r="A9415" s="382"/>
      <c r="B9415" s="312" t="s">
        <v>413</v>
      </c>
      <c r="C9415" s="382" t="s">
        <v>414</v>
      </c>
      <c r="D9415" s="382" t="s">
        <v>415</v>
      </c>
      <c r="E9415" s="586" t="s">
        <v>1029</v>
      </c>
      <c r="F9415" s="586"/>
      <c r="G9415" s="383" t="s">
        <v>416</v>
      </c>
      <c r="H9415" s="312" t="s">
        <v>1030</v>
      </c>
      <c r="I9415" s="312" t="s">
        <v>3016</v>
      </c>
      <c r="J9415" s="312" t="s">
        <v>1031</v>
      </c>
      <c r="K9415" s="312" t="s">
        <v>1032</v>
      </c>
    </row>
    <row r="9416" spans="1:11" ht="16.95" customHeight="1" x14ac:dyDescent="0.3">
      <c r="A9416" s="313" t="s">
        <v>1033</v>
      </c>
      <c r="B9416" s="315" t="s">
        <v>8267</v>
      </c>
      <c r="C9416" s="313" t="s">
        <v>395</v>
      </c>
      <c r="D9416" s="313" t="s">
        <v>8268</v>
      </c>
      <c r="E9416" s="603" t="s">
        <v>7946</v>
      </c>
      <c r="F9416" s="603"/>
      <c r="G9416" s="314" t="s">
        <v>6</v>
      </c>
      <c r="H9416" s="399">
        <v>1</v>
      </c>
      <c r="I9416" s="316"/>
      <c r="J9416" s="316">
        <v>48.16</v>
      </c>
      <c r="K9416" s="316">
        <v>48.16</v>
      </c>
    </row>
    <row r="9417" spans="1:11" ht="16.95" customHeight="1" x14ac:dyDescent="0.3">
      <c r="A9417" s="400" t="s">
        <v>1038</v>
      </c>
      <c r="B9417" s="401" t="s">
        <v>4454</v>
      </c>
      <c r="C9417" s="400" t="s">
        <v>395</v>
      </c>
      <c r="D9417" s="400" t="s">
        <v>4455</v>
      </c>
      <c r="E9417" s="605" t="s">
        <v>1317</v>
      </c>
      <c r="F9417" s="605"/>
      <c r="G9417" s="402" t="s">
        <v>4</v>
      </c>
      <c r="H9417" s="403">
        <v>5.5999999999999999E-5</v>
      </c>
      <c r="I9417" s="403">
        <v>0</v>
      </c>
      <c r="J9417" s="404">
        <v>860000</v>
      </c>
      <c r="K9417" s="404">
        <v>48.16</v>
      </c>
    </row>
    <row r="9418" spans="1:11" ht="15" x14ac:dyDescent="0.3">
      <c r="A9418" s="405"/>
      <c r="B9418" s="405"/>
      <c r="C9418" s="405"/>
      <c r="D9418" s="405"/>
      <c r="E9418" s="405" t="s">
        <v>1046</v>
      </c>
      <c r="F9418" s="406">
        <v>0</v>
      </c>
      <c r="G9418" s="405" t="s">
        <v>1047</v>
      </c>
      <c r="H9418" s="406">
        <v>0</v>
      </c>
      <c r="I9418" s="405" t="s">
        <v>1048</v>
      </c>
      <c r="J9418" s="406">
        <v>0</v>
      </c>
      <c r="K9418"/>
    </row>
    <row r="9419" spans="1:11" ht="15.6" thickBot="1" x14ac:dyDescent="0.35">
      <c r="A9419" s="405"/>
      <c r="B9419" s="405"/>
      <c r="C9419" s="405"/>
      <c r="D9419" s="405"/>
      <c r="E9419" s="405" t="s">
        <v>1049</v>
      </c>
      <c r="F9419" s="406">
        <v>0</v>
      </c>
      <c r="G9419" s="405"/>
      <c r="H9419" s="606"/>
      <c r="I9419" s="606" t="s">
        <v>1050</v>
      </c>
      <c r="J9419" s="406">
        <v>48.16</v>
      </c>
      <c r="K9419"/>
    </row>
    <row r="9420" spans="1:11" ht="15.6" thickTop="1" x14ac:dyDescent="0.3">
      <c r="A9420" s="407"/>
      <c r="B9420" s="407"/>
      <c r="C9420" s="407"/>
      <c r="D9420" s="407"/>
      <c r="E9420" s="407"/>
      <c r="F9420" s="407"/>
      <c r="G9420" s="407"/>
      <c r="H9420" s="407"/>
      <c r="I9420" s="407"/>
      <c r="J9420" s="407"/>
      <c r="K9420"/>
    </row>
    <row r="9421" spans="1:11" ht="15" x14ac:dyDescent="0.3">
      <c r="A9421" s="382"/>
      <c r="B9421" s="312" t="s">
        <v>413</v>
      </c>
      <c r="C9421" s="382" t="s">
        <v>414</v>
      </c>
      <c r="D9421" s="382" t="s">
        <v>415</v>
      </c>
      <c r="E9421" s="586" t="s">
        <v>1029</v>
      </c>
      <c r="F9421" s="586"/>
      <c r="G9421" s="383" t="s">
        <v>416</v>
      </c>
      <c r="H9421" s="312" t="s">
        <v>1030</v>
      </c>
      <c r="I9421" s="312" t="s">
        <v>3016</v>
      </c>
      <c r="J9421" s="312" t="s">
        <v>1031</v>
      </c>
      <c r="K9421" s="312" t="s">
        <v>1032</v>
      </c>
    </row>
    <row r="9422" spans="1:11" ht="16.95" customHeight="1" x14ac:dyDescent="0.3">
      <c r="A9422" s="313" t="s">
        <v>1033</v>
      </c>
      <c r="B9422" s="315" t="s">
        <v>8269</v>
      </c>
      <c r="C9422" s="313" t="s">
        <v>395</v>
      </c>
      <c r="D9422" s="313" t="s">
        <v>8270</v>
      </c>
      <c r="E9422" s="603" t="s">
        <v>7946</v>
      </c>
      <c r="F9422" s="603"/>
      <c r="G9422" s="314" t="s">
        <v>6</v>
      </c>
      <c r="H9422" s="399">
        <v>1</v>
      </c>
      <c r="I9422" s="316"/>
      <c r="J9422" s="316">
        <v>12.73</v>
      </c>
      <c r="K9422" s="316">
        <v>12.73</v>
      </c>
    </row>
    <row r="9423" spans="1:11" ht="39.6" x14ac:dyDescent="0.3">
      <c r="A9423" s="400" t="s">
        <v>1038</v>
      </c>
      <c r="B9423" s="401" t="s">
        <v>4454</v>
      </c>
      <c r="C9423" s="400" t="s">
        <v>395</v>
      </c>
      <c r="D9423" s="400" t="s">
        <v>4455</v>
      </c>
      <c r="E9423" s="605" t="s">
        <v>1317</v>
      </c>
      <c r="F9423" s="605"/>
      <c r="G9423" s="402" t="s">
        <v>4</v>
      </c>
      <c r="H9423" s="403">
        <v>1.4800000000000001E-5</v>
      </c>
      <c r="I9423" s="403">
        <v>0</v>
      </c>
      <c r="J9423" s="404">
        <v>860000</v>
      </c>
      <c r="K9423" s="404">
        <v>12.728</v>
      </c>
    </row>
    <row r="9424" spans="1:11" ht="17.399999999999999" customHeight="1" x14ac:dyDescent="0.3">
      <c r="A9424" s="405"/>
      <c r="B9424" s="405"/>
      <c r="C9424" s="405"/>
      <c r="D9424" s="405"/>
      <c r="E9424" s="405" t="s">
        <v>1046</v>
      </c>
      <c r="F9424" s="406">
        <v>0</v>
      </c>
      <c r="G9424" s="405" t="s">
        <v>1047</v>
      </c>
      <c r="H9424" s="406">
        <v>0</v>
      </c>
      <c r="I9424" s="405" t="s">
        <v>1048</v>
      </c>
      <c r="J9424" s="406">
        <v>0</v>
      </c>
      <c r="K9424"/>
    </row>
    <row r="9425" spans="1:11" ht="15.6" thickBot="1" x14ac:dyDescent="0.35">
      <c r="A9425" s="405"/>
      <c r="B9425" s="405"/>
      <c r="C9425" s="405"/>
      <c r="D9425" s="405"/>
      <c r="E9425" s="405" t="s">
        <v>1049</v>
      </c>
      <c r="F9425" s="406">
        <v>0</v>
      </c>
      <c r="G9425" s="405"/>
      <c r="H9425" s="606"/>
      <c r="I9425" s="606" t="s">
        <v>1050</v>
      </c>
      <c r="J9425" s="406">
        <v>12.73</v>
      </c>
      <c r="K9425"/>
    </row>
    <row r="9426" spans="1:11" ht="15.6" thickTop="1" x14ac:dyDescent="0.3">
      <c r="A9426" s="407"/>
      <c r="B9426" s="407"/>
      <c r="C9426" s="407"/>
      <c r="D9426" s="407"/>
      <c r="E9426" s="407"/>
      <c r="F9426" s="407"/>
      <c r="G9426" s="407"/>
      <c r="H9426" s="407"/>
      <c r="I9426" s="407"/>
      <c r="J9426" s="407"/>
      <c r="K9426"/>
    </row>
    <row r="9427" spans="1:11" ht="45" customHeight="1" x14ac:dyDescent="0.3">
      <c r="A9427" s="382"/>
      <c r="B9427" s="312" t="s">
        <v>413</v>
      </c>
      <c r="C9427" s="382" t="s">
        <v>414</v>
      </c>
      <c r="D9427" s="382" t="s">
        <v>415</v>
      </c>
      <c r="E9427" s="586" t="s">
        <v>1029</v>
      </c>
      <c r="F9427" s="586"/>
      <c r="G9427" s="383" t="s">
        <v>416</v>
      </c>
      <c r="H9427" s="312" t="s">
        <v>1030</v>
      </c>
      <c r="I9427" s="312" t="s">
        <v>3016</v>
      </c>
      <c r="J9427" s="312" t="s">
        <v>1031</v>
      </c>
      <c r="K9427" s="312" t="s">
        <v>1032</v>
      </c>
    </row>
    <row r="9428" spans="1:11" ht="16.95" customHeight="1" x14ac:dyDescent="0.3">
      <c r="A9428" s="313" t="s">
        <v>1033</v>
      </c>
      <c r="B9428" s="315" t="s">
        <v>8271</v>
      </c>
      <c r="C9428" s="313" t="s">
        <v>395</v>
      </c>
      <c r="D9428" s="313" t="s">
        <v>8272</v>
      </c>
      <c r="E9428" s="603" t="s">
        <v>7946</v>
      </c>
      <c r="F9428" s="603"/>
      <c r="G9428" s="314" t="s">
        <v>6</v>
      </c>
      <c r="H9428" s="399">
        <v>1</v>
      </c>
      <c r="I9428" s="316"/>
      <c r="J9428" s="316">
        <v>60.2</v>
      </c>
      <c r="K9428" s="316">
        <v>60.2</v>
      </c>
    </row>
    <row r="9429" spans="1:11" ht="16.95" customHeight="1" x14ac:dyDescent="0.3">
      <c r="A9429" s="400" t="s">
        <v>1038</v>
      </c>
      <c r="B9429" s="401" t="s">
        <v>4454</v>
      </c>
      <c r="C9429" s="400" t="s">
        <v>395</v>
      </c>
      <c r="D9429" s="400" t="s">
        <v>4455</v>
      </c>
      <c r="E9429" s="605" t="s">
        <v>1317</v>
      </c>
      <c r="F9429" s="605"/>
      <c r="G9429" s="402" t="s">
        <v>4</v>
      </c>
      <c r="H9429" s="403">
        <v>6.9999999999999994E-5</v>
      </c>
      <c r="I9429" s="403">
        <v>0</v>
      </c>
      <c r="J9429" s="404">
        <v>860000</v>
      </c>
      <c r="K9429" s="404">
        <v>60.2</v>
      </c>
    </row>
    <row r="9430" spans="1:11" ht="16.95" customHeight="1" x14ac:dyDescent="0.3">
      <c r="A9430" s="405"/>
      <c r="B9430" s="405"/>
      <c r="C9430" s="405"/>
      <c r="D9430" s="405"/>
      <c r="E9430" s="405" t="s">
        <v>1046</v>
      </c>
      <c r="F9430" s="406">
        <v>0</v>
      </c>
      <c r="G9430" s="405" t="s">
        <v>1047</v>
      </c>
      <c r="H9430" s="406">
        <v>0</v>
      </c>
      <c r="I9430" s="405" t="s">
        <v>1048</v>
      </c>
      <c r="J9430" s="406">
        <v>0</v>
      </c>
      <c r="K9430"/>
    </row>
    <row r="9431" spans="1:11" ht="16.95" customHeight="1" thickBot="1" x14ac:dyDescent="0.35">
      <c r="A9431" s="405"/>
      <c r="B9431" s="405"/>
      <c r="C9431" s="405"/>
      <c r="D9431" s="405"/>
      <c r="E9431" s="405" t="s">
        <v>1049</v>
      </c>
      <c r="F9431" s="406">
        <v>0</v>
      </c>
      <c r="G9431" s="405"/>
      <c r="H9431" s="606"/>
      <c r="I9431" s="606" t="s">
        <v>1050</v>
      </c>
      <c r="J9431" s="406">
        <v>60.2</v>
      </c>
      <c r="K9431"/>
    </row>
    <row r="9432" spans="1:11" ht="16.95" customHeight="1" thickTop="1" x14ac:dyDescent="0.3">
      <c r="A9432" s="407"/>
      <c r="B9432" s="407"/>
      <c r="C9432" s="407"/>
      <c r="D9432" s="407"/>
      <c r="E9432" s="407"/>
      <c r="F9432" s="407"/>
      <c r="G9432" s="407"/>
      <c r="H9432" s="407"/>
      <c r="I9432" s="407"/>
      <c r="J9432" s="407"/>
      <c r="K9432"/>
    </row>
    <row r="9433" spans="1:11" ht="16.95" customHeight="1" x14ac:dyDescent="0.3">
      <c r="A9433" s="382"/>
      <c r="B9433" s="312" t="s">
        <v>413</v>
      </c>
      <c r="C9433" s="382" t="s">
        <v>414</v>
      </c>
      <c r="D9433" s="382" t="s">
        <v>415</v>
      </c>
      <c r="E9433" s="586" t="s">
        <v>1029</v>
      </c>
      <c r="F9433" s="586"/>
      <c r="G9433" s="383" t="s">
        <v>416</v>
      </c>
      <c r="H9433" s="312" t="s">
        <v>1030</v>
      </c>
      <c r="I9433" s="312" t="s">
        <v>3016</v>
      </c>
      <c r="J9433" s="312" t="s">
        <v>1031</v>
      </c>
      <c r="K9433" s="312" t="s">
        <v>1032</v>
      </c>
    </row>
    <row r="9434" spans="1:11" ht="39.6" x14ac:dyDescent="0.3">
      <c r="A9434" s="313" t="s">
        <v>1033</v>
      </c>
      <c r="B9434" s="315" t="s">
        <v>8273</v>
      </c>
      <c r="C9434" s="313" t="s">
        <v>395</v>
      </c>
      <c r="D9434" s="313" t="s">
        <v>8274</v>
      </c>
      <c r="E9434" s="603" t="s">
        <v>7946</v>
      </c>
      <c r="F9434" s="603"/>
      <c r="G9434" s="314" t="s">
        <v>6</v>
      </c>
      <c r="H9434" s="399">
        <v>1</v>
      </c>
      <c r="I9434" s="316"/>
      <c r="J9434" s="316">
        <v>54.09</v>
      </c>
      <c r="K9434" s="316">
        <v>54.09</v>
      </c>
    </row>
    <row r="9435" spans="1:11" ht="16.95" customHeight="1" x14ac:dyDescent="0.3">
      <c r="A9435" s="400" t="s">
        <v>1038</v>
      </c>
      <c r="B9435" s="401" t="s">
        <v>4383</v>
      </c>
      <c r="C9435" s="400" t="s">
        <v>395</v>
      </c>
      <c r="D9435" s="400" t="s">
        <v>4384</v>
      </c>
      <c r="E9435" s="605" t="s">
        <v>1039</v>
      </c>
      <c r="F9435" s="605"/>
      <c r="G9435" s="402" t="s">
        <v>8</v>
      </c>
      <c r="H9435" s="403">
        <v>7.64</v>
      </c>
      <c r="I9435" s="403">
        <v>0</v>
      </c>
      <c r="J9435" s="404">
        <v>7.08</v>
      </c>
      <c r="K9435" s="404">
        <v>54.091200000000001</v>
      </c>
    </row>
    <row r="9436" spans="1:11" ht="15" x14ac:dyDescent="0.3">
      <c r="A9436" s="405"/>
      <c r="B9436" s="405"/>
      <c r="C9436" s="405"/>
      <c r="D9436" s="405"/>
      <c r="E9436" s="405" t="s">
        <v>1046</v>
      </c>
      <c r="F9436" s="406">
        <v>0</v>
      </c>
      <c r="G9436" s="405" t="s">
        <v>1047</v>
      </c>
      <c r="H9436" s="406">
        <v>0</v>
      </c>
      <c r="I9436" s="405" t="s">
        <v>1048</v>
      </c>
      <c r="J9436" s="406">
        <v>0</v>
      </c>
      <c r="K9436"/>
    </row>
    <row r="9437" spans="1:11" ht="17.399999999999999" customHeight="1" thickBot="1" x14ac:dyDescent="0.35">
      <c r="A9437" s="405"/>
      <c r="B9437" s="405"/>
      <c r="C9437" s="405"/>
      <c r="D9437" s="405"/>
      <c r="E9437" s="405" t="s">
        <v>1049</v>
      </c>
      <c r="F9437" s="406">
        <v>0</v>
      </c>
      <c r="G9437" s="405"/>
      <c r="H9437" s="606"/>
      <c r="I9437" s="606" t="s">
        <v>1050</v>
      </c>
      <c r="J9437" s="406">
        <v>54.09</v>
      </c>
      <c r="K9437"/>
    </row>
    <row r="9438" spans="1:11" ht="15.6" thickTop="1" x14ac:dyDescent="0.3">
      <c r="A9438" s="407"/>
      <c r="B9438" s="407"/>
      <c r="C9438" s="407"/>
      <c r="D9438" s="407"/>
      <c r="E9438" s="407"/>
      <c r="F9438" s="407"/>
      <c r="G9438" s="407"/>
      <c r="H9438" s="407"/>
      <c r="I9438" s="407"/>
      <c r="J9438" s="407"/>
      <c r="K9438"/>
    </row>
    <row r="9439" spans="1:11" ht="15" x14ac:dyDescent="0.3">
      <c r="A9439" s="382"/>
      <c r="B9439" s="312" t="s">
        <v>413</v>
      </c>
      <c r="C9439" s="382" t="s">
        <v>414</v>
      </c>
      <c r="D9439" s="382" t="s">
        <v>415</v>
      </c>
      <c r="E9439" s="586" t="s">
        <v>1029</v>
      </c>
      <c r="F9439" s="586"/>
      <c r="G9439" s="383" t="s">
        <v>416</v>
      </c>
      <c r="H9439" s="312" t="s">
        <v>1030</v>
      </c>
      <c r="I9439" s="312" t="s">
        <v>3016</v>
      </c>
      <c r="J9439" s="312" t="s">
        <v>1031</v>
      </c>
      <c r="K9439" s="312" t="s">
        <v>1032</v>
      </c>
    </row>
    <row r="9440" spans="1:11" ht="30" customHeight="1" x14ac:dyDescent="0.3">
      <c r="A9440" s="313" t="s">
        <v>1033</v>
      </c>
      <c r="B9440" s="315" t="s">
        <v>5155</v>
      </c>
      <c r="C9440" s="313" t="s">
        <v>395</v>
      </c>
      <c r="D9440" s="313" t="s">
        <v>7792</v>
      </c>
      <c r="E9440" s="603" t="s">
        <v>7791</v>
      </c>
      <c r="F9440" s="603"/>
      <c r="G9440" s="314" t="s">
        <v>4</v>
      </c>
      <c r="H9440" s="399">
        <v>1</v>
      </c>
      <c r="I9440" s="316"/>
      <c r="J9440" s="316">
        <v>150.12</v>
      </c>
      <c r="K9440" s="316">
        <v>150.12</v>
      </c>
    </row>
    <row r="9441" spans="1:11" ht="16.95" customHeight="1" x14ac:dyDescent="0.3">
      <c r="A9441" s="408" t="s">
        <v>1034</v>
      </c>
      <c r="B9441" s="409" t="s">
        <v>5254</v>
      </c>
      <c r="C9441" s="408" t="s">
        <v>395</v>
      </c>
      <c r="D9441" s="408" t="s">
        <v>5255</v>
      </c>
      <c r="E9441" s="604" t="s">
        <v>7840</v>
      </c>
      <c r="F9441" s="604"/>
      <c r="G9441" s="410" t="s">
        <v>713</v>
      </c>
      <c r="H9441" s="412">
        <v>4.4000000000000003E-3</v>
      </c>
      <c r="I9441" s="412">
        <v>0</v>
      </c>
      <c r="J9441" s="411">
        <v>837.23</v>
      </c>
      <c r="K9441" s="411">
        <v>3.6838120000000001</v>
      </c>
    </row>
    <row r="9442" spans="1:11" ht="16.95" customHeight="1" x14ac:dyDescent="0.3">
      <c r="A9442" s="408" t="s">
        <v>1034</v>
      </c>
      <c r="B9442" s="409" t="s">
        <v>1035</v>
      </c>
      <c r="C9442" s="408" t="s">
        <v>395</v>
      </c>
      <c r="D9442" s="408" t="s">
        <v>128</v>
      </c>
      <c r="E9442" s="604" t="s">
        <v>7768</v>
      </c>
      <c r="F9442" s="604"/>
      <c r="G9442" s="410" t="s">
        <v>6</v>
      </c>
      <c r="H9442" s="412">
        <v>0.85499999999999998</v>
      </c>
      <c r="I9442" s="412">
        <v>0</v>
      </c>
      <c r="J9442" s="411">
        <v>34.5</v>
      </c>
      <c r="K9442" s="411">
        <v>29.497499999999999</v>
      </c>
    </row>
    <row r="9443" spans="1:11" ht="16.95" customHeight="1" x14ac:dyDescent="0.3">
      <c r="A9443" s="408" t="s">
        <v>1034</v>
      </c>
      <c r="B9443" s="409" t="s">
        <v>1037</v>
      </c>
      <c r="C9443" s="408" t="s">
        <v>395</v>
      </c>
      <c r="D9443" s="408" t="s">
        <v>135</v>
      </c>
      <c r="E9443" s="604" t="s">
        <v>7768</v>
      </c>
      <c r="F9443" s="604"/>
      <c r="G9443" s="410" t="s">
        <v>6</v>
      </c>
      <c r="H9443" s="412">
        <v>0.85499999999999998</v>
      </c>
      <c r="I9443" s="412">
        <v>0</v>
      </c>
      <c r="J9443" s="411">
        <v>41.81</v>
      </c>
      <c r="K9443" s="411">
        <v>35.747549999999997</v>
      </c>
    </row>
    <row r="9444" spans="1:11" ht="16.95" customHeight="1" x14ac:dyDescent="0.3">
      <c r="A9444" s="400" t="s">
        <v>1038</v>
      </c>
      <c r="B9444" s="401" t="s">
        <v>4811</v>
      </c>
      <c r="C9444" s="400" t="s">
        <v>395</v>
      </c>
      <c r="D9444" s="400" t="s">
        <v>4812</v>
      </c>
      <c r="E9444" s="605" t="s">
        <v>1039</v>
      </c>
      <c r="F9444" s="605"/>
      <c r="G9444" s="402" t="s">
        <v>4</v>
      </c>
      <c r="H9444" s="403">
        <v>1</v>
      </c>
      <c r="I9444" s="403">
        <v>0</v>
      </c>
      <c r="J9444" s="404">
        <v>81.19</v>
      </c>
      <c r="K9444" s="404">
        <v>81.19</v>
      </c>
    </row>
    <row r="9445" spans="1:11" ht="16.95" customHeight="1" x14ac:dyDescent="0.3">
      <c r="A9445" s="405"/>
      <c r="B9445" s="405"/>
      <c r="C9445" s="405"/>
      <c r="D9445" s="405"/>
      <c r="E9445" s="405" t="s">
        <v>1046</v>
      </c>
      <c r="F9445" s="406">
        <v>48.71</v>
      </c>
      <c r="G9445" s="405" t="s">
        <v>1047</v>
      </c>
      <c r="H9445" s="406">
        <v>0</v>
      </c>
      <c r="I9445" s="405" t="s">
        <v>1048</v>
      </c>
      <c r="J9445" s="406">
        <v>48.71</v>
      </c>
      <c r="K9445"/>
    </row>
    <row r="9446" spans="1:11" ht="16.95" customHeight="1" thickBot="1" x14ac:dyDescent="0.35">
      <c r="A9446" s="405"/>
      <c r="B9446" s="405"/>
      <c r="C9446" s="405"/>
      <c r="D9446" s="405"/>
      <c r="E9446" s="405" t="s">
        <v>1049</v>
      </c>
      <c r="F9446" s="406">
        <v>0</v>
      </c>
      <c r="G9446" s="405"/>
      <c r="H9446" s="606"/>
      <c r="I9446" s="606" t="s">
        <v>1050</v>
      </c>
      <c r="J9446" s="406">
        <v>150.12</v>
      </c>
      <c r="K9446"/>
    </row>
    <row r="9447" spans="1:11" ht="15.6" thickTop="1" x14ac:dyDescent="0.3">
      <c r="A9447" s="407"/>
      <c r="B9447" s="407"/>
      <c r="C9447" s="407"/>
      <c r="D9447" s="407"/>
      <c r="E9447" s="407"/>
      <c r="F9447" s="407"/>
      <c r="G9447" s="407"/>
      <c r="H9447" s="407"/>
      <c r="I9447" s="407"/>
      <c r="J9447" s="407"/>
      <c r="K9447"/>
    </row>
    <row r="9448" spans="1:11" ht="16.95" customHeight="1" x14ac:dyDescent="0.3">
      <c r="A9448" s="382"/>
      <c r="B9448" s="312" t="s">
        <v>413</v>
      </c>
      <c r="C9448" s="382" t="s">
        <v>414</v>
      </c>
      <c r="D9448" s="382" t="s">
        <v>415</v>
      </c>
      <c r="E9448" s="586" t="s">
        <v>1029</v>
      </c>
      <c r="F9448" s="586"/>
      <c r="G9448" s="383" t="s">
        <v>416</v>
      </c>
      <c r="H9448" s="312" t="s">
        <v>1030</v>
      </c>
      <c r="I9448" s="312" t="s">
        <v>3016</v>
      </c>
      <c r="J9448" s="312" t="s">
        <v>1031</v>
      </c>
      <c r="K9448" s="312" t="s">
        <v>1032</v>
      </c>
    </row>
    <row r="9449" spans="1:11" ht="26.4" x14ac:dyDescent="0.3">
      <c r="A9449" s="313" t="s">
        <v>1033</v>
      </c>
      <c r="B9449" s="315" t="s">
        <v>8233</v>
      </c>
      <c r="C9449" s="313" t="s">
        <v>395</v>
      </c>
      <c r="D9449" s="313" t="s">
        <v>8234</v>
      </c>
      <c r="E9449" s="603" t="s">
        <v>7811</v>
      </c>
      <c r="F9449" s="603"/>
      <c r="G9449" s="314" t="s">
        <v>4</v>
      </c>
      <c r="H9449" s="399">
        <v>1</v>
      </c>
      <c r="I9449" s="316"/>
      <c r="J9449" s="316">
        <v>34.119999999999997</v>
      </c>
      <c r="K9449" s="316">
        <v>34.119999999999997</v>
      </c>
    </row>
    <row r="9450" spans="1:11" ht="17.399999999999999" customHeight="1" x14ac:dyDescent="0.3">
      <c r="A9450" s="408" t="s">
        <v>1034</v>
      </c>
      <c r="B9450" s="409" t="s">
        <v>1113</v>
      </c>
      <c r="C9450" s="408" t="s">
        <v>395</v>
      </c>
      <c r="D9450" s="408" t="s">
        <v>129</v>
      </c>
      <c r="E9450" s="604" t="s">
        <v>7768</v>
      </c>
      <c r="F9450" s="604"/>
      <c r="G9450" s="410" t="s">
        <v>6</v>
      </c>
      <c r="H9450" s="412">
        <v>0.11020000000000001</v>
      </c>
      <c r="I9450" s="412">
        <v>0</v>
      </c>
      <c r="J9450" s="411">
        <v>33.450000000000003</v>
      </c>
      <c r="K9450" s="411">
        <v>3.6861899999999999</v>
      </c>
    </row>
    <row r="9451" spans="1:11" ht="26.4" x14ac:dyDescent="0.3">
      <c r="A9451" s="408" t="s">
        <v>1034</v>
      </c>
      <c r="B9451" s="409" t="s">
        <v>1112</v>
      </c>
      <c r="C9451" s="408" t="s">
        <v>395</v>
      </c>
      <c r="D9451" s="408" t="s">
        <v>137</v>
      </c>
      <c r="E9451" s="604" t="s">
        <v>7768</v>
      </c>
      <c r="F9451" s="604"/>
      <c r="G9451" s="410" t="s">
        <v>6</v>
      </c>
      <c r="H9451" s="412">
        <v>0.11020000000000001</v>
      </c>
      <c r="I9451" s="412">
        <v>0</v>
      </c>
      <c r="J9451" s="411">
        <v>40.299999999999997</v>
      </c>
      <c r="K9451" s="411">
        <v>4.4410600000000002</v>
      </c>
    </row>
    <row r="9452" spans="1:11" ht="15" x14ac:dyDescent="0.3">
      <c r="A9452" s="400" t="s">
        <v>1038</v>
      </c>
      <c r="B9452" s="401" t="s">
        <v>2535</v>
      </c>
      <c r="C9452" s="400" t="s">
        <v>395</v>
      </c>
      <c r="D9452" s="400" t="s">
        <v>262</v>
      </c>
      <c r="E9452" s="605" t="s">
        <v>1039</v>
      </c>
      <c r="F9452" s="605"/>
      <c r="G9452" s="402" t="s">
        <v>4</v>
      </c>
      <c r="H9452" s="403">
        <v>1.06E-2</v>
      </c>
      <c r="I9452" s="403">
        <v>0</v>
      </c>
      <c r="J9452" s="404">
        <v>16.45</v>
      </c>
      <c r="K9452" s="404">
        <v>0.17437</v>
      </c>
    </row>
    <row r="9453" spans="1:11" ht="45" customHeight="1" x14ac:dyDescent="0.3">
      <c r="A9453" s="400" t="s">
        <v>1038</v>
      </c>
      <c r="B9453" s="401" t="s">
        <v>4616</v>
      </c>
      <c r="C9453" s="400" t="s">
        <v>395</v>
      </c>
      <c r="D9453" s="400" t="s">
        <v>4617</v>
      </c>
      <c r="E9453" s="605" t="s">
        <v>1039</v>
      </c>
      <c r="F9453" s="605"/>
      <c r="G9453" s="402" t="s">
        <v>4</v>
      </c>
      <c r="H9453" s="403">
        <v>1</v>
      </c>
      <c r="I9453" s="403">
        <v>0</v>
      </c>
      <c r="J9453" s="404">
        <v>25.82</v>
      </c>
      <c r="K9453" s="404">
        <v>25.82</v>
      </c>
    </row>
    <row r="9454" spans="1:11" ht="16.95" customHeight="1" x14ac:dyDescent="0.3">
      <c r="A9454" s="405"/>
      <c r="B9454" s="405"/>
      <c r="C9454" s="405"/>
      <c r="D9454" s="405"/>
      <c r="E9454" s="405" t="s">
        <v>1046</v>
      </c>
      <c r="F9454" s="406">
        <v>5.98</v>
      </c>
      <c r="G9454" s="405" t="s">
        <v>1047</v>
      </c>
      <c r="H9454" s="406">
        <v>0.01</v>
      </c>
      <c r="I9454" s="405" t="s">
        <v>1048</v>
      </c>
      <c r="J9454" s="406">
        <v>5.99</v>
      </c>
      <c r="K9454"/>
    </row>
    <row r="9455" spans="1:11" ht="16.95" customHeight="1" thickBot="1" x14ac:dyDescent="0.35">
      <c r="A9455" s="405"/>
      <c r="B9455" s="405"/>
      <c r="C9455" s="405"/>
      <c r="D9455" s="405"/>
      <c r="E9455" s="405" t="s">
        <v>1049</v>
      </c>
      <c r="F9455" s="406">
        <v>0</v>
      </c>
      <c r="G9455" s="405"/>
      <c r="H9455" s="606"/>
      <c r="I9455" s="606" t="s">
        <v>1050</v>
      </c>
      <c r="J9455" s="406">
        <v>34.119999999999997</v>
      </c>
      <c r="K9455"/>
    </row>
    <row r="9456" spans="1:11" ht="16.95" customHeight="1" thickTop="1" x14ac:dyDescent="0.3">
      <c r="A9456" s="407"/>
      <c r="B9456" s="407"/>
      <c r="C9456" s="407"/>
      <c r="D9456" s="407"/>
      <c r="E9456" s="407"/>
      <c r="F9456" s="407"/>
      <c r="G9456" s="407"/>
      <c r="H9456" s="407"/>
      <c r="I9456" s="407"/>
      <c r="J9456" s="407"/>
      <c r="K9456"/>
    </row>
    <row r="9457" spans="1:11" ht="16.95" customHeight="1" x14ac:dyDescent="0.3">
      <c r="A9457" s="382"/>
      <c r="B9457" s="312" t="s">
        <v>413</v>
      </c>
      <c r="C9457" s="382" t="s">
        <v>414</v>
      </c>
      <c r="D9457" s="382" t="s">
        <v>415</v>
      </c>
      <c r="E9457" s="586" t="s">
        <v>1029</v>
      </c>
      <c r="F9457" s="586"/>
      <c r="G9457" s="383" t="s">
        <v>416</v>
      </c>
      <c r="H9457" s="312" t="s">
        <v>1030</v>
      </c>
      <c r="I9457" s="312" t="s">
        <v>3016</v>
      </c>
      <c r="J9457" s="312" t="s">
        <v>1031</v>
      </c>
      <c r="K9457" s="312" t="s">
        <v>1032</v>
      </c>
    </row>
    <row r="9458" spans="1:11" ht="16.95" customHeight="1" x14ac:dyDescent="0.3">
      <c r="A9458" s="313" t="s">
        <v>1033</v>
      </c>
      <c r="B9458" s="315" t="s">
        <v>5236</v>
      </c>
      <c r="C9458" s="313" t="s">
        <v>395</v>
      </c>
      <c r="D9458" s="313" t="s">
        <v>7853</v>
      </c>
      <c r="E9458" s="603" t="s">
        <v>7772</v>
      </c>
      <c r="F9458" s="603"/>
      <c r="G9458" s="314" t="s">
        <v>19</v>
      </c>
      <c r="H9458" s="399">
        <v>1</v>
      </c>
      <c r="I9458" s="316"/>
      <c r="J9458" s="316">
        <v>103.82</v>
      </c>
      <c r="K9458" s="316">
        <v>103.82</v>
      </c>
    </row>
    <row r="9459" spans="1:11" ht="16.95" customHeight="1" x14ac:dyDescent="0.3">
      <c r="A9459" s="408" t="s">
        <v>1034</v>
      </c>
      <c r="B9459" s="409" t="s">
        <v>8257</v>
      </c>
      <c r="C9459" s="408" t="s">
        <v>395</v>
      </c>
      <c r="D9459" s="408" t="s">
        <v>8258</v>
      </c>
      <c r="E9459" s="604" t="s">
        <v>7768</v>
      </c>
      <c r="F9459" s="604"/>
      <c r="G9459" s="410" t="s">
        <v>6</v>
      </c>
      <c r="H9459" s="412">
        <v>1</v>
      </c>
      <c r="I9459" s="412">
        <v>0</v>
      </c>
      <c r="J9459" s="411">
        <v>39.950000000000003</v>
      </c>
      <c r="K9459" s="411">
        <v>39.950000000000003</v>
      </c>
    </row>
    <row r="9460" spans="1:11" ht="39.6" x14ac:dyDescent="0.3">
      <c r="A9460" s="408" t="s">
        <v>1034</v>
      </c>
      <c r="B9460" s="409" t="s">
        <v>8275</v>
      </c>
      <c r="C9460" s="408" t="s">
        <v>395</v>
      </c>
      <c r="D9460" s="408" t="s">
        <v>8276</v>
      </c>
      <c r="E9460" s="604" t="s">
        <v>7946</v>
      </c>
      <c r="F9460" s="604"/>
      <c r="G9460" s="410" t="s">
        <v>6</v>
      </c>
      <c r="H9460" s="412">
        <v>1</v>
      </c>
      <c r="I9460" s="412">
        <v>0</v>
      </c>
      <c r="J9460" s="411">
        <v>13.51</v>
      </c>
      <c r="K9460" s="411">
        <v>13.51</v>
      </c>
    </row>
    <row r="9461" spans="1:11" ht="16.95" customHeight="1" x14ac:dyDescent="0.3">
      <c r="A9461" s="408" t="s">
        <v>1034</v>
      </c>
      <c r="B9461" s="409" t="s">
        <v>8277</v>
      </c>
      <c r="C9461" s="408" t="s">
        <v>395</v>
      </c>
      <c r="D9461" s="408" t="s">
        <v>8278</v>
      </c>
      <c r="E9461" s="604" t="s">
        <v>7946</v>
      </c>
      <c r="F9461" s="604"/>
      <c r="G9461" s="410" t="s">
        <v>6</v>
      </c>
      <c r="H9461" s="412">
        <v>1</v>
      </c>
      <c r="I9461" s="412">
        <v>0</v>
      </c>
      <c r="J9461" s="411">
        <v>50.36</v>
      </c>
      <c r="K9461" s="411">
        <v>50.36</v>
      </c>
    </row>
    <row r="9462" spans="1:11" ht="15" x14ac:dyDescent="0.3">
      <c r="A9462" s="405"/>
      <c r="B9462" s="405"/>
      <c r="C9462" s="405"/>
      <c r="D9462" s="405"/>
      <c r="E9462" s="405" t="s">
        <v>1046</v>
      </c>
      <c r="F9462" s="406">
        <v>31</v>
      </c>
      <c r="G9462" s="405" t="s">
        <v>1047</v>
      </c>
      <c r="H9462" s="406">
        <v>0</v>
      </c>
      <c r="I9462" s="405" t="s">
        <v>1048</v>
      </c>
      <c r="J9462" s="406">
        <v>31</v>
      </c>
      <c r="K9462"/>
    </row>
    <row r="9463" spans="1:11" ht="17.399999999999999" customHeight="1" thickBot="1" x14ac:dyDescent="0.35">
      <c r="A9463" s="405"/>
      <c r="B9463" s="405"/>
      <c r="C9463" s="405"/>
      <c r="D9463" s="405"/>
      <c r="E9463" s="405" t="s">
        <v>1049</v>
      </c>
      <c r="F9463" s="406">
        <v>0</v>
      </c>
      <c r="G9463" s="405"/>
      <c r="H9463" s="606"/>
      <c r="I9463" s="606" t="s">
        <v>1050</v>
      </c>
      <c r="J9463" s="406">
        <v>103.82</v>
      </c>
      <c r="K9463"/>
    </row>
    <row r="9464" spans="1:11" ht="15.6" thickTop="1" x14ac:dyDescent="0.3">
      <c r="A9464" s="407"/>
      <c r="B9464" s="407"/>
      <c r="C9464" s="407"/>
      <c r="D9464" s="407"/>
      <c r="E9464" s="407"/>
      <c r="F9464" s="407"/>
      <c r="G9464" s="407"/>
      <c r="H9464" s="407"/>
      <c r="I9464" s="407"/>
      <c r="J9464" s="407"/>
      <c r="K9464"/>
    </row>
    <row r="9465" spans="1:11" ht="15" x14ac:dyDescent="0.3">
      <c r="A9465" s="382"/>
      <c r="B9465" s="312" t="s">
        <v>413</v>
      </c>
      <c r="C9465" s="382" t="s">
        <v>414</v>
      </c>
      <c r="D9465" s="382" t="s">
        <v>415</v>
      </c>
      <c r="E9465" s="586" t="s">
        <v>1029</v>
      </c>
      <c r="F9465" s="586"/>
      <c r="G9465" s="383" t="s">
        <v>416</v>
      </c>
      <c r="H9465" s="312" t="s">
        <v>1030</v>
      </c>
      <c r="I9465" s="312" t="s">
        <v>3016</v>
      </c>
      <c r="J9465" s="312" t="s">
        <v>1031</v>
      </c>
      <c r="K9465" s="312" t="s">
        <v>1032</v>
      </c>
    </row>
    <row r="9466" spans="1:11" ht="45" customHeight="1" x14ac:dyDescent="0.3">
      <c r="A9466" s="313" t="s">
        <v>1033</v>
      </c>
      <c r="B9466" s="315" t="s">
        <v>5235</v>
      </c>
      <c r="C9466" s="313" t="s">
        <v>395</v>
      </c>
      <c r="D9466" s="313" t="s">
        <v>7852</v>
      </c>
      <c r="E9466" s="603" t="s">
        <v>7772</v>
      </c>
      <c r="F9466" s="603"/>
      <c r="G9466" s="314" t="s">
        <v>15</v>
      </c>
      <c r="H9466" s="399">
        <v>1</v>
      </c>
      <c r="I9466" s="316"/>
      <c r="J9466" s="316">
        <v>242.37</v>
      </c>
      <c r="K9466" s="316">
        <v>242.37</v>
      </c>
    </row>
    <row r="9467" spans="1:11" ht="16.95" customHeight="1" x14ac:dyDescent="0.3">
      <c r="A9467" s="408" t="s">
        <v>1034</v>
      </c>
      <c r="B9467" s="409" t="s">
        <v>8257</v>
      </c>
      <c r="C9467" s="408" t="s">
        <v>395</v>
      </c>
      <c r="D9467" s="408" t="s">
        <v>8258</v>
      </c>
      <c r="E9467" s="604" t="s">
        <v>7768</v>
      </c>
      <c r="F9467" s="604"/>
      <c r="G9467" s="410" t="s">
        <v>6</v>
      </c>
      <c r="H9467" s="412">
        <v>1</v>
      </c>
      <c r="I9467" s="412">
        <v>0</v>
      </c>
      <c r="J9467" s="411">
        <v>39.950000000000003</v>
      </c>
      <c r="K9467" s="411">
        <v>39.950000000000003</v>
      </c>
    </row>
    <row r="9468" spans="1:11" ht="16.95" customHeight="1" x14ac:dyDescent="0.3">
      <c r="A9468" s="408" t="s">
        <v>1034</v>
      </c>
      <c r="B9468" s="409" t="s">
        <v>8279</v>
      </c>
      <c r="C9468" s="408" t="s">
        <v>395</v>
      </c>
      <c r="D9468" s="408" t="s">
        <v>8280</v>
      </c>
      <c r="E9468" s="604" t="s">
        <v>7946</v>
      </c>
      <c r="F9468" s="604"/>
      <c r="G9468" s="410" t="s">
        <v>6</v>
      </c>
      <c r="H9468" s="412">
        <v>1</v>
      </c>
      <c r="I9468" s="412">
        <v>0</v>
      </c>
      <c r="J9468" s="411">
        <v>75.540000000000006</v>
      </c>
      <c r="K9468" s="411">
        <v>75.540000000000006</v>
      </c>
    </row>
    <row r="9469" spans="1:11" ht="16.95" customHeight="1" x14ac:dyDescent="0.3">
      <c r="A9469" s="408" t="s">
        <v>1034</v>
      </c>
      <c r="B9469" s="409" t="s">
        <v>8281</v>
      </c>
      <c r="C9469" s="408" t="s">
        <v>395</v>
      </c>
      <c r="D9469" s="408" t="s">
        <v>8282</v>
      </c>
      <c r="E9469" s="604" t="s">
        <v>7946</v>
      </c>
      <c r="F9469" s="604"/>
      <c r="G9469" s="410" t="s">
        <v>6</v>
      </c>
      <c r="H9469" s="412">
        <v>1</v>
      </c>
      <c r="I9469" s="412">
        <v>0</v>
      </c>
      <c r="J9469" s="411">
        <v>63.01</v>
      </c>
      <c r="K9469" s="411">
        <v>63.01</v>
      </c>
    </row>
    <row r="9470" spans="1:11" ht="16.95" customHeight="1" x14ac:dyDescent="0.3">
      <c r="A9470" s="408" t="s">
        <v>1034</v>
      </c>
      <c r="B9470" s="409" t="s">
        <v>8275</v>
      </c>
      <c r="C9470" s="408" t="s">
        <v>395</v>
      </c>
      <c r="D9470" s="408" t="s">
        <v>8276</v>
      </c>
      <c r="E9470" s="604" t="s">
        <v>7946</v>
      </c>
      <c r="F9470" s="604"/>
      <c r="G9470" s="410" t="s">
        <v>6</v>
      </c>
      <c r="H9470" s="412">
        <v>1</v>
      </c>
      <c r="I9470" s="412">
        <v>0</v>
      </c>
      <c r="J9470" s="411">
        <v>13.51</v>
      </c>
      <c r="K9470" s="411">
        <v>13.51</v>
      </c>
    </row>
    <row r="9471" spans="1:11" ht="16.95" customHeight="1" x14ac:dyDescent="0.3">
      <c r="A9471" s="408" t="s">
        <v>1034</v>
      </c>
      <c r="B9471" s="409" t="s">
        <v>8277</v>
      </c>
      <c r="C9471" s="408" t="s">
        <v>395</v>
      </c>
      <c r="D9471" s="408" t="s">
        <v>8278</v>
      </c>
      <c r="E9471" s="604" t="s">
        <v>7946</v>
      </c>
      <c r="F9471" s="604"/>
      <c r="G9471" s="410" t="s">
        <v>6</v>
      </c>
      <c r="H9471" s="412">
        <v>1</v>
      </c>
      <c r="I9471" s="412">
        <v>0</v>
      </c>
      <c r="J9471" s="411">
        <v>50.36</v>
      </c>
      <c r="K9471" s="411">
        <v>50.36</v>
      </c>
    </row>
    <row r="9472" spans="1:11" ht="16.95" customHeight="1" x14ac:dyDescent="0.3">
      <c r="A9472" s="405"/>
      <c r="B9472" s="405"/>
      <c r="C9472" s="405"/>
      <c r="D9472" s="405"/>
      <c r="E9472" s="405" t="s">
        <v>1046</v>
      </c>
      <c r="F9472" s="406">
        <v>31</v>
      </c>
      <c r="G9472" s="405" t="s">
        <v>1047</v>
      </c>
      <c r="H9472" s="406">
        <v>0</v>
      </c>
      <c r="I9472" s="405" t="s">
        <v>1048</v>
      </c>
      <c r="J9472" s="406">
        <v>31</v>
      </c>
      <c r="K9472"/>
    </row>
    <row r="9473" spans="1:11" ht="15.6" thickBot="1" x14ac:dyDescent="0.35">
      <c r="A9473" s="405"/>
      <c r="B9473" s="405"/>
      <c r="C9473" s="405"/>
      <c r="D9473" s="405"/>
      <c r="E9473" s="405" t="s">
        <v>1049</v>
      </c>
      <c r="F9473" s="406">
        <v>0</v>
      </c>
      <c r="G9473" s="405"/>
      <c r="H9473" s="606"/>
      <c r="I9473" s="606" t="s">
        <v>1050</v>
      </c>
      <c r="J9473" s="406">
        <v>242.37</v>
      </c>
      <c r="K9473"/>
    </row>
    <row r="9474" spans="1:11" ht="16.95" customHeight="1" thickTop="1" x14ac:dyDescent="0.3">
      <c r="A9474" s="407"/>
      <c r="B9474" s="407"/>
      <c r="C9474" s="407"/>
      <c r="D9474" s="407"/>
      <c r="E9474" s="407"/>
      <c r="F9474" s="407"/>
      <c r="G9474" s="407"/>
      <c r="H9474" s="407"/>
      <c r="I9474" s="407"/>
      <c r="J9474" s="407"/>
      <c r="K9474"/>
    </row>
    <row r="9475" spans="1:11" ht="15" x14ac:dyDescent="0.3">
      <c r="A9475" s="382"/>
      <c r="B9475" s="312" t="s">
        <v>413</v>
      </c>
      <c r="C9475" s="382" t="s">
        <v>414</v>
      </c>
      <c r="D9475" s="382" t="s">
        <v>415</v>
      </c>
      <c r="E9475" s="586" t="s">
        <v>1029</v>
      </c>
      <c r="F9475" s="586"/>
      <c r="G9475" s="383" t="s">
        <v>416</v>
      </c>
      <c r="H9475" s="312" t="s">
        <v>1030</v>
      </c>
      <c r="I9475" s="312" t="s">
        <v>3016</v>
      </c>
      <c r="J9475" s="312" t="s">
        <v>1031</v>
      </c>
      <c r="K9475" s="312" t="s">
        <v>1032</v>
      </c>
    </row>
    <row r="9476" spans="1:11" ht="17.399999999999999" customHeight="1" x14ac:dyDescent="0.3">
      <c r="A9476" s="313" t="s">
        <v>1033</v>
      </c>
      <c r="B9476" s="315" t="s">
        <v>8277</v>
      </c>
      <c r="C9476" s="313" t="s">
        <v>395</v>
      </c>
      <c r="D9476" s="313" t="s">
        <v>8278</v>
      </c>
      <c r="E9476" s="603" t="s">
        <v>7946</v>
      </c>
      <c r="F9476" s="603"/>
      <c r="G9476" s="314" t="s">
        <v>6</v>
      </c>
      <c r="H9476" s="399">
        <v>1</v>
      </c>
      <c r="I9476" s="316"/>
      <c r="J9476" s="316">
        <v>50.36</v>
      </c>
      <c r="K9476" s="316">
        <v>50.36</v>
      </c>
    </row>
    <row r="9477" spans="1:11" ht="39.6" x14ac:dyDescent="0.3">
      <c r="A9477" s="400" t="s">
        <v>1038</v>
      </c>
      <c r="B9477" s="401" t="s">
        <v>4910</v>
      </c>
      <c r="C9477" s="400" t="s">
        <v>395</v>
      </c>
      <c r="D9477" s="400" t="s">
        <v>4911</v>
      </c>
      <c r="E9477" s="605" t="s">
        <v>1317</v>
      </c>
      <c r="F9477" s="605"/>
      <c r="G9477" s="402" t="s">
        <v>4</v>
      </c>
      <c r="H9477" s="403">
        <v>5.3300000000000001E-5</v>
      </c>
      <c r="I9477" s="403">
        <v>0</v>
      </c>
      <c r="J9477" s="404">
        <v>944749.59</v>
      </c>
      <c r="K9477" s="404">
        <v>50.355153100000003</v>
      </c>
    </row>
    <row r="9478" spans="1:11" ht="15" x14ac:dyDescent="0.3">
      <c r="A9478" s="405"/>
      <c r="B9478" s="405"/>
      <c r="C9478" s="405"/>
      <c r="D9478" s="405"/>
      <c r="E9478" s="405" t="s">
        <v>1046</v>
      </c>
      <c r="F9478" s="406">
        <v>0</v>
      </c>
      <c r="G9478" s="405" t="s">
        <v>1047</v>
      </c>
      <c r="H9478" s="406">
        <v>0</v>
      </c>
      <c r="I9478" s="405" t="s">
        <v>1048</v>
      </c>
      <c r="J9478" s="406">
        <v>0</v>
      </c>
      <c r="K9478"/>
    </row>
    <row r="9479" spans="1:11" ht="30" customHeight="1" thickBot="1" x14ac:dyDescent="0.35">
      <c r="A9479" s="405"/>
      <c r="B9479" s="405"/>
      <c r="C9479" s="405"/>
      <c r="D9479" s="405"/>
      <c r="E9479" s="405" t="s">
        <v>1049</v>
      </c>
      <c r="F9479" s="406">
        <v>0</v>
      </c>
      <c r="G9479" s="405"/>
      <c r="H9479" s="606"/>
      <c r="I9479" s="606" t="s">
        <v>1050</v>
      </c>
      <c r="J9479" s="406">
        <v>50.36</v>
      </c>
      <c r="K9479"/>
    </row>
    <row r="9480" spans="1:11" ht="30" customHeight="1" thickTop="1" x14ac:dyDescent="0.3">
      <c r="A9480" s="407"/>
      <c r="B9480" s="407"/>
      <c r="C9480" s="407"/>
      <c r="D9480" s="407"/>
      <c r="E9480" s="407"/>
      <c r="F9480" s="407"/>
      <c r="G9480" s="407"/>
      <c r="H9480" s="407"/>
      <c r="I9480" s="407"/>
      <c r="J9480" s="407"/>
      <c r="K9480"/>
    </row>
    <row r="9481" spans="1:11" ht="30" customHeight="1" x14ac:dyDescent="0.3">
      <c r="A9481" s="382"/>
      <c r="B9481" s="312" t="s">
        <v>413</v>
      </c>
      <c r="C9481" s="382" t="s">
        <v>414</v>
      </c>
      <c r="D9481" s="382" t="s">
        <v>415</v>
      </c>
      <c r="E9481" s="586" t="s">
        <v>1029</v>
      </c>
      <c r="F9481" s="586"/>
      <c r="G9481" s="383" t="s">
        <v>416</v>
      </c>
      <c r="H9481" s="312" t="s">
        <v>1030</v>
      </c>
      <c r="I9481" s="312" t="s">
        <v>3016</v>
      </c>
      <c r="J9481" s="312" t="s">
        <v>1031</v>
      </c>
      <c r="K9481" s="312" t="s">
        <v>1032</v>
      </c>
    </row>
    <row r="9482" spans="1:11" ht="39.6" x14ac:dyDescent="0.3">
      <c r="A9482" s="313" t="s">
        <v>1033</v>
      </c>
      <c r="B9482" s="315" t="s">
        <v>8275</v>
      </c>
      <c r="C9482" s="313" t="s">
        <v>395</v>
      </c>
      <c r="D9482" s="313" t="s">
        <v>8276</v>
      </c>
      <c r="E9482" s="603" t="s">
        <v>7946</v>
      </c>
      <c r="F9482" s="603"/>
      <c r="G9482" s="314" t="s">
        <v>6</v>
      </c>
      <c r="H9482" s="399">
        <v>1</v>
      </c>
      <c r="I9482" s="316"/>
      <c r="J9482" s="316">
        <v>13.51</v>
      </c>
      <c r="K9482" s="316">
        <v>13.51</v>
      </c>
    </row>
    <row r="9483" spans="1:11" ht="17.399999999999999" customHeight="1" x14ac:dyDescent="0.3">
      <c r="A9483" s="400" t="s">
        <v>1038</v>
      </c>
      <c r="B9483" s="401" t="s">
        <v>4910</v>
      </c>
      <c r="C9483" s="400" t="s">
        <v>395</v>
      </c>
      <c r="D9483" s="400" t="s">
        <v>4911</v>
      </c>
      <c r="E9483" s="605" t="s">
        <v>1317</v>
      </c>
      <c r="F9483" s="605"/>
      <c r="G9483" s="402" t="s">
        <v>4</v>
      </c>
      <c r="H9483" s="403">
        <v>1.43E-5</v>
      </c>
      <c r="I9483" s="403">
        <v>0</v>
      </c>
      <c r="J9483" s="404">
        <v>944749.59</v>
      </c>
      <c r="K9483" s="404">
        <v>13.509919099999999</v>
      </c>
    </row>
    <row r="9484" spans="1:11" ht="15" x14ac:dyDescent="0.3">
      <c r="A9484" s="405"/>
      <c r="B9484" s="405"/>
      <c r="C9484" s="405"/>
      <c r="D9484" s="405"/>
      <c r="E9484" s="405" t="s">
        <v>1046</v>
      </c>
      <c r="F9484" s="406">
        <v>0</v>
      </c>
      <c r="G9484" s="405" t="s">
        <v>1047</v>
      </c>
      <c r="H9484" s="406">
        <v>0</v>
      </c>
      <c r="I9484" s="405" t="s">
        <v>1048</v>
      </c>
      <c r="J9484" s="406">
        <v>0</v>
      </c>
      <c r="K9484"/>
    </row>
    <row r="9485" spans="1:11" ht="15.6" thickBot="1" x14ac:dyDescent="0.35">
      <c r="A9485" s="405"/>
      <c r="B9485" s="405"/>
      <c r="C9485" s="405"/>
      <c r="D9485" s="405"/>
      <c r="E9485" s="405" t="s">
        <v>1049</v>
      </c>
      <c r="F9485" s="406">
        <v>0</v>
      </c>
      <c r="G9485" s="405"/>
      <c r="H9485" s="606"/>
      <c r="I9485" s="606" t="s">
        <v>1050</v>
      </c>
      <c r="J9485" s="406">
        <v>13.51</v>
      </c>
      <c r="K9485"/>
    </row>
    <row r="9486" spans="1:11" ht="30" customHeight="1" thickTop="1" x14ac:dyDescent="0.3">
      <c r="A9486" s="407"/>
      <c r="B9486" s="407"/>
      <c r="C9486" s="407"/>
      <c r="D9486" s="407"/>
      <c r="E9486" s="407"/>
      <c r="F9486" s="407"/>
      <c r="G9486" s="407"/>
      <c r="H9486" s="407"/>
      <c r="I9486" s="407"/>
      <c r="J9486" s="407"/>
      <c r="K9486"/>
    </row>
    <row r="9487" spans="1:11" ht="30" customHeight="1" x14ac:dyDescent="0.3">
      <c r="A9487" s="382"/>
      <c r="B9487" s="312" t="s">
        <v>413</v>
      </c>
      <c r="C9487" s="382" t="s">
        <v>414</v>
      </c>
      <c r="D9487" s="382" t="s">
        <v>415</v>
      </c>
      <c r="E9487" s="586" t="s">
        <v>1029</v>
      </c>
      <c r="F9487" s="586"/>
      <c r="G9487" s="383" t="s">
        <v>416</v>
      </c>
      <c r="H9487" s="312" t="s">
        <v>1030</v>
      </c>
      <c r="I9487" s="312" t="s">
        <v>3016</v>
      </c>
      <c r="J9487" s="312" t="s">
        <v>1031</v>
      </c>
      <c r="K9487" s="312" t="s">
        <v>1032</v>
      </c>
    </row>
    <row r="9488" spans="1:11" ht="30" customHeight="1" x14ac:dyDescent="0.3">
      <c r="A9488" s="313" t="s">
        <v>1033</v>
      </c>
      <c r="B9488" s="315" t="s">
        <v>8281</v>
      </c>
      <c r="C9488" s="313" t="s">
        <v>395</v>
      </c>
      <c r="D9488" s="313" t="s">
        <v>8282</v>
      </c>
      <c r="E9488" s="603" t="s">
        <v>7946</v>
      </c>
      <c r="F9488" s="603"/>
      <c r="G9488" s="314" t="s">
        <v>6</v>
      </c>
      <c r="H9488" s="399">
        <v>1</v>
      </c>
      <c r="I9488" s="316"/>
      <c r="J9488" s="316">
        <v>63.01</v>
      </c>
      <c r="K9488" s="316">
        <v>63.01</v>
      </c>
    </row>
    <row r="9489" spans="1:11" ht="39.6" x14ac:dyDescent="0.3">
      <c r="A9489" s="400" t="s">
        <v>1038</v>
      </c>
      <c r="B9489" s="401" t="s">
        <v>4910</v>
      </c>
      <c r="C9489" s="400" t="s">
        <v>395</v>
      </c>
      <c r="D9489" s="400" t="s">
        <v>4911</v>
      </c>
      <c r="E9489" s="605" t="s">
        <v>1317</v>
      </c>
      <c r="F9489" s="605"/>
      <c r="G9489" s="402" t="s">
        <v>4</v>
      </c>
      <c r="H9489" s="403">
        <v>6.6699999999999995E-5</v>
      </c>
      <c r="I9489" s="403">
        <v>0</v>
      </c>
      <c r="J9489" s="404">
        <v>944749.59</v>
      </c>
      <c r="K9489" s="404">
        <v>63.014797700000003</v>
      </c>
    </row>
    <row r="9490" spans="1:11" ht="15" x14ac:dyDescent="0.3">
      <c r="A9490" s="405"/>
      <c r="B9490" s="405"/>
      <c r="C9490" s="405"/>
      <c r="D9490" s="405"/>
      <c r="E9490" s="405" t="s">
        <v>1046</v>
      </c>
      <c r="F9490" s="406">
        <v>0</v>
      </c>
      <c r="G9490" s="405" t="s">
        <v>1047</v>
      </c>
      <c r="H9490" s="406">
        <v>0</v>
      </c>
      <c r="I9490" s="405" t="s">
        <v>1048</v>
      </c>
      <c r="J9490" s="406">
        <v>0</v>
      </c>
      <c r="K9490"/>
    </row>
    <row r="9491" spans="1:11" ht="17.399999999999999" customHeight="1" thickBot="1" x14ac:dyDescent="0.35">
      <c r="A9491" s="405"/>
      <c r="B9491" s="405"/>
      <c r="C9491" s="405"/>
      <c r="D9491" s="405"/>
      <c r="E9491" s="405" t="s">
        <v>1049</v>
      </c>
      <c r="F9491" s="406">
        <v>0</v>
      </c>
      <c r="G9491" s="405"/>
      <c r="H9491" s="606"/>
      <c r="I9491" s="606" t="s">
        <v>1050</v>
      </c>
      <c r="J9491" s="406">
        <v>63.01</v>
      </c>
      <c r="K9491"/>
    </row>
    <row r="9492" spans="1:11" ht="15.6" thickTop="1" x14ac:dyDescent="0.3">
      <c r="A9492" s="407"/>
      <c r="B9492" s="407"/>
      <c r="C9492" s="407"/>
      <c r="D9492" s="407"/>
      <c r="E9492" s="407"/>
      <c r="F9492" s="407"/>
      <c r="G9492" s="407"/>
      <c r="H9492" s="407"/>
      <c r="I9492" s="407"/>
      <c r="J9492" s="407"/>
      <c r="K9492"/>
    </row>
    <row r="9493" spans="1:11" ht="15" x14ac:dyDescent="0.3">
      <c r="A9493" s="382"/>
      <c r="B9493" s="312" t="s">
        <v>413</v>
      </c>
      <c r="C9493" s="382" t="s">
        <v>414</v>
      </c>
      <c r="D9493" s="382" t="s">
        <v>415</v>
      </c>
      <c r="E9493" s="586" t="s">
        <v>1029</v>
      </c>
      <c r="F9493" s="586"/>
      <c r="G9493" s="383" t="s">
        <v>416</v>
      </c>
      <c r="H9493" s="312" t="s">
        <v>1030</v>
      </c>
      <c r="I9493" s="312" t="s">
        <v>3016</v>
      </c>
      <c r="J9493" s="312" t="s">
        <v>1031</v>
      </c>
      <c r="K9493" s="312" t="s">
        <v>1032</v>
      </c>
    </row>
    <row r="9494" spans="1:11" ht="30" customHeight="1" x14ac:dyDescent="0.3">
      <c r="A9494" s="313" t="s">
        <v>1033</v>
      </c>
      <c r="B9494" s="315" t="s">
        <v>8279</v>
      </c>
      <c r="C9494" s="313" t="s">
        <v>395</v>
      </c>
      <c r="D9494" s="313" t="s">
        <v>8280</v>
      </c>
      <c r="E9494" s="603" t="s">
        <v>7946</v>
      </c>
      <c r="F9494" s="603"/>
      <c r="G9494" s="314" t="s">
        <v>6</v>
      </c>
      <c r="H9494" s="399">
        <v>1</v>
      </c>
      <c r="I9494" s="316"/>
      <c r="J9494" s="316">
        <v>75.540000000000006</v>
      </c>
      <c r="K9494" s="316">
        <v>75.540000000000006</v>
      </c>
    </row>
    <row r="9495" spans="1:11" ht="30" customHeight="1" x14ac:dyDescent="0.3">
      <c r="A9495" s="400" t="s">
        <v>1038</v>
      </c>
      <c r="B9495" s="401" t="s">
        <v>4383</v>
      </c>
      <c r="C9495" s="400" t="s">
        <v>395</v>
      </c>
      <c r="D9495" s="400" t="s">
        <v>4384</v>
      </c>
      <c r="E9495" s="605" t="s">
        <v>1039</v>
      </c>
      <c r="F9495" s="605"/>
      <c r="G9495" s="402" t="s">
        <v>8</v>
      </c>
      <c r="H9495" s="403">
        <v>10.67</v>
      </c>
      <c r="I9495" s="403">
        <v>0</v>
      </c>
      <c r="J9495" s="404">
        <v>7.08</v>
      </c>
      <c r="K9495" s="404">
        <v>75.543599999999998</v>
      </c>
    </row>
    <row r="9496" spans="1:11" ht="30" customHeight="1" x14ac:dyDescent="0.3">
      <c r="A9496" s="405"/>
      <c r="B9496" s="405"/>
      <c r="C9496" s="405"/>
      <c r="D9496" s="405"/>
      <c r="E9496" s="405" t="s">
        <v>1046</v>
      </c>
      <c r="F9496" s="406">
        <v>0</v>
      </c>
      <c r="G9496" s="405" t="s">
        <v>1047</v>
      </c>
      <c r="H9496" s="406">
        <v>0</v>
      </c>
      <c r="I9496" s="405" t="s">
        <v>1048</v>
      </c>
      <c r="J9496" s="406">
        <v>0</v>
      </c>
      <c r="K9496"/>
    </row>
    <row r="9497" spans="1:11" ht="15.6" thickBot="1" x14ac:dyDescent="0.35">
      <c r="A9497" s="405"/>
      <c r="B9497" s="405"/>
      <c r="C9497" s="405"/>
      <c r="D9497" s="405"/>
      <c r="E9497" s="405" t="s">
        <v>1049</v>
      </c>
      <c r="F9497" s="406">
        <v>0</v>
      </c>
      <c r="G9497" s="405"/>
      <c r="H9497" s="606"/>
      <c r="I9497" s="606" t="s">
        <v>1050</v>
      </c>
      <c r="J9497" s="406">
        <v>75.540000000000006</v>
      </c>
      <c r="K9497"/>
    </row>
    <row r="9498" spans="1:11" ht="17.399999999999999" customHeight="1" thickTop="1" x14ac:dyDescent="0.3">
      <c r="A9498" s="407"/>
      <c r="B9498" s="407"/>
      <c r="C9498" s="407"/>
      <c r="D9498" s="407"/>
      <c r="E9498" s="407"/>
      <c r="F9498" s="407"/>
      <c r="G9498" s="407"/>
      <c r="H9498" s="407"/>
      <c r="I9498" s="407"/>
      <c r="J9498" s="407"/>
      <c r="K9498"/>
    </row>
    <row r="9499" spans="1:11" ht="15" x14ac:dyDescent="0.3">
      <c r="A9499" s="382"/>
      <c r="B9499" s="312" t="s">
        <v>413</v>
      </c>
      <c r="C9499" s="382" t="s">
        <v>414</v>
      </c>
      <c r="D9499" s="382" t="s">
        <v>415</v>
      </c>
      <c r="E9499" s="586" t="s">
        <v>1029</v>
      </c>
      <c r="F9499" s="586"/>
      <c r="G9499" s="383" t="s">
        <v>416</v>
      </c>
      <c r="H9499" s="312" t="s">
        <v>1030</v>
      </c>
      <c r="I9499" s="312" t="s">
        <v>3016</v>
      </c>
      <c r="J9499" s="312" t="s">
        <v>1031</v>
      </c>
      <c r="K9499" s="312" t="s">
        <v>1032</v>
      </c>
    </row>
    <row r="9500" spans="1:11" ht="39.6" x14ac:dyDescent="0.3">
      <c r="A9500" s="313" t="s">
        <v>1033</v>
      </c>
      <c r="B9500" s="315" t="s">
        <v>5231</v>
      </c>
      <c r="C9500" s="313" t="s">
        <v>395</v>
      </c>
      <c r="D9500" s="313" t="s">
        <v>5232</v>
      </c>
      <c r="E9500" s="603" t="s">
        <v>7772</v>
      </c>
      <c r="F9500" s="603"/>
      <c r="G9500" s="314" t="s">
        <v>19</v>
      </c>
      <c r="H9500" s="399">
        <v>1</v>
      </c>
      <c r="I9500" s="316"/>
      <c r="J9500" s="316">
        <v>78.44</v>
      </c>
      <c r="K9500" s="316">
        <v>78.44</v>
      </c>
    </row>
    <row r="9501" spans="1:11" ht="30" customHeight="1" x14ac:dyDescent="0.3">
      <c r="A9501" s="408" t="s">
        <v>1034</v>
      </c>
      <c r="B9501" s="409" t="s">
        <v>8257</v>
      </c>
      <c r="C9501" s="408" t="s">
        <v>395</v>
      </c>
      <c r="D9501" s="408" t="s">
        <v>8258</v>
      </c>
      <c r="E9501" s="604" t="s">
        <v>7768</v>
      </c>
      <c r="F9501" s="604"/>
      <c r="G9501" s="410" t="s">
        <v>6</v>
      </c>
      <c r="H9501" s="412">
        <v>1</v>
      </c>
      <c r="I9501" s="412">
        <v>0</v>
      </c>
      <c r="J9501" s="411">
        <v>39.950000000000003</v>
      </c>
      <c r="K9501" s="411">
        <v>39.950000000000003</v>
      </c>
    </row>
    <row r="9502" spans="1:11" ht="30" customHeight="1" x14ac:dyDescent="0.3">
      <c r="A9502" s="408" t="s">
        <v>1034</v>
      </c>
      <c r="B9502" s="409" t="s">
        <v>8283</v>
      </c>
      <c r="C9502" s="408" t="s">
        <v>395</v>
      </c>
      <c r="D9502" s="408" t="s">
        <v>8284</v>
      </c>
      <c r="E9502" s="604" t="s">
        <v>7946</v>
      </c>
      <c r="F9502" s="604"/>
      <c r="G9502" s="410" t="s">
        <v>6</v>
      </c>
      <c r="H9502" s="412">
        <v>1</v>
      </c>
      <c r="I9502" s="412">
        <v>0</v>
      </c>
      <c r="J9502" s="411">
        <v>30.35</v>
      </c>
      <c r="K9502" s="411">
        <v>30.35</v>
      </c>
    </row>
    <row r="9503" spans="1:11" ht="30" customHeight="1" x14ac:dyDescent="0.3">
      <c r="A9503" s="408" t="s">
        <v>1034</v>
      </c>
      <c r="B9503" s="409" t="s">
        <v>8285</v>
      </c>
      <c r="C9503" s="408" t="s">
        <v>395</v>
      </c>
      <c r="D9503" s="408" t="s">
        <v>8286</v>
      </c>
      <c r="E9503" s="604" t="s">
        <v>7946</v>
      </c>
      <c r="F9503" s="604"/>
      <c r="G9503" s="410" t="s">
        <v>6</v>
      </c>
      <c r="H9503" s="412">
        <v>1</v>
      </c>
      <c r="I9503" s="412">
        <v>0</v>
      </c>
      <c r="J9503" s="411">
        <v>8.14</v>
      </c>
      <c r="K9503" s="411">
        <v>8.14</v>
      </c>
    </row>
    <row r="9504" spans="1:11" ht="15" x14ac:dyDescent="0.3">
      <c r="A9504" s="405"/>
      <c r="B9504" s="405"/>
      <c r="C9504" s="405"/>
      <c r="D9504" s="405"/>
      <c r="E9504" s="405" t="s">
        <v>1046</v>
      </c>
      <c r="F9504" s="406">
        <v>31</v>
      </c>
      <c r="G9504" s="405" t="s">
        <v>1047</v>
      </c>
      <c r="H9504" s="406">
        <v>0</v>
      </c>
      <c r="I9504" s="405" t="s">
        <v>1048</v>
      </c>
      <c r="J9504" s="406">
        <v>31</v>
      </c>
      <c r="K9504"/>
    </row>
    <row r="9505" spans="1:11" ht="15.6" thickBot="1" x14ac:dyDescent="0.35">
      <c r="A9505" s="405"/>
      <c r="B9505" s="405"/>
      <c r="C9505" s="405"/>
      <c r="D9505" s="405"/>
      <c r="E9505" s="405" t="s">
        <v>1049</v>
      </c>
      <c r="F9505" s="406">
        <v>0</v>
      </c>
      <c r="G9505" s="405"/>
      <c r="H9505" s="606"/>
      <c r="I9505" s="606" t="s">
        <v>1050</v>
      </c>
      <c r="J9505" s="406">
        <v>78.44</v>
      </c>
      <c r="K9505"/>
    </row>
    <row r="9506" spans="1:11" ht="17.399999999999999" customHeight="1" thickTop="1" x14ac:dyDescent="0.3">
      <c r="A9506" s="407"/>
      <c r="B9506" s="407"/>
      <c r="C9506" s="407"/>
      <c r="D9506" s="407"/>
      <c r="E9506" s="407"/>
      <c r="F9506" s="407"/>
      <c r="G9506" s="407"/>
      <c r="H9506" s="407"/>
      <c r="I9506" s="407"/>
      <c r="J9506" s="407"/>
      <c r="K9506"/>
    </row>
    <row r="9507" spans="1:11" ht="15" x14ac:dyDescent="0.3">
      <c r="A9507" s="382"/>
      <c r="B9507" s="312" t="s">
        <v>413</v>
      </c>
      <c r="C9507" s="382" t="s">
        <v>414</v>
      </c>
      <c r="D9507" s="382" t="s">
        <v>415</v>
      </c>
      <c r="E9507" s="586" t="s">
        <v>1029</v>
      </c>
      <c r="F9507" s="586"/>
      <c r="G9507" s="383" t="s">
        <v>416</v>
      </c>
      <c r="H9507" s="312" t="s">
        <v>1030</v>
      </c>
      <c r="I9507" s="312" t="s">
        <v>3016</v>
      </c>
      <c r="J9507" s="312" t="s">
        <v>1031</v>
      </c>
      <c r="K9507" s="312" t="s">
        <v>1032</v>
      </c>
    </row>
    <row r="9508" spans="1:11" ht="39.6" x14ac:dyDescent="0.3">
      <c r="A9508" s="313" t="s">
        <v>1033</v>
      </c>
      <c r="B9508" s="315" t="s">
        <v>5233</v>
      </c>
      <c r="C9508" s="313" t="s">
        <v>395</v>
      </c>
      <c r="D9508" s="313" t="s">
        <v>5234</v>
      </c>
      <c r="E9508" s="603" t="s">
        <v>7772</v>
      </c>
      <c r="F9508" s="603"/>
      <c r="G9508" s="314" t="s">
        <v>15</v>
      </c>
      <c r="H9508" s="399">
        <v>1</v>
      </c>
      <c r="I9508" s="316"/>
      <c r="J9508" s="316">
        <v>184.03</v>
      </c>
      <c r="K9508" s="316">
        <v>184.03</v>
      </c>
    </row>
    <row r="9509" spans="1:11" ht="30" customHeight="1" x14ac:dyDescent="0.3">
      <c r="A9509" s="408" t="s">
        <v>1034</v>
      </c>
      <c r="B9509" s="409" t="s">
        <v>8287</v>
      </c>
      <c r="C9509" s="408" t="s">
        <v>395</v>
      </c>
      <c r="D9509" s="408" t="s">
        <v>8288</v>
      </c>
      <c r="E9509" s="604" t="s">
        <v>7946</v>
      </c>
      <c r="F9509" s="604"/>
      <c r="G9509" s="410" t="s">
        <v>6</v>
      </c>
      <c r="H9509" s="412">
        <v>1</v>
      </c>
      <c r="I9509" s="412">
        <v>0</v>
      </c>
      <c r="J9509" s="411">
        <v>67.61</v>
      </c>
      <c r="K9509" s="411">
        <v>67.61</v>
      </c>
    </row>
    <row r="9510" spans="1:11" ht="30" customHeight="1" x14ac:dyDescent="0.3">
      <c r="A9510" s="408" t="s">
        <v>1034</v>
      </c>
      <c r="B9510" s="409" t="s">
        <v>8289</v>
      </c>
      <c r="C9510" s="408" t="s">
        <v>395</v>
      </c>
      <c r="D9510" s="408" t="s">
        <v>8290</v>
      </c>
      <c r="E9510" s="604" t="s">
        <v>7946</v>
      </c>
      <c r="F9510" s="604"/>
      <c r="G9510" s="410" t="s">
        <v>6</v>
      </c>
      <c r="H9510" s="412">
        <v>1</v>
      </c>
      <c r="I9510" s="412">
        <v>0</v>
      </c>
      <c r="J9510" s="411">
        <v>37.979999999999997</v>
      </c>
      <c r="K9510" s="411">
        <v>37.979999999999997</v>
      </c>
    </row>
    <row r="9511" spans="1:11" ht="30" customHeight="1" x14ac:dyDescent="0.3">
      <c r="A9511" s="408" t="s">
        <v>1034</v>
      </c>
      <c r="B9511" s="409" t="s">
        <v>8257</v>
      </c>
      <c r="C9511" s="408" t="s">
        <v>395</v>
      </c>
      <c r="D9511" s="408" t="s">
        <v>8258</v>
      </c>
      <c r="E9511" s="604" t="s">
        <v>7768</v>
      </c>
      <c r="F9511" s="604"/>
      <c r="G9511" s="410" t="s">
        <v>6</v>
      </c>
      <c r="H9511" s="412">
        <v>1</v>
      </c>
      <c r="I9511" s="412">
        <v>0</v>
      </c>
      <c r="J9511" s="411">
        <v>39.950000000000003</v>
      </c>
      <c r="K9511" s="411">
        <v>39.950000000000003</v>
      </c>
    </row>
    <row r="9512" spans="1:11" ht="39.6" x14ac:dyDescent="0.3">
      <c r="A9512" s="408" t="s">
        <v>1034</v>
      </c>
      <c r="B9512" s="409" t="s">
        <v>8283</v>
      </c>
      <c r="C9512" s="408" t="s">
        <v>395</v>
      </c>
      <c r="D9512" s="408" t="s">
        <v>8284</v>
      </c>
      <c r="E9512" s="604" t="s">
        <v>7946</v>
      </c>
      <c r="F9512" s="604"/>
      <c r="G9512" s="410" t="s">
        <v>6</v>
      </c>
      <c r="H9512" s="412">
        <v>1</v>
      </c>
      <c r="I9512" s="412">
        <v>0</v>
      </c>
      <c r="J9512" s="411">
        <v>30.35</v>
      </c>
      <c r="K9512" s="411">
        <v>30.35</v>
      </c>
    </row>
    <row r="9513" spans="1:11" ht="17.399999999999999" customHeight="1" x14ac:dyDescent="0.3">
      <c r="A9513" s="408" t="s">
        <v>1034</v>
      </c>
      <c r="B9513" s="409" t="s">
        <v>8285</v>
      </c>
      <c r="C9513" s="408" t="s">
        <v>395</v>
      </c>
      <c r="D9513" s="408" t="s">
        <v>8286</v>
      </c>
      <c r="E9513" s="604" t="s">
        <v>7946</v>
      </c>
      <c r="F9513" s="604"/>
      <c r="G9513" s="410" t="s">
        <v>6</v>
      </c>
      <c r="H9513" s="412">
        <v>1</v>
      </c>
      <c r="I9513" s="412">
        <v>0</v>
      </c>
      <c r="J9513" s="411">
        <v>8.14</v>
      </c>
      <c r="K9513" s="411">
        <v>8.14</v>
      </c>
    </row>
    <row r="9514" spans="1:11" ht="15" x14ac:dyDescent="0.3">
      <c r="A9514" s="405"/>
      <c r="B9514" s="405"/>
      <c r="C9514" s="405"/>
      <c r="D9514" s="405"/>
      <c r="E9514" s="405" t="s">
        <v>1046</v>
      </c>
      <c r="F9514" s="406">
        <v>31</v>
      </c>
      <c r="G9514" s="405" t="s">
        <v>1047</v>
      </c>
      <c r="H9514" s="406">
        <v>0</v>
      </c>
      <c r="I9514" s="405" t="s">
        <v>1048</v>
      </c>
      <c r="J9514" s="406">
        <v>31</v>
      </c>
      <c r="K9514"/>
    </row>
    <row r="9515" spans="1:11" ht="15.6" thickBot="1" x14ac:dyDescent="0.35">
      <c r="A9515" s="405"/>
      <c r="B9515" s="405"/>
      <c r="C9515" s="405"/>
      <c r="D9515" s="405"/>
      <c r="E9515" s="405" t="s">
        <v>1049</v>
      </c>
      <c r="F9515" s="406">
        <v>0</v>
      </c>
      <c r="G9515" s="405"/>
      <c r="H9515" s="606"/>
      <c r="I9515" s="606" t="s">
        <v>1050</v>
      </c>
      <c r="J9515" s="406">
        <v>184.03</v>
      </c>
      <c r="K9515"/>
    </row>
    <row r="9516" spans="1:11" ht="30" customHeight="1" thickTop="1" x14ac:dyDescent="0.3">
      <c r="A9516" s="407"/>
      <c r="B9516" s="407"/>
      <c r="C9516" s="407"/>
      <c r="D9516" s="407"/>
      <c r="E9516" s="407"/>
      <c r="F9516" s="407"/>
      <c r="G9516" s="407"/>
      <c r="H9516" s="407"/>
      <c r="I9516" s="407"/>
      <c r="J9516" s="407"/>
      <c r="K9516"/>
    </row>
    <row r="9517" spans="1:11" ht="30" customHeight="1" x14ac:dyDescent="0.3">
      <c r="A9517" s="382"/>
      <c r="B9517" s="312" t="s">
        <v>413</v>
      </c>
      <c r="C9517" s="382" t="s">
        <v>414</v>
      </c>
      <c r="D9517" s="382" t="s">
        <v>415</v>
      </c>
      <c r="E9517" s="586" t="s">
        <v>1029</v>
      </c>
      <c r="F9517" s="586"/>
      <c r="G9517" s="383" t="s">
        <v>416</v>
      </c>
      <c r="H9517" s="312" t="s">
        <v>1030</v>
      </c>
      <c r="I9517" s="312" t="s">
        <v>3016</v>
      </c>
      <c r="J9517" s="312" t="s">
        <v>1031</v>
      </c>
      <c r="K9517" s="312" t="s">
        <v>1032</v>
      </c>
    </row>
    <row r="9518" spans="1:11" ht="30" customHeight="1" x14ac:dyDescent="0.3">
      <c r="A9518" s="313" t="s">
        <v>1033</v>
      </c>
      <c r="B9518" s="315" t="s">
        <v>8283</v>
      </c>
      <c r="C9518" s="313" t="s">
        <v>395</v>
      </c>
      <c r="D9518" s="313" t="s">
        <v>8284</v>
      </c>
      <c r="E9518" s="603" t="s">
        <v>7946</v>
      </c>
      <c r="F9518" s="603"/>
      <c r="G9518" s="314" t="s">
        <v>6</v>
      </c>
      <c r="H9518" s="399">
        <v>1</v>
      </c>
      <c r="I9518" s="316"/>
      <c r="J9518" s="316">
        <v>30.35</v>
      </c>
      <c r="K9518" s="316">
        <v>30.35</v>
      </c>
    </row>
    <row r="9519" spans="1:11" ht="39.6" x14ac:dyDescent="0.3">
      <c r="A9519" s="400" t="s">
        <v>1038</v>
      </c>
      <c r="B9519" s="401" t="s">
        <v>4931</v>
      </c>
      <c r="C9519" s="400" t="s">
        <v>395</v>
      </c>
      <c r="D9519" s="400" t="s">
        <v>4932</v>
      </c>
      <c r="E9519" s="605" t="s">
        <v>1317</v>
      </c>
      <c r="F9519" s="605"/>
      <c r="G9519" s="402" t="s">
        <v>4</v>
      </c>
      <c r="H9519" s="403">
        <v>5.3300000000000001E-5</v>
      </c>
      <c r="I9519" s="403">
        <v>0</v>
      </c>
      <c r="J9519" s="404">
        <v>569472.64</v>
      </c>
      <c r="K9519" s="404">
        <v>30.352891700000001</v>
      </c>
    </row>
    <row r="9520" spans="1:11" ht="15" x14ac:dyDescent="0.3">
      <c r="A9520" s="405"/>
      <c r="B9520" s="405"/>
      <c r="C9520" s="405"/>
      <c r="D9520" s="405"/>
      <c r="E9520" s="405" t="s">
        <v>1046</v>
      </c>
      <c r="F9520" s="406">
        <v>0</v>
      </c>
      <c r="G9520" s="405" t="s">
        <v>1047</v>
      </c>
      <c r="H9520" s="406">
        <v>0</v>
      </c>
      <c r="I9520" s="405" t="s">
        <v>1048</v>
      </c>
      <c r="J9520" s="406">
        <v>0</v>
      </c>
      <c r="K9520"/>
    </row>
    <row r="9521" spans="1:11" ht="17.399999999999999" customHeight="1" thickBot="1" x14ac:dyDescent="0.35">
      <c r="A9521" s="405"/>
      <c r="B9521" s="405"/>
      <c r="C9521" s="405"/>
      <c r="D9521" s="405"/>
      <c r="E9521" s="405" t="s">
        <v>1049</v>
      </c>
      <c r="F9521" s="406">
        <v>0</v>
      </c>
      <c r="G9521" s="405"/>
      <c r="H9521" s="606"/>
      <c r="I9521" s="606" t="s">
        <v>1050</v>
      </c>
      <c r="J9521" s="406">
        <v>30.35</v>
      </c>
      <c r="K9521"/>
    </row>
    <row r="9522" spans="1:11" ht="15.6" thickTop="1" x14ac:dyDescent="0.3">
      <c r="A9522" s="407"/>
      <c r="B9522" s="407"/>
      <c r="C9522" s="407"/>
      <c r="D9522" s="407"/>
      <c r="E9522" s="407"/>
      <c r="F9522" s="407"/>
      <c r="G9522" s="407"/>
      <c r="H9522" s="407"/>
      <c r="I9522" s="407"/>
      <c r="J9522" s="407"/>
      <c r="K9522"/>
    </row>
    <row r="9523" spans="1:11" ht="15" x14ac:dyDescent="0.3">
      <c r="A9523" s="382"/>
      <c r="B9523" s="312" t="s">
        <v>413</v>
      </c>
      <c r="C9523" s="382" t="s">
        <v>414</v>
      </c>
      <c r="D9523" s="382" t="s">
        <v>415</v>
      </c>
      <c r="E9523" s="586" t="s">
        <v>1029</v>
      </c>
      <c r="F9523" s="586"/>
      <c r="G9523" s="383" t="s">
        <v>416</v>
      </c>
      <c r="H9523" s="312" t="s">
        <v>1030</v>
      </c>
      <c r="I9523" s="312" t="s">
        <v>3016</v>
      </c>
      <c r="J9523" s="312" t="s">
        <v>1031</v>
      </c>
      <c r="K9523" s="312" t="s">
        <v>1032</v>
      </c>
    </row>
    <row r="9524" spans="1:11" ht="30" customHeight="1" x14ac:dyDescent="0.3">
      <c r="A9524" s="313" t="s">
        <v>1033</v>
      </c>
      <c r="B9524" s="315" t="s">
        <v>8285</v>
      </c>
      <c r="C9524" s="313" t="s">
        <v>395</v>
      </c>
      <c r="D9524" s="313" t="s">
        <v>8286</v>
      </c>
      <c r="E9524" s="603" t="s">
        <v>7946</v>
      </c>
      <c r="F9524" s="603"/>
      <c r="G9524" s="314" t="s">
        <v>6</v>
      </c>
      <c r="H9524" s="399">
        <v>1</v>
      </c>
      <c r="I9524" s="316"/>
      <c r="J9524" s="316">
        <v>8.14</v>
      </c>
      <c r="K9524" s="316">
        <v>8.14</v>
      </c>
    </row>
    <row r="9525" spans="1:11" ht="30" customHeight="1" x14ac:dyDescent="0.3">
      <c r="A9525" s="400" t="s">
        <v>1038</v>
      </c>
      <c r="B9525" s="401" t="s">
        <v>4931</v>
      </c>
      <c r="C9525" s="400" t="s">
        <v>395</v>
      </c>
      <c r="D9525" s="400" t="s">
        <v>4932</v>
      </c>
      <c r="E9525" s="605" t="s">
        <v>1317</v>
      </c>
      <c r="F9525" s="605"/>
      <c r="G9525" s="402" t="s">
        <v>4</v>
      </c>
      <c r="H9525" s="403">
        <v>1.43E-5</v>
      </c>
      <c r="I9525" s="403">
        <v>0</v>
      </c>
      <c r="J9525" s="404">
        <v>569472.64</v>
      </c>
      <c r="K9525" s="404">
        <v>8.1434587999999994</v>
      </c>
    </row>
    <row r="9526" spans="1:11" ht="30" customHeight="1" x14ac:dyDescent="0.3">
      <c r="A9526" s="405"/>
      <c r="B9526" s="405"/>
      <c r="C9526" s="405"/>
      <c r="D9526" s="405"/>
      <c r="E9526" s="405" t="s">
        <v>1046</v>
      </c>
      <c r="F9526" s="406">
        <v>0</v>
      </c>
      <c r="G9526" s="405" t="s">
        <v>1047</v>
      </c>
      <c r="H9526" s="406">
        <v>0</v>
      </c>
      <c r="I9526" s="405" t="s">
        <v>1048</v>
      </c>
      <c r="J9526" s="406">
        <v>0</v>
      </c>
      <c r="K9526"/>
    </row>
    <row r="9527" spans="1:11" ht="15.6" thickBot="1" x14ac:dyDescent="0.35">
      <c r="A9527" s="405"/>
      <c r="B9527" s="405"/>
      <c r="C9527" s="405"/>
      <c r="D9527" s="405"/>
      <c r="E9527" s="405" t="s">
        <v>1049</v>
      </c>
      <c r="F9527" s="406">
        <v>0</v>
      </c>
      <c r="G9527" s="405"/>
      <c r="H9527" s="606"/>
      <c r="I9527" s="606" t="s">
        <v>1050</v>
      </c>
      <c r="J9527" s="406">
        <v>8.14</v>
      </c>
      <c r="K9527"/>
    </row>
    <row r="9528" spans="1:11" ht="15.6" thickTop="1" x14ac:dyDescent="0.3">
      <c r="A9528" s="407"/>
      <c r="B9528" s="407"/>
      <c r="C9528" s="407"/>
      <c r="D9528" s="407"/>
      <c r="E9528" s="407"/>
      <c r="F9528" s="407"/>
      <c r="G9528" s="407"/>
      <c r="H9528" s="407"/>
      <c r="I9528" s="407"/>
      <c r="J9528" s="407"/>
      <c r="K9528"/>
    </row>
    <row r="9529" spans="1:11" ht="15" x14ac:dyDescent="0.3">
      <c r="A9529" s="382"/>
      <c r="B9529" s="312" t="s">
        <v>413</v>
      </c>
      <c r="C9529" s="382" t="s">
        <v>414</v>
      </c>
      <c r="D9529" s="382" t="s">
        <v>415</v>
      </c>
      <c r="E9529" s="586" t="s">
        <v>1029</v>
      </c>
      <c r="F9529" s="586"/>
      <c r="G9529" s="383" t="s">
        <v>416</v>
      </c>
      <c r="H9529" s="312" t="s">
        <v>1030</v>
      </c>
      <c r="I9529" s="312" t="s">
        <v>3016</v>
      </c>
      <c r="J9529" s="312" t="s">
        <v>1031</v>
      </c>
      <c r="K9529" s="312" t="s">
        <v>1032</v>
      </c>
    </row>
    <row r="9530" spans="1:11" ht="17.399999999999999" customHeight="1" x14ac:dyDescent="0.3">
      <c r="A9530" s="313" t="s">
        <v>1033</v>
      </c>
      <c r="B9530" s="315" t="s">
        <v>8289</v>
      </c>
      <c r="C9530" s="313" t="s">
        <v>395</v>
      </c>
      <c r="D9530" s="313" t="s">
        <v>8290</v>
      </c>
      <c r="E9530" s="603" t="s">
        <v>7946</v>
      </c>
      <c r="F9530" s="603"/>
      <c r="G9530" s="314" t="s">
        <v>6</v>
      </c>
      <c r="H9530" s="399">
        <v>1</v>
      </c>
      <c r="I9530" s="316"/>
      <c r="J9530" s="316">
        <v>37.979999999999997</v>
      </c>
      <c r="K9530" s="316">
        <v>37.979999999999997</v>
      </c>
    </row>
    <row r="9531" spans="1:11" ht="39.6" x14ac:dyDescent="0.3">
      <c r="A9531" s="400" t="s">
        <v>1038</v>
      </c>
      <c r="B9531" s="401" t="s">
        <v>4931</v>
      </c>
      <c r="C9531" s="400" t="s">
        <v>395</v>
      </c>
      <c r="D9531" s="400" t="s">
        <v>4932</v>
      </c>
      <c r="E9531" s="605" t="s">
        <v>1317</v>
      </c>
      <c r="F9531" s="605"/>
      <c r="G9531" s="402" t="s">
        <v>4</v>
      </c>
      <c r="H9531" s="403">
        <v>6.6699999999999995E-5</v>
      </c>
      <c r="I9531" s="403">
        <v>0</v>
      </c>
      <c r="J9531" s="404">
        <v>569472.64</v>
      </c>
      <c r="K9531" s="404">
        <v>37.983825099999997</v>
      </c>
    </row>
    <row r="9532" spans="1:11" ht="15" x14ac:dyDescent="0.3">
      <c r="A9532" s="405"/>
      <c r="B9532" s="405"/>
      <c r="C9532" s="405"/>
      <c r="D9532" s="405"/>
      <c r="E9532" s="405" t="s">
        <v>1046</v>
      </c>
      <c r="F9532" s="406">
        <v>0</v>
      </c>
      <c r="G9532" s="405" t="s">
        <v>1047</v>
      </c>
      <c r="H9532" s="406">
        <v>0</v>
      </c>
      <c r="I9532" s="405" t="s">
        <v>1048</v>
      </c>
      <c r="J9532" s="406">
        <v>0</v>
      </c>
      <c r="K9532"/>
    </row>
    <row r="9533" spans="1:11" ht="15.6" thickBot="1" x14ac:dyDescent="0.35">
      <c r="A9533" s="405"/>
      <c r="B9533" s="405"/>
      <c r="C9533" s="405"/>
      <c r="D9533" s="405"/>
      <c r="E9533" s="405" t="s">
        <v>1049</v>
      </c>
      <c r="F9533" s="406">
        <v>0</v>
      </c>
      <c r="G9533" s="405"/>
      <c r="H9533" s="606"/>
      <c r="I9533" s="606" t="s">
        <v>1050</v>
      </c>
      <c r="J9533" s="406">
        <v>37.979999999999997</v>
      </c>
      <c r="K9533"/>
    </row>
    <row r="9534" spans="1:11" ht="30" customHeight="1" thickTop="1" x14ac:dyDescent="0.3">
      <c r="A9534" s="407"/>
      <c r="B9534" s="407"/>
      <c r="C9534" s="407"/>
      <c r="D9534" s="407"/>
      <c r="E9534" s="407"/>
      <c r="F9534" s="407"/>
      <c r="G9534" s="407"/>
      <c r="H9534" s="407"/>
      <c r="I9534" s="407"/>
      <c r="J9534" s="407"/>
      <c r="K9534"/>
    </row>
    <row r="9535" spans="1:11" ht="30" customHeight="1" x14ac:dyDescent="0.3">
      <c r="A9535" s="382"/>
      <c r="B9535" s="312" t="s">
        <v>413</v>
      </c>
      <c r="C9535" s="382" t="s">
        <v>414</v>
      </c>
      <c r="D9535" s="382" t="s">
        <v>415</v>
      </c>
      <c r="E9535" s="586" t="s">
        <v>1029</v>
      </c>
      <c r="F9535" s="586"/>
      <c r="G9535" s="383" t="s">
        <v>416</v>
      </c>
      <c r="H9535" s="312" t="s">
        <v>1030</v>
      </c>
      <c r="I9535" s="312" t="s">
        <v>3016</v>
      </c>
      <c r="J9535" s="312" t="s">
        <v>1031</v>
      </c>
      <c r="K9535" s="312" t="s">
        <v>1032</v>
      </c>
    </row>
    <row r="9536" spans="1:11" ht="30" customHeight="1" x14ac:dyDescent="0.3">
      <c r="A9536" s="313" t="s">
        <v>1033</v>
      </c>
      <c r="B9536" s="315" t="s">
        <v>8287</v>
      </c>
      <c r="C9536" s="313" t="s">
        <v>395</v>
      </c>
      <c r="D9536" s="313" t="s">
        <v>8288</v>
      </c>
      <c r="E9536" s="603" t="s">
        <v>7946</v>
      </c>
      <c r="F9536" s="603"/>
      <c r="G9536" s="314" t="s">
        <v>6</v>
      </c>
      <c r="H9536" s="399">
        <v>1</v>
      </c>
      <c r="I9536" s="316"/>
      <c r="J9536" s="316">
        <v>67.61</v>
      </c>
      <c r="K9536" s="316">
        <v>67.61</v>
      </c>
    </row>
    <row r="9537" spans="1:11" ht="30" customHeight="1" x14ac:dyDescent="0.3">
      <c r="A9537" s="400" t="s">
        <v>1038</v>
      </c>
      <c r="B9537" s="401" t="s">
        <v>4383</v>
      </c>
      <c r="C9537" s="400" t="s">
        <v>395</v>
      </c>
      <c r="D9537" s="400" t="s">
        <v>4384</v>
      </c>
      <c r="E9537" s="605" t="s">
        <v>1039</v>
      </c>
      <c r="F9537" s="605"/>
      <c r="G9537" s="402" t="s">
        <v>8</v>
      </c>
      <c r="H9537" s="403">
        <v>9.5500000000000007</v>
      </c>
      <c r="I9537" s="403">
        <v>0</v>
      </c>
      <c r="J9537" s="404">
        <v>7.08</v>
      </c>
      <c r="K9537" s="404">
        <v>67.614000000000004</v>
      </c>
    </row>
    <row r="9538" spans="1:11" ht="15" x14ac:dyDescent="0.3">
      <c r="A9538" s="405"/>
      <c r="B9538" s="405"/>
      <c r="C9538" s="405"/>
      <c r="D9538" s="405"/>
      <c r="E9538" s="405" t="s">
        <v>1046</v>
      </c>
      <c r="F9538" s="406">
        <v>0</v>
      </c>
      <c r="G9538" s="405" t="s">
        <v>1047</v>
      </c>
      <c r="H9538" s="406">
        <v>0</v>
      </c>
      <c r="I9538" s="405" t="s">
        <v>1048</v>
      </c>
      <c r="J9538" s="406">
        <v>0</v>
      </c>
      <c r="K9538"/>
    </row>
    <row r="9539" spans="1:11" ht="15.6" thickBot="1" x14ac:dyDescent="0.35">
      <c r="A9539" s="405"/>
      <c r="B9539" s="405"/>
      <c r="C9539" s="405"/>
      <c r="D9539" s="405"/>
      <c r="E9539" s="405" t="s">
        <v>1049</v>
      </c>
      <c r="F9539" s="406">
        <v>0</v>
      </c>
      <c r="G9539" s="405"/>
      <c r="H9539" s="606"/>
      <c r="I9539" s="606" t="s">
        <v>1050</v>
      </c>
      <c r="J9539" s="406">
        <v>67.61</v>
      </c>
      <c r="K9539"/>
    </row>
    <row r="9540" spans="1:11" ht="15.6" thickTop="1" x14ac:dyDescent="0.3">
      <c r="A9540" s="407"/>
      <c r="B9540" s="407"/>
      <c r="C9540" s="407"/>
      <c r="D9540" s="407"/>
      <c r="E9540" s="407"/>
      <c r="F9540" s="407"/>
      <c r="G9540" s="407"/>
      <c r="H9540" s="407"/>
      <c r="I9540" s="407"/>
      <c r="J9540" s="407"/>
      <c r="K9540"/>
    </row>
    <row r="9541" spans="1:11" ht="17.399999999999999" customHeight="1" x14ac:dyDescent="0.3">
      <c r="A9541" s="382"/>
      <c r="B9541" s="312" t="s">
        <v>413</v>
      </c>
      <c r="C9541" s="382" t="s">
        <v>414</v>
      </c>
      <c r="D9541" s="382" t="s">
        <v>415</v>
      </c>
      <c r="E9541" s="586" t="s">
        <v>1029</v>
      </c>
      <c r="F9541" s="586"/>
      <c r="G9541" s="383" t="s">
        <v>416</v>
      </c>
      <c r="H9541" s="312" t="s">
        <v>1030</v>
      </c>
      <c r="I9541" s="312" t="s">
        <v>3016</v>
      </c>
      <c r="J9541" s="312" t="s">
        <v>1031</v>
      </c>
      <c r="K9541" s="312" t="s">
        <v>1032</v>
      </c>
    </row>
    <row r="9542" spans="1:11" ht="39.6" x14ac:dyDescent="0.3">
      <c r="A9542" s="313" t="s">
        <v>1033</v>
      </c>
      <c r="B9542" s="315" t="s">
        <v>5219</v>
      </c>
      <c r="C9542" s="313" t="s">
        <v>395</v>
      </c>
      <c r="D9542" s="313" t="s">
        <v>5220</v>
      </c>
      <c r="E9542" s="603" t="s">
        <v>7772</v>
      </c>
      <c r="F9542" s="603"/>
      <c r="G9542" s="314" t="s">
        <v>19</v>
      </c>
      <c r="H9542" s="399">
        <v>1</v>
      </c>
      <c r="I9542" s="316"/>
      <c r="J9542" s="316">
        <v>80.040000000000006</v>
      </c>
      <c r="K9542" s="316">
        <v>80.040000000000006</v>
      </c>
    </row>
    <row r="9543" spans="1:11" ht="39.6" x14ac:dyDescent="0.3">
      <c r="A9543" s="408" t="s">
        <v>1034</v>
      </c>
      <c r="B9543" s="409" t="s">
        <v>8291</v>
      </c>
      <c r="C9543" s="408" t="s">
        <v>395</v>
      </c>
      <c r="D9543" s="408" t="s">
        <v>8292</v>
      </c>
      <c r="E9543" s="604" t="s">
        <v>7946</v>
      </c>
      <c r="F9543" s="604"/>
      <c r="G9543" s="410" t="s">
        <v>6</v>
      </c>
      <c r="H9543" s="412">
        <v>1</v>
      </c>
      <c r="I9543" s="412">
        <v>0</v>
      </c>
      <c r="J9543" s="411">
        <v>31.56</v>
      </c>
      <c r="K9543" s="411">
        <v>31.56</v>
      </c>
    </row>
    <row r="9544" spans="1:11" ht="30" customHeight="1" x14ac:dyDescent="0.3">
      <c r="A9544" s="408" t="s">
        <v>1034</v>
      </c>
      <c r="B9544" s="409" t="s">
        <v>8293</v>
      </c>
      <c r="C9544" s="408" t="s">
        <v>395</v>
      </c>
      <c r="D9544" s="408" t="s">
        <v>8294</v>
      </c>
      <c r="E9544" s="604" t="s">
        <v>7946</v>
      </c>
      <c r="F9544" s="604"/>
      <c r="G9544" s="410" t="s">
        <v>6</v>
      </c>
      <c r="H9544" s="412">
        <v>1</v>
      </c>
      <c r="I9544" s="412">
        <v>0</v>
      </c>
      <c r="J9544" s="411">
        <v>8.5299999999999994</v>
      </c>
      <c r="K9544" s="411">
        <v>8.5299999999999994</v>
      </c>
    </row>
    <row r="9545" spans="1:11" ht="30" customHeight="1" x14ac:dyDescent="0.3">
      <c r="A9545" s="408" t="s">
        <v>1034</v>
      </c>
      <c r="B9545" s="409" t="s">
        <v>8257</v>
      </c>
      <c r="C9545" s="408" t="s">
        <v>395</v>
      </c>
      <c r="D9545" s="408" t="s">
        <v>8258</v>
      </c>
      <c r="E9545" s="604" t="s">
        <v>7768</v>
      </c>
      <c r="F9545" s="604"/>
      <c r="G9545" s="410" t="s">
        <v>6</v>
      </c>
      <c r="H9545" s="412">
        <v>1</v>
      </c>
      <c r="I9545" s="412">
        <v>0</v>
      </c>
      <c r="J9545" s="411">
        <v>39.950000000000003</v>
      </c>
      <c r="K9545" s="411">
        <v>39.950000000000003</v>
      </c>
    </row>
    <row r="9546" spans="1:11" ht="30" customHeight="1" x14ac:dyDescent="0.3">
      <c r="A9546" s="405"/>
      <c r="B9546" s="405"/>
      <c r="C9546" s="405"/>
      <c r="D9546" s="405"/>
      <c r="E9546" s="405" t="s">
        <v>1046</v>
      </c>
      <c r="F9546" s="406">
        <v>31</v>
      </c>
      <c r="G9546" s="405" t="s">
        <v>1047</v>
      </c>
      <c r="H9546" s="406">
        <v>0</v>
      </c>
      <c r="I9546" s="405" t="s">
        <v>1048</v>
      </c>
      <c r="J9546" s="406">
        <v>31</v>
      </c>
      <c r="K9546"/>
    </row>
    <row r="9547" spans="1:11" ht="30" customHeight="1" thickBot="1" x14ac:dyDescent="0.35">
      <c r="A9547" s="405"/>
      <c r="B9547" s="405"/>
      <c r="C9547" s="405"/>
      <c r="D9547" s="405"/>
      <c r="E9547" s="405" t="s">
        <v>1049</v>
      </c>
      <c r="F9547" s="406">
        <v>0</v>
      </c>
      <c r="G9547" s="405"/>
      <c r="H9547" s="606"/>
      <c r="I9547" s="606" t="s">
        <v>1050</v>
      </c>
      <c r="J9547" s="406">
        <v>80.040000000000006</v>
      </c>
      <c r="K9547"/>
    </row>
    <row r="9548" spans="1:11" ht="15.6" thickTop="1" x14ac:dyDescent="0.3">
      <c r="A9548" s="407"/>
      <c r="B9548" s="407"/>
      <c r="C9548" s="407"/>
      <c r="D9548" s="407"/>
      <c r="E9548" s="407"/>
      <c r="F9548" s="407"/>
      <c r="G9548" s="407"/>
      <c r="H9548" s="407"/>
      <c r="I9548" s="407"/>
      <c r="J9548" s="407"/>
      <c r="K9548"/>
    </row>
    <row r="9549" spans="1:11" ht="17.399999999999999" customHeight="1" x14ac:dyDescent="0.3">
      <c r="A9549" s="382"/>
      <c r="B9549" s="312" t="s">
        <v>413</v>
      </c>
      <c r="C9549" s="382" t="s">
        <v>414</v>
      </c>
      <c r="D9549" s="382" t="s">
        <v>415</v>
      </c>
      <c r="E9549" s="586" t="s">
        <v>1029</v>
      </c>
      <c r="F9549" s="586"/>
      <c r="G9549" s="383" t="s">
        <v>416</v>
      </c>
      <c r="H9549" s="312" t="s">
        <v>1030</v>
      </c>
      <c r="I9549" s="312" t="s">
        <v>3016</v>
      </c>
      <c r="J9549" s="312" t="s">
        <v>1031</v>
      </c>
      <c r="K9549" s="312" t="s">
        <v>1032</v>
      </c>
    </row>
    <row r="9550" spans="1:11" ht="39.6" x14ac:dyDescent="0.3">
      <c r="A9550" s="313" t="s">
        <v>1033</v>
      </c>
      <c r="B9550" s="315" t="s">
        <v>5221</v>
      </c>
      <c r="C9550" s="313" t="s">
        <v>395</v>
      </c>
      <c r="D9550" s="313" t="s">
        <v>5222</v>
      </c>
      <c r="E9550" s="603" t="s">
        <v>7772</v>
      </c>
      <c r="F9550" s="603"/>
      <c r="G9550" s="314" t="s">
        <v>15</v>
      </c>
      <c r="H9550" s="399">
        <v>1</v>
      </c>
      <c r="I9550" s="316"/>
      <c r="J9550" s="316">
        <v>187.14</v>
      </c>
      <c r="K9550" s="316">
        <v>187.14</v>
      </c>
    </row>
    <row r="9551" spans="1:11" ht="39.6" x14ac:dyDescent="0.3">
      <c r="A9551" s="408" t="s">
        <v>1034</v>
      </c>
      <c r="B9551" s="409" t="s">
        <v>8295</v>
      </c>
      <c r="C9551" s="408" t="s">
        <v>395</v>
      </c>
      <c r="D9551" s="408" t="s">
        <v>8296</v>
      </c>
      <c r="E9551" s="604" t="s">
        <v>7946</v>
      </c>
      <c r="F9551" s="604"/>
      <c r="G9551" s="410" t="s">
        <v>6</v>
      </c>
      <c r="H9551" s="412">
        <v>1</v>
      </c>
      <c r="I9551" s="412">
        <v>0</v>
      </c>
      <c r="J9551" s="411">
        <v>39.49</v>
      </c>
      <c r="K9551" s="411">
        <v>39.49</v>
      </c>
    </row>
    <row r="9552" spans="1:11" ht="30" customHeight="1" x14ac:dyDescent="0.3">
      <c r="A9552" s="408" t="s">
        <v>1034</v>
      </c>
      <c r="B9552" s="409" t="s">
        <v>8291</v>
      </c>
      <c r="C9552" s="408" t="s">
        <v>395</v>
      </c>
      <c r="D9552" s="408" t="s">
        <v>8292</v>
      </c>
      <c r="E9552" s="604" t="s">
        <v>7946</v>
      </c>
      <c r="F9552" s="604"/>
      <c r="G9552" s="410" t="s">
        <v>6</v>
      </c>
      <c r="H9552" s="412">
        <v>1</v>
      </c>
      <c r="I9552" s="412">
        <v>0</v>
      </c>
      <c r="J9552" s="411">
        <v>31.56</v>
      </c>
      <c r="K9552" s="411">
        <v>31.56</v>
      </c>
    </row>
    <row r="9553" spans="1:11" ht="30" customHeight="1" x14ac:dyDescent="0.3">
      <c r="A9553" s="408" t="s">
        <v>1034</v>
      </c>
      <c r="B9553" s="409" t="s">
        <v>8293</v>
      </c>
      <c r="C9553" s="408" t="s">
        <v>395</v>
      </c>
      <c r="D9553" s="408" t="s">
        <v>8294</v>
      </c>
      <c r="E9553" s="604" t="s">
        <v>7946</v>
      </c>
      <c r="F9553" s="604"/>
      <c r="G9553" s="410" t="s">
        <v>6</v>
      </c>
      <c r="H9553" s="412">
        <v>1</v>
      </c>
      <c r="I9553" s="412">
        <v>0</v>
      </c>
      <c r="J9553" s="411">
        <v>8.5299999999999994</v>
      </c>
      <c r="K9553" s="411">
        <v>8.5299999999999994</v>
      </c>
    </row>
    <row r="9554" spans="1:11" ht="30" customHeight="1" x14ac:dyDescent="0.3">
      <c r="A9554" s="408" t="s">
        <v>1034</v>
      </c>
      <c r="B9554" s="409" t="s">
        <v>8297</v>
      </c>
      <c r="C9554" s="408" t="s">
        <v>395</v>
      </c>
      <c r="D9554" s="408" t="s">
        <v>8298</v>
      </c>
      <c r="E9554" s="604" t="s">
        <v>7946</v>
      </c>
      <c r="F9554" s="604"/>
      <c r="G9554" s="410" t="s">
        <v>6</v>
      </c>
      <c r="H9554" s="412">
        <v>1</v>
      </c>
      <c r="I9554" s="412">
        <v>0</v>
      </c>
      <c r="J9554" s="411">
        <v>67.61</v>
      </c>
      <c r="K9554" s="411">
        <v>67.61</v>
      </c>
    </row>
    <row r="9555" spans="1:11" ht="30" customHeight="1" x14ac:dyDescent="0.3">
      <c r="A9555" s="408" t="s">
        <v>1034</v>
      </c>
      <c r="B9555" s="409" t="s">
        <v>8257</v>
      </c>
      <c r="C9555" s="408" t="s">
        <v>395</v>
      </c>
      <c r="D9555" s="408" t="s">
        <v>8258</v>
      </c>
      <c r="E9555" s="604" t="s">
        <v>7768</v>
      </c>
      <c r="F9555" s="604"/>
      <c r="G9555" s="410" t="s">
        <v>6</v>
      </c>
      <c r="H9555" s="412">
        <v>1</v>
      </c>
      <c r="I9555" s="412">
        <v>0</v>
      </c>
      <c r="J9555" s="411">
        <v>39.950000000000003</v>
      </c>
      <c r="K9555" s="411">
        <v>39.950000000000003</v>
      </c>
    </row>
    <row r="9556" spans="1:11" ht="30" customHeight="1" x14ac:dyDescent="0.3">
      <c r="A9556" s="405"/>
      <c r="B9556" s="405"/>
      <c r="C9556" s="405"/>
      <c r="D9556" s="405"/>
      <c r="E9556" s="405" t="s">
        <v>1046</v>
      </c>
      <c r="F9556" s="406">
        <v>31</v>
      </c>
      <c r="G9556" s="405" t="s">
        <v>1047</v>
      </c>
      <c r="H9556" s="406">
        <v>0</v>
      </c>
      <c r="I9556" s="405" t="s">
        <v>1048</v>
      </c>
      <c r="J9556" s="406">
        <v>31</v>
      </c>
      <c r="K9556"/>
    </row>
    <row r="9557" spans="1:11" ht="30" customHeight="1" thickBot="1" x14ac:dyDescent="0.35">
      <c r="A9557" s="405"/>
      <c r="B9557" s="405"/>
      <c r="C9557" s="405"/>
      <c r="D9557" s="405"/>
      <c r="E9557" s="405" t="s">
        <v>1049</v>
      </c>
      <c r="F9557" s="406">
        <v>0</v>
      </c>
      <c r="G9557" s="405"/>
      <c r="H9557" s="606"/>
      <c r="I9557" s="606" t="s">
        <v>1050</v>
      </c>
      <c r="J9557" s="406">
        <v>187.14</v>
      </c>
      <c r="K9557"/>
    </row>
    <row r="9558" spans="1:11" ht="15.6" thickTop="1" x14ac:dyDescent="0.3">
      <c r="A9558" s="407"/>
      <c r="B9558" s="407"/>
      <c r="C9558" s="407"/>
      <c r="D9558" s="407"/>
      <c r="E9558" s="407"/>
      <c r="F9558" s="407"/>
      <c r="G9558" s="407"/>
      <c r="H9558" s="407"/>
      <c r="I9558" s="407"/>
      <c r="J9558" s="407"/>
      <c r="K9558"/>
    </row>
    <row r="9559" spans="1:11" ht="17.399999999999999" customHeight="1" x14ac:dyDescent="0.3">
      <c r="A9559" s="382"/>
      <c r="B9559" s="312" t="s">
        <v>413</v>
      </c>
      <c r="C9559" s="382" t="s">
        <v>414</v>
      </c>
      <c r="D9559" s="382" t="s">
        <v>415</v>
      </c>
      <c r="E9559" s="586" t="s">
        <v>1029</v>
      </c>
      <c r="F9559" s="586"/>
      <c r="G9559" s="383" t="s">
        <v>416</v>
      </c>
      <c r="H9559" s="312" t="s">
        <v>1030</v>
      </c>
      <c r="I9559" s="312" t="s">
        <v>3016</v>
      </c>
      <c r="J9559" s="312" t="s">
        <v>1031</v>
      </c>
      <c r="K9559" s="312" t="s">
        <v>1032</v>
      </c>
    </row>
    <row r="9560" spans="1:11" ht="39.6" x14ac:dyDescent="0.3">
      <c r="A9560" s="313" t="s">
        <v>1033</v>
      </c>
      <c r="B9560" s="315" t="s">
        <v>8291</v>
      </c>
      <c r="C9560" s="313" t="s">
        <v>395</v>
      </c>
      <c r="D9560" s="313" t="s">
        <v>8292</v>
      </c>
      <c r="E9560" s="603" t="s">
        <v>7946</v>
      </c>
      <c r="F9560" s="603"/>
      <c r="G9560" s="314" t="s">
        <v>6</v>
      </c>
      <c r="H9560" s="399">
        <v>1</v>
      </c>
      <c r="I9560" s="316"/>
      <c r="J9560" s="316">
        <v>31.56</v>
      </c>
      <c r="K9560" s="316">
        <v>31.56</v>
      </c>
    </row>
    <row r="9561" spans="1:11" ht="39.6" x14ac:dyDescent="0.3">
      <c r="A9561" s="400" t="s">
        <v>1038</v>
      </c>
      <c r="B9561" s="401" t="s">
        <v>5013</v>
      </c>
      <c r="C9561" s="400" t="s">
        <v>395</v>
      </c>
      <c r="D9561" s="400" t="s">
        <v>5014</v>
      </c>
      <c r="E9561" s="605" t="s">
        <v>1317</v>
      </c>
      <c r="F9561" s="605"/>
      <c r="G9561" s="402" t="s">
        <v>4</v>
      </c>
      <c r="H9561" s="403">
        <v>5.3300000000000001E-5</v>
      </c>
      <c r="I9561" s="403">
        <v>0</v>
      </c>
      <c r="J9561" s="404">
        <v>592078.81000000006</v>
      </c>
      <c r="K9561" s="404">
        <v>31.5578006</v>
      </c>
    </row>
    <row r="9562" spans="1:11" ht="30" customHeight="1" x14ac:dyDescent="0.3">
      <c r="A9562" s="405"/>
      <c r="B9562" s="405"/>
      <c r="C9562" s="405"/>
      <c r="D9562" s="405"/>
      <c r="E9562" s="405" t="s">
        <v>1046</v>
      </c>
      <c r="F9562" s="406">
        <v>0</v>
      </c>
      <c r="G9562" s="405" t="s">
        <v>1047</v>
      </c>
      <c r="H9562" s="406">
        <v>0</v>
      </c>
      <c r="I9562" s="405" t="s">
        <v>1048</v>
      </c>
      <c r="J9562" s="406">
        <v>0</v>
      </c>
      <c r="K9562"/>
    </row>
    <row r="9563" spans="1:11" ht="15.6" thickBot="1" x14ac:dyDescent="0.35">
      <c r="A9563" s="405"/>
      <c r="B9563" s="405"/>
      <c r="C9563" s="405"/>
      <c r="D9563" s="405"/>
      <c r="E9563" s="405" t="s">
        <v>1049</v>
      </c>
      <c r="F9563" s="406">
        <v>0</v>
      </c>
      <c r="G9563" s="405"/>
      <c r="H9563" s="606"/>
      <c r="I9563" s="606" t="s">
        <v>1050</v>
      </c>
      <c r="J9563" s="406">
        <v>31.56</v>
      </c>
      <c r="K9563"/>
    </row>
    <row r="9564" spans="1:11" ht="15.6" thickTop="1" x14ac:dyDescent="0.3">
      <c r="A9564" s="407"/>
      <c r="B9564" s="407"/>
      <c r="C9564" s="407"/>
      <c r="D9564" s="407"/>
      <c r="E9564" s="407"/>
      <c r="F9564" s="407"/>
      <c r="G9564" s="407"/>
      <c r="H9564" s="407"/>
      <c r="I9564" s="407"/>
      <c r="J9564" s="407"/>
      <c r="K9564"/>
    </row>
    <row r="9565" spans="1:11" ht="17.399999999999999" customHeight="1" x14ac:dyDescent="0.3">
      <c r="A9565" s="382"/>
      <c r="B9565" s="312" t="s">
        <v>413</v>
      </c>
      <c r="C9565" s="382" t="s">
        <v>414</v>
      </c>
      <c r="D9565" s="382" t="s">
        <v>415</v>
      </c>
      <c r="E9565" s="586" t="s">
        <v>1029</v>
      </c>
      <c r="F9565" s="586"/>
      <c r="G9565" s="383" t="s">
        <v>416</v>
      </c>
      <c r="H9565" s="312" t="s">
        <v>1030</v>
      </c>
      <c r="I9565" s="312" t="s">
        <v>3016</v>
      </c>
      <c r="J9565" s="312" t="s">
        <v>1031</v>
      </c>
      <c r="K9565" s="312" t="s">
        <v>1032</v>
      </c>
    </row>
    <row r="9566" spans="1:11" ht="39.6" x14ac:dyDescent="0.3">
      <c r="A9566" s="313" t="s">
        <v>1033</v>
      </c>
      <c r="B9566" s="315" t="s">
        <v>8293</v>
      </c>
      <c r="C9566" s="313" t="s">
        <v>395</v>
      </c>
      <c r="D9566" s="313" t="s">
        <v>8294</v>
      </c>
      <c r="E9566" s="603" t="s">
        <v>7946</v>
      </c>
      <c r="F9566" s="603"/>
      <c r="G9566" s="314" t="s">
        <v>6</v>
      </c>
      <c r="H9566" s="399">
        <v>1</v>
      </c>
      <c r="I9566" s="316"/>
      <c r="J9566" s="316">
        <v>8.5299999999999994</v>
      </c>
      <c r="K9566" s="316">
        <v>8.5299999999999994</v>
      </c>
    </row>
    <row r="9567" spans="1:11" ht="39.6" x14ac:dyDescent="0.3">
      <c r="A9567" s="400" t="s">
        <v>1038</v>
      </c>
      <c r="B9567" s="401" t="s">
        <v>5013</v>
      </c>
      <c r="C9567" s="400" t="s">
        <v>395</v>
      </c>
      <c r="D9567" s="400" t="s">
        <v>5014</v>
      </c>
      <c r="E9567" s="605" t="s">
        <v>1317</v>
      </c>
      <c r="F9567" s="605"/>
      <c r="G9567" s="402" t="s">
        <v>4</v>
      </c>
      <c r="H9567" s="403">
        <v>1.4399999999999999E-5</v>
      </c>
      <c r="I9567" s="403">
        <v>0</v>
      </c>
      <c r="J9567" s="404">
        <v>592078.81000000006</v>
      </c>
      <c r="K9567" s="404">
        <v>8.5259348999999993</v>
      </c>
    </row>
    <row r="9568" spans="1:11" ht="30" customHeight="1" x14ac:dyDescent="0.3">
      <c r="A9568" s="405"/>
      <c r="B9568" s="405"/>
      <c r="C9568" s="405"/>
      <c r="D9568" s="405"/>
      <c r="E9568" s="405" t="s">
        <v>1046</v>
      </c>
      <c r="F9568" s="406">
        <v>0</v>
      </c>
      <c r="G9568" s="405" t="s">
        <v>1047</v>
      </c>
      <c r="H9568" s="406">
        <v>0</v>
      </c>
      <c r="I9568" s="405" t="s">
        <v>1048</v>
      </c>
      <c r="J9568" s="406">
        <v>0</v>
      </c>
      <c r="K9568"/>
    </row>
    <row r="9569" spans="1:11" ht="15.6" thickBot="1" x14ac:dyDescent="0.35">
      <c r="A9569" s="405"/>
      <c r="B9569" s="405"/>
      <c r="C9569" s="405"/>
      <c r="D9569" s="405"/>
      <c r="E9569" s="405" t="s">
        <v>1049</v>
      </c>
      <c r="F9569" s="406">
        <v>0</v>
      </c>
      <c r="G9569" s="405"/>
      <c r="H9569" s="606"/>
      <c r="I9569" s="606" t="s">
        <v>1050</v>
      </c>
      <c r="J9569" s="406">
        <v>8.5299999999999994</v>
      </c>
      <c r="K9569"/>
    </row>
    <row r="9570" spans="1:11" ht="15.6" thickTop="1" x14ac:dyDescent="0.3">
      <c r="A9570" s="407"/>
      <c r="B9570" s="407"/>
      <c r="C9570" s="407"/>
      <c r="D9570" s="407"/>
      <c r="E9570" s="407"/>
      <c r="F9570" s="407"/>
      <c r="G9570" s="407"/>
      <c r="H9570" s="407"/>
      <c r="I9570" s="407"/>
      <c r="J9570" s="407"/>
      <c r="K9570"/>
    </row>
    <row r="9571" spans="1:11" ht="17.399999999999999" customHeight="1" x14ac:dyDescent="0.3">
      <c r="A9571" s="382"/>
      <c r="B9571" s="312" t="s">
        <v>413</v>
      </c>
      <c r="C9571" s="382" t="s">
        <v>414</v>
      </c>
      <c r="D9571" s="382" t="s">
        <v>415</v>
      </c>
      <c r="E9571" s="586" t="s">
        <v>1029</v>
      </c>
      <c r="F9571" s="586"/>
      <c r="G9571" s="383" t="s">
        <v>416</v>
      </c>
      <c r="H9571" s="312" t="s">
        <v>1030</v>
      </c>
      <c r="I9571" s="312" t="s">
        <v>3016</v>
      </c>
      <c r="J9571" s="312" t="s">
        <v>1031</v>
      </c>
      <c r="K9571" s="312" t="s">
        <v>1032</v>
      </c>
    </row>
    <row r="9572" spans="1:11" ht="39.6" x14ac:dyDescent="0.3">
      <c r="A9572" s="313" t="s">
        <v>1033</v>
      </c>
      <c r="B9572" s="315" t="s">
        <v>8295</v>
      </c>
      <c r="C9572" s="313" t="s">
        <v>395</v>
      </c>
      <c r="D9572" s="313" t="s">
        <v>8296</v>
      </c>
      <c r="E9572" s="603" t="s">
        <v>7946</v>
      </c>
      <c r="F9572" s="603"/>
      <c r="G9572" s="314" t="s">
        <v>6</v>
      </c>
      <c r="H9572" s="399">
        <v>1</v>
      </c>
      <c r="I9572" s="316"/>
      <c r="J9572" s="316">
        <v>39.49</v>
      </c>
      <c r="K9572" s="316">
        <v>39.49</v>
      </c>
    </row>
    <row r="9573" spans="1:11" ht="39.6" x14ac:dyDescent="0.3">
      <c r="A9573" s="400" t="s">
        <v>1038</v>
      </c>
      <c r="B9573" s="401" t="s">
        <v>5013</v>
      </c>
      <c r="C9573" s="400" t="s">
        <v>395</v>
      </c>
      <c r="D9573" s="400" t="s">
        <v>5014</v>
      </c>
      <c r="E9573" s="605" t="s">
        <v>1317</v>
      </c>
      <c r="F9573" s="605"/>
      <c r="G9573" s="402" t="s">
        <v>4</v>
      </c>
      <c r="H9573" s="403">
        <v>6.6699999999999995E-5</v>
      </c>
      <c r="I9573" s="403">
        <v>0</v>
      </c>
      <c r="J9573" s="404">
        <v>592078.81000000006</v>
      </c>
      <c r="K9573" s="404">
        <v>39.491656599999999</v>
      </c>
    </row>
    <row r="9574" spans="1:11" ht="30" customHeight="1" x14ac:dyDescent="0.3">
      <c r="A9574" s="405"/>
      <c r="B9574" s="405"/>
      <c r="C9574" s="405"/>
      <c r="D9574" s="405"/>
      <c r="E9574" s="405" t="s">
        <v>1046</v>
      </c>
      <c r="F9574" s="406">
        <v>0</v>
      </c>
      <c r="G9574" s="405" t="s">
        <v>1047</v>
      </c>
      <c r="H9574" s="406">
        <v>0</v>
      </c>
      <c r="I9574" s="405" t="s">
        <v>1048</v>
      </c>
      <c r="J9574" s="406">
        <v>0</v>
      </c>
      <c r="K9574"/>
    </row>
    <row r="9575" spans="1:11" ht="15.6" thickBot="1" x14ac:dyDescent="0.35">
      <c r="A9575" s="405"/>
      <c r="B9575" s="405"/>
      <c r="C9575" s="405"/>
      <c r="D9575" s="405"/>
      <c r="E9575" s="405" t="s">
        <v>1049</v>
      </c>
      <c r="F9575" s="406">
        <v>0</v>
      </c>
      <c r="G9575" s="405"/>
      <c r="H9575" s="606"/>
      <c r="I9575" s="606" t="s">
        <v>1050</v>
      </c>
      <c r="J9575" s="406">
        <v>39.49</v>
      </c>
      <c r="K9575"/>
    </row>
    <row r="9576" spans="1:11" ht="15.6" thickTop="1" x14ac:dyDescent="0.3">
      <c r="A9576" s="407"/>
      <c r="B9576" s="407"/>
      <c r="C9576" s="407"/>
      <c r="D9576" s="407"/>
      <c r="E9576" s="407"/>
      <c r="F9576" s="407"/>
      <c r="G9576" s="407"/>
      <c r="H9576" s="407"/>
      <c r="I9576" s="407"/>
      <c r="J9576" s="407"/>
      <c r="K9576"/>
    </row>
    <row r="9577" spans="1:11" ht="17.399999999999999" customHeight="1" x14ac:dyDescent="0.3">
      <c r="A9577" s="382"/>
      <c r="B9577" s="312" t="s">
        <v>413</v>
      </c>
      <c r="C9577" s="382" t="s">
        <v>414</v>
      </c>
      <c r="D9577" s="382" t="s">
        <v>415</v>
      </c>
      <c r="E9577" s="586" t="s">
        <v>1029</v>
      </c>
      <c r="F9577" s="586"/>
      <c r="G9577" s="383" t="s">
        <v>416</v>
      </c>
      <c r="H9577" s="312" t="s">
        <v>1030</v>
      </c>
      <c r="I9577" s="312" t="s">
        <v>3016</v>
      </c>
      <c r="J9577" s="312" t="s">
        <v>1031</v>
      </c>
      <c r="K9577" s="312" t="s">
        <v>1032</v>
      </c>
    </row>
    <row r="9578" spans="1:11" ht="39.6" x14ac:dyDescent="0.3">
      <c r="A9578" s="313" t="s">
        <v>1033</v>
      </c>
      <c r="B9578" s="315" t="s">
        <v>8297</v>
      </c>
      <c r="C9578" s="313" t="s">
        <v>395</v>
      </c>
      <c r="D9578" s="313" t="s">
        <v>8298</v>
      </c>
      <c r="E9578" s="603" t="s">
        <v>7946</v>
      </c>
      <c r="F9578" s="603"/>
      <c r="G9578" s="314" t="s">
        <v>6</v>
      </c>
      <c r="H9578" s="399">
        <v>1</v>
      </c>
      <c r="I9578" s="316"/>
      <c r="J9578" s="316">
        <v>67.61</v>
      </c>
      <c r="K9578" s="316">
        <v>67.61</v>
      </c>
    </row>
    <row r="9579" spans="1:11" ht="15" x14ac:dyDescent="0.3">
      <c r="A9579" s="400" t="s">
        <v>1038</v>
      </c>
      <c r="B9579" s="401" t="s">
        <v>4383</v>
      </c>
      <c r="C9579" s="400" t="s">
        <v>395</v>
      </c>
      <c r="D9579" s="400" t="s">
        <v>4384</v>
      </c>
      <c r="E9579" s="605" t="s">
        <v>1039</v>
      </c>
      <c r="F9579" s="605"/>
      <c r="G9579" s="402" t="s">
        <v>8</v>
      </c>
      <c r="H9579" s="403">
        <v>9.5500000000000007</v>
      </c>
      <c r="I9579" s="403">
        <v>0</v>
      </c>
      <c r="J9579" s="404">
        <v>7.08</v>
      </c>
      <c r="K9579" s="404">
        <v>67.614000000000004</v>
      </c>
    </row>
    <row r="9580" spans="1:11" ht="30" customHeight="1" x14ac:dyDescent="0.3">
      <c r="A9580" s="405"/>
      <c r="B9580" s="405"/>
      <c r="C9580" s="405"/>
      <c r="D9580" s="405"/>
      <c r="E9580" s="405" t="s">
        <v>1046</v>
      </c>
      <c r="F9580" s="406">
        <v>0</v>
      </c>
      <c r="G9580" s="405" t="s">
        <v>1047</v>
      </c>
      <c r="H9580" s="406">
        <v>0</v>
      </c>
      <c r="I9580" s="405" t="s">
        <v>1048</v>
      </c>
      <c r="J9580" s="406">
        <v>0</v>
      </c>
      <c r="K9580"/>
    </row>
    <row r="9581" spans="1:11" ht="15.6" thickBot="1" x14ac:dyDescent="0.35">
      <c r="A9581" s="405"/>
      <c r="B9581" s="405"/>
      <c r="C9581" s="405"/>
      <c r="D9581" s="405"/>
      <c r="E9581" s="405" t="s">
        <v>1049</v>
      </c>
      <c r="F9581" s="406">
        <v>0</v>
      </c>
      <c r="G9581" s="405"/>
      <c r="H9581" s="606"/>
      <c r="I9581" s="606" t="s">
        <v>1050</v>
      </c>
      <c r="J9581" s="406">
        <v>67.61</v>
      </c>
      <c r="K9581"/>
    </row>
    <row r="9582" spans="1:11" ht="15.6" thickTop="1" x14ac:dyDescent="0.3">
      <c r="A9582" s="407"/>
      <c r="B9582" s="407"/>
      <c r="C9582" s="407"/>
      <c r="D9582" s="407"/>
      <c r="E9582" s="407"/>
      <c r="F9582" s="407"/>
      <c r="G9582" s="407"/>
      <c r="H9582" s="407"/>
      <c r="I9582" s="407"/>
      <c r="J9582" s="407"/>
      <c r="K9582"/>
    </row>
    <row r="9583" spans="1:11" ht="17.399999999999999" customHeight="1" x14ac:dyDescent="0.3">
      <c r="A9583" s="382"/>
      <c r="B9583" s="312" t="s">
        <v>413</v>
      </c>
      <c r="C9583" s="382" t="s">
        <v>414</v>
      </c>
      <c r="D9583" s="382" t="s">
        <v>415</v>
      </c>
      <c r="E9583" s="586" t="s">
        <v>1029</v>
      </c>
      <c r="F9583" s="586"/>
      <c r="G9583" s="383" t="s">
        <v>416</v>
      </c>
      <c r="H9583" s="312" t="s">
        <v>1030</v>
      </c>
      <c r="I9583" s="312" t="s">
        <v>3016</v>
      </c>
      <c r="J9583" s="312" t="s">
        <v>1031</v>
      </c>
      <c r="K9583" s="312" t="s">
        <v>1032</v>
      </c>
    </row>
    <row r="9584" spans="1:11" ht="26.4" x14ac:dyDescent="0.3">
      <c r="A9584" s="313" t="s">
        <v>1033</v>
      </c>
      <c r="B9584" s="315" t="s">
        <v>5132</v>
      </c>
      <c r="C9584" s="313" t="s">
        <v>395</v>
      </c>
      <c r="D9584" s="313" t="s">
        <v>5133</v>
      </c>
      <c r="E9584" s="603" t="s">
        <v>7772</v>
      </c>
      <c r="F9584" s="603"/>
      <c r="G9584" s="314" t="s">
        <v>19</v>
      </c>
      <c r="H9584" s="399">
        <v>1</v>
      </c>
      <c r="I9584" s="316"/>
      <c r="J9584" s="316">
        <v>42.49</v>
      </c>
      <c r="K9584" s="316">
        <v>42.49</v>
      </c>
    </row>
    <row r="9585" spans="1:11" ht="26.4" x14ac:dyDescent="0.3">
      <c r="A9585" s="408" t="s">
        <v>1034</v>
      </c>
      <c r="B9585" s="409" t="s">
        <v>1538</v>
      </c>
      <c r="C9585" s="408" t="s">
        <v>395</v>
      </c>
      <c r="D9585" s="408" t="s">
        <v>141</v>
      </c>
      <c r="E9585" s="604" t="s">
        <v>7768</v>
      </c>
      <c r="F9585" s="604"/>
      <c r="G9585" s="410" t="s">
        <v>6</v>
      </c>
      <c r="H9585" s="412">
        <v>1</v>
      </c>
      <c r="I9585" s="412">
        <v>0</v>
      </c>
      <c r="J9585" s="411">
        <v>42.37</v>
      </c>
      <c r="K9585" s="411">
        <v>42.37</v>
      </c>
    </row>
    <row r="9586" spans="1:11" ht="15" customHeight="1" x14ac:dyDescent="0.3">
      <c r="A9586" s="408" t="s">
        <v>1034</v>
      </c>
      <c r="B9586" s="409" t="s">
        <v>8299</v>
      </c>
      <c r="C9586" s="408" t="s">
        <v>395</v>
      </c>
      <c r="D9586" s="408" t="s">
        <v>8300</v>
      </c>
      <c r="E9586" s="604" t="s">
        <v>7946</v>
      </c>
      <c r="F9586" s="604"/>
      <c r="G9586" s="410" t="s">
        <v>6</v>
      </c>
      <c r="H9586" s="412">
        <v>1</v>
      </c>
      <c r="I9586" s="412">
        <v>0</v>
      </c>
      <c r="J9586" s="411">
        <v>0.1</v>
      </c>
      <c r="K9586" s="411">
        <v>0.1</v>
      </c>
    </row>
    <row r="9587" spans="1:11" ht="30" customHeight="1" x14ac:dyDescent="0.3">
      <c r="A9587" s="408" t="s">
        <v>1034</v>
      </c>
      <c r="B9587" s="409" t="s">
        <v>8301</v>
      </c>
      <c r="C9587" s="408" t="s">
        <v>395</v>
      </c>
      <c r="D9587" s="408" t="s">
        <v>8302</v>
      </c>
      <c r="E9587" s="604" t="s">
        <v>7946</v>
      </c>
      <c r="F9587" s="604"/>
      <c r="G9587" s="410" t="s">
        <v>6</v>
      </c>
      <c r="H9587" s="412">
        <v>1</v>
      </c>
      <c r="I9587" s="412">
        <v>0</v>
      </c>
      <c r="J9587" s="411">
        <v>0.02</v>
      </c>
      <c r="K9587" s="411">
        <v>0.02</v>
      </c>
    </row>
    <row r="9588" spans="1:11" ht="15" x14ac:dyDescent="0.3">
      <c r="A9588" s="405"/>
      <c r="B9588" s="405"/>
      <c r="C9588" s="405"/>
      <c r="D9588" s="405"/>
      <c r="E9588" s="405" t="s">
        <v>1046</v>
      </c>
      <c r="F9588" s="406">
        <v>33.42</v>
      </c>
      <c r="G9588" s="405" t="s">
        <v>1047</v>
      </c>
      <c r="H9588" s="406">
        <v>0</v>
      </c>
      <c r="I9588" s="405" t="s">
        <v>1048</v>
      </c>
      <c r="J9588" s="406">
        <v>33.42</v>
      </c>
      <c r="K9588"/>
    </row>
    <row r="9589" spans="1:11" ht="15.6" thickBot="1" x14ac:dyDescent="0.35">
      <c r="A9589" s="405"/>
      <c r="B9589" s="405"/>
      <c r="C9589" s="405"/>
      <c r="D9589" s="405"/>
      <c r="E9589" s="405" t="s">
        <v>1049</v>
      </c>
      <c r="F9589" s="406">
        <v>0</v>
      </c>
      <c r="G9589" s="405"/>
      <c r="H9589" s="606"/>
      <c r="I9589" s="606" t="s">
        <v>1050</v>
      </c>
      <c r="J9589" s="406">
        <v>42.49</v>
      </c>
      <c r="K9589"/>
    </row>
    <row r="9590" spans="1:11" ht="15.6" thickTop="1" x14ac:dyDescent="0.3">
      <c r="A9590" s="407"/>
      <c r="B9590" s="407"/>
      <c r="C9590" s="407"/>
      <c r="D9590" s="407"/>
      <c r="E9590" s="407"/>
      <c r="F9590" s="407"/>
      <c r="G9590" s="407"/>
      <c r="H9590" s="407"/>
      <c r="I9590" s="407"/>
      <c r="J9590" s="407"/>
      <c r="K9590"/>
    </row>
    <row r="9591" spans="1:11" ht="15" x14ac:dyDescent="0.3">
      <c r="A9591" s="382"/>
      <c r="B9591" s="312" t="s">
        <v>413</v>
      </c>
      <c r="C9591" s="382" t="s">
        <v>414</v>
      </c>
      <c r="D9591" s="382" t="s">
        <v>415</v>
      </c>
      <c r="E9591" s="586" t="s">
        <v>1029</v>
      </c>
      <c r="F9591" s="586"/>
      <c r="G9591" s="383" t="s">
        <v>416</v>
      </c>
      <c r="H9591" s="312" t="s">
        <v>1030</v>
      </c>
      <c r="I9591" s="312" t="s">
        <v>3016</v>
      </c>
      <c r="J9591" s="312" t="s">
        <v>1031</v>
      </c>
      <c r="K9591" s="312" t="s">
        <v>1032</v>
      </c>
    </row>
    <row r="9592" spans="1:11" ht="26.4" x14ac:dyDescent="0.3">
      <c r="A9592" s="313" t="s">
        <v>1033</v>
      </c>
      <c r="B9592" s="315" t="s">
        <v>5130</v>
      </c>
      <c r="C9592" s="313" t="s">
        <v>395</v>
      </c>
      <c r="D9592" s="313" t="s">
        <v>5131</v>
      </c>
      <c r="E9592" s="603" t="s">
        <v>7772</v>
      </c>
      <c r="F9592" s="603"/>
      <c r="G9592" s="314" t="s">
        <v>15</v>
      </c>
      <c r="H9592" s="399">
        <v>1</v>
      </c>
      <c r="I9592" s="316"/>
      <c r="J9592" s="316">
        <v>44.3</v>
      </c>
      <c r="K9592" s="316">
        <v>44.3</v>
      </c>
    </row>
    <row r="9593" spans="1:11" ht="26.4" x14ac:dyDescent="0.3">
      <c r="A9593" s="408" t="s">
        <v>1034</v>
      </c>
      <c r="B9593" s="409" t="s">
        <v>1538</v>
      </c>
      <c r="C9593" s="408" t="s">
        <v>395</v>
      </c>
      <c r="D9593" s="408" t="s">
        <v>141</v>
      </c>
      <c r="E9593" s="604" t="s">
        <v>7768</v>
      </c>
      <c r="F9593" s="604"/>
      <c r="G9593" s="410" t="s">
        <v>6</v>
      </c>
      <c r="H9593" s="412">
        <v>1</v>
      </c>
      <c r="I9593" s="412">
        <v>0</v>
      </c>
      <c r="J9593" s="411">
        <v>42.37</v>
      </c>
      <c r="K9593" s="411">
        <v>42.37</v>
      </c>
    </row>
    <row r="9594" spans="1:11" ht="26.4" x14ac:dyDescent="0.3">
      <c r="A9594" s="408" t="s">
        <v>1034</v>
      </c>
      <c r="B9594" s="409" t="s">
        <v>8299</v>
      </c>
      <c r="C9594" s="408" t="s">
        <v>395</v>
      </c>
      <c r="D9594" s="408" t="s">
        <v>8300</v>
      </c>
      <c r="E9594" s="604" t="s">
        <v>7946</v>
      </c>
      <c r="F9594" s="604"/>
      <c r="G9594" s="410" t="s">
        <v>6</v>
      </c>
      <c r="H9594" s="412">
        <v>1</v>
      </c>
      <c r="I9594" s="412">
        <v>0</v>
      </c>
      <c r="J9594" s="411">
        <v>0.1</v>
      </c>
      <c r="K9594" s="411">
        <v>0.1</v>
      </c>
    </row>
    <row r="9595" spans="1:11" ht="26.4" x14ac:dyDescent="0.3">
      <c r="A9595" s="408" t="s">
        <v>1034</v>
      </c>
      <c r="B9595" s="409" t="s">
        <v>8301</v>
      </c>
      <c r="C9595" s="408" t="s">
        <v>395</v>
      </c>
      <c r="D9595" s="408" t="s">
        <v>8302</v>
      </c>
      <c r="E9595" s="604" t="s">
        <v>7946</v>
      </c>
      <c r="F9595" s="604"/>
      <c r="G9595" s="410" t="s">
        <v>6</v>
      </c>
      <c r="H9595" s="412">
        <v>1</v>
      </c>
      <c r="I9595" s="412">
        <v>0</v>
      </c>
      <c r="J9595" s="411">
        <v>0.02</v>
      </c>
      <c r="K9595" s="411">
        <v>0.02</v>
      </c>
    </row>
    <row r="9596" spans="1:11" ht="17.399999999999999" customHeight="1" x14ac:dyDescent="0.3">
      <c r="A9596" s="408" t="s">
        <v>1034</v>
      </c>
      <c r="B9596" s="409" t="s">
        <v>8303</v>
      </c>
      <c r="C9596" s="408" t="s">
        <v>395</v>
      </c>
      <c r="D9596" s="408" t="s">
        <v>8304</v>
      </c>
      <c r="E9596" s="604" t="s">
        <v>7946</v>
      </c>
      <c r="F9596" s="604"/>
      <c r="G9596" s="410" t="s">
        <v>6</v>
      </c>
      <c r="H9596" s="412">
        <v>1</v>
      </c>
      <c r="I9596" s="412">
        <v>0</v>
      </c>
      <c r="J9596" s="411">
        <v>7.0000000000000007E-2</v>
      </c>
      <c r="K9596" s="411">
        <v>7.0000000000000007E-2</v>
      </c>
    </row>
    <row r="9597" spans="1:11" ht="39.6" x14ac:dyDescent="0.3">
      <c r="A9597" s="408" t="s">
        <v>1034</v>
      </c>
      <c r="B9597" s="409" t="s">
        <v>8305</v>
      </c>
      <c r="C9597" s="408" t="s">
        <v>395</v>
      </c>
      <c r="D9597" s="408" t="s">
        <v>8306</v>
      </c>
      <c r="E9597" s="604" t="s">
        <v>7946</v>
      </c>
      <c r="F9597" s="604"/>
      <c r="G9597" s="410" t="s">
        <v>6</v>
      </c>
      <c r="H9597" s="412">
        <v>1</v>
      </c>
      <c r="I9597" s="412">
        <v>0</v>
      </c>
      <c r="J9597" s="411">
        <v>1.74</v>
      </c>
      <c r="K9597" s="411">
        <v>1.74</v>
      </c>
    </row>
    <row r="9598" spans="1:11" ht="15" x14ac:dyDescent="0.3">
      <c r="A9598" s="405"/>
      <c r="B9598" s="405"/>
      <c r="C9598" s="405"/>
      <c r="D9598" s="405"/>
      <c r="E9598" s="405" t="s">
        <v>1046</v>
      </c>
      <c r="F9598" s="406">
        <v>33.42</v>
      </c>
      <c r="G9598" s="405" t="s">
        <v>1047</v>
      </c>
      <c r="H9598" s="406">
        <v>0</v>
      </c>
      <c r="I9598" s="405" t="s">
        <v>1048</v>
      </c>
      <c r="J9598" s="406">
        <v>33.42</v>
      </c>
      <c r="K9598"/>
    </row>
    <row r="9599" spans="1:11" ht="30" customHeight="1" thickBot="1" x14ac:dyDescent="0.35">
      <c r="A9599" s="405"/>
      <c r="B9599" s="405"/>
      <c r="C9599" s="405"/>
      <c r="D9599" s="405"/>
      <c r="E9599" s="405" t="s">
        <v>1049</v>
      </c>
      <c r="F9599" s="406">
        <v>0</v>
      </c>
      <c r="G9599" s="405"/>
      <c r="H9599" s="606"/>
      <c r="I9599" s="606" t="s">
        <v>1050</v>
      </c>
      <c r="J9599" s="406">
        <v>44.3</v>
      </c>
      <c r="K9599"/>
    </row>
    <row r="9600" spans="1:11" ht="30" customHeight="1" thickTop="1" x14ac:dyDescent="0.3">
      <c r="A9600" s="407"/>
      <c r="B9600" s="407"/>
      <c r="C9600" s="407"/>
      <c r="D9600" s="407"/>
      <c r="E9600" s="407"/>
      <c r="F9600" s="407"/>
      <c r="G9600" s="407"/>
      <c r="H9600" s="407"/>
      <c r="I9600" s="407"/>
      <c r="J9600" s="407"/>
      <c r="K9600"/>
    </row>
    <row r="9601" spans="1:11" ht="30" customHeight="1" x14ac:dyDescent="0.3">
      <c r="A9601" s="382"/>
      <c r="B9601" s="312" t="s">
        <v>413</v>
      </c>
      <c r="C9601" s="382" t="s">
        <v>414</v>
      </c>
      <c r="D9601" s="382" t="s">
        <v>415</v>
      </c>
      <c r="E9601" s="586" t="s">
        <v>1029</v>
      </c>
      <c r="F9601" s="586"/>
      <c r="G9601" s="383" t="s">
        <v>416</v>
      </c>
      <c r="H9601" s="312" t="s">
        <v>1030</v>
      </c>
      <c r="I9601" s="312" t="s">
        <v>3016</v>
      </c>
      <c r="J9601" s="312" t="s">
        <v>1031</v>
      </c>
      <c r="K9601" s="312" t="s">
        <v>1032</v>
      </c>
    </row>
    <row r="9602" spans="1:11" ht="26.4" x14ac:dyDescent="0.3">
      <c r="A9602" s="313" t="s">
        <v>1033</v>
      </c>
      <c r="B9602" s="315" t="s">
        <v>8299</v>
      </c>
      <c r="C9602" s="313" t="s">
        <v>395</v>
      </c>
      <c r="D9602" s="313" t="s">
        <v>8300</v>
      </c>
      <c r="E9602" s="603" t="s">
        <v>7946</v>
      </c>
      <c r="F9602" s="603"/>
      <c r="G9602" s="314" t="s">
        <v>6</v>
      </c>
      <c r="H9602" s="399">
        <v>1</v>
      </c>
      <c r="I9602" s="316"/>
      <c r="J9602" s="316">
        <v>0.1</v>
      </c>
      <c r="K9602" s="316">
        <v>0.1</v>
      </c>
    </row>
    <row r="9603" spans="1:11" ht="26.4" x14ac:dyDescent="0.3">
      <c r="A9603" s="400" t="s">
        <v>1038</v>
      </c>
      <c r="B9603" s="401" t="s">
        <v>5041</v>
      </c>
      <c r="C9603" s="400" t="s">
        <v>395</v>
      </c>
      <c r="D9603" s="400" t="s">
        <v>5042</v>
      </c>
      <c r="E9603" s="605" t="s">
        <v>1039</v>
      </c>
      <c r="F9603" s="605"/>
      <c r="G9603" s="402" t="s">
        <v>4</v>
      </c>
      <c r="H9603" s="403">
        <v>7.2000000000000002E-5</v>
      </c>
      <c r="I9603" s="403">
        <v>0</v>
      </c>
      <c r="J9603" s="404">
        <v>1402.34</v>
      </c>
      <c r="K9603" s="404">
        <v>0.1009685</v>
      </c>
    </row>
    <row r="9604" spans="1:11" ht="15" x14ac:dyDescent="0.3">
      <c r="A9604" s="405"/>
      <c r="B9604" s="405"/>
      <c r="C9604" s="405"/>
      <c r="D9604" s="405"/>
      <c r="E9604" s="405" t="s">
        <v>1046</v>
      </c>
      <c r="F9604" s="406">
        <v>0</v>
      </c>
      <c r="G9604" s="405" t="s">
        <v>1047</v>
      </c>
      <c r="H9604" s="406">
        <v>0</v>
      </c>
      <c r="I9604" s="405" t="s">
        <v>1048</v>
      </c>
      <c r="J9604" s="406">
        <v>0</v>
      </c>
      <c r="K9604"/>
    </row>
    <row r="9605" spans="1:11" ht="15.6" thickBot="1" x14ac:dyDescent="0.35">
      <c r="A9605" s="405"/>
      <c r="B9605" s="405"/>
      <c r="C9605" s="405"/>
      <c r="D9605" s="405"/>
      <c r="E9605" s="405" t="s">
        <v>1049</v>
      </c>
      <c r="F9605" s="406">
        <v>0</v>
      </c>
      <c r="G9605" s="405"/>
      <c r="H9605" s="606"/>
      <c r="I9605" s="606" t="s">
        <v>1050</v>
      </c>
      <c r="J9605" s="406">
        <v>0.1</v>
      </c>
      <c r="K9605"/>
    </row>
    <row r="9606" spans="1:11" ht="15.6" thickTop="1" x14ac:dyDescent="0.3">
      <c r="A9606" s="407"/>
      <c r="B9606" s="407"/>
      <c r="C9606" s="407"/>
      <c r="D9606" s="407"/>
      <c r="E9606" s="407"/>
      <c r="F9606" s="407"/>
      <c r="G9606" s="407"/>
      <c r="H9606" s="407"/>
      <c r="I9606" s="407"/>
      <c r="J9606" s="407"/>
      <c r="K9606"/>
    </row>
    <row r="9607" spans="1:11" ht="17.399999999999999" customHeight="1" x14ac:dyDescent="0.3">
      <c r="A9607" s="382"/>
      <c r="B9607" s="312" t="s">
        <v>413</v>
      </c>
      <c r="C9607" s="382" t="s">
        <v>414</v>
      </c>
      <c r="D9607" s="382" t="s">
        <v>415</v>
      </c>
      <c r="E9607" s="586" t="s">
        <v>1029</v>
      </c>
      <c r="F9607" s="586"/>
      <c r="G9607" s="383" t="s">
        <v>416</v>
      </c>
      <c r="H9607" s="312" t="s">
        <v>1030</v>
      </c>
      <c r="I9607" s="312" t="s">
        <v>3016</v>
      </c>
      <c r="J9607" s="312" t="s">
        <v>1031</v>
      </c>
      <c r="K9607" s="312" t="s">
        <v>1032</v>
      </c>
    </row>
    <row r="9608" spans="1:11" ht="26.4" x14ac:dyDescent="0.3">
      <c r="A9608" s="313" t="s">
        <v>1033</v>
      </c>
      <c r="B9608" s="315" t="s">
        <v>8301</v>
      </c>
      <c r="C9608" s="313" t="s">
        <v>395</v>
      </c>
      <c r="D9608" s="313" t="s">
        <v>8302</v>
      </c>
      <c r="E9608" s="603" t="s">
        <v>7946</v>
      </c>
      <c r="F9608" s="603"/>
      <c r="G9608" s="314" t="s">
        <v>6</v>
      </c>
      <c r="H9608" s="399">
        <v>1</v>
      </c>
      <c r="I9608" s="316"/>
      <c r="J9608" s="316">
        <v>0.02</v>
      </c>
      <c r="K9608" s="316">
        <v>0.02</v>
      </c>
    </row>
    <row r="9609" spans="1:11" ht="26.4" x14ac:dyDescent="0.3">
      <c r="A9609" s="400" t="s">
        <v>1038</v>
      </c>
      <c r="B9609" s="401" t="s">
        <v>5041</v>
      </c>
      <c r="C9609" s="400" t="s">
        <v>395</v>
      </c>
      <c r="D9609" s="400" t="s">
        <v>5042</v>
      </c>
      <c r="E9609" s="605" t="s">
        <v>1039</v>
      </c>
      <c r="F9609" s="605"/>
      <c r="G9609" s="402" t="s">
        <v>4</v>
      </c>
      <c r="H9609" s="403">
        <v>1.4800000000000001E-5</v>
      </c>
      <c r="I9609" s="403">
        <v>0</v>
      </c>
      <c r="J9609" s="404">
        <v>1402.34</v>
      </c>
      <c r="K9609" s="404">
        <v>2.0754600000000002E-2</v>
      </c>
    </row>
    <row r="9610" spans="1:11" ht="30" customHeight="1" x14ac:dyDescent="0.3">
      <c r="A9610" s="405"/>
      <c r="B9610" s="405"/>
      <c r="C9610" s="405"/>
      <c r="D9610" s="405"/>
      <c r="E9610" s="405" t="s">
        <v>1046</v>
      </c>
      <c r="F9610" s="406">
        <v>0</v>
      </c>
      <c r="G9610" s="405" t="s">
        <v>1047</v>
      </c>
      <c r="H9610" s="406">
        <v>0</v>
      </c>
      <c r="I9610" s="405" t="s">
        <v>1048</v>
      </c>
      <c r="J9610" s="406">
        <v>0</v>
      </c>
      <c r="K9610"/>
    </row>
    <row r="9611" spans="1:11" ht="30" customHeight="1" thickBot="1" x14ac:dyDescent="0.35">
      <c r="A9611" s="405"/>
      <c r="B9611" s="405"/>
      <c r="C9611" s="405"/>
      <c r="D9611" s="405"/>
      <c r="E9611" s="405" t="s">
        <v>1049</v>
      </c>
      <c r="F9611" s="406">
        <v>0</v>
      </c>
      <c r="G9611" s="405"/>
      <c r="H9611" s="606"/>
      <c r="I9611" s="606" t="s">
        <v>1050</v>
      </c>
      <c r="J9611" s="406">
        <v>0.02</v>
      </c>
      <c r="K9611"/>
    </row>
    <row r="9612" spans="1:11" ht="30" customHeight="1" thickTop="1" x14ac:dyDescent="0.3">
      <c r="A9612" s="407"/>
      <c r="B9612" s="407"/>
      <c r="C9612" s="407"/>
      <c r="D9612" s="407"/>
      <c r="E9612" s="407"/>
      <c r="F9612" s="407"/>
      <c r="G9612" s="407"/>
      <c r="H9612" s="407"/>
      <c r="I9612" s="407"/>
      <c r="J9612" s="407"/>
      <c r="K9612"/>
    </row>
    <row r="9613" spans="1:11" ht="30" customHeight="1" x14ac:dyDescent="0.3">
      <c r="A9613" s="382"/>
      <c r="B9613" s="312" t="s">
        <v>413</v>
      </c>
      <c r="C9613" s="382" t="s">
        <v>414</v>
      </c>
      <c r="D9613" s="382" t="s">
        <v>415</v>
      </c>
      <c r="E9613" s="586" t="s">
        <v>1029</v>
      </c>
      <c r="F9613" s="586"/>
      <c r="G9613" s="383" t="s">
        <v>416</v>
      </c>
      <c r="H9613" s="312" t="s">
        <v>1030</v>
      </c>
      <c r="I9613" s="312" t="s">
        <v>3016</v>
      </c>
      <c r="J9613" s="312" t="s">
        <v>1031</v>
      </c>
      <c r="K9613" s="312" t="s">
        <v>1032</v>
      </c>
    </row>
    <row r="9614" spans="1:11" ht="30" customHeight="1" x14ac:dyDescent="0.3">
      <c r="A9614" s="313" t="s">
        <v>1033</v>
      </c>
      <c r="B9614" s="315" t="s">
        <v>8303</v>
      </c>
      <c r="C9614" s="313" t="s">
        <v>395</v>
      </c>
      <c r="D9614" s="313" t="s">
        <v>8304</v>
      </c>
      <c r="E9614" s="603" t="s">
        <v>7946</v>
      </c>
      <c r="F9614" s="603"/>
      <c r="G9614" s="314" t="s">
        <v>6</v>
      </c>
      <c r="H9614" s="399">
        <v>1</v>
      </c>
      <c r="I9614" s="316"/>
      <c r="J9614" s="316">
        <v>7.0000000000000007E-2</v>
      </c>
      <c r="K9614" s="316">
        <v>7.0000000000000007E-2</v>
      </c>
    </row>
    <row r="9615" spans="1:11" ht="26.4" x14ac:dyDescent="0.3">
      <c r="A9615" s="400" t="s">
        <v>1038</v>
      </c>
      <c r="B9615" s="401" t="s">
        <v>5041</v>
      </c>
      <c r="C9615" s="400" t="s">
        <v>395</v>
      </c>
      <c r="D9615" s="400" t="s">
        <v>5042</v>
      </c>
      <c r="E9615" s="605" t="s">
        <v>1039</v>
      </c>
      <c r="F9615" s="605"/>
      <c r="G9615" s="402" t="s">
        <v>4</v>
      </c>
      <c r="H9615" s="403">
        <v>5.0000000000000002E-5</v>
      </c>
      <c r="I9615" s="403">
        <v>0</v>
      </c>
      <c r="J9615" s="404">
        <v>1402.34</v>
      </c>
      <c r="K9615" s="404">
        <v>7.0116999999999999E-2</v>
      </c>
    </row>
    <row r="9616" spans="1:11" ht="17.399999999999999" customHeight="1" x14ac:dyDescent="0.3">
      <c r="A9616" s="405"/>
      <c r="B9616" s="405"/>
      <c r="C9616" s="405"/>
      <c r="D9616" s="405"/>
      <c r="E9616" s="405" t="s">
        <v>1046</v>
      </c>
      <c r="F9616" s="406">
        <v>0</v>
      </c>
      <c r="G9616" s="405" t="s">
        <v>1047</v>
      </c>
      <c r="H9616" s="406">
        <v>0</v>
      </c>
      <c r="I9616" s="405" t="s">
        <v>1048</v>
      </c>
      <c r="J9616" s="406">
        <v>0</v>
      </c>
      <c r="K9616"/>
    </row>
    <row r="9617" spans="1:11" ht="15.6" thickBot="1" x14ac:dyDescent="0.35">
      <c r="A9617" s="405"/>
      <c r="B9617" s="405"/>
      <c r="C9617" s="405"/>
      <c r="D9617" s="405"/>
      <c r="E9617" s="405" t="s">
        <v>1049</v>
      </c>
      <c r="F9617" s="406">
        <v>0</v>
      </c>
      <c r="G9617" s="405"/>
      <c r="H9617" s="606"/>
      <c r="I9617" s="606" t="s">
        <v>1050</v>
      </c>
      <c r="J9617" s="406">
        <v>7.0000000000000007E-2</v>
      </c>
      <c r="K9617"/>
    </row>
    <row r="9618" spans="1:11" ht="15.6" thickTop="1" x14ac:dyDescent="0.3">
      <c r="A9618" s="407"/>
      <c r="B9618" s="407"/>
      <c r="C9618" s="407"/>
      <c r="D9618" s="407"/>
      <c r="E9618" s="407"/>
      <c r="F9618" s="407"/>
      <c r="G9618" s="407"/>
      <c r="H9618" s="407"/>
      <c r="I9618" s="407"/>
      <c r="J9618" s="407"/>
      <c r="K9618"/>
    </row>
    <row r="9619" spans="1:11" ht="30" customHeight="1" x14ac:dyDescent="0.3">
      <c r="A9619" s="382"/>
      <c r="B9619" s="312" t="s">
        <v>413</v>
      </c>
      <c r="C9619" s="382" t="s">
        <v>414</v>
      </c>
      <c r="D9619" s="382" t="s">
        <v>415</v>
      </c>
      <c r="E9619" s="586" t="s">
        <v>1029</v>
      </c>
      <c r="F9619" s="586"/>
      <c r="G9619" s="383" t="s">
        <v>416</v>
      </c>
      <c r="H9619" s="312" t="s">
        <v>1030</v>
      </c>
      <c r="I9619" s="312" t="s">
        <v>3016</v>
      </c>
      <c r="J9619" s="312" t="s">
        <v>1031</v>
      </c>
      <c r="K9619" s="312" t="s">
        <v>1032</v>
      </c>
    </row>
    <row r="9620" spans="1:11" ht="30" customHeight="1" x14ac:dyDescent="0.3">
      <c r="A9620" s="313" t="s">
        <v>1033</v>
      </c>
      <c r="B9620" s="315" t="s">
        <v>8305</v>
      </c>
      <c r="C9620" s="313" t="s">
        <v>395</v>
      </c>
      <c r="D9620" s="313" t="s">
        <v>8306</v>
      </c>
      <c r="E9620" s="603" t="s">
        <v>7946</v>
      </c>
      <c r="F9620" s="603"/>
      <c r="G9620" s="314" t="s">
        <v>6</v>
      </c>
      <c r="H9620" s="399">
        <v>1</v>
      </c>
      <c r="I9620" s="316"/>
      <c r="J9620" s="316">
        <v>1.74</v>
      </c>
      <c r="K9620" s="316">
        <v>1.74</v>
      </c>
    </row>
    <row r="9621" spans="1:11" ht="30" customHeight="1" x14ac:dyDescent="0.3">
      <c r="A9621" s="400" t="s">
        <v>1038</v>
      </c>
      <c r="B9621" s="401" t="s">
        <v>4620</v>
      </c>
      <c r="C9621" s="400" t="s">
        <v>395</v>
      </c>
      <c r="D9621" s="400" t="s">
        <v>4621</v>
      </c>
      <c r="E9621" s="605" t="s">
        <v>1039</v>
      </c>
      <c r="F9621" s="605"/>
      <c r="G9621" s="402" t="s">
        <v>4622</v>
      </c>
      <c r="H9621" s="403">
        <v>1.36</v>
      </c>
      <c r="I9621" s="403">
        <v>0</v>
      </c>
      <c r="J9621" s="404">
        <v>1.28</v>
      </c>
      <c r="K9621" s="404">
        <v>1.7407999999999999</v>
      </c>
    </row>
    <row r="9622" spans="1:11" ht="30" customHeight="1" x14ac:dyDescent="0.3">
      <c r="A9622" s="405"/>
      <c r="B9622" s="405"/>
      <c r="C9622" s="405"/>
      <c r="D9622" s="405"/>
      <c r="E9622" s="405" t="s">
        <v>1046</v>
      </c>
      <c r="F9622" s="406">
        <v>0</v>
      </c>
      <c r="G9622" s="405" t="s">
        <v>1047</v>
      </c>
      <c r="H9622" s="406">
        <v>0</v>
      </c>
      <c r="I9622" s="405" t="s">
        <v>1048</v>
      </c>
      <c r="J9622" s="406">
        <v>0</v>
      </c>
      <c r="K9622"/>
    </row>
    <row r="9623" spans="1:11" ht="30" customHeight="1" thickBot="1" x14ac:dyDescent="0.35">
      <c r="A9623" s="405"/>
      <c r="B9623" s="405"/>
      <c r="C9623" s="405"/>
      <c r="D9623" s="405"/>
      <c r="E9623" s="405" t="s">
        <v>1049</v>
      </c>
      <c r="F9623" s="406">
        <v>0</v>
      </c>
      <c r="G9623" s="405"/>
      <c r="H9623" s="606"/>
      <c r="I9623" s="606" t="s">
        <v>1050</v>
      </c>
      <c r="J9623" s="406">
        <v>1.74</v>
      </c>
      <c r="K9623"/>
    </row>
    <row r="9624" spans="1:11" ht="30" customHeight="1" thickTop="1" x14ac:dyDescent="0.3">
      <c r="A9624" s="407"/>
      <c r="B9624" s="407"/>
      <c r="C9624" s="407"/>
      <c r="D9624" s="407"/>
      <c r="E9624" s="407"/>
      <c r="F9624" s="407"/>
      <c r="G9624" s="407"/>
      <c r="H9624" s="407"/>
      <c r="I9624" s="407"/>
      <c r="J9624" s="407"/>
      <c r="K9624"/>
    </row>
    <row r="9625" spans="1:11" ht="30" customHeight="1" x14ac:dyDescent="0.3">
      <c r="A9625" s="382"/>
      <c r="B9625" s="312" t="s">
        <v>413</v>
      </c>
      <c r="C9625" s="382" t="s">
        <v>414</v>
      </c>
      <c r="D9625" s="382" t="s">
        <v>415</v>
      </c>
      <c r="E9625" s="586" t="s">
        <v>1029</v>
      </c>
      <c r="F9625" s="586"/>
      <c r="G9625" s="383" t="s">
        <v>416</v>
      </c>
      <c r="H9625" s="312" t="s">
        <v>1030</v>
      </c>
      <c r="I9625" s="312" t="s">
        <v>3016</v>
      </c>
      <c r="J9625" s="312" t="s">
        <v>1031</v>
      </c>
      <c r="K9625" s="312" t="s">
        <v>1032</v>
      </c>
    </row>
    <row r="9626" spans="1:11" ht="15" x14ac:dyDescent="0.3">
      <c r="A9626" s="313" t="s">
        <v>1033</v>
      </c>
      <c r="B9626" s="315" t="s">
        <v>1365</v>
      </c>
      <c r="C9626" s="313" t="s">
        <v>395</v>
      </c>
      <c r="D9626" s="313" t="s">
        <v>146</v>
      </c>
      <c r="E9626" s="603" t="s">
        <v>7768</v>
      </c>
      <c r="F9626" s="603"/>
      <c r="G9626" s="314" t="s">
        <v>6</v>
      </c>
      <c r="H9626" s="399">
        <v>1</v>
      </c>
      <c r="I9626" s="316"/>
      <c r="J9626" s="316">
        <v>41.76</v>
      </c>
      <c r="K9626" s="316">
        <v>41.76</v>
      </c>
    </row>
    <row r="9627" spans="1:11" ht="17.399999999999999" customHeight="1" x14ac:dyDescent="0.3">
      <c r="A9627" s="408" t="s">
        <v>1034</v>
      </c>
      <c r="B9627" s="409" t="s">
        <v>8148</v>
      </c>
      <c r="C9627" s="408" t="s">
        <v>395</v>
      </c>
      <c r="D9627" s="408" t="s">
        <v>8149</v>
      </c>
      <c r="E9627" s="604" t="s">
        <v>7768</v>
      </c>
      <c r="F9627" s="604"/>
      <c r="G9627" s="410" t="s">
        <v>6</v>
      </c>
      <c r="H9627" s="412">
        <v>1</v>
      </c>
      <c r="I9627" s="412">
        <v>0</v>
      </c>
      <c r="J9627" s="411">
        <v>0.36</v>
      </c>
      <c r="K9627" s="411">
        <v>0.36</v>
      </c>
    </row>
    <row r="9628" spans="1:11" ht="15" x14ac:dyDescent="0.3">
      <c r="A9628" s="400" t="s">
        <v>1038</v>
      </c>
      <c r="B9628" s="401" t="s">
        <v>4529</v>
      </c>
      <c r="C9628" s="400" t="s">
        <v>395</v>
      </c>
      <c r="D9628" s="400" t="s">
        <v>4530</v>
      </c>
      <c r="E9628" s="605" t="s">
        <v>1053</v>
      </c>
      <c r="F9628" s="605"/>
      <c r="G9628" s="402" t="s">
        <v>6</v>
      </c>
      <c r="H9628" s="403">
        <v>1</v>
      </c>
      <c r="I9628" s="403">
        <v>0</v>
      </c>
      <c r="J9628" s="404">
        <v>31.19</v>
      </c>
      <c r="K9628" s="404">
        <v>31.19</v>
      </c>
    </row>
    <row r="9629" spans="1:11" ht="15" x14ac:dyDescent="0.3">
      <c r="A9629" s="400" t="s">
        <v>1038</v>
      </c>
      <c r="B9629" s="401" t="s">
        <v>4028</v>
      </c>
      <c r="C9629" s="400" t="s">
        <v>395</v>
      </c>
      <c r="D9629" s="400" t="s">
        <v>4029</v>
      </c>
      <c r="E9629" s="605" t="s">
        <v>4030</v>
      </c>
      <c r="F9629" s="605"/>
      <c r="G9629" s="402" t="s">
        <v>6</v>
      </c>
      <c r="H9629" s="403">
        <v>1</v>
      </c>
      <c r="I9629" s="403">
        <v>0</v>
      </c>
      <c r="J9629" s="404">
        <v>4.78</v>
      </c>
      <c r="K9629" s="404">
        <v>4.78</v>
      </c>
    </row>
    <row r="9630" spans="1:11" ht="30" customHeight="1" x14ac:dyDescent="0.3">
      <c r="A9630" s="400" t="s">
        <v>1038</v>
      </c>
      <c r="B9630" s="401" t="s">
        <v>4066</v>
      </c>
      <c r="C9630" s="400" t="s">
        <v>395</v>
      </c>
      <c r="D9630" s="400" t="s">
        <v>4067</v>
      </c>
      <c r="E9630" s="605" t="s">
        <v>2381</v>
      </c>
      <c r="F9630" s="605"/>
      <c r="G9630" s="402" t="s">
        <v>6</v>
      </c>
      <c r="H9630" s="403">
        <v>1</v>
      </c>
      <c r="I9630" s="403">
        <v>0</v>
      </c>
      <c r="J9630" s="404">
        <v>1.72</v>
      </c>
      <c r="K9630" s="404">
        <v>1.72</v>
      </c>
    </row>
    <row r="9631" spans="1:11" ht="15" x14ac:dyDescent="0.3">
      <c r="A9631" s="400" t="s">
        <v>1038</v>
      </c>
      <c r="B9631" s="401" t="s">
        <v>4078</v>
      </c>
      <c r="C9631" s="400" t="s">
        <v>395</v>
      </c>
      <c r="D9631" s="400" t="s">
        <v>4079</v>
      </c>
      <c r="E9631" s="605" t="s">
        <v>4030</v>
      </c>
      <c r="F9631" s="605"/>
      <c r="G9631" s="402" t="s">
        <v>6</v>
      </c>
      <c r="H9631" s="403">
        <v>1</v>
      </c>
      <c r="I9631" s="403">
        <v>0</v>
      </c>
      <c r="J9631" s="404">
        <v>1.25</v>
      </c>
      <c r="K9631" s="404">
        <v>1.25</v>
      </c>
    </row>
    <row r="9632" spans="1:11" ht="15" x14ac:dyDescent="0.3">
      <c r="A9632" s="400" t="s">
        <v>1038</v>
      </c>
      <c r="B9632" s="401" t="s">
        <v>4274</v>
      </c>
      <c r="C9632" s="400" t="s">
        <v>395</v>
      </c>
      <c r="D9632" s="400" t="s">
        <v>4275</v>
      </c>
      <c r="E9632" s="605" t="s">
        <v>2386</v>
      </c>
      <c r="F9632" s="605"/>
      <c r="G9632" s="402" t="s">
        <v>6</v>
      </c>
      <c r="H9632" s="403">
        <v>1</v>
      </c>
      <c r="I9632" s="403">
        <v>0</v>
      </c>
      <c r="J9632" s="404">
        <v>0.11</v>
      </c>
      <c r="K9632" s="404">
        <v>0.11</v>
      </c>
    </row>
    <row r="9633" spans="1:11" ht="17.399999999999999" customHeight="1" x14ac:dyDescent="0.3">
      <c r="A9633" s="400" t="s">
        <v>1038</v>
      </c>
      <c r="B9633" s="401" t="s">
        <v>4268</v>
      </c>
      <c r="C9633" s="400" t="s">
        <v>395</v>
      </c>
      <c r="D9633" s="400" t="s">
        <v>4269</v>
      </c>
      <c r="E9633" s="605" t="s">
        <v>1317</v>
      </c>
      <c r="F9633" s="605"/>
      <c r="G9633" s="402" t="s">
        <v>6</v>
      </c>
      <c r="H9633" s="403">
        <v>1</v>
      </c>
      <c r="I9633" s="403">
        <v>0</v>
      </c>
      <c r="J9633" s="404">
        <v>0.64</v>
      </c>
      <c r="K9633" s="404">
        <v>0.64</v>
      </c>
    </row>
    <row r="9634" spans="1:11" ht="26.4" x14ac:dyDescent="0.3">
      <c r="A9634" s="400" t="s">
        <v>1038</v>
      </c>
      <c r="B9634" s="401" t="s">
        <v>4218</v>
      </c>
      <c r="C9634" s="400" t="s">
        <v>395</v>
      </c>
      <c r="D9634" s="400" t="s">
        <v>4219</v>
      </c>
      <c r="E9634" s="605" t="s">
        <v>1317</v>
      </c>
      <c r="F9634" s="605"/>
      <c r="G9634" s="402" t="s">
        <v>6</v>
      </c>
      <c r="H9634" s="403">
        <v>1</v>
      </c>
      <c r="I9634" s="403">
        <v>0</v>
      </c>
      <c r="J9634" s="404">
        <v>1.71</v>
      </c>
      <c r="K9634" s="404">
        <v>1.71</v>
      </c>
    </row>
    <row r="9635" spans="1:11" ht="15" x14ac:dyDescent="0.3">
      <c r="A9635" s="405"/>
      <c r="B9635" s="405"/>
      <c r="C9635" s="405"/>
      <c r="D9635" s="405"/>
      <c r="E9635" s="405" t="s">
        <v>1046</v>
      </c>
      <c r="F9635" s="406">
        <v>31.55</v>
      </c>
      <c r="G9635" s="405" t="s">
        <v>1047</v>
      </c>
      <c r="H9635" s="406">
        <v>0</v>
      </c>
      <c r="I9635" s="405" t="s">
        <v>1048</v>
      </c>
      <c r="J9635" s="406">
        <v>31.55</v>
      </c>
      <c r="K9635"/>
    </row>
    <row r="9636" spans="1:11" ht="30" customHeight="1" thickBot="1" x14ac:dyDescent="0.35">
      <c r="A9636" s="405"/>
      <c r="B9636" s="405"/>
      <c r="C9636" s="405"/>
      <c r="D9636" s="405"/>
      <c r="E9636" s="405" t="s">
        <v>1049</v>
      </c>
      <c r="F9636" s="406">
        <v>0</v>
      </c>
      <c r="G9636" s="405"/>
      <c r="H9636" s="606"/>
      <c r="I9636" s="606" t="s">
        <v>1050</v>
      </c>
      <c r="J9636" s="406">
        <v>41.76</v>
      </c>
      <c r="K9636"/>
    </row>
    <row r="9637" spans="1:11" ht="15.6" thickTop="1" x14ac:dyDescent="0.3">
      <c r="A9637" s="407"/>
      <c r="B9637" s="407"/>
      <c r="C9637" s="407"/>
      <c r="D9637" s="407"/>
      <c r="E9637" s="407"/>
      <c r="F9637" s="407"/>
      <c r="G9637" s="407"/>
      <c r="H9637" s="407"/>
      <c r="I9637" s="407"/>
      <c r="J9637" s="407"/>
      <c r="K9637"/>
    </row>
    <row r="9638" spans="1:11" ht="15" x14ac:dyDescent="0.3">
      <c r="A9638" s="382"/>
      <c r="B9638" s="312" t="s">
        <v>413</v>
      </c>
      <c r="C9638" s="382" t="s">
        <v>414</v>
      </c>
      <c r="D9638" s="382" t="s">
        <v>415</v>
      </c>
      <c r="E9638" s="586" t="s">
        <v>1029</v>
      </c>
      <c r="F9638" s="586"/>
      <c r="G9638" s="383" t="s">
        <v>416</v>
      </c>
      <c r="H9638" s="312" t="s">
        <v>1030</v>
      </c>
      <c r="I9638" s="312" t="s">
        <v>3016</v>
      </c>
      <c r="J9638" s="312" t="s">
        <v>1031</v>
      </c>
      <c r="K9638" s="312" t="s">
        <v>1032</v>
      </c>
    </row>
    <row r="9639" spans="1:11" ht="17.399999999999999" customHeight="1" x14ac:dyDescent="0.3">
      <c r="A9639" s="313" t="s">
        <v>1033</v>
      </c>
      <c r="B9639" s="315" t="s">
        <v>1290</v>
      </c>
      <c r="C9639" s="313" t="s">
        <v>395</v>
      </c>
      <c r="D9639" s="313" t="s">
        <v>147</v>
      </c>
      <c r="E9639" s="603" t="s">
        <v>7768</v>
      </c>
      <c r="F9639" s="603"/>
      <c r="G9639" s="314" t="s">
        <v>6</v>
      </c>
      <c r="H9639" s="399">
        <v>1</v>
      </c>
      <c r="I9639" s="316"/>
      <c r="J9639" s="316">
        <v>32.82</v>
      </c>
      <c r="K9639" s="316">
        <v>32.82</v>
      </c>
    </row>
    <row r="9640" spans="1:11" ht="26.4" x14ac:dyDescent="0.3">
      <c r="A9640" s="408" t="s">
        <v>1034</v>
      </c>
      <c r="B9640" s="409" t="s">
        <v>8150</v>
      </c>
      <c r="C9640" s="408" t="s">
        <v>395</v>
      </c>
      <c r="D9640" s="408" t="s">
        <v>8151</v>
      </c>
      <c r="E9640" s="604" t="s">
        <v>7768</v>
      </c>
      <c r="F9640" s="604"/>
      <c r="G9640" s="410" t="s">
        <v>6</v>
      </c>
      <c r="H9640" s="412">
        <v>1</v>
      </c>
      <c r="I9640" s="412">
        <v>0</v>
      </c>
      <c r="J9640" s="411">
        <v>0.47</v>
      </c>
      <c r="K9640" s="411">
        <v>0.47</v>
      </c>
    </row>
    <row r="9641" spans="1:11" ht="15" x14ac:dyDescent="0.3">
      <c r="A9641" s="400" t="s">
        <v>1038</v>
      </c>
      <c r="B9641" s="401" t="s">
        <v>1075</v>
      </c>
      <c r="C9641" s="400" t="s">
        <v>395</v>
      </c>
      <c r="D9641" s="400" t="s">
        <v>8694</v>
      </c>
      <c r="E9641" s="605" t="s">
        <v>1053</v>
      </c>
      <c r="F9641" s="605"/>
      <c r="G9641" s="402" t="s">
        <v>6</v>
      </c>
      <c r="H9641" s="403">
        <v>1</v>
      </c>
      <c r="I9641" s="403">
        <v>0</v>
      </c>
      <c r="J9641" s="404">
        <v>22.14</v>
      </c>
      <c r="K9641" s="404">
        <v>22.14</v>
      </c>
    </row>
    <row r="9642" spans="1:11" ht="30" customHeight="1" x14ac:dyDescent="0.3">
      <c r="A9642" s="400" t="s">
        <v>1038</v>
      </c>
      <c r="B9642" s="401" t="s">
        <v>4028</v>
      </c>
      <c r="C9642" s="400" t="s">
        <v>395</v>
      </c>
      <c r="D9642" s="400" t="s">
        <v>4029</v>
      </c>
      <c r="E9642" s="605" t="s">
        <v>4030</v>
      </c>
      <c r="F9642" s="605"/>
      <c r="G9642" s="402" t="s">
        <v>6</v>
      </c>
      <c r="H9642" s="403">
        <v>1</v>
      </c>
      <c r="I9642" s="403">
        <v>0</v>
      </c>
      <c r="J9642" s="404">
        <v>4.78</v>
      </c>
      <c r="K9642" s="404">
        <v>4.78</v>
      </c>
    </row>
    <row r="9643" spans="1:11" ht="15" x14ac:dyDescent="0.3">
      <c r="A9643" s="400" t="s">
        <v>1038</v>
      </c>
      <c r="B9643" s="401" t="s">
        <v>4066</v>
      </c>
      <c r="C9643" s="400" t="s">
        <v>395</v>
      </c>
      <c r="D9643" s="400" t="s">
        <v>4067</v>
      </c>
      <c r="E9643" s="605" t="s">
        <v>2381</v>
      </c>
      <c r="F9643" s="605"/>
      <c r="G9643" s="402" t="s">
        <v>6</v>
      </c>
      <c r="H9643" s="403">
        <v>1</v>
      </c>
      <c r="I9643" s="403">
        <v>0</v>
      </c>
      <c r="J9643" s="404">
        <v>1.72</v>
      </c>
      <c r="K9643" s="404">
        <v>1.72</v>
      </c>
    </row>
    <row r="9644" spans="1:11" ht="15" x14ac:dyDescent="0.3">
      <c r="A9644" s="400" t="s">
        <v>1038</v>
      </c>
      <c r="B9644" s="401" t="s">
        <v>4078</v>
      </c>
      <c r="C9644" s="400" t="s">
        <v>395</v>
      </c>
      <c r="D9644" s="400" t="s">
        <v>4079</v>
      </c>
      <c r="E9644" s="605" t="s">
        <v>4030</v>
      </c>
      <c r="F9644" s="605"/>
      <c r="G9644" s="402" t="s">
        <v>6</v>
      </c>
      <c r="H9644" s="403">
        <v>1</v>
      </c>
      <c r="I9644" s="403">
        <v>0</v>
      </c>
      <c r="J9644" s="404">
        <v>1.25</v>
      </c>
      <c r="K9644" s="404">
        <v>1.25</v>
      </c>
    </row>
    <row r="9645" spans="1:11" ht="17.399999999999999" customHeight="1" x14ac:dyDescent="0.3">
      <c r="A9645" s="400" t="s">
        <v>1038</v>
      </c>
      <c r="B9645" s="401" t="s">
        <v>4274</v>
      </c>
      <c r="C9645" s="400" t="s">
        <v>395</v>
      </c>
      <c r="D9645" s="400" t="s">
        <v>4275</v>
      </c>
      <c r="E9645" s="605" t="s">
        <v>2386</v>
      </c>
      <c r="F9645" s="605"/>
      <c r="G9645" s="402" t="s">
        <v>6</v>
      </c>
      <c r="H9645" s="403">
        <v>1</v>
      </c>
      <c r="I9645" s="403">
        <v>0</v>
      </c>
      <c r="J9645" s="404">
        <v>0.11</v>
      </c>
      <c r="K9645" s="404">
        <v>0.11</v>
      </c>
    </row>
    <row r="9646" spans="1:11" ht="26.4" x14ac:dyDescent="0.3">
      <c r="A9646" s="400" t="s">
        <v>1038</v>
      </c>
      <c r="B9646" s="401" t="s">
        <v>4200</v>
      </c>
      <c r="C9646" s="400" t="s">
        <v>395</v>
      </c>
      <c r="D9646" s="400" t="s">
        <v>4201</v>
      </c>
      <c r="E9646" s="605" t="s">
        <v>1317</v>
      </c>
      <c r="F9646" s="605"/>
      <c r="G9646" s="402" t="s">
        <v>6</v>
      </c>
      <c r="H9646" s="403">
        <v>1</v>
      </c>
      <c r="I9646" s="403">
        <v>0</v>
      </c>
      <c r="J9646" s="404">
        <v>0.56000000000000005</v>
      </c>
      <c r="K9646" s="404">
        <v>0.56000000000000005</v>
      </c>
    </row>
    <row r="9647" spans="1:11" ht="26.4" x14ac:dyDescent="0.3">
      <c r="A9647" s="400" t="s">
        <v>1038</v>
      </c>
      <c r="B9647" s="401" t="s">
        <v>4146</v>
      </c>
      <c r="C9647" s="400" t="s">
        <v>395</v>
      </c>
      <c r="D9647" s="400" t="s">
        <v>4147</v>
      </c>
      <c r="E9647" s="605" t="s">
        <v>1317</v>
      </c>
      <c r="F9647" s="605"/>
      <c r="G9647" s="402" t="s">
        <v>6</v>
      </c>
      <c r="H9647" s="403">
        <v>1</v>
      </c>
      <c r="I9647" s="403">
        <v>0</v>
      </c>
      <c r="J9647" s="404">
        <v>1.79</v>
      </c>
      <c r="K9647" s="404">
        <v>1.79</v>
      </c>
    </row>
    <row r="9648" spans="1:11" ht="30" customHeight="1" x14ac:dyDescent="0.3">
      <c r="A9648" s="405"/>
      <c r="B9648" s="405"/>
      <c r="C9648" s="405"/>
      <c r="D9648" s="405"/>
      <c r="E9648" s="405" t="s">
        <v>1046</v>
      </c>
      <c r="F9648" s="406">
        <v>22.61</v>
      </c>
      <c r="G9648" s="405" t="s">
        <v>1047</v>
      </c>
      <c r="H9648" s="406">
        <v>0</v>
      </c>
      <c r="I9648" s="405" t="s">
        <v>1048</v>
      </c>
      <c r="J9648" s="406">
        <v>22.61</v>
      </c>
      <c r="K9648"/>
    </row>
    <row r="9649" spans="1:11" ht="15.6" thickBot="1" x14ac:dyDescent="0.35">
      <c r="A9649" s="405"/>
      <c r="B9649" s="405"/>
      <c r="C9649" s="405"/>
      <c r="D9649" s="405"/>
      <c r="E9649" s="405" t="s">
        <v>1049</v>
      </c>
      <c r="F9649" s="406">
        <v>0</v>
      </c>
      <c r="G9649" s="405"/>
      <c r="H9649" s="606"/>
      <c r="I9649" s="606" t="s">
        <v>1050</v>
      </c>
      <c r="J9649" s="406">
        <v>32.82</v>
      </c>
      <c r="K9649"/>
    </row>
    <row r="9650" spans="1:11" ht="15.6" thickTop="1" x14ac:dyDescent="0.3">
      <c r="A9650" s="407"/>
      <c r="B9650" s="407"/>
      <c r="C9650" s="407"/>
      <c r="D9650" s="407"/>
      <c r="E9650" s="407"/>
      <c r="F9650" s="407"/>
      <c r="G9650" s="407"/>
      <c r="H9650" s="407"/>
      <c r="I9650" s="407"/>
      <c r="J9650" s="407"/>
      <c r="K9650"/>
    </row>
    <row r="9651" spans="1:11" ht="17.399999999999999" customHeight="1" x14ac:dyDescent="0.3">
      <c r="A9651" s="382"/>
      <c r="B9651" s="312" t="s">
        <v>413</v>
      </c>
      <c r="C9651" s="382" t="s">
        <v>414</v>
      </c>
      <c r="D9651" s="382" t="s">
        <v>415</v>
      </c>
      <c r="E9651" s="586" t="s">
        <v>1029</v>
      </c>
      <c r="F9651" s="586"/>
      <c r="G9651" s="383" t="s">
        <v>416</v>
      </c>
      <c r="H9651" s="312" t="s">
        <v>1030</v>
      </c>
      <c r="I9651" s="312" t="s">
        <v>3016</v>
      </c>
      <c r="J9651" s="312" t="s">
        <v>1031</v>
      </c>
      <c r="K9651" s="312" t="s">
        <v>1032</v>
      </c>
    </row>
    <row r="9652" spans="1:11" ht="15" x14ac:dyDescent="0.3">
      <c r="A9652" s="313" t="s">
        <v>1033</v>
      </c>
      <c r="B9652" s="315" t="s">
        <v>1146</v>
      </c>
      <c r="C9652" s="313" t="s">
        <v>439</v>
      </c>
      <c r="D9652" s="313" t="s">
        <v>147</v>
      </c>
      <c r="E9652" s="603" t="s">
        <v>781</v>
      </c>
      <c r="F9652" s="603"/>
      <c r="G9652" s="314" t="s">
        <v>1109</v>
      </c>
      <c r="H9652" s="399">
        <v>1</v>
      </c>
      <c r="I9652" s="316"/>
      <c r="J9652" s="316">
        <v>24.8</v>
      </c>
      <c r="K9652" s="316">
        <v>24.8</v>
      </c>
    </row>
    <row r="9653" spans="1:11" ht="15" x14ac:dyDescent="0.3">
      <c r="A9653" s="400" t="s">
        <v>1038</v>
      </c>
      <c r="B9653" s="401" t="s">
        <v>7469</v>
      </c>
      <c r="C9653" s="400" t="s">
        <v>439</v>
      </c>
      <c r="D9653" s="400" t="s">
        <v>1466</v>
      </c>
      <c r="E9653" s="605" t="s">
        <v>1053</v>
      </c>
      <c r="F9653" s="605"/>
      <c r="G9653" s="402" t="s">
        <v>6</v>
      </c>
      <c r="H9653" s="403">
        <v>1</v>
      </c>
      <c r="I9653" s="403">
        <v>0</v>
      </c>
      <c r="J9653" s="404">
        <v>17.363199999999999</v>
      </c>
      <c r="K9653" s="404">
        <v>17.363199999999999</v>
      </c>
    </row>
    <row r="9654" spans="1:11" ht="26.4" x14ac:dyDescent="0.3">
      <c r="A9654" s="400" t="s">
        <v>1038</v>
      </c>
      <c r="B9654" s="401" t="s">
        <v>7004</v>
      </c>
      <c r="C9654" s="400" t="s">
        <v>439</v>
      </c>
      <c r="D9654" s="400" t="s">
        <v>4618</v>
      </c>
      <c r="E9654" s="605" t="s">
        <v>1039</v>
      </c>
      <c r="F9654" s="605"/>
      <c r="G9654" s="402" t="s">
        <v>1109</v>
      </c>
      <c r="H9654" s="403">
        <v>1</v>
      </c>
      <c r="I9654" s="403">
        <v>0</v>
      </c>
      <c r="J9654" s="404">
        <v>2.41</v>
      </c>
      <c r="K9654" s="404">
        <v>2.41</v>
      </c>
    </row>
    <row r="9655" spans="1:11" ht="45" customHeight="1" x14ac:dyDescent="0.3">
      <c r="A9655" s="400" t="s">
        <v>1038</v>
      </c>
      <c r="B9655" s="401" t="s">
        <v>7092</v>
      </c>
      <c r="C9655" s="400" t="s">
        <v>439</v>
      </c>
      <c r="D9655" s="400" t="s">
        <v>4716</v>
      </c>
      <c r="E9655" s="605" t="s">
        <v>1039</v>
      </c>
      <c r="F9655" s="605"/>
      <c r="G9655" s="402" t="s">
        <v>1109</v>
      </c>
      <c r="H9655" s="403">
        <v>1</v>
      </c>
      <c r="I9655" s="403">
        <v>0</v>
      </c>
      <c r="J9655" s="404">
        <v>1.57</v>
      </c>
      <c r="K9655" s="404">
        <v>1.57</v>
      </c>
    </row>
    <row r="9656" spans="1:11" ht="45" customHeight="1" x14ac:dyDescent="0.3">
      <c r="A9656" s="400" t="s">
        <v>1038</v>
      </c>
      <c r="B9656" s="401" t="s">
        <v>7598</v>
      </c>
      <c r="C9656" s="400" t="s">
        <v>439</v>
      </c>
      <c r="D9656" s="400" t="s">
        <v>4974</v>
      </c>
      <c r="E9656" s="605" t="s">
        <v>1039</v>
      </c>
      <c r="F9656" s="605"/>
      <c r="G9656" s="402" t="s">
        <v>1109</v>
      </c>
      <c r="H9656" s="403">
        <v>1</v>
      </c>
      <c r="I9656" s="403">
        <v>0</v>
      </c>
      <c r="J9656" s="404">
        <v>0.11</v>
      </c>
      <c r="K9656" s="404">
        <v>0.11</v>
      </c>
    </row>
    <row r="9657" spans="1:11" ht="30" customHeight="1" x14ac:dyDescent="0.3">
      <c r="A9657" s="400" t="s">
        <v>1038</v>
      </c>
      <c r="B9657" s="401" t="s">
        <v>7233</v>
      </c>
      <c r="C9657" s="400" t="s">
        <v>439</v>
      </c>
      <c r="D9657" s="400" t="s">
        <v>4723</v>
      </c>
      <c r="E9657" s="605" t="s">
        <v>1039</v>
      </c>
      <c r="F9657" s="605"/>
      <c r="G9657" s="402" t="s">
        <v>1109</v>
      </c>
      <c r="H9657" s="403">
        <v>1</v>
      </c>
      <c r="I9657" s="403">
        <v>0</v>
      </c>
      <c r="J9657" s="404">
        <v>0.9</v>
      </c>
      <c r="K9657" s="404">
        <v>0.9</v>
      </c>
    </row>
    <row r="9658" spans="1:11" ht="30" customHeight="1" x14ac:dyDescent="0.3">
      <c r="A9658" s="400" t="s">
        <v>1038</v>
      </c>
      <c r="B9658" s="401" t="s">
        <v>5083</v>
      </c>
      <c r="C9658" s="400" t="s">
        <v>439</v>
      </c>
      <c r="D9658" s="400" t="s">
        <v>5084</v>
      </c>
      <c r="E9658" s="605" t="s">
        <v>2381</v>
      </c>
      <c r="F9658" s="605"/>
      <c r="G9658" s="402" t="s">
        <v>1109</v>
      </c>
      <c r="H9658" s="403">
        <v>1</v>
      </c>
      <c r="I9658" s="403">
        <v>0</v>
      </c>
      <c r="J9658" s="404">
        <v>0.28000000000000003</v>
      </c>
      <c r="K9658" s="404">
        <v>0.28000000000000003</v>
      </c>
    </row>
    <row r="9659" spans="1:11" ht="30" customHeight="1" x14ac:dyDescent="0.3">
      <c r="A9659" s="400" t="s">
        <v>1038</v>
      </c>
      <c r="B9659" s="401" t="s">
        <v>5009</v>
      </c>
      <c r="C9659" s="400" t="s">
        <v>439</v>
      </c>
      <c r="D9659" s="400" t="s">
        <v>5010</v>
      </c>
      <c r="E9659" s="605" t="s">
        <v>2381</v>
      </c>
      <c r="F9659" s="605"/>
      <c r="G9659" s="402" t="s">
        <v>1109</v>
      </c>
      <c r="H9659" s="403">
        <v>1</v>
      </c>
      <c r="I9659" s="403">
        <v>0</v>
      </c>
      <c r="J9659" s="404">
        <v>1.46</v>
      </c>
      <c r="K9659" s="404">
        <v>1.46</v>
      </c>
    </row>
    <row r="9660" spans="1:11" ht="30" customHeight="1" x14ac:dyDescent="0.3">
      <c r="A9660" s="400" t="s">
        <v>1038</v>
      </c>
      <c r="B9660" s="401" t="s">
        <v>5053</v>
      </c>
      <c r="C9660" s="400" t="s">
        <v>439</v>
      </c>
      <c r="D9660" s="400" t="s">
        <v>5054</v>
      </c>
      <c r="E9660" s="605" t="s">
        <v>2381</v>
      </c>
      <c r="F9660" s="605"/>
      <c r="G9660" s="402" t="s">
        <v>1109</v>
      </c>
      <c r="H9660" s="403">
        <v>1</v>
      </c>
      <c r="I9660" s="403">
        <v>0</v>
      </c>
      <c r="J9660" s="404">
        <v>0.71</v>
      </c>
      <c r="K9660" s="404">
        <v>0.71</v>
      </c>
    </row>
    <row r="9661" spans="1:11" ht="30" customHeight="1" x14ac:dyDescent="0.3">
      <c r="A9661" s="405"/>
      <c r="B9661" s="405"/>
      <c r="C9661" s="405"/>
      <c r="D9661" s="405"/>
      <c r="E9661" s="405" t="s">
        <v>1046</v>
      </c>
      <c r="F9661" s="406">
        <v>17.36</v>
      </c>
      <c r="G9661" s="405" t="s">
        <v>1047</v>
      </c>
      <c r="H9661" s="406">
        <v>0</v>
      </c>
      <c r="I9661" s="405" t="s">
        <v>1048</v>
      </c>
      <c r="J9661" s="406">
        <v>17.36</v>
      </c>
      <c r="K9661"/>
    </row>
    <row r="9662" spans="1:11" ht="30" customHeight="1" thickBot="1" x14ac:dyDescent="0.35">
      <c r="A9662" s="405"/>
      <c r="B9662" s="405"/>
      <c r="C9662" s="405"/>
      <c r="D9662" s="405"/>
      <c r="E9662" s="405" t="s">
        <v>1049</v>
      </c>
      <c r="F9662" s="406">
        <v>0</v>
      </c>
      <c r="G9662" s="405"/>
      <c r="H9662" s="606"/>
      <c r="I9662" s="606" t="s">
        <v>1050</v>
      </c>
      <c r="J9662" s="406">
        <v>24.8</v>
      </c>
      <c r="K9662"/>
    </row>
    <row r="9663" spans="1:11" ht="15.6" thickTop="1" x14ac:dyDescent="0.3">
      <c r="A9663" s="407"/>
      <c r="B9663" s="407"/>
      <c r="C9663" s="407"/>
      <c r="D9663" s="407"/>
      <c r="E9663" s="407"/>
      <c r="F9663" s="407"/>
      <c r="G9663" s="407"/>
      <c r="H9663" s="407"/>
      <c r="I9663" s="407"/>
      <c r="J9663" s="407"/>
      <c r="K9663"/>
    </row>
    <row r="9664" spans="1:11" ht="15" x14ac:dyDescent="0.3">
      <c r="A9664" s="382"/>
      <c r="B9664" s="312" t="s">
        <v>413</v>
      </c>
      <c r="C9664" s="382" t="s">
        <v>414</v>
      </c>
      <c r="D9664" s="382" t="s">
        <v>415</v>
      </c>
      <c r="E9664" s="586" t="s">
        <v>1029</v>
      </c>
      <c r="F9664" s="586"/>
      <c r="G9664" s="383" t="s">
        <v>416</v>
      </c>
      <c r="H9664" s="312" t="s">
        <v>1030</v>
      </c>
      <c r="I9664" s="312" t="s">
        <v>3016</v>
      </c>
      <c r="J9664" s="312" t="s">
        <v>1031</v>
      </c>
      <c r="K9664" s="312" t="s">
        <v>1032</v>
      </c>
    </row>
    <row r="9665" spans="1:11" ht="26.4" x14ac:dyDescent="0.3">
      <c r="A9665" s="313" t="s">
        <v>1033</v>
      </c>
      <c r="B9665" s="315" t="s">
        <v>7834</v>
      </c>
      <c r="C9665" s="313" t="s">
        <v>395</v>
      </c>
      <c r="D9665" s="313" t="s">
        <v>7835</v>
      </c>
      <c r="E9665" s="603" t="s">
        <v>7836</v>
      </c>
      <c r="F9665" s="603"/>
      <c r="G9665" s="314" t="s">
        <v>7</v>
      </c>
      <c r="H9665" s="399">
        <v>1</v>
      </c>
      <c r="I9665" s="316"/>
      <c r="J9665" s="316">
        <v>104.19</v>
      </c>
      <c r="K9665" s="316">
        <v>104.19</v>
      </c>
    </row>
    <row r="9666" spans="1:11" ht="15" x14ac:dyDescent="0.3">
      <c r="A9666" s="581"/>
      <c r="B9666" s="581"/>
      <c r="C9666" s="581"/>
      <c r="D9666" s="581"/>
      <c r="E9666" s="581"/>
      <c r="F9666" s="581" t="s">
        <v>7961</v>
      </c>
      <c r="G9666" s="581"/>
      <c r="H9666" s="581"/>
      <c r="I9666" s="581"/>
      <c r="J9666" s="413">
        <v>0</v>
      </c>
      <c r="K9666"/>
    </row>
    <row r="9667" spans="1:11" ht="15" x14ac:dyDescent="0.3">
      <c r="A9667" s="581"/>
      <c r="B9667" s="581"/>
      <c r="C9667" s="581"/>
      <c r="D9667" s="581"/>
      <c r="E9667" s="581"/>
      <c r="F9667" s="581" t="s">
        <v>7962</v>
      </c>
      <c r="G9667" s="581"/>
      <c r="H9667" s="581"/>
      <c r="I9667" s="581"/>
      <c r="J9667" s="413">
        <v>0</v>
      </c>
      <c r="K9667"/>
    </row>
    <row r="9668" spans="1:11" ht="15" x14ac:dyDescent="0.3">
      <c r="A9668" s="581"/>
      <c r="B9668" s="581"/>
      <c r="C9668" s="581"/>
      <c r="D9668" s="581"/>
      <c r="E9668" s="581"/>
      <c r="F9668" s="581" t="s">
        <v>7963</v>
      </c>
      <c r="G9668" s="581"/>
      <c r="H9668" s="581"/>
      <c r="I9668" s="581"/>
      <c r="J9668" s="413">
        <v>0</v>
      </c>
      <c r="K9668"/>
    </row>
    <row r="9669" spans="1:11" ht="17.399999999999999" customHeight="1" x14ac:dyDescent="0.3">
      <c r="A9669" s="581"/>
      <c r="B9669" s="581"/>
      <c r="C9669" s="581"/>
      <c r="D9669" s="581"/>
      <c r="E9669" s="581"/>
      <c r="F9669" s="581" t="s">
        <v>7964</v>
      </c>
      <c r="G9669" s="581"/>
      <c r="H9669" s="581"/>
      <c r="I9669" s="581"/>
      <c r="J9669" s="413">
        <v>0</v>
      </c>
      <c r="K9669"/>
    </row>
    <row r="9670" spans="1:11" ht="15" x14ac:dyDescent="0.3">
      <c r="A9670" s="581"/>
      <c r="B9670" s="581"/>
      <c r="C9670" s="581"/>
      <c r="D9670" s="581"/>
      <c r="E9670" s="581"/>
      <c r="F9670" s="581" t="s">
        <v>7965</v>
      </c>
      <c r="G9670" s="581"/>
      <c r="H9670" s="581"/>
      <c r="I9670" s="581"/>
      <c r="J9670" s="413">
        <v>0</v>
      </c>
      <c r="K9670"/>
    </row>
    <row r="9671" spans="1:11" ht="15" x14ac:dyDescent="0.3">
      <c r="A9671" s="382" t="s">
        <v>7966</v>
      </c>
      <c r="B9671" s="312" t="s">
        <v>414</v>
      </c>
      <c r="C9671" s="382" t="s">
        <v>413</v>
      </c>
      <c r="D9671" s="382" t="s">
        <v>1039</v>
      </c>
      <c r="E9671" s="312" t="s">
        <v>1552</v>
      </c>
      <c r="F9671" s="312" t="s">
        <v>7907</v>
      </c>
      <c r="G9671" s="584" t="s">
        <v>7967</v>
      </c>
      <c r="H9671" s="584"/>
      <c r="I9671" s="584"/>
      <c r="J9671" s="312" t="s">
        <v>7905</v>
      </c>
      <c r="K9671"/>
    </row>
    <row r="9672" spans="1:11" ht="30" customHeight="1" x14ac:dyDescent="0.3">
      <c r="A9672" s="400" t="s">
        <v>1038</v>
      </c>
      <c r="B9672" s="401" t="s">
        <v>395</v>
      </c>
      <c r="C9672" s="400">
        <v>10998</v>
      </c>
      <c r="D9672" s="400" t="s">
        <v>7669</v>
      </c>
      <c r="E9672" s="403">
        <v>0.59</v>
      </c>
      <c r="F9672" s="402" t="s">
        <v>3</v>
      </c>
      <c r="G9672" s="607">
        <v>42.99</v>
      </c>
      <c r="H9672" s="607"/>
      <c r="I9672" s="605"/>
      <c r="J9672" s="414">
        <v>25.364100000000001</v>
      </c>
      <c r="K9672"/>
    </row>
    <row r="9673" spans="1:11" ht="30" customHeight="1" x14ac:dyDescent="0.3">
      <c r="A9673" s="581"/>
      <c r="B9673" s="581"/>
      <c r="C9673" s="581"/>
      <c r="D9673" s="581"/>
      <c r="E9673" s="581"/>
      <c r="F9673" s="581" t="s">
        <v>7968</v>
      </c>
      <c r="G9673" s="581"/>
      <c r="H9673" s="581"/>
      <c r="I9673" s="581"/>
      <c r="J9673" s="413">
        <v>25.364100000000001</v>
      </c>
      <c r="K9673"/>
    </row>
    <row r="9674" spans="1:11" ht="30" customHeight="1" x14ac:dyDescent="0.3">
      <c r="A9674" s="382" t="s">
        <v>7969</v>
      </c>
      <c r="B9674" s="312" t="s">
        <v>414</v>
      </c>
      <c r="C9674" s="382" t="s">
        <v>413</v>
      </c>
      <c r="D9674" s="382" t="s">
        <v>7970</v>
      </c>
      <c r="E9674" s="312" t="s">
        <v>1552</v>
      </c>
      <c r="F9674" s="312" t="s">
        <v>7907</v>
      </c>
      <c r="G9674" s="584" t="s">
        <v>7967</v>
      </c>
      <c r="H9674" s="584"/>
      <c r="I9674" s="584"/>
      <c r="J9674" s="312" t="s">
        <v>7905</v>
      </c>
      <c r="K9674"/>
    </row>
    <row r="9675" spans="1:11" ht="26.4" x14ac:dyDescent="0.3">
      <c r="A9675" s="408" t="s">
        <v>7922</v>
      </c>
      <c r="B9675" s="409" t="s">
        <v>395</v>
      </c>
      <c r="C9675" s="408">
        <v>88317</v>
      </c>
      <c r="D9675" s="408" t="s">
        <v>148</v>
      </c>
      <c r="E9675" s="412">
        <v>1.56</v>
      </c>
      <c r="F9675" s="410" t="s">
        <v>6</v>
      </c>
      <c r="G9675" s="608">
        <v>50.53</v>
      </c>
      <c r="H9675" s="608"/>
      <c r="I9675" s="604"/>
      <c r="J9675" s="415">
        <v>78.826800000000006</v>
      </c>
      <c r="K9675"/>
    </row>
    <row r="9676" spans="1:11" ht="17.399999999999999" customHeight="1" x14ac:dyDescent="0.3">
      <c r="A9676" s="581"/>
      <c r="B9676" s="581"/>
      <c r="C9676" s="581"/>
      <c r="D9676" s="581"/>
      <c r="E9676" s="581"/>
      <c r="F9676" s="581" t="s">
        <v>7971</v>
      </c>
      <c r="G9676" s="581"/>
      <c r="H9676" s="581"/>
      <c r="I9676" s="581"/>
      <c r="J9676" s="413">
        <v>78.826800000000006</v>
      </c>
      <c r="K9676"/>
    </row>
    <row r="9677" spans="1:11" ht="15" x14ac:dyDescent="0.3">
      <c r="A9677" s="405"/>
      <c r="B9677" s="405"/>
      <c r="C9677" s="405"/>
      <c r="D9677" s="405"/>
      <c r="E9677" s="405" t="s">
        <v>1046</v>
      </c>
      <c r="F9677" s="406">
        <v>60.45</v>
      </c>
      <c r="G9677" s="405" t="s">
        <v>1047</v>
      </c>
      <c r="H9677" s="406">
        <v>0</v>
      </c>
      <c r="I9677" s="405" t="s">
        <v>1048</v>
      </c>
      <c r="J9677" s="406">
        <v>60.45</v>
      </c>
      <c r="K9677"/>
    </row>
    <row r="9678" spans="1:11" ht="15.6" thickBot="1" x14ac:dyDescent="0.35">
      <c r="A9678" s="405"/>
      <c r="B9678" s="405"/>
      <c r="C9678" s="405"/>
      <c r="D9678" s="405"/>
      <c r="E9678" s="405" t="s">
        <v>1049</v>
      </c>
      <c r="F9678" s="406">
        <v>0</v>
      </c>
      <c r="G9678" s="405"/>
      <c r="H9678" s="606"/>
      <c r="I9678" s="606" t="s">
        <v>1050</v>
      </c>
      <c r="J9678" s="406">
        <v>104.19</v>
      </c>
      <c r="K9678"/>
    </row>
    <row r="9679" spans="1:11" ht="30" customHeight="1" thickTop="1" x14ac:dyDescent="0.3">
      <c r="A9679" s="407"/>
      <c r="B9679" s="407"/>
      <c r="C9679" s="407"/>
      <c r="D9679" s="407"/>
      <c r="E9679" s="407"/>
      <c r="F9679" s="407"/>
      <c r="G9679" s="407"/>
      <c r="H9679" s="407"/>
      <c r="I9679" s="407"/>
      <c r="J9679" s="407"/>
      <c r="K9679"/>
    </row>
    <row r="9680" spans="1:11" ht="30" customHeight="1" x14ac:dyDescent="0.3">
      <c r="A9680" s="382"/>
      <c r="B9680" s="312" t="s">
        <v>413</v>
      </c>
      <c r="C9680" s="382" t="s">
        <v>414</v>
      </c>
      <c r="D9680" s="382" t="s">
        <v>415</v>
      </c>
      <c r="E9680" s="586" t="s">
        <v>1029</v>
      </c>
      <c r="F9680" s="586"/>
      <c r="G9680" s="383" t="s">
        <v>416</v>
      </c>
      <c r="H9680" s="312" t="s">
        <v>1030</v>
      </c>
      <c r="I9680" s="312" t="s">
        <v>3016</v>
      </c>
      <c r="J9680" s="312" t="s">
        <v>1031</v>
      </c>
      <c r="K9680" s="312" t="s">
        <v>1032</v>
      </c>
    </row>
    <row r="9681" spans="1:11" ht="30" customHeight="1" x14ac:dyDescent="0.3">
      <c r="A9681" s="313" t="s">
        <v>1033</v>
      </c>
      <c r="B9681" s="315" t="s">
        <v>1554</v>
      </c>
      <c r="C9681" s="313" t="s">
        <v>395</v>
      </c>
      <c r="D9681" s="313" t="s">
        <v>148</v>
      </c>
      <c r="E9681" s="603" t="s">
        <v>7768</v>
      </c>
      <c r="F9681" s="603"/>
      <c r="G9681" s="314" t="s">
        <v>6</v>
      </c>
      <c r="H9681" s="399">
        <v>1</v>
      </c>
      <c r="I9681" s="316"/>
      <c r="J9681" s="316">
        <v>50.53</v>
      </c>
      <c r="K9681" s="316">
        <v>50.53</v>
      </c>
    </row>
    <row r="9682" spans="1:11" ht="30" customHeight="1" x14ac:dyDescent="0.3">
      <c r="A9682" s="408" t="s">
        <v>1034</v>
      </c>
      <c r="B9682" s="409" t="s">
        <v>8152</v>
      </c>
      <c r="C9682" s="408" t="s">
        <v>395</v>
      </c>
      <c r="D9682" s="408" t="s">
        <v>8153</v>
      </c>
      <c r="E9682" s="604" t="s">
        <v>7768</v>
      </c>
      <c r="F9682" s="604"/>
      <c r="G9682" s="410" t="s">
        <v>6</v>
      </c>
      <c r="H9682" s="412">
        <v>1</v>
      </c>
      <c r="I9682" s="412">
        <v>0</v>
      </c>
      <c r="J9682" s="411">
        <v>0.44</v>
      </c>
      <c r="K9682" s="411">
        <v>0.44</v>
      </c>
    </row>
    <row r="9683" spans="1:11" ht="30" customHeight="1" x14ac:dyDescent="0.3">
      <c r="A9683" s="400" t="s">
        <v>1038</v>
      </c>
      <c r="B9683" s="401" t="s">
        <v>4187</v>
      </c>
      <c r="C9683" s="400" t="s">
        <v>395</v>
      </c>
      <c r="D9683" s="400" t="s">
        <v>4188</v>
      </c>
      <c r="E9683" s="605" t="s">
        <v>1053</v>
      </c>
      <c r="F9683" s="605"/>
      <c r="G9683" s="402" t="s">
        <v>6</v>
      </c>
      <c r="H9683" s="403">
        <v>1</v>
      </c>
      <c r="I9683" s="403">
        <v>0</v>
      </c>
      <c r="J9683" s="404">
        <v>38.31</v>
      </c>
      <c r="K9683" s="404">
        <v>38.31</v>
      </c>
    </row>
    <row r="9684" spans="1:11" ht="15" x14ac:dyDescent="0.3">
      <c r="A9684" s="400" t="s">
        <v>1038</v>
      </c>
      <c r="B9684" s="401" t="s">
        <v>4028</v>
      </c>
      <c r="C9684" s="400" t="s">
        <v>395</v>
      </c>
      <c r="D9684" s="400" t="s">
        <v>4029</v>
      </c>
      <c r="E9684" s="605" t="s">
        <v>4030</v>
      </c>
      <c r="F9684" s="605"/>
      <c r="G9684" s="402" t="s">
        <v>6</v>
      </c>
      <c r="H9684" s="403">
        <v>1</v>
      </c>
      <c r="I9684" s="403">
        <v>0</v>
      </c>
      <c r="J9684" s="404">
        <v>4.78</v>
      </c>
      <c r="K9684" s="404">
        <v>4.78</v>
      </c>
    </row>
    <row r="9685" spans="1:11" ht="17.399999999999999" customHeight="1" x14ac:dyDescent="0.3">
      <c r="A9685" s="400" t="s">
        <v>1038</v>
      </c>
      <c r="B9685" s="401" t="s">
        <v>4066</v>
      </c>
      <c r="C9685" s="400" t="s">
        <v>395</v>
      </c>
      <c r="D9685" s="400" t="s">
        <v>4067</v>
      </c>
      <c r="E9685" s="605" t="s">
        <v>2381</v>
      </c>
      <c r="F9685" s="605"/>
      <c r="G9685" s="402" t="s">
        <v>6</v>
      </c>
      <c r="H9685" s="403">
        <v>1</v>
      </c>
      <c r="I9685" s="403">
        <v>0</v>
      </c>
      <c r="J9685" s="404">
        <v>1.72</v>
      </c>
      <c r="K9685" s="404">
        <v>1.72</v>
      </c>
    </row>
    <row r="9686" spans="1:11" ht="15" x14ac:dyDescent="0.3">
      <c r="A9686" s="400" t="s">
        <v>1038</v>
      </c>
      <c r="B9686" s="401" t="s">
        <v>4078</v>
      </c>
      <c r="C9686" s="400" t="s">
        <v>395</v>
      </c>
      <c r="D9686" s="400" t="s">
        <v>4079</v>
      </c>
      <c r="E9686" s="605" t="s">
        <v>4030</v>
      </c>
      <c r="F9686" s="605"/>
      <c r="G9686" s="402" t="s">
        <v>6</v>
      </c>
      <c r="H9686" s="403">
        <v>1</v>
      </c>
      <c r="I9686" s="403">
        <v>0</v>
      </c>
      <c r="J9686" s="404">
        <v>1.25</v>
      </c>
      <c r="K9686" s="404">
        <v>1.25</v>
      </c>
    </row>
    <row r="9687" spans="1:11" ht="15" x14ac:dyDescent="0.3">
      <c r="A9687" s="400" t="s">
        <v>1038</v>
      </c>
      <c r="B9687" s="401" t="s">
        <v>4274</v>
      </c>
      <c r="C9687" s="400" t="s">
        <v>395</v>
      </c>
      <c r="D9687" s="400" t="s">
        <v>4275</v>
      </c>
      <c r="E9687" s="605" t="s">
        <v>2386</v>
      </c>
      <c r="F9687" s="605"/>
      <c r="G9687" s="402" t="s">
        <v>6</v>
      </c>
      <c r="H9687" s="403">
        <v>1</v>
      </c>
      <c r="I9687" s="403">
        <v>0</v>
      </c>
      <c r="J9687" s="404">
        <v>0.11</v>
      </c>
      <c r="K9687" s="404">
        <v>0.11</v>
      </c>
    </row>
    <row r="9688" spans="1:11" ht="30" customHeight="1" x14ac:dyDescent="0.3">
      <c r="A9688" s="400" t="s">
        <v>1038</v>
      </c>
      <c r="B9688" s="401" t="s">
        <v>4767</v>
      </c>
      <c r="C9688" s="400" t="s">
        <v>395</v>
      </c>
      <c r="D9688" s="400" t="s">
        <v>4768</v>
      </c>
      <c r="E9688" s="605" t="s">
        <v>1317</v>
      </c>
      <c r="F9688" s="605"/>
      <c r="G9688" s="402" t="s">
        <v>6</v>
      </c>
      <c r="H9688" s="403">
        <v>1</v>
      </c>
      <c r="I9688" s="403">
        <v>0</v>
      </c>
      <c r="J9688" s="404">
        <v>1.31</v>
      </c>
      <c r="K9688" s="404">
        <v>1.31</v>
      </c>
    </row>
    <row r="9689" spans="1:11" ht="26.4" x14ac:dyDescent="0.3">
      <c r="A9689" s="400" t="s">
        <v>1038</v>
      </c>
      <c r="B9689" s="401" t="s">
        <v>4717</v>
      </c>
      <c r="C9689" s="400" t="s">
        <v>395</v>
      </c>
      <c r="D9689" s="400" t="s">
        <v>4718</v>
      </c>
      <c r="E9689" s="605" t="s">
        <v>1317</v>
      </c>
      <c r="F9689" s="605"/>
      <c r="G9689" s="402" t="s">
        <v>6</v>
      </c>
      <c r="H9689" s="403">
        <v>1</v>
      </c>
      <c r="I9689" s="403">
        <v>0</v>
      </c>
      <c r="J9689" s="404">
        <v>2.61</v>
      </c>
      <c r="K9689" s="404">
        <v>2.61</v>
      </c>
    </row>
    <row r="9690" spans="1:11" ht="15" x14ac:dyDescent="0.3">
      <c r="A9690" s="405"/>
      <c r="B9690" s="405"/>
      <c r="C9690" s="405"/>
      <c r="D9690" s="405"/>
      <c r="E9690" s="405" t="s">
        <v>1046</v>
      </c>
      <c r="F9690" s="406">
        <v>38.75</v>
      </c>
      <c r="G9690" s="405" t="s">
        <v>1047</v>
      </c>
      <c r="H9690" s="406">
        <v>0</v>
      </c>
      <c r="I9690" s="405" t="s">
        <v>1048</v>
      </c>
      <c r="J9690" s="406">
        <v>38.75</v>
      </c>
      <c r="K9690"/>
    </row>
    <row r="9691" spans="1:11" ht="17.399999999999999" customHeight="1" thickBot="1" x14ac:dyDescent="0.35">
      <c r="A9691" s="405"/>
      <c r="B9691" s="405"/>
      <c r="C9691" s="405"/>
      <c r="D9691" s="405"/>
      <c r="E9691" s="405" t="s">
        <v>1049</v>
      </c>
      <c r="F9691" s="406">
        <v>0</v>
      </c>
      <c r="G9691" s="405"/>
      <c r="H9691" s="606"/>
      <c r="I9691" s="606" t="s">
        <v>1050</v>
      </c>
      <c r="J9691" s="406">
        <v>50.53</v>
      </c>
      <c r="K9691"/>
    </row>
    <row r="9692" spans="1:11" ht="15.6" thickTop="1" x14ac:dyDescent="0.3">
      <c r="A9692" s="407"/>
      <c r="B9692" s="407"/>
      <c r="C9692" s="407"/>
      <c r="D9692" s="407"/>
      <c r="E9692" s="407"/>
      <c r="F9692" s="407"/>
      <c r="G9692" s="407"/>
      <c r="H9692" s="407"/>
      <c r="I9692" s="407"/>
      <c r="J9692" s="407"/>
      <c r="K9692"/>
    </row>
    <row r="9693" spans="1:11" ht="15" x14ac:dyDescent="0.3">
      <c r="A9693" s="382"/>
      <c r="B9693" s="312" t="s">
        <v>413</v>
      </c>
      <c r="C9693" s="382" t="s">
        <v>414</v>
      </c>
      <c r="D9693" s="382" t="s">
        <v>415</v>
      </c>
      <c r="E9693" s="586" t="s">
        <v>1029</v>
      </c>
      <c r="F9693" s="586"/>
      <c r="G9693" s="383" t="s">
        <v>416</v>
      </c>
      <c r="H9693" s="312" t="s">
        <v>1030</v>
      </c>
      <c r="I9693" s="312" t="s">
        <v>3016</v>
      </c>
      <c r="J9693" s="312" t="s">
        <v>1031</v>
      </c>
      <c r="K9693" s="312" t="s">
        <v>1032</v>
      </c>
    </row>
    <row r="9694" spans="1:11" ht="30" customHeight="1" x14ac:dyDescent="0.3">
      <c r="A9694" s="313" t="s">
        <v>1033</v>
      </c>
      <c r="B9694" s="315" t="s">
        <v>4835</v>
      </c>
      <c r="C9694" s="313" t="s">
        <v>439</v>
      </c>
      <c r="D9694" s="313" t="s">
        <v>8188</v>
      </c>
      <c r="E9694" s="603" t="s">
        <v>7770</v>
      </c>
      <c r="F9694" s="603"/>
      <c r="G9694" s="314" t="s">
        <v>422</v>
      </c>
      <c r="H9694" s="399">
        <v>1</v>
      </c>
      <c r="I9694" s="316"/>
      <c r="J9694" s="316">
        <v>6.08</v>
      </c>
      <c r="K9694" s="316">
        <v>6.08</v>
      </c>
    </row>
    <row r="9695" spans="1:11" ht="15" x14ac:dyDescent="0.3">
      <c r="A9695" s="586" t="s">
        <v>3312</v>
      </c>
      <c r="B9695" s="584" t="s">
        <v>413</v>
      </c>
      <c r="C9695" s="586" t="s">
        <v>414</v>
      </c>
      <c r="D9695" s="586" t="s">
        <v>7901</v>
      </c>
      <c r="E9695" s="585" t="s">
        <v>7902</v>
      </c>
      <c r="F9695" s="584"/>
      <c r="G9695" s="585" t="s">
        <v>7903</v>
      </c>
      <c r="H9695" s="584"/>
      <c r="I9695" s="584" t="s">
        <v>7904</v>
      </c>
      <c r="J9695" s="584" t="s">
        <v>7905</v>
      </c>
      <c r="K9695"/>
    </row>
    <row r="9696" spans="1:11" ht="15" x14ac:dyDescent="0.3">
      <c r="A9696" s="584"/>
      <c r="B9696" s="584"/>
      <c r="C9696" s="584"/>
      <c r="D9696" s="584"/>
      <c r="E9696" s="312" t="s">
        <v>4013</v>
      </c>
      <c r="F9696" s="312" t="s">
        <v>4014</v>
      </c>
      <c r="G9696" s="312" t="s">
        <v>4013</v>
      </c>
      <c r="H9696" s="312" t="s">
        <v>4014</v>
      </c>
      <c r="I9696" s="584"/>
      <c r="J9696" s="584"/>
      <c r="K9696"/>
    </row>
    <row r="9697" spans="1:11" ht="17.399999999999999" customHeight="1" x14ac:dyDescent="0.3">
      <c r="A9697" s="581"/>
      <c r="B9697" s="581"/>
      <c r="C9697" s="581"/>
      <c r="D9697" s="581"/>
      <c r="E9697" s="581"/>
      <c r="F9697" s="581" t="s">
        <v>7906</v>
      </c>
      <c r="G9697" s="581"/>
      <c r="H9697" s="581"/>
      <c r="I9697" s="581"/>
      <c r="J9697" s="381">
        <v>0</v>
      </c>
      <c r="K9697"/>
    </row>
    <row r="9698" spans="1:11" ht="15" x14ac:dyDescent="0.3">
      <c r="A9698" s="382" t="s">
        <v>371</v>
      </c>
      <c r="B9698" s="312" t="s">
        <v>413</v>
      </c>
      <c r="C9698" s="382" t="s">
        <v>414</v>
      </c>
      <c r="D9698" s="382" t="s">
        <v>1053</v>
      </c>
      <c r="E9698" s="312"/>
      <c r="F9698" s="584"/>
      <c r="G9698" s="584" t="s">
        <v>7907</v>
      </c>
      <c r="H9698" s="584" t="s">
        <v>7908</v>
      </c>
      <c r="I9698" s="584" t="s">
        <v>7904</v>
      </c>
      <c r="J9698" s="312" t="s">
        <v>7905</v>
      </c>
      <c r="K9698"/>
    </row>
    <row r="9699" spans="1:11" ht="15" x14ac:dyDescent="0.3">
      <c r="A9699" s="581"/>
      <c r="B9699" s="581"/>
      <c r="C9699" s="581"/>
      <c r="D9699" s="581"/>
      <c r="E9699" s="581"/>
      <c r="F9699" s="581" t="s">
        <v>7910</v>
      </c>
      <c r="G9699" s="581"/>
      <c r="H9699" s="581"/>
      <c r="I9699" s="581"/>
      <c r="J9699" s="381">
        <v>0</v>
      </c>
      <c r="K9699"/>
    </row>
    <row r="9700" spans="1:11" ht="30" customHeight="1" x14ac:dyDescent="0.3">
      <c r="A9700" s="581"/>
      <c r="B9700" s="581"/>
      <c r="C9700" s="581"/>
      <c r="D9700" s="581"/>
      <c r="E9700" s="581"/>
      <c r="F9700" s="581" t="s">
        <v>7911</v>
      </c>
      <c r="G9700" s="581"/>
      <c r="H9700" s="581"/>
      <c r="I9700" s="581"/>
      <c r="J9700" s="381">
        <v>0</v>
      </c>
      <c r="K9700"/>
    </row>
    <row r="9701" spans="1:11" ht="15" x14ac:dyDescent="0.3">
      <c r="A9701" s="581"/>
      <c r="B9701" s="581"/>
      <c r="C9701" s="581"/>
      <c r="D9701" s="581"/>
      <c r="E9701" s="581"/>
      <c r="F9701" s="581" t="s">
        <v>7912</v>
      </c>
      <c r="G9701" s="581"/>
      <c r="H9701" s="581"/>
      <c r="I9701" s="581"/>
      <c r="J9701" s="381">
        <v>1</v>
      </c>
      <c r="K9701"/>
    </row>
    <row r="9702" spans="1:11" ht="15" x14ac:dyDescent="0.3">
      <c r="A9702" s="581"/>
      <c r="B9702" s="581"/>
      <c r="C9702" s="581"/>
      <c r="D9702" s="581"/>
      <c r="E9702" s="581"/>
      <c r="F9702" s="581" t="s">
        <v>7913</v>
      </c>
      <c r="G9702" s="581"/>
      <c r="H9702" s="581"/>
      <c r="I9702" s="581"/>
      <c r="J9702" s="381">
        <v>0</v>
      </c>
      <c r="K9702"/>
    </row>
    <row r="9703" spans="1:11" ht="17.399999999999999" customHeight="1" x14ac:dyDescent="0.3">
      <c r="A9703" s="382" t="s">
        <v>7914</v>
      </c>
      <c r="B9703" s="312" t="s">
        <v>414</v>
      </c>
      <c r="C9703" s="382" t="s">
        <v>413</v>
      </c>
      <c r="D9703" s="382" t="s">
        <v>1039</v>
      </c>
      <c r="E9703" s="312"/>
      <c r="F9703" s="312"/>
      <c r="G9703" s="312" t="s">
        <v>7907</v>
      </c>
      <c r="H9703" s="312" t="s">
        <v>7908</v>
      </c>
      <c r="I9703" s="312" t="s">
        <v>1552</v>
      </c>
      <c r="J9703" s="312" t="s">
        <v>7905</v>
      </c>
      <c r="K9703"/>
    </row>
    <row r="9704" spans="1:11" ht="39.6" x14ac:dyDescent="0.3">
      <c r="A9704" s="400" t="s">
        <v>1038</v>
      </c>
      <c r="B9704" s="401" t="s">
        <v>439</v>
      </c>
      <c r="C9704" s="400" t="s">
        <v>8307</v>
      </c>
      <c r="D9704" s="400" t="s">
        <v>7614</v>
      </c>
      <c r="E9704" s="400"/>
      <c r="F9704" s="400" t="s">
        <v>7916</v>
      </c>
      <c r="G9704" s="402" t="s">
        <v>422</v>
      </c>
      <c r="H9704" s="404">
        <v>2.04</v>
      </c>
      <c r="I9704" s="403">
        <v>1</v>
      </c>
      <c r="J9704" s="404">
        <v>2.04</v>
      </c>
      <c r="K9704"/>
    </row>
    <row r="9705" spans="1:11" ht="39.6" x14ac:dyDescent="0.3">
      <c r="A9705" s="400" t="s">
        <v>1038</v>
      </c>
      <c r="B9705" s="401" t="s">
        <v>439</v>
      </c>
      <c r="C9705" s="400" t="s">
        <v>8308</v>
      </c>
      <c r="D9705" s="400" t="s">
        <v>1383</v>
      </c>
      <c r="E9705" s="400"/>
      <c r="F9705" s="400" t="s">
        <v>7916</v>
      </c>
      <c r="G9705" s="402" t="s">
        <v>422</v>
      </c>
      <c r="H9705" s="404">
        <v>0.14000000000000001</v>
      </c>
      <c r="I9705" s="403">
        <v>1</v>
      </c>
      <c r="J9705" s="404">
        <v>0.14000000000000001</v>
      </c>
      <c r="K9705"/>
    </row>
    <row r="9706" spans="1:11" ht="30" customHeight="1" x14ac:dyDescent="0.3">
      <c r="A9706" s="400" t="s">
        <v>1038</v>
      </c>
      <c r="B9706" s="401" t="s">
        <v>439</v>
      </c>
      <c r="C9706" s="400" t="s">
        <v>8309</v>
      </c>
      <c r="D9706" s="400" t="s">
        <v>1380</v>
      </c>
      <c r="E9706" s="400"/>
      <c r="F9706" s="400" t="s">
        <v>7916</v>
      </c>
      <c r="G9706" s="402" t="s">
        <v>422</v>
      </c>
      <c r="H9706" s="404">
        <v>0.18</v>
      </c>
      <c r="I9706" s="403">
        <v>1</v>
      </c>
      <c r="J9706" s="404">
        <v>0.18</v>
      </c>
      <c r="K9706"/>
    </row>
    <row r="9707" spans="1:11" ht="39.6" x14ac:dyDescent="0.3">
      <c r="A9707" s="400" t="s">
        <v>1038</v>
      </c>
      <c r="B9707" s="401" t="s">
        <v>439</v>
      </c>
      <c r="C9707" s="400" t="s">
        <v>8310</v>
      </c>
      <c r="D9707" s="400" t="s">
        <v>1381</v>
      </c>
      <c r="E9707" s="400"/>
      <c r="F9707" s="400" t="s">
        <v>7916</v>
      </c>
      <c r="G9707" s="402" t="s">
        <v>422</v>
      </c>
      <c r="H9707" s="404">
        <v>0.3</v>
      </c>
      <c r="I9707" s="403">
        <v>1</v>
      </c>
      <c r="J9707" s="404">
        <v>0.3</v>
      </c>
      <c r="K9707"/>
    </row>
    <row r="9708" spans="1:11" ht="15" x14ac:dyDescent="0.3">
      <c r="A9708" s="581"/>
      <c r="B9708" s="581"/>
      <c r="C9708" s="581"/>
      <c r="D9708" s="581"/>
      <c r="E9708" s="581"/>
      <c r="F9708" s="581" t="s">
        <v>7920</v>
      </c>
      <c r="G9708" s="581"/>
      <c r="H9708" s="581"/>
      <c r="I9708" s="581"/>
      <c r="J9708" s="381">
        <v>2.66</v>
      </c>
      <c r="K9708"/>
    </row>
    <row r="9709" spans="1:11" ht="17.399999999999999" customHeight="1" x14ac:dyDescent="0.3">
      <c r="A9709" s="382" t="s">
        <v>7921</v>
      </c>
      <c r="B9709" s="312" t="s">
        <v>414</v>
      </c>
      <c r="C9709" s="382" t="s">
        <v>413</v>
      </c>
      <c r="D9709" s="382" t="s">
        <v>2381</v>
      </c>
      <c r="E9709" s="312"/>
      <c r="F9709" s="312"/>
      <c r="G9709" s="312" t="s">
        <v>7907</v>
      </c>
      <c r="H9709" s="312" t="s">
        <v>7908</v>
      </c>
      <c r="I9709" s="312" t="s">
        <v>1552</v>
      </c>
      <c r="J9709" s="312" t="s">
        <v>7905</v>
      </c>
      <c r="K9709"/>
    </row>
    <row r="9710" spans="1:11" ht="39.6" x14ac:dyDescent="0.3">
      <c r="A9710" s="408" t="s">
        <v>7922</v>
      </c>
      <c r="B9710" s="409" t="s">
        <v>439</v>
      </c>
      <c r="C9710" s="408" t="s">
        <v>8311</v>
      </c>
      <c r="D9710" s="408" t="s">
        <v>296</v>
      </c>
      <c r="E9710" s="408"/>
      <c r="F9710" s="408" t="s">
        <v>7916</v>
      </c>
      <c r="G9710" s="410" t="s">
        <v>1109</v>
      </c>
      <c r="H9710" s="411">
        <v>28.03</v>
      </c>
      <c r="I9710" s="412">
        <v>0.1222222</v>
      </c>
      <c r="J9710" s="411">
        <v>3.42</v>
      </c>
      <c r="K9710"/>
    </row>
    <row r="9711" spans="1:11" ht="15" x14ac:dyDescent="0.3">
      <c r="A9711" s="581"/>
      <c r="B9711" s="581"/>
      <c r="C9711" s="581"/>
      <c r="D9711" s="581"/>
      <c r="E9711" s="581"/>
      <c r="F9711" s="581" t="s">
        <v>7929</v>
      </c>
      <c r="G9711" s="581"/>
      <c r="H9711" s="581"/>
      <c r="I9711" s="581"/>
      <c r="J9711" s="381">
        <v>3.42</v>
      </c>
      <c r="K9711"/>
    </row>
    <row r="9712" spans="1:11" ht="15" customHeight="1" x14ac:dyDescent="0.3">
      <c r="A9712" s="382" t="s">
        <v>6</v>
      </c>
      <c r="B9712" s="312" t="s">
        <v>414</v>
      </c>
      <c r="C9712" s="382" t="s">
        <v>413</v>
      </c>
      <c r="D9712" s="382" t="s">
        <v>7930</v>
      </c>
      <c r="E9712" s="312" t="s">
        <v>7931</v>
      </c>
      <c r="F9712" s="312" t="s">
        <v>7932</v>
      </c>
      <c r="G9712" s="312" t="s">
        <v>7907</v>
      </c>
      <c r="H9712" s="312" t="s">
        <v>7908</v>
      </c>
      <c r="I9712" s="312" t="s">
        <v>1552</v>
      </c>
      <c r="J9712" s="312" t="s">
        <v>7905</v>
      </c>
      <c r="K9712"/>
    </row>
    <row r="9713" spans="1:11" ht="30" customHeight="1" x14ac:dyDescent="0.3">
      <c r="A9713" s="581"/>
      <c r="B9713" s="581"/>
      <c r="C9713" s="581"/>
      <c r="D9713" s="581"/>
      <c r="E9713" s="581"/>
      <c r="F9713" s="581" t="s">
        <v>7933</v>
      </c>
      <c r="G9713" s="581"/>
      <c r="H9713" s="581"/>
      <c r="I9713" s="581"/>
      <c r="J9713" s="381">
        <v>0</v>
      </c>
      <c r="K9713"/>
    </row>
    <row r="9714" spans="1:11" ht="15" x14ac:dyDescent="0.3">
      <c r="A9714" s="405"/>
      <c r="B9714" s="405"/>
      <c r="C9714" s="405"/>
      <c r="D9714" s="405"/>
      <c r="E9714" s="405" t="s">
        <v>1046</v>
      </c>
      <c r="F9714" s="406">
        <v>2.5358227903190049</v>
      </c>
      <c r="G9714" s="405" t="s">
        <v>1047</v>
      </c>
      <c r="H9714" s="406">
        <v>0</v>
      </c>
      <c r="I9714" s="405" t="s">
        <v>1048</v>
      </c>
      <c r="J9714" s="406">
        <v>2.5299999999999998</v>
      </c>
      <c r="K9714"/>
    </row>
    <row r="9715" spans="1:11" ht="15.6" thickBot="1" x14ac:dyDescent="0.35">
      <c r="A9715" s="405"/>
      <c r="B9715" s="405"/>
      <c r="C9715" s="405"/>
      <c r="D9715" s="405"/>
      <c r="E9715" s="405" t="s">
        <v>1049</v>
      </c>
      <c r="F9715" s="406">
        <v>0</v>
      </c>
      <c r="G9715" s="405"/>
      <c r="H9715" s="606"/>
      <c r="I9715" s="606" t="s">
        <v>1050</v>
      </c>
      <c r="J9715" s="406">
        <v>6.08</v>
      </c>
      <c r="K9715"/>
    </row>
    <row r="9716" spans="1:11" ht="15.6" thickTop="1" x14ac:dyDescent="0.3">
      <c r="A9716" s="407"/>
      <c r="B9716" s="407"/>
      <c r="C9716" s="407"/>
      <c r="D9716" s="407"/>
      <c r="E9716" s="407"/>
      <c r="F9716" s="407"/>
      <c r="G9716" s="407"/>
      <c r="H9716" s="407"/>
      <c r="I9716" s="407"/>
      <c r="J9716" s="407"/>
      <c r="K9716"/>
    </row>
    <row r="9717" spans="1:11" ht="15" x14ac:dyDescent="0.3">
      <c r="A9717" s="382"/>
      <c r="B9717" s="312" t="s">
        <v>413</v>
      </c>
      <c r="C9717" s="382" t="s">
        <v>414</v>
      </c>
      <c r="D9717" s="382" t="s">
        <v>415</v>
      </c>
      <c r="E9717" s="586" t="s">
        <v>1029</v>
      </c>
      <c r="F9717" s="586"/>
      <c r="G9717" s="383" t="s">
        <v>416</v>
      </c>
      <c r="H9717" s="312" t="s">
        <v>1030</v>
      </c>
      <c r="I9717" s="312" t="s">
        <v>3016</v>
      </c>
      <c r="J9717" s="312" t="s">
        <v>1031</v>
      </c>
      <c r="K9717" s="312" t="s">
        <v>1032</v>
      </c>
    </row>
    <row r="9718" spans="1:11" ht="39.6" x14ac:dyDescent="0.3">
      <c r="A9718" s="313" t="s">
        <v>1033</v>
      </c>
      <c r="B9718" s="315" t="s">
        <v>8227</v>
      </c>
      <c r="C9718" s="313" t="s">
        <v>395</v>
      </c>
      <c r="D9718" s="313" t="s">
        <v>8228</v>
      </c>
      <c r="E9718" s="603" t="s">
        <v>7783</v>
      </c>
      <c r="F9718" s="603"/>
      <c r="G9718" s="314" t="s">
        <v>4</v>
      </c>
      <c r="H9718" s="399">
        <v>1</v>
      </c>
      <c r="I9718" s="316"/>
      <c r="J9718" s="316">
        <v>13.43</v>
      </c>
      <c r="K9718" s="316">
        <v>13.43</v>
      </c>
    </row>
    <row r="9719" spans="1:11" ht="26.4" x14ac:dyDescent="0.3">
      <c r="A9719" s="408" t="s">
        <v>1034</v>
      </c>
      <c r="B9719" s="409" t="s">
        <v>1035</v>
      </c>
      <c r="C9719" s="408" t="s">
        <v>395</v>
      </c>
      <c r="D9719" s="408" t="s">
        <v>128</v>
      </c>
      <c r="E9719" s="604" t="s">
        <v>7768</v>
      </c>
      <c r="F9719" s="604"/>
      <c r="G9719" s="410" t="s">
        <v>6</v>
      </c>
      <c r="H9719" s="412">
        <v>0.128</v>
      </c>
      <c r="I9719" s="412">
        <v>0</v>
      </c>
      <c r="J9719" s="411">
        <v>34.5</v>
      </c>
      <c r="K9719" s="411">
        <v>4.4160000000000004</v>
      </c>
    </row>
    <row r="9720" spans="1:11" ht="26.4" x14ac:dyDescent="0.3">
      <c r="A9720" s="408" t="s">
        <v>1034</v>
      </c>
      <c r="B9720" s="409" t="s">
        <v>1037</v>
      </c>
      <c r="C9720" s="408" t="s">
        <v>395</v>
      </c>
      <c r="D9720" s="408" t="s">
        <v>135</v>
      </c>
      <c r="E9720" s="604" t="s">
        <v>7768</v>
      </c>
      <c r="F9720" s="604"/>
      <c r="G9720" s="410" t="s">
        <v>6</v>
      </c>
      <c r="H9720" s="412">
        <v>0.128</v>
      </c>
      <c r="I9720" s="412">
        <v>0</v>
      </c>
      <c r="J9720" s="411">
        <v>41.81</v>
      </c>
      <c r="K9720" s="411">
        <v>5.35168</v>
      </c>
    </row>
    <row r="9721" spans="1:11" ht="26.4" x14ac:dyDescent="0.3">
      <c r="A9721" s="400" t="s">
        <v>1038</v>
      </c>
      <c r="B9721" s="401" t="s">
        <v>4942</v>
      </c>
      <c r="C9721" s="400" t="s">
        <v>395</v>
      </c>
      <c r="D9721" s="400" t="s">
        <v>4943</v>
      </c>
      <c r="E9721" s="605" t="s">
        <v>1039</v>
      </c>
      <c r="F9721" s="605"/>
      <c r="G9721" s="402" t="s">
        <v>4</v>
      </c>
      <c r="H9721" s="403">
        <v>1</v>
      </c>
      <c r="I9721" s="403">
        <v>0</v>
      </c>
      <c r="J9721" s="404">
        <v>2.41</v>
      </c>
      <c r="K9721" s="404">
        <v>2.41</v>
      </c>
    </row>
    <row r="9722" spans="1:11" ht="16.95" customHeight="1" x14ac:dyDescent="0.3">
      <c r="A9722" s="400" t="s">
        <v>1038</v>
      </c>
      <c r="B9722" s="401" t="s">
        <v>4982</v>
      </c>
      <c r="C9722" s="400" t="s">
        <v>395</v>
      </c>
      <c r="D9722" s="400" t="s">
        <v>4983</v>
      </c>
      <c r="E9722" s="605" t="s">
        <v>1039</v>
      </c>
      <c r="F9722" s="605"/>
      <c r="G9722" s="402" t="s">
        <v>4</v>
      </c>
      <c r="H9722" s="403">
        <v>1</v>
      </c>
      <c r="I9722" s="403">
        <v>0</v>
      </c>
      <c r="J9722" s="404">
        <v>1.25</v>
      </c>
      <c r="K9722" s="404">
        <v>1.25</v>
      </c>
    </row>
    <row r="9723" spans="1:11" ht="15" x14ac:dyDescent="0.3">
      <c r="A9723" s="405"/>
      <c r="B9723" s="405"/>
      <c r="C9723" s="405"/>
      <c r="D9723" s="405"/>
      <c r="E9723" s="405" t="s">
        <v>1046</v>
      </c>
      <c r="F9723" s="406">
        <v>7.13</v>
      </c>
      <c r="G9723" s="405" t="s">
        <v>1047</v>
      </c>
      <c r="H9723" s="406">
        <v>0</v>
      </c>
      <c r="I9723" s="405" t="s">
        <v>1048</v>
      </c>
      <c r="J9723" s="406">
        <v>7.13</v>
      </c>
      <c r="K9723"/>
    </row>
    <row r="9724" spans="1:11" ht="15.6" thickBot="1" x14ac:dyDescent="0.35">
      <c r="A9724" s="405"/>
      <c r="B9724" s="405"/>
      <c r="C9724" s="405"/>
      <c r="D9724" s="405"/>
      <c r="E9724" s="405" t="s">
        <v>1049</v>
      </c>
      <c r="F9724" s="406">
        <v>0</v>
      </c>
      <c r="G9724" s="405"/>
      <c r="H9724" s="606"/>
      <c r="I9724" s="606" t="s">
        <v>1050</v>
      </c>
      <c r="J9724" s="406">
        <v>13.43</v>
      </c>
      <c r="K9724"/>
    </row>
    <row r="9725" spans="1:11" ht="15.6" thickTop="1" x14ac:dyDescent="0.3">
      <c r="A9725" s="407"/>
      <c r="B9725" s="407"/>
      <c r="C9725" s="407"/>
      <c r="D9725" s="407"/>
      <c r="E9725" s="407"/>
      <c r="F9725" s="407"/>
      <c r="G9725" s="407"/>
      <c r="H9725" s="407"/>
      <c r="I9725" s="407"/>
      <c r="J9725" s="407"/>
      <c r="K9725"/>
    </row>
    <row r="9726" spans="1:11" ht="15" x14ac:dyDescent="0.3">
      <c r="A9726" s="382"/>
      <c r="B9726" s="312" t="s">
        <v>413</v>
      </c>
      <c r="C9726" s="382" t="s">
        <v>414</v>
      </c>
      <c r="D9726" s="382" t="s">
        <v>415</v>
      </c>
      <c r="E9726" s="586" t="s">
        <v>1029</v>
      </c>
      <c r="F9726" s="586"/>
      <c r="G9726" s="383" t="s">
        <v>416</v>
      </c>
      <c r="H9726" s="312" t="s">
        <v>1030</v>
      </c>
      <c r="I9726" s="312" t="s">
        <v>3016</v>
      </c>
      <c r="J9726" s="312" t="s">
        <v>1031</v>
      </c>
      <c r="K9726" s="312" t="s">
        <v>1032</v>
      </c>
    </row>
    <row r="9727" spans="1:11" ht="26.4" x14ac:dyDescent="0.3">
      <c r="A9727" s="313" t="s">
        <v>1033</v>
      </c>
      <c r="B9727" s="315" t="s">
        <v>9638</v>
      </c>
      <c r="C9727" s="313" t="s">
        <v>395</v>
      </c>
      <c r="D9727" s="313" t="s">
        <v>9639</v>
      </c>
      <c r="E9727" s="603" t="s">
        <v>7772</v>
      </c>
      <c r="F9727" s="603"/>
      <c r="G9727" s="314" t="s">
        <v>15</v>
      </c>
      <c r="H9727" s="399">
        <v>1</v>
      </c>
      <c r="I9727" s="316"/>
      <c r="J9727" s="316">
        <v>0.09</v>
      </c>
      <c r="K9727" s="316">
        <v>0.09</v>
      </c>
    </row>
    <row r="9728" spans="1:11" ht="26.4" x14ac:dyDescent="0.3">
      <c r="A9728" s="408" t="s">
        <v>1034</v>
      </c>
      <c r="B9728" s="409" t="s">
        <v>9682</v>
      </c>
      <c r="C9728" s="408" t="s">
        <v>395</v>
      </c>
      <c r="D9728" s="408" t="s">
        <v>9683</v>
      </c>
      <c r="E9728" s="604" t="s">
        <v>7946</v>
      </c>
      <c r="F9728" s="604"/>
      <c r="G9728" s="410" t="s">
        <v>6</v>
      </c>
      <c r="H9728" s="412">
        <v>1</v>
      </c>
      <c r="I9728" s="412">
        <v>0</v>
      </c>
      <c r="J9728" s="411">
        <v>0.04</v>
      </c>
      <c r="K9728" s="411">
        <v>0.04</v>
      </c>
    </row>
    <row r="9729" spans="1:11" ht="26.4" x14ac:dyDescent="0.3">
      <c r="A9729" s="408" t="s">
        <v>1034</v>
      </c>
      <c r="B9729" s="409" t="s">
        <v>9684</v>
      </c>
      <c r="C9729" s="408" t="s">
        <v>395</v>
      </c>
      <c r="D9729" s="408" t="s">
        <v>9685</v>
      </c>
      <c r="E9729" s="604" t="s">
        <v>7946</v>
      </c>
      <c r="F9729" s="604"/>
      <c r="G9729" s="410" t="s">
        <v>6</v>
      </c>
      <c r="H9729" s="412">
        <v>1</v>
      </c>
      <c r="I9729" s="412">
        <v>0</v>
      </c>
      <c r="J9729" s="411">
        <v>0.02</v>
      </c>
      <c r="K9729" s="411">
        <v>0.02</v>
      </c>
    </row>
    <row r="9730" spans="1:11" ht="26.4" x14ac:dyDescent="0.3">
      <c r="A9730" s="408" t="s">
        <v>1034</v>
      </c>
      <c r="B9730" s="409" t="s">
        <v>9686</v>
      </c>
      <c r="C9730" s="408" t="s">
        <v>395</v>
      </c>
      <c r="D9730" s="408" t="s">
        <v>9687</v>
      </c>
      <c r="E9730" s="604" t="s">
        <v>7946</v>
      </c>
      <c r="F9730" s="604"/>
      <c r="G9730" s="410" t="s">
        <v>6</v>
      </c>
      <c r="H9730" s="412">
        <v>1</v>
      </c>
      <c r="I9730" s="412">
        <v>0</v>
      </c>
      <c r="J9730" s="411">
        <v>0.03</v>
      </c>
      <c r="K9730" s="411">
        <v>0.03</v>
      </c>
    </row>
    <row r="9731" spans="1:11" ht="15" x14ac:dyDescent="0.3">
      <c r="A9731" s="405"/>
      <c r="B9731" s="405"/>
      <c r="C9731" s="405"/>
      <c r="D9731" s="405"/>
      <c r="E9731" s="405" t="s">
        <v>1046</v>
      </c>
      <c r="F9731" s="406">
        <v>0</v>
      </c>
      <c r="G9731" s="405" t="s">
        <v>1047</v>
      </c>
      <c r="H9731" s="406">
        <v>0</v>
      </c>
      <c r="I9731" s="405" t="s">
        <v>1048</v>
      </c>
      <c r="J9731" s="406">
        <v>0</v>
      </c>
      <c r="K9731"/>
    </row>
    <row r="9732" spans="1:11" ht="15.6" thickBot="1" x14ac:dyDescent="0.35">
      <c r="A9732" s="405"/>
      <c r="B9732" s="405"/>
      <c r="C9732" s="405"/>
      <c r="D9732" s="405"/>
      <c r="E9732" s="405" t="s">
        <v>1049</v>
      </c>
      <c r="F9732" s="406">
        <v>0</v>
      </c>
      <c r="G9732" s="405"/>
      <c r="H9732" s="606"/>
      <c r="I9732" s="606" t="s">
        <v>1050</v>
      </c>
      <c r="J9732" s="406">
        <v>0.09</v>
      </c>
      <c r="K9732"/>
    </row>
    <row r="9733" spans="1:11" ht="15.6" thickTop="1" x14ac:dyDescent="0.3">
      <c r="A9733" s="407"/>
      <c r="B9733" s="407"/>
      <c r="C9733" s="407"/>
      <c r="D9733" s="407"/>
      <c r="E9733" s="407"/>
      <c r="F9733" s="407"/>
      <c r="G9733" s="407"/>
      <c r="H9733" s="407"/>
      <c r="I9733" s="407"/>
      <c r="J9733" s="407"/>
      <c r="K9733"/>
    </row>
    <row r="9734" spans="1:11" ht="15" x14ac:dyDescent="0.3">
      <c r="A9734" s="382"/>
      <c r="B9734" s="312" t="s">
        <v>413</v>
      </c>
      <c r="C9734" s="382" t="s">
        <v>414</v>
      </c>
      <c r="D9734" s="382" t="s">
        <v>415</v>
      </c>
      <c r="E9734" s="586" t="s">
        <v>1029</v>
      </c>
      <c r="F9734" s="586"/>
      <c r="G9734" s="383" t="s">
        <v>416</v>
      </c>
      <c r="H9734" s="312" t="s">
        <v>1030</v>
      </c>
      <c r="I9734" s="312" t="s">
        <v>3016</v>
      </c>
      <c r="J9734" s="312" t="s">
        <v>1031</v>
      </c>
      <c r="K9734" s="312" t="s">
        <v>1032</v>
      </c>
    </row>
    <row r="9735" spans="1:11" ht="26.4" x14ac:dyDescent="0.3">
      <c r="A9735" s="313" t="s">
        <v>1033</v>
      </c>
      <c r="B9735" s="315" t="s">
        <v>9682</v>
      </c>
      <c r="C9735" s="313" t="s">
        <v>395</v>
      </c>
      <c r="D9735" s="313" t="s">
        <v>9683</v>
      </c>
      <c r="E9735" s="603" t="s">
        <v>7946</v>
      </c>
      <c r="F9735" s="603"/>
      <c r="G9735" s="314" t="s">
        <v>6</v>
      </c>
      <c r="H9735" s="399">
        <v>1</v>
      </c>
      <c r="I9735" s="316"/>
      <c r="J9735" s="316">
        <v>0.04</v>
      </c>
      <c r="K9735" s="316">
        <v>0.04</v>
      </c>
    </row>
    <row r="9736" spans="1:11" ht="26.4" x14ac:dyDescent="0.3">
      <c r="A9736" s="400" t="s">
        <v>1038</v>
      </c>
      <c r="B9736" s="401" t="s">
        <v>9595</v>
      </c>
      <c r="C9736" s="400" t="s">
        <v>395</v>
      </c>
      <c r="D9736" s="400" t="s">
        <v>9596</v>
      </c>
      <c r="E9736" s="605" t="s">
        <v>1323</v>
      </c>
      <c r="F9736" s="605"/>
      <c r="G9736" s="402" t="s">
        <v>4</v>
      </c>
      <c r="H9736" s="403">
        <v>3.1999999999999999E-5</v>
      </c>
      <c r="I9736" s="403">
        <v>0</v>
      </c>
      <c r="J9736" s="404">
        <v>1157.69</v>
      </c>
      <c r="K9736" s="404">
        <v>3.7046099999999998E-2</v>
      </c>
    </row>
    <row r="9737" spans="1:11" ht="15" x14ac:dyDescent="0.3">
      <c r="A9737" s="405"/>
      <c r="B9737" s="405"/>
      <c r="C9737" s="405"/>
      <c r="D9737" s="405"/>
      <c r="E9737" s="405" t="s">
        <v>1046</v>
      </c>
      <c r="F9737" s="406">
        <v>0</v>
      </c>
      <c r="G9737" s="405" t="s">
        <v>1047</v>
      </c>
      <c r="H9737" s="406">
        <v>0</v>
      </c>
      <c r="I9737" s="405" t="s">
        <v>1048</v>
      </c>
      <c r="J9737" s="406">
        <v>0</v>
      </c>
      <c r="K9737"/>
    </row>
    <row r="9738" spans="1:11" ht="15.6" thickBot="1" x14ac:dyDescent="0.35">
      <c r="A9738" s="405"/>
      <c r="B9738" s="405"/>
      <c r="C9738" s="405"/>
      <c r="D9738" s="405"/>
      <c r="E9738" s="405" t="s">
        <v>1049</v>
      </c>
      <c r="F9738" s="406">
        <v>0</v>
      </c>
      <c r="G9738" s="405"/>
      <c r="H9738" s="606"/>
      <c r="I9738" s="606" t="s">
        <v>1050</v>
      </c>
      <c r="J9738" s="406">
        <v>0.04</v>
      </c>
      <c r="K9738"/>
    </row>
    <row r="9739" spans="1:11" ht="15.6" thickTop="1" x14ac:dyDescent="0.3">
      <c r="A9739" s="407"/>
      <c r="B9739" s="407"/>
      <c r="C9739" s="407"/>
      <c r="D9739" s="407"/>
      <c r="E9739" s="407"/>
      <c r="F9739" s="407"/>
      <c r="G9739" s="407"/>
      <c r="H9739" s="407"/>
      <c r="I9739" s="407"/>
      <c r="J9739" s="407"/>
      <c r="K9739"/>
    </row>
    <row r="9740" spans="1:11" ht="15" x14ac:dyDescent="0.3">
      <c r="A9740" s="382"/>
      <c r="B9740" s="312" t="s">
        <v>413</v>
      </c>
      <c r="C9740" s="382" t="s">
        <v>414</v>
      </c>
      <c r="D9740" s="382" t="s">
        <v>415</v>
      </c>
      <c r="E9740" s="586" t="s">
        <v>1029</v>
      </c>
      <c r="F9740" s="586"/>
      <c r="G9740" s="383" t="s">
        <v>416</v>
      </c>
      <c r="H9740" s="312" t="s">
        <v>1030</v>
      </c>
      <c r="I9740" s="312" t="s">
        <v>3016</v>
      </c>
      <c r="J9740" s="312" t="s">
        <v>1031</v>
      </c>
      <c r="K9740" s="312" t="s">
        <v>1032</v>
      </c>
    </row>
    <row r="9741" spans="1:11" ht="26.4" x14ac:dyDescent="0.3">
      <c r="A9741" s="313" t="s">
        <v>1033</v>
      </c>
      <c r="B9741" s="315" t="s">
        <v>9684</v>
      </c>
      <c r="C9741" s="313" t="s">
        <v>395</v>
      </c>
      <c r="D9741" s="313" t="s">
        <v>9685</v>
      </c>
      <c r="E9741" s="603" t="s">
        <v>7946</v>
      </c>
      <c r="F9741" s="603"/>
      <c r="G9741" s="314" t="s">
        <v>6</v>
      </c>
      <c r="H9741" s="399">
        <v>1</v>
      </c>
      <c r="I9741" s="316"/>
      <c r="J9741" s="316">
        <v>0.02</v>
      </c>
      <c r="K9741" s="316">
        <v>0.02</v>
      </c>
    </row>
    <row r="9742" spans="1:11" ht="26.4" x14ac:dyDescent="0.3">
      <c r="A9742" s="400" t="s">
        <v>1038</v>
      </c>
      <c r="B9742" s="401" t="s">
        <v>9595</v>
      </c>
      <c r="C9742" s="400" t="s">
        <v>395</v>
      </c>
      <c r="D9742" s="400" t="s">
        <v>9596</v>
      </c>
      <c r="E9742" s="605" t="s">
        <v>1323</v>
      </c>
      <c r="F9742" s="605"/>
      <c r="G9742" s="402" t="s">
        <v>4</v>
      </c>
      <c r="H9742" s="403">
        <v>1.3499999999999999E-5</v>
      </c>
      <c r="I9742" s="403">
        <v>0</v>
      </c>
      <c r="J9742" s="404">
        <v>1157.69</v>
      </c>
      <c r="K9742" s="404">
        <v>1.5628800000000002E-2</v>
      </c>
    </row>
    <row r="9743" spans="1:11" ht="15" x14ac:dyDescent="0.3">
      <c r="A9743" s="405"/>
      <c r="B9743" s="405"/>
      <c r="C9743" s="405"/>
      <c r="D9743" s="405"/>
      <c r="E9743" s="405" t="s">
        <v>1046</v>
      </c>
      <c r="F9743" s="406">
        <v>0</v>
      </c>
      <c r="G9743" s="405" t="s">
        <v>1047</v>
      </c>
      <c r="H9743" s="406">
        <v>0</v>
      </c>
      <c r="I9743" s="405" t="s">
        <v>1048</v>
      </c>
      <c r="J9743" s="406">
        <v>0</v>
      </c>
      <c r="K9743"/>
    </row>
    <row r="9744" spans="1:11" ht="15.6" thickBot="1" x14ac:dyDescent="0.35">
      <c r="A9744" s="405"/>
      <c r="B9744" s="405"/>
      <c r="C9744" s="405"/>
      <c r="D9744" s="405"/>
      <c r="E9744" s="405" t="s">
        <v>1049</v>
      </c>
      <c r="F9744" s="406">
        <v>0</v>
      </c>
      <c r="G9744" s="405"/>
      <c r="H9744" s="606"/>
      <c r="I9744" s="606" t="s">
        <v>1050</v>
      </c>
      <c r="J9744" s="406">
        <v>0.02</v>
      </c>
      <c r="K9744"/>
    </row>
    <row r="9745" spans="1:11" ht="15.6" thickTop="1" x14ac:dyDescent="0.3">
      <c r="A9745" s="407"/>
      <c r="B9745" s="407"/>
      <c r="C9745" s="407"/>
      <c r="D9745" s="407"/>
      <c r="E9745" s="407"/>
      <c r="F9745" s="407"/>
      <c r="G9745" s="407"/>
      <c r="H9745" s="407"/>
      <c r="I9745" s="407"/>
      <c r="J9745" s="407"/>
      <c r="K9745"/>
    </row>
    <row r="9746" spans="1:11" ht="15" x14ac:dyDescent="0.3">
      <c r="A9746" s="382"/>
      <c r="B9746" s="312" t="s">
        <v>413</v>
      </c>
      <c r="C9746" s="382" t="s">
        <v>414</v>
      </c>
      <c r="D9746" s="382" t="s">
        <v>415</v>
      </c>
      <c r="E9746" s="586" t="s">
        <v>1029</v>
      </c>
      <c r="F9746" s="586"/>
      <c r="G9746" s="383" t="s">
        <v>416</v>
      </c>
      <c r="H9746" s="312" t="s">
        <v>1030</v>
      </c>
      <c r="I9746" s="312" t="s">
        <v>3016</v>
      </c>
      <c r="J9746" s="312" t="s">
        <v>1031</v>
      </c>
      <c r="K9746" s="312" t="s">
        <v>1032</v>
      </c>
    </row>
    <row r="9747" spans="1:11" ht="26.4" x14ac:dyDescent="0.3">
      <c r="A9747" s="313" t="s">
        <v>1033</v>
      </c>
      <c r="B9747" s="315" t="s">
        <v>9686</v>
      </c>
      <c r="C9747" s="313" t="s">
        <v>395</v>
      </c>
      <c r="D9747" s="313" t="s">
        <v>9687</v>
      </c>
      <c r="E9747" s="603" t="s">
        <v>7946</v>
      </c>
      <c r="F9747" s="603"/>
      <c r="G9747" s="314" t="s">
        <v>6</v>
      </c>
      <c r="H9747" s="399">
        <v>1</v>
      </c>
      <c r="I9747" s="316"/>
      <c r="J9747" s="316">
        <v>0.03</v>
      </c>
      <c r="K9747" s="316">
        <v>0.03</v>
      </c>
    </row>
    <row r="9748" spans="1:11" ht="26.4" x14ac:dyDescent="0.3">
      <c r="A9748" s="400" t="s">
        <v>1038</v>
      </c>
      <c r="B9748" s="401" t="s">
        <v>9595</v>
      </c>
      <c r="C9748" s="400" t="s">
        <v>395</v>
      </c>
      <c r="D9748" s="400" t="s">
        <v>9596</v>
      </c>
      <c r="E9748" s="605" t="s">
        <v>1323</v>
      </c>
      <c r="F9748" s="605"/>
      <c r="G9748" s="402" t="s">
        <v>4</v>
      </c>
      <c r="H9748" s="403">
        <v>2.5000000000000001E-5</v>
      </c>
      <c r="I9748" s="403">
        <v>0</v>
      </c>
      <c r="J9748" s="404">
        <v>1157.69</v>
      </c>
      <c r="K9748" s="404">
        <v>2.8942300000000001E-2</v>
      </c>
    </row>
    <row r="9749" spans="1:11" ht="15" x14ac:dyDescent="0.3">
      <c r="A9749" s="405"/>
      <c r="B9749" s="405"/>
      <c r="C9749" s="405"/>
      <c r="D9749" s="405"/>
      <c r="E9749" s="405" t="s">
        <v>1046</v>
      </c>
      <c r="F9749" s="406">
        <v>0</v>
      </c>
      <c r="G9749" s="405" t="s">
        <v>1047</v>
      </c>
      <c r="H9749" s="406">
        <v>0</v>
      </c>
      <c r="I9749" s="405" t="s">
        <v>1048</v>
      </c>
      <c r="J9749" s="406">
        <v>0</v>
      </c>
      <c r="K9749"/>
    </row>
    <row r="9750" spans="1:11" ht="15.6" thickBot="1" x14ac:dyDescent="0.35">
      <c r="A9750" s="405"/>
      <c r="B9750" s="405"/>
      <c r="C9750" s="405"/>
      <c r="D9750" s="405"/>
      <c r="E9750" s="405" t="s">
        <v>1049</v>
      </c>
      <c r="F9750" s="406">
        <v>0</v>
      </c>
      <c r="G9750" s="405"/>
      <c r="H9750" s="606"/>
      <c r="I9750" s="606" t="s">
        <v>1050</v>
      </c>
      <c r="J9750" s="406">
        <v>0.03</v>
      </c>
      <c r="K9750"/>
    </row>
    <row r="9751" spans="1:11" ht="15.6" thickTop="1" x14ac:dyDescent="0.3">
      <c r="A9751" s="407"/>
      <c r="B9751" s="407"/>
      <c r="C9751" s="407"/>
      <c r="D9751" s="407"/>
      <c r="E9751" s="407"/>
      <c r="F9751" s="407"/>
      <c r="G9751" s="407"/>
      <c r="H9751" s="407"/>
      <c r="I9751" s="407"/>
      <c r="J9751" s="407"/>
      <c r="K9751"/>
    </row>
    <row r="9752" spans="1:11" ht="15" x14ac:dyDescent="0.3">
      <c r="A9752" s="382"/>
      <c r="B9752" s="312" t="s">
        <v>413</v>
      </c>
      <c r="C9752" s="382" t="s">
        <v>414</v>
      </c>
      <c r="D9752" s="382" t="s">
        <v>415</v>
      </c>
      <c r="E9752" s="586" t="s">
        <v>1029</v>
      </c>
      <c r="F9752" s="586"/>
      <c r="G9752" s="383" t="s">
        <v>416</v>
      </c>
      <c r="H9752" s="312" t="s">
        <v>1030</v>
      </c>
      <c r="I9752" s="312" t="s">
        <v>3016</v>
      </c>
      <c r="J9752" s="312" t="s">
        <v>1031</v>
      </c>
      <c r="K9752" s="312" t="s">
        <v>1032</v>
      </c>
    </row>
    <row r="9753" spans="1:11" ht="15" x14ac:dyDescent="0.3">
      <c r="A9753" s="313" t="s">
        <v>1033</v>
      </c>
      <c r="B9753" s="315" t="s">
        <v>5264</v>
      </c>
      <c r="C9753" s="313" t="s">
        <v>395</v>
      </c>
      <c r="D9753" s="313" t="s">
        <v>5265</v>
      </c>
      <c r="E9753" s="603" t="s">
        <v>7768</v>
      </c>
      <c r="F9753" s="603"/>
      <c r="G9753" s="314" t="s">
        <v>6</v>
      </c>
      <c r="H9753" s="399">
        <v>1</v>
      </c>
      <c r="I9753" s="316"/>
      <c r="J9753" s="316">
        <v>41.69</v>
      </c>
      <c r="K9753" s="316">
        <v>41.69</v>
      </c>
    </row>
    <row r="9754" spans="1:11" ht="26.4" x14ac:dyDescent="0.3">
      <c r="A9754" s="408" t="s">
        <v>1034</v>
      </c>
      <c r="B9754" s="409" t="s">
        <v>8154</v>
      </c>
      <c r="C9754" s="408" t="s">
        <v>395</v>
      </c>
      <c r="D9754" s="408" t="s">
        <v>8155</v>
      </c>
      <c r="E9754" s="604" t="s">
        <v>7768</v>
      </c>
      <c r="F9754" s="604"/>
      <c r="G9754" s="410" t="s">
        <v>6</v>
      </c>
      <c r="H9754" s="412">
        <v>1</v>
      </c>
      <c r="I9754" s="412">
        <v>0</v>
      </c>
      <c r="J9754" s="411">
        <v>0.36</v>
      </c>
      <c r="K9754" s="411">
        <v>0.36</v>
      </c>
    </row>
    <row r="9755" spans="1:11" ht="15" x14ac:dyDescent="0.3">
      <c r="A9755" s="400" t="s">
        <v>1038</v>
      </c>
      <c r="B9755" s="401" t="s">
        <v>4664</v>
      </c>
      <c r="C9755" s="400" t="s">
        <v>395</v>
      </c>
      <c r="D9755" s="400" t="s">
        <v>4665</v>
      </c>
      <c r="E9755" s="605" t="s">
        <v>1053</v>
      </c>
      <c r="F9755" s="605"/>
      <c r="G9755" s="402" t="s">
        <v>6</v>
      </c>
      <c r="H9755" s="403">
        <v>1</v>
      </c>
      <c r="I9755" s="403">
        <v>0</v>
      </c>
      <c r="J9755" s="404">
        <v>31.51</v>
      </c>
      <c r="K9755" s="404">
        <v>31.51</v>
      </c>
    </row>
    <row r="9756" spans="1:11" ht="15" x14ac:dyDescent="0.3">
      <c r="A9756" s="400" t="s">
        <v>1038</v>
      </c>
      <c r="B9756" s="401" t="s">
        <v>4028</v>
      </c>
      <c r="C9756" s="400" t="s">
        <v>395</v>
      </c>
      <c r="D9756" s="400" t="s">
        <v>4029</v>
      </c>
      <c r="E9756" s="605" t="s">
        <v>4030</v>
      </c>
      <c r="F9756" s="605"/>
      <c r="G9756" s="402" t="s">
        <v>6</v>
      </c>
      <c r="H9756" s="403">
        <v>1</v>
      </c>
      <c r="I9756" s="403">
        <v>0</v>
      </c>
      <c r="J9756" s="404">
        <v>4.78</v>
      </c>
      <c r="K9756" s="404">
        <v>4.78</v>
      </c>
    </row>
    <row r="9757" spans="1:11" ht="15" x14ac:dyDescent="0.3">
      <c r="A9757" s="400" t="s">
        <v>1038</v>
      </c>
      <c r="B9757" s="401" t="s">
        <v>4066</v>
      </c>
      <c r="C9757" s="400" t="s">
        <v>395</v>
      </c>
      <c r="D9757" s="400" t="s">
        <v>4067</v>
      </c>
      <c r="E9757" s="605" t="s">
        <v>2381</v>
      </c>
      <c r="F9757" s="605"/>
      <c r="G9757" s="402" t="s">
        <v>6</v>
      </c>
      <c r="H9757" s="403">
        <v>1</v>
      </c>
      <c r="I9757" s="403">
        <v>0</v>
      </c>
      <c r="J9757" s="404">
        <v>1.72</v>
      </c>
      <c r="K9757" s="404">
        <v>1.72</v>
      </c>
    </row>
    <row r="9758" spans="1:11" ht="15" x14ac:dyDescent="0.3">
      <c r="A9758" s="400" t="s">
        <v>1038</v>
      </c>
      <c r="B9758" s="401" t="s">
        <v>4078</v>
      </c>
      <c r="C9758" s="400" t="s">
        <v>395</v>
      </c>
      <c r="D9758" s="400" t="s">
        <v>4079</v>
      </c>
      <c r="E9758" s="605" t="s">
        <v>4030</v>
      </c>
      <c r="F9758" s="605"/>
      <c r="G9758" s="402" t="s">
        <v>6</v>
      </c>
      <c r="H9758" s="403">
        <v>1</v>
      </c>
      <c r="I9758" s="403">
        <v>0</v>
      </c>
      <c r="J9758" s="404">
        <v>1.25</v>
      </c>
      <c r="K9758" s="404">
        <v>1.25</v>
      </c>
    </row>
    <row r="9759" spans="1:11" ht="15" x14ac:dyDescent="0.3">
      <c r="A9759" s="400" t="s">
        <v>1038</v>
      </c>
      <c r="B9759" s="401" t="s">
        <v>4274</v>
      </c>
      <c r="C9759" s="400" t="s">
        <v>395</v>
      </c>
      <c r="D9759" s="400" t="s">
        <v>4275</v>
      </c>
      <c r="E9759" s="605" t="s">
        <v>2386</v>
      </c>
      <c r="F9759" s="605"/>
      <c r="G9759" s="402" t="s">
        <v>6</v>
      </c>
      <c r="H9759" s="403">
        <v>1</v>
      </c>
      <c r="I9759" s="403">
        <v>0</v>
      </c>
      <c r="J9759" s="404">
        <v>0.11</v>
      </c>
      <c r="K9759" s="404">
        <v>0.11</v>
      </c>
    </row>
    <row r="9760" spans="1:11" ht="26.4" x14ac:dyDescent="0.3">
      <c r="A9760" s="400" t="s">
        <v>1038</v>
      </c>
      <c r="B9760" s="401" t="s">
        <v>4212</v>
      </c>
      <c r="C9760" s="400" t="s">
        <v>395</v>
      </c>
      <c r="D9760" s="400" t="s">
        <v>4213</v>
      </c>
      <c r="E9760" s="605" t="s">
        <v>1317</v>
      </c>
      <c r="F9760" s="605"/>
      <c r="G9760" s="402" t="s">
        <v>6</v>
      </c>
      <c r="H9760" s="403">
        <v>1</v>
      </c>
      <c r="I9760" s="403">
        <v>0</v>
      </c>
      <c r="J9760" s="404">
        <v>0.28000000000000003</v>
      </c>
      <c r="K9760" s="404">
        <v>0.28000000000000003</v>
      </c>
    </row>
    <row r="9761" spans="1:11" ht="26.4" x14ac:dyDescent="0.3">
      <c r="A9761" s="400" t="s">
        <v>1038</v>
      </c>
      <c r="B9761" s="401" t="s">
        <v>4129</v>
      </c>
      <c r="C9761" s="400" t="s">
        <v>395</v>
      </c>
      <c r="D9761" s="400" t="s">
        <v>4130</v>
      </c>
      <c r="E9761" s="605" t="s">
        <v>1317</v>
      </c>
      <c r="F9761" s="605"/>
      <c r="G9761" s="402" t="s">
        <v>6</v>
      </c>
      <c r="H9761" s="403">
        <v>1</v>
      </c>
      <c r="I9761" s="403">
        <v>0</v>
      </c>
      <c r="J9761" s="404">
        <v>1.68</v>
      </c>
      <c r="K9761" s="404">
        <v>1.68</v>
      </c>
    </row>
    <row r="9762" spans="1:11" ht="15" x14ac:dyDescent="0.3">
      <c r="A9762" s="405"/>
      <c r="B9762" s="405"/>
      <c r="C9762" s="405"/>
      <c r="D9762" s="405"/>
      <c r="E9762" s="405" t="s">
        <v>1046</v>
      </c>
      <c r="F9762" s="406">
        <v>31.87</v>
      </c>
      <c r="G9762" s="405" t="s">
        <v>1047</v>
      </c>
      <c r="H9762" s="406">
        <v>0</v>
      </c>
      <c r="I9762" s="405" t="s">
        <v>1048</v>
      </c>
      <c r="J9762" s="406">
        <v>31.87</v>
      </c>
      <c r="K9762"/>
    </row>
    <row r="9763" spans="1:11" ht="15.6" thickBot="1" x14ac:dyDescent="0.35">
      <c r="A9763" s="405"/>
      <c r="B9763" s="405"/>
      <c r="C9763" s="405"/>
      <c r="D9763" s="405"/>
      <c r="E9763" s="405" t="s">
        <v>1049</v>
      </c>
      <c r="F9763" s="406">
        <v>0</v>
      </c>
      <c r="G9763" s="405"/>
      <c r="H9763" s="606"/>
      <c r="I9763" s="606" t="s">
        <v>1050</v>
      </c>
      <c r="J9763" s="406">
        <v>41.69</v>
      </c>
      <c r="K9763"/>
    </row>
    <row r="9764" spans="1:11" ht="15.6" thickTop="1" x14ac:dyDescent="0.3">
      <c r="A9764" s="407"/>
      <c r="B9764" s="407"/>
      <c r="C9764" s="407"/>
      <c r="D9764" s="407"/>
      <c r="E9764" s="407"/>
      <c r="F9764" s="407"/>
      <c r="G9764" s="407"/>
      <c r="H9764" s="407"/>
      <c r="I9764" s="407"/>
      <c r="J9764" s="407"/>
      <c r="K9764"/>
    </row>
    <row r="9765" spans="1:11" ht="15" x14ac:dyDescent="0.3">
      <c r="A9765" s="382"/>
      <c r="B9765" s="312" t="s">
        <v>413</v>
      </c>
      <c r="C9765" s="382" t="s">
        <v>414</v>
      </c>
      <c r="D9765" s="382" t="s">
        <v>415</v>
      </c>
      <c r="E9765" s="586" t="s">
        <v>1029</v>
      </c>
      <c r="F9765" s="586"/>
      <c r="G9765" s="383" t="s">
        <v>416</v>
      </c>
      <c r="H9765" s="312" t="s">
        <v>1030</v>
      </c>
      <c r="I9765" s="312" t="s">
        <v>3016</v>
      </c>
      <c r="J9765" s="312" t="s">
        <v>1031</v>
      </c>
      <c r="K9765" s="312" t="s">
        <v>1032</v>
      </c>
    </row>
    <row r="9766" spans="1:11" ht="52.8" x14ac:dyDescent="0.3">
      <c r="A9766" s="313" t="s">
        <v>1033</v>
      </c>
      <c r="B9766" s="315" t="s">
        <v>5142</v>
      </c>
      <c r="C9766" s="313" t="s">
        <v>395</v>
      </c>
      <c r="D9766" s="313" t="s">
        <v>5143</v>
      </c>
      <c r="E9766" s="603" t="s">
        <v>7779</v>
      </c>
      <c r="F9766" s="603"/>
      <c r="G9766" s="314" t="s">
        <v>675</v>
      </c>
      <c r="H9766" s="399">
        <v>1</v>
      </c>
      <c r="I9766" s="316"/>
      <c r="J9766" s="316">
        <v>60.44</v>
      </c>
      <c r="K9766" s="316">
        <v>60.44</v>
      </c>
    </row>
    <row r="9767" spans="1:11" ht="26.4" x14ac:dyDescent="0.3">
      <c r="A9767" s="408" t="s">
        <v>1034</v>
      </c>
      <c r="B9767" s="409" t="s">
        <v>1290</v>
      </c>
      <c r="C9767" s="408" t="s">
        <v>395</v>
      </c>
      <c r="D9767" s="408" t="s">
        <v>147</v>
      </c>
      <c r="E9767" s="604" t="s">
        <v>7768</v>
      </c>
      <c r="F9767" s="604"/>
      <c r="G9767" s="410" t="s">
        <v>6</v>
      </c>
      <c r="H9767" s="412">
        <v>0.16600000000000001</v>
      </c>
      <c r="I9767" s="412">
        <v>0</v>
      </c>
      <c r="J9767" s="411">
        <v>32.82</v>
      </c>
      <c r="K9767" s="411">
        <v>5.4481200000000003</v>
      </c>
    </row>
    <row r="9768" spans="1:11" ht="26.4" x14ac:dyDescent="0.3">
      <c r="A9768" s="408" t="s">
        <v>1034</v>
      </c>
      <c r="B9768" s="409" t="s">
        <v>5264</v>
      </c>
      <c r="C9768" s="408" t="s">
        <v>395</v>
      </c>
      <c r="D9768" s="408" t="s">
        <v>5265</v>
      </c>
      <c r="E9768" s="604" t="s">
        <v>7768</v>
      </c>
      <c r="F9768" s="604"/>
      <c r="G9768" s="410" t="s">
        <v>6</v>
      </c>
      <c r="H9768" s="412">
        <v>0.128</v>
      </c>
      <c r="I9768" s="412">
        <v>0</v>
      </c>
      <c r="J9768" s="411">
        <v>41.69</v>
      </c>
      <c r="K9768" s="411">
        <v>5.3363199999999997</v>
      </c>
    </row>
    <row r="9769" spans="1:11" ht="26.4" x14ac:dyDescent="0.3">
      <c r="A9769" s="408" t="s">
        <v>1034</v>
      </c>
      <c r="B9769" s="409" t="s">
        <v>8209</v>
      </c>
      <c r="C9769" s="408" t="s">
        <v>395</v>
      </c>
      <c r="D9769" s="408" t="s">
        <v>8210</v>
      </c>
      <c r="E9769" s="604" t="s">
        <v>7772</v>
      </c>
      <c r="F9769" s="604"/>
      <c r="G9769" s="410" t="s">
        <v>15</v>
      </c>
      <c r="H9769" s="412">
        <v>5.3E-3</v>
      </c>
      <c r="I9769" s="412">
        <v>0</v>
      </c>
      <c r="J9769" s="411">
        <v>35.479999999999997</v>
      </c>
      <c r="K9769" s="411">
        <v>0.18804399999999999</v>
      </c>
    </row>
    <row r="9770" spans="1:11" ht="26.4" x14ac:dyDescent="0.3">
      <c r="A9770" s="408" t="s">
        <v>1034</v>
      </c>
      <c r="B9770" s="409" t="s">
        <v>8201</v>
      </c>
      <c r="C9770" s="408" t="s">
        <v>395</v>
      </c>
      <c r="D9770" s="408" t="s">
        <v>8202</v>
      </c>
      <c r="E9770" s="604" t="s">
        <v>7772</v>
      </c>
      <c r="F9770" s="604"/>
      <c r="G9770" s="410" t="s">
        <v>19</v>
      </c>
      <c r="H9770" s="412">
        <v>7.3000000000000001E-3</v>
      </c>
      <c r="I9770" s="412">
        <v>0</v>
      </c>
      <c r="J9770" s="411">
        <v>34.18</v>
      </c>
      <c r="K9770" s="411">
        <v>0.24951400000000001</v>
      </c>
    </row>
    <row r="9771" spans="1:11" ht="26.4" x14ac:dyDescent="0.3">
      <c r="A9771" s="400" t="s">
        <v>1038</v>
      </c>
      <c r="B9771" s="401" t="s">
        <v>4949</v>
      </c>
      <c r="C9771" s="400" t="s">
        <v>395</v>
      </c>
      <c r="D9771" s="400" t="s">
        <v>4950</v>
      </c>
      <c r="E9771" s="605" t="s">
        <v>1039</v>
      </c>
      <c r="F9771" s="605"/>
      <c r="G9771" s="402" t="s">
        <v>380</v>
      </c>
      <c r="H9771" s="403">
        <v>1.26</v>
      </c>
      <c r="I9771" s="403">
        <v>0</v>
      </c>
      <c r="J9771" s="404">
        <v>0.32</v>
      </c>
      <c r="K9771" s="404">
        <v>0.4032</v>
      </c>
    </row>
    <row r="9772" spans="1:11" ht="26.4" x14ac:dyDescent="0.3">
      <c r="A9772" s="400" t="s">
        <v>1038</v>
      </c>
      <c r="B9772" s="401" t="s">
        <v>4638</v>
      </c>
      <c r="C9772" s="400" t="s">
        <v>395</v>
      </c>
      <c r="D9772" s="400" t="s">
        <v>4639</v>
      </c>
      <c r="E9772" s="605" t="s">
        <v>1039</v>
      </c>
      <c r="F9772" s="605"/>
      <c r="G9772" s="402" t="s">
        <v>4</v>
      </c>
      <c r="H9772" s="403">
        <v>1.26</v>
      </c>
      <c r="I9772" s="403">
        <v>0</v>
      </c>
      <c r="J9772" s="404">
        <v>4.8499999999999996</v>
      </c>
      <c r="K9772" s="404">
        <v>6.1109999999999998</v>
      </c>
    </row>
    <row r="9773" spans="1:11" ht="26.4" x14ac:dyDescent="0.3">
      <c r="A9773" s="400" t="s">
        <v>1038</v>
      </c>
      <c r="B9773" s="401" t="s">
        <v>4228</v>
      </c>
      <c r="C9773" s="400" t="s">
        <v>395</v>
      </c>
      <c r="D9773" s="400" t="s">
        <v>4229</v>
      </c>
      <c r="E9773" s="605" t="s">
        <v>1039</v>
      </c>
      <c r="F9773" s="605"/>
      <c r="G9773" s="402" t="s">
        <v>675</v>
      </c>
      <c r="H9773" s="403">
        <v>1.357</v>
      </c>
      <c r="I9773" s="403">
        <v>0</v>
      </c>
      <c r="J9773" s="404">
        <v>31.47</v>
      </c>
      <c r="K9773" s="404">
        <v>42.704790000000003</v>
      </c>
    </row>
    <row r="9774" spans="1:11" ht="15" x14ac:dyDescent="0.3">
      <c r="A9774" s="405"/>
      <c r="B9774" s="405"/>
      <c r="C9774" s="405"/>
      <c r="D9774" s="405"/>
      <c r="E9774" s="405" t="s">
        <v>1046</v>
      </c>
      <c r="F9774" s="406">
        <v>8.14</v>
      </c>
      <c r="G9774" s="405" t="s">
        <v>1047</v>
      </c>
      <c r="H9774" s="406">
        <v>0</v>
      </c>
      <c r="I9774" s="405" t="s">
        <v>1048</v>
      </c>
      <c r="J9774" s="406">
        <v>8.14</v>
      </c>
      <c r="K9774"/>
    </row>
    <row r="9775" spans="1:11" ht="15.6" thickBot="1" x14ac:dyDescent="0.35">
      <c r="A9775" s="405"/>
      <c r="B9775" s="405"/>
      <c r="C9775" s="405"/>
      <c r="D9775" s="405"/>
      <c r="E9775" s="405" t="s">
        <v>1049</v>
      </c>
      <c r="F9775" s="406">
        <v>0</v>
      </c>
      <c r="G9775" s="405"/>
      <c r="H9775" s="606"/>
      <c r="I9775" s="606" t="s">
        <v>1050</v>
      </c>
      <c r="J9775" s="406">
        <v>60.44</v>
      </c>
      <c r="K9775"/>
    </row>
    <row r="9776" spans="1:11" ht="15.6" thickTop="1" x14ac:dyDescent="0.3">
      <c r="A9776" s="407"/>
      <c r="B9776" s="407"/>
      <c r="C9776" s="407"/>
      <c r="D9776" s="407"/>
      <c r="E9776" s="407"/>
      <c r="F9776" s="407"/>
      <c r="G9776" s="407"/>
      <c r="H9776" s="407"/>
      <c r="I9776" s="407"/>
      <c r="J9776" s="407"/>
      <c r="K9776"/>
    </row>
    <row r="9777" spans="1:11" ht="15" x14ac:dyDescent="0.3">
      <c r="A9777" s="382"/>
      <c r="B9777" s="312" t="s">
        <v>413</v>
      </c>
      <c r="C9777" s="382" t="s">
        <v>414</v>
      </c>
      <c r="D9777" s="382" t="s">
        <v>415</v>
      </c>
      <c r="E9777" s="586" t="s">
        <v>1029</v>
      </c>
      <c r="F9777" s="586"/>
      <c r="G9777" s="383" t="s">
        <v>416</v>
      </c>
      <c r="H9777" s="312" t="s">
        <v>1030</v>
      </c>
      <c r="I9777" s="312" t="s">
        <v>3016</v>
      </c>
      <c r="J9777" s="312" t="s">
        <v>1031</v>
      </c>
      <c r="K9777" s="312" t="s">
        <v>1032</v>
      </c>
    </row>
    <row r="9778" spans="1:11" ht="39.6" x14ac:dyDescent="0.3">
      <c r="A9778" s="313" t="s">
        <v>1033</v>
      </c>
      <c r="B9778" s="315" t="s">
        <v>7879</v>
      </c>
      <c r="C9778" s="313" t="s">
        <v>395</v>
      </c>
      <c r="D9778" s="313" t="s">
        <v>7880</v>
      </c>
      <c r="E9778" s="603" t="s">
        <v>7772</v>
      </c>
      <c r="F9778" s="603"/>
      <c r="G9778" s="314" t="s">
        <v>15</v>
      </c>
      <c r="H9778" s="399">
        <v>1</v>
      </c>
      <c r="I9778" s="316"/>
      <c r="J9778" s="316">
        <v>0.97</v>
      </c>
      <c r="K9778" s="316">
        <v>0.97</v>
      </c>
    </row>
    <row r="9779" spans="1:11" ht="15" x14ac:dyDescent="0.3">
      <c r="A9779" s="581"/>
      <c r="B9779" s="581"/>
      <c r="C9779" s="581"/>
      <c r="D9779" s="581"/>
      <c r="E9779" s="581"/>
      <c r="F9779" s="581" t="s">
        <v>7961</v>
      </c>
      <c r="G9779" s="581"/>
      <c r="H9779" s="581"/>
      <c r="I9779" s="581"/>
      <c r="J9779" s="413">
        <v>0</v>
      </c>
      <c r="K9779"/>
    </row>
    <row r="9780" spans="1:11" ht="15" x14ac:dyDescent="0.3">
      <c r="A9780" s="581"/>
      <c r="B9780" s="581"/>
      <c r="C9780" s="581"/>
      <c r="D9780" s="581"/>
      <c r="E9780" s="581"/>
      <c r="F9780" s="581" t="s">
        <v>7962</v>
      </c>
      <c r="G9780" s="581"/>
      <c r="H9780" s="581"/>
      <c r="I9780" s="581"/>
      <c r="J9780" s="413">
        <v>0</v>
      </c>
      <c r="K9780"/>
    </row>
    <row r="9781" spans="1:11" ht="15" x14ac:dyDescent="0.3">
      <c r="A9781" s="581"/>
      <c r="B9781" s="581"/>
      <c r="C9781" s="581"/>
      <c r="D9781" s="581"/>
      <c r="E9781" s="581"/>
      <c r="F9781" s="581" t="s">
        <v>7963</v>
      </c>
      <c r="G9781" s="581"/>
      <c r="H9781" s="581"/>
      <c r="I9781" s="581"/>
      <c r="J9781" s="413">
        <v>0</v>
      </c>
      <c r="K9781"/>
    </row>
    <row r="9782" spans="1:11" ht="15" x14ac:dyDescent="0.3">
      <c r="A9782" s="581"/>
      <c r="B9782" s="581"/>
      <c r="C9782" s="581"/>
      <c r="D9782" s="581"/>
      <c r="E9782" s="581"/>
      <c r="F9782" s="581" t="s">
        <v>7964</v>
      </c>
      <c r="G9782" s="581"/>
      <c r="H9782" s="581"/>
      <c r="I9782" s="581"/>
      <c r="J9782" s="413">
        <v>0</v>
      </c>
      <c r="K9782"/>
    </row>
    <row r="9783" spans="1:11" ht="15" x14ac:dyDescent="0.3">
      <c r="A9783" s="581"/>
      <c r="B9783" s="581"/>
      <c r="C9783" s="581"/>
      <c r="D9783" s="581"/>
      <c r="E9783" s="581"/>
      <c r="F9783" s="581" t="s">
        <v>7965</v>
      </c>
      <c r="G9783" s="581"/>
      <c r="H9783" s="581"/>
      <c r="I9783" s="581"/>
      <c r="J9783" s="413">
        <v>0</v>
      </c>
      <c r="K9783"/>
    </row>
    <row r="9784" spans="1:11" ht="15" x14ac:dyDescent="0.3">
      <c r="A9784" s="382" t="s">
        <v>7969</v>
      </c>
      <c r="B9784" s="312" t="s">
        <v>414</v>
      </c>
      <c r="C9784" s="382" t="s">
        <v>413</v>
      </c>
      <c r="D9784" s="382" t="s">
        <v>7970</v>
      </c>
      <c r="E9784" s="312" t="s">
        <v>1552</v>
      </c>
      <c r="F9784" s="312" t="s">
        <v>7907</v>
      </c>
      <c r="G9784" s="584" t="s">
        <v>7967</v>
      </c>
      <c r="H9784" s="584"/>
      <c r="I9784" s="584"/>
      <c r="J9784" s="312" t="s">
        <v>7905</v>
      </c>
      <c r="K9784"/>
    </row>
    <row r="9785" spans="1:11" ht="39.6" x14ac:dyDescent="0.3">
      <c r="A9785" s="408" t="s">
        <v>7922</v>
      </c>
      <c r="B9785" s="409" t="s">
        <v>395</v>
      </c>
      <c r="C9785" s="408">
        <v>104087</v>
      </c>
      <c r="D9785" s="408" t="s">
        <v>8312</v>
      </c>
      <c r="E9785" s="412">
        <v>1</v>
      </c>
      <c r="F9785" s="410" t="s">
        <v>6</v>
      </c>
      <c r="G9785" s="608">
        <v>0.04</v>
      </c>
      <c r="H9785" s="608"/>
      <c r="I9785" s="604"/>
      <c r="J9785" s="415">
        <v>0.04</v>
      </c>
      <c r="K9785"/>
    </row>
    <row r="9786" spans="1:11" ht="26.4" x14ac:dyDescent="0.3">
      <c r="A9786" s="408" t="s">
        <v>7922</v>
      </c>
      <c r="B9786" s="409" t="s">
        <v>395</v>
      </c>
      <c r="C9786" s="408">
        <v>104088</v>
      </c>
      <c r="D9786" s="408" t="s">
        <v>8313</v>
      </c>
      <c r="E9786" s="412">
        <v>1</v>
      </c>
      <c r="F9786" s="410" t="s">
        <v>6</v>
      </c>
      <c r="G9786" s="608">
        <v>0.01</v>
      </c>
      <c r="H9786" s="608"/>
      <c r="I9786" s="604"/>
      <c r="J9786" s="415">
        <v>0.01</v>
      </c>
      <c r="K9786"/>
    </row>
    <row r="9787" spans="1:11" ht="39.6" x14ac:dyDescent="0.3">
      <c r="A9787" s="408" t="s">
        <v>7922</v>
      </c>
      <c r="B9787" s="409" t="s">
        <v>395</v>
      </c>
      <c r="C9787" s="408">
        <v>104089</v>
      </c>
      <c r="D9787" s="408" t="s">
        <v>8314</v>
      </c>
      <c r="E9787" s="412">
        <v>1</v>
      </c>
      <c r="F9787" s="410" t="s">
        <v>6</v>
      </c>
      <c r="G9787" s="608">
        <v>0.05</v>
      </c>
      <c r="H9787" s="608"/>
      <c r="I9787" s="604"/>
      <c r="J9787" s="415">
        <v>0.05</v>
      </c>
      <c r="K9787"/>
    </row>
    <row r="9788" spans="1:11" ht="39.6" x14ac:dyDescent="0.3">
      <c r="A9788" s="408" t="s">
        <v>7922</v>
      </c>
      <c r="B9788" s="409" t="s">
        <v>395</v>
      </c>
      <c r="C9788" s="408">
        <v>104090</v>
      </c>
      <c r="D9788" s="408" t="s">
        <v>8315</v>
      </c>
      <c r="E9788" s="412">
        <v>1</v>
      </c>
      <c r="F9788" s="410" t="s">
        <v>6</v>
      </c>
      <c r="G9788" s="608">
        <v>0.87</v>
      </c>
      <c r="H9788" s="608"/>
      <c r="I9788" s="604"/>
      <c r="J9788" s="415">
        <v>0.87</v>
      </c>
      <c r="K9788"/>
    </row>
    <row r="9789" spans="1:11" ht="15" x14ac:dyDescent="0.3">
      <c r="A9789" s="581"/>
      <c r="B9789" s="581"/>
      <c r="C9789" s="581"/>
      <c r="D9789" s="581"/>
      <c r="E9789" s="581"/>
      <c r="F9789" s="581" t="s">
        <v>7971</v>
      </c>
      <c r="G9789" s="581"/>
      <c r="H9789" s="581"/>
      <c r="I9789" s="581"/>
      <c r="J9789" s="413">
        <v>0.97</v>
      </c>
      <c r="K9789"/>
    </row>
    <row r="9790" spans="1:11" ht="15" x14ac:dyDescent="0.3">
      <c r="A9790" s="405"/>
      <c r="B9790" s="405"/>
      <c r="C9790" s="405"/>
      <c r="D9790" s="405"/>
      <c r="E9790" s="405" t="s">
        <v>1046</v>
      </c>
      <c r="F9790" s="406">
        <v>0</v>
      </c>
      <c r="G9790" s="405" t="s">
        <v>1047</v>
      </c>
      <c r="H9790" s="406">
        <v>0</v>
      </c>
      <c r="I9790" s="405" t="s">
        <v>1048</v>
      </c>
      <c r="J9790" s="406">
        <v>0</v>
      </c>
      <c r="K9790"/>
    </row>
    <row r="9791" spans="1:11" ht="15.6" thickBot="1" x14ac:dyDescent="0.35">
      <c r="A9791" s="405"/>
      <c r="B9791" s="405"/>
      <c r="C9791" s="405"/>
      <c r="D9791" s="405"/>
      <c r="E9791" s="405" t="s">
        <v>1049</v>
      </c>
      <c r="F9791" s="406">
        <v>0</v>
      </c>
      <c r="G9791" s="405"/>
      <c r="H9791" s="606"/>
      <c r="I9791" s="606" t="s">
        <v>1050</v>
      </c>
      <c r="J9791" s="406">
        <v>0.97</v>
      </c>
      <c r="K9791"/>
    </row>
    <row r="9792" spans="1:11" ht="15.6" thickTop="1" x14ac:dyDescent="0.3">
      <c r="A9792" s="407"/>
      <c r="B9792" s="407"/>
      <c r="C9792" s="407"/>
      <c r="D9792" s="407"/>
      <c r="E9792" s="407"/>
      <c r="F9792" s="407"/>
      <c r="G9792" s="407"/>
      <c r="H9792" s="407"/>
      <c r="I9792" s="407"/>
      <c r="J9792" s="407"/>
      <c r="K9792"/>
    </row>
    <row r="9793" spans="1:11" ht="15" x14ac:dyDescent="0.3">
      <c r="A9793" s="382"/>
      <c r="B9793" s="312" t="s">
        <v>413</v>
      </c>
      <c r="C9793" s="382" t="s">
        <v>414</v>
      </c>
      <c r="D9793" s="382" t="s">
        <v>415</v>
      </c>
      <c r="E9793" s="586" t="s">
        <v>1029</v>
      </c>
      <c r="F9793" s="586"/>
      <c r="G9793" s="383" t="s">
        <v>416</v>
      </c>
      <c r="H9793" s="312" t="s">
        <v>1030</v>
      </c>
      <c r="I9793" s="312" t="s">
        <v>3016</v>
      </c>
      <c r="J9793" s="312" t="s">
        <v>1031</v>
      </c>
      <c r="K9793" s="312" t="s">
        <v>1032</v>
      </c>
    </row>
    <row r="9794" spans="1:11" ht="39.6" x14ac:dyDescent="0.3">
      <c r="A9794" s="313" t="s">
        <v>1033</v>
      </c>
      <c r="B9794" s="315" t="s">
        <v>8316</v>
      </c>
      <c r="C9794" s="313" t="s">
        <v>395</v>
      </c>
      <c r="D9794" s="313" t="s">
        <v>8312</v>
      </c>
      <c r="E9794" s="603" t="s">
        <v>7946</v>
      </c>
      <c r="F9794" s="603"/>
      <c r="G9794" s="314" t="s">
        <v>6</v>
      </c>
      <c r="H9794" s="399">
        <v>1</v>
      </c>
      <c r="I9794" s="316"/>
      <c r="J9794" s="316">
        <v>0.04</v>
      </c>
      <c r="K9794" s="316">
        <v>0.04</v>
      </c>
    </row>
    <row r="9795" spans="1:11" ht="15" x14ac:dyDescent="0.3">
      <c r="A9795" s="581"/>
      <c r="B9795" s="581"/>
      <c r="C9795" s="581"/>
      <c r="D9795" s="581"/>
      <c r="E9795" s="581"/>
      <c r="F9795" s="581" t="s">
        <v>7961</v>
      </c>
      <c r="G9795" s="581"/>
      <c r="H9795" s="581"/>
      <c r="I9795" s="581"/>
      <c r="J9795" s="413">
        <v>0</v>
      </c>
      <c r="K9795"/>
    </row>
    <row r="9796" spans="1:11" ht="15" x14ac:dyDescent="0.3">
      <c r="A9796" s="581"/>
      <c r="B9796" s="581"/>
      <c r="C9796" s="581"/>
      <c r="D9796" s="581"/>
      <c r="E9796" s="581"/>
      <c r="F9796" s="581" t="s">
        <v>7962</v>
      </c>
      <c r="G9796" s="581"/>
      <c r="H9796" s="581"/>
      <c r="I9796" s="581"/>
      <c r="J9796" s="413">
        <v>0</v>
      </c>
      <c r="K9796"/>
    </row>
    <row r="9797" spans="1:11" ht="15" x14ac:dyDescent="0.3">
      <c r="A9797" s="581"/>
      <c r="B9797" s="581"/>
      <c r="C9797" s="581"/>
      <c r="D9797" s="581"/>
      <c r="E9797" s="581"/>
      <c r="F9797" s="581" t="s">
        <v>7963</v>
      </c>
      <c r="G9797" s="581"/>
      <c r="H9797" s="581"/>
      <c r="I9797" s="581"/>
      <c r="J9797" s="413">
        <v>0</v>
      </c>
      <c r="K9797"/>
    </row>
    <row r="9798" spans="1:11" ht="15" x14ac:dyDescent="0.3">
      <c r="A9798" s="581"/>
      <c r="B9798" s="581"/>
      <c r="C9798" s="581"/>
      <c r="D9798" s="581"/>
      <c r="E9798" s="581"/>
      <c r="F9798" s="581" t="s">
        <v>7964</v>
      </c>
      <c r="G9798" s="581"/>
      <c r="H9798" s="581"/>
      <c r="I9798" s="581"/>
      <c r="J9798" s="413">
        <v>0</v>
      </c>
      <c r="K9798"/>
    </row>
    <row r="9799" spans="1:11" ht="15" x14ac:dyDescent="0.3">
      <c r="A9799" s="581"/>
      <c r="B9799" s="581"/>
      <c r="C9799" s="581"/>
      <c r="D9799" s="581"/>
      <c r="E9799" s="581"/>
      <c r="F9799" s="581" t="s">
        <v>7965</v>
      </c>
      <c r="G9799" s="581"/>
      <c r="H9799" s="581"/>
      <c r="I9799" s="581"/>
      <c r="J9799" s="413">
        <v>0</v>
      </c>
      <c r="K9799"/>
    </row>
    <row r="9800" spans="1:11" ht="15" x14ac:dyDescent="0.3">
      <c r="A9800" s="382" t="s">
        <v>7921</v>
      </c>
      <c r="B9800" s="312" t="s">
        <v>414</v>
      </c>
      <c r="C9800" s="382" t="s">
        <v>413</v>
      </c>
      <c r="D9800" s="382" t="s">
        <v>8317</v>
      </c>
      <c r="E9800" s="312" t="s">
        <v>1552</v>
      </c>
      <c r="F9800" s="312" t="s">
        <v>7907</v>
      </c>
      <c r="G9800" s="584" t="s">
        <v>7967</v>
      </c>
      <c r="H9800" s="584"/>
      <c r="I9800" s="584"/>
      <c r="J9800" s="312" t="s">
        <v>7905</v>
      </c>
      <c r="K9800"/>
    </row>
    <row r="9801" spans="1:11" ht="26.4" x14ac:dyDescent="0.3">
      <c r="A9801" s="400" t="s">
        <v>1038</v>
      </c>
      <c r="B9801" s="401" t="s">
        <v>395</v>
      </c>
      <c r="C9801" s="400">
        <v>38415</v>
      </c>
      <c r="D9801" s="400" t="s">
        <v>7754</v>
      </c>
      <c r="E9801" s="403">
        <v>6.3999999999999997E-5</v>
      </c>
      <c r="F9801" s="402" t="s">
        <v>4</v>
      </c>
      <c r="G9801" s="607">
        <v>608.07000000000005</v>
      </c>
      <c r="H9801" s="607"/>
      <c r="I9801" s="605"/>
      <c r="J9801" s="414">
        <v>3.8899999999999997E-2</v>
      </c>
      <c r="K9801"/>
    </row>
    <row r="9802" spans="1:11" ht="15" x14ac:dyDescent="0.3">
      <c r="A9802" s="581"/>
      <c r="B9802" s="581"/>
      <c r="C9802" s="581"/>
      <c r="D9802" s="581"/>
      <c r="E9802" s="581"/>
      <c r="F9802" s="581" t="s">
        <v>8318</v>
      </c>
      <c r="G9802" s="581"/>
      <c r="H9802" s="581"/>
      <c r="I9802" s="581"/>
      <c r="J9802" s="413">
        <v>3.8899999999999997E-2</v>
      </c>
      <c r="K9802"/>
    </row>
    <row r="9803" spans="1:11" ht="15" x14ac:dyDescent="0.3">
      <c r="A9803" s="405"/>
      <c r="B9803" s="405"/>
      <c r="C9803" s="405"/>
      <c r="D9803" s="405"/>
      <c r="E9803" s="405" t="s">
        <v>1046</v>
      </c>
      <c r="F9803" s="406">
        <v>0</v>
      </c>
      <c r="G9803" s="405" t="s">
        <v>1047</v>
      </c>
      <c r="H9803" s="406">
        <v>0</v>
      </c>
      <c r="I9803" s="405" t="s">
        <v>1048</v>
      </c>
      <c r="J9803" s="406">
        <v>0</v>
      </c>
      <c r="K9803"/>
    </row>
    <row r="9804" spans="1:11" ht="15.6" thickBot="1" x14ac:dyDescent="0.35">
      <c r="A9804" s="405"/>
      <c r="B9804" s="405"/>
      <c r="C9804" s="405"/>
      <c r="D9804" s="405"/>
      <c r="E9804" s="405" t="s">
        <v>1049</v>
      </c>
      <c r="F9804" s="406">
        <v>0</v>
      </c>
      <c r="G9804" s="405"/>
      <c r="H9804" s="606"/>
      <c r="I9804" s="606" t="s">
        <v>1050</v>
      </c>
      <c r="J9804" s="406">
        <v>0.04</v>
      </c>
      <c r="K9804"/>
    </row>
    <row r="9805" spans="1:11" ht="15.6" thickTop="1" x14ac:dyDescent="0.3">
      <c r="A9805" s="407"/>
      <c r="B9805" s="407"/>
      <c r="C9805" s="407"/>
      <c r="D9805" s="407"/>
      <c r="E9805" s="407"/>
      <c r="F9805" s="407"/>
      <c r="G9805" s="407"/>
      <c r="H9805" s="407"/>
      <c r="I9805" s="407"/>
      <c r="J9805" s="407"/>
      <c r="K9805"/>
    </row>
    <row r="9806" spans="1:11" ht="15" x14ac:dyDescent="0.3">
      <c r="A9806" s="382"/>
      <c r="B9806" s="312" t="s">
        <v>413</v>
      </c>
      <c r="C9806" s="382" t="s">
        <v>414</v>
      </c>
      <c r="D9806" s="382" t="s">
        <v>415</v>
      </c>
      <c r="E9806" s="586" t="s">
        <v>1029</v>
      </c>
      <c r="F9806" s="586"/>
      <c r="G9806" s="383" t="s">
        <v>416</v>
      </c>
      <c r="H9806" s="312" t="s">
        <v>1030</v>
      </c>
      <c r="I9806" s="312" t="s">
        <v>3016</v>
      </c>
      <c r="J9806" s="312" t="s">
        <v>1031</v>
      </c>
      <c r="K9806" s="312" t="s">
        <v>1032</v>
      </c>
    </row>
    <row r="9807" spans="1:11" ht="26.4" x14ac:dyDescent="0.3">
      <c r="A9807" s="313" t="s">
        <v>1033</v>
      </c>
      <c r="B9807" s="315" t="s">
        <v>8319</v>
      </c>
      <c r="C9807" s="313" t="s">
        <v>395</v>
      </c>
      <c r="D9807" s="313" t="s">
        <v>8313</v>
      </c>
      <c r="E9807" s="603" t="s">
        <v>7946</v>
      </c>
      <c r="F9807" s="603"/>
      <c r="G9807" s="314" t="s">
        <v>6</v>
      </c>
      <c r="H9807" s="399">
        <v>1</v>
      </c>
      <c r="I9807" s="316"/>
      <c r="J9807" s="316">
        <v>0.01</v>
      </c>
      <c r="K9807" s="316">
        <v>0.01</v>
      </c>
    </row>
    <row r="9808" spans="1:11" ht="15" x14ac:dyDescent="0.3">
      <c r="A9808" s="581"/>
      <c r="B9808" s="581"/>
      <c r="C9808" s="581"/>
      <c r="D9808" s="581"/>
      <c r="E9808" s="581"/>
      <c r="F9808" s="581" t="s">
        <v>7961</v>
      </c>
      <c r="G9808" s="581"/>
      <c r="H9808" s="581"/>
      <c r="I9808" s="581"/>
      <c r="J9808" s="413">
        <v>0</v>
      </c>
      <c r="K9808"/>
    </row>
    <row r="9809" spans="1:11" ht="15" x14ac:dyDescent="0.3">
      <c r="A9809" s="581"/>
      <c r="B9809" s="581"/>
      <c r="C9809" s="581"/>
      <c r="D9809" s="581"/>
      <c r="E9809" s="581"/>
      <c r="F9809" s="581" t="s">
        <v>7962</v>
      </c>
      <c r="G9809" s="581"/>
      <c r="H9809" s="581"/>
      <c r="I9809" s="581"/>
      <c r="J9809" s="413">
        <v>0</v>
      </c>
      <c r="K9809"/>
    </row>
    <row r="9810" spans="1:11" ht="15" x14ac:dyDescent="0.3">
      <c r="A9810" s="581"/>
      <c r="B9810" s="581"/>
      <c r="C9810" s="581"/>
      <c r="D9810" s="581"/>
      <c r="E9810" s="581"/>
      <c r="F9810" s="581" t="s">
        <v>7963</v>
      </c>
      <c r="G9810" s="581"/>
      <c r="H9810" s="581"/>
      <c r="I9810" s="581"/>
      <c r="J9810" s="413">
        <v>0</v>
      </c>
      <c r="K9810"/>
    </row>
    <row r="9811" spans="1:11" ht="15" x14ac:dyDescent="0.3">
      <c r="A9811" s="581"/>
      <c r="B9811" s="581"/>
      <c r="C9811" s="581"/>
      <c r="D9811" s="581"/>
      <c r="E9811" s="581"/>
      <c r="F9811" s="581" t="s">
        <v>7964</v>
      </c>
      <c r="G9811" s="581"/>
      <c r="H9811" s="581"/>
      <c r="I9811" s="581"/>
      <c r="J9811" s="413">
        <v>0</v>
      </c>
      <c r="K9811"/>
    </row>
    <row r="9812" spans="1:11" ht="15" x14ac:dyDescent="0.3">
      <c r="A9812" s="581"/>
      <c r="B9812" s="581"/>
      <c r="C9812" s="581"/>
      <c r="D9812" s="581"/>
      <c r="E9812" s="581"/>
      <c r="F9812" s="581" t="s">
        <v>7965</v>
      </c>
      <c r="G9812" s="581"/>
      <c r="H9812" s="581"/>
      <c r="I9812" s="581"/>
      <c r="J9812" s="413">
        <v>0</v>
      </c>
      <c r="K9812"/>
    </row>
    <row r="9813" spans="1:11" ht="15" x14ac:dyDescent="0.3">
      <c r="A9813" s="382" t="s">
        <v>7921</v>
      </c>
      <c r="B9813" s="312" t="s">
        <v>414</v>
      </c>
      <c r="C9813" s="382" t="s">
        <v>413</v>
      </c>
      <c r="D9813" s="382" t="s">
        <v>8317</v>
      </c>
      <c r="E9813" s="312" t="s">
        <v>1552</v>
      </c>
      <c r="F9813" s="312" t="s">
        <v>7907</v>
      </c>
      <c r="G9813" s="584" t="s">
        <v>7967</v>
      </c>
      <c r="H9813" s="584"/>
      <c r="I9813" s="584"/>
      <c r="J9813" s="312" t="s">
        <v>7905</v>
      </c>
      <c r="K9813"/>
    </row>
    <row r="9814" spans="1:11" ht="26.4" x14ac:dyDescent="0.3">
      <c r="A9814" s="400" t="s">
        <v>1038</v>
      </c>
      <c r="B9814" s="401" t="s">
        <v>395</v>
      </c>
      <c r="C9814" s="400">
        <v>38415</v>
      </c>
      <c r="D9814" s="400" t="s">
        <v>7754</v>
      </c>
      <c r="E9814" s="403">
        <v>1.4800000000000001E-5</v>
      </c>
      <c r="F9814" s="402" t="s">
        <v>4</v>
      </c>
      <c r="G9814" s="607">
        <v>608.07000000000005</v>
      </c>
      <c r="H9814" s="607"/>
      <c r="I9814" s="605"/>
      <c r="J9814" s="414">
        <v>8.9999999999999993E-3</v>
      </c>
      <c r="K9814"/>
    </row>
    <row r="9815" spans="1:11" ht="15" x14ac:dyDescent="0.3">
      <c r="A9815" s="581"/>
      <c r="B9815" s="581"/>
      <c r="C9815" s="581"/>
      <c r="D9815" s="581"/>
      <c r="E9815" s="581"/>
      <c r="F9815" s="581" t="s">
        <v>8318</v>
      </c>
      <c r="G9815" s="581"/>
      <c r="H9815" s="581"/>
      <c r="I9815" s="581"/>
      <c r="J9815" s="413">
        <v>8.9999999999999993E-3</v>
      </c>
      <c r="K9815"/>
    </row>
    <row r="9816" spans="1:11" ht="15" x14ac:dyDescent="0.3">
      <c r="A9816" s="405"/>
      <c r="B9816" s="405"/>
      <c r="C9816" s="405"/>
      <c r="D9816" s="405"/>
      <c r="E9816" s="405" t="s">
        <v>1046</v>
      </c>
      <c r="F9816" s="406">
        <v>0</v>
      </c>
      <c r="G9816" s="405" t="s">
        <v>1047</v>
      </c>
      <c r="H9816" s="406">
        <v>0</v>
      </c>
      <c r="I9816" s="405" t="s">
        <v>1048</v>
      </c>
      <c r="J9816" s="406">
        <v>0</v>
      </c>
      <c r="K9816"/>
    </row>
    <row r="9817" spans="1:11" ht="15.6" thickBot="1" x14ac:dyDescent="0.35">
      <c r="A9817" s="405"/>
      <c r="B9817" s="405"/>
      <c r="C9817" s="405"/>
      <c r="D9817" s="405"/>
      <c r="E9817" s="405" t="s">
        <v>1049</v>
      </c>
      <c r="F9817" s="406">
        <v>0</v>
      </c>
      <c r="G9817" s="405"/>
      <c r="H9817" s="606"/>
      <c r="I9817" s="606" t="s">
        <v>1050</v>
      </c>
      <c r="J9817" s="406">
        <v>0.01</v>
      </c>
      <c r="K9817"/>
    </row>
    <row r="9818" spans="1:11" ht="15.6" thickTop="1" x14ac:dyDescent="0.3">
      <c r="A9818" s="407"/>
      <c r="B9818" s="407"/>
      <c r="C9818" s="407"/>
      <c r="D9818" s="407"/>
      <c r="E9818" s="407"/>
      <c r="F9818" s="407"/>
      <c r="G9818" s="407"/>
      <c r="H9818" s="407"/>
      <c r="I9818" s="407"/>
      <c r="J9818" s="407"/>
      <c r="K9818"/>
    </row>
    <row r="9819" spans="1:11" ht="15" x14ac:dyDescent="0.3">
      <c r="A9819" s="382"/>
      <c r="B9819" s="312" t="s">
        <v>413</v>
      </c>
      <c r="C9819" s="382" t="s">
        <v>414</v>
      </c>
      <c r="D9819" s="382" t="s">
        <v>415</v>
      </c>
      <c r="E9819" s="586" t="s">
        <v>1029</v>
      </c>
      <c r="F9819" s="586"/>
      <c r="G9819" s="383" t="s">
        <v>416</v>
      </c>
      <c r="H9819" s="312" t="s">
        <v>1030</v>
      </c>
      <c r="I9819" s="312" t="s">
        <v>3016</v>
      </c>
      <c r="J9819" s="312" t="s">
        <v>1031</v>
      </c>
      <c r="K9819" s="312" t="s">
        <v>1032</v>
      </c>
    </row>
    <row r="9820" spans="1:11" ht="39.6" x14ac:dyDescent="0.3">
      <c r="A9820" s="313" t="s">
        <v>1033</v>
      </c>
      <c r="B9820" s="315" t="s">
        <v>8320</v>
      </c>
      <c r="C9820" s="313" t="s">
        <v>395</v>
      </c>
      <c r="D9820" s="313" t="s">
        <v>8314</v>
      </c>
      <c r="E9820" s="603" t="s">
        <v>7946</v>
      </c>
      <c r="F9820" s="603"/>
      <c r="G9820" s="314" t="s">
        <v>6</v>
      </c>
      <c r="H9820" s="399">
        <v>1</v>
      </c>
      <c r="I9820" s="316"/>
      <c r="J9820" s="316">
        <v>0.05</v>
      </c>
      <c r="K9820" s="316">
        <v>0.05</v>
      </c>
    </row>
    <row r="9821" spans="1:11" ht="15" x14ac:dyDescent="0.3">
      <c r="A9821" s="581"/>
      <c r="B9821" s="581"/>
      <c r="C9821" s="581"/>
      <c r="D9821" s="581"/>
      <c r="E9821" s="581"/>
      <c r="F9821" s="581" t="s">
        <v>7961</v>
      </c>
      <c r="G9821" s="581"/>
      <c r="H9821" s="581"/>
      <c r="I9821" s="581"/>
      <c r="J9821" s="413">
        <v>0</v>
      </c>
      <c r="K9821"/>
    </row>
    <row r="9822" spans="1:11" ht="15" x14ac:dyDescent="0.3">
      <c r="A9822" s="581"/>
      <c r="B9822" s="581"/>
      <c r="C9822" s="581"/>
      <c r="D9822" s="581"/>
      <c r="E9822" s="581"/>
      <c r="F9822" s="581" t="s">
        <v>7962</v>
      </c>
      <c r="G9822" s="581"/>
      <c r="H9822" s="581"/>
      <c r="I9822" s="581"/>
      <c r="J9822" s="413">
        <v>0</v>
      </c>
      <c r="K9822"/>
    </row>
    <row r="9823" spans="1:11" ht="15" x14ac:dyDescent="0.3">
      <c r="A9823" s="581"/>
      <c r="B9823" s="581"/>
      <c r="C9823" s="581"/>
      <c r="D9823" s="581"/>
      <c r="E9823" s="581"/>
      <c r="F9823" s="581" t="s">
        <v>7963</v>
      </c>
      <c r="G9823" s="581"/>
      <c r="H9823" s="581"/>
      <c r="I9823" s="581"/>
      <c r="J9823" s="413">
        <v>0</v>
      </c>
      <c r="K9823"/>
    </row>
    <row r="9824" spans="1:11" ht="15" x14ac:dyDescent="0.3">
      <c r="A9824" s="581"/>
      <c r="B9824" s="581"/>
      <c r="C9824" s="581"/>
      <c r="D9824" s="581"/>
      <c r="E9824" s="581"/>
      <c r="F9824" s="581" t="s">
        <v>7964</v>
      </c>
      <c r="G9824" s="581"/>
      <c r="H9824" s="581"/>
      <c r="I9824" s="581"/>
      <c r="J9824" s="413">
        <v>0</v>
      </c>
      <c r="K9824"/>
    </row>
    <row r="9825" spans="1:11" ht="15" x14ac:dyDescent="0.3">
      <c r="A9825" s="581"/>
      <c r="B9825" s="581"/>
      <c r="C9825" s="581"/>
      <c r="D9825" s="581"/>
      <c r="E9825" s="581"/>
      <c r="F9825" s="581" t="s">
        <v>7965</v>
      </c>
      <c r="G9825" s="581"/>
      <c r="H9825" s="581"/>
      <c r="I9825" s="581"/>
      <c r="J9825" s="413">
        <v>0</v>
      </c>
      <c r="K9825"/>
    </row>
    <row r="9826" spans="1:11" ht="15" x14ac:dyDescent="0.3">
      <c r="A9826" s="382" t="s">
        <v>7921</v>
      </c>
      <c r="B9826" s="312" t="s">
        <v>414</v>
      </c>
      <c r="C9826" s="382" t="s">
        <v>413</v>
      </c>
      <c r="D9826" s="382" t="s">
        <v>8317</v>
      </c>
      <c r="E9826" s="312" t="s">
        <v>1552</v>
      </c>
      <c r="F9826" s="312" t="s">
        <v>7907</v>
      </c>
      <c r="G9826" s="584" t="s">
        <v>7967</v>
      </c>
      <c r="H9826" s="584"/>
      <c r="I9826" s="584"/>
      <c r="J9826" s="312" t="s">
        <v>7905</v>
      </c>
      <c r="K9826"/>
    </row>
    <row r="9827" spans="1:11" ht="26.4" x14ac:dyDescent="0.3">
      <c r="A9827" s="400" t="s">
        <v>1038</v>
      </c>
      <c r="B9827" s="401" t="s">
        <v>395</v>
      </c>
      <c r="C9827" s="400">
        <v>38415</v>
      </c>
      <c r="D9827" s="400" t="s">
        <v>7754</v>
      </c>
      <c r="E9827" s="403">
        <v>8.0000000000000007E-5</v>
      </c>
      <c r="F9827" s="402" t="s">
        <v>4</v>
      </c>
      <c r="G9827" s="607">
        <v>608.07000000000005</v>
      </c>
      <c r="H9827" s="607"/>
      <c r="I9827" s="605"/>
      <c r="J9827" s="414">
        <v>4.8599999999999997E-2</v>
      </c>
      <c r="K9827"/>
    </row>
    <row r="9828" spans="1:11" ht="15" x14ac:dyDescent="0.3">
      <c r="A9828" s="581"/>
      <c r="B9828" s="581"/>
      <c r="C9828" s="581"/>
      <c r="D9828" s="581"/>
      <c r="E9828" s="581"/>
      <c r="F9828" s="581" t="s">
        <v>8318</v>
      </c>
      <c r="G9828" s="581"/>
      <c r="H9828" s="581"/>
      <c r="I9828" s="581"/>
      <c r="J9828" s="413">
        <v>4.8599999999999997E-2</v>
      </c>
      <c r="K9828"/>
    </row>
    <row r="9829" spans="1:11" ht="15" x14ac:dyDescent="0.3">
      <c r="A9829" s="405"/>
      <c r="B9829" s="405"/>
      <c r="C9829" s="405"/>
      <c r="D9829" s="405"/>
      <c r="E9829" s="405" t="s">
        <v>1046</v>
      </c>
      <c r="F9829" s="406">
        <v>0</v>
      </c>
      <c r="G9829" s="405" t="s">
        <v>1047</v>
      </c>
      <c r="H9829" s="406">
        <v>0</v>
      </c>
      <c r="I9829" s="405" t="s">
        <v>1048</v>
      </c>
      <c r="J9829" s="406">
        <v>0</v>
      </c>
      <c r="K9829"/>
    </row>
    <row r="9830" spans="1:11" ht="15.6" thickBot="1" x14ac:dyDescent="0.35">
      <c r="A9830" s="405"/>
      <c r="B9830" s="405"/>
      <c r="C9830" s="405"/>
      <c r="D9830" s="405"/>
      <c r="E9830" s="405" t="s">
        <v>1049</v>
      </c>
      <c r="F9830" s="406">
        <v>0</v>
      </c>
      <c r="G9830" s="405"/>
      <c r="H9830" s="606"/>
      <c r="I9830" s="606" t="s">
        <v>1050</v>
      </c>
      <c r="J9830" s="406">
        <v>0.05</v>
      </c>
      <c r="K9830"/>
    </row>
    <row r="9831" spans="1:11" ht="15.6" thickTop="1" x14ac:dyDescent="0.3">
      <c r="A9831" s="407"/>
      <c r="B9831" s="407"/>
      <c r="C9831" s="407"/>
      <c r="D9831" s="407"/>
      <c r="E9831" s="407"/>
      <c r="F9831" s="407"/>
      <c r="G9831" s="407"/>
      <c r="H9831" s="407"/>
      <c r="I9831" s="407"/>
      <c r="J9831" s="407"/>
      <c r="K9831"/>
    </row>
    <row r="9832" spans="1:11" ht="15" x14ac:dyDescent="0.3">
      <c r="A9832" s="382"/>
      <c r="B9832" s="312" t="s">
        <v>413</v>
      </c>
      <c r="C9832" s="382" t="s">
        <v>414</v>
      </c>
      <c r="D9832" s="382" t="s">
        <v>415</v>
      </c>
      <c r="E9832" s="586" t="s">
        <v>1029</v>
      </c>
      <c r="F9832" s="586"/>
      <c r="G9832" s="383" t="s">
        <v>416</v>
      </c>
      <c r="H9832" s="312" t="s">
        <v>1030</v>
      </c>
      <c r="I9832" s="312" t="s">
        <v>3016</v>
      </c>
      <c r="J9832" s="312" t="s">
        <v>1031</v>
      </c>
      <c r="K9832" s="312" t="s">
        <v>1032</v>
      </c>
    </row>
    <row r="9833" spans="1:11" ht="39.6" x14ac:dyDescent="0.3">
      <c r="A9833" s="313" t="s">
        <v>1033</v>
      </c>
      <c r="B9833" s="315" t="s">
        <v>8321</v>
      </c>
      <c r="C9833" s="313" t="s">
        <v>395</v>
      </c>
      <c r="D9833" s="313" t="s">
        <v>8315</v>
      </c>
      <c r="E9833" s="603" t="s">
        <v>7946</v>
      </c>
      <c r="F9833" s="603"/>
      <c r="G9833" s="314" t="s">
        <v>6</v>
      </c>
      <c r="H9833" s="399">
        <v>1</v>
      </c>
      <c r="I9833" s="316"/>
      <c r="J9833" s="316">
        <v>0.87</v>
      </c>
      <c r="K9833" s="316">
        <v>0.87</v>
      </c>
    </row>
    <row r="9834" spans="1:11" ht="15" x14ac:dyDescent="0.3">
      <c r="A9834" s="581"/>
      <c r="B9834" s="581"/>
      <c r="C9834" s="581"/>
      <c r="D9834" s="581"/>
      <c r="E9834" s="581"/>
      <c r="F9834" s="581" t="s">
        <v>7961</v>
      </c>
      <c r="G9834" s="581"/>
      <c r="H9834" s="581"/>
      <c r="I9834" s="581"/>
      <c r="J9834" s="413">
        <v>0</v>
      </c>
      <c r="K9834"/>
    </row>
    <row r="9835" spans="1:11" ht="15" x14ac:dyDescent="0.3">
      <c r="A9835" s="581"/>
      <c r="B9835" s="581"/>
      <c r="C9835" s="581"/>
      <c r="D9835" s="581"/>
      <c r="E9835" s="581"/>
      <c r="F9835" s="581" t="s">
        <v>7962</v>
      </c>
      <c r="G9835" s="581"/>
      <c r="H9835" s="581"/>
      <c r="I9835" s="581"/>
      <c r="J9835" s="413">
        <v>0</v>
      </c>
      <c r="K9835"/>
    </row>
    <row r="9836" spans="1:11" ht="15" x14ac:dyDescent="0.3">
      <c r="A9836" s="581"/>
      <c r="B9836" s="581"/>
      <c r="C9836" s="581"/>
      <c r="D9836" s="581"/>
      <c r="E9836" s="581"/>
      <c r="F9836" s="581" t="s">
        <v>7963</v>
      </c>
      <c r="G9836" s="581"/>
      <c r="H9836" s="581"/>
      <c r="I9836" s="581"/>
      <c r="J9836" s="413">
        <v>0</v>
      </c>
      <c r="K9836"/>
    </row>
    <row r="9837" spans="1:11" ht="15" x14ac:dyDescent="0.3">
      <c r="A9837" s="581"/>
      <c r="B9837" s="581"/>
      <c r="C9837" s="581"/>
      <c r="D9837" s="581"/>
      <c r="E9837" s="581"/>
      <c r="F9837" s="581" t="s">
        <v>7964</v>
      </c>
      <c r="G9837" s="581"/>
      <c r="H9837" s="581"/>
      <c r="I9837" s="581"/>
      <c r="J9837" s="413">
        <v>0</v>
      </c>
      <c r="K9837"/>
    </row>
    <row r="9838" spans="1:11" ht="15" x14ac:dyDescent="0.3">
      <c r="A9838" s="581"/>
      <c r="B9838" s="581"/>
      <c r="C9838" s="581"/>
      <c r="D9838" s="581"/>
      <c r="E9838" s="581"/>
      <c r="F9838" s="581" t="s">
        <v>7965</v>
      </c>
      <c r="G9838" s="581"/>
      <c r="H9838" s="581"/>
      <c r="I9838" s="581"/>
      <c r="J9838" s="413">
        <v>0</v>
      </c>
      <c r="K9838"/>
    </row>
    <row r="9839" spans="1:11" ht="15" x14ac:dyDescent="0.3">
      <c r="A9839" s="382" t="s">
        <v>7966</v>
      </c>
      <c r="B9839" s="312" t="s">
        <v>414</v>
      </c>
      <c r="C9839" s="382" t="s">
        <v>413</v>
      </c>
      <c r="D9839" s="382" t="s">
        <v>1039</v>
      </c>
      <c r="E9839" s="312" t="s">
        <v>1552</v>
      </c>
      <c r="F9839" s="312" t="s">
        <v>7907</v>
      </c>
      <c r="G9839" s="584" t="s">
        <v>7967</v>
      </c>
      <c r="H9839" s="584"/>
      <c r="I9839" s="584"/>
      <c r="J9839" s="312" t="s">
        <v>7905</v>
      </c>
      <c r="K9839"/>
    </row>
    <row r="9840" spans="1:11" ht="15" x14ac:dyDescent="0.3">
      <c r="A9840" s="400" t="s">
        <v>1038</v>
      </c>
      <c r="B9840" s="401" t="s">
        <v>395</v>
      </c>
      <c r="C9840" s="400">
        <v>2705</v>
      </c>
      <c r="D9840" s="400" t="s">
        <v>4621</v>
      </c>
      <c r="E9840" s="403">
        <v>0.68</v>
      </c>
      <c r="F9840" s="402" t="s">
        <v>4622</v>
      </c>
      <c r="G9840" s="607">
        <v>1.28</v>
      </c>
      <c r="H9840" s="607"/>
      <c r="I9840" s="605"/>
      <c r="J9840" s="414">
        <v>0.87039999999999995</v>
      </c>
      <c r="K9840"/>
    </row>
    <row r="9841" spans="1:11" ht="15" x14ac:dyDescent="0.3">
      <c r="A9841" s="581"/>
      <c r="B9841" s="581"/>
      <c r="C9841" s="581"/>
      <c r="D9841" s="581"/>
      <c r="E9841" s="581"/>
      <c r="F9841" s="581" t="s">
        <v>7968</v>
      </c>
      <c r="G9841" s="581"/>
      <c r="H9841" s="581"/>
      <c r="I9841" s="581"/>
      <c r="J9841" s="413">
        <v>0.87039999999999995</v>
      </c>
      <c r="K9841"/>
    </row>
    <row r="9842" spans="1:11" ht="15" x14ac:dyDescent="0.3">
      <c r="A9842" s="405"/>
      <c r="B9842" s="405"/>
      <c r="C9842" s="405"/>
      <c r="D9842" s="405"/>
      <c r="E9842" s="405" t="s">
        <v>1046</v>
      </c>
      <c r="F9842" s="406">
        <v>0</v>
      </c>
      <c r="G9842" s="405" t="s">
        <v>1047</v>
      </c>
      <c r="H9842" s="406">
        <v>0</v>
      </c>
      <c r="I9842" s="405" t="s">
        <v>1048</v>
      </c>
      <c r="J9842" s="406">
        <v>0</v>
      </c>
      <c r="K9842"/>
    </row>
    <row r="9843" spans="1:11" ht="15.6" thickBot="1" x14ac:dyDescent="0.35">
      <c r="A9843" s="405"/>
      <c r="B9843" s="405"/>
      <c r="C9843" s="405"/>
      <c r="D9843" s="405"/>
      <c r="E9843" s="405" t="s">
        <v>1049</v>
      </c>
      <c r="F9843" s="406">
        <v>0</v>
      </c>
      <c r="G9843" s="405"/>
      <c r="H9843" s="606"/>
      <c r="I9843" s="606" t="s">
        <v>1050</v>
      </c>
      <c r="J9843" s="406">
        <v>0.87</v>
      </c>
      <c r="K9843"/>
    </row>
    <row r="9844" spans="1:11" ht="15.6" thickTop="1" x14ac:dyDescent="0.3">
      <c r="A9844" s="407"/>
      <c r="B9844" s="407"/>
      <c r="C9844" s="407"/>
      <c r="D9844" s="407"/>
      <c r="E9844" s="407"/>
      <c r="F9844" s="407"/>
      <c r="G9844" s="407"/>
      <c r="H9844" s="407"/>
      <c r="I9844" s="407"/>
      <c r="J9844" s="407"/>
      <c r="K9844"/>
    </row>
    <row r="9845" spans="1:11" ht="15" x14ac:dyDescent="0.3">
      <c r="A9845" s="382"/>
      <c r="B9845" s="312" t="s">
        <v>413</v>
      </c>
      <c r="C9845" s="382" t="s">
        <v>414</v>
      </c>
      <c r="D9845" s="382" t="s">
        <v>415</v>
      </c>
      <c r="E9845" s="586" t="s">
        <v>1029</v>
      </c>
      <c r="F9845" s="586"/>
      <c r="G9845" s="383" t="s">
        <v>416</v>
      </c>
      <c r="H9845" s="312" t="s">
        <v>1030</v>
      </c>
      <c r="I9845" s="312" t="s">
        <v>3016</v>
      </c>
      <c r="J9845" s="312" t="s">
        <v>1031</v>
      </c>
      <c r="K9845" s="312" t="s">
        <v>1032</v>
      </c>
    </row>
    <row r="9846" spans="1:11" ht="39.6" x14ac:dyDescent="0.3">
      <c r="A9846" s="313" t="s">
        <v>1033</v>
      </c>
      <c r="B9846" s="315" t="s">
        <v>7877</v>
      </c>
      <c r="C9846" s="313" t="s">
        <v>395</v>
      </c>
      <c r="D9846" s="313" t="s">
        <v>7878</v>
      </c>
      <c r="E9846" s="603" t="s">
        <v>7772</v>
      </c>
      <c r="F9846" s="603"/>
      <c r="G9846" s="314" t="s">
        <v>19</v>
      </c>
      <c r="H9846" s="399">
        <v>1</v>
      </c>
      <c r="I9846" s="316"/>
      <c r="J9846" s="316">
        <v>0.06</v>
      </c>
      <c r="K9846" s="316">
        <v>0.06</v>
      </c>
    </row>
    <row r="9847" spans="1:11" ht="15" x14ac:dyDescent="0.3">
      <c r="A9847" s="581"/>
      <c r="B9847" s="581"/>
      <c r="C9847" s="581"/>
      <c r="D9847" s="581"/>
      <c r="E9847" s="581"/>
      <c r="F9847" s="581" t="s">
        <v>7961</v>
      </c>
      <c r="G9847" s="581"/>
      <c r="H9847" s="581"/>
      <c r="I9847" s="581"/>
      <c r="J9847" s="413">
        <v>0</v>
      </c>
      <c r="K9847"/>
    </row>
    <row r="9848" spans="1:11" ht="15" x14ac:dyDescent="0.3">
      <c r="A9848" s="581"/>
      <c r="B9848" s="581"/>
      <c r="C9848" s="581"/>
      <c r="D9848" s="581"/>
      <c r="E9848" s="581"/>
      <c r="F9848" s="581" t="s">
        <v>7962</v>
      </c>
      <c r="G9848" s="581"/>
      <c r="H9848" s="581"/>
      <c r="I9848" s="581"/>
      <c r="J9848" s="413">
        <v>0</v>
      </c>
      <c r="K9848"/>
    </row>
    <row r="9849" spans="1:11" ht="15" x14ac:dyDescent="0.3">
      <c r="A9849" s="581"/>
      <c r="B9849" s="581"/>
      <c r="C9849" s="581"/>
      <c r="D9849" s="581"/>
      <c r="E9849" s="581"/>
      <c r="F9849" s="581" t="s">
        <v>7963</v>
      </c>
      <c r="G9849" s="581"/>
      <c r="H9849" s="581"/>
      <c r="I9849" s="581"/>
      <c r="J9849" s="413">
        <v>0</v>
      </c>
      <c r="K9849"/>
    </row>
    <row r="9850" spans="1:11" ht="15" x14ac:dyDescent="0.3">
      <c r="A9850" s="581"/>
      <c r="B9850" s="581"/>
      <c r="C9850" s="581"/>
      <c r="D9850" s="581"/>
      <c r="E9850" s="581"/>
      <c r="F9850" s="581" t="s">
        <v>7964</v>
      </c>
      <c r="G9850" s="581"/>
      <c r="H9850" s="581"/>
      <c r="I9850" s="581"/>
      <c r="J9850" s="413">
        <v>0</v>
      </c>
      <c r="K9850"/>
    </row>
    <row r="9851" spans="1:11" ht="15" x14ac:dyDescent="0.3">
      <c r="A9851" s="581"/>
      <c r="B9851" s="581"/>
      <c r="C9851" s="581"/>
      <c r="D9851" s="581"/>
      <c r="E9851" s="581"/>
      <c r="F9851" s="581" t="s">
        <v>7965</v>
      </c>
      <c r="G9851" s="581"/>
      <c r="H9851" s="581"/>
      <c r="I9851" s="581"/>
      <c r="J9851" s="413">
        <v>0</v>
      </c>
      <c r="K9851"/>
    </row>
    <row r="9852" spans="1:11" ht="15" x14ac:dyDescent="0.3">
      <c r="A9852" s="382" t="s">
        <v>7969</v>
      </c>
      <c r="B9852" s="312" t="s">
        <v>414</v>
      </c>
      <c r="C9852" s="382" t="s">
        <v>413</v>
      </c>
      <c r="D9852" s="382" t="s">
        <v>7970</v>
      </c>
      <c r="E9852" s="312" t="s">
        <v>1552</v>
      </c>
      <c r="F9852" s="312" t="s">
        <v>7907</v>
      </c>
      <c r="G9852" s="584" t="s">
        <v>7967</v>
      </c>
      <c r="H9852" s="584"/>
      <c r="I9852" s="584"/>
      <c r="J9852" s="312" t="s">
        <v>7905</v>
      </c>
      <c r="K9852"/>
    </row>
    <row r="9853" spans="1:11" ht="39.6" x14ac:dyDescent="0.3">
      <c r="A9853" s="408" t="s">
        <v>7922</v>
      </c>
      <c r="B9853" s="409" t="s">
        <v>395</v>
      </c>
      <c r="C9853" s="408">
        <v>104093</v>
      </c>
      <c r="D9853" s="408" t="s">
        <v>8322</v>
      </c>
      <c r="E9853" s="412">
        <v>1</v>
      </c>
      <c r="F9853" s="410" t="s">
        <v>6</v>
      </c>
      <c r="G9853" s="608">
        <v>0.05</v>
      </c>
      <c r="H9853" s="608"/>
      <c r="I9853" s="604"/>
      <c r="J9853" s="415">
        <v>0.05</v>
      </c>
      <c r="K9853"/>
    </row>
    <row r="9854" spans="1:11" ht="26.4" x14ac:dyDescent="0.3">
      <c r="A9854" s="408" t="s">
        <v>7922</v>
      </c>
      <c r="B9854" s="409" t="s">
        <v>395</v>
      </c>
      <c r="C9854" s="408">
        <v>104094</v>
      </c>
      <c r="D9854" s="408" t="s">
        <v>8323</v>
      </c>
      <c r="E9854" s="412">
        <v>1</v>
      </c>
      <c r="F9854" s="410" t="s">
        <v>6</v>
      </c>
      <c r="G9854" s="608">
        <v>0.01</v>
      </c>
      <c r="H9854" s="608"/>
      <c r="I9854" s="604"/>
      <c r="J9854" s="415">
        <v>0.01</v>
      </c>
      <c r="K9854"/>
    </row>
    <row r="9855" spans="1:11" ht="15" x14ac:dyDescent="0.3">
      <c r="A9855" s="581"/>
      <c r="B9855" s="581"/>
      <c r="C9855" s="581"/>
      <c r="D9855" s="581"/>
      <c r="E9855" s="581"/>
      <c r="F9855" s="581" t="s">
        <v>7971</v>
      </c>
      <c r="G9855" s="581"/>
      <c r="H9855" s="581"/>
      <c r="I9855" s="581"/>
      <c r="J9855" s="413">
        <v>0.06</v>
      </c>
      <c r="K9855"/>
    </row>
    <row r="9856" spans="1:11" ht="15" x14ac:dyDescent="0.3">
      <c r="A9856" s="405"/>
      <c r="B9856" s="405"/>
      <c r="C9856" s="405"/>
      <c r="D9856" s="405"/>
      <c r="E9856" s="405" t="s">
        <v>1046</v>
      </c>
      <c r="F9856" s="406">
        <v>0</v>
      </c>
      <c r="G9856" s="405" t="s">
        <v>1047</v>
      </c>
      <c r="H9856" s="406">
        <v>0</v>
      </c>
      <c r="I9856" s="405" t="s">
        <v>1048</v>
      </c>
      <c r="J9856" s="406">
        <v>0</v>
      </c>
      <c r="K9856"/>
    </row>
    <row r="9857" spans="1:11" ht="15.6" thickBot="1" x14ac:dyDescent="0.35">
      <c r="A9857" s="405"/>
      <c r="B9857" s="405"/>
      <c r="C9857" s="405"/>
      <c r="D9857" s="405"/>
      <c r="E9857" s="405" t="s">
        <v>1049</v>
      </c>
      <c r="F9857" s="406">
        <v>0</v>
      </c>
      <c r="G9857" s="405"/>
      <c r="H9857" s="606"/>
      <c r="I9857" s="606" t="s">
        <v>1050</v>
      </c>
      <c r="J9857" s="406">
        <v>0.06</v>
      </c>
      <c r="K9857"/>
    </row>
    <row r="9858" spans="1:11" ht="15.6" thickTop="1" x14ac:dyDescent="0.3">
      <c r="A9858" s="407"/>
      <c r="B9858" s="407"/>
      <c r="C9858" s="407"/>
      <c r="D9858" s="407"/>
      <c r="E9858" s="407"/>
      <c r="F9858" s="407"/>
      <c r="G9858" s="407"/>
      <c r="H9858" s="407"/>
      <c r="I9858" s="407"/>
      <c r="J9858" s="407"/>
      <c r="K9858"/>
    </row>
    <row r="9859" spans="1:11" ht="15" x14ac:dyDescent="0.3">
      <c r="A9859" s="382"/>
      <c r="B9859" s="312" t="s">
        <v>413</v>
      </c>
      <c r="C9859" s="382" t="s">
        <v>414</v>
      </c>
      <c r="D9859" s="382" t="s">
        <v>415</v>
      </c>
      <c r="E9859" s="586" t="s">
        <v>1029</v>
      </c>
      <c r="F9859" s="586"/>
      <c r="G9859" s="383" t="s">
        <v>416</v>
      </c>
      <c r="H9859" s="312" t="s">
        <v>1030</v>
      </c>
      <c r="I9859" s="312" t="s">
        <v>3016</v>
      </c>
      <c r="J9859" s="312" t="s">
        <v>1031</v>
      </c>
      <c r="K9859" s="312" t="s">
        <v>1032</v>
      </c>
    </row>
    <row r="9860" spans="1:11" ht="39.6" x14ac:dyDescent="0.3">
      <c r="A9860" s="313" t="s">
        <v>1033</v>
      </c>
      <c r="B9860" s="315" t="s">
        <v>7875</v>
      </c>
      <c r="C9860" s="313" t="s">
        <v>395</v>
      </c>
      <c r="D9860" s="313" t="s">
        <v>7876</v>
      </c>
      <c r="E9860" s="603" t="s">
        <v>7772</v>
      </c>
      <c r="F9860" s="603"/>
      <c r="G9860" s="314" t="s">
        <v>15</v>
      </c>
      <c r="H9860" s="399">
        <v>1</v>
      </c>
      <c r="I9860" s="316"/>
      <c r="J9860" s="316">
        <v>1.32</v>
      </c>
      <c r="K9860" s="316">
        <v>1.32</v>
      </c>
    </row>
    <row r="9861" spans="1:11" ht="15" x14ac:dyDescent="0.3">
      <c r="A9861" s="581"/>
      <c r="B9861" s="581"/>
      <c r="C9861" s="581"/>
      <c r="D9861" s="581"/>
      <c r="E9861" s="581"/>
      <c r="F9861" s="581" t="s">
        <v>7961</v>
      </c>
      <c r="G9861" s="581"/>
      <c r="H9861" s="581"/>
      <c r="I9861" s="581"/>
      <c r="J9861" s="413">
        <v>0</v>
      </c>
      <c r="K9861"/>
    </row>
    <row r="9862" spans="1:11" ht="15" x14ac:dyDescent="0.3">
      <c r="A9862" s="581"/>
      <c r="B9862" s="581"/>
      <c r="C9862" s="581"/>
      <c r="D9862" s="581"/>
      <c r="E9862" s="581"/>
      <c r="F9862" s="581" t="s">
        <v>7962</v>
      </c>
      <c r="G9862" s="581"/>
      <c r="H9862" s="581"/>
      <c r="I9862" s="581"/>
      <c r="J9862" s="413">
        <v>0</v>
      </c>
      <c r="K9862"/>
    </row>
    <row r="9863" spans="1:11" ht="15" x14ac:dyDescent="0.3">
      <c r="A9863" s="581"/>
      <c r="B9863" s="581"/>
      <c r="C9863" s="581"/>
      <c r="D9863" s="581"/>
      <c r="E9863" s="581"/>
      <c r="F9863" s="581" t="s">
        <v>7963</v>
      </c>
      <c r="G9863" s="581"/>
      <c r="H9863" s="581"/>
      <c r="I9863" s="581"/>
      <c r="J9863" s="413">
        <v>0</v>
      </c>
      <c r="K9863"/>
    </row>
    <row r="9864" spans="1:11" ht="15" x14ac:dyDescent="0.3">
      <c r="A9864" s="581"/>
      <c r="B9864" s="581"/>
      <c r="C9864" s="581"/>
      <c r="D9864" s="581"/>
      <c r="E9864" s="581"/>
      <c r="F9864" s="581" t="s">
        <v>7964</v>
      </c>
      <c r="G9864" s="581"/>
      <c r="H9864" s="581"/>
      <c r="I9864" s="581"/>
      <c r="J9864" s="413">
        <v>0</v>
      </c>
      <c r="K9864"/>
    </row>
    <row r="9865" spans="1:11" ht="15" x14ac:dyDescent="0.3">
      <c r="A9865" s="581"/>
      <c r="B9865" s="581"/>
      <c r="C9865" s="581"/>
      <c r="D9865" s="581"/>
      <c r="E9865" s="581"/>
      <c r="F9865" s="581" t="s">
        <v>7965</v>
      </c>
      <c r="G9865" s="581"/>
      <c r="H9865" s="581"/>
      <c r="I9865" s="581"/>
      <c r="J9865" s="413">
        <v>0</v>
      </c>
      <c r="K9865"/>
    </row>
    <row r="9866" spans="1:11" ht="15" x14ac:dyDescent="0.3">
      <c r="A9866" s="382" t="s">
        <v>7969</v>
      </c>
      <c r="B9866" s="312" t="s">
        <v>414</v>
      </c>
      <c r="C9866" s="382" t="s">
        <v>413</v>
      </c>
      <c r="D9866" s="382" t="s">
        <v>7970</v>
      </c>
      <c r="E9866" s="312" t="s">
        <v>1552</v>
      </c>
      <c r="F9866" s="312" t="s">
        <v>7907</v>
      </c>
      <c r="G9866" s="584" t="s">
        <v>7967</v>
      </c>
      <c r="H9866" s="584"/>
      <c r="I9866" s="584"/>
      <c r="J9866" s="312" t="s">
        <v>7905</v>
      </c>
      <c r="K9866"/>
    </row>
    <row r="9867" spans="1:11" ht="39.6" x14ac:dyDescent="0.3">
      <c r="A9867" s="408" t="s">
        <v>7922</v>
      </c>
      <c r="B9867" s="409" t="s">
        <v>395</v>
      </c>
      <c r="C9867" s="408">
        <v>104093</v>
      </c>
      <c r="D9867" s="408" t="s">
        <v>8322</v>
      </c>
      <c r="E9867" s="412">
        <v>1</v>
      </c>
      <c r="F9867" s="410" t="s">
        <v>6</v>
      </c>
      <c r="G9867" s="608">
        <v>0.05</v>
      </c>
      <c r="H9867" s="608"/>
      <c r="I9867" s="604"/>
      <c r="J9867" s="415">
        <v>0.05</v>
      </c>
      <c r="K9867"/>
    </row>
    <row r="9868" spans="1:11" ht="26.4" x14ac:dyDescent="0.3">
      <c r="A9868" s="408" t="s">
        <v>7922</v>
      </c>
      <c r="B9868" s="409" t="s">
        <v>395</v>
      </c>
      <c r="C9868" s="408">
        <v>104094</v>
      </c>
      <c r="D9868" s="408" t="s">
        <v>8323</v>
      </c>
      <c r="E9868" s="412">
        <v>1</v>
      </c>
      <c r="F9868" s="410" t="s">
        <v>6</v>
      </c>
      <c r="G9868" s="608">
        <v>0.01</v>
      </c>
      <c r="H9868" s="608"/>
      <c r="I9868" s="604"/>
      <c r="J9868" s="415">
        <v>0.01</v>
      </c>
      <c r="K9868"/>
    </row>
    <row r="9869" spans="1:11" ht="39.6" x14ac:dyDescent="0.3">
      <c r="A9869" s="408" t="s">
        <v>7922</v>
      </c>
      <c r="B9869" s="409" t="s">
        <v>395</v>
      </c>
      <c r="C9869" s="408">
        <v>104095</v>
      </c>
      <c r="D9869" s="408" t="s">
        <v>8324</v>
      </c>
      <c r="E9869" s="412">
        <v>1</v>
      </c>
      <c r="F9869" s="410" t="s">
        <v>6</v>
      </c>
      <c r="G9869" s="608">
        <v>0.06</v>
      </c>
      <c r="H9869" s="608"/>
      <c r="I9869" s="604"/>
      <c r="J9869" s="415">
        <v>0.06</v>
      </c>
      <c r="K9869"/>
    </row>
    <row r="9870" spans="1:11" ht="39.6" x14ac:dyDescent="0.3">
      <c r="A9870" s="408" t="s">
        <v>7922</v>
      </c>
      <c r="B9870" s="409" t="s">
        <v>395</v>
      </c>
      <c r="C9870" s="408">
        <v>104096</v>
      </c>
      <c r="D9870" s="408" t="s">
        <v>8325</v>
      </c>
      <c r="E9870" s="412">
        <v>1</v>
      </c>
      <c r="F9870" s="410" t="s">
        <v>6</v>
      </c>
      <c r="G9870" s="608">
        <v>1.2</v>
      </c>
      <c r="H9870" s="608"/>
      <c r="I9870" s="604"/>
      <c r="J9870" s="415">
        <v>1.2</v>
      </c>
      <c r="K9870"/>
    </row>
    <row r="9871" spans="1:11" ht="15" x14ac:dyDescent="0.3">
      <c r="A9871" s="581"/>
      <c r="B9871" s="581"/>
      <c r="C9871" s="581"/>
      <c r="D9871" s="581"/>
      <c r="E9871" s="581"/>
      <c r="F9871" s="581" t="s">
        <v>7971</v>
      </c>
      <c r="G9871" s="581"/>
      <c r="H9871" s="581"/>
      <c r="I9871" s="581"/>
      <c r="J9871" s="413">
        <v>1.32</v>
      </c>
      <c r="K9871"/>
    </row>
    <row r="9872" spans="1:11" ht="15" x14ac:dyDescent="0.3">
      <c r="A9872" s="405"/>
      <c r="B9872" s="405"/>
      <c r="C9872" s="405"/>
      <c r="D9872" s="405"/>
      <c r="E9872" s="405" t="s">
        <v>1046</v>
      </c>
      <c r="F9872" s="406">
        <v>0</v>
      </c>
      <c r="G9872" s="405" t="s">
        <v>1047</v>
      </c>
      <c r="H9872" s="406">
        <v>0</v>
      </c>
      <c r="I9872" s="405" t="s">
        <v>1048</v>
      </c>
      <c r="J9872" s="406">
        <v>0</v>
      </c>
      <c r="K9872"/>
    </row>
    <row r="9873" spans="1:11" ht="15.6" thickBot="1" x14ac:dyDescent="0.35">
      <c r="A9873" s="405"/>
      <c r="B9873" s="405"/>
      <c r="C9873" s="405"/>
      <c r="D9873" s="405"/>
      <c r="E9873" s="405" t="s">
        <v>1049</v>
      </c>
      <c r="F9873" s="406">
        <v>0</v>
      </c>
      <c r="G9873" s="405"/>
      <c r="H9873" s="606"/>
      <c r="I9873" s="606" t="s">
        <v>1050</v>
      </c>
      <c r="J9873" s="406">
        <v>1.32</v>
      </c>
      <c r="K9873"/>
    </row>
    <row r="9874" spans="1:11" ht="15.6" thickTop="1" x14ac:dyDescent="0.3">
      <c r="A9874" s="407"/>
      <c r="B9874" s="407"/>
      <c r="C9874" s="407"/>
      <c r="D9874" s="407"/>
      <c r="E9874" s="407"/>
      <c r="F9874" s="407"/>
      <c r="G9874" s="407"/>
      <c r="H9874" s="407"/>
      <c r="I9874" s="407"/>
      <c r="J9874" s="407"/>
      <c r="K9874"/>
    </row>
    <row r="9875" spans="1:11" ht="15" x14ac:dyDescent="0.3">
      <c r="A9875" s="382"/>
      <c r="B9875" s="312" t="s">
        <v>413</v>
      </c>
      <c r="C9875" s="382" t="s">
        <v>414</v>
      </c>
      <c r="D9875" s="382" t="s">
        <v>415</v>
      </c>
      <c r="E9875" s="586" t="s">
        <v>1029</v>
      </c>
      <c r="F9875" s="586"/>
      <c r="G9875" s="383" t="s">
        <v>416</v>
      </c>
      <c r="H9875" s="312" t="s">
        <v>1030</v>
      </c>
      <c r="I9875" s="312" t="s">
        <v>3016</v>
      </c>
      <c r="J9875" s="312" t="s">
        <v>1031</v>
      </c>
      <c r="K9875" s="312" t="s">
        <v>1032</v>
      </c>
    </row>
    <row r="9876" spans="1:11" ht="39.6" x14ac:dyDescent="0.3">
      <c r="A9876" s="313" t="s">
        <v>1033</v>
      </c>
      <c r="B9876" s="315" t="s">
        <v>8326</v>
      </c>
      <c r="C9876" s="313" t="s">
        <v>395</v>
      </c>
      <c r="D9876" s="313" t="s">
        <v>8322</v>
      </c>
      <c r="E9876" s="603" t="s">
        <v>7946</v>
      </c>
      <c r="F9876" s="603"/>
      <c r="G9876" s="314" t="s">
        <v>6</v>
      </c>
      <c r="H9876" s="399">
        <v>1</v>
      </c>
      <c r="I9876" s="316"/>
      <c r="J9876" s="316">
        <v>0.05</v>
      </c>
      <c r="K9876" s="316">
        <v>0.05</v>
      </c>
    </row>
    <row r="9877" spans="1:11" ht="15" x14ac:dyDescent="0.3">
      <c r="A9877" s="581"/>
      <c r="B9877" s="581"/>
      <c r="C9877" s="581"/>
      <c r="D9877" s="581"/>
      <c r="E9877" s="581"/>
      <c r="F9877" s="581" t="s">
        <v>7961</v>
      </c>
      <c r="G9877" s="581"/>
      <c r="H9877" s="581"/>
      <c r="I9877" s="581"/>
      <c r="J9877" s="413">
        <v>0</v>
      </c>
      <c r="K9877"/>
    </row>
    <row r="9878" spans="1:11" ht="15" x14ac:dyDescent="0.3">
      <c r="A9878" s="581"/>
      <c r="B9878" s="581"/>
      <c r="C9878" s="581"/>
      <c r="D9878" s="581"/>
      <c r="E9878" s="581"/>
      <c r="F9878" s="581" t="s">
        <v>7962</v>
      </c>
      <c r="G9878" s="581"/>
      <c r="H9878" s="581"/>
      <c r="I9878" s="581"/>
      <c r="J9878" s="413">
        <v>0</v>
      </c>
      <c r="K9878"/>
    </row>
    <row r="9879" spans="1:11" ht="15" x14ac:dyDescent="0.3">
      <c r="A9879" s="581"/>
      <c r="B9879" s="581"/>
      <c r="C9879" s="581"/>
      <c r="D9879" s="581"/>
      <c r="E9879" s="581"/>
      <c r="F9879" s="581" t="s">
        <v>7963</v>
      </c>
      <c r="G9879" s="581"/>
      <c r="H9879" s="581"/>
      <c r="I9879" s="581"/>
      <c r="J9879" s="413">
        <v>0</v>
      </c>
      <c r="K9879"/>
    </row>
    <row r="9880" spans="1:11" ht="15" x14ac:dyDescent="0.3">
      <c r="A9880" s="581"/>
      <c r="B9880" s="581"/>
      <c r="C9880" s="581"/>
      <c r="D9880" s="581"/>
      <c r="E9880" s="581"/>
      <c r="F9880" s="581" t="s">
        <v>7964</v>
      </c>
      <c r="G9880" s="581"/>
      <c r="H9880" s="581"/>
      <c r="I9880" s="581"/>
      <c r="J9880" s="413">
        <v>0</v>
      </c>
      <c r="K9880"/>
    </row>
    <row r="9881" spans="1:11" ht="15" x14ac:dyDescent="0.3">
      <c r="A9881" s="581"/>
      <c r="B9881" s="581"/>
      <c r="C9881" s="581"/>
      <c r="D9881" s="581"/>
      <c r="E9881" s="581"/>
      <c r="F9881" s="581" t="s">
        <v>7965</v>
      </c>
      <c r="G9881" s="581"/>
      <c r="H9881" s="581"/>
      <c r="I9881" s="581"/>
      <c r="J9881" s="413">
        <v>0</v>
      </c>
      <c r="K9881"/>
    </row>
    <row r="9882" spans="1:11" ht="15" x14ac:dyDescent="0.3">
      <c r="A9882" s="382" t="s">
        <v>7921</v>
      </c>
      <c r="B9882" s="312" t="s">
        <v>414</v>
      </c>
      <c r="C9882" s="382" t="s">
        <v>413</v>
      </c>
      <c r="D9882" s="382" t="s">
        <v>8317</v>
      </c>
      <c r="E9882" s="312" t="s">
        <v>1552</v>
      </c>
      <c r="F9882" s="312" t="s">
        <v>7907</v>
      </c>
      <c r="G9882" s="584" t="s">
        <v>7967</v>
      </c>
      <c r="H9882" s="584"/>
      <c r="I9882" s="584"/>
      <c r="J9882" s="312" t="s">
        <v>7905</v>
      </c>
      <c r="K9882"/>
    </row>
    <row r="9883" spans="1:11" ht="26.4" x14ac:dyDescent="0.3">
      <c r="A9883" s="400" t="s">
        <v>1038</v>
      </c>
      <c r="B9883" s="401" t="s">
        <v>395</v>
      </c>
      <c r="C9883" s="400">
        <v>38414</v>
      </c>
      <c r="D9883" s="400" t="s">
        <v>7726</v>
      </c>
      <c r="E9883" s="403">
        <v>6.3999999999999997E-5</v>
      </c>
      <c r="F9883" s="402" t="s">
        <v>4</v>
      </c>
      <c r="G9883" s="607">
        <v>775.63</v>
      </c>
      <c r="H9883" s="607"/>
      <c r="I9883" s="605"/>
      <c r="J9883" s="414">
        <v>4.9599999999999998E-2</v>
      </c>
      <c r="K9883"/>
    </row>
    <row r="9884" spans="1:11" ht="15" x14ac:dyDescent="0.3">
      <c r="A9884" s="581"/>
      <c r="B9884" s="581"/>
      <c r="C9884" s="581"/>
      <c r="D9884" s="581"/>
      <c r="E9884" s="581"/>
      <c r="F9884" s="581" t="s">
        <v>8318</v>
      </c>
      <c r="G9884" s="581"/>
      <c r="H9884" s="581"/>
      <c r="I9884" s="581"/>
      <c r="J9884" s="413">
        <v>4.9599999999999998E-2</v>
      </c>
      <c r="K9884"/>
    </row>
    <row r="9885" spans="1:11" ht="15" x14ac:dyDescent="0.3">
      <c r="A9885" s="405"/>
      <c r="B9885" s="405"/>
      <c r="C9885" s="405"/>
      <c r="D9885" s="405"/>
      <c r="E9885" s="405" t="s">
        <v>1046</v>
      </c>
      <c r="F9885" s="406">
        <v>0</v>
      </c>
      <c r="G9885" s="405" t="s">
        <v>1047</v>
      </c>
      <c r="H9885" s="406">
        <v>0</v>
      </c>
      <c r="I9885" s="405" t="s">
        <v>1048</v>
      </c>
      <c r="J9885" s="406">
        <v>0</v>
      </c>
      <c r="K9885"/>
    </row>
    <row r="9886" spans="1:11" ht="15.6" thickBot="1" x14ac:dyDescent="0.35">
      <c r="A9886" s="405"/>
      <c r="B9886" s="405"/>
      <c r="C9886" s="405"/>
      <c r="D9886" s="405"/>
      <c r="E9886" s="405" t="s">
        <v>1049</v>
      </c>
      <c r="F9886" s="406">
        <v>0</v>
      </c>
      <c r="G9886" s="405"/>
      <c r="H9886" s="606"/>
      <c r="I9886" s="606" t="s">
        <v>1050</v>
      </c>
      <c r="J9886" s="406">
        <v>0.05</v>
      </c>
      <c r="K9886"/>
    </row>
    <row r="9887" spans="1:11" ht="15.6" thickTop="1" x14ac:dyDescent="0.3">
      <c r="A9887" s="407"/>
      <c r="B9887" s="407"/>
      <c r="C9887" s="407"/>
      <c r="D9887" s="407"/>
      <c r="E9887" s="407"/>
      <c r="F9887" s="407"/>
      <c r="G9887" s="407"/>
      <c r="H9887" s="407"/>
      <c r="I9887" s="407"/>
      <c r="J9887" s="407"/>
      <c r="K9887"/>
    </row>
    <row r="9888" spans="1:11" ht="15" x14ac:dyDescent="0.3">
      <c r="A9888" s="382"/>
      <c r="B9888" s="312" t="s">
        <v>413</v>
      </c>
      <c r="C9888" s="382" t="s">
        <v>414</v>
      </c>
      <c r="D9888" s="382" t="s">
        <v>415</v>
      </c>
      <c r="E9888" s="586" t="s">
        <v>1029</v>
      </c>
      <c r="F9888" s="586"/>
      <c r="G9888" s="383" t="s">
        <v>416</v>
      </c>
      <c r="H9888" s="312" t="s">
        <v>1030</v>
      </c>
      <c r="I9888" s="312" t="s">
        <v>3016</v>
      </c>
      <c r="J9888" s="312" t="s">
        <v>1031</v>
      </c>
      <c r="K9888" s="312" t="s">
        <v>1032</v>
      </c>
    </row>
    <row r="9889" spans="1:11" ht="26.4" x14ac:dyDescent="0.3">
      <c r="A9889" s="313" t="s">
        <v>1033</v>
      </c>
      <c r="B9889" s="315" t="s">
        <v>8327</v>
      </c>
      <c r="C9889" s="313" t="s">
        <v>395</v>
      </c>
      <c r="D9889" s="313" t="s">
        <v>8323</v>
      </c>
      <c r="E9889" s="603" t="s">
        <v>7946</v>
      </c>
      <c r="F9889" s="603"/>
      <c r="G9889" s="314" t="s">
        <v>6</v>
      </c>
      <c r="H9889" s="399">
        <v>1</v>
      </c>
      <c r="I9889" s="316"/>
      <c r="J9889" s="316">
        <v>0.01</v>
      </c>
      <c r="K9889" s="316">
        <v>0.01</v>
      </c>
    </row>
    <row r="9890" spans="1:11" ht="15" x14ac:dyDescent="0.3">
      <c r="A9890" s="581"/>
      <c r="B9890" s="581"/>
      <c r="C9890" s="581"/>
      <c r="D9890" s="581"/>
      <c r="E9890" s="581"/>
      <c r="F9890" s="581" t="s">
        <v>7961</v>
      </c>
      <c r="G9890" s="581"/>
      <c r="H9890" s="581"/>
      <c r="I9890" s="581"/>
      <c r="J9890" s="413">
        <v>0</v>
      </c>
      <c r="K9890"/>
    </row>
    <row r="9891" spans="1:11" ht="15" x14ac:dyDescent="0.3">
      <c r="A9891" s="581"/>
      <c r="B9891" s="581"/>
      <c r="C9891" s="581"/>
      <c r="D9891" s="581"/>
      <c r="E9891" s="581"/>
      <c r="F9891" s="581" t="s">
        <v>7962</v>
      </c>
      <c r="G9891" s="581"/>
      <c r="H9891" s="581"/>
      <c r="I9891" s="581"/>
      <c r="J9891" s="413">
        <v>0</v>
      </c>
      <c r="K9891"/>
    </row>
    <row r="9892" spans="1:11" ht="15" x14ac:dyDescent="0.3">
      <c r="A9892" s="581"/>
      <c r="B9892" s="581"/>
      <c r="C9892" s="581"/>
      <c r="D9892" s="581"/>
      <c r="E9892" s="581"/>
      <c r="F9892" s="581" t="s">
        <v>7963</v>
      </c>
      <c r="G9892" s="581"/>
      <c r="H9892" s="581"/>
      <c r="I9892" s="581"/>
      <c r="J9892" s="413">
        <v>0</v>
      </c>
      <c r="K9892"/>
    </row>
    <row r="9893" spans="1:11" ht="15" x14ac:dyDescent="0.3">
      <c r="A9893" s="581"/>
      <c r="B9893" s="581"/>
      <c r="C9893" s="581"/>
      <c r="D9893" s="581"/>
      <c r="E9893" s="581"/>
      <c r="F9893" s="581" t="s">
        <v>7964</v>
      </c>
      <c r="G9893" s="581"/>
      <c r="H9893" s="581"/>
      <c r="I9893" s="581"/>
      <c r="J9893" s="413">
        <v>0</v>
      </c>
      <c r="K9893"/>
    </row>
    <row r="9894" spans="1:11" ht="15" x14ac:dyDescent="0.3">
      <c r="A9894" s="581"/>
      <c r="B9894" s="581"/>
      <c r="C9894" s="581"/>
      <c r="D9894" s="581"/>
      <c r="E9894" s="581"/>
      <c r="F9894" s="581" t="s">
        <v>7965</v>
      </c>
      <c r="G9894" s="581"/>
      <c r="H9894" s="581"/>
      <c r="I9894" s="581"/>
      <c r="J9894" s="413">
        <v>0</v>
      </c>
      <c r="K9894"/>
    </row>
    <row r="9895" spans="1:11" ht="15" x14ac:dyDescent="0.3">
      <c r="A9895" s="382" t="s">
        <v>7921</v>
      </c>
      <c r="B9895" s="312" t="s">
        <v>414</v>
      </c>
      <c r="C9895" s="382" t="s">
        <v>413</v>
      </c>
      <c r="D9895" s="382" t="s">
        <v>8317</v>
      </c>
      <c r="E9895" s="312" t="s">
        <v>1552</v>
      </c>
      <c r="F9895" s="312" t="s">
        <v>7907</v>
      </c>
      <c r="G9895" s="584" t="s">
        <v>7967</v>
      </c>
      <c r="H9895" s="584"/>
      <c r="I9895" s="584"/>
      <c r="J9895" s="312" t="s">
        <v>7905</v>
      </c>
      <c r="K9895"/>
    </row>
    <row r="9896" spans="1:11" ht="26.4" x14ac:dyDescent="0.3">
      <c r="A9896" s="400" t="s">
        <v>1038</v>
      </c>
      <c r="B9896" s="401" t="s">
        <v>395</v>
      </c>
      <c r="C9896" s="400">
        <v>38414</v>
      </c>
      <c r="D9896" s="400" t="s">
        <v>7726</v>
      </c>
      <c r="E9896" s="403">
        <v>1.4800000000000001E-5</v>
      </c>
      <c r="F9896" s="402" t="s">
        <v>4</v>
      </c>
      <c r="G9896" s="607">
        <v>775.63</v>
      </c>
      <c r="H9896" s="607"/>
      <c r="I9896" s="605"/>
      <c r="J9896" s="414">
        <v>1.15E-2</v>
      </c>
      <c r="K9896"/>
    </row>
    <row r="9897" spans="1:11" ht="15" x14ac:dyDescent="0.3">
      <c r="A9897" s="581"/>
      <c r="B9897" s="581"/>
      <c r="C9897" s="581"/>
      <c r="D9897" s="581"/>
      <c r="E9897" s="581"/>
      <c r="F9897" s="581" t="s">
        <v>8318</v>
      </c>
      <c r="G9897" s="581"/>
      <c r="H9897" s="581"/>
      <c r="I9897" s="581"/>
      <c r="J9897" s="413">
        <v>1.15E-2</v>
      </c>
      <c r="K9897"/>
    </row>
    <row r="9898" spans="1:11" ht="15" x14ac:dyDescent="0.3">
      <c r="A9898" s="405"/>
      <c r="B9898" s="405"/>
      <c r="C9898" s="405"/>
      <c r="D9898" s="405"/>
      <c r="E9898" s="405" t="s">
        <v>1046</v>
      </c>
      <c r="F9898" s="406">
        <v>0</v>
      </c>
      <c r="G9898" s="405" t="s">
        <v>1047</v>
      </c>
      <c r="H9898" s="406">
        <v>0</v>
      </c>
      <c r="I9898" s="405" t="s">
        <v>1048</v>
      </c>
      <c r="J9898" s="406">
        <v>0</v>
      </c>
      <c r="K9898"/>
    </row>
    <row r="9899" spans="1:11" ht="15.6" thickBot="1" x14ac:dyDescent="0.35">
      <c r="A9899" s="405"/>
      <c r="B9899" s="405"/>
      <c r="C9899" s="405"/>
      <c r="D9899" s="405"/>
      <c r="E9899" s="405" t="s">
        <v>1049</v>
      </c>
      <c r="F9899" s="406">
        <v>0</v>
      </c>
      <c r="G9899" s="405"/>
      <c r="H9899" s="606"/>
      <c r="I9899" s="606" t="s">
        <v>1050</v>
      </c>
      <c r="J9899" s="406">
        <v>0.01</v>
      </c>
      <c r="K9899"/>
    </row>
    <row r="9900" spans="1:11" ht="15.6" thickTop="1" x14ac:dyDescent="0.3">
      <c r="A9900" s="407"/>
      <c r="B9900" s="407"/>
      <c r="C9900" s="407"/>
      <c r="D9900" s="407"/>
      <c r="E9900" s="407"/>
      <c r="F9900" s="407"/>
      <c r="G9900" s="407"/>
      <c r="H9900" s="407"/>
      <c r="I9900" s="407"/>
      <c r="J9900" s="407"/>
      <c r="K9900"/>
    </row>
    <row r="9901" spans="1:11" ht="15" x14ac:dyDescent="0.3">
      <c r="A9901" s="382"/>
      <c r="B9901" s="312" t="s">
        <v>413</v>
      </c>
      <c r="C9901" s="382" t="s">
        <v>414</v>
      </c>
      <c r="D9901" s="382" t="s">
        <v>415</v>
      </c>
      <c r="E9901" s="586" t="s">
        <v>1029</v>
      </c>
      <c r="F9901" s="586"/>
      <c r="G9901" s="383" t="s">
        <v>416</v>
      </c>
      <c r="H9901" s="312" t="s">
        <v>1030</v>
      </c>
      <c r="I9901" s="312" t="s">
        <v>3016</v>
      </c>
      <c r="J9901" s="312" t="s">
        <v>1031</v>
      </c>
      <c r="K9901" s="312" t="s">
        <v>1032</v>
      </c>
    </row>
    <row r="9902" spans="1:11" ht="39.6" x14ac:dyDescent="0.3">
      <c r="A9902" s="313" t="s">
        <v>1033</v>
      </c>
      <c r="B9902" s="315" t="s">
        <v>8328</v>
      </c>
      <c r="C9902" s="313" t="s">
        <v>395</v>
      </c>
      <c r="D9902" s="313" t="s">
        <v>8324</v>
      </c>
      <c r="E9902" s="603" t="s">
        <v>7946</v>
      </c>
      <c r="F9902" s="603"/>
      <c r="G9902" s="314" t="s">
        <v>6</v>
      </c>
      <c r="H9902" s="399">
        <v>1</v>
      </c>
      <c r="I9902" s="316"/>
      <c r="J9902" s="316">
        <v>0.06</v>
      </c>
      <c r="K9902" s="316">
        <v>0.06</v>
      </c>
    </row>
    <row r="9903" spans="1:11" ht="15" x14ac:dyDescent="0.3">
      <c r="A9903" s="581"/>
      <c r="B9903" s="581"/>
      <c r="C9903" s="581"/>
      <c r="D9903" s="581"/>
      <c r="E9903" s="581"/>
      <c r="F9903" s="581" t="s">
        <v>7961</v>
      </c>
      <c r="G9903" s="581"/>
      <c r="H9903" s="581"/>
      <c r="I9903" s="581"/>
      <c r="J9903" s="413">
        <v>0</v>
      </c>
      <c r="K9903"/>
    </row>
    <row r="9904" spans="1:11" ht="15" x14ac:dyDescent="0.3">
      <c r="A9904" s="581"/>
      <c r="B9904" s="581"/>
      <c r="C9904" s="581"/>
      <c r="D9904" s="581"/>
      <c r="E9904" s="581"/>
      <c r="F9904" s="581" t="s">
        <v>7962</v>
      </c>
      <c r="G9904" s="581"/>
      <c r="H9904" s="581"/>
      <c r="I9904" s="581"/>
      <c r="J9904" s="413">
        <v>0</v>
      </c>
      <c r="K9904"/>
    </row>
    <row r="9905" spans="1:11" ht="15" x14ac:dyDescent="0.3">
      <c r="A9905" s="581"/>
      <c r="B9905" s="581"/>
      <c r="C9905" s="581"/>
      <c r="D9905" s="581"/>
      <c r="E9905" s="581"/>
      <c r="F9905" s="581" t="s">
        <v>7963</v>
      </c>
      <c r="G9905" s="581"/>
      <c r="H9905" s="581"/>
      <c r="I9905" s="581"/>
      <c r="J9905" s="413">
        <v>0</v>
      </c>
      <c r="K9905"/>
    </row>
    <row r="9906" spans="1:11" ht="15" x14ac:dyDescent="0.3">
      <c r="A9906" s="581"/>
      <c r="B9906" s="581"/>
      <c r="C9906" s="581"/>
      <c r="D9906" s="581"/>
      <c r="E9906" s="581"/>
      <c r="F9906" s="581" t="s">
        <v>7964</v>
      </c>
      <c r="G9906" s="581"/>
      <c r="H9906" s="581"/>
      <c r="I9906" s="581"/>
      <c r="J9906" s="413">
        <v>0</v>
      </c>
      <c r="K9906"/>
    </row>
    <row r="9907" spans="1:11" ht="15" x14ac:dyDescent="0.3">
      <c r="A9907" s="581"/>
      <c r="B9907" s="581"/>
      <c r="C9907" s="581"/>
      <c r="D9907" s="581"/>
      <c r="E9907" s="581"/>
      <c r="F9907" s="581" t="s">
        <v>7965</v>
      </c>
      <c r="G9907" s="581"/>
      <c r="H9907" s="581"/>
      <c r="I9907" s="581"/>
      <c r="J9907" s="413">
        <v>0</v>
      </c>
      <c r="K9907"/>
    </row>
    <row r="9908" spans="1:11" ht="15" x14ac:dyDescent="0.3">
      <c r="A9908" s="382" t="s">
        <v>7921</v>
      </c>
      <c r="B9908" s="312" t="s">
        <v>414</v>
      </c>
      <c r="C9908" s="382" t="s">
        <v>413</v>
      </c>
      <c r="D9908" s="382" t="s">
        <v>8317</v>
      </c>
      <c r="E9908" s="312" t="s">
        <v>1552</v>
      </c>
      <c r="F9908" s="312" t="s">
        <v>7907</v>
      </c>
      <c r="G9908" s="584" t="s">
        <v>7967</v>
      </c>
      <c r="H9908" s="584"/>
      <c r="I9908" s="584"/>
      <c r="J9908" s="312" t="s">
        <v>7905</v>
      </c>
      <c r="K9908"/>
    </row>
    <row r="9909" spans="1:11" ht="26.4" x14ac:dyDescent="0.3">
      <c r="A9909" s="400" t="s">
        <v>1038</v>
      </c>
      <c r="B9909" s="401" t="s">
        <v>395</v>
      </c>
      <c r="C9909" s="400">
        <v>38414</v>
      </c>
      <c r="D9909" s="400" t="s">
        <v>7726</v>
      </c>
      <c r="E9909" s="403">
        <v>8.0000000000000007E-5</v>
      </c>
      <c r="F9909" s="402" t="s">
        <v>4</v>
      </c>
      <c r="G9909" s="607">
        <v>775.63</v>
      </c>
      <c r="H9909" s="607"/>
      <c r="I9909" s="605"/>
      <c r="J9909" s="414">
        <v>6.2100000000000002E-2</v>
      </c>
      <c r="K9909"/>
    </row>
    <row r="9910" spans="1:11" ht="15" x14ac:dyDescent="0.3">
      <c r="A9910" s="581"/>
      <c r="B9910" s="581"/>
      <c r="C9910" s="581"/>
      <c r="D9910" s="581"/>
      <c r="E9910" s="581"/>
      <c r="F9910" s="581" t="s">
        <v>8318</v>
      </c>
      <c r="G9910" s="581"/>
      <c r="H9910" s="581"/>
      <c r="I9910" s="581"/>
      <c r="J9910" s="413">
        <v>6.2100000000000002E-2</v>
      </c>
      <c r="K9910"/>
    </row>
    <row r="9911" spans="1:11" ht="15" x14ac:dyDescent="0.3">
      <c r="A9911" s="405"/>
      <c r="B9911" s="405"/>
      <c r="C9911" s="405"/>
      <c r="D9911" s="405"/>
      <c r="E9911" s="405" t="s">
        <v>1046</v>
      </c>
      <c r="F9911" s="406">
        <v>0</v>
      </c>
      <c r="G9911" s="405" t="s">
        <v>1047</v>
      </c>
      <c r="H9911" s="406">
        <v>0</v>
      </c>
      <c r="I9911" s="405" t="s">
        <v>1048</v>
      </c>
      <c r="J9911" s="406">
        <v>0</v>
      </c>
      <c r="K9911"/>
    </row>
    <row r="9912" spans="1:11" ht="15.6" thickBot="1" x14ac:dyDescent="0.35">
      <c r="A9912" s="405"/>
      <c r="B9912" s="405"/>
      <c r="C9912" s="405"/>
      <c r="D9912" s="405"/>
      <c r="E9912" s="405" t="s">
        <v>1049</v>
      </c>
      <c r="F9912" s="406">
        <v>0</v>
      </c>
      <c r="G9912" s="405"/>
      <c r="H9912" s="606"/>
      <c r="I9912" s="606" t="s">
        <v>1050</v>
      </c>
      <c r="J9912" s="406">
        <v>0.06</v>
      </c>
      <c r="K9912"/>
    </row>
    <row r="9913" spans="1:11" ht="15.6" thickTop="1" x14ac:dyDescent="0.3">
      <c r="A9913" s="407"/>
      <c r="B9913" s="407"/>
      <c r="C9913" s="407"/>
      <c r="D9913" s="407"/>
      <c r="E9913" s="407"/>
      <c r="F9913" s="407"/>
      <c r="G9913" s="407"/>
      <c r="H9913" s="407"/>
      <c r="I9913" s="407"/>
      <c r="J9913" s="407"/>
      <c r="K9913"/>
    </row>
    <row r="9914" spans="1:11" ht="15" x14ac:dyDescent="0.3">
      <c r="A9914" s="382"/>
      <c r="B9914" s="312" t="s">
        <v>413</v>
      </c>
      <c r="C9914" s="382" t="s">
        <v>414</v>
      </c>
      <c r="D9914" s="382" t="s">
        <v>415</v>
      </c>
      <c r="E9914" s="586" t="s">
        <v>1029</v>
      </c>
      <c r="F9914" s="586"/>
      <c r="G9914" s="383" t="s">
        <v>416</v>
      </c>
      <c r="H9914" s="312" t="s">
        <v>1030</v>
      </c>
      <c r="I9914" s="312" t="s">
        <v>3016</v>
      </c>
      <c r="J9914" s="312" t="s">
        <v>1031</v>
      </c>
      <c r="K9914" s="312" t="s">
        <v>1032</v>
      </c>
    </row>
    <row r="9915" spans="1:11" ht="39.6" x14ac:dyDescent="0.3">
      <c r="A9915" s="313" t="s">
        <v>1033</v>
      </c>
      <c r="B9915" s="315" t="s">
        <v>8329</v>
      </c>
      <c r="C9915" s="313" t="s">
        <v>395</v>
      </c>
      <c r="D9915" s="313" t="s">
        <v>8325</v>
      </c>
      <c r="E9915" s="603" t="s">
        <v>7946</v>
      </c>
      <c r="F9915" s="603"/>
      <c r="G9915" s="314" t="s">
        <v>6</v>
      </c>
      <c r="H9915" s="399">
        <v>1</v>
      </c>
      <c r="I9915" s="316"/>
      <c r="J9915" s="316">
        <v>1.2</v>
      </c>
      <c r="K9915" s="316">
        <v>1.2</v>
      </c>
    </row>
    <row r="9916" spans="1:11" ht="15" x14ac:dyDescent="0.3">
      <c r="A9916" s="581"/>
      <c r="B9916" s="581"/>
      <c r="C9916" s="581"/>
      <c r="D9916" s="581"/>
      <c r="E9916" s="581"/>
      <c r="F9916" s="581" t="s">
        <v>7961</v>
      </c>
      <c r="G9916" s="581"/>
      <c r="H9916" s="581"/>
      <c r="I9916" s="581"/>
      <c r="J9916" s="413">
        <v>0</v>
      </c>
      <c r="K9916"/>
    </row>
    <row r="9917" spans="1:11" ht="15" x14ac:dyDescent="0.3">
      <c r="A9917" s="581"/>
      <c r="B9917" s="581"/>
      <c r="C9917" s="581"/>
      <c r="D9917" s="581"/>
      <c r="E9917" s="581"/>
      <c r="F9917" s="581" t="s">
        <v>7962</v>
      </c>
      <c r="G9917" s="581"/>
      <c r="H9917" s="581"/>
      <c r="I9917" s="581"/>
      <c r="J9917" s="413">
        <v>0</v>
      </c>
      <c r="K9917"/>
    </row>
    <row r="9918" spans="1:11" ht="15" x14ac:dyDescent="0.3">
      <c r="A9918" s="581"/>
      <c r="B9918" s="581"/>
      <c r="C9918" s="581"/>
      <c r="D9918" s="581"/>
      <c r="E9918" s="581"/>
      <c r="F9918" s="581" t="s">
        <v>7963</v>
      </c>
      <c r="G9918" s="581"/>
      <c r="H9918" s="581"/>
      <c r="I9918" s="581"/>
      <c r="J9918" s="413">
        <v>0</v>
      </c>
      <c r="K9918"/>
    </row>
    <row r="9919" spans="1:11" ht="15" x14ac:dyDescent="0.3">
      <c r="A9919" s="581"/>
      <c r="B9919" s="581"/>
      <c r="C9919" s="581"/>
      <c r="D9919" s="581"/>
      <c r="E9919" s="581"/>
      <c r="F9919" s="581" t="s">
        <v>7964</v>
      </c>
      <c r="G9919" s="581"/>
      <c r="H9919" s="581"/>
      <c r="I9919" s="581"/>
      <c r="J9919" s="413">
        <v>0</v>
      </c>
      <c r="K9919"/>
    </row>
    <row r="9920" spans="1:11" ht="15" x14ac:dyDescent="0.3">
      <c r="A9920" s="581"/>
      <c r="B9920" s="581"/>
      <c r="C9920" s="581"/>
      <c r="D9920" s="581"/>
      <c r="E9920" s="581"/>
      <c r="F9920" s="581" t="s">
        <v>7965</v>
      </c>
      <c r="G9920" s="581"/>
      <c r="H9920" s="581"/>
      <c r="I9920" s="581"/>
      <c r="J9920" s="413">
        <v>0</v>
      </c>
      <c r="K9920"/>
    </row>
    <row r="9921" spans="1:11" ht="15" x14ac:dyDescent="0.3">
      <c r="A9921" s="382" t="s">
        <v>7966</v>
      </c>
      <c r="B9921" s="312" t="s">
        <v>414</v>
      </c>
      <c r="C9921" s="382" t="s">
        <v>413</v>
      </c>
      <c r="D9921" s="382" t="s">
        <v>1039</v>
      </c>
      <c r="E9921" s="312" t="s">
        <v>1552</v>
      </c>
      <c r="F9921" s="312" t="s">
        <v>7907</v>
      </c>
      <c r="G9921" s="584" t="s">
        <v>7967</v>
      </c>
      <c r="H9921" s="584"/>
      <c r="I9921" s="584"/>
      <c r="J9921" s="312" t="s">
        <v>7905</v>
      </c>
      <c r="K9921"/>
    </row>
    <row r="9922" spans="1:11" ht="15" x14ac:dyDescent="0.3">
      <c r="A9922" s="400" t="s">
        <v>1038</v>
      </c>
      <c r="B9922" s="401" t="s">
        <v>395</v>
      </c>
      <c r="C9922" s="400">
        <v>2705</v>
      </c>
      <c r="D9922" s="400" t="s">
        <v>4621</v>
      </c>
      <c r="E9922" s="403">
        <v>0.94</v>
      </c>
      <c r="F9922" s="402" t="s">
        <v>4622</v>
      </c>
      <c r="G9922" s="607">
        <v>1.28</v>
      </c>
      <c r="H9922" s="607"/>
      <c r="I9922" s="605"/>
      <c r="J9922" s="414">
        <v>1.2032</v>
      </c>
      <c r="K9922"/>
    </row>
    <row r="9923" spans="1:11" ht="15" x14ac:dyDescent="0.3">
      <c r="A9923" s="581"/>
      <c r="B9923" s="581"/>
      <c r="C9923" s="581"/>
      <c r="D9923" s="581"/>
      <c r="E9923" s="581"/>
      <c r="F9923" s="581" t="s">
        <v>7968</v>
      </c>
      <c r="G9923" s="581"/>
      <c r="H9923" s="581"/>
      <c r="I9923" s="581"/>
      <c r="J9923" s="413">
        <v>1.2032</v>
      </c>
      <c r="K9923"/>
    </row>
    <row r="9924" spans="1:11" ht="15" x14ac:dyDescent="0.3">
      <c r="A9924" s="405"/>
      <c r="B9924" s="405"/>
      <c r="C9924" s="405"/>
      <c r="D9924" s="405"/>
      <c r="E9924" s="405" t="s">
        <v>1046</v>
      </c>
      <c r="F9924" s="406">
        <v>0</v>
      </c>
      <c r="G9924" s="405" t="s">
        <v>1047</v>
      </c>
      <c r="H9924" s="406">
        <v>0</v>
      </c>
      <c r="I9924" s="405" t="s">
        <v>1048</v>
      </c>
      <c r="J9924" s="406">
        <v>0</v>
      </c>
      <c r="K9924"/>
    </row>
    <row r="9925" spans="1:11" ht="15.6" thickBot="1" x14ac:dyDescent="0.35">
      <c r="A9925" s="405"/>
      <c r="B9925" s="405"/>
      <c r="C9925" s="405"/>
      <c r="D9925" s="405"/>
      <c r="E9925" s="405" t="s">
        <v>1049</v>
      </c>
      <c r="F9925" s="406">
        <v>0</v>
      </c>
      <c r="G9925" s="405"/>
      <c r="H9925" s="606"/>
      <c r="I9925" s="606" t="s">
        <v>1050</v>
      </c>
      <c r="J9925" s="406">
        <v>1.2</v>
      </c>
      <c r="K9925"/>
    </row>
    <row r="9926" spans="1:11" ht="15.6" thickTop="1" x14ac:dyDescent="0.3">
      <c r="A9926" s="407"/>
      <c r="B9926" s="407"/>
      <c r="C9926" s="407"/>
      <c r="D9926" s="407"/>
      <c r="E9926" s="407"/>
      <c r="F9926" s="407"/>
      <c r="G9926" s="407"/>
      <c r="H9926" s="407"/>
      <c r="I9926" s="407"/>
      <c r="J9926" s="407"/>
      <c r="K9926"/>
    </row>
    <row r="9927" spans="1:11" ht="15" x14ac:dyDescent="0.3">
      <c r="A9927" s="382"/>
      <c r="B9927" s="312" t="s">
        <v>413</v>
      </c>
      <c r="C9927" s="382" t="s">
        <v>414</v>
      </c>
      <c r="D9927" s="382" t="s">
        <v>415</v>
      </c>
      <c r="E9927" s="586" t="s">
        <v>1029</v>
      </c>
      <c r="F9927" s="586"/>
      <c r="G9927" s="383" t="s">
        <v>416</v>
      </c>
      <c r="H9927" s="312" t="s">
        <v>1030</v>
      </c>
      <c r="I9927" s="312" t="s">
        <v>3016</v>
      </c>
      <c r="J9927" s="312" t="s">
        <v>1031</v>
      </c>
      <c r="K9927" s="312" t="s">
        <v>1032</v>
      </c>
    </row>
    <row r="9928" spans="1:11" ht="26.4" x14ac:dyDescent="0.3">
      <c r="A9928" s="313" t="s">
        <v>1033</v>
      </c>
      <c r="B9928" s="315" t="s">
        <v>5158</v>
      </c>
      <c r="C9928" s="313" t="s">
        <v>395</v>
      </c>
      <c r="D9928" s="313" t="s">
        <v>7793</v>
      </c>
      <c r="E9928" s="603" t="s">
        <v>7783</v>
      </c>
      <c r="F9928" s="603"/>
      <c r="G9928" s="314" t="s">
        <v>4</v>
      </c>
      <c r="H9928" s="399">
        <v>1</v>
      </c>
      <c r="I9928" s="316"/>
      <c r="J9928" s="316">
        <v>38.369999999999997</v>
      </c>
      <c r="K9928" s="316">
        <v>38.369999999999997</v>
      </c>
    </row>
    <row r="9929" spans="1:11" ht="39.6" x14ac:dyDescent="0.3">
      <c r="A9929" s="408" t="s">
        <v>1034</v>
      </c>
      <c r="B9929" s="409" t="s">
        <v>8227</v>
      </c>
      <c r="C9929" s="408" t="s">
        <v>395</v>
      </c>
      <c r="D9929" s="408" t="s">
        <v>8228</v>
      </c>
      <c r="E9929" s="604" t="s">
        <v>7783</v>
      </c>
      <c r="F9929" s="604"/>
      <c r="G9929" s="410" t="s">
        <v>4</v>
      </c>
      <c r="H9929" s="412">
        <v>1</v>
      </c>
      <c r="I9929" s="412">
        <v>0</v>
      </c>
      <c r="J9929" s="411">
        <v>13.43</v>
      </c>
      <c r="K9929" s="411">
        <v>13.43</v>
      </c>
    </row>
    <row r="9930" spans="1:11" ht="26.4" x14ac:dyDescent="0.3">
      <c r="A9930" s="408" t="s">
        <v>1034</v>
      </c>
      <c r="B9930" s="409" t="s">
        <v>8330</v>
      </c>
      <c r="C9930" s="408" t="s">
        <v>395</v>
      </c>
      <c r="D9930" s="408" t="s">
        <v>8331</v>
      </c>
      <c r="E9930" s="604" t="s">
        <v>7783</v>
      </c>
      <c r="F9930" s="604"/>
      <c r="G9930" s="410" t="s">
        <v>4</v>
      </c>
      <c r="H9930" s="412">
        <v>1</v>
      </c>
      <c r="I9930" s="412">
        <v>0</v>
      </c>
      <c r="J9930" s="411">
        <v>24.94</v>
      </c>
      <c r="K9930" s="411">
        <v>24.94</v>
      </c>
    </row>
    <row r="9931" spans="1:11" ht="15" x14ac:dyDescent="0.3">
      <c r="A9931" s="405"/>
      <c r="B9931" s="405"/>
      <c r="C9931" s="405"/>
      <c r="D9931" s="405"/>
      <c r="E9931" s="405" t="s">
        <v>1046</v>
      </c>
      <c r="F9931" s="406">
        <v>20.6</v>
      </c>
      <c r="G9931" s="405" t="s">
        <v>1047</v>
      </c>
      <c r="H9931" s="406">
        <v>0</v>
      </c>
      <c r="I9931" s="405" t="s">
        <v>1048</v>
      </c>
      <c r="J9931" s="406">
        <v>20.6</v>
      </c>
      <c r="K9931"/>
    </row>
    <row r="9932" spans="1:11" ht="15.6" thickBot="1" x14ac:dyDescent="0.35">
      <c r="A9932" s="405"/>
      <c r="B9932" s="405"/>
      <c r="C9932" s="405"/>
      <c r="D9932" s="405"/>
      <c r="E9932" s="405" t="s">
        <v>1049</v>
      </c>
      <c r="F9932" s="406">
        <v>0</v>
      </c>
      <c r="G9932" s="405"/>
      <c r="H9932" s="606"/>
      <c r="I9932" s="606" t="s">
        <v>1050</v>
      </c>
      <c r="J9932" s="406">
        <v>38.369999999999997</v>
      </c>
      <c r="K9932"/>
    </row>
    <row r="9933" spans="1:11" ht="15.6" thickTop="1" x14ac:dyDescent="0.3">
      <c r="A9933" s="407"/>
      <c r="B9933" s="407"/>
      <c r="C9933" s="407"/>
      <c r="D9933" s="407"/>
      <c r="E9933" s="407"/>
      <c r="F9933" s="407"/>
      <c r="G9933" s="407"/>
      <c r="H9933" s="407"/>
      <c r="I9933" s="407"/>
      <c r="J9933" s="407"/>
      <c r="K9933"/>
    </row>
    <row r="9934" spans="1:11" ht="15" x14ac:dyDescent="0.3">
      <c r="A9934" s="382"/>
      <c r="B9934" s="312" t="s">
        <v>413</v>
      </c>
      <c r="C9934" s="382" t="s">
        <v>414</v>
      </c>
      <c r="D9934" s="382" t="s">
        <v>415</v>
      </c>
      <c r="E9934" s="586" t="s">
        <v>1029</v>
      </c>
      <c r="F9934" s="586"/>
      <c r="G9934" s="383" t="s">
        <v>416</v>
      </c>
      <c r="H9934" s="312" t="s">
        <v>1030</v>
      </c>
      <c r="I9934" s="312" t="s">
        <v>3016</v>
      </c>
      <c r="J9934" s="312" t="s">
        <v>1031</v>
      </c>
      <c r="K9934" s="312" t="s">
        <v>1032</v>
      </c>
    </row>
    <row r="9935" spans="1:11" ht="26.4" x14ac:dyDescent="0.3">
      <c r="A9935" s="313" t="s">
        <v>1033</v>
      </c>
      <c r="B9935" s="315" t="s">
        <v>8330</v>
      </c>
      <c r="C9935" s="313" t="s">
        <v>395</v>
      </c>
      <c r="D9935" s="313" t="s">
        <v>8331</v>
      </c>
      <c r="E9935" s="603" t="s">
        <v>7783</v>
      </c>
      <c r="F9935" s="603"/>
      <c r="G9935" s="314" t="s">
        <v>4</v>
      </c>
      <c r="H9935" s="399">
        <v>1</v>
      </c>
      <c r="I9935" s="316"/>
      <c r="J9935" s="316">
        <v>24.94</v>
      </c>
      <c r="K9935" s="316">
        <v>24.94</v>
      </c>
    </row>
    <row r="9936" spans="1:11" ht="26.4" x14ac:dyDescent="0.3">
      <c r="A9936" s="408" t="s">
        <v>1034</v>
      </c>
      <c r="B9936" s="409" t="s">
        <v>1035</v>
      </c>
      <c r="C9936" s="408" t="s">
        <v>395</v>
      </c>
      <c r="D9936" s="408" t="s">
        <v>128</v>
      </c>
      <c r="E9936" s="604" t="s">
        <v>7768</v>
      </c>
      <c r="F9936" s="604"/>
      <c r="G9936" s="410" t="s">
        <v>6</v>
      </c>
      <c r="H9936" s="412">
        <v>0.24199999999999999</v>
      </c>
      <c r="I9936" s="412">
        <v>0</v>
      </c>
      <c r="J9936" s="411">
        <v>34.5</v>
      </c>
      <c r="K9936" s="411">
        <v>8.3490000000000002</v>
      </c>
    </row>
    <row r="9937" spans="1:11" ht="26.4" x14ac:dyDescent="0.3">
      <c r="A9937" s="408" t="s">
        <v>1034</v>
      </c>
      <c r="B9937" s="409" t="s">
        <v>1037</v>
      </c>
      <c r="C9937" s="408" t="s">
        <v>395</v>
      </c>
      <c r="D9937" s="408" t="s">
        <v>135</v>
      </c>
      <c r="E9937" s="604" t="s">
        <v>7768</v>
      </c>
      <c r="F9937" s="604"/>
      <c r="G9937" s="410" t="s">
        <v>6</v>
      </c>
      <c r="H9937" s="412">
        <v>0.24199999999999999</v>
      </c>
      <c r="I9937" s="412">
        <v>0</v>
      </c>
      <c r="J9937" s="411">
        <v>41.81</v>
      </c>
      <c r="K9937" s="411">
        <v>10.11802</v>
      </c>
    </row>
    <row r="9938" spans="1:11" ht="15" x14ac:dyDescent="0.3">
      <c r="A9938" s="400" t="s">
        <v>1038</v>
      </c>
      <c r="B9938" s="401" t="s">
        <v>1228</v>
      </c>
      <c r="C9938" s="400" t="s">
        <v>395</v>
      </c>
      <c r="D9938" s="400" t="s">
        <v>286</v>
      </c>
      <c r="E9938" s="605" t="s">
        <v>1039</v>
      </c>
      <c r="F9938" s="605"/>
      <c r="G9938" s="402" t="s">
        <v>4</v>
      </c>
      <c r="H9938" s="403">
        <v>1</v>
      </c>
      <c r="I9938" s="403">
        <v>0</v>
      </c>
      <c r="J9938" s="404">
        <v>6.47</v>
      </c>
      <c r="K9938" s="404">
        <v>6.47</v>
      </c>
    </row>
    <row r="9939" spans="1:11" ht="15" x14ac:dyDescent="0.3">
      <c r="A9939" s="405"/>
      <c r="B9939" s="405"/>
      <c r="C9939" s="405"/>
      <c r="D9939" s="405"/>
      <c r="E9939" s="405" t="s">
        <v>1046</v>
      </c>
      <c r="F9939" s="406">
        <v>13.47</v>
      </c>
      <c r="G9939" s="405" t="s">
        <v>1047</v>
      </c>
      <c r="H9939" s="406">
        <v>0</v>
      </c>
      <c r="I9939" s="405" t="s">
        <v>1048</v>
      </c>
      <c r="J9939" s="406">
        <v>13.47</v>
      </c>
      <c r="K9939"/>
    </row>
    <row r="9940" spans="1:11" ht="15.6" thickBot="1" x14ac:dyDescent="0.35">
      <c r="A9940" s="405"/>
      <c r="B9940" s="405"/>
      <c r="C9940" s="405"/>
      <c r="D9940" s="405"/>
      <c r="E9940" s="405" t="s">
        <v>1049</v>
      </c>
      <c r="F9940" s="406">
        <v>0</v>
      </c>
      <c r="G9940" s="405"/>
      <c r="H9940" s="606"/>
      <c r="I9940" s="606" t="s">
        <v>1050</v>
      </c>
      <c r="J9940" s="406">
        <v>24.94</v>
      </c>
      <c r="K9940"/>
    </row>
    <row r="9941" spans="1:11" ht="15.6" thickTop="1" x14ac:dyDescent="0.3">
      <c r="A9941" s="407"/>
      <c r="B9941" s="407"/>
      <c r="C9941" s="407"/>
      <c r="D9941" s="407"/>
      <c r="E9941" s="407"/>
      <c r="F9941" s="407"/>
      <c r="G9941" s="407"/>
      <c r="H9941" s="407"/>
      <c r="I9941" s="407"/>
      <c r="J9941" s="407"/>
      <c r="K9941"/>
    </row>
    <row r="9942" spans="1:11" ht="15" x14ac:dyDescent="0.3">
      <c r="A9942" s="382"/>
      <c r="B9942" s="312" t="s">
        <v>413</v>
      </c>
      <c r="C9942" s="382" t="s">
        <v>414</v>
      </c>
      <c r="D9942" s="382" t="s">
        <v>415</v>
      </c>
      <c r="E9942" s="586" t="s">
        <v>1029</v>
      </c>
      <c r="F9942" s="586"/>
      <c r="G9942" s="383" t="s">
        <v>416</v>
      </c>
      <c r="H9942" s="312" t="s">
        <v>1030</v>
      </c>
      <c r="I9942" s="312" t="s">
        <v>3016</v>
      </c>
      <c r="J9942" s="312" t="s">
        <v>1031</v>
      </c>
      <c r="K9942" s="312" t="s">
        <v>1032</v>
      </c>
    </row>
    <row r="9943" spans="1:11" ht="26.4" x14ac:dyDescent="0.3">
      <c r="A9943" s="313" t="s">
        <v>1033</v>
      </c>
      <c r="B9943" s="315" t="s">
        <v>5159</v>
      </c>
      <c r="C9943" s="313" t="s">
        <v>395</v>
      </c>
      <c r="D9943" s="313" t="s">
        <v>7794</v>
      </c>
      <c r="E9943" s="603" t="s">
        <v>7783</v>
      </c>
      <c r="F9943" s="603"/>
      <c r="G9943" s="314" t="s">
        <v>4</v>
      </c>
      <c r="H9943" s="399">
        <v>1</v>
      </c>
      <c r="I9943" s="316"/>
      <c r="J9943" s="316">
        <v>40.17</v>
      </c>
      <c r="K9943" s="316">
        <v>40.17</v>
      </c>
    </row>
    <row r="9944" spans="1:11" ht="39.6" x14ac:dyDescent="0.3">
      <c r="A9944" s="408" t="s">
        <v>1034</v>
      </c>
      <c r="B9944" s="409" t="s">
        <v>8227</v>
      </c>
      <c r="C9944" s="408" t="s">
        <v>395</v>
      </c>
      <c r="D9944" s="408" t="s">
        <v>8228</v>
      </c>
      <c r="E9944" s="604" t="s">
        <v>7783</v>
      </c>
      <c r="F9944" s="604"/>
      <c r="G9944" s="410" t="s">
        <v>4</v>
      </c>
      <c r="H9944" s="412">
        <v>1</v>
      </c>
      <c r="I9944" s="412">
        <v>0</v>
      </c>
      <c r="J9944" s="411">
        <v>13.43</v>
      </c>
      <c r="K9944" s="411">
        <v>13.43</v>
      </c>
    </row>
    <row r="9945" spans="1:11" ht="26.4" x14ac:dyDescent="0.3">
      <c r="A9945" s="408" t="s">
        <v>1034</v>
      </c>
      <c r="B9945" s="409" t="s">
        <v>8332</v>
      </c>
      <c r="C9945" s="408" t="s">
        <v>395</v>
      </c>
      <c r="D9945" s="408" t="s">
        <v>8333</v>
      </c>
      <c r="E9945" s="604" t="s">
        <v>7783</v>
      </c>
      <c r="F9945" s="604"/>
      <c r="G9945" s="410" t="s">
        <v>4</v>
      </c>
      <c r="H9945" s="412">
        <v>1</v>
      </c>
      <c r="I9945" s="412">
        <v>0</v>
      </c>
      <c r="J9945" s="411">
        <v>26.74</v>
      </c>
      <c r="K9945" s="411">
        <v>26.74</v>
      </c>
    </row>
    <row r="9946" spans="1:11" ht="15" x14ac:dyDescent="0.3">
      <c r="A9946" s="405"/>
      <c r="B9946" s="405"/>
      <c r="C9946" s="405"/>
      <c r="D9946" s="405"/>
      <c r="E9946" s="405" t="s">
        <v>1046</v>
      </c>
      <c r="F9946" s="406">
        <v>20.6</v>
      </c>
      <c r="G9946" s="405" t="s">
        <v>1047</v>
      </c>
      <c r="H9946" s="406">
        <v>0</v>
      </c>
      <c r="I9946" s="405" t="s">
        <v>1048</v>
      </c>
      <c r="J9946" s="406">
        <v>20.6</v>
      </c>
      <c r="K9946"/>
    </row>
    <row r="9947" spans="1:11" ht="15.6" thickBot="1" x14ac:dyDescent="0.35">
      <c r="A9947" s="405"/>
      <c r="B9947" s="405"/>
      <c r="C9947" s="405"/>
      <c r="D9947" s="405"/>
      <c r="E9947" s="405" t="s">
        <v>1049</v>
      </c>
      <c r="F9947" s="406">
        <v>0</v>
      </c>
      <c r="G9947" s="405"/>
      <c r="H9947" s="606"/>
      <c r="I9947" s="606" t="s">
        <v>1050</v>
      </c>
      <c r="J9947" s="406">
        <v>40.17</v>
      </c>
      <c r="K9947"/>
    </row>
    <row r="9948" spans="1:11" ht="15.6" thickTop="1" x14ac:dyDescent="0.3">
      <c r="A9948" s="407"/>
      <c r="B9948" s="407"/>
      <c r="C9948" s="407"/>
      <c r="D9948" s="407"/>
      <c r="E9948" s="407"/>
      <c r="F9948" s="407"/>
      <c r="G9948" s="407"/>
      <c r="H9948" s="407"/>
      <c r="I9948" s="407"/>
      <c r="J9948" s="407"/>
      <c r="K9948"/>
    </row>
    <row r="9949" spans="1:11" ht="15" x14ac:dyDescent="0.3">
      <c r="A9949" s="382"/>
      <c r="B9949" s="312" t="s">
        <v>413</v>
      </c>
      <c r="C9949" s="382" t="s">
        <v>414</v>
      </c>
      <c r="D9949" s="382" t="s">
        <v>415</v>
      </c>
      <c r="E9949" s="586" t="s">
        <v>1029</v>
      </c>
      <c r="F9949" s="586"/>
      <c r="G9949" s="383" t="s">
        <v>416</v>
      </c>
      <c r="H9949" s="312" t="s">
        <v>1030</v>
      </c>
      <c r="I9949" s="312" t="s">
        <v>3016</v>
      </c>
      <c r="J9949" s="312" t="s">
        <v>1031</v>
      </c>
      <c r="K9949" s="312" t="s">
        <v>1032</v>
      </c>
    </row>
    <row r="9950" spans="1:11" ht="26.4" x14ac:dyDescent="0.3">
      <c r="A9950" s="313" t="s">
        <v>1033</v>
      </c>
      <c r="B9950" s="315" t="s">
        <v>8332</v>
      </c>
      <c r="C9950" s="313" t="s">
        <v>395</v>
      </c>
      <c r="D9950" s="313" t="s">
        <v>8333</v>
      </c>
      <c r="E9950" s="603" t="s">
        <v>7783</v>
      </c>
      <c r="F9950" s="603"/>
      <c r="G9950" s="314" t="s">
        <v>4</v>
      </c>
      <c r="H9950" s="399">
        <v>1</v>
      </c>
      <c r="I9950" s="316"/>
      <c r="J9950" s="316">
        <v>26.74</v>
      </c>
      <c r="K9950" s="316">
        <v>26.74</v>
      </c>
    </row>
    <row r="9951" spans="1:11" ht="26.4" x14ac:dyDescent="0.3">
      <c r="A9951" s="408" t="s">
        <v>1034</v>
      </c>
      <c r="B9951" s="409" t="s">
        <v>1035</v>
      </c>
      <c r="C9951" s="408" t="s">
        <v>395</v>
      </c>
      <c r="D9951" s="408" t="s">
        <v>128</v>
      </c>
      <c r="E9951" s="604" t="s">
        <v>7768</v>
      </c>
      <c r="F9951" s="604"/>
      <c r="G9951" s="410" t="s">
        <v>6</v>
      </c>
      <c r="H9951" s="412">
        <v>0.24199999999999999</v>
      </c>
      <c r="I9951" s="412">
        <v>0</v>
      </c>
      <c r="J9951" s="411">
        <v>34.5</v>
      </c>
      <c r="K9951" s="411">
        <v>8.3490000000000002</v>
      </c>
    </row>
    <row r="9952" spans="1:11" ht="26.4" x14ac:dyDescent="0.3">
      <c r="A9952" s="408" t="s">
        <v>1034</v>
      </c>
      <c r="B9952" s="409" t="s">
        <v>1037</v>
      </c>
      <c r="C9952" s="408" t="s">
        <v>395</v>
      </c>
      <c r="D9952" s="408" t="s">
        <v>135</v>
      </c>
      <c r="E9952" s="604" t="s">
        <v>7768</v>
      </c>
      <c r="F9952" s="604"/>
      <c r="G9952" s="410" t="s">
        <v>6</v>
      </c>
      <c r="H9952" s="412">
        <v>0.24199999999999999</v>
      </c>
      <c r="I9952" s="412">
        <v>0</v>
      </c>
      <c r="J9952" s="411">
        <v>41.81</v>
      </c>
      <c r="K9952" s="411">
        <v>10.11802</v>
      </c>
    </row>
    <row r="9953" spans="1:11" ht="15" x14ac:dyDescent="0.3">
      <c r="A9953" s="400" t="s">
        <v>1038</v>
      </c>
      <c r="B9953" s="401" t="s">
        <v>1229</v>
      </c>
      <c r="C9953" s="400" t="s">
        <v>395</v>
      </c>
      <c r="D9953" s="400" t="s">
        <v>287</v>
      </c>
      <c r="E9953" s="605" t="s">
        <v>1039</v>
      </c>
      <c r="F9953" s="605"/>
      <c r="G9953" s="402" t="s">
        <v>4</v>
      </c>
      <c r="H9953" s="403">
        <v>1</v>
      </c>
      <c r="I9953" s="403">
        <v>0</v>
      </c>
      <c r="J9953" s="404">
        <v>8.27</v>
      </c>
      <c r="K9953" s="404">
        <v>8.27</v>
      </c>
    </row>
    <row r="9954" spans="1:11" ht="15" x14ac:dyDescent="0.3">
      <c r="A9954" s="405"/>
      <c r="B9954" s="405"/>
      <c r="C9954" s="405"/>
      <c r="D9954" s="405"/>
      <c r="E9954" s="405" t="s">
        <v>1046</v>
      </c>
      <c r="F9954" s="406">
        <v>13.47</v>
      </c>
      <c r="G9954" s="405" t="s">
        <v>1047</v>
      </c>
      <c r="H9954" s="406">
        <v>0</v>
      </c>
      <c r="I9954" s="405" t="s">
        <v>1048</v>
      </c>
      <c r="J9954" s="406">
        <v>13.47</v>
      </c>
      <c r="K9954"/>
    </row>
    <row r="9955" spans="1:11" ht="15.6" thickBot="1" x14ac:dyDescent="0.35">
      <c r="A9955" s="405"/>
      <c r="B9955" s="405"/>
      <c r="C9955" s="405"/>
      <c r="D9955" s="405"/>
      <c r="E9955" s="405" t="s">
        <v>1049</v>
      </c>
      <c r="F9955" s="406">
        <v>0</v>
      </c>
      <c r="G9955" s="405"/>
      <c r="H9955" s="606"/>
      <c r="I9955" s="606" t="s">
        <v>1050</v>
      </c>
      <c r="J9955" s="406">
        <v>26.74</v>
      </c>
      <c r="K9955"/>
    </row>
    <row r="9956" spans="1:11" ht="15.6" thickTop="1" x14ac:dyDescent="0.3">
      <c r="A9956" s="407"/>
      <c r="B9956" s="407"/>
      <c r="C9956" s="407"/>
      <c r="D9956" s="407"/>
      <c r="E9956" s="407"/>
      <c r="F9956" s="407"/>
      <c r="G9956" s="407"/>
      <c r="H9956" s="407"/>
      <c r="I9956" s="407"/>
      <c r="J9956" s="407"/>
      <c r="K9956"/>
    </row>
    <row r="9957" spans="1:11" ht="15" x14ac:dyDescent="0.3">
      <c r="A9957" s="382"/>
      <c r="B9957" s="312" t="s">
        <v>413</v>
      </c>
      <c r="C9957" s="382" t="s">
        <v>414</v>
      </c>
      <c r="D9957" s="382" t="s">
        <v>415</v>
      </c>
      <c r="E9957" s="586" t="s">
        <v>1029</v>
      </c>
      <c r="F9957" s="586"/>
      <c r="G9957" s="383" t="s">
        <v>416</v>
      </c>
      <c r="H9957" s="312" t="s">
        <v>1030</v>
      </c>
      <c r="I9957" s="312" t="s">
        <v>3016</v>
      </c>
      <c r="J9957" s="312" t="s">
        <v>1031</v>
      </c>
      <c r="K9957" s="312" t="s">
        <v>1032</v>
      </c>
    </row>
    <row r="9958" spans="1:11" ht="26.4" x14ac:dyDescent="0.3">
      <c r="A9958" s="313" t="s">
        <v>1033</v>
      </c>
      <c r="B9958" s="315" t="s">
        <v>5163</v>
      </c>
      <c r="C9958" s="313" t="s">
        <v>395</v>
      </c>
      <c r="D9958" s="313" t="s">
        <v>7803</v>
      </c>
      <c r="E9958" s="603" t="s">
        <v>7783</v>
      </c>
      <c r="F9958" s="603"/>
      <c r="G9958" s="314" t="s">
        <v>4</v>
      </c>
      <c r="H9958" s="399">
        <v>1</v>
      </c>
      <c r="I9958" s="316"/>
      <c r="J9958" s="316">
        <v>58.5</v>
      </c>
      <c r="K9958" s="316">
        <v>58.5</v>
      </c>
    </row>
    <row r="9959" spans="1:11" ht="39.6" x14ac:dyDescent="0.3">
      <c r="A9959" s="408" t="s">
        <v>1034</v>
      </c>
      <c r="B9959" s="409" t="s">
        <v>8227</v>
      </c>
      <c r="C9959" s="408" t="s">
        <v>395</v>
      </c>
      <c r="D9959" s="408" t="s">
        <v>8228</v>
      </c>
      <c r="E9959" s="604" t="s">
        <v>7783</v>
      </c>
      <c r="F9959" s="604"/>
      <c r="G9959" s="410" t="s">
        <v>4</v>
      </c>
      <c r="H9959" s="412">
        <v>1</v>
      </c>
      <c r="I9959" s="412">
        <v>0</v>
      </c>
      <c r="J9959" s="411">
        <v>13.43</v>
      </c>
      <c r="K9959" s="411">
        <v>13.43</v>
      </c>
    </row>
    <row r="9960" spans="1:11" ht="26.4" x14ac:dyDescent="0.3">
      <c r="A9960" s="408" t="s">
        <v>1034</v>
      </c>
      <c r="B9960" s="409" t="s">
        <v>8334</v>
      </c>
      <c r="C9960" s="408" t="s">
        <v>395</v>
      </c>
      <c r="D9960" s="408" t="s">
        <v>8335</v>
      </c>
      <c r="E9960" s="604" t="s">
        <v>7783</v>
      </c>
      <c r="F9960" s="604"/>
      <c r="G9960" s="410" t="s">
        <v>4</v>
      </c>
      <c r="H9960" s="412">
        <v>1</v>
      </c>
      <c r="I9960" s="412">
        <v>0</v>
      </c>
      <c r="J9960" s="411">
        <v>45.07</v>
      </c>
      <c r="K9960" s="411">
        <v>45.07</v>
      </c>
    </row>
    <row r="9961" spans="1:11" ht="15" x14ac:dyDescent="0.3">
      <c r="A9961" s="405"/>
      <c r="B9961" s="405"/>
      <c r="C9961" s="405"/>
      <c r="D9961" s="405"/>
      <c r="E9961" s="405" t="s">
        <v>1046</v>
      </c>
      <c r="F9961" s="406">
        <v>30.56</v>
      </c>
      <c r="G9961" s="405" t="s">
        <v>1047</v>
      </c>
      <c r="H9961" s="406">
        <v>0.01</v>
      </c>
      <c r="I9961" s="405" t="s">
        <v>1048</v>
      </c>
      <c r="J9961" s="406">
        <v>30.57</v>
      </c>
      <c r="K9961"/>
    </row>
    <row r="9962" spans="1:11" ht="15.6" thickBot="1" x14ac:dyDescent="0.35">
      <c r="A9962" s="405"/>
      <c r="B9962" s="405"/>
      <c r="C9962" s="405"/>
      <c r="D9962" s="405"/>
      <c r="E9962" s="405" t="s">
        <v>1049</v>
      </c>
      <c r="F9962" s="406">
        <v>0</v>
      </c>
      <c r="G9962" s="405"/>
      <c r="H9962" s="606"/>
      <c r="I9962" s="606" t="s">
        <v>1050</v>
      </c>
      <c r="J9962" s="406">
        <v>58.5</v>
      </c>
      <c r="K9962"/>
    </row>
    <row r="9963" spans="1:11" ht="15.6" thickTop="1" x14ac:dyDescent="0.3">
      <c r="A9963" s="407"/>
      <c r="B9963" s="407"/>
      <c r="C9963" s="407"/>
      <c r="D9963" s="407"/>
      <c r="E9963" s="407"/>
      <c r="F9963" s="407"/>
      <c r="G9963" s="407"/>
      <c r="H9963" s="407"/>
      <c r="I9963" s="407"/>
      <c r="J9963" s="407"/>
      <c r="K9963"/>
    </row>
    <row r="9964" spans="1:11" ht="15" x14ac:dyDescent="0.3">
      <c r="A9964" s="382"/>
      <c r="B9964" s="312" t="s">
        <v>413</v>
      </c>
      <c r="C9964" s="382" t="s">
        <v>414</v>
      </c>
      <c r="D9964" s="382" t="s">
        <v>415</v>
      </c>
      <c r="E9964" s="586" t="s">
        <v>1029</v>
      </c>
      <c r="F9964" s="586"/>
      <c r="G9964" s="383" t="s">
        <v>416</v>
      </c>
      <c r="H9964" s="312" t="s">
        <v>1030</v>
      </c>
      <c r="I9964" s="312" t="s">
        <v>3016</v>
      </c>
      <c r="J9964" s="312" t="s">
        <v>1031</v>
      </c>
      <c r="K9964" s="312" t="s">
        <v>1032</v>
      </c>
    </row>
    <row r="9965" spans="1:11" ht="26.4" x14ac:dyDescent="0.3">
      <c r="A9965" s="313" t="s">
        <v>1033</v>
      </c>
      <c r="B9965" s="315" t="s">
        <v>8334</v>
      </c>
      <c r="C9965" s="313" t="s">
        <v>395</v>
      </c>
      <c r="D9965" s="313" t="s">
        <v>8335</v>
      </c>
      <c r="E9965" s="603" t="s">
        <v>7783</v>
      </c>
      <c r="F9965" s="603"/>
      <c r="G9965" s="314" t="s">
        <v>4</v>
      </c>
      <c r="H9965" s="399">
        <v>1</v>
      </c>
      <c r="I9965" s="316"/>
      <c r="J9965" s="316">
        <v>45.07</v>
      </c>
      <c r="K9965" s="316">
        <v>45.07</v>
      </c>
    </row>
    <row r="9966" spans="1:11" ht="26.4" x14ac:dyDescent="0.3">
      <c r="A9966" s="408" t="s">
        <v>1034</v>
      </c>
      <c r="B9966" s="409" t="s">
        <v>1035</v>
      </c>
      <c r="C9966" s="408" t="s">
        <v>395</v>
      </c>
      <c r="D9966" s="408" t="s">
        <v>128</v>
      </c>
      <c r="E9966" s="604" t="s">
        <v>7768</v>
      </c>
      <c r="F9966" s="604"/>
      <c r="G9966" s="410" t="s">
        <v>6</v>
      </c>
      <c r="H9966" s="412">
        <v>0.42099999999999999</v>
      </c>
      <c r="I9966" s="412">
        <v>0</v>
      </c>
      <c r="J9966" s="411">
        <v>34.5</v>
      </c>
      <c r="K9966" s="411">
        <v>14.5245</v>
      </c>
    </row>
    <row r="9967" spans="1:11" ht="26.4" x14ac:dyDescent="0.3">
      <c r="A9967" s="408" t="s">
        <v>1034</v>
      </c>
      <c r="B9967" s="409" t="s">
        <v>1037</v>
      </c>
      <c r="C9967" s="408" t="s">
        <v>395</v>
      </c>
      <c r="D9967" s="408" t="s">
        <v>135</v>
      </c>
      <c r="E9967" s="604" t="s">
        <v>7768</v>
      </c>
      <c r="F9967" s="604"/>
      <c r="G9967" s="410" t="s">
        <v>6</v>
      </c>
      <c r="H9967" s="412">
        <v>0.42099999999999999</v>
      </c>
      <c r="I9967" s="412">
        <v>0</v>
      </c>
      <c r="J9967" s="411">
        <v>41.81</v>
      </c>
      <c r="K9967" s="411">
        <v>17.60201</v>
      </c>
    </row>
    <row r="9968" spans="1:11" ht="15" x14ac:dyDescent="0.3">
      <c r="A9968" s="400" t="s">
        <v>1038</v>
      </c>
      <c r="B9968" s="401" t="s">
        <v>1228</v>
      </c>
      <c r="C9968" s="400" t="s">
        <v>395</v>
      </c>
      <c r="D9968" s="400" t="s">
        <v>286</v>
      </c>
      <c r="E9968" s="605" t="s">
        <v>1039</v>
      </c>
      <c r="F9968" s="605"/>
      <c r="G9968" s="402" t="s">
        <v>4</v>
      </c>
      <c r="H9968" s="403">
        <v>2</v>
      </c>
      <c r="I9968" s="403">
        <v>0</v>
      </c>
      <c r="J9968" s="404">
        <v>6.47</v>
      </c>
      <c r="K9968" s="404">
        <v>12.94</v>
      </c>
    </row>
    <row r="9969" spans="1:11" ht="15" x14ac:dyDescent="0.3">
      <c r="A9969" s="405"/>
      <c r="B9969" s="405"/>
      <c r="C9969" s="405"/>
      <c r="D9969" s="405"/>
      <c r="E9969" s="405" t="s">
        <v>1046</v>
      </c>
      <c r="F9969" s="406">
        <v>23.44</v>
      </c>
      <c r="G9969" s="405" t="s">
        <v>1047</v>
      </c>
      <c r="H9969" s="406">
        <v>0</v>
      </c>
      <c r="I9969" s="405" t="s">
        <v>1048</v>
      </c>
      <c r="J9969" s="406">
        <v>23.44</v>
      </c>
      <c r="K9969"/>
    </row>
    <row r="9970" spans="1:11" ht="15.6" thickBot="1" x14ac:dyDescent="0.35">
      <c r="A9970" s="405"/>
      <c r="B9970" s="405"/>
      <c r="C9970" s="405"/>
      <c r="D9970" s="405"/>
      <c r="E9970" s="405" t="s">
        <v>1049</v>
      </c>
      <c r="F9970" s="406">
        <v>0</v>
      </c>
      <c r="G9970" s="405"/>
      <c r="H9970" s="606"/>
      <c r="I9970" s="606" t="s">
        <v>1050</v>
      </c>
      <c r="J9970" s="406">
        <v>45.07</v>
      </c>
      <c r="K9970"/>
    </row>
    <row r="9971" spans="1:11" ht="15.6" thickTop="1" x14ac:dyDescent="0.3">
      <c r="A9971" s="407"/>
      <c r="B9971" s="407"/>
      <c r="C9971" s="407"/>
      <c r="D9971" s="407"/>
      <c r="E9971" s="407"/>
      <c r="F9971" s="407"/>
      <c r="G9971" s="407"/>
      <c r="H9971" s="407"/>
      <c r="I9971" s="407"/>
      <c r="J9971" s="407"/>
      <c r="K9971"/>
    </row>
    <row r="9972" spans="1:11" ht="15" x14ac:dyDescent="0.3">
      <c r="A9972" s="382"/>
      <c r="B9972" s="312" t="s">
        <v>413</v>
      </c>
      <c r="C9972" s="382" t="s">
        <v>414</v>
      </c>
      <c r="D9972" s="382" t="s">
        <v>415</v>
      </c>
      <c r="E9972" s="586" t="s">
        <v>1029</v>
      </c>
      <c r="F9972" s="586"/>
      <c r="G9972" s="383" t="s">
        <v>416</v>
      </c>
      <c r="H9972" s="312" t="s">
        <v>1030</v>
      </c>
      <c r="I9972" s="312" t="s">
        <v>3016</v>
      </c>
      <c r="J9972" s="312" t="s">
        <v>1031</v>
      </c>
      <c r="K9972" s="312" t="s">
        <v>1032</v>
      </c>
    </row>
    <row r="9973" spans="1:11" ht="26.4" x14ac:dyDescent="0.3">
      <c r="A9973" s="313" t="s">
        <v>1033</v>
      </c>
      <c r="B9973" s="315" t="s">
        <v>5169</v>
      </c>
      <c r="C9973" s="313" t="s">
        <v>395</v>
      </c>
      <c r="D9973" s="313" t="s">
        <v>5170</v>
      </c>
      <c r="E9973" s="603" t="s">
        <v>7811</v>
      </c>
      <c r="F9973" s="603"/>
      <c r="G9973" s="314" t="s">
        <v>4</v>
      </c>
      <c r="H9973" s="399">
        <v>1</v>
      </c>
      <c r="I9973" s="316"/>
      <c r="J9973" s="316">
        <v>60.66</v>
      </c>
      <c r="K9973" s="316">
        <v>60.66</v>
      </c>
    </row>
    <row r="9974" spans="1:11" ht="26.4" x14ac:dyDescent="0.3">
      <c r="A9974" s="408" t="s">
        <v>1034</v>
      </c>
      <c r="B9974" s="409" t="s">
        <v>1113</v>
      </c>
      <c r="C9974" s="408" t="s">
        <v>395</v>
      </c>
      <c r="D9974" s="408" t="s">
        <v>129</v>
      </c>
      <c r="E9974" s="604" t="s">
        <v>7768</v>
      </c>
      <c r="F9974" s="604"/>
      <c r="G9974" s="410" t="s">
        <v>6</v>
      </c>
      <c r="H9974" s="412">
        <v>0.19040000000000001</v>
      </c>
      <c r="I9974" s="412">
        <v>0</v>
      </c>
      <c r="J9974" s="411">
        <v>33.450000000000003</v>
      </c>
      <c r="K9974" s="411">
        <v>6.3688799999999999</v>
      </c>
    </row>
    <row r="9975" spans="1:11" ht="26.4" x14ac:dyDescent="0.3">
      <c r="A9975" s="408" t="s">
        <v>1034</v>
      </c>
      <c r="B9975" s="409" t="s">
        <v>1112</v>
      </c>
      <c r="C9975" s="408" t="s">
        <v>395</v>
      </c>
      <c r="D9975" s="408" t="s">
        <v>137</v>
      </c>
      <c r="E9975" s="604" t="s">
        <v>7768</v>
      </c>
      <c r="F9975" s="604"/>
      <c r="G9975" s="410" t="s">
        <v>6</v>
      </c>
      <c r="H9975" s="412">
        <v>0.19040000000000001</v>
      </c>
      <c r="I9975" s="412">
        <v>0</v>
      </c>
      <c r="J9975" s="411">
        <v>40.299999999999997</v>
      </c>
      <c r="K9975" s="411">
        <v>7.6731199999999999</v>
      </c>
    </row>
    <row r="9976" spans="1:11" ht="15" x14ac:dyDescent="0.3">
      <c r="A9976" s="400" t="s">
        <v>1038</v>
      </c>
      <c r="B9976" s="401" t="s">
        <v>2535</v>
      </c>
      <c r="C9976" s="400" t="s">
        <v>395</v>
      </c>
      <c r="D9976" s="400" t="s">
        <v>262</v>
      </c>
      <c r="E9976" s="605" t="s">
        <v>1039</v>
      </c>
      <c r="F9976" s="605"/>
      <c r="G9976" s="402" t="s">
        <v>4</v>
      </c>
      <c r="H9976" s="403">
        <v>5.3E-3</v>
      </c>
      <c r="I9976" s="403">
        <v>0</v>
      </c>
      <c r="J9976" s="404">
        <v>16.45</v>
      </c>
      <c r="K9976" s="404">
        <v>8.7184999999999999E-2</v>
      </c>
    </row>
    <row r="9977" spans="1:11" ht="26.4" x14ac:dyDescent="0.3">
      <c r="A9977" s="400" t="s">
        <v>1038</v>
      </c>
      <c r="B9977" s="401" t="s">
        <v>4307</v>
      </c>
      <c r="C9977" s="400" t="s">
        <v>395</v>
      </c>
      <c r="D9977" s="400" t="s">
        <v>4308</v>
      </c>
      <c r="E9977" s="605" t="s">
        <v>1039</v>
      </c>
      <c r="F9977" s="605"/>
      <c r="G9977" s="402" t="s">
        <v>4</v>
      </c>
      <c r="H9977" s="403">
        <v>1</v>
      </c>
      <c r="I9977" s="403">
        <v>0</v>
      </c>
      <c r="J9977" s="404">
        <v>46.53</v>
      </c>
      <c r="K9977" s="404">
        <v>46.53</v>
      </c>
    </row>
    <row r="9978" spans="1:11" ht="15" x14ac:dyDescent="0.3">
      <c r="A9978" s="405"/>
      <c r="B9978" s="405"/>
      <c r="C9978" s="405"/>
      <c r="D9978" s="405"/>
      <c r="E9978" s="405" t="s">
        <v>1046</v>
      </c>
      <c r="F9978" s="406">
        <v>10.34</v>
      </c>
      <c r="G9978" s="405" t="s">
        <v>1047</v>
      </c>
      <c r="H9978" s="406">
        <v>0</v>
      </c>
      <c r="I9978" s="405" t="s">
        <v>1048</v>
      </c>
      <c r="J9978" s="406">
        <v>10.34</v>
      </c>
      <c r="K9978"/>
    </row>
    <row r="9979" spans="1:11" ht="15.6" thickBot="1" x14ac:dyDescent="0.35">
      <c r="A9979" s="405"/>
      <c r="B9979" s="405"/>
      <c r="C9979" s="405"/>
      <c r="D9979" s="405"/>
      <c r="E9979" s="405" t="s">
        <v>1049</v>
      </c>
      <c r="F9979" s="406">
        <v>0</v>
      </c>
      <c r="G9979" s="405"/>
      <c r="H9979" s="606"/>
      <c r="I9979" s="606" t="s">
        <v>1050</v>
      </c>
      <c r="J9979" s="406">
        <v>60.66</v>
      </c>
      <c r="K9979"/>
    </row>
    <row r="9980" spans="1:11" ht="15.6" thickTop="1" x14ac:dyDescent="0.3">
      <c r="A9980" s="407"/>
      <c r="B9980" s="407"/>
      <c r="C9980" s="407"/>
      <c r="D9980" s="407"/>
      <c r="E9980" s="407"/>
      <c r="F9980" s="407"/>
      <c r="G9980" s="407"/>
      <c r="H9980" s="407"/>
      <c r="I9980" s="407"/>
      <c r="J9980" s="407"/>
      <c r="K9980"/>
    </row>
    <row r="9981" spans="1:11" ht="15" x14ac:dyDescent="0.3">
      <c r="A9981" s="382"/>
      <c r="B9981" s="312" t="s">
        <v>413</v>
      </c>
      <c r="C9981" s="382" t="s">
        <v>414</v>
      </c>
      <c r="D9981" s="382" t="s">
        <v>415</v>
      </c>
      <c r="E9981" s="586" t="s">
        <v>1029</v>
      </c>
      <c r="F9981" s="586"/>
      <c r="G9981" s="383" t="s">
        <v>416</v>
      </c>
      <c r="H9981" s="312" t="s">
        <v>1030</v>
      </c>
      <c r="I9981" s="312" t="s">
        <v>3016</v>
      </c>
      <c r="J9981" s="312" t="s">
        <v>1031</v>
      </c>
      <c r="K9981" s="312" t="s">
        <v>1032</v>
      </c>
    </row>
    <row r="9982" spans="1:11" ht="39.6" x14ac:dyDescent="0.3">
      <c r="A9982" s="313" t="s">
        <v>1033</v>
      </c>
      <c r="B9982" s="315" t="s">
        <v>5141</v>
      </c>
      <c r="C9982" s="313" t="s">
        <v>395</v>
      </c>
      <c r="D9982" s="313" t="s">
        <v>7777</v>
      </c>
      <c r="E9982" s="603" t="s">
        <v>7778</v>
      </c>
      <c r="F9982" s="603"/>
      <c r="G9982" s="314" t="s">
        <v>675</v>
      </c>
      <c r="H9982" s="399">
        <v>1</v>
      </c>
      <c r="I9982" s="316"/>
      <c r="J9982" s="316">
        <v>33.82</v>
      </c>
      <c r="K9982" s="316">
        <v>33.82</v>
      </c>
    </row>
    <row r="9983" spans="1:11" ht="26.4" x14ac:dyDescent="0.3">
      <c r="A9983" s="408" t="s">
        <v>1034</v>
      </c>
      <c r="B9983" s="409" t="s">
        <v>1288</v>
      </c>
      <c r="C9983" s="408" t="s">
        <v>395</v>
      </c>
      <c r="D9983" s="408" t="s">
        <v>124</v>
      </c>
      <c r="E9983" s="604" t="s">
        <v>7768</v>
      </c>
      <c r="F9983" s="604"/>
      <c r="G9983" s="410" t="s">
        <v>6</v>
      </c>
      <c r="H9983" s="412">
        <v>9.9342299999999994E-2</v>
      </c>
      <c r="I9983" s="412">
        <v>0</v>
      </c>
      <c r="J9983" s="411">
        <v>33.47</v>
      </c>
      <c r="K9983" s="411">
        <v>3.3249868</v>
      </c>
    </row>
    <row r="9984" spans="1:11" ht="26.4" x14ac:dyDescent="0.3">
      <c r="A9984" s="408" t="s">
        <v>1034</v>
      </c>
      <c r="B9984" s="409" t="s">
        <v>1287</v>
      </c>
      <c r="C9984" s="408" t="s">
        <v>395</v>
      </c>
      <c r="D9984" s="408" t="s">
        <v>134</v>
      </c>
      <c r="E9984" s="604" t="s">
        <v>7768</v>
      </c>
      <c r="F9984" s="604"/>
      <c r="G9984" s="410" t="s">
        <v>6</v>
      </c>
      <c r="H9984" s="412">
        <v>0.19520000000000001</v>
      </c>
      <c r="I9984" s="412">
        <v>0</v>
      </c>
      <c r="J9984" s="411">
        <v>42.08</v>
      </c>
      <c r="K9984" s="411">
        <v>8.2140160000000009</v>
      </c>
    </row>
    <row r="9985" spans="1:11" ht="26.4" x14ac:dyDescent="0.3">
      <c r="A9985" s="408" t="s">
        <v>1034</v>
      </c>
      <c r="B9985" s="409" t="s">
        <v>8209</v>
      </c>
      <c r="C9985" s="408" t="s">
        <v>395</v>
      </c>
      <c r="D9985" s="408" t="s">
        <v>8210</v>
      </c>
      <c r="E9985" s="604" t="s">
        <v>7772</v>
      </c>
      <c r="F9985" s="604"/>
      <c r="G9985" s="410" t="s">
        <v>15</v>
      </c>
      <c r="H9985" s="412">
        <v>4.5999999999999999E-3</v>
      </c>
      <c r="I9985" s="412">
        <v>0</v>
      </c>
      <c r="J9985" s="411">
        <v>35.479999999999997</v>
      </c>
      <c r="K9985" s="411">
        <v>0.16320799999999999</v>
      </c>
    </row>
    <row r="9986" spans="1:11" ht="26.4" x14ac:dyDescent="0.3">
      <c r="A9986" s="408" t="s">
        <v>1034</v>
      </c>
      <c r="B9986" s="409" t="s">
        <v>8201</v>
      </c>
      <c r="C9986" s="408" t="s">
        <v>395</v>
      </c>
      <c r="D9986" s="408" t="s">
        <v>8202</v>
      </c>
      <c r="E9986" s="604" t="s">
        <v>7772</v>
      </c>
      <c r="F9986" s="604"/>
      <c r="G9986" s="410" t="s">
        <v>19</v>
      </c>
      <c r="H9986" s="412">
        <v>9.2999999999999992E-3</v>
      </c>
      <c r="I9986" s="412">
        <v>0</v>
      </c>
      <c r="J9986" s="411">
        <v>34.18</v>
      </c>
      <c r="K9986" s="411">
        <v>0.31787399999999999</v>
      </c>
    </row>
    <row r="9987" spans="1:11" ht="26.4" x14ac:dyDescent="0.3">
      <c r="A9987" s="400" t="s">
        <v>1038</v>
      </c>
      <c r="B9987" s="401" t="s">
        <v>4312</v>
      </c>
      <c r="C9987" s="400" t="s">
        <v>395</v>
      </c>
      <c r="D9987" s="400" t="s">
        <v>4313</v>
      </c>
      <c r="E9987" s="605" t="s">
        <v>1039</v>
      </c>
      <c r="F9987" s="605"/>
      <c r="G9987" s="402" t="s">
        <v>7</v>
      </c>
      <c r="H9987" s="403">
        <v>0.63381679999999996</v>
      </c>
      <c r="I9987" s="403">
        <v>0</v>
      </c>
      <c r="J9987" s="404">
        <v>33.520000000000003</v>
      </c>
      <c r="K9987" s="404">
        <v>21.245539099999998</v>
      </c>
    </row>
    <row r="9988" spans="1:11" ht="15" x14ac:dyDescent="0.3">
      <c r="A9988" s="400" t="s">
        <v>1038</v>
      </c>
      <c r="B9988" s="401" t="s">
        <v>4908</v>
      </c>
      <c r="C9988" s="400" t="s">
        <v>395</v>
      </c>
      <c r="D9988" s="400" t="s">
        <v>4909</v>
      </c>
      <c r="E9988" s="605" t="s">
        <v>1039</v>
      </c>
      <c r="F9988" s="605"/>
      <c r="G9988" s="402" t="s">
        <v>3</v>
      </c>
      <c r="H9988" s="403">
        <v>0.03</v>
      </c>
      <c r="I9988" s="403">
        <v>0</v>
      </c>
      <c r="J9988" s="404">
        <v>18.45</v>
      </c>
      <c r="K9988" s="404">
        <v>0.55349999999999999</v>
      </c>
    </row>
    <row r="9989" spans="1:11" ht="15" x14ac:dyDescent="0.3">
      <c r="A9989" s="405"/>
      <c r="B9989" s="405"/>
      <c r="C9989" s="405"/>
      <c r="D9989" s="405"/>
      <c r="E9989" s="405" t="s">
        <v>1046</v>
      </c>
      <c r="F9989" s="406">
        <v>8.99</v>
      </c>
      <c r="G9989" s="405" t="s">
        <v>1047</v>
      </c>
      <c r="H9989" s="406">
        <v>0</v>
      </c>
      <c r="I9989" s="405" t="s">
        <v>1048</v>
      </c>
      <c r="J9989" s="406">
        <v>8.99</v>
      </c>
      <c r="K9989"/>
    </row>
    <row r="9990" spans="1:11" ht="15.6" thickBot="1" x14ac:dyDescent="0.35">
      <c r="A9990" s="405"/>
      <c r="B9990" s="405"/>
      <c r="C9990" s="405"/>
      <c r="D9990" s="405"/>
      <c r="E9990" s="405" t="s">
        <v>1049</v>
      </c>
      <c r="F9990" s="406">
        <v>0</v>
      </c>
      <c r="G9990" s="405"/>
      <c r="H9990" s="606"/>
      <c r="I9990" s="606" t="s">
        <v>1050</v>
      </c>
      <c r="J9990" s="406">
        <v>33.82</v>
      </c>
      <c r="K9990"/>
    </row>
    <row r="9991" spans="1:11" ht="15.6" thickTop="1" x14ac:dyDescent="0.3">
      <c r="A9991" s="407"/>
      <c r="B9991" s="407"/>
      <c r="C9991" s="407"/>
      <c r="D9991" s="407"/>
      <c r="E9991" s="407"/>
      <c r="F9991" s="407"/>
      <c r="G9991" s="407"/>
      <c r="H9991" s="407"/>
      <c r="I9991" s="407"/>
      <c r="J9991" s="407"/>
      <c r="K9991"/>
    </row>
    <row r="9992" spans="1:11" ht="15" x14ac:dyDescent="0.3">
      <c r="A9992" s="382"/>
      <c r="B9992" s="312" t="s">
        <v>413</v>
      </c>
      <c r="C9992" s="382" t="s">
        <v>414</v>
      </c>
      <c r="D9992" s="382" t="s">
        <v>415</v>
      </c>
      <c r="E9992" s="586" t="s">
        <v>1029</v>
      </c>
      <c r="F9992" s="586"/>
      <c r="G9992" s="383" t="s">
        <v>416</v>
      </c>
      <c r="H9992" s="312" t="s">
        <v>1030</v>
      </c>
      <c r="I9992" s="312" t="s">
        <v>3016</v>
      </c>
      <c r="J9992" s="312" t="s">
        <v>1031</v>
      </c>
      <c r="K9992" s="312" t="s">
        <v>1032</v>
      </c>
    </row>
    <row r="9993" spans="1:11" ht="26.4" x14ac:dyDescent="0.3">
      <c r="A9993" s="313" t="s">
        <v>1033</v>
      </c>
      <c r="B9993" s="315" t="s">
        <v>5173</v>
      </c>
      <c r="C9993" s="313" t="s">
        <v>395</v>
      </c>
      <c r="D9993" s="313" t="s">
        <v>5174</v>
      </c>
      <c r="E9993" s="603" t="s">
        <v>7772</v>
      </c>
      <c r="F9993" s="603"/>
      <c r="G9993" s="314" t="s">
        <v>19</v>
      </c>
      <c r="H9993" s="399">
        <v>1</v>
      </c>
      <c r="I9993" s="316"/>
      <c r="J9993" s="316">
        <v>90.75</v>
      </c>
      <c r="K9993" s="316">
        <v>90.75</v>
      </c>
    </row>
    <row r="9994" spans="1:11" ht="26.4" x14ac:dyDescent="0.3">
      <c r="A9994" s="408" t="s">
        <v>1034</v>
      </c>
      <c r="B9994" s="409" t="s">
        <v>8336</v>
      </c>
      <c r="C9994" s="408" t="s">
        <v>395</v>
      </c>
      <c r="D9994" s="408" t="s">
        <v>8337</v>
      </c>
      <c r="E9994" s="604" t="s">
        <v>7768</v>
      </c>
      <c r="F9994" s="604"/>
      <c r="G9994" s="410" t="s">
        <v>6</v>
      </c>
      <c r="H9994" s="412">
        <v>1</v>
      </c>
      <c r="I9994" s="412">
        <v>0</v>
      </c>
      <c r="J9994" s="411">
        <v>42.37</v>
      </c>
      <c r="K9994" s="411">
        <v>42.37</v>
      </c>
    </row>
    <row r="9995" spans="1:11" ht="26.4" x14ac:dyDescent="0.3">
      <c r="A9995" s="408" t="s">
        <v>1034</v>
      </c>
      <c r="B9995" s="409" t="s">
        <v>8338</v>
      </c>
      <c r="C9995" s="408" t="s">
        <v>395</v>
      </c>
      <c r="D9995" s="408" t="s">
        <v>8339</v>
      </c>
      <c r="E9995" s="604" t="s">
        <v>7946</v>
      </c>
      <c r="F9995" s="604"/>
      <c r="G9995" s="410" t="s">
        <v>6</v>
      </c>
      <c r="H9995" s="412">
        <v>1</v>
      </c>
      <c r="I9995" s="412">
        <v>0</v>
      </c>
      <c r="J9995" s="411">
        <v>33.590000000000003</v>
      </c>
      <c r="K9995" s="411">
        <v>33.590000000000003</v>
      </c>
    </row>
    <row r="9996" spans="1:11" ht="26.4" x14ac:dyDescent="0.3">
      <c r="A9996" s="408" t="s">
        <v>1034</v>
      </c>
      <c r="B9996" s="409" t="s">
        <v>8340</v>
      </c>
      <c r="C9996" s="408" t="s">
        <v>395</v>
      </c>
      <c r="D9996" s="408" t="s">
        <v>8341</v>
      </c>
      <c r="E9996" s="604" t="s">
        <v>7946</v>
      </c>
      <c r="F9996" s="604"/>
      <c r="G9996" s="410" t="s">
        <v>6</v>
      </c>
      <c r="H9996" s="412">
        <v>1</v>
      </c>
      <c r="I9996" s="412">
        <v>0</v>
      </c>
      <c r="J9996" s="411">
        <v>14.79</v>
      </c>
      <c r="K9996" s="411">
        <v>14.79</v>
      </c>
    </row>
    <row r="9997" spans="1:11" ht="15" x14ac:dyDescent="0.3">
      <c r="A9997" s="405"/>
      <c r="B9997" s="405"/>
      <c r="C9997" s="405"/>
      <c r="D9997" s="405"/>
      <c r="E9997" s="405" t="s">
        <v>1046</v>
      </c>
      <c r="F9997" s="406">
        <v>33.42</v>
      </c>
      <c r="G9997" s="405" t="s">
        <v>1047</v>
      </c>
      <c r="H9997" s="406">
        <v>0</v>
      </c>
      <c r="I9997" s="405" t="s">
        <v>1048</v>
      </c>
      <c r="J9997" s="406">
        <v>33.42</v>
      </c>
      <c r="K9997"/>
    </row>
    <row r="9998" spans="1:11" ht="15.6" thickBot="1" x14ac:dyDescent="0.35">
      <c r="A9998" s="405"/>
      <c r="B9998" s="405"/>
      <c r="C9998" s="405"/>
      <c r="D9998" s="405"/>
      <c r="E9998" s="405" t="s">
        <v>1049</v>
      </c>
      <c r="F9998" s="406">
        <v>0</v>
      </c>
      <c r="G9998" s="405"/>
      <c r="H9998" s="606"/>
      <c r="I9998" s="606" t="s">
        <v>1050</v>
      </c>
      <c r="J9998" s="406">
        <v>90.75</v>
      </c>
      <c r="K9998"/>
    </row>
    <row r="9999" spans="1:11" ht="15.6" thickTop="1" x14ac:dyDescent="0.3">
      <c r="A9999" s="407"/>
      <c r="B9999" s="407"/>
      <c r="C9999" s="407"/>
      <c r="D9999" s="407"/>
      <c r="E9999" s="407"/>
      <c r="F9999" s="407"/>
      <c r="G9999" s="407"/>
      <c r="H9999" s="407"/>
      <c r="I9999" s="407"/>
      <c r="J9999" s="407"/>
      <c r="K9999"/>
    </row>
    <row r="10000" spans="1:11" ht="15" x14ac:dyDescent="0.3">
      <c r="A10000" s="382"/>
      <c r="B10000" s="312" t="s">
        <v>413</v>
      </c>
      <c r="C10000" s="382" t="s">
        <v>414</v>
      </c>
      <c r="D10000" s="382" t="s">
        <v>415</v>
      </c>
      <c r="E10000" s="586" t="s">
        <v>1029</v>
      </c>
      <c r="F10000" s="586"/>
      <c r="G10000" s="383" t="s">
        <v>416</v>
      </c>
      <c r="H10000" s="312" t="s">
        <v>1030</v>
      </c>
      <c r="I10000" s="312" t="s">
        <v>3016</v>
      </c>
      <c r="J10000" s="312" t="s">
        <v>1031</v>
      </c>
      <c r="K10000" s="312" t="s">
        <v>1032</v>
      </c>
    </row>
    <row r="10001" spans="1:11" ht="26.4" x14ac:dyDescent="0.3">
      <c r="A10001" s="313" t="s">
        <v>1033</v>
      </c>
      <c r="B10001" s="315" t="s">
        <v>5175</v>
      </c>
      <c r="C10001" s="313" t="s">
        <v>395</v>
      </c>
      <c r="D10001" s="313" t="s">
        <v>5176</v>
      </c>
      <c r="E10001" s="603" t="s">
        <v>7772</v>
      </c>
      <c r="F10001" s="603"/>
      <c r="G10001" s="314" t="s">
        <v>15</v>
      </c>
      <c r="H10001" s="399">
        <v>1</v>
      </c>
      <c r="I10001" s="316"/>
      <c r="J10001" s="316">
        <v>224.71</v>
      </c>
      <c r="K10001" s="316">
        <v>224.71</v>
      </c>
    </row>
    <row r="10002" spans="1:11" ht="26.4" x14ac:dyDescent="0.3">
      <c r="A10002" s="408" t="s">
        <v>1034</v>
      </c>
      <c r="B10002" s="409" t="s">
        <v>8342</v>
      </c>
      <c r="C10002" s="408" t="s">
        <v>395</v>
      </c>
      <c r="D10002" s="408" t="s">
        <v>8343</v>
      </c>
      <c r="E10002" s="604" t="s">
        <v>7946</v>
      </c>
      <c r="F10002" s="604"/>
      <c r="G10002" s="410" t="s">
        <v>6</v>
      </c>
      <c r="H10002" s="412">
        <v>1</v>
      </c>
      <c r="I10002" s="412">
        <v>0</v>
      </c>
      <c r="J10002" s="411">
        <v>73.92</v>
      </c>
      <c r="K10002" s="411">
        <v>73.92</v>
      </c>
    </row>
    <row r="10003" spans="1:11" ht="26.4" x14ac:dyDescent="0.3">
      <c r="A10003" s="408" t="s">
        <v>1034</v>
      </c>
      <c r="B10003" s="409" t="s">
        <v>8344</v>
      </c>
      <c r="C10003" s="408" t="s">
        <v>395</v>
      </c>
      <c r="D10003" s="408" t="s">
        <v>8345</v>
      </c>
      <c r="E10003" s="604" t="s">
        <v>7946</v>
      </c>
      <c r="F10003" s="604"/>
      <c r="G10003" s="410" t="s">
        <v>6</v>
      </c>
      <c r="H10003" s="412">
        <v>1</v>
      </c>
      <c r="I10003" s="412">
        <v>0</v>
      </c>
      <c r="J10003" s="411">
        <v>60.04</v>
      </c>
      <c r="K10003" s="411">
        <v>60.04</v>
      </c>
    </row>
    <row r="10004" spans="1:11" ht="26.4" x14ac:dyDescent="0.3">
      <c r="A10004" s="408" t="s">
        <v>1034</v>
      </c>
      <c r="B10004" s="409" t="s">
        <v>8336</v>
      </c>
      <c r="C10004" s="408" t="s">
        <v>395</v>
      </c>
      <c r="D10004" s="408" t="s">
        <v>8337</v>
      </c>
      <c r="E10004" s="604" t="s">
        <v>7768</v>
      </c>
      <c r="F10004" s="604"/>
      <c r="G10004" s="410" t="s">
        <v>6</v>
      </c>
      <c r="H10004" s="412">
        <v>1</v>
      </c>
      <c r="I10004" s="412">
        <v>0</v>
      </c>
      <c r="J10004" s="411">
        <v>42.37</v>
      </c>
      <c r="K10004" s="411">
        <v>42.37</v>
      </c>
    </row>
    <row r="10005" spans="1:11" ht="26.4" x14ac:dyDescent="0.3">
      <c r="A10005" s="408" t="s">
        <v>1034</v>
      </c>
      <c r="B10005" s="409" t="s">
        <v>8338</v>
      </c>
      <c r="C10005" s="408" t="s">
        <v>395</v>
      </c>
      <c r="D10005" s="408" t="s">
        <v>8339</v>
      </c>
      <c r="E10005" s="604" t="s">
        <v>7946</v>
      </c>
      <c r="F10005" s="604"/>
      <c r="G10005" s="410" t="s">
        <v>6</v>
      </c>
      <c r="H10005" s="412">
        <v>1</v>
      </c>
      <c r="I10005" s="412">
        <v>0</v>
      </c>
      <c r="J10005" s="411">
        <v>33.590000000000003</v>
      </c>
      <c r="K10005" s="411">
        <v>33.590000000000003</v>
      </c>
    </row>
    <row r="10006" spans="1:11" ht="26.4" x14ac:dyDescent="0.3">
      <c r="A10006" s="408" t="s">
        <v>1034</v>
      </c>
      <c r="B10006" s="409" t="s">
        <v>8340</v>
      </c>
      <c r="C10006" s="408" t="s">
        <v>395</v>
      </c>
      <c r="D10006" s="408" t="s">
        <v>8341</v>
      </c>
      <c r="E10006" s="604" t="s">
        <v>7946</v>
      </c>
      <c r="F10006" s="604"/>
      <c r="G10006" s="410" t="s">
        <v>6</v>
      </c>
      <c r="H10006" s="412">
        <v>1</v>
      </c>
      <c r="I10006" s="412">
        <v>0</v>
      </c>
      <c r="J10006" s="411">
        <v>14.79</v>
      </c>
      <c r="K10006" s="411">
        <v>14.79</v>
      </c>
    </row>
    <row r="10007" spans="1:11" ht="15" x14ac:dyDescent="0.3">
      <c r="A10007" s="405"/>
      <c r="B10007" s="405"/>
      <c r="C10007" s="405"/>
      <c r="D10007" s="405"/>
      <c r="E10007" s="405" t="s">
        <v>1046</v>
      </c>
      <c r="F10007" s="406">
        <v>33.42</v>
      </c>
      <c r="G10007" s="405" t="s">
        <v>1047</v>
      </c>
      <c r="H10007" s="406">
        <v>0</v>
      </c>
      <c r="I10007" s="405" t="s">
        <v>1048</v>
      </c>
      <c r="J10007" s="406">
        <v>33.42</v>
      </c>
      <c r="K10007"/>
    </row>
    <row r="10008" spans="1:11" ht="15.6" thickBot="1" x14ac:dyDescent="0.35">
      <c r="A10008" s="405"/>
      <c r="B10008" s="405"/>
      <c r="C10008" s="405"/>
      <c r="D10008" s="405"/>
      <c r="E10008" s="405" t="s">
        <v>1049</v>
      </c>
      <c r="F10008" s="406">
        <v>0</v>
      </c>
      <c r="G10008" s="405"/>
      <c r="H10008" s="606"/>
      <c r="I10008" s="606" t="s">
        <v>1050</v>
      </c>
      <c r="J10008" s="406">
        <v>224.71</v>
      </c>
      <c r="K10008"/>
    </row>
    <row r="10009" spans="1:11" ht="15.6" thickTop="1" x14ac:dyDescent="0.3">
      <c r="A10009" s="407"/>
      <c r="B10009" s="407"/>
      <c r="C10009" s="407"/>
      <c r="D10009" s="407"/>
      <c r="E10009" s="407"/>
      <c r="F10009" s="407"/>
      <c r="G10009" s="407"/>
      <c r="H10009" s="407"/>
      <c r="I10009" s="407"/>
      <c r="J10009" s="407"/>
      <c r="K10009"/>
    </row>
    <row r="10010" spans="1:11" ht="15" x14ac:dyDescent="0.3">
      <c r="A10010" s="382"/>
      <c r="B10010" s="312" t="s">
        <v>413</v>
      </c>
      <c r="C10010" s="382" t="s">
        <v>414</v>
      </c>
      <c r="D10010" s="382" t="s">
        <v>415</v>
      </c>
      <c r="E10010" s="586" t="s">
        <v>1029</v>
      </c>
      <c r="F10010" s="586"/>
      <c r="G10010" s="383" t="s">
        <v>416</v>
      </c>
      <c r="H10010" s="312" t="s">
        <v>1030</v>
      </c>
      <c r="I10010" s="312" t="s">
        <v>3016</v>
      </c>
      <c r="J10010" s="312" t="s">
        <v>1031</v>
      </c>
      <c r="K10010" s="312" t="s">
        <v>1032</v>
      </c>
    </row>
    <row r="10011" spans="1:11" ht="26.4" x14ac:dyDescent="0.3">
      <c r="A10011" s="313" t="s">
        <v>1033</v>
      </c>
      <c r="B10011" s="315" t="s">
        <v>8338</v>
      </c>
      <c r="C10011" s="313" t="s">
        <v>395</v>
      </c>
      <c r="D10011" s="313" t="s">
        <v>8339</v>
      </c>
      <c r="E10011" s="603" t="s">
        <v>7946</v>
      </c>
      <c r="F10011" s="603"/>
      <c r="G10011" s="314" t="s">
        <v>6</v>
      </c>
      <c r="H10011" s="399">
        <v>1</v>
      </c>
      <c r="I10011" s="316"/>
      <c r="J10011" s="316">
        <v>33.590000000000003</v>
      </c>
      <c r="K10011" s="316">
        <v>33.590000000000003</v>
      </c>
    </row>
    <row r="10012" spans="1:11" ht="26.4" x14ac:dyDescent="0.3">
      <c r="A10012" s="400" t="s">
        <v>1038</v>
      </c>
      <c r="B10012" s="401" t="s">
        <v>4860</v>
      </c>
      <c r="C10012" s="400" t="s">
        <v>395</v>
      </c>
      <c r="D10012" s="400" t="s">
        <v>4861</v>
      </c>
      <c r="E10012" s="605" t="s">
        <v>1317</v>
      </c>
      <c r="F10012" s="605"/>
      <c r="G10012" s="402" t="s">
        <v>4</v>
      </c>
      <c r="H10012" s="403">
        <v>3.1099999999999997E-5</v>
      </c>
      <c r="I10012" s="403">
        <v>0</v>
      </c>
      <c r="J10012" s="404">
        <v>1079918</v>
      </c>
      <c r="K10012" s="404">
        <v>33.585449799999999</v>
      </c>
    </row>
    <row r="10013" spans="1:11" ht="15" x14ac:dyDescent="0.3">
      <c r="A10013" s="405"/>
      <c r="B10013" s="405"/>
      <c r="C10013" s="405"/>
      <c r="D10013" s="405"/>
      <c r="E10013" s="405" t="s">
        <v>1046</v>
      </c>
      <c r="F10013" s="406">
        <v>0</v>
      </c>
      <c r="G10013" s="405" t="s">
        <v>1047</v>
      </c>
      <c r="H10013" s="406">
        <v>0</v>
      </c>
      <c r="I10013" s="405" t="s">
        <v>1048</v>
      </c>
      <c r="J10013" s="406">
        <v>0</v>
      </c>
      <c r="K10013"/>
    </row>
    <row r="10014" spans="1:11" ht="15.6" thickBot="1" x14ac:dyDescent="0.35">
      <c r="A10014" s="405"/>
      <c r="B10014" s="405"/>
      <c r="C10014" s="405"/>
      <c r="D10014" s="405"/>
      <c r="E10014" s="405" t="s">
        <v>1049</v>
      </c>
      <c r="F10014" s="406">
        <v>0</v>
      </c>
      <c r="G10014" s="405"/>
      <c r="H10014" s="606"/>
      <c r="I10014" s="606" t="s">
        <v>1050</v>
      </c>
      <c r="J10014" s="406">
        <v>33.590000000000003</v>
      </c>
      <c r="K10014"/>
    </row>
    <row r="10015" spans="1:11" ht="15.6" thickTop="1" x14ac:dyDescent="0.3">
      <c r="A10015" s="407"/>
      <c r="B10015" s="407"/>
      <c r="C10015" s="407"/>
      <c r="D10015" s="407"/>
      <c r="E10015" s="407"/>
      <c r="F10015" s="407"/>
      <c r="G10015" s="407"/>
      <c r="H10015" s="407"/>
      <c r="I10015" s="407"/>
      <c r="J10015" s="407"/>
      <c r="K10015"/>
    </row>
    <row r="10016" spans="1:11" ht="15" x14ac:dyDescent="0.3">
      <c r="A10016" s="382"/>
      <c r="B10016" s="312" t="s">
        <v>413</v>
      </c>
      <c r="C10016" s="382" t="s">
        <v>414</v>
      </c>
      <c r="D10016" s="382" t="s">
        <v>415</v>
      </c>
      <c r="E10016" s="586" t="s">
        <v>1029</v>
      </c>
      <c r="F10016" s="586"/>
      <c r="G10016" s="383" t="s">
        <v>416</v>
      </c>
      <c r="H10016" s="312" t="s">
        <v>1030</v>
      </c>
      <c r="I10016" s="312" t="s">
        <v>3016</v>
      </c>
      <c r="J10016" s="312" t="s">
        <v>1031</v>
      </c>
      <c r="K10016" s="312" t="s">
        <v>1032</v>
      </c>
    </row>
    <row r="10017" spans="1:11" ht="26.4" x14ac:dyDescent="0.3">
      <c r="A10017" s="313" t="s">
        <v>1033</v>
      </c>
      <c r="B10017" s="315" t="s">
        <v>8340</v>
      </c>
      <c r="C10017" s="313" t="s">
        <v>395</v>
      </c>
      <c r="D10017" s="313" t="s">
        <v>8341</v>
      </c>
      <c r="E10017" s="603" t="s">
        <v>7946</v>
      </c>
      <c r="F10017" s="603"/>
      <c r="G10017" s="314" t="s">
        <v>6</v>
      </c>
      <c r="H10017" s="399">
        <v>1</v>
      </c>
      <c r="I10017" s="316"/>
      <c r="J10017" s="316">
        <v>14.79</v>
      </c>
      <c r="K10017" s="316">
        <v>14.79</v>
      </c>
    </row>
    <row r="10018" spans="1:11" ht="26.4" x14ac:dyDescent="0.3">
      <c r="A10018" s="400" t="s">
        <v>1038</v>
      </c>
      <c r="B10018" s="401" t="s">
        <v>4860</v>
      </c>
      <c r="C10018" s="400" t="s">
        <v>395</v>
      </c>
      <c r="D10018" s="400" t="s">
        <v>4861</v>
      </c>
      <c r="E10018" s="605" t="s">
        <v>1317</v>
      </c>
      <c r="F10018" s="605"/>
      <c r="G10018" s="402" t="s">
        <v>4</v>
      </c>
      <c r="H10018" s="403">
        <v>1.3699999999999999E-5</v>
      </c>
      <c r="I10018" s="403">
        <v>0</v>
      </c>
      <c r="J10018" s="404">
        <v>1079918</v>
      </c>
      <c r="K10018" s="404">
        <v>14.7948766</v>
      </c>
    </row>
    <row r="10019" spans="1:11" ht="15" x14ac:dyDescent="0.3">
      <c r="A10019" s="405"/>
      <c r="B10019" s="405"/>
      <c r="C10019" s="405"/>
      <c r="D10019" s="405"/>
      <c r="E10019" s="405" t="s">
        <v>1046</v>
      </c>
      <c r="F10019" s="406">
        <v>0</v>
      </c>
      <c r="G10019" s="405" t="s">
        <v>1047</v>
      </c>
      <c r="H10019" s="406">
        <v>0</v>
      </c>
      <c r="I10019" s="405" t="s">
        <v>1048</v>
      </c>
      <c r="J10019" s="406">
        <v>0</v>
      </c>
      <c r="K10019"/>
    </row>
    <row r="10020" spans="1:11" ht="15.6" thickBot="1" x14ac:dyDescent="0.35">
      <c r="A10020" s="405"/>
      <c r="B10020" s="405"/>
      <c r="C10020" s="405"/>
      <c r="D10020" s="405"/>
      <c r="E10020" s="405" t="s">
        <v>1049</v>
      </c>
      <c r="F10020" s="406">
        <v>0</v>
      </c>
      <c r="G10020" s="405"/>
      <c r="H10020" s="606"/>
      <c r="I10020" s="606" t="s">
        <v>1050</v>
      </c>
      <c r="J10020" s="406">
        <v>14.79</v>
      </c>
      <c r="K10020"/>
    </row>
    <row r="10021" spans="1:11" ht="15.6" thickTop="1" x14ac:dyDescent="0.3">
      <c r="A10021" s="407"/>
      <c r="B10021" s="407"/>
      <c r="C10021" s="407"/>
      <c r="D10021" s="407"/>
      <c r="E10021" s="407"/>
      <c r="F10021" s="407"/>
      <c r="G10021" s="407"/>
      <c r="H10021" s="407"/>
      <c r="I10021" s="407"/>
      <c r="J10021" s="407"/>
      <c r="K10021"/>
    </row>
    <row r="10022" spans="1:11" ht="15" x14ac:dyDescent="0.3">
      <c r="A10022" s="382"/>
      <c r="B10022" s="312" t="s">
        <v>413</v>
      </c>
      <c r="C10022" s="382" t="s">
        <v>414</v>
      </c>
      <c r="D10022" s="382" t="s">
        <v>415</v>
      </c>
      <c r="E10022" s="586" t="s">
        <v>1029</v>
      </c>
      <c r="F10022" s="586"/>
      <c r="G10022" s="383" t="s">
        <v>416</v>
      </c>
      <c r="H10022" s="312" t="s">
        <v>1030</v>
      </c>
      <c r="I10022" s="312" t="s">
        <v>3016</v>
      </c>
      <c r="J10022" s="312" t="s">
        <v>1031</v>
      </c>
      <c r="K10022" s="312" t="s">
        <v>1032</v>
      </c>
    </row>
    <row r="10023" spans="1:11" ht="26.4" x14ac:dyDescent="0.3">
      <c r="A10023" s="313" t="s">
        <v>1033</v>
      </c>
      <c r="B10023" s="315" t="s">
        <v>8344</v>
      </c>
      <c r="C10023" s="313" t="s">
        <v>395</v>
      </c>
      <c r="D10023" s="313" t="s">
        <v>8345</v>
      </c>
      <c r="E10023" s="603" t="s">
        <v>7946</v>
      </c>
      <c r="F10023" s="603"/>
      <c r="G10023" s="314" t="s">
        <v>6</v>
      </c>
      <c r="H10023" s="399">
        <v>1</v>
      </c>
      <c r="I10023" s="316"/>
      <c r="J10023" s="316">
        <v>60.04</v>
      </c>
      <c r="K10023" s="316">
        <v>60.04</v>
      </c>
    </row>
    <row r="10024" spans="1:11" ht="26.4" x14ac:dyDescent="0.3">
      <c r="A10024" s="400" t="s">
        <v>1038</v>
      </c>
      <c r="B10024" s="401" t="s">
        <v>4860</v>
      </c>
      <c r="C10024" s="400" t="s">
        <v>395</v>
      </c>
      <c r="D10024" s="400" t="s">
        <v>4861</v>
      </c>
      <c r="E10024" s="605" t="s">
        <v>1317</v>
      </c>
      <c r="F10024" s="605"/>
      <c r="G10024" s="402" t="s">
        <v>4</v>
      </c>
      <c r="H10024" s="403">
        <v>5.5600000000000003E-5</v>
      </c>
      <c r="I10024" s="403">
        <v>0</v>
      </c>
      <c r="J10024" s="404">
        <v>1079918</v>
      </c>
      <c r="K10024" s="404">
        <v>60.043440799999999</v>
      </c>
    </row>
    <row r="10025" spans="1:11" ht="15" x14ac:dyDescent="0.3">
      <c r="A10025" s="405"/>
      <c r="B10025" s="405"/>
      <c r="C10025" s="405"/>
      <c r="D10025" s="405"/>
      <c r="E10025" s="405" t="s">
        <v>1046</v>
      </c>
      <c r="F10025" s="406">
        <v>0</v>
      </c>
      <c r="G10025" s="405" t="s">
        <v>1047</v>
      </c>
      <c r="H10025" s="406">
        <v>0</v>
      </c>
      <c r="I10025" s="405" t="s">
        <v>1048</v>
      </c>
      <c r="J10025" s="406">
        <v>0</v>
      </c>
      <c r="K10025"/>
    </row>
    <row r="10026" spans="1:11" ht="15.6" thickBot="1" x14ac:dyDescent="0.35">
      <c r="A10026" s="405"/>
      <c r="B10026" s="405"/>
      <c r="C10026" s="405"/>
      <c r="D10026" s="405"/>
      <c r="E10026" s="405" t="s">
        <v>1049</v>
      </c>
      <c r="F10026" s="406">
        <v>0</v>
      </c>
      <c r="G10026" s="405"/>
      <c r="H10026" s="606"/>
      <c r="I10026" s="606" t="s">
        <v>1050</v>
      </c>
      <c r="J10026" s="406">
        <v>60.04</v>
      </c>
      <c r="K10026"/>
    </row>
    <row r="10027" spans="1:11" ht="15.6" thickTop="1" x14ac:dyDescent="0.3">
      <c r="A10027" s="407"/>
      <c r="B10027" s="407"/>
      <c r="C10027" s="407"/>
      <c r="D10027" s="407"/>
      <c r="E10027" s="407"/>
      <c r="F10027" s="407"/>
      <c r="G10027" s="407"/>
      <c r="H10027" s="407"/>
      <c r="I10027" s="407"/>
      <c r="J10027" s="407"/>
      <c r="K10027"/>
    </row>
    <row r="10028" spans="1:11" ht="15" x14ac:dyDescent="0.3">
      <c r="A10028" s="382"/>
      <c r="B10028" s="312" t="s">
        <v>413</v>
      </c>
      <c r="C10028" s="382" t="s">
        <v>414</v>
      </c>
      <c r="D10028" s="382" t="s">
        <v>415</v>
      </c>
      <c r="E10028" s="586" t="s">
        <v>1029</v>
      </c>
      <c r="F10028" s="586"/>
      <c r="G10028" s="383" t="s">
        <v>416</v>
      </c>
      <c r="H10028" s="312" t="s">
        <v>1030</v>
      </c>
      <c r="I10028" s="312" t="s">
        <v>3016</v>
      </c>
      <c r="J10028" s="312" t="s">
        <v>1031</v>
      </c>
      <c r="K10028" s="312" t="s">
        <v>1032</v>
      </c>
    </row>
    <row r="10029" spans="1:11" ht="26.4" x14ac:dyDescent="0.3">
      <c r="A10029" s="313" t="s">
        <v>1033</v>
      </c>
      <c r="B10029" s="315" t="s">
        <v>8342</v>
      </c>
      <c r="C10029" s="313" t="s">
        <v>395</v>
      </c>
      <c r="D10029" s="313" t="s">
        <v>8343</v>
      </c>
      <c r="E10029" s="603" t="s">
        <v>7946</v>
      </c>
      <c r="F10029" s="603"/>
      <c r="G10029" s="314" t="s">
        <v>6</v>
      </c>
      <c r="H10029" s="399">
        <v>1</v>
      </c>
      <c r="I10029" s="316"/>
      <c r="J10029" s="316">
        <v>73.92</v>
      </c>
      <c r="K10029" s="316">
        <v>73.92</v>
      </c>
    </row>
    <row r="10030" spans="1:11" ht="15" x14ac:dyDescent="0.3">
      <c r="A10030" s="400" t="s">
        <v>1038</v>
      </c>
      <c r="B10030" s="401" t="s">
        <v>4383</v>
      </c>
      <c r="C10030" s="400" t="s">
        <v>395</v>
      </c>
      <c r="D10030" s="400" t="s">
        <v>4384</v>
      </c>
      <c r="E10030" s="605" t="s">
        <v>1039</v>
      </c>
      <c r="F10030" s="605"/>
      <c r="G10030" s="402" t="s">
        <v>8</v>
      </c>
      <c r="H10030" s="403">
        <v>10.44</v>
      </c>
      <c r="I10030" s="403">
        <v>0</v>
      </c>
      <c r="J10030" s="404">
        <v>7.08</v>
      </c>
      <c r="K10030" s="404">
        <v>73.915199999999999</v>
      </c>
    </row>
    <row r="10031" spans="1:11" ht="15" x14ac:dyDescent="0.3">
      <c r="A10031" s="405"/>
      <c r="B10031" s="405"/>
      <c r="C10031" s="405"/>
      <c r="D10031" s="405"/>
      <c r="E10031" s="405" t="s">
        <v>1046</v>
      </c>
      <c r="F10031" s="406">
        <v>0</v>
      </c>
      <c r="G10031" s="405" t="s">
        <v>1047</v>
      </c>
      <c r="H10031" s="406">
        <v>0</v>
      </c>
      <c r="I10031" s="405" t="s">
        <v>1048</v>
      </c>
      <c r="J10031" s="406">
        <v>0</v>
      </c>
      <c r="K10031"/>
    </row>
    <row r="10032" spans="1:11" ht="15.6" thickBot="1" x14ac:dyDescent="0.35">
      <c r="A10032" s="405"/>
      <c r="B10032" s="405"/>
      <c r="C10032" s="405"/>
      <c r="D10032" s="405"/>
      <c r="E10032" s="405" t="s">
        <v>1049</v>
      </c>
      <c r="F10032" s="406">
        <v>0</v>
      </c>
      <c r="G10032" s="405"/>
      <c r="H10032" s="606"/>
      <c r="I10032" s="606" t="s">
        <v>1050</v>
      </c>
      <c r="J10032" s="406">
        <v>73.92</v>
      </c>
      <c r="K10032"/>
    </row>
    <row r="10033" spans="1:11" ht="15.6" thickTop="1" x14ac:dyDescent="0.3">
      <c r="A10033" s="407"/>
      <c r="B10033" s="407"/>
      <c r="C10033" s="407"/>
      <c r="D10033" s="407"/>
      <c r="E10033" s="407"/>
      <c r="F10033" s="407"/>
      <c r="G10033" s="407"/>
      <c r="H10033" s="407"/>
      <c r="I10033" s="407"/>
      <c r="J10033" s="407"/>
      <c r="K10033"/>
    </row>
    <row r="10034" spans="1:11" ht="15" x14ac:dyDescent="0.3">
      <c r="A10034" s="382"/>
      <c r="B10034" s="312" t="s">
        <v>413</v>
      </c>
      <c r="C10034" s="382" t="s">
        <v>414</v>
      </c>
      <c r="D10034" s="382" t="s">
        <v>415</v>
      </c>
      <c r="E10034" s="586" t="s">
        <v>1029</v>
      </c>
      <c r="F10034" s="586"/>
      <c r="G10034" s="383" t="s">
        <v>416</v>
      </c>
      <c r="H10034" s="312" t="s">
        <v>1030</v>
      </c>
      <c r="I10034" s="312" t="s">
        <v>3016</v>
      </c>
      <c r="J10034" s="312" t="s">
        <v>1031</v>
      </c>
      <c r="K10034" s="312" t="s">
        <v>1032</v>
      </c>
    </row>
    <row r="10035" spans="1:11" ht="15" x14ac:dyDescent="0.3">
      <c r="A10035" s="313" t="s">
        <v>1033</v>
      </c>
      <c r="B10035" s="315" t="s">
        <v>8336</v>
      </c>
      <c r="C10035" s="313" t="s">
        <v>395</v>
      </c>
      <c r="D10035" s="313" t="s">
        <v>8337</v>
      </c>
      <c r="E10035" s="603" t="s">
        <v>7768</v>
      </c>
      <c r="F10035" s="603"/>
      <c r="G10035" s="314" t="s">
        <v>6</v>
      </c>
      <c r="H10035" s="399">
        <v>1</v>
      </c>
      <c r="I10035" s="316"/>
      <c r="J10035" s="316">
        <v>42.37</v>
      </c>
      <c r="K10035" s="316">
        <v>42.37</v>
      </c>
    </row>
    <row r="10036" spans="1:11" ht="26.4" x14ac:dyDescent="0.3">
      <c r="A10036" s="408" t="s">
        <v>1034</v>
      </c>
      <c r="B10036" s="409" t="s">
        <v>8156</v>
      </c>
      <c r="C10036" s="408" t="s">
        <v>395</v>
      </c>
      <c r="D10036" s="408" t="s">
        <v>8157</v>
      </c>
      <c r="E10036" s="604" t="s">
        <v>7768</v>
      </c>
      <c r="F10036" s="604"/>
      <c r="G10036" s="410" t="s">
        <v>6</v>
      </c>
      <c r="H10036" s="412">
        <v>1</v>
      </c>
      <c r="I10036" s="412">
        <v>0</v>
      </c>
      <c r="J10036" s="411">
        <v>0.38</v>
      </c>
      <c r="K10036" s="411">
        <v>0.38</v>
      </c>
    </row>
    <row r="10037" spans="1:11" ht="15" x14ac:dyDescent="0.3">
      <c r="A10037" s="400" t="s">
        <v>1038</v>
      </c>
      <c r="B10037" s="401" t="s">
        <v>4231</v>
      </c>
      <c r="C10037" s="400" t="s">
        <v>395</v>
      </c>
      <c r="D10037" s="400" t="s">
        <v>4232</v>
      </c>
      <c r="E10037" s="605" t="s">
        <v>1053</v>
      </c>
      <c r="F10037" s="605"/>
      <c r="G10037" s="402" t="s">
        <v>6</v>
      </c>
      <c r="H10037" s="403">
        <v>1</v>
      </c>
      <c r="I10037" s="403">
        <v>0</v>
      </c>
      <c r="J10037" s="404">
        <v>33.04</v>
      </c>
      <c r="K10037" s="404">
        <v>33.04</v>
      </c>
    </row>
    <row r="10038" spans="1:11" ht="15" x14ac:dyDescent="0.3">
      <c r="A10038" s="400" t="s">
        <v>1038</v>
      </c>
      <c r="B10038" s="401" t="s">
        <v>4028</v>
      </c>
      <c r="C10038" s="400" t="s">
        <v>395</v>
      </c>
      <c r="D10038" s="400" t="s">
        <v>4029</v>
      </c>
      <c r="E10038" s="605" t="s">
        <v>4030</v>
      </c>
      <c r="F10038" s="605"/>
      <c r="G10038" s="402" t="s">
        <v>6</v>
      </c>
      <c r="H10038" s="403">
        <v>1</v>
      </c>
      <c r="I10038" s="403">
        <v>0</v>
      </c>
      <c r="J10038" s="404">
        <v>4.78</v>
      </c>
      <c r="K10038" s="404">
        <v>4.78</v>
      </c>
    </row>
    <row r="10039" spans="1:11" ht="15" x14ac:dyDescent="0.3">
      <c r="A10039" s="400" t="s">
        <v>1038</v>
      </c>
      <c r="B10039" s="401" t="s">
        <v>4066</v>
      </c>
      <c r="C10039" s="400" t="s">
        <v>395</v>
      </c>
      <c r="D10039" s="400" t="s">
        <v>4067</v>
      </c>
      <c r="E10039" s="605" t="s">
        <v>2381</v>
      </c>
      <c r="F10039" s="605"/>
      <c r="G10039" s="402" t="s">
        <v>6</v>
      </c>
      <c r="H10039" s="403">
        <v>1</v>
      </c>
      <c r="I10039" s="403">
        <v>0</v>
      </c>
      <c r="J10039" s="404">
        <v>1.72</v>
      </c>
      <c r="K10039" s="404">
        <v>1.72</v>
      </c>
    </row>
    <row r="10040" spans="1:11" ht="15" x14ac:dyDescent="0.3">
      <c r="A10040" s="400" t="s">
        <v>1038</v>
      </c>
      <c r="B10040" s="401" t="s">
        <v>4078</v>
      </c>
      <c r="C10040" s="400" t="s">
        <v>395</v>
      </c>
      <c r="D10040" s="400" t="s">
        <v>4079</v>
      </c>
      <c r="E10040" s="605" t="s">
        <v>4030</v>
      </c>
      <c r="F10040" s="605"/>
      <c r="G10040" s="402" t="s">
        <v>6</v>
      </c>
      <c r="H10040" s="403">
        <v>1</v>
      </c>
      <c r="I10040" s="403">
        <v>0</v>
      </c>
      <c r="J10040" s="404">
        <v>1.25</v>
      </c>
      <c r="K10040" s="404">
        <v>1.25</v>
      </c>
    </row>
    <row r="10041" spans="1:11" ht="15" x14ac:dyDescent="0.3">
      <c r="A10041" s="400" t="s">
        <v>1038</v>
      </c>
      <c r="B10041" s="401" t="s">
        <v>4274</v>
      </c>
      <c r="C10041" s="400" t="s">
        <v>395</v>
      </c>
      <c r="D10041" s="400" t="s">
        <v>4275</v>
      </c>
      <c r="E10041" s="605" t="s">
        <v>2386</v>
      </c>
      <c r="F10041" s="605"/>
      <c r="G10041" s="402" t="s">
        <v>6</v>
      </c>
      <c r="H10041" s="403">
        <v>1</v>
      </c>
      <c r="I10041" s="403">
        <v>0</v>
      </c>
      <c r="J10041" s="404">
        <v>0.11</v>
      </c>
      <c r="K10041" s="404">
        <v>0.11</v>
      </c>
    </row>
    <row r="10042" spans="1:11" ht="26.4" x14ac:dyDescent="0.3">
      <c r="A10042" s="400" t="s">
        <v>1038</v>
      </c>
      <c r="B10042" s="401" t="s">
        <v>5001</v>
      </c>
      <c r="C10042" s="400" t="s">
        <v>395</v>
      </c>
      <c r="D10042" s="400" t="s">
        <v>5002</v>
      </c>
      <c r="E10042" s="605" t="s">
        <v>1317</v>
      </c>
      <c r="F10042" s="605"/>
      <c r="G10042" s="402" t="s">
        <v>6</v>
      </c>
      <c r="H10042" s="403">
        <v>1</v>
      </c>
      <c r="I10042" s="403">
        <v>0</v>
      </c>
      <c r="J10042" s="404">
        <v>0.02</v>
      </c>
      <c r="K10042" s="404">
        <v>0.02</v>
      </c>
    </row>
    <row r="10043" spans="1:11" ht="26.4" x14ac:dyDescent="0.3">
      <c r="A10043" s="400" t="s">
        <v>1038</v>
      </c>
      <c r="B10043" s="401" t="s">
        <v>4508</v>
      </c>
      <c r="C10043" s="400" t="s">
        <v>395</v>
      </c>
      <c r="D10043" s="400" t="s">
        <v>4509</v>
      </c>
      <c r="E10043" s="605" t="s">
        <v>1317</v>
      </c>
      <c r="F10043" s="605"/>
      <c r="G10043" s="402" t="s">
        <v>6</v>
      </c>
      <c r="H10043" s="403">
        <v>1</v>
      </c>
      <c r="I10043" s="403">
        <v>0</v>
      </c>
      <c r="J10043" s="404">
        <v>1.07</v>
      </c>
      <c r="K10043" s="404">
        <v>1.07</v>
      </c>
    </row>
    <row r="10044" spans="1:11" ht="15" x14ac:dyDescent="0.3">
      <c r="A10044" s="405"/>
      <c r="B10044" s="405"/>
      <c r="C10044" s="405"/>
      <c r="D10044" s="405"/>
      <c r="E10044" s="405" t="s">
        <v>1046</v>
      </c>
      <c r="F10044" s="406">
        <v>33.42</v>
      </c>
      <c r="G10044" s="405" t="s">
        <v>1047</v>
      </c>
      <c r="H10044" s="406">
        <v>0</v>
      </c>
      <c r="I10044" s="405" t="s">
        <v>1048</v>
      </c>
      <c r="J10044" s="406">
        <v>33.42</v>
      </c>
      <c r="K10044"/>
    </row>
    <row r="10045" spans="1:11" ht="15.6" thickBot="1" x14ac:dyDescent="0.35">
      <c r="A10045" s="405"/>
      <c r="B10045" s="405"/>
      <c r="C10045" s="405"/>
      <c r="D10045" s="405"/>
      <c r="E10045" s="405" t="s">
        <v>1049</v>
      </c>
      <c r="F10045" s="406">
        <v>0</v>
      </c>
      <c r="G10045" s="405"/>
      <c r="H10045" s="606"/>
      <c r="I10045" s="606" t="s">
        <v>1050</v>
      </c>
      <c r="J10045" s="406">
        <v>42.37</v>
      </c>
      <c r="K10045"/>
    </row>
    <row r="10046" spans="1:11" ht="15.6" thickTop="1" x14ac:dyDescent="0.3">
      <c r="A10046" s="407"/>
      <c r="B10046" s="407"/>
      <c r="C10046" s="407"/>
      <c r="D10046" s="407"/>
      <c r="E10046" s="407"/>
      <c r="F10046" s="407"/>
      <c r="G10046" s="407"/>
      <c r="H10046" s="407"/>
      <c r="I10046" s="407"/>
      <c r="J10046" s="407"/>
      <c r="K10046"/>
    </row>
    <row r="10047" spans="1:11" ht="15" x14ac:dyDescent="0.3">
      <c r="A10047" s="382"/>
      <c r="B10047" s="312" t="s">
        <v>413</v>
      </c>
      <c r="C10047" s="382" t="s">
        <v>414</v>
      </c>
      <c r="D10047" s="382" t="s">
        <v>415</v>
      </c>
      <c r="E10047" s="586" t="s">
        <v>1029</v>
      </c>
      <c r="F10047" s="586"/>
      <c r="G10047" s="383" t="s">
        <v>416</v>
      </c>
      <c r="H10047" s="312" t="s">
        <v>1030</v>
      </c>
      <c r="I10047" s="312" t="s">
        <v>3016</v>
      </c>
      <c r="J10047" s="312" t="s">
        <v>1031</v>
      </c>
      <c r="K10047" s="312" t="s">
        <v>1032</v>
      </c>
    </row>
    <row r="10048" spans="1:11" ht="26.4" x14ac:dyDescent="0.3">
      <c r="A10048" s="313" t="s">
        <v>1033</v>
      </c>
      <c r="B10048" s="315" t="s">
        <v>5167</v>
      </c>
      <c r="C10048" s="313" t="s">
        <v>395</v>
      </c>
      <c r="D10048" s="313" t="s">
        <v>7809</v>
      </c>
      <c r="E10048" s="603" t="s">
        <v>7806</v>
      </c>
      <c r="F10048" s="603"/>
      <c r="G10048" s="314" t="s">
        <v>4</v>
      </c>
      <c r="H10048" s="399">
        <v>1</v>
      </c>
      <c r="I10048" s="316"/>
      <c r="J10048" s="316">
        <v>8.85</v>
      </c>
      <c r="K10048" s="316">
        <v>8.85</v>
      </c>
    </row>
    <row r="10049" spans="1:11" ht="26.4" x14ac:dyDescent="0.3">
      <c r="A10049" s="408" t="s">
        <v>1034</v>
      </c>
      <c r="B10049" s="409" t="s">
        <v>1113</v>
      </c>
      <c r="C10049" s="408" t="s">
        <v>395</v>
      </c>
      <c r="D10049" s="408" t="s">
        <v>129</v>
      </c>
      <c r="E10049" s="604" t="s">
        <v>7768</v>
      </c>
      <c r="F10049" s="604"/>
      <c r="G10049" s="410" t="s">
        <v>6</v>
      </c>
      <c r="H10049" s="412">
        <v>7.6700000000000004E-2</v>
      </c>
      <c r="I10049" s="412">
        <v>0</v>
      </c>
      <c r="J10049" s="411">
        <v>33.450000000000003</v>
      </c>
      <c r="K10049" s="411">
        <v>2.5656150000000002</v>
      </c>
    </row>
    <row r="10050" spans="1:11" ht="26.4" x14ac:dyDescent="0.3">
      <c r="A10050" s="408" t="s">
        <v>1034</v>
      </c>
      <c r="B10050" s="409" t="s">
        <v>1112</v>
      </c>
      <c r="C10050" s="408" t="s">
        <v>395</v>
      </c>
      <c r="D10050" s="408" t="s">
        <v>137</v>
      </c>
      <c r="E10050" s="604" t="s">
        <v>7768</v>
      </c>
      <c r="F10050" s="604"/>
      <c r="G10050" s="410" t="s">
        <v>6</v>
      </c>
      <c r="H10050" s="412">
        <v>7.6700000000000004E-2</v>
      </c>
      <c r="I10050" s="412">
        <v>0</v>
      </c>
      <c r="J10050" s="411">
        <v>40.299999999999997</v>
      </c>
      <c r="K10050" s="411">
        <v>3.0910099999999998</v>
      </c>
    </row>
    <row r="10051" spans="1:11" ht="15" x14ac:dyDescent="0.3">
      <c r="A10051" s="400" t="s">
        <v>1038</v>
      </c>
      <c r="B10051" s="401" t="s">
        <v>2587</v>
      </c>
      <c r="C10051" s="400" t="s">
        <v>395</v>
      </c>
      <c r="D10051" s="400" t="s">
        <v>349</v>
      </c>
      <c r="E10051" s="605" t="s">
        <v>1039</v>
      </c>
      <c r="F10051" s="605"/>
      <c r="G10051" s="402" t="s">
        <v>4</v>
      </c>
      <c r="H10051" s="403">
        <v>1.06E-2</v>
      </c>
      <c r="I10051" s="403">
        <v>0</v>
      </c>
      <c r="J10051" s="404">
        <v>79.17</v>
      </c>
      <c r="K10051" s="404">
        <v>0.839202</v>
      </c>
    </row>
    <row r="10052" spans="1:11" ht="26.4" x14ac:dyDescent="0.3">
      <c r="A10052" s="400" t="s">
        <v>1038</v>
      </c>
      <c r="B10052" s="401" t="s">
        <v>4826</v>
      </c>
      <c r="C10052" s="400" t="s">
        <v>395</v>
      </c>
      <c r="D10052" s="400" t="s">
        <v>4827</v>
      </c>
      <c r="E10052" s="605" t="s">
        <v>1039</v>
      </c>
      <c r="F10052" s="605"/>
      <c r="G10052" s="402" t="s">
        <v>4</v>
      </c>
      <c r="H10052" s="403">
        <v>1</v>
      </c>
      <c r="I10052" s="403">
        <v>0</v>
      </c>
      <c r="J10052" s="404">
        <v>1.26</v>
      </c>
      <c r="K10052" s="404">
        <v>1.26</v>
      </c>
    </row>
    <row r="10053" spans="1:11" ht="26.4" x14ac:dyDescent="0.3">
      <c r="A10053" s="400" t="s">
        <v>1038</v>
      </c>
      <c r="B10053" s="401" t="s">
        <v>2588</v>
      </c>
      <c r="C10053" s="400" t="s">
        <v>395</v>
      </c>
      <c r="D10053" s="400" t="s">
        <v>350</v>
      </c>
      <c r="E10053" s="605" t="s">
        <v>1039</v>
      </c>
      <c r="F10053" s="605"/>
      <c r="G10053" s="402" t="s">
        <v>4</v>
      </c>
      <c r="H10053" s="403">
        <v>1.2E-2</v>
      </c>
      <c r="I10053" s="403">
        <v>0</v>
      </c>
      <c r="J10053" s="404">
        <v>89.7</v>
      </c>
      <c r="K10053" s="404">
        <v>1.0764</v>
      </c>
    </row>
    <row r="10054" spans="1:11" ht="15" x14ac:dyDescent="0.3">
      <c r="A10054" s="400" t="s">
        <v>1038</v>
      </c>
      <c r="B10054" s="401" t="s">
        <v>1372</v>
      </c>
      <c r="C10054" s="400" t="s">
        <v>395</v>
      </c>
      <c r="D10054" s="400" t="s">
        <v>266</v>
      </c>
      <c r="E10054" s="605" t="s">
        <v>1039</v>
      </c>
      <c r="F10054" s="605"/>
      <c r="G10054" s="402" t="s">
        <v>4</v>
      </c>
      <c r="H10054" s="403">
        <v>9.5999999999999992E-3</v>
      </c>
      <c r="I10054" s="403">
        <v>0</v>
      </c>
      <c r="J10054" s="404">
        <v>2.09</v>
      </c>
      <c r="K10054" s="404">
        <v>2.0063999999999999E-2</v>
      </c>
    </row>
    <row r="10055" spans="1:11" ht="15" x14ac:dyDescent="0.3">
      <c r="A10055" s="405"/>
      <c r="B10055" s="405"/>
      <c r="C10055" s="405"/>
      <c r="D10055" s="405"/>
      <c r="E10055" s="405" t="s">
        <v>1046</v>
      </c>
      <c r="F10055" s="406">
        <v>4.17</v>
      </c>
      <c r="G10055" s="405" t="s">
        <v>1047</v>
      </c>
      <c r="H10055" s="406">
        <v>0</v>
      </c>
      <c r="I10055" s="405" t="s">
        <v>1048</v>
      </c>
      <c r="J10055" s="406">
        <v>4.17</v>
      </c>
      <c r="K10055"/>
    </row>
    <row r="10056" spans="1:11" ht="15.6" thickBot="1" x14ac:dyDescent="0.35">
      <c r="A10056" s="405"/>
      <c r="B10056" s="405"/>
      <c r="C10056" s="405"/>
      <c r="D10056" s="405"/>
      <c r="E10056" s="405" t="s">
        <v>1049</v>
      </c>
      <c r="F10056" s="406">
        <v>0</v>
      </c>
      <c r="G10056" s="405"/>
      <c r="H10056" s="606"/>
      <c r="I10056" s="606" t="s">
        <v>1050</v>
      </c>
      <c r="J10056" s="406">
        <v>8.85</v>
      </c>
      <c r="K10056"/>
    </row>
    <row r="10057" spans="1:11" ht="15.6" thickTop="1" x14ac:dyDescent="0.3">
      <c r="A10057" s="407"/>
      <c r="B10057" s="407"/>
      <c r="C10057" s="407"/>
      <c r="D10057" s="407"/>
      <c r="E10057" s="407"/>
      <c r="F10057" s="407"/>
      <c r="G10057" s="407"/>
      <c r="H10057" s="407"/>
      <c r="I10057" s="407"/>
      <c r="J10057" s="407"/>
      <c r="K10057"/>
    </row>
    <row r="10058" spans="1:11" ht="15" x14ac:dyDescent="0.3">
      <c r="A10058" s="382"/>
      <c r="B10058" s="312" t="s">
        <v>413</v>
      </c>
      <c r="C10058" s="382" t="s">
        <v>414</v>
      </c>
      <c r="D10058" s="382" t="s">
        <v>415</v>
      </c>
      <c r="E10058" s="586" t="s">
        <v>1029</v>
      </c>
      <c r="F10058" s="586"/>
      <c r="G10058" s="383" t="s">
        <v>416</v>
      </c>
      <c r="H10058" s="312" t="s">
        <v>1030</v>
      </c>
      <c r="I10058" s="312" t="s">
        <v>3016</v>
      </c>
      <c r="J10058" s="312" t="s">
        <v>1031</v>
      </c>
      <c r="K10058" s="312" t="s">
        <v>1032</v>
      </c>
    </row>
    <row r="10059" spans="1:11" ht="26.4" x14ac:dyDescent="0.3">
      <c r="A10059" s="313" t="s">
        <v>1033</v>
      </c>
      <c r="B10059" s="315" t="s">
        <v>8346</v>
      </c>
      <c r="C10059" s="313" t="s">
        <v>395</v>
      </c>
      <c r="D10059" s="313" t="s">
        <v>8347</v>
      </c>
      <c r="E10059" s="603" t="s">
        <v>7772</v>
      </c>
      <c r="F10059" s="603"/>
      <c r="G10059" s="314" t="s">
        <v>19</v>
      </c>
      <c r="H10059" s="399">
        <v>1</v>
      </c>
      <c r="I10059" s="316"/>
      <c r="J10059" s="316">
        <v>279.32</v>
      </c>
      <c r="K10059" s="316">
        <v>279.32</v>
      </c>
    </row>
    <row r="10060" spans="1:11" ht="26.4" x14ac:dyDescent="0.3">
      <c r="A10060" s="408" t="s">
        <v>1034</v>
      </c>
      <c r="B10060" s="409" t="s">
        <v>1289</v>
      </c>
      <c r="C10060" s="408" t="s">
        <v>395</v>
      </c>
      <c r="D10060" s="408" t="s">
        <v>142</v>
      </c>
      <c r="E10060" s="604" t="s">
        <v>7768</v>
      </c>
      <c r="F10060" s="604"/>
      <c r="G10060" s="410" t="s">
        <v>6</v>
      </c>
      <c r="H10060" s="412">
        <v>1</v>
      </c>
      <c r="I10060" s="412">
        <v>0</v>
      </c>
      <c r="J10060" s="411">
        <v>43.16</v>
      </c>
      <c r="K10060" s="411">
        <v>43.16</v>
      </c>
    </row>
    <row r="10061" spans="1:11" ht="26.4" x14ac:dyDescent="0.3">
      <c r="A10061" s="408" t="s">
        <v>1034</v>
      </c>
      <c r="B10061" s="409" t="s">
        <v>1290</v>
      </c>
      <c r="C10061" s="408" t="s">
        <v>395</v>
      </c>
      <c r="D10061" s="408" t="s">
        <v>147</v>
      </c>
      <c r="E10061" s="604" t="s">
        <v>7768</v>
      </c>
      <c r="F10061" s="604"/>
      <c r="G10061" s="410" t="s">
        <v>6</v>
      </c>
      <c r="H10061" s="412">
        <v>4</v>
      </c>
      <c r="I10061" s="412">
        <v>0</v>
      </c>
      <c r="J10061" s="411">
        <v>32.82</v>
      </c>
      <c r="K10061" s="411">
        <v>131.28</v>
      </c>
    </row>
    <row r="10062" spans="1:11" ht="26.4" x14ac:dyDescent="0.3">
      <c r="A10062" s="408" t="s">
        <v>1034</v>
      </c>
      <c r="B10062" s="409" t="s">
        <v>8348</v>
      </c>
      <c r="C10062" s="408" t="s">
        <v>395</v>
      </c>
      <c r="D10062" s="408" t="s">
        <v>8349</v>
      </c>
      <c r="E10062" s="604" t="s">
        <v>7946</v>
      </c>
      <c r="F10062" s="604"/>
      <c r="G10062" s="410" t="s">
        <v>6</v>
      </c>
      <c r="H10062" s="412">
        <v>1</v>
      </c>
      <c r="I10062" s="412">
        <v>0</v>
      </c>
      <c r="J10062" s="411">
        <v>80.150000000000006</v>
      </c>
      <c r="K10062" s="411">
        <v>80.150000000000006</v>
      </c>
    </row>
    <row r="10063" spans="1:11" ht="26.4" x14ac:dyDescent="0.3">
      <c r="A10063" s="408" t="s">
        <v>1034</v>
      </c>
      <c r="B10063" s="409" t="s">
        <v>8350</v>
      </c>
      <c r="C10063" s="408" t="s">
        <v>395</v>
      </c>
      <c r="D10063" s="408" t="s">
        <v>8351</v>
      </c>
      <c r="E10063" s="604" t="s">
        <v>7946</v>
      </c>
      <c r="F10063" s="604"/>
      <c r="G10063" s="410" t="s">
        <v>6</v>
      </c>
      <c r="H10063" s="412">
        <v>1</v>
      </c>
      <c r="I10063" s="412">
        <v>0</v>
      </c>
      <c r="J10063" s="411">
        <v>24.73</v>
      </c>
      <c r="K10063" s="411">
        <v>24.73</v>
      </c>
    </row>
    <row r="10064" spans="1:11" ht="15" x14ac:dyDescent="0.3">
      <c r="A10064" s="405"/>
      <c r="B10064" s="405"/>
      <c r="C10064" s="405"/>
      <c r="D10064" s="405"/>
      <c r="E10064" s="405" t="s">
        <v>1046</v>
      </c>
      <c r="F10064" s="406">
        <v>124.65</v>
      </c>
      <c r="G10064" s="405" t="s">
        <v>1047</v>
      </c>
      <c r="H10064" s="406">
        <v>0</v>
      </c>
      <c r="I10064" s="405" t="s">
        <v>1048</v>
      </c>
      <c r="J10064" s="406">
        <v>124.65</v>
      </c>
      <c r="K10064"/>
    </row>
    <row r="10065" spans="1:11" ht="15.6" thickBot="1" x14ac:dyDescent="0.35">
      <c r="A10065" s="405"/>
      <c r="B10065" s="405"/>
      <c r="C10065" s="405"/>
      <c r="D10065" s="405"/>
      <c r="E10065" s="405" t="s">
        <v>1049</v>
      </c>
      <c r="F10065" s="406">
        <v>0</v>
      </c>
      <c r="G10065" s="405"/>
      <c r="H10065" s="606"/>
      <c r="I10065" s="606" t="s">
        <v>1050</v>
      </c>
      <c r="J10065" s="406">
        <v>279.32</v>
      </c>
      <c r="K10065"/>
    </row>
    <row r="10066" spans="1:11" ht="15.6" thickTop="1" x14ac:dyDescent="0.3">
      <c r="A10066" s="407"/>
      <c r="B10066" s="407"/>
      <c r="C10066" s="407"/>
      <c r="D10066" s="407"/>
      <c r="E10066" s="407"/>
      <c r="F10066" s="407"/>
      <c r="G10066" s="407"/>
      <c r="H10066" s="407"/>
      <c r="I10066" s="407"/>
      <c r="J10066" s="407"/>
      <c r="K10066"/>
    </row>
    <row r="10067" spans="1:11" ht="15" x14ac:dyDescent="0.3">
      <c r="A10067" s="382"/>
      <c r="B10067" s="312" t="s">
        <v>413</v>
      </c>
      <c r="C10067" s="382" t="s">
        <v>414</v>
      </c>
      <c r="D10067" s="382" t="s">
        <v>415</v>
      </c>
      <c r="E10067" s="586" t="s">
        <v>1029</v>
      </c>
      <c r="F10067" s="586"/>
      <c r="G10067" s="383" t="s">
        <v>416</v>
      </c>
      <c r="H10067" s="312" t="s">
        <v>1030</v>
      </c>
      <c r="I10067" s="312" t="s">
        <v>3016</v>
      </c>
      <c r="J10067" s="312" t="s">
        <v>1031</v>
      </c>
      <c r="K10067" s="312" t="s">
        <v>1032</v>
      </c>
    </row>
    <row r="10068" spans="1:11" ht="26.4" x14ac:dyDescent="0.3">
      <c r="A10068" s="313" t="s">
        <v>1033</v>
      </c>
      <c r="B10068" s="315" t="s">
        <v>8352</v>
      </c>
      <c r="C10068" s="313" t="s">
        <v>395</v>
      </c>
      <c r="D10068" s="313" t="s">
        <v>8353</v>
      </c>
      <c r="E10068" s="603" t="s">
        <v>7772</v>
      </c>
      <c r="F10068" s="603"/>
      <c r="G10068" s="314" t="s">
        <v>15</v>
      </c>
      <c r="H10068" s="399">
        <v>1</v>
      </c>
      <c r="I10068" s="316"/>
      <c r="J10068" s="316">
        <v>448.61</v>
      </c>
      <c r="K10068" s="316">
        <v>448.61</v>
      </c>
    </row>
    <row r="10069" spans="1:11" ht="26.4" x14ac:dyDescent="0.3">
      <c r="A10069" s="408" t="s">
        <v>1034</v>
      </c>
      <c r="B10069" s="409" t="s">
        <v>8354</v>
      </c>
      <c r="C10069" s="408" t="s">
        <v>395</v>
      </c>
      <c r="D10069" s="408" t="s">
        <v>8355</v>
      </c>
      <c r="E10069" s="604" t="s">
        <v>7946</v>
      </c>
      <c r="F10069" s="604"/>
      <c r="G10069" s="410" t="s">
        <v>6</v>
      </c>
      <c r="H10069" s="412">
        <v>1</v>
      </c>
      <c r="I10069" s="412">
        <v>0</v>
      </c>
      <c r="J10069" s="411">
        <v>87.69</v>
      </c>
      <c r="K10069" s="411">
        <v>87.69</v>
      </c>
    </row>
    <row r="10070" spans="1:11" ht="26.4" x14ac:dyDescent="0.3">
      <c r="A10070" s="408" t="s">
        <v>1034</v>
      </c>
      <c r="B10070" s="409" t="s">
        <v>1289</v>
      </c>
      <c r="C10070" s="408" t="s">
        <v>395</v>
      </c>
      <c r="D10070" s="408" t="s">
        <v>142</v>
      </c>
      <c r="E10070" s="604" t="s">
        <v>7768</v>
      </c>
      <c r="F10070" s="604"/>
      <c r="G10070" s="410" t="s">
        <v>6</v>
      </c>
      <c r="H10070" s="412">
        <v>1</v>
      </c>
      <c r="I10070" s="412">
        <v>0</v>
      </c>
      <c r="J10070" s="411">
        <v>43.16</v>
      </c>
      <c r="K10070" s="411">
        <v>43.16</v>
      </c>
    </row>
    <row r="10071" spans="1:11" ht="26.4" x14ac:dyDescent="0.3">
      <c r="A10071" s="408" t="s">
        <v>1034</v>
      </c>
      <c r="B10071" s="409" t="s">
        <v>1290</v>
      </c>
      <c r="C10071" s="408" t="s">
        <v>395</v>
      </c>
      <c r="D10071" s="408" t="s">
        <v>147</v>
      </c>
      <c r="E10071" s="604" t="s">
        <v>7768</v>
      </c>
      <c r="F10071" s="604"/>
      <c r="G10071" s="410" t="s">
        <v>6</v>
      </c>
      <c r="H10071" s="412">
        <v>4</v>
      </c>
      <c r="I10071" s="412">
        <v>0</v>
      </c>
      <c r="J10071" s="411">
        <v>32.82</v>
      </c>
      <c r="K10071" s="411">
        <v>131.28</v>
      </c>
    </row>
    <row r="10072" spans="1:11" ht="26.4" x14ac:dyDescent="0.3">
      <c r="A10072" s="408" t="s">
        <v>1034</v>
      </c>
      <c r="B10072" s="409" t="s">
        <v>8348</v>
      </c>
      <c r="C10072" s="408" t="s">
        <v>395</v>
      </c>
      <c r="D10072" s="408" t="s">
        <v>8349</v>
      </c>
      <c r="E10072" s="604" t="s">
        <v>7946</v>
      </c>
      <c r="F10072" s="604"/>
      <c r="G10072" s="410" t="s">
        <v>6</v>
      </c>
      <c r="H10072" s="412">
        <v>1</v>
      </c>
      <c r="I10072" s="412">
        <v>0</v>
      </c>
      <c r="J10072" s="411">
        <v>80.150000000000006</v>
      </c>
      <c r="K10072" s="411">
        <v>80.150000000000006</v>
      </c>
    </row>
    <row r="10073" spans="1:11" ht="26.4" x14ac:dyDescent="0.3">
      <c r="A10073" s="408" t="s">
        <v>1034</v>
      </c>
      <c r="B10073" s="409" t="s">
        <v>8350</v>
      </c>
      <c r="C10073" s="408" t="s">
        <v>395</v>
      </c>
      <c r="D10073" s="408" t="s">
        <v>8351</v>
      </c>
      <c r="E10073" s="604" t="s">
        <v>7946</v>
      </c>
      <c r="F10073" s="604"/>
      <c r="G10073" s="410" t="s">
        <v>6</v>
      </c>
      <c r="H10073" s="412">
        <v>1</v>
      </c>
      <c r="I10073" s="412">
        <v>0</v>
      </c>
      <c r="J10073" s="411">
        <v>24.73</v>
      </c>
      <c r="K10073" s="411">
        <v>24.73</v>
      </c>
    </row>
    <row r="10074" spans="1:11" ht="26.4" x14ac:dyDescent="0.3">
      <c r="A10074" s="408" t="s">
        <v>1034</v>
      </c>
      <c r="B10074" s="409" t="s">
        <v>8356</v>
      </c>
      <c r="C10074" s="408" t="s">
        <v>395</v>
      </c>
      <c r="D10074" s="408" t="s">
        <v>8357</v>
      </c>
      <c r="E10074" s="604" t="s">
        <v>7946</v>
      </c>
      <c r="F10074" s="604"/>
      <c r="G10074" s="410" t="s">
        <v>6</v>
      </c>
      <c r="H10074" s="412">
        <v>1</v>
      </c>
      <c r="I10074" s="412">
        <v>0</v>
      </c>
      <c r="J10074" s="411">
        <v>81.599999999999994</v>
      </c>
      <c r="K10074" s="411">
        <v>81.599999999999994</v>
      </c>
    </row>
    <row r="10075" spans="1:11" ht="15" x14ac:dyDescent="0.3">
      <c r="A10075" s="405"/>
      <c r="B10075" s="405"/>
      <c r="C10075" s="405"/>
      <c r="D10075" s="405"/>
      <c r="E10075" s="405" t="s">
        <v>1046</v>
      </c>
      <c r="F10075" s="406">
        <v>124.65</v>
      </c>
      <c r="G10075" s="405" t="s">
        <v>1047</v>
      </c>
      <c r="H10075" s="406">
        <v>0</v>
      </c>
      <c r="I10075" s="405" t="s">
        <v>1048</v>
      </c>
      <c r="J10075" s="406">
        <v>124.65</v>
      </c>
      <c r="K10075"/>
    </row>
    <row r="10076" spans="1:11" ht="15.6" thickBot="1" x14ac:dyDescent="0.35">
      <c r="A10076" s="405"/>
      <c r="B10076" s="405"/>
      <c r="C10076" s="405"/>
      <c r="D10076" s="405"/>
      <c r="E10076" s="405" t="s">
        <v>1049</v>
      </c>
      <c r="F10076" s="406">
        <v>0</v>
      </c>
      <c r="G10076" s="405"/>
      <c r="H10076" s="606"/>
      <c r="I10076" s="606" t="s">
        <v>1050</v>
      </c>
      <c r="J10076" s="406">
        <v>448.61</v>
      </c>
      <c r="K10076"/>
    </row>
    <row r="10077" spans="1:11" ht="15.6" thickTop="1" x14ac:dyDescent="0.3">
      <c r="A10077" s="407"/>
      <c r="B10077" s="407"/>
      <c r="C10077" s="407"/>
      <c r="D10077" s="407"/>
      <c r="E10077" s="407"/>
      <c r="F10077" s="407"/>
      <c r="G10077" s="407"/>
      <c r="H10077" s="407"/>
      <c r="I10077" s="407"/>
      <c r="J10077" s="407"/>
      <c r="K10077"/>
    </row>
    <row r="10078" spans="1:11" ht="15" x14ac:dyDescent="0.3">
      <c r="A10078" s="382"/>
      <c r="B10078" s="312" t="s">
        <v>413</v>
      </c>
      <c r="C10078" s="382" t="s">
        <v>414</v>
      </c>
      <c r="D10078" s="382" t="s">
        <v>415</v>
      </c>
      <c r="E10078" s="586" t="s">
        <v>1029</v>
      </c>
      <c r="F10078" s="586"/>
      <c r="G10078" s="383" t="s">
        <v>416</v>
      </c>
      <c r="H10078" s="312" t="s">
        <v>1030</v>
      </c>
      <c r="I10078" s="312" t="s">
        <v>3016</v>
      </c>
      <c r="J10078" s="312" t="s">
        <v>1031</v>
      </c>
      <c r="K10078" s="312" t="s">
        <v>1032</v>
      </c>
    </row>
    <row r="10079" spans="1:11" ht="26.4" x14ac:dyDescent="0.3">
      <c r="A10079" s="313" t="s">
        <v>1033</v>
      </c>
      <c r="B10079" s="315" t="s">
        <v>8348</v>
      </c>
      <c r="C10079" s="313" t="s">
        <v>395</v>
      </c>
      <c r="D10079" s="313" t="s">
        <v>8349</v>
      </c>
      <c r="E10079" s="603" t="s">
        <v>7946</v>
      </c>
      <c r="F10079" s="603"/>
      <c r="G10079" s="314" t="s">
        <v>6</v>
      </c>
      <c r="H10079" s="399">
        <v>1</v>
      </c>
      <c r="I10079" s="316"/>
      <c r="J10079" s="316">
        <v>80.150000000000006</v>
      </c>
      <c r="K10079" s="316">
        <v>80.150000000000006</v>
      </c>
    </row>
    <row r="10080" spans="1:11" ht="26.4" x14ac:dyDescent="0.3">
      <c r="A10080" s="400" t="s">
        <v>1038</v>
      </c>
      <c r="B10080" s="401" t="s">
        <v>4962</v>
      </c>
      <c r="C10080" s="400" t="s">
        <v>395</v>
      </c>
      <c r="D10080" s="400" t="s">
        <v>4963</v>
      </c>
      <c r="E10080" s="605" t="s">
        <v>1039</v>
      </c>
      <c r="F10080" s="605"/>
      <c r="G10080" s="402" t="s">
        <v>4</v>
      </c>
      <c r="H10080" s="403">
        <v>4.57E-5</v>
      </c>
      <c r="I10080" s="403">
        <v>0</v>
      </c>
      <c r="J10080" s="404">
        <v>1753880.82</v>
      </c>
      <c r="K10080" s="404">
        <v>80.152353500000004</v>
      </c>
    </row>
    <row r="10081" spans="1:11" ht="15" x14ac:dyDescent="0.3">
      <c r="A10081" s="405"/>
      <c r="B10081" s="405"/>
      <c r="C10081" s="405"/>
      <c r="D10081" s="405"/>
      <c r="E10081" s="405" t="s">
        <v>1046</v>
      </c>
      <c r="F10081" s="406">
        <v>0</v>
      </c>
      <c r="G10081" s="405" t="s">
        <v>1047</v>
      </c>
      <c r="H10081" s="406">
        <v>0</v>
      </c>
      <c r="I10081" s="405" t="s">
        <v>1048</v>
      </c>
      <c r="J10081" s="406">
        <v>0</v>
      </c>
      <c r="K10081"/>
    </row>
    <row r="10082" spans="1:11" ht="15.6" thickBot="1" x14ac:dyDescent="0.35">
      <c r="A10082" s="405"/>
      <c r="B10082" s="405"/>
      <c r="C10082" s="405"/>
      <c r="D10082" s="405"/>
      <c r="E10082" s="405" t="s">
        <v>1049</v>
      </c>
      <c r="F10082" s="406">
        <v>0</v>
      </c>
      <c r="G10082" s="405"/>
      <c r="H10082" s="606"/>
      <c r="I10082" s="606" t="s">
        <v>1050</v>
      </c>
      <c r="J10082" s="406">
        <v>80.150000000000006</v>
      </c>
      <c r="K10082"/>
    </row>
    <row r="10083" spans="1:11" ht="15.6" thickTop="1" x14ac:dyDescent="0.3">
      <c r="A10083" s="407"/>
      <c r="B10083" s="407"/>
      <c r="C10083" s="407"/>
      <c r="D10083" s="407"/>
      <c r="E10083" s="407"/>
      <c r="F10083" s="407"/>
      <c r="G10083" s="407"/>
      <c r="H10083" s="407"/>
      <c r="I10083" s="407"/>
      <c r="J10083" s="407"/>
      <c r="K10083"/>
    </row>
    <row r="10084" spans="1:11" ht="15" x14ac:dyDescent="0.3">
      <c r="A10084" s="382"/>
      <c r="B10084" s="312" t="s">
        <v>413</v>
      </c>
      <c r="C10084" s="382" t="s">
        <v>414</v>
      </c>
      <c r="D10084" s="382" t="s">
        <v>415</v>
      </c>
      <c r="E10084" s="586" t="s">
        <v>1029</v>
      </c>
      <c r="F10084" s="586"/>
      <c r="G10084" s="383" t="s">
        <v>416</v>
      </c>
      <c r="H10084" s="312" t="s">
        <v>1030</v>
      </c>
      <c r="I10084" s="312" t="s">
        <v>3016</v>
      </c>
      <c r="J10084" s="312" t="s">
        <v>1031</v>
      </c>
      <c r="K10084" s="312" t="s">
        <v>1032</v>
      </c>
    </row>
    <row r="10085" spans="1:11" ht="26.4" x14ac:dyDescent="0.3">
      <c r="A10085" s="313" t="s">
        <v>1033</v>
      </c>
      <c r="B10085" s="315" t="s">
        <v>8350</v>
      </c>
      <c r="C10085" s="313" t="s">
        <v>395</v>
      </c>
      <c r="D10085" s="313" t="s">
        <v>8351</v>
      </c>
      <c r="E10085" s="603" t="s">
        <v>7946</v>
      </c>
      <c r="F10085" s="603"/>
      <c r="G10085" s="314" t="s">
        <v>6</v>
      </c>
      <c r="H10085" s="399">
        <v>1</v>
      </c>
      <c r="I10085" s="316"/>
      <c r="J10085" s="316">
        <v>24.73</v>
      </c>
      <c r="K10085" s="316">
        <v>24.73</v>
      </c>
    </row>
    <row r="10086" spans="1:11" ht="26.4" x14ac:dyDescent="0.3">
      <c r="A10086" s="400" t="s">
        <v>1038</v>
      </c>
      <c r="B10086" s="401" t="s">
        <v>4962</v>
      </c>
      <c r="C10086" s="400" t="s">
        <v>395</v>
      </c>
      <c r="D10086" s="400" t="s">
        <v>4963</v>
      </c>
      <c r="E10086" s="605" t="s">
        <v>1039</v>
      </c>
      <c r="F10086" s="605"/>
      <c r="G10086" s="402" t="s">
        <v>4</v>
      </c>
      <c r="H10086" s="403">
        <v>1.4100000000000001E-5</v>
      </c>
      <c r="I10086" s="403">
        <v>0</v>
      </c>
      <c r="J10086" s="404">
        <v>1753880.82</v>
      </c>
      <c r="K10086" s="404">
        <v>24.729719599999999</v>
      </c>
    </row>
    <row r="10087" spans="1:11" ht="15" x14ac:dyDescent="0.3">
      <c r="A10087" s="405"/>
      <c r="B10087" s="405"/>
      <c r="C10087" s="405"/>
      <c r="D10087" s="405"/>
      <c r="E10087" s="405" t="s">
        <v>1046</v>
      </c>
      <c r="F10087" s="406">
        <v>0</v>
      </c>
      <c r="G10087" s="405" t="s">
        <v>1047</v>
      </c>
      <c r="H10087" s="406">
        <v>0</v>
      </c>
      <c r="I10087" s="405" t="s">
        <v>1048</v>
      </c>
      <c r="J10087" s="406">
        <v>0</v>
      </c>
      <c r="K10087"/>
    </row>
    <row r="10088" spans="1:11" ht="15.6" thickBot="1" x14ac:dyDescent="0.35">
      <c r="A10088" s="405"/>
      <c r="B10088" s="405"/>
      <c r="C10088" s="405"/>
      <c r="D10088" s="405"/>
      <c r="E10088" s="405" t="s">
        <v>1049</v>
      </c>
      <c r="F10088" s="406">
        <v>0</v>
      </c>
      <c r="G10088" s="405"/>
      <c r="H10088" s="606"/>
      <c r="I10088" s="606" t="s">
        <v>1050</v>
      </c>
      <c r="J10088" s="406">
        <v>24.73</v>
      </c>
      <c r="K10088"/>
    </row>
    <row r="10089" spans="1:11" ht="15.6" thickTop="1" x14ac:dyDescent="0.3">
      <c r="A10089" s="407"/>
      <c r="B10089" s="407"/>
      <c r="C10089" s="407"/>
      <c r="D10089" s="407"/>
      <c r="E10089" s="407"/>
      <c r="F10089" s="407"/>
      <c r="G10089" s="407"/>
      <c r="H10089" s="407"/>
      <c r="I10089" s="407"/>
      <c r="J10089" s="407"/>
      <c r="K10089"/>
    </row>
    <row r="10090" spans="1:11" ht="15" x14ac:dyDescent="0.3">
      <c r="A10090" s="382"/>
      <c r="B10090" s="312" t="s">
        <v>413</v>
      </c>
      <c r="C10090" s="382" t="s">
        <v>414</v>
      </c>
      <c r="D10090" s="382" t="s">
        <v>415</v>
      </c>
      <c r="E10090" s="586" t="s">
        <v>1029</v>
      </c>
      <c r="F10090" s="586"/>
      <c r="G10090" s="383" t="s">
        <v>416</v>
      </c>
      <c r="H10090" s="312" t="s">
        <v>1030</v>
      </c>
      <c r="I10090" s="312" t="s">
        <v>3016</v>
      </c>
      <c r="J10090" s="312" t="s">
        <v>1031</v>
      </c>
      <c r="K10090" s="312" t="s">
        <v>1032</v>
      </c>
    </row>
    <row r="10091" spans="1:11" ht="26.4" x14ac:dyDescent="0.3">
      <c r="A10091" s="313" t="s">
        <v>1033</v>
      </c>
      <c r="B10091" s="315" t="s">
        <v>8354</v>
      </c>
      <c r="C10091" s="313" t="s">
        <v>395</v>
      </c>
      <c r="D10091" s="313" t="s">
        <v>8355</v>
      </c>
      <c r="E10091" s="603" t="s">
        <v>7946</v>
      </c>
      <c r="F10091" s="603"/>
      <c r="G10091" s="314" t="s">
        <v>6</v>
      </c>
      <c r="H10091" s="399">
        <v>1</v>
      </c>
      <c r="I10091" s="316"/>
      <c r="J10091" s="316">
        <v>87.69</v>
      </c>
      <c r="K10091" s="316">
        <v>87.69</v>
      </c>
    </row>
    <row r="10092" spans="1:11" ht="26.4" x14ac:dyDescent="0.3">
      <c r="A10092" s="400" t="s">
        <v>1038</v>
      </c>
      <c r="B10092" s="401" t="s">
        <v>4962</v>
      </c>
      <c r="C10092" s="400" t="s">
        <v>395</v>
      </c>
      <c r="D10092" s="400" t="s">
        <v>4963</v>
      </c>
      <c r="E10092" s="605" t="s">
        <v>1039</v>
      </c>
      <c r="F10092" s="605"/>
      <c r="G10092" s="402" t="s">
        <v>4</v>
      </c>
      <c r="H10092" s="403">
        <v>5.0000000000000002E-5</v>
      </c>
      <c r="I10092" s="403">
        <v>0</v>
      </c>
      <c r="J10092" s="404">
        <v>1753880.82</v>
      </c>
      <c r="K10092" s="404">
        <v>87.694040999999999</v>
      </c>
    </row>
    <row r="10093" spans="1:11" ht="15" x14ac:dyDescent="0.3">
      <c r="A10093" s="405"/>
      <c r="B10093" s="405"/>
      <c r="C10093" s="405"/>
      <c r="D10093" s="405"/>
      <c r="E10093" s="405" t="s">
        <v>1046</v>
      </c>
      <c r="F10093" s="406">
        <v>0</v>
      </c>
      <c r="G10093" s="405" t="s">
        <v>1047</v>
      </c>
      <c r="H10093" s="406">
        <v>0</v>
      </c>
      <c r="I10093" s="405" t="s">
        <v>1048</v>
      </c>
      <c r="J10093" s="406">
        <v>0</v>
      </c>
      <c r="K10093"/>
    </row>
    <row r="10094" spans="1:11" ht="15.6" thickBot="1" x14ac:dyDescent="0.35">
      <c r="A10094" s="405"/>
      <c r="B10094" s="405"/>
      <c r="C10094" s="405"/>
      <c r="D10094" s="405"/>
      <c r="E10094" s="405" t="s">
        <v>1049</v>
      </c>
      <c r="F10094" s="406">
        <v>0</v>
      </c>
      <c r="G10094" s="405"/>
      <c r="H10094" s="606"/>
      <c r="I10094" s="606" t="s">
        <v>1050</v>
      </c>
      <c r="J10094" s="406">
        <v>87.69</v>
      </c>
      <c r="K10094"/>
    </row>
    <row r="10095" spans="1:11" ht="15.6" thickTop="1" x14ac:dyDescent="0.3">
      <c r="A10095" s="407"/>
      <c r="B10095" s="407"/>
      <c r="C10095" s="407"/>
      <c r="D10095" s="407"/>
      <c r="E10095" s="407"/>
      <c r="F10095" s="407"/>
      <c r="G10095" s="407"/>
      <c r="H10095" s="407"/>
      <c r="I10095" s="407"/>
      <c r="J10095" s="407"/>
      <c r="K10095"/>
    </row>
    <row r="10096" spans="1:11" ht="15" x14ac:dyDescent="0.3">
      <c r="A10096" s="382"/>
      <c r="B10096" s="312" t="s">
        <v>413</v>
      </c>
      <c r="C10096" s="382" t="s">
        <v>414</v>
      </c>
      <c r="D10096" s="382" t="s">
        <v>415</v>
      </c>
      <c r="E10096" s="586" t="s">
        <v>1029</v>
      </c>
      <c r="F10096" s="586"/>
      <c r="G10096" s="383" t="s">
        <v>416</v>
      </c>
      <c r="H10096" s="312" t="s">
        <v>1030</v>
      </c>
      <c r="I10096" s="312" t="s">
        <v>3016</v>
      </c>
      <c r="J10096" s="312" t="s">
        <v>1031</v>
      </c>
      <c r="K10096" s="312" t="s">
        <v>1032</v>
      </c>
    </row>
    <row r="10097" spans="1:11" ht="26.4" x14ac:dyDescent="0.3">
      <c r="A10097" s="313" t="s">
        <v>1033</v>
      </c>
      <c r="B10097" s="315" t="s">
        <v>8356</v>
      </c>
      <c r="C10097" s="313" t="s">
        <v>395</v>
      </c>
      <c r="D10097" s="313" t="s">
        <v>8357</v>
      </c>
      <c r="E10097" s="603" t="s">
        <v>7946</v>
      </c>
      <c r="F10097" s="603"/>
      <c r="G10097" s="314" t="s">
        <v>6</v>
      </c>
      <c r="H10097" s="399">
        <v>1</v>
      </c>
      <c r="I10097" s="316"/>
      <c r="J10097" s="316">
        <v>81.599999999999994</v>
      </c>
      <c r="K10097" s="316">
        <v>81.599999999999994</v>
      </c>
    </row>
    <row r="10098" spans="1:11" ht="15" x14ac:dyDescent="0.3">
      <c r="A10098" s="400" t="s">
        <v>1038</v>
      </c>
      <c r="B10098" s="401" t="s">
        <v>4620</v>
      </c>
      <c r="C10098" s="400" t="s">
        <v>395</v>
      </c>
      <c r="D10098" s="400" t="s">
        <v>4621</v>
      </c>
      <c r="E10098" s="605" t="s">
        <v>1039</v>
      </c>
      <c r="F10098" s="605"/>
      <c r="G10098" s="402" t="s">
        <v>4622</v>
      </c>
      <c r="H10098" s="403">
        <v>63.75</v>
      </c>
      <c r="I10098" s="403">
        <v>0</v>
      </c>
      <c r="J10098" s="404">
        <v>1.28</v>
      </c>
      <c r="K10098" s="404">
        <v>81.599999999999994</v>
      </c>
    </row>
    <row r="10099" spans="1:11" ht="15" x14ac:dyDescent="0.3">
      <c r="A10099" s="405"/>
      <c r="B10099" s="405"/>
      <c r="C10099" s="405"/>
      <c r="D10099" s="405"/>
      <c r="E10099" s="405" t="s">
        <v>1046</v>
      </c>
      <c r="F10099" s="406">
        <v>0</v>
      </c>
      <c r="G10099" s="405" t="s">
        <v>1047</v>
      </c>
      <c r="H10099" s="406">
        <v>0</v>
      </c>
      <c r="I10099" s="405" t="s">
        <v>1048</v>
      </c>
      <c r="J10099" s="406">
        <v>0</v>
      </c>
      <c r="K10099"/>
    </row>
    <row r="10100" spans="1:11" ht="15.6" thickBot="1" x14ac:dyDescent="0.35">
      <c r="A10100" s="405"/>
      <c r="B10100" s="405"/>
      <c r="C10100" s="405"/>
      <c r="D10100" s="405"/>
      <c r="E10100" s="405" t="s">
        <v>1049</v>
      </c>
      <c r="F10100" s="406">
        <v>0</v>
      </c>
      <c r="G10100" s="405"/>
      <c r="H10100" s="606"/>
      <c r="I10100" s="606" t="s">
        <v>1050</v>
      </c>
      <c r="J10100" s="406">
        <v>81.599999999999994</v>
      </c>
      <c r="K10100"/>
    </row>
    <row r="10101" spans="1:11" ht="15.6" thickTop="1" x14ac:dyDescent="0.3">
      <c r="A10101" s="407"/>
      <c r="B10101" s="407"/>
      <c r="C10101" s="407"/>
      <c r="D10101" s="407"/>
      <c r="E10101" s="407"/>
      <c r="F10101" s="407"/>
      <c r="G10101" s="407"/>
      <c r="H10101" s="407"/>
      <c r="I10101" s="407"/>
      <c r="J10101" s="407"/>
      <c r="K10101"/>
    </row>
    <row r="10102" spans="1:11" ht="15" x14ac:dyDescent="0.3">
      <c r="A10102" s="382"/>
      <c r="B10102" s="312" t="s">
        <v>413</v>
      </c>
      <c r="C10102" s="382" t="s">
        <v>414</v>
      </c>
      <c r="D10102" s="382" t="s">
        <v>415</v>
      </c>
      <c r="E10102" s="586" t="s">
        <v>1029</v>
      </c>
      <c r="F10102" s="586"/>
      <c r="G10102" s="383" t="s">
        <v>416</v>
      </c>
      <c r="H10102" s="312" t="s">
        <v>1030</v>
      </c>
      <c r="I10102" s="312" t="s">
        <v>3016</v>
      </c>
      <c r="J10102" s="312" t="s">
        <v>1031</v>
      </c>
      <c r="K10102" s="312" t="s">
        <v>1032</v>
      </c>
    </row>
    <row r="10103" spans="1:11" ht="15" x14ac:dyDescent="0.3">
      <c r="A10103" s="313" t="s">
        <v>1033</v>
      </c>
      <c r="B10103" s="315" t="s">
        <v>5237</v>
      </c>
      <c r="C10103" s="313" t="s">
        <v>395</v>
      </c>
      <c r="D10103" s="313" t="s">
        <v>7850</v>
      </c>
      <c r="E10103" s="603" t="s">
        <v>7851</v>
      </c>
      <c r="F10103" s="603"/>
      <c r="G10103" s="314" t="s">
        <v>713</v>
      </c>
      <c r="H10103" s="399">
        <v>1</v>
      </c>
      <c r="I10103" s="316"/>
      <c r="J10103" s="316">
        <v>279.64999999999998</v>
      </c>
      <c r="K10103" s="316">
        <v>279.64999999999998</v>
      </c>
    </row>
    <row r="10104" spans="1:11" ht="39.6" x14ac:dyDescent="0.3">
      <c r="A10104" s="408" t="s">
        <v>1034</v>
      </c>
      <c r="B10104" s="409" t="s">
        <v>5260</v>
      </c>
      <c r="C10104" s="408" t="s">
        <v>395</v>
      </c>
      <c r="D10104" s="408" t="s">
        <v>5261</v>
      </c>
      <c r="E10104" s="604" t="s">
        <v>7772</v>
      </c>
      <c r="F10104" s="604"/>
      <c r="G10104" s="410" t="s">
        <v>15</v>
      </c>
      <c r="H10104" s="412">
        <v>1.17333E-2</v>
      </c>
      <c r="I10104" s="412">
        <v>0</v>
      </c>
      <c r="J10104" s="411">
        <v>213.39</v>
      </c>
      <c r="K10104" s="411">
        <v>2.5037688999999999</v>
      </c>
    </row>
    <row r="10105" spans="1:11" ht="39.6" x14ac:dyDescent="0.3">
      <c r="A10105" s="408" t="s">
        <v>1034</v>
      </c>
      <c r="B10105" s="409" t="s">
        <v>5262</v>
      </c>
      <c r="C10105" s="408" t="s">
        <v>395</v>
      </c>
      <c r="D10105" s="408" t="s">
        <v>5263</v>
      </c>
      <c r="E10105" s="604" t="s">
        <v>7772</v>
      </c>
      <c r="F10105" s="604"/>
      <c r="G10105" s="410" t="s">
        <v>19</v>
      </c>
      <c r="H10105" s="412">
        <v>1.30618E-2</v>
      </c>
      <c r="I10105" s="412">
        <v>0</v>
      </c>
      <c r="J10105" s="411">
        <v>99.1</v>
      </c>
      <c r="K10105" s="411">
        <v>1.2944244</v>
      </c>
    </row>
    <row r="10106" spans="1:11" ht="26.4" x14ac:dyDescent="0.3">
      <c r="A10106" s="408" t="s">
        <v>1034</v>
      </c>
      <c r="B10106" s="409" t="s">
        <v>1290</v>
      </c>
      <c r="C10106" s="408" t="s">
        <v>395</v>
      </c>
      <c r="D10106" s="408" t="s">
        <v>147</v>
      </c>
      <c r="E10106" s="604" t="s">
        <v>7768</v>
      </c>
      <c r="F10106" s="604"/>
      <c r="G10106" s="410" t="s">
        <v>6</v>
      </c>
      <c r="H10106" s="412">
        <v>2.4132799999999999E-2</v>
      </c>
      <c r="I10106" s="412">
        <v>0</v>
      </c>
      <c r="J10106" s="411">
        <v>32.82</v>
      </c>
      <c r="K10106" s="411">
        <v>0.79203849999999998</v>
      </c>
    </row>
    <row r="10107" spans="1:11" ht="26.4" x14ac:dyDescent="0.3">
      <c r="A10107" s="408" t="s">
        <v>1034</v>
      </c>
      <c r="B10107" s="409" t="s">
        <v>1325</v>
      </c>
      <c r="C10107" s="408" t="s">
        <v>395</v>
      </c>
      <c r="D10107" s="408" t="s">
        <v>155</v>
      </c>
      <c r="E10107" s="604" t="s">
        <v>7768</v>
      </c>
      <c r="F10107" s="604"/>
      <c r="G10107" s="410" t="s">
        <v>6</v>
      </c>
      <c r="H10107" s="412">
        <v>1.20664E-2</v>
      </c>
      <c r="I10107" s="412">
        <v>0</v>
      </c>
      <c r="J10107" s="411">
        <v>60.36</v>
      </c>
      <c r="K10107" s="411">
        <v>0.72832790000000003</v>
      </c>
    </row>
    <row r="10108" spans="1:11" ht="26.4" x14ac:dyDescent="0.3">
      <c r="A10108" s="408" t="s">
        <v>1034</v>
      </c>
      <c r="B10108" s="409" t="s">
        <v>8193</v>
      </c>
      <c r="C10108" s="408" t="s">
        <v>395</v>
      </c>
      <c r="D10108" s="408" t="s">
        <v>8194</v>
      </c>
      <c r="E10108" s="604" t="s">
        <v>7772</v>
      </c>
      <c r="F10108" s="604"/>
      <c r="G10108" s="410" t="s">
        <v>15</v>
      </c>
      <c r="H10108" s="412">
        <v>6.4466999999999997E-3</v>
      </c>
      <c r="I10108" s="412">
        <v>0</v>
      </c>
      <c r="J10108" s="411">
        <v>205.52</v>
      </c>
      <c r="K10108" s="411">
        <v>1.3249257999999999</v>
      </c>
    </row>
    <row r="10109" spans="1:11" ht="26.4" x14ac:dyDescent="0.3">
      <c r="A10109" s="408" t="s">
        <v>1034</v>
      </c>
      <c r="B10109" s="409" t="s">
        <v>8189</v>
      </c>
      <c r="C10109" s="408" t="s">
        <v>395</v>
      </c>
      <c r="D10109" s="408" t="s">
        <v>8190</v>
      </c>
      <c r="E10109" s="604" t="s">
        <v>7772</v>
      </c>
      <c r="F10109" s="604"/>
      <c r="G10109" s="410" t="s">
        <v>19</v>
      </c>
      <c r="H10109" s="412">
        <v>5.9508E-3</v>
      </c>
      <c r="I10109" s="412">
        <v>0</v>
      </c>
      <c r="J10109" s="411">
        <v>9.5500000000000007</v>
      </c>
      <c r="K10109" s="411">
        <v>5.6830100000000001E-2</v>
      </c>
    </row>
    <row r="10110" spans="1:11" ht="26.4" x14ac:dyDescent="0.3">
      <c r="A10110" s="408" t="s">
        <v>1034</v>
      </c>
      <c r="B10110" s="409" t="s">
        <v>8352</v>
      </c>
      <c r="C10110" s="408" t="s">
        <v>395</v>
      </c>
      <c r="D10110" s="408" t="s">
        <v>8353</v>
      </c>
      <c r="E10110" s="604" t="s">
        <v>7772</v>
      </c>
      <c r="F10110" s="604"/>
      <c r="G10110" s="410" t="s">
        <v>15</v>
      </c>
      <c r="H10110" s="412">
        <v>6.4466999999999997E-3</v>
      </c>
      <c r="I10110" s="412">
        <v>0</v>
      </c>
      <c r="J10110" s="411">
        <v>448.61</v>
      </c>
      <c r="K10110" s="411">
        <v>2.8920541000000002</v>
      </c>
    </row>
    <row r="10111" spans="1:11" ht="26.4" x14ac:dyDescent="0.3">
      <c r="A10111" s="408" t="s">
        <v>1034</v>
      </c>
      <c r="B10111" s="409" t="s">
        <v>8346</v>
      </c>
      <c r="C10111" s="408" t="s">
        <v>395</v>
      </c>
      <c r="D10111" s="408" t="s">
        <v>8347</v>
      </c>
      <c r="E10111" s="604" t="s">
        <v>7772</v>
      </c>
      <c r="F10111" s="604"/>
      <c r="G10111" s="410" t="s">
        <v>19</v>
      </c>
      <c r="H10111" s="412">
        <v>5.9508E-3</v>
      </c>
      <c r="I10111" s="412">
        <v>0</v>
      </c>
      <c r="J10111" s="411">
        <v>279.32</v>
      </c>
      <c r="K10111" s="411">
        <v>1.6621775000000001</v>
      </c>
    </row>
    <row r="10112" spans="1:11" ht="15" x14ac:dyDescent="0.3">
      <c r="A10112" s="400" t="s">
        <v>1038</v>
      </c>
      <c r="B10112" s="401" t="s">
        <v>1304</v>
      </c>
      <c r="C10112" s="400" t="s">
        <v>395</v>
      </c>
      <c r="D10112" s="400" t="s">
        <v>251</v>
      </c>
      <c r="E10112" s="605" t="s">
        <v>1039</v>
      </c>
      <c r="F10112" s="605"/>
      <c r="G10112" s="402" t="s">
        <v>3</v>
      </c>
      <c r="H10112" s="403">
        <v>88</v>
      </c>
      <c r="I10112" s="403">
        <v>0</v>
      </c>
      <c r="J10112" s="404">
        <v>0.72</v>
      </c>
      <c r="K10112" s="404">
        <v>63.36</v>
      </c>
    </row>
    <row r="10113" spans="1:11" ht="26.4" x14ac:dyDescent="0.3">
      <c r="A10113" s="400" t="s">
        <v>1038</v>
      </c>
      <c r="B10113" s="401" t="s">
        <v>3275</v>
      </c>
      <c r="C10113" s="400" t="s">
        <v>395</v>
      </c>
      <c r="D10113" s="400" t="s">
        <v>3276</v>
      </c>
      <c r="E10113" s="605" t="s">
        <v>1039</v>
      </c>
      <c r="F10113" s="605"/>
      <c r="G10113" s="402" t="s">
        <v>713</v>
      </c>
      <c r="H10113" s="403">
        <v>7.3330000000000006E-2</v>
      </c>
      <c r="I10113" s="403">
        <v>0</v>
      </c>
      <c r="J10113" s="404">
        <v>138.44999999999999</v>
      </c>
      <c r="K10113" s="404">
        <v>10.1525385</v>
      </c>
    </row>
    <row r="10114" spans="1:11" ht="26.4" x14ac:dyDescent="0.3">
      <c r="A10114" s="400" t="s">
        <v>1038</v>
      </c>
      <c r="B10114" s="401" t="s">
        <v>2283</v>
      </c>
      <c r="C10114" s="400" t="s">
        <v>395</v>
      </c>
      <c r="D10114" s="400" t="s">
        <v>270</v>
      </c>
      <c r="E10114" s="605" t="s">
        <v>1039</v>
      </c>
      <c r="F10114" s="605"/>
      <c r="G10114" s="402" t="s">
        <v>713</v>
      </c>
      <c r="H10114" s="403">
        <v>0.69667000000000001</v>
      </c>
      <c r="I10114" s="403">
        <v>0</v>
      </c>
      <c r="J10114" s="404">
        <v>159</v>
      </c>
      <c r="K10114" s="404">
        <v>110.77052999999999</v>
      </c>
    </row>
    <row r="10115" spans="1:11" ht="26.4" x14ac:dyDescent="0.3">
      <c r="A10115" s="400" t="s">
        <v>1038</v>
      </c>
      <c r="B10115" s="401" t="s">
        <v>1481</v>
      </c>
      <c r="C10115" s="400" t="s">
        <v>395</v>
      </c>
      <c r="D10115" s="400" t="s">
        <v>271</v>
      </c>
      <c r="E10115" s="605" t="s">
        <v>1039</v>
      </c>
      <c r="F10115" s="605"/>
      <c r="G10115" s="402" t="s">
        <v>713</v>
      </c>
      <c r="H10115" s="403">
        <v>0.14666999999999999</v>
      </c>
      <c r="I10115" s="403">
        <v>0</v>
      </c>
      <c r="J10115" s="404">
        <v>137.72</v>
      </c>
      <c r="K10115" s="404">
        <v>20.199392400000001</v>
      </c>
    </row>
    <row r="10116" spans="1:11" ht="15" x14ac:dyDescent="0.3">
      <c r="A10116" s="400" t="s">
        <v>1038</v>
      </c>
      <c r="B10116" s="401" t="s">
        <v>4480</v>
      </c>
      <c r="C10116" s="400" t="s">
        <v>395</v>
      </c>
      <c r="D10116" s="400" t="s">
        <v>4481</v>
      </c>
      <c r="E10116" s="605" t="s">
        <v>1039</v>
      </c>
      <c r="F10116" s="605"/>
      <c r="G10116" s="402" t="s">
        <v>713</v>
      </c>
      <c r="H10116" s="403">
        <v>0.49132999999999999</v>
      </c>
      <c r="I10116" s="403">
        <v>0</v>
      </c>
      <c r="J10116" s="404">
        <v>130.09</v>
      </c>
      <c r="K10116" s="404">
        <v>63.917119700000001</v>
      </c>
    </row>
    <row r="10117" spans="1:11" ht="15" x14ac:dyDescent="0.3">
      <c r="A10117" s="405"/>
      <c r="B10117" s="405"/>
      <c r="C10117" s="405"/>
      <c r="D10117" s="405"/>
      <c r="E10117" s="405" t="s">
        <v>1046</v>
      </c>
      <c r="F10117" s="406">
        <v>3.42</v>
      </c>
      <c r="G10117" s="405" t="s">
        <v>1047</v>
      </c>
      <c r="H10117" s="406">
        <v>0</v>
      </c>
      <c r="I10117" s="405" t="s">
        <v>1048</v>
      </c>
      <c r="J10117" s="406">
        <v>3.42</v>
      </c>
      <c r="K10117"/>
    </row>
    <row r="10118" spans="1:11" ht="15.6" thickBot="1" x14ac:dyDescent="0.35">
      <c r="A10118" s="405"/>
      <c r="B10118" s="405"/>
      <c r="C10118" s="405"/>
      <c r="D10118" s="405"/>
      <c r="E10118" s="405" t="s">
        <v>1049</v>
      </c>
      <c r="F10118" s="406">
        <v>0</v>
      </c>
      <c r="G10118" s="405"/>
      <c r="H10118" s="606"/>
      <c r="I10118" s="606" t="s">
        <v>1050</v>
      </c>
      <c r="J10118" s="406">
        <v>279.64999999999998</v>
      </c>
      <c r="K10118"/>
    </row>
    <row r="10119" spans="1:11" ht="15.6" thickTop="1" x14ac:dyDescent="0.3">
      <c r="A10119" s="407"/>
      <c r="B10119" s="407"/>
      <c r="C10119" s="407"/>
      <c r="D10119" s="407"/>
      <c r="E10119" s="407"/>
      <c r="F10119" s="407"/>
      <c r="G10119" s="407"/>
      <c r="H10119" s="407"/>
      <c r="I10119" s="407"/>
      <c r="J10119" s="407"/>
      <c r="K10119"/>
    </row>
    <row r="10120" spans="1:11" ht="15" x14ac:dyDescent="0.3">
      <c r="A10120" s="382"/>
      <c r="B10120" s="312" t="s">
        <v>413</v>
      </c>
      <c r="C10120" s="382" t="s">
        <v>414</v>
      </c>
      <c r="D10120" s="382" t="s">
        <v>415</v>
      </c>
      <c r="E10120" s="586" t="s">
        <v>1029</v>
      </c>
      <c r="F10120" s="586"/>
      <c r="G10120" s="383" t="s">
        <v>416</v>
      </c>
      <c r="H10120" s="312" t="s">
        <v>1030</v>
      </c>
      <c r="I10120" s="312" t="s">
        <v>3016</v>
      </c>
      <c r="J10120" s="312" t="s">
        <v>1031</v>
      </c>
      <c r="K10120" s="312" t="s">
        <v>1032</v>
      </c>
    </row>
    <row r="10121" spans="1:11" ht="26.4" x14ac:dyDescent="0.3">
      <c r="A10121" s="313" t="s">
        <v>1033</v>
      </c>
      <c r="B10121" s="315" t="s">
        <v>5238</v>
      </c>
      <c r="C10121" s="313" t="s">
        <v>395</v>
      </c>
      <c r="D10121" s="313" t="s">
        <v>5239</v>
      </c>
      <c r="E10121" s="603" t="s">
        <v>7772</v>
      </c>
      <c r="F10121" s="603"/>
      <c r="G10121" s="314" t="s">
        <v>19</v>
      </c>
      <c r="H10121" s="399">
        <v>1</v>
      </c>
      <c r="I10121" s="316"/>
      <c r="J10121" s="316">
        <v>0.53</v>
      </c>
      <c r="K10121" s="316">
        <v>0.53</v>
      </c>
    </row>
    <row r="10122" spans="1:11" ht="26.4" x14ac:dyDescent="0.3">
      <c r="A10122" s="408" t="s">
        <v>1034</v>
      </c>
      <c r="B10122" s="409" t="s">
        <v>8358</v>
      </c>
      <c r="C10122" s="408" t="s">
        <v>395</v>
      </c>
      <c r="D10122" s="408" t="s">
        <v>8359</v>
      </c>
      <c r="E10122" s="604" t="s">
        <v>7946</v>
      </c>
      <c r="F10122" s="604"/>
      <c r="G10122" s="410" t="s">
        <v>6</v>
      </c>
      <c r="H10122" s="412">
        <v>1</v>
      </c>
      <c r="I10122" s="412">
        <v>0</v>
      </c>
      <c r="J10122" s="411">
        <v>0.43</v>
      </c>
      <c r="K10122" s="411">
        <v>0.43</v>
      </c>
    </row>
    <row r="10123" spans="1:11" ht="26.4" x14ac:dyDescent="0.3">
      <c r="A10123" s="408" t="s">
        <v>1034</v>
      </c>
      <c r="B10123" s="409" t="s">
        <v>8360</v>
      </c>
      <c r="C10123" s="408" t="s">
        <v>395</v>
      </c>
      <c r="D10123" s="408" t="s">
        <v>8361</v>
      </c>
      <c r="E10123" s="604" t="s">
        <v>7946</v>
      </c>
      <c r="F10123" s="604"/>
      <c r="G10123" s="410" t="s">
        <v>6</v>
      </c>
      <c r="H10123" s="412">
        <v>1</v>
      </c>
      <c r="I10123" s="412">
        <v>0</v>
      </c>
      <c r="J10123" s="411">
        <v>0.1</v>
      </c>
      <c r="K10123" s="411">
        <v>0.1</v>
      </c>
    </row>
    <row r="10124" spans="1:11" ht="15" x14ac:dyDescent="0.3">
      <c r="A10124" s="405"/>
      <c r="B10124" s="405"/>
      <c r="C10124" s="405"/>
      <c r="D10124" s="405"/>
      <c r="E10124" s="405" t="s">
        <v>1046</v>
      </c>
      <c r="F10124" s="406">
        <v>0</v>
      </c>
      <c r="G10124" s="405" t="s">
        <v>1047</v>
      </c>
      <c r="H10124" s="406">
        <v>0</v>
      </c>
      <c r="I10124" s="405" t="s">
        <v>1048</v>
      </c>
      <c r="J10124" s="406">
        <v>0</v>
      </c>
      <c r="K10124"/>
    </row>
    <row r="10125" spans="1:11" ht="15.6" thickBot="1" x14ac:dyDescent="0.35">
      <c r="A10125" s="405"/>
      <c r="B10125" s="405"/>
      <c r="C10125" s="405"/>
      <c r="D10125" s="405"/>
      <c r="E10125" s="405" t="s">
        <v>1049</v>
      </c>
      <c r="F10125" s="406">
        <v>0</v>
      </c>
      <c r="G10125" s="405"/>
      <c r="H10125" s="606"/>
      <c r="I10125" s="606" t="s">
        <v>1050</v>
      </c>
      <c r="J10125" s="406">
        <v>0.53</v>
      </c>
      <c r="K10125"/>
    </row>
    <row r="10126" spans="1:11" ht="15.6" thickTop="1" x14ac:dyDescent="0.3">
      <c r="A10126" s="407"/>
      <c r="B10126" s="407"/>
      <c r="C10126" s="407"/>
      <c r="D10126" s="407"/>
      <c r="E10126" s="407"/>
      <c r="F10126" s="407"/>
      <c r="G10126" s="407"/>
      <c r="H10126" s="407"/>
      <c r="I10126" s="407"/>
      <c r="J10126" s="407"/>
      <c r="K10126"/>
    </row>
    <row r="10127" spans="1:11" ht="15" x14ac:dyDescent="0.3">
      <c r="A10127" s="382"/>
      <c r="B10127" s="312" t="s">
        <v>413</v>
      </c>
      <c r="C10127" s="382" t="s">
        <v>414</v>
      </c>
      <c r="D10127" s="382" t="s">
        <v>415</v>
      </c>
      <c r="E10127" s="586" t="s">
        <v>1029</v>
      </c>
      <c r="F10127" s="586"/>
      <c r="G10127" s="383" t="s">
        <v>416</v>
      </c>
      <c r="H10127" s="312" t="s">
        <v>1030</v>
      </c>
      <c r="I10127" s="312" t="s">
        <v>3016</v>
      </c>
      <c r="J10127" s="312" t="s">
        <v>1031</v>
      </c>
      <c r="K10127" s="312" t="s">
        <v>1032</v>
      </c>
    </row>
    <row r="10128" spans="1:11" ht="26.4" x14ac:dyDescent="0.3">
      <c r="A10128" s="313" t="s">
        <v>1033</v>
      </c>
      <c r="B10128" s="315" t="s">
        <v>1299</v>
      </c>
      <c r="C10128" s="313" t="s">
        <v>395</v>
      </c>
      <c r="D10128" s="313" t="s">
        <v>16</v>
      </c>
      <c r="E10128" s="603" t="s">
        <v>7772</v>
      </c>
      <c r="F10128" s="603"/>
      <c r="G10128" s="314" t="s">
        <v>15</v>
      </c>
      <c r="H10128" s="399">
        <v>1</v>
      </c>
      <c r="I10128" s="316"/>
      <c r="J10128" s="316">
        <v>1.54</v>
      </c>
      <c r="K10128" s="316">
        <v>1.54</v>
      </c>
    </row>
    <row r="10129" spans="1:11" ht="26.4" x14ac:dyDescent="0.3">
      <c r="A10129" s="408" t="s">
        <v>1034</v>
      </c>
      <c r="B10129" s="409" t="s">
        <v>8358</v>
      </c>
      <c r="C10129" s="408" t="s">
        <v>395</v>
      </c>
      <c r="D10129" s="408" t="s">
        <v>8359</v>
      </c>
      <c r="E10129" s="604" t="s">
        <v>7946</v>
      </c>
      <c r="F10129" s="604"/>
      <c r="G10129" s="410" t="s">
        <v>6</v>
      </c>
      <c r="H10129" s="412">
        <v>1</v>
      </c>
      <c r="I10129" s="412">
        <v>0</v>
      </c>
      <c r="J10129" s="411">
        <v>0.43</v>
      </c>
      <c r="K10129" s="411">
        <v>0.43</v>
      </c>
    </row>
    <row r="10130" spans="1:11" ht="26.4" x14ac:dyDescent="0.3">
      <c r="A10130" s="408" t="s">
        <v>1034</v>
      </c>
      <c r="B10130" s="409" t="s">
        <v>8360</v>
      </c>
      <c r="C10130" s="408" t="s">
        <v>395</v>
      </c>
      <c r="D10130" s="408" t="s">
        <v>8361</v>
      </c>
      <c r="E10130" s="604" t="s">
        <v>7946</v>
      </c>
      <c r="F10130" s="604"/>
      <c r="G10130" s="410" t="s">
        <v>6</v>
      </c>
      <c r="H10130" s="412">
        <v>1</v>
      </c>
      <c r="I10130" s="412">
        <v>0</v>
      </c>
      <c r="J10130" s="411">
        <v>0.1</v>
      </c>
      <c r="K10130" s="411">
        <v>0.1</v>
      </c>
    </row>
    <row r="10131" spans="1:11" ht="26.4" x14ac:dyDescent="0.3">
      <c r="A10131" s="408" t="s">
        <v>1034</v>
      </c>
      <c r="B10131" s="409" t="s">
        <v>8362</v>
      </c>
      <c r="C10131" s="408" t="s">
        <v>395</v>
      </c>
      <c r="D10131" s="408" t="s">
        <v>8363</v>
      </c>
      <c r="E10131" s="604" t="s">
        <v>7946</v>
      </c>
      <c r="F10131" s="604"/>
      <c r="G10131" s="410" t="s">
        <v>6</v>
      </c>
      <c r="H10131" s="412">
        <v>1</v>
      </c>
      <c r="I10131" s="412">
        <v>0</v>
      </c>
      <c r="J10131" s="411">
        <v>0.34</v>
      </c>
      <c r="K10131" s="411">
        <v>0.34</v>
      </c>
    </row>
    <row r="10132" spans="1:11" ht="39.6" x14ac:dyDescent="0.3">
      <c r="A10132" s="408" t="s">
        <v>1034</v>
      </c>
      <c r="B10132" s="409" t="s">
        <v>8364</v>
      </c>
      <c r="C10132" s="408" t="s">
        <v>395</v>
      </c>
      <c r="D10132" s="408" t="s">
        <v>8365</v>
      </c>
      <c r="E10132" s="604" t="s">
        <v>7946</v>
      </c>
      <c r="F10132" s="604"/>
      <c r="G10132" s="410" t="s">
        <v>6</v>
      </c>
      <c r="H10132" s="412">
        <v>1</v>
      </c>
      <c r="I10132" s="412">
        <v>0</v>
      </c>
      <c r="J10132" s="411">
        <v>0.67</v>
      </c>
      <c r="K10132" s="411">
        <v>0.67</v>
      </c>
    </row>
    <row r="10133" spans="1:11" ht="15" x14ac:dyDescent="0.3">
      <c r="A10133" s="405"/>
      <c r="B10133" s="405"/>
      <c r="C10133" s="405"/>
      <c r="D10133" s="405"/>
      <c r="E10133" s="405" t="s">
        <v>1046</v>
      </c>
      <c r="F10133" s="406">
        <v>0</v>
      </c>
      <c r="G10133" s="405" t="s">
        <v>1047</v>
      </c>
      <c r="H10133" s="406">
        <v>0</v>
      </c>
      <c r="I10133" s="405" t="s">
        <v>1048</v>
      </c>
      <c r="J10133" s="406">
        <v>0</v>
      </c>
      <c r="K10133"/>
    </row>
    <row r="10134" spans="1:11" ht="15.6" thickBot="1" x14ac:dyDescent="0.35">
      <c r="A10134" s="405"/>
      <c r="B10134" s="405"/>
      <c r="C10134" s="405"/>
      <c r="D10134" s="405"/>
      <c r="E10134" s="405" t="s">
        <v>1049</v>
      </c>
      <c r="F10134" s="406">
        <v>0</v>
      </c>
      <c r="G10134" s="405"/>
      <c r="H10134" s="606"/>
      <c r="I10134" s="606" t="s">
        <v>1050</v>
      </c>
      <c r="J10134" s="406">
        <v>1.54</v>
      </c>
      <c r="K10134"/>
    </row>
    <row r="10135" spans="1:11" ht="15.6" thickTop="1" x14ac:dyDescent="0.3">
      <c r="A10135" s="407"/>
      <c r="B10135" s="407"/>
      <c r="C10135" s="407"/>
      <c r="D10135" s="407"/>
      <c r="E10135" s="407"/>
      <c r="F10135" s="407"/>
      <c r="G10135" s="407"/>
      <c r="H10135" s="407"/>
      <c r="I10135" s="407"/>
      <c r="J10135" s="407"/>
      <c r="K10135"/>
    </row>
    <row r="10136" spans="1:11" ht="15" x14ac:dyDescent="0.3">
      <c r="A10136" s="382"/>
      <c r="B10136" s="312" t="s">
        <v>413</v>
      </c>
      <c r="C10136" s="382" t="s">
        <v>414</v>
      </c>
      <c r="D10136" s="382" t="s">
        <v>415</v>
      </c>
      <c r="E10136" s="586" t="s">
        <v>1029</v>
      </c>
      <c r="F10136" s="586"/>
      <c r="G10136" s="383" t="s">
        <v>416</v>
      </c>
      <c r="H10136" s="312" t="s">
        <v>1030</v>
      </c>
      <c r="I10136" s="312" t="s">
        <v>3016</v>
      </c>
      <c r="J10136" s="312" t="s">
        <v>1031</v>
      </c>
      <c r="K10136" s="312" t="s">
        <v>1032</v>
      </c>
    </row>
    <row r="10137" spans="1:11" ht="26.4" x14ac:dyDescent="0.3">
      <c r="A10137" s="313" t="s">
        <v>1033</v>
      </c>
      <c r="B10137" s="315" t="s">
        <v>8358</v>
      </c>
      <c r="C10137" s="313" t="s">
        <v>395</v>
      </c>
      <c r="D10137" s="313" t="s">
        <v>8359</v>
      </c>
      <c r="E10137" s="603" t="s">
        <v>7946</v>
      </c>
      <c r="F10137" s="603"/>
      <c r="G10137" s="314" t="s">
        <v>6</v>
      </c>
      <c r="H10137" s="399">
        <v>1</v>
      </c>
      <c r="I10137" s="316"/>
      <c r="J10137" s="316">
        <v>0.43</v>
      </c>
      <c r="K10137" s="316">
        <v>0.43</v>
      </c>
    </row>
    <row r="10138" spans="1:11" ht="26.4" x14ac:dyDescent="0.3">
      <c r="A10138" s="400" t="s">
        <v>1038</v>
      </c>
      <c r="B10138" s="401" t="s">
        <v>5063</v>
      </c>
      <c r="C10138" s="400" t="s">
        <v>395</v>
      </c>
      <c r="D10138" s="400" t="s">
        <v>5064</v>
      </c>
      <c r="E10138" s="605" t="s">
        <v>1317</v>
      </c>
      <c r="F10138" s="605"/>
      <c r="G10138" s="402" t="s">
        <v>4</v>
      </c>
      <c r="H10138" s="403">
        <v>1.2799999999999999E-4</v>
      </c>
      <c r="I10138" s="403">
        <v>0</v>
      </c>
      <c r="J10138" s="404">
        <v>3390.99</v>
      </c>
      <c r="K10138" s="404">
        <v>0.43404670000000001</v>
      </c>
    </row>
    <row r="10139" spans="1:11" ht="15" x14ac:dyDescent="0.3">
      <c r="A10139" s="405"/>
      <c r="B10139" s="405"/>
      <c r="C10139" s="405"/>
      <c r="D10139" s="405"/>
      <c r="E10139" s="405" t="s">
        <v>1046</v>
      </c>
      <c r="F10139" s="406">
        <v>0</v>
      </c>
      <c r="G10139" s="405" t="s">
        <v>1047</v>
      </c>
      <c r="H10139" s="406">
        <v>0</v>
      </c>
      <c r="I10139" s="405" t="s">
        <v>1048</v>
      </c>
      <c r="J10139" s="406">
        <v>0</v>
      </c>
      <c r="K10139"/>
    </row>
    <row r="10140" spans="1:11" ht="15.6" thickBot="1" x14ac:dyDescent="0.35">
      <c r="A10140" s="405"/>
      <c r="B10140" s="405"/>
      <c r="C10140" s="405"/>
      <c r="D10140" s="405"/>
      <c r="E10140" s="405" t="s">
        <v>1049</v>
      </c>
      <c r="F10140" s="406">
        <v>0</v>
      </c>
      <c r="G10140" s="405"/>
      <c r="H10140" s="606"/>
      <c r="I10140" s="606" t="s">
        <v>1050</v>
      </c>
      <c r="J10140" s="406">
        <v>0.43</v>
      </c>
      <c r="K10140"/>
    </row>
    <row r="10141" spans="1:11" ht="15.6" thickTop="1" x14ac:dyDescent="0.3">
      <c r="A10141" s="407"/>
      <c r="B10141" s="407"/>
      <c r="C10141" s="407"/>
      <c r="D10141" s="407"/>
      <c r="E10141" s="407"/>
      <c r="F10141" s="407"/>
      <c r="G10141" s="407"/>
      <c r="H10141" s="407"/>
      <c r="I10141" s="407"/>
      <c r="J10141" s="407"/>
      <c r="K10141"/>
    </row>
    <row r="10142" spans="1:11" ht="15" x14ac:dyDescent="0.3">
      <c r="A10142" s="382"/>
      <c r="B10142" s="312" t="s">
        <v>413</v>
      </c>
      <c r="C10142" s="382" t="s">
        <v>414</v>
      </c>
      <c r="D10142" s="382" t="s">
        <v>415</v>
      </c>
      <c r="E10142" s="586" t="s">
        <v>1029</v>
      </c>
      <c r="F10142" s="586"/>
      <c r="G10142" s="383" t="s">
        <v>416</v>
      </c>
      <c r="H10142" s="312" t="s">
        <v>1030</v>
      </c>
      <c r="I10142" s="312" t="s">
        <v>3016</v>
      </c>
      <c r="J10142" s="312" t="s">
        <v>1031</v>
      </c>
      <c r="K10142" s="312" t="s">
        <v>1032</v>
      </c>
    </row>
    <row r="10143" spans="1:11" ht="26.4" x14ac:dyDescent="0.3">
      <c r="A10143" s="313" t="s">
        <v>1033</v>
      </c>
      <c r="B10143" s="315" t="s">
        <v>8360</v>
      </c>
      <c r="C10143" s="313" t="s">
        <v>395</v>
      </c>
      <c r="D10143" s="313" t="s">
        <v>8361</v>
      </c>
      <c r="E10143" s="603" t="s">
        <v>7946</v>
      </c>
      <c r="F10143" s="603"/>
      <c r="G10143" s="314" t="s">
        <v>6</v>
      </c>
      <c r="H10143" s="399">
        <v>1</v>
      </c>
      <c r="I10143" s="316"/>
      <c r="J10143" s="316">
        <v>0.1</v>
      </c>
      <c r="K10143" s="316">
        <v>0.1</v>
      </c>
    </row>
    <row r="10144" spans="1:11" ht="26.4" x14ac:dyDescent="0.3">
      <c r="A10144" s="400" t="s">
        <v>1038</v>
      </c>
      <c r="B10144" s="401" t="s">
        <v>5063</v>
      </c>
      <c r="C10144" s="400" t="s">
        <v>395</v>
      </c>
      <c r="D10144" s="400" t="s">
        <v>5064</v>
      </c>
      <c r="E10144" s="605" t="s">
        <v>1317</v>
      </c>
      <c r="F10144" s="605"/>
      <c r="G10144" s="402" t="s">
        <v>4</v>
      </c>
      <c r="H10144" s="403">
        <v>2.9600000000000001E-5</v>
      </c>
      <c r="I10144" s="403">
        <v>0</v>
      </c>
      <c r="J10144" s="404">
        <v>3390.99</v>
      </c>
      <c r="K10144" s="404">
        <v>0.1003733</v>
      </c>
    </row>
    <row r="10145" spans="1:11" ht="15" x14ac:dyDescent="0.3">
      <c r="A10145" s="405"/>
      <c r="B10145" s="405"/>
      <c r="C10145" s="405"/>
      <c r="D10145" s="405"/>
      <c r="E10145" s="405" t="s">
        <v>1046</v>
      </c>
      <c r="F10145" s="406">
        <v>0</v>
      </c>
      <c r="G10145" s="405" t="s">
        <v>1047</v>
      </c>
      <c r="H10145" s="406">
        <v>0</v>
      </c>
      <c r="I10145" s="405" t="s">
        <v>1048</v>
      </c>
      <c r="J10145" s="406">
        <v>0</v>
      </c>
      <c r="K10145"/>
    </row>
    <row r="10146" spans="1:11" ht="15.6" thickBot="1" x14ac:dyDescent="0.35">
      <c r="A10146" s="405"/>
      <c r="B10146" s="405"/>
      <c r="C10146" s="405"/>
      <c r="D10146" s="405"/>
      <c r="E10146" s="405" t="s">
        <v>1049</v>
      </c>
      <c r="F10146" s="406">
        <v>0</v>
      </c>
      <c r="G10146" s="405"/>
      <c r="H10146" s="606"/>
      <c r="I10146" s="606" t="s">
        <v>1050</v>
      </c>
      <c r="J10146" s="406">
        <v>0.1</v>
      </c>
      <c r="K10146"/>
    </row>
    <row r="10147" spans="1:11" ht="15.6" thickTop="1" x14ac:dyDescent="0.3">
      <c r="A10147" s="407"/>
      <c r="B10147" s="407"/>
      <c r="C10147" s="407"/>
      <c r="D10147" s="407"/>
      <c r="E10147" s="407"/>
      <c r="F10147" s="407"/>
      <c r="G10147" s="407"/>
      <c r="H10147" s="407"/>
      <c r="I10147" s="407"/>
      <c r="J10147" s="407"/>
      <c r="K10147"/>
    </row>
    <row r="10148" spans="1:11" ht="15" x14ac:dyDescent="0.3">
      <c r="A10148" s="382"/>
      <c r="B10148" s="312" t="s">
        <v>413</v>
      </c>
      <c r="C10148" s="382" t="s">
        <v>414</v>
      </c>
      <c r="D10148" s="382" t="s">
        <v>415</v>
      </c>
      <c r="E10148" s="586" t="s">
        <v>1029</v>
      </c>
      <c r="F10148" s="586"/>
      <c r="G10148" s="383" t="s">
        <v>416</v>
      </c>
      <c r="H10148" s="312" t="s">
        <v>1030</v>
      </c>
      <c r="I10148" s="312" t="s">
        <v>3016</v>
      </c>
      <c r="J10148" s="312" t="s">
        <v>1031</v>
      </c>
      <c r="K10148" s="312" t="s">
        <v>1032</v>
      </c>
    </row>
    <row r="10149" spans="1:11" ht="26.4" x14ac:dyDescent="0.3">
      <c r="A10149" s="313" t="s">
        <v>1033</v>
      </c>
      <c r="B10149" s="315" t="s">
        <v>8362</v>
      </c>
      <c r="C10149" s="313" t="s">
        <v>395</v>
      </c>
      <c r="D10149" s="313" t="s">
        <v>8363</v>
      </c>
      <c r="E10149" s="603" t="s">
        <v>7946</v>
      </c>
      <c r="F10149" s="603"/>
      <c r="G10149" s="314" t="s">
        <v>6</v>
      </c>
      <c r="H10149" s="399">
        <v>1</v>
      </c>
      <c r="I10149" s="316"/>
      <c r="J10149" s="316">
        <v>0.34</v>
      </c>
      <c r="K10149" s="316">
        <v>0.34</v>
      </c>
    </row>
    <row r="10150" spans="1:11" ht="26.4" x14ac:dyDescent="0.3">
      <c r="A10150" s="400" t="s">
        <v>1038</v>
      </c>
      <c r="B10150" s="401" t="s">
        <v>5063</v>
      </c>
      <c r="C10150" s="400" t="s">
        <v>395</v>
      </c>
      <c r="D10150" s="400" t="s">
        <v>5064</v>
      </c>
      <c r="E10150" s="605" t="s">
        <v>1317</v>
      </c>
      <c r="F10150" s="605"/>
      <c r="G10150" s="402" t="s">
        <v>4</v>
      </c>
      <c r="H10150" s="403">
        <v>1E-4</v>
      </c>
      <c r="I10150" s="403">
        <v>0</v>
      </c>
      <c r="J10150" s="404">
        <v>3390.99</v>
      </c>
      <c r="K10150" s="404">
        <v>0.33909899999999998</v>
      </c>
    </row>
    <row r="10151" spans="1:11" ht="15" x14ac:dyDescent="0.3">
      <c r="A10151" s="405"/>
      <c r="B10151" s="405"/>
      <c r="C10151" s="405"/>
      <c r="D10151" s="405"/>
      <c r="E10151" s="405" t="s">
        <v>1046</v>
      </c>
      <c r="F10151" s="406">
        <v>0</v>
      </c>
      <c r="G10151" s="405" t="s">
        <v>1047</v>
      </c>
      <c r="H10151" s="406">
        <v>0</v>
      </c>
      <c r="I10151" s="405" t="s">
        <v>1048</v>
      </c>
      <c r="J10151" s="406">
        <v>0</v>
      </c>
      <c r="K10151"/>
    </row>
    <row r="10152" spans="1:11" ht="15.6" thickBot="1" x14ac:dyDescent="0.35">
      <c r="A10152" s="405"/>
      <c r="B10152" s="405"/>
      <c r="C10152" s="405"/>
      <c r="D10152" s="405"/>
      <c r="E10152" s="405" t="s">
        <v>1049</v>
      </c>
      <c r="F10152" s="406">
        <v>0</v>
      </c>
      <c r="G10152" s="405"/>
      <c r="H10152" s="606"/>
      <c r="I10152" s="606" t="s">
        <v>1050</v>
      </c>
      <c r="J10152" s="406">
        <v>0.34</v>
      </c>
      <c r="K10152"/>
    </row>
    <row r="10153" spans="1:11" ht="15.6" thickTop="1" x14ac:dyDescent="0.3">
      <c r="A10153" s="407"/>
      <c r="B10153" s="407"/>
      <c r="C10153" s="407"/>
      <c r="D10153" s="407"/>
      <c r="E10153" s="407"/>
      <c r="F10153" s="407"/>
      <c r="G10153" s="407"/>
      <c r="H10153" s="407"/>
      <c r="I10153" s="407"/>
      <c r="J10153" s="407"/>
      <c r="K10153"/>
    </row>
    <row r="10154" spans="1:11" ht="15" x14ac:dyDescent="0.3">
      <c r="A10154" s="382"/>
      <c r="B10154" s="312" t="s">
        <v>413</v>
      </c>
      <c r="C10154" s="382" t="s">
        <v>414</v>
      </c>
      <c r="D10154" s="382" t="s">
        <v>415</v>
      </c>
      <c r="E10154" s="586" t="s">
        <v>1029</v>
      </c>
      <c r="F10154" s="586"/>
      <c r="G10154" s="383" t="s">
        <v>416</v>
      </c>
      <c r="H10154" s="312" t="s">
        <v>1030</v>
      </c>
      <c r="I10154" s="312" t="s">
        <v>3016</v>
      </c>
      <c r="J10154" s="312" t="s">
        <v>1031</v>
      </c>
      <c r="K10154" s="312" t="s">
        <v>1032</v>
      </c>
    </row>
    <row r="10155" spans="1:11" ht="39.6" x14ac:dyDescent="0.3">
      <c r="A10155" s="313" t="s">
        <v>1033</v>
      </c>
      <c r="B10155" s="315" t="s">
        <v>8364</v>
      </c>
      <c r="C10155" s="313" t="s">
        <v>395</v>
      </c>
      <c r="D10155" s="313" t="s">
        <v>8365</v>
      </c>
      <c r="E10155" s="603" t="s">
        <v>7946</v>
      </c>
      <c r="F10155" s="603"/>
      <c r="G10155" s="314" t="s">
        <v>6</v>
      </c>
      <c r="H10155" s="399">
        <v>1</v>
      </c>
      <c r="I10155" s="316"/>
      <c r="J10155" s="316">
        <v>0.67</v>
      </c>
      <c r="K10155" s="316">
        <v>0.67</v>
      </c>
    </row>
    <row r="10156" spans="1:11" ht="15" x14ac:dyDescent="0.3">
      <c r="A10156" s="400" t="s">
        <v>1038</v>
      </c>
      <c r="B10156" s="401" t="s">
        <v>4620</v>
      </c>
      <c r="C10156" s="400" t="s">
        <v>395</v>
      </c>
      <c r="D10156" s="400" t="s">
        <v>4621</v>
      </c>
      <c r="E10156" s="605" t="s">
        <v>1039</v>
      </c>
      <c r="F10156" s="605"/>
      <c r="G10156" s="402" t="s">
        <v>4622</v>
      </c>
      <c r="H10156" s="403">
        <v>0.52</v>
      </c>
      <c r="I10156" s="403">
        <v>0</v>
      </c>
      <c r="J10156" s="404">
        <v>1.28</v>
      </c>
      <c r="K10156" s="404">
        <v>0.66559999999999997</v>
      </c>
    </row>
    <row r="10157" spans="1:11" ht="15" x14ac:dyDescent="0.3">
      <c r="A10157" s="405"/>
      <c r="B10157" s="405"/>
      <c r="C10157" s="405"/>
      <c r="D10157" s="405"/>
      <c r="E10157" s="405" t="s">
        <v>1046</v>
      </c>
      <c r="F10157" s="406">
        <v>0</v>
      </c>
      <c r="G10157" s="405" t="s">
        <v>1047</v>
      </c>
      <c r="H10157" s="406">
        <v>0</v>
      </c>
      <c r="I10157" s="405" t="s">
        <v>1048</v>
      </c>
      <c r="J10157" s="406">
        <v>0</v>
      </c>
      <c r="K10157"/>
    </row>
    <row r="10158" spans="1:11" ht="15.6" thickBot="1" x14ac:dyDescent="0.35">
      <c r="A10158" s="405"/>
      <c r="B10158" s="405"/>
      <c r="C10158" s="405"/>
      <c r="D10158" s="405"/>
      <c r="E10158" s="405" t="s">
        <v>1049</v>
      </c>
      <c r="F10158" s="406">
        <v>0</v>
      </c>
      <c r="G10158" s="405"/>
      <c r="H10158" s="606"/>
      <c r="I10158" s="606" t="s">
        <v>1050</v>
      </c>
      <c r="J10158" s="406">
        <v>0.67</v>
      </c>
      <c r="K10158"/>
    </row>
    <row r="10159" spans="1:11" ht="15.6" thickTop="1" x14ac:dyDescent="0.3">
      <c r="A10159" s="407"/>
      <c r="B10159" s="407"/>
      <c r="C10159" s="407"/>
      <c r="D10159" s="407"/>
      <c r="E10159" s="407"/>
      <c r="F10159" s="407"/>
      <c r="G10159" s="407"/>
      <c r="H10159" s="407"/>
      <c r="I10159" s="407"/>
      <c r="J10159" s="407"/>
      <c r="K10159"/>
    </row>
    <row r="10160" spans="1:11" ht="15" x14ac:dyDescent="0.3">
      <c r="A10160" s="382"/>
      <c r="B10160" s="312" t="s">
        <v>413</v>
      </c>
      <c r="C10160" s="382" t="s">
        <v>414</v>
      </c>
      <c r="D10160" s="382" t="s">
        <v>415</v>
      </c>
      <c r="E10160" s="586" t="s">
        <v>1029</v>
      </c>
      <c r="F10160" s="586"/>
      <c r="G10160" s="383" t="s">
        <v>416</v>
      </c>
      <c r="H10160" s="312" t="s">
        <v>1030</v>
      </c>
      <c r="I10160" s="312" t="s">
        <v>3016</v>
      </c>
      <c r="J10160" s="312" t="s">
        <v>1031</v>
      </c>
      <c r="K10160" s="312" t="s">
        <v>1032</v>
      </c>
    </row>
    <row r="10161" spans="1:11" ht="15" x14ac:dyDescent="0.3">
      <c r="A10161" s="313" t="s">
        <v>1033</v>
      </c>
      <c r="B10161" s="315" t="s">
        <v>1366</v>
      </c>
      <c r="C10161" s="313" t="s">
        <v>395</v>
      </c>
      <c r="D10161" s="313" t="s">
        <v>149</v>
      </c>
      <c r="E10161" s="603" t="s">
        <v>7768</v>
      </c>
      <c r="F10161" s="603"/>
      <c r="G10161" s="314" t="s">
        <v>6</v>
      </c>
      <c r="H10161" s="399">
        <v>1</v>
      </c>
      <c r="I10161" s="316"/>
      <c r="J10161" s="316">
        <v>37.57</v>
      </c>
      <c r="K10161" s="316">
        <v>37.57</v>
      </c>
    </row>
    <row r="10162" spans="1:11" ht="26.4" x14ac:dyDescent="0.3">
      <c r="A10162" s="408" t="s">
        <v>1034</v>
      </c>
      <c r="B10162" s="409" t="s">
        <v>8158</v>
      </c>
      <c r="C10162" s="408" t="s">
        <v>395</v>
      </c>
      <c r="D10162" s="408" t="s">
        <v>8159</v>
      </c>
      <c r="E10162" s="604" t="s">
        <v>7768</v>
      </c>
      <c r="F10162" s="604"/>
      <c r="G10162" s="410" t="s">
        <v>6</v>
      </c>
      <c r="H10162" s="412">
        <v>1</v>
      </c>
      <c r="I10162" s="412">
        <v>0</v>
      </c>
      <c r="J10162" s="411">
        <v>0.4</v>
      </c>
      <c r="K10162" s="411">
        <v>0.4</v>
      </c>
    </row>
    <row r="10163" spans="1:11" ht="15" x14ac:dyDescent="0.3">
      <c r="A10163" s="400" t="s">
        <v>1038</v>
      </c>
      <c r="B10163" s="401" t="s">
        <v>4113</v>
      </c>
      <c r="C10163" s="400" t="s">
        <v>395</v>
      </c>
      <c r="D10163" s="400" t="s">
        <v>4114</v>
      </c>
      <c r="E10163" s="605" t="s">
        <v>1053</v>
      </c>
      <c r="F10163" s="605"/>
      <c r="G10163" s="402" t="s">
        <v>6</v>
      </c>
      <c r="H10163" s="403">
        <v>1</v>
      </c>
      <c r="I10163" s="403">
        <v>0</v>
      </c>
      <c r="J10163" s="404">
        <v>26.96</v>
      </c>
      <c r="K10163" s="404">
        <v>26.96</v>
      </c>
    </row>
    <row r="10164" spans="1:11" ht="15" x14ac:dyDescent="0.3">
      <c r="A10164" s="400" t="s">
        <v>1038</v>
      </c>
      <c r="B10164" s="401" t="s">
        <v>4028</v>
      </c>
      <c r="C10164" s="400" t="s">
        <v>395</v>
      </c>
      <c r="D10164" s="400" t="s">
        <v>4029</v>
      </c>
      <c r="E10164" s="605" t="s">
        <v>4030</v>
      </c>
      <c r="F10164" s="605"/>
      <c r="G10164" s="402" t="s">
        <v>6</v>
      </c>
      <c r="H10164" s="403">
        <v>1</v>
      </c>
      <c r="I10164" s="403">
        <v>0</v>
      </c>
      <c r="J10164" s="404">
        <v>4.78</v>
      </c>
      <c r="K10164" s="404">
        <v>4.78</v>
      </c>
    </row>
    <row r="10165" spans="1:11" ht="15" x14ac:dyDescent="0.3">
      <c r="A10165" s="400" t="s">
        <v>1038</v>
      </c>
      <c r="B10165" s="401" t="s">
        <v>4066</v>
      </c>
      <c r="C10165" s="400" t="s">
        <v>395</v>
      </c>
      <c r="D10165" s="400" t="s">
        <v>4067</v>
      </c>
      <c r="E10165" s="605" t="s">
        <v>2381</v>
      </c>
      <c r="F10165" s="605"/>
      <c r="G10165" s="402" t="s">
        <v>6</v>
      </c>
      <c r="H10165" s="403">
        <v>1</v>
      </c>
      <c r="I10165" s="403">
        <v>0</v>
      </c>
      <c r="J10165" s="404">
        <v>1.72</v>
      </c>
      <c r="K10165" s="404">
        <v>1.72</v>
      </c>
    </row>
    <row r="10166" spans="1:11" ht="15" x14ac:dyDescent="0.3">
      <c r="A10166" s="400" t="s">
        <v>1038</v>
      </c>
      <c r="B10166" s="401" t="s">
        <v>4078</v>
      </c>
      <c r="C10166" s="400" t="s">
        <v>395</v>
      </c>
      <c r="D10166" s="400" t="s">
        <v>4079</v>
      </c>
      <c r="E10166" s="605" t="s">
        <v>4030</v>
      </c>
      <c r="F10166" s="605"/>
      <c r="G10166" s="402" t="s">
        <v>6</v>
      </c>
      <c r="H10166" s="403">
        <v>1</v>
      </c>
      <c r="I10166" s="403">
        <v>0</v>
      </c>
      <c r="J10166" s="404">
        <v>1.25</v>
      </c>
      <c r="K10166" s="404">
        <v>1.25</v>
      </c>
    </row>
    <row r="10167" spans="1:11" ht="15" x14ac:dyDescent="0.3">
      <c r="A10167" s="400" t="s">
        <v>1038</v>
      </c>
      <c r="B10167" s="401" t="s">
        <v>4274</v>
      </c>
      <c r="C10167" s="400" t="s">
        <v>395</v>
      </c>
      <c r="D10167" s="400" t="s">
        <v>4275</v>
      </c>
      <c r="E10167" s="605" t="s">
        <v>2386</v>
      </c>
      <c r="F10167" s="605"/>
      <c r="G10167" s="402" t="s">
        <v>6</v>
      </c>
      <c r="H10167" s="403">
        <v>1</v>
      </c>
      <c r="I10167" s="403">
        <v>0</v>
      </c>
      <c r="J10167" s="404">
        <v>0.11</v>
      </c>
      <c r="K10167" s="404">
        <v>0.11</v>
      </c>
    </row>
    <row r="10168" spans="1:11" ht="26.4" x14ac:dyDescent="0.3">
      <c r="A10168" s="400" t="s">
        <v>1038</v>
      </c>
      <c r="B10168" s="401" t="s">
        <v>4268</v>
      </c>
      <c r="C10168" s="400" t="s">
        <v>395</v>
      </c>
      <c r="D10168" s="400" t="s">
        <v>4269</v>
      </c>
      <c r="E10168" s="605" t="s">
        <v>1317</v>
      </c>
      <c r="F10168" s="605"/>
      <c r="G10168" s="402" t="s">
        <v>6</v>
      </c>
      <c r="H10168" s="403">
        <v>1</v>
      </c>
      <c r="I10168" s="403">
        <v>0</v>
      </c>
      <c r="J10168" s="404">
        <v>0.64</v>
      </c>
      <c r="K10168" s="404">
        <v>0.64</v>
      </c>
    </row>
    <row r="10169" spans="1:11" ht="26.4" x14ac:dyDescent="0.3">
      <c r="A10169" s="400" t="s">
        <v>1038</v>
      </c>
      <c r="B10169" s="401" t="s">
        <v>4218</v>
      </c>
      <c r="C10169" s="400" t="s">
        <v>395</v>
      </c>
      <c r="D10169" s="400" t="s">
        <v>4219</v>
      </c>
      <c r="E10169" s="605" t="s">
        <v>1317</v>
      </c>
      <c r="F10169" s="605"/>
      <c r="G10169" s="402" t="s">
        <v>6</v>
      </c>
      <c r="H10169" s="403">
        <v>1</v>
      </c>
      <c r="I10169" s="403">
        <v>0</v>
      </c>
      <c r="J10169" s="404">
        <v>1.71</v>
      </c>
      <c r="K10169" s="404">
        <v>1.71</v>
      </c>
    </row>
    <row r="10170" spans="1:11" ht="15" x14ac:dyDescent="0.3">
      <c r="A10170" s="405"/>
      <c r="B10170" s="405"/>
      <c r="C10170" s="405"/>
      <c r="D10170" s="405"/>
      <c r="E10170" s="405" t="s">
        <v>1046</v>
      </c>
      <c r="F10170" s="406">
        <v>27.36</v>
      </c>
      <c r="G10170" s="405" t="s">
        <v>1047</v>
      </c>
      <c r="H10170" s="406">
        <v>0</v>
      </c>
      <c r="I10170" s="405" t="s">
        <v>1048</v>
      </c>
      <c r="J10170" s="406">
        <v>27.36</v>
      </c>
      <c r="K10170"/>
    </row>
    <row r="10171" spans="1:11" ht="15.6" thickBot="1" x14ac:dyDescent="0.35">
      <c r="A10171" s="405"/>
      <c r="B10171" s="405"/>
      <c r="C10171" s="405"/>
      <c r="D10171" s="405"/>
      <c r="E10171" s="405" t="s">
        <v>1049</v>
      </c>
      <c r="F10171" s="406">
        <v>0</v>
      </c>
      <c r="G10171" s="405"/>
      <c r="H10171" s="606"/>
      <c r="I10171" s="606" t="s">
        <v>1050</v>
      </c>
      <c r="J10171" s="406">
        <v>37.57</v>
      </c>
      <c r="K10171"/>
    </row>
    <row r="10172" spans="1:11" ht="15.6" thickTop="1" x14ac:dyDescent="0.3">
      <c r="A10172" s="407"/>
      <c r="B10172" s="407"/>
      <c r="C10172" s="407"/>
      <c r="D10172" s="407"/>
      <c r="E10172" s="407"/>
      <c r="F10172" s="407"/>
      <c r="G10172" s="407"/>
      <c r="H10172" s="407"/>
      <c r="I10172" s="407"/>
      <c r="J10172" s="407"/>
      <c r="K10172"/>
    </row>
    <row r="10173" spans="1:11" ht="15" x14ac:dyDescent="0.3">
      <c r="A10173"/>
      <c r="B10173"/>
      <c r="C10173"/>
      <c r="D10173"/>
      <c r="E10173"/>
      <c r="F10173"/>
      <c r="G10173"/>
      <c r="H10173"/>
      <c r="I10173"/>
      <c r="J10173"/>
      <c r="K10173"/>
    </row>
    <row r="10174" spans="1:11" ht="15" x14ac:dyDescent="0.3">
      <c r="A10174"/>
      <c r="B10174"/>
      <c r="C10174"/>
      <c r="D10174"/>
      <c r="E10174"/>
      <c r="F10174"/>
      <c r="G10174"/>
      <c r="H10174"/>
      <c r="I10174"/>
      <c r="J10174"/>
      <c r="K10174"/>
    </row>
    <row r="10175" spans="1:11" ht="15" x14ac:dyDescent="0.3">
      <c r="A10175"/>
      <c r="B10175"/>
      <c r="C10175"/>
      <c r="D10175"/>
      <c r="E10175"/>
      <c r="F10175"/>
      <c r="G10175"/>
      <c r="H10175"/>
      <c r="I10175"/>
      <c r="J10175"/>
      <c r="K10175"/>
    </row>
    <row r="10176" spans="1:11" ht="15" x14ac:dyDescent="0.3">
      <c r="A10176"/>
      <c r="B10176"/>
      <c r="C10176"/>
      <c r="D10176"/>
      <c r="E10176"/>
      <c r="F10176"/>
      <c r="G10176"/>
      <c r="H10176"/>
      <c r="I10176"/>
      <c r="J10176"/>
      <c r="K10176"/>
    </row>
    <row r="10177" spans="1:11" ht="15" x14ac:dyDescent="0.3">
      <c r="A10177"/>
      <c r="B10177"/>
      <c r="C10177"/>
      <c r="D10177"/>
      <c r="E10177"/>
      <c r="F10177"/>
      <c r="G10177"/>
      <c r="H10177"/>
      <c r="I10177"/>
      <c r="J10177"/>
      <c r="K10177"/>
    </row>
    <row r="10178" spans="1:11" ht="15" x14ac:dyDescent="0.3">
      <c r="A10178"/>
      <c r="B10178"/>
      <c r="C10178"/>
      <c r="D10178"/>
      <c r="E10178"/>
      <c r="F10178"/>
      <c r="G10178"/>
      <c r="H10178"/>
      <c r="I10178"/>
      <c r="J10178"/>
      <c r="K10178"/>
    </row>
    <row r="10179" spans="1:11" ht="15" x14ac:dyDescent="0.3">
      <c r="A10179"/>
      <c r="B10179"/>
      <c r="C10179"/>
      <c r="D10179"/>
      <c r="E10179"/>
      <c r="F10179"/>
      <c r="G10179"/>
      <c r="H10179"/>
      <c r="I10179"/>
      <c r="J10179"/>
      <c r="K10179"/>
    </row>
    <row r="10180" spans="1:11" ht="15" x14ac:dyDescent="0.3">
      <c r="A10180"/>
      <c r="B10180"/>
      <c r="C10180"/>
      <c r="D10180"/>
      <c r="E10180"/>
      <c r="F10180"/>
      <c r="G10180"/>
      <c r="H10180"/>
      <c r="I10180"/>
      <c r="J10180"/>
      <c r="K10180"/>
    </row>
    <row r="10181" spans="1:11" ht="15" x14ac:dyDescent="0.3">
      <c r="A10181"/>
      <c r="B10181"/>
      <c r="C10181"/>
      <c r="D10181"/>
      <c r="E10181"/>
      <c r="F10181"/>
      <c r="G10181"/>
      <c r="H10181"/>
      <c r="I10181"/>
      <c r="J10181"/>
      <c r="K10181"/>
    </row>
    <row r="10182" spans="1:11" ht="15" x14ac:dyDescent="0.3">
      <c r="A10182"/>
      <c r="B10182"/>
      <c r="C10182"/>
      <c r="D10182"/>
      <c r="E10182"/>
      <c r="F10182"/>
      <c r="G10182"/>
      <c r="H10182"/>
      <c r="I10182"/>
      <c r="J10182"/>
      <c r="K10182"/>
    </row>
    <row r="10183" spans="1:11" ht="15" x14ac:dyDescent="0.3">
      <c r="A10183"/>
      <c r="B10183"/>
      <c r="C10183"/>
      <c r="D10183"/>
      <c r="E10183"/>
      <c r="F10183"/>
      <c r="G10183"/>
      <c r="H10183"/>
      <c r="I10183"/>
      <c r="J10183"/>
      <c r="K10183"/>
    </row>
    <row r="10184" spans="1:11" ht="15" x14ac:dyDescent="0.3">
      <c r="A10184"/>
      <c r="B10184"/>
      <c r="C10184"/>
      <c r="D10184"/>
      <c r="E10184"/>
      <c r="F10184"/>
      <c r="G10184"/>
      <c r="H10184"/>
      <c r="I10184"/>
      <c r="J10184"/>
      <c r="K10184"/>
    </row>
    <row r="10185" spans="1:11" ht="15" x14ac:dyDescent="0.3">
      <c r="A10185"/>
      <c r="B10185"/>
      <c r="C10185"/>
      <c r="D10185"/>
      <c r="E10185"/>
      <c r="F10185"/>
      <c r="G10185"/>
      <c r="H10185"/>
      <c r="I10185"/>
      <c r="J10185"/>
      <c r="K10185"/>
    </row>
    <row r="10186" spans="1:11" ht="15" x14ac:dyDescent="0.3">
      <c r="A10186"/>
      <c r="B10186"/>
      <c r="C10186"/>
      <c r="D10186"/>
      <c r="E10186"/>
      <c r="F10186"/>
      <c r="G10186"/>
      <c r="H10186"/>
      <c r="I10186"/>
      <c r="J10186"/>
      <c r="K10186"/>
    </row>
    <row r="10187" spans="1:11" ht="15" x14ac:dyDescent="0.3">
      <c r="A10187"/>
      <c r="B10187"/>
      <c r="C10187"/>
      <c r="D10187"/>
      <c r="E10187"/>
      <c r="F10187"/>
      <c r="G10187"/>
      <c r="H10187"/>
      <c r="I10187"/>
      <c r="J10187"/>
      <c r="K10187"/>
    </row>
    <row r="10188" spans="1:11" ht="15" x14ac:dyDescent="0.3">
      <c r="A10188"/>
      <c r="B10188"/>
      <c r="C10188"/>
      <c r="D10188"/>
      <c r="E10188"/>
      <c r="F10188"/>
      <c r="G10188"/>
      <c r="H10188"/>
      <c r="I10188"/>
      <c r="J10188"/>
      <c r="K10188"/>
    </row>
    <row r="10189" spans="1:11" ht="15" x14ac:dyDescent="0.3">
      <c r="A10189"/>
      <c r="B10189"/>
      <c r="C10189"/>
      <c r="D10189"/>
      <c r="E10189"/>
      <c r="F10189"/>
      <c r="G10189"/>
      <c r="H10189"/>
      <c r="I10189"/>
      <c r="J10189"/>
      <c r="K10189"/>
    </row>
    <row r="10190" spans="1:11" ht="15" x14ac:dyDescent="0.3">
      <c r="A10190"/>
      <c r="B10190"/>
      <c r="C10190"/>
      <c r="D10190"/>
      <c r="E10190"/>
      <c r="F10190"/>
      <c r="G10190"/>
      <c r="H10190"/>
      <c r="I10190"/>
      <c r="J10190"/>
      <c r="K10190"/>
    </row>
    <row r="10191" spans="1:11" ht="15" x14ac:dyDescent="0.3">
      <c r="A10191"/>
      <c r="B10191"/>
      <c r="C10191"/>
      <c r="D10191"/>
      <c r="E10191"/>
      <c r="F10191"/>
      <c r="G10191"/>
      <c r="H10191"/>
      <c r="I10191"/>
      <c r="J10191"/>
      <c r="K10191"/>
    </row>
    <row r="10192" spans="1:11" ht="15" x14ac:dyDescent="0.3">
      <c r="A10192"/>
      <c r="B10192"/>
      <c r="C10192"/>
      <c r="D10192"/>
      <c r="E10192"/>
      <c r="F10192"/>
      <c r="G10192"/>
      <c r="H10192"/>
      <c r="I10192"/>
      <c r="J10192"/>
      <c r="K10192"/>
    </row>
    <row r="10193" spans="1:11" ht="15" x14ac:dyDescent="0.3">
      <c r="A10193"/>
      <c r="B10193"/>
      <c r="C10193"/>
      <c r="D10193"/>
      <c r="E10193"/>
      <c r="F10193"/>
      <c r="G10193"/>
      <c r="H10193"/>
      <c r="I10193"/>
      <c r="J10193"/>
      <c r="K10193"/>
    </row>
    <row r="10194" spans="1:11" ht="15" x14ac:dyDescent="0.3">
      <c r="A10194"/>
      <c r="B10194"/>
      <c r="C10194"/>
      <c r="D10194"/>
      <c r="E10194"/>
      <c r="F10194"/>
      <c r="G10194"/>
      <c r="H10194"/>
      <c r="I10194"/>
      <c r="J10194"/>
      <c r="K10194"/>
    </row>
    <row r="10195" spans="1:11" ht="15" x14ac:dyDescent="0.3">
      <c r="A10195"/>
      <c r="B10195"/>
      <c r="C10195"/>
      <c r="D10195"/>
      <c r="E10195"/>
      <c r="F10195"/>
      <c r="G10195"/>
      <c r="H10195"/>
      <c r="I10195"/>
      <c r="J10195"/>
      <c r="K10195"/>
    </row>
    <row r="10196" spans="1:11" ht="15" x14ac:dyDescent="0.3">
      <c r="A10196"/>
      <c r="B10196"/>
      <c r="C10196"/>
      <c r="D10196"/>
      <c r="E10196"/>
      <c r="F10196"/>
      <c r="G10196"/>
      <c r="H10196"/>
      <c r="I10196"/>
      <c r="J10196"/>
      <c r="K10196"/>
    </row>
    <row r="10197" spans="1:11" ht="15" x14ac:dyDescent="0.3">
      <c r="A10197"/>
      <c r="B10197"/>
      <c r="C10197"/>
      <c r="D10197"/>
      <c r="E10197"/>
      <c r="F10197"/>
      <c r="G10197"/>
      <c r="H10197"/>
      <c r="I10197"/>
      <c r="J10197"/>
      <c r="K10197"/>
    </row>
    <row r="10198" spans="1:11" ht="15" x14ac:dyDescent="0.3">
      <c r="A10198"/>
      <c r="B10198"/>
      <c r="C10198"/>
      <c r="D10198"/>
      <c r="E10198"/>
      <c r="F10198"/>
      <c r="G10198"/>
      <c r="H10198"/>
      <c r="I10198"/>
      <c r="J10198"/>
      <c r="K10198"/>
    </row>
    <row r="10199" spans="1:11" ht="15" x14ac:dyDescent="0.3">
      <c r="A10199"/>
      <c r="B10199"/>
      <c r="C10199"/>
      <c r="D10199"/>
      <c r="E10199"/>
      <c r="F10199"/>
      <c r="G10199"/>
      <c r="H10199"/>
      <c r="I10199"/>
      <c r="J10199"/>
      <c r="K10199"/>
    </row>
    <row r="10200" spans="1:11" ht="15" x14ac:dyDescent="0.3">
      <c r="A10200"/>
      <c r="B10200"/>
      <c r="C10200"/>
      <c r="D10200"/>
      <c r="E10200"/>
      <c r="F10200"/>
      <c r="G10200"/>
      <c r="H10200"/>
      <c r="I10200"/>
      <c r="J10200"/>
      <c r="K10200"/>
    </row>
    <row r="10201" spans="1:11" ht="15" x14ac:dyDescent="0.3">
      <c r="A10201"/>
      <c r="B10201"/>
      <c r="C10201"/>
      <c r="D10201"/>
      <c r="E10201"/>
      <c r="F10201"/>
      <c r="G10201"/>
      <c r="H10201"/>
      <c r="I10201"/>
      <c r="J10201"/>
      <c r="K10201"/>
    </row>
    <row r="10202" spans="1:11" ht="15" x14ac:dyDescent="0.3">
      <c r="A10202"/>
      <c r="B10202"/>
      <c r="C10202"/>
      <c r="D10202"/>
      <c r="E10202"/>
      <c r="F10202"/>
      <c r="G10202"/>
      <c r="H10202"/>
      <c r="I10202"/>
      <c r="J10202"/>
      <c r="K10202"/>
    </row>
    <row r="10203" spans="1:11" ht="15" x14ac:dyDescent="0.3">
      <c r="A10203"/>
      <c r="B10203"/>
      <c r="C10203"/>
      <c r="D10203"/>
      <c r="E10203"/>
      <c r="F10203"/>
      <c r="G10203"/>
      <c r="H10203"/>
      <c r="I10203"/>
      <c r="J10203"/>
      <c r="K10203"/>
    </row>
    <row r="10204" spans="1:11" ht="15" x14ac:dyDescent="0.3">
      <c r="A10204"/>
      <c r="B10204"/>
      <c r="C10204"/>
      <c r="D10204"/>
      <c r="E10204"/>
      <c r="F10204"/>
      <c r="G10204"/>
      <c r="H10204"/>
      <c r="I10204"/>
      <c r="J10204"/>
      <c r="K10204"/>
    </row>
    <row r="10205" spans="1:11" ht="15" x14ac:dyDescent="0.3">
      <c r="A10205"/>
      <c r="B10205"/>
      <c r="C10205"/>
      <c r="D10205"/>
      <c r="E10205"/>
      <c r="F10205"/>
      <c r="G10205"/>
      <c r="H10205"/>
      <c r="I10205"/>
      <c r="J10205"/>
      <c r="K10205"/>
    </row>
    <row r="10206" spans="1:11" ht="15" x14ac:dyDescent="0.3">
      <c r="A10206"/>
      <c r="B10206"/>
      <c r="C10206"/>
      <c r="D10206"/>
      <c r="E10206"/>
      <c r="F10206"/>
      <c r="G10206"/>
      <c r="H10206"/>
      <c r="I10206"/>
      <c r="J10206"/>
      <c r="K10206"/>
    </row>
    <row r="10207" spans="1:11" ht="15" x14ac:dyDescent="0.3">
      <c r="A10207"/>
      <c r="B10207"/>
      <c r="C10207"/>
      <c r="D10207"/>
      <c r="E10207"/>
      <c r="F10207"/>
      <c r="G10207"/>
      <c r="H10207"/>
      <c r="I10207"/>
      <c r="J10207"/>
      <c r="K10207"/>
    </row>
    <row r="10208" spans="1:11" ht="15" x14ac:dyDescent="0.3">
      <c r="A10208"/>
      <c r="B10208"/>
      <c r="C10208"/>
      <c r="D10208"/>
      <c r="E10208"/>
      <c r="F10208"/>
      <c r="G10208"/>
      <c r="H10208"/>
      <c r="I10208"/>
      <c r="J10208"/>
      <c r="K10208"/>
    </row>
    <row r="10209" spans="1:11" ht="15" x14ac:dyDescent="0.3">
      <c r="A10209"/>
      <c r="B10209"/>
      <c r="C10209"/>
      <c r="D10209"/>
      <c r="E10209"/>
      <c r="F10209"/>
      <c r="G10209"/>
      <c r="H10209"/>
      <c r="I10209"/>
      <c r="J10209"/>
      <c r="K10209"/>
    </row>
    <row r="10210" spans="1:11" ht="15" x14ac:dyDescent="0.3">
      <c r="A10210"/>
      <c r="B10210"/>
      <c r="C10210"/>
      <c r="D10210"/>
      <c r="E10210"/>
      <c r="F10210"/>
      <c r="G10210"/>
      <c r="H10210"/>
      <c r="I10210"/>
      <c r="J10210"/>
      <c r="K10210"/>
    </row>
    <row r="10211" spans="1:11" ht="15" x14ac:dyDescent="0.3">
      <c r="A10211"/>
      <c r="B10211"/>
      <c r="C10211"/>
      <c r="D10211"/>
      <c r="E10211"/>
      <c r="F10211"/>
      <c r="G10211"/>
      <c r="H10211"/>
      <c r="I10211"/>
      <c r="J10211"/>
      <c r="K10211"/>
    </row>
    <row r="10212" spans="1:11" ht="15" x14ac:dyDescent="0.3">
      <c r="A10212"/>
      <c r="B10212"/>
      <c r="C10212"/>
      <c r="D10212"/>
      <c r="E10212"/>
      <c r="F10212"/>
      <c r="G10212"/>
      <c r="H10212"/>
      <c r="I10212"/>
      <c r="J10212"/>
      <c r="K10212"/>
    </row>
    <row r="10213" spans="1:11" ht="15" x14ac:dyDescent="0.3">
      <c r="A10213"/>
      <c r="B10213"/>
      <c r="C10213"/>
      <c r="D10213"/>
      <c r="E10213"/>
      <c r="F10213"/>
      <c r="G10213"/>
      <c r="H10213"/>
      <c r="I10213"/>
      <c r="J10213"/>
      <c r="K10213"/>
    </row>
    <row r="10214" spans="1:11" ht="15" x14ac:dyDescent="0.3">
      <c r="A10214"/>
      <c r="B10214"/>
      <c r="C10214"/>
      <c r="D10214"/>
      <c r="E10214"/>
      <c r="F10214"/>
      <c r="G10214"/>
      <c r="H10214"/>
      <c r="I10214"/>
      <c r="J10214"/>
      <c r="K10214"/>
    </row>
    <row r="10215" spans="1:11" ht="15" x14ac:dyDescent="0.3">
      <c r="A10215"/>
      <c r="B10215"/>
      <c r="C10215"/>
      <c r="D10215"/>
      <c r="E10215"/>
      <c r="F10215"/>
      <c r="G10215"/>
      <c r="H10215"/>
      <c r="I10215"/>
      <c r="J10215"/>
      <c r="K10215"/>
    </row>
    <row r="10216" spans="1:11" ht="15" x14ac:dyDescent="0.3">
      <c r="A10216"/>
      <c r="B10216"/>
      <c r="C10216"/>
      <c r="D10216"/>
      <c r="E10216"/>
      <c r="F10216"/>
      <c r="G10216"/>
      <c r="H10216"/>
      <c r="I10216"/>
      <c r="J10216"/>
      <c r="K10216"/>
    </row>
    <row r="10217" spans="1:11" ht="15" x14ac:dyDescent="0.3">
      <c r="A10217"/>
      <c r="B10217"/>
      <c r="C10217"/>
      <c r="D10217"/>
      <c r="E10217"/>
      <c r="F10217"/>
      <c r="G10217"/>
      <c r="H10217"/>
      <c r="I10217"/>
      <c r="J10217"/>
      <c r="K10217"/>
    </row>
    <row r="10218" spans="1:11" ht="15" x14ac:dyDescent="0.3">
      <c r="A10218"/>
      <c r="B10218"/>
      <c r="C10218"/>
      <c r="D10218"/>
      <c r="E10218"/>
      <c r="F10218"/>
      <c r="G10218"/>
      <c r="H10218"/>
      <c r="I10218"/>
      <c r="J10218"/>
      <c r="K10218"/>
    </row>
    <row r="10219" spans="1:11" ht="15" x14ac:dyDescent="0.3">
      <c r="A10219"/>
      <c r="B10219"/>
      <c r="C10219"/>
      <c r="D10219"/>
      <c r="E10219"/>
      <c r="F10219"/>
      <c r="G10219"/>
      <c r="H10219"/>
      <c r="I10219"/>
      <c r="J10219"/>
      <c r="K10219"/>
    </row>
    <row r="10220" spans="1:11" ht="15" x14ac:dyDescent="0.3">
      <c r="A10220"/>
      <c r="B10220"/>
      <c r="C10220"/>
      <c r="D10220"/>
      <c r="E10220"/>
      <c r="F10220"/>
      <c r="G10220"/>
      <c r="H10220"/>
      <c r="I10220"/>
      <c r="J10220"/>
      <c r="K10220"/>
    </row>
    <row r="10221" spans="1:11" ht="15" x14ac:dyDescent="0.3">
      <c r="A10221"/>
      <c r="B10221"/>
      <c r="C10221"/>
      <c r="D10221"/>
      <c r="E10221"/>
      <c r="F10221"/>
      <c r="G10221"/>
      <c r="H10221"/>
      <c r="I10221"/>
      <c r="J10221"/>
      <c r="K10221"/>
    </row>
    <row r="10222" spans="1:11" ht="15" x14ac:dyDescent="0.3">
      <c r="A10222"/>
      <c r="B10222"/>
      <c r="C10222"/>
      <c r="D10222"/>
      <c r="E10222"/>
      <c r="F10222"/>
      <c r="G10222"/>
      <c r="H10222"/>
      <c r="I10222"/>
      <c r="J10222"/>
      <c r="K10222"/>
    </row>
    <row r="10223" spans="1:11" ht="15" x14ac:dyDescent="0.3">
      <c r="A10223"/>
      <c r="B10223"/>
      <c r="C10223"/>
      <c r="D10223"/>
      <c r="E10223"/>
      <c r="F10223"/>
      <c r="G10223"/>
      <c r="H10223"/>
      <c r="I10223"/>
      <c r="J10223"/>
      <c r="K10223"/>
    </row>
    <row r="10224" spans="1:11" ht="15" x14ac:dyDescent="0.3">
      <c r="A10224"/>
      <c r="B10224"/>
      <c r="C10224"/>
      <c r="D10224"/>
      <c r="E10224"/>
      <c r="F10224"/>
      <c r="G10224"/>
      <c r="H10224"/>
      <c r="I10224"/>
      <c r="J10224"/>
      <c r="K10224"/>
    </row>
    <row r="10225" spans="1:11" ht="15" x14ac:dyDescent="0.3">
      <c r="A10225"/>
      <c r="B10225"/>
      <c r="C10225"/>
      <c r="D10225"/>
      <c r="E10225"/>
      <c r="F10225"/>
      <c r="G10225"/>
      <c r="H10225"/>
      <c r="I10225"/>
      <c r="J10225"/>
      <c r="K10225"/>
    </row>
    <row r="10226" spans="1:11" ht="15" x14ac:dyDescent="0.3">
      <c r="A10226"/>
      <c r="B10226"/>
      <c r="C10226"/>
      <c r="D10226"/>
      <c r="E10226"/>
      <c r="F10226"/>
      <c r="G10226"/>
      <c r="H10226"/>
      <c r="I10226"/>
      <c r="J10226"/>
      <c r="K10226"/>
    </row>
    <row r="10227" spans="1:11" ht="15" x14ac:dyDescent="0.3">
      <c r="A10227"/>
      <c r="B10227"/>
      <c r="C10227"/>
      <c r="D10227"/>
      <c r="E10227"/>
      <c r="F10227"/>
      <c r="G10227"/>
      <c r="H10227"/>
      <c r="I10227"/>
      <c r="J10227"/>
      <c r="K10227"/>
    </row>
    <row r="10228" spans="1:11" ht="15" x14ac:dyDescent="0.3">
      <c r="A10228"/>
      <c r="B10228"/>
      <c r="C10228"/>
      <c r="D10228"/>
      <c r="E10228"/>
      <c r="F10228"/>
      <c r="G10228"/>
      <c r="H10228"/>
      <c r="I10228"/>
      <c r="J10228"/>
      <c r="K10228"/>
    </row>
    <row r="10229" spans="1:11" ht="15" x14ac:dyDescent="0.3">
      <c r="A10229"/>
      <c r="B10229"/>
      <c r="C10229"/>
      <c r="D10229"/>
      <c r="E10229"/>
      <c r="F10229"/>
      <c r="G10229"/>
      <c r="H10229"/>
      <c r="I10229"/>
      <c r="J10229"/>
      <c r="K10229"/>
    </row>
    <row r="10230" spans="1:11" ht="15" x14ac:dyDescent="0.3">
      <c r="A10230"/>
      <c r="B10230"/>
      <c r="C10230"/>
      <c r="D10230"/>
      <c r="E10230"/>
      <c r="F10230"/>
      <c r="G10230"/>
      <c r="H10230"/>
      <c r="I10230"/>
      <c r="J10230"/>
      <c r="K10230"/>
    </row>
    <row r="10231" spans="1:11" ht="15" x14ac:dyDescent="0.3">
      <c r="A10231"/>
      <c r="B10231"/>
      <c r="C10231"/>
      <c r="D10231"/>
      <c r="E10231"/>
      <c r="F10231"/>
      <c r="G10231"/>
      <c r="H10231"/>
      <c r="I10231"/>
      <c r="J10231"/>
      <c r="K10231"/>
    </row>
    <row r="10232" spans="1:11" ht="15" x14ac:dyDescent="0.3">
      <c r="A10232"/>
      <c r="B10232"/>
      <c r="C10232"/>
      <c r="D10232"/>
      <c r="E10232"/>
      <c r="F10232"/>
      <c r="G10232"/>
      <c r="H10232"/>
      <c r="I10232"/>
      <c r="J10232"/>
      <c r="K10232"/>
    </row>
    <row r="10233" spans="1:11" ht="15" x14ac:dyDescent="0.3">
      <c r="A10233"/>
      <c r="B10233"/>
      <c r="C10233"/>
      <c r="D10233"/>
      <c r="E10233"/>
      <c r="F10233"/>
      <c r="G10233"/>
      <c r="H10233"/>
      <c r="I10233"/>
      <c r="J10233"/>
      <c r="K10233"/>
    </row>
    <row r="10234" spans="1:11" ht="15" x14ac:dyDescent="0.3">
      <c r="A10234"/>
      <c r="B10234"/>
      <c r="C10234"/>
      <c r="D10234"/>
      <c r="E10234"/>
      <c r="F10234"/>
      <c r="G10234"/>
      <c r="H10234"/>
      <c r="I10234"/>
      <c r="J10234"/>
      <c r="K10234"/>
    </row>
    <row r="10235" spans="1:11" ht="15" x14ac:dyDescent="0.3">
      <c r="A10235"/>
      <c r="B10235"/>
      <c r="C10235"/>
      <c r="D10235"/>
      <c r="E10235"/>
      <c r="F10235"/>
      <c r="G10235"/>
      <c r="H10235"/>
      <c r="I10235"/>
      <c r="J10235"/>
      <c r="K10235"/>
    </row>
    <row r="10236" spans="1:11" ht="15" x14ac:dyDescent="0.3">
      <c r="A10236"/>
      <c r="B10236"/>
      <c r="C10236"/>
      <c r="D10236"/>
      <c r="E10236"/>
      <c r="F10236"/>
      <c r="G10236"/>
      <c r="H10236"/>
      <c r="I10236"/>
      <c r="J10236"/>
      <c r="K10236"/>
    </row>
    <row r="10237" spans="1:11" ht="15" x14ac:dyDescent="0.3">
      <c r="A10237"/>
      <c r="B10237"/>
      <c r="C10237"/>
      <c r="D10237"/>
      <c r="E10237"/>
      <c r="F10237"/>
      <c r="G10237"/>
      <c r="H10237"/>
      <c r="I10237"/>
      <c r="J10237"/>
      <c r="K10237"/>
    </row>
    <row r="10238" spans="1:11" ht="15" x14ac:dyDescent="0.3">
      <c r="A10238"/>
      <c r="B10238"/>
      <c r="C10238"/>
      <c r="D10238"/>
      <c r="E10238"/>
      <c r="F10238"/>
      <c r="G10238"/>
      <c r="H10238"/>
      <c r="I10238"/>
      <c r="J10238"/>
      <c r="K10238"/>
    </row>
    <row r="10239" spans="1:11" ht="15" x14ac:dyDescent="0.3">
      <c r="A10239"/>
      <c r="B10239"/>
      <c r="C10239"/>
      <c r="D10239"/>
      <c r="E10239"/>
      <c r="F10239"/>
      <c r="G10239"/>
      <c r="H10239"/>
      <c r="I10239"/>
      <c r="J10239"/>
      <c r="K10239"/>
    </row>
    <row r="10240" spans="1:11" ht="15" x14ac:dyDescent="0.3">
      <c r="A10240"/>
      <c r="B10240"/>
      <c r="C10240"/>
      <c r="D10240"/>
      <c r="E10240"/>
      <c r="F10240"/>
      <c r="G10240"/>
      <c r="H10240"/>
      <c r="I10240"/>
      <c r="J10240"/>
      <c r="K10240"/>
    </row>
    <row r="10241" spans="1:11" ht="15" x14ac:dyDescent="0.3">
      <c r="A10241"/>
      <c r="B10241"/>
      <c r="C10241"/>
      <c r="D10241"/>
      <c r="E10241"/>
      <c r="F10241"/>
      <c r="G10241"/>
      <c r="H10241"/>
      <c r="I10241"/>
      <c r="J10241"/>
      <c r="K10241"/>
    </row>
    <row r="10242" spans="1:11" ht="15" x14ac:dyDescent="0.3">
      <c r="A10242"/>
      <c r="B10242"/>
      <c r="C10242"/>
      <c r="D10242"/>
      <c r="E10242"/>
      <c r="F10242"/>
      <c r="G10242"/>
      <c r="H10242"/>
      <c r="I10242"/>
      <c r="J10242"/>
      <c r="K10242"/>
    </row>
    <row r="10243" spans="1:11" ht="15" x14ac:dyDescent="0.3">
      <c r="A10243"/>
      <c r="B10243"/>
      <c r="C10243"/>
      <c r="D10243"/>
      <c r="E10243"/>
      <c r="F10243"/>
      <c r="G10243"/>
      <c r="H10243"/>
      <c r="I10243"/>
      <c r="J10243"/>
      <c r="K10243"/>
    </row>
    <row r="10244" spans="1:11" ht="15" x14ac:dyDescent="0.3">
      <c r="A10244"/>
      <c r="B10244"/>
      <c r="C10244"/>
      <c r="D10244"/>
      <c r="E10244"/>
      <c r="F10244"/>
      <c r="G10244"/>
      <c r="H10244"/>
      <c r="I10244"/>
      <c r="J10244"/>
      <c r="K10244"/>
    </row>
    <row r="10245" spans="1:11" ht="15" x14ac:dyDescent="0.3">
      <c r="A10245"/>
      <c r="B10245"/>
      <c r="C10245"/>
      <c r="D10245"/>
      <c r="E10245"/>
      <c r="F10245"/>
      <c r="G10245"/>
      <c r="H10245"/>
      <c r="I10245"/>
      <c r="J10245"/>
      <c r="K10245"/>
    </row>
    <row r="10246" spans="1:11" ht="15" x14ac:dyDescent="0.3">
      <c r="A10246"/>
      <c r="B10246"/>
      <c r="C10246"/>
      <c r="D10246"/>
      <c r="E10246"/>
      <c r="F10246"/>
      <c r="G10246"/>
      <c r="H10246"/>
      <c r="I10246"/>
      <c r="J10246"/>
      <c r="K10246"/>
    </row>
    <row r="10247" spans="1:11" ht="15" x14ac:dyDescent="0.3">
      <c r="A10247"/>
      <c r="B10247"/>
      <c r="C10247"/>
      <c r="D10247"/>
      <c r="E10247"/>
      <c r="F10247"/>
      <c r="G10247"/>
      <c r="H10247"/>
      <c r="I10247"/>
      <c r="J10247"/>
      <c r="K10247"/>
    </row>
    <row r="10248" spans="1:11" ht="15" x14ac:dyDescent="0.3">
      <c r="A10248"/>
      <c r="B10248"/>
      <c r="C10248"/>
      <c r="D10248"/>
      <c r="E10248"/>
      <c r="F10248"/>
      <c r="G10248"/>
      <c r="H10248"/>
      <c r="I10248"/>
      <c r="J10248"/>
      <c r="K10248"/>
    </row>
    <row r="10249" spans="1:11" ht="15" x14ac:dyDescent="0.3">
      <c r="A10249"/>
      <c r="B10249"/>
      <c r="C10249"/>
      <c r="D10249"/>
      <c r="E10249"/>
      <c r="F10249"/>
      <c r="G10249"/>
      <c r="H10249"/>
      <c r="I10249"/>
      <c r="J10249"/>
      <c r="K10249"/>
    </row>
    <row r="10250" spans="1:11" ht="15" x14ac:dyDescent="0.3">
      <c r="A10250"/>
      <c r="B10250"/>
      <c r="C10250"/>
      <c r="D10250"/>
      <c r="E10250"/>
      <c r="F10250"/>
      <c r="G10250"/>
      <c r="H10250"/>
      <c r="I10250"/>
      <c r="J10250"/>
      <c r="K10250"/>
    </row>
    <row r="10251" spans="1:11" ht="15" x14ac:dyDescent="0.3">
      <c r="A10251"/>
      <c r="B10251"/>
      <c r="C10251"/>
      <c r="D10251"/>
      <c r="E10251"/>
      <c r="F10251"/>
      <c r="G10251"/>
      <c r="H10251"/>
      <c r="I10251"/>
      <c r="J10251"/>
      <c r="K10251"/>
    </row>
    <row r="10252" spans="1:11" ht="15" x14ac:dyDescent="0.3">
      <c r="A10252"/>
      <c r="B10252"/>
      <c r="C10252"/>
      <c r="D10252"/>
      <c r="E10252"/>
      <c r="F10252"/>
      <c r="G10252"/>
      <c r="H10252"/>
      <c r="I10252"/>
      <c r="J10252"/>
      <c r="K10252"/>
    </row>
    <row r="10253" spans="1:11" ht="15" x14ac:dyDescent="0.3">
      <c r="A10253"/>
      <c r="B10253"/>
      <c r="C10253"/>
      <c r="D10253"/>
      <c r="E10253"/>
      <c r="F10253"/>
      <c r="G10253"/>
      <c r="H10253"/>
      <c r="I10253"/>
      <c r="J10253"/>
      <c r="K10253"/>
    </row>
    <row r="10254" spans="1:11" ht="15" x14ac:dyDescent="0.3">
      <c r="A10254"/>
      <c r="B10254"/>
      <c r="C10254"/>
      <c r="D10254"/>
      <c r="E10254"/>
      <c r="F10254"/>
      <c r="G10254"/>
      <c r="H10254"/>
      <c r="I10254"/>
      <c r="J10254"/>
      <c r="K10254"/>
    </row>
    <row r="10255" spans="1:11" ht="15" x14ac:dyDescent="0.3">
      <c r="A10255"/>
      <c r="B10255"/>
      <c r="C10255"/>
      <c r="D10255"/>
      <c r="E10255"/>
      <c r="F10255"/>
      <c r="G10255"/>
      <c r="H10255"/>
      <c r="I10255"/>
      <c r="J10255"/>
      <c r="K10255"/>
    </row>
    <row r="10256" spans="1:11" ht="15" x14ac:dyDescent="0.3">
      <c r="A10256"/>
      <c r="B10256"/>
      <c r="C10256"/>
      <c r="D10256"/>
      <c r="E10256"/>
      <c r="F10256"/>
      <c r="G10256"/>
      <c r="H10256"/>
      <c r="I10256"/>
      <c r="J10256"/>
      <c r="K10256"/>
    </row>
    <row r="10257" spans="1:11" ht="15" x14ac:dyDescent="0.3">
      <c r="A10257"/>
      <c r="B10257"/>
      <c r="C10257"/>
      <c r="D10257"/>
      <c r="E10257"/>
      <c r="F10257"/>
      <c r="G10257"/>
      <c r="H10257"/>
      <c r="I10257"/>
      <c r="J10257"/>
      <c r="K10257"/>
    </row>
    <row r="10258" spans="1:11" ht="15" x14ac:dyDescent="0.3">
      <c r="A10258"/>
      <c r="B10258"/>
      <c r="C10258"/>
      <c r="D10258"/>
      <c r="E10258"/>
      <c r="F10258"/>
      <c r="G10258"/>
      <c r="H10258"/>
      <c r="I10258"/>
      <c r="J10258"/>
      <c r="K10258"/>
    </row>
    <row r="10259" spans="1:11" ht="15" x14ac:dyDescent="0.3">
      <c r="A10259"/>
      <c r="B10259"/>
      <c r="C10259"/>
      <c r="D10259"/>
      <c r="E10259"/>
      <c r="F10259"/>
      <c r="G10259"/>
      <c r="H10259"/>
      <c r="I10259"/>
      <c r="J10259"/>
      <c r="K10259"/>
    </row>
    <row r="10260" spans="1:11" ht="15" x14ac:dyDescent="0.3">
      <c r="A10260"/>
      <c r="B10260"/>
      <c r="C10260"/>
      <c r="D10260"/>
      <c r="E10260"/>
      <c r="F10260"/>
      <c r="G10260"/>
      <c r="H10260"/>
      <c r="I10260"/>
      <c r="J10260"/>
      <c r="K10260"/>
    </row>
    <row r="10261" spans="1:11" ht="15" x14ac:dyDescent="0.3">
      <c r="A10261"/>
      <c r="B10261"/>
      <c r="C10261"/>
      <c r="D10261"/>
      <c r="E10261"/>
      <c r="F10261"/>
      <c r="G10261"/>
      <c r="H10261"/>
      <c r="I10261"/>
      <c r="J10261"/>
      <c r="K10261"/>
    </row>
    <row r="10262" spans="1:11" ht="15" x14ac:dyDescent="0.3">
      <c r="A10262"/>
      <c r="B10262"/>
      <c r="C10262"/>
      <c r="D10262"/>
      <c r="E10262"/>
      <c r="F10262"/>
      <c r="G10262"/>
      <c r="H10262"/>
      <c r="I10262"/>
      <c r="J10262"/>
      <c r="K10262"/>
    </row>
    <row r="10263" spans="1:11" ht="15" x14ac:dyDescent="0.3">
      <c r="A10263"/>
      <c r="B10263"/>
      <c r="C10263"/>
      <c r="D10263"/>
      <c r="E10263"/>
      <c r="F10263"/>
      <c r="G10263"/>
      <c r="H10263"/>
      <c r="I10263"/>
      <c r="J10263"/>
      <c r="K10263"/>
    </row>
    <row r="10264" spans="1:11" ht="15" x14ac:dyDescent="0.3">
      <c r="A10264"/>
      <c r="B10264"/>
      <c r="C10264"/>
      <c r="D10264"/>
      <c r="E10264"/>
      <c r="F10264"/>
      <c r="G10264"/>
      <c r="H10264"/>
      <c r="I10264"/>
      <c r="J10264"/>
      <c r="K10264"/>
    </row>
    <row r="10265" spans="1:11" ht="15" x14ac:dyDescent="0.3">
      <c r="A10265"/>
      <c r="B10265"/>
      <c r="C10265"/>
      <c r="D10265"/>
      <c r="E10265"/>
      <c r="F10265"/>
      <c r="G10265"/>
      <c r="H10265"/>
      <c r="I10265"/>
      <c r="J10265"/>
      <c r="K10265"/>
    </row>
    <row r="10266" spans="1:11" ht="15" x14ac:dyDescent="0.3">
      <c r="A10266"/>
      <c r="B10266"/>
      <c r="C10266"/>
      <c r="D10266"/>
      <c r="E10266"/>
      <c r="F10266"/>
      <c r="G10266"/>
      <c r="H10266"/>
      <c r="I10266"/>
      <c r="J10266"/>
      <c r="K10266"/>
    </row>
    <row r="10267" spans="1:11" ht="15" x14ac:dyDescent="0.3">
      <c r="A10267"/>
      <c r="B10267"/>
      <c r="C10267"/>
      <c r="D10267"/>
      <c r="E10267"/>
      <c r="F10267"/>
      <c r="G10267"/>
      <c r="H10267"/>
      <c r="I10267"/>
      <c r="J10267"/>
      <c r="K10267"/>
    </row>
    <row r="10268" spans="1:11" ht="15" x14ac:dyDescent="0.3">
      <c r="A10268"/>
      <c r="B10268"/>
      <c r="C10268"/>
      <c r="D10268"/>
      <c r="E10268"/>
      <c r="F10268"/>
      <c r="G10268"/>
      <c r="H10268"/>
      <c r="I10268"/>
      <c r="J10268"/>
      <c r="K10268"/>
    </row>
    <row r="10269" spans="1:11" ht="15" x14ac:dyDescent="0.3">
      <c r="A10269"/>
      <c r="B10269"/>
      <c r="C10269"/>
      <c r="D10269"/>
      <c r="E10269"/>
      <c r="F10269"/>
      <c r="G10269"/>
      <c r="H10269"/>
      <c r="I10269"/>
      <c r="J10269"/>
      <c r="K10269"/>
    </row>
    <row r="10270" spans="1:11" ht="15" x14ac:dyDescent="0.3">
      <c r="A10270"/>
      <c r="B10270"/>
      <c r="C10270"/>
      <c r="D10270"/>
      <c r="E10270"/>
      <c r="F10270"/>
      <c r="G10270"/>
      <c r="H10270"/>
      <c r="I10270"/>
      <c r="J10270"/>
      <c r="K10270"/>
    </row>
    <row r="10271" spans="1:11" ht="15" x14ac:dyDescent="0.3">
      <c r="A10271"/>
      <c r="B10271"/>
      <c r="C10271"/>
      <c r="D10271"/>
      <c r="E10271"/>
      <c r="F10271"/>
      <c r="G10271"/>
      <c r="H10271"/>
      <c r="I10271"/>
      <c r="J10271"/>
      <c r="K10271"/>
    </row>
    <row r="10272" spans="1:11" ht="15" x14ac:dyDescent="0.3">
      <c r="A10272"/>
      <c r="B10272"/>
      <c r="C10272"/>
      <c r="D10272"/>
      <c r="E10272"/>
      <c r="F10272"/>
      <c r="G10272"/>
      <c r="H10272"/>
      <c r="I10272"/>
      <c r="J10272"/>
      <c r="K10272"/>
    </row>
    <row r="10273" spans="1:11" ht="15" x14ac:dyDescent="0.3">
      <c r="A10273"/>
      <c r="B10273"/>
      <c r="C10273"/>
      <c r="D10273"/>
      <c r="E10273"/>
      <c r="F10273"/>
      <c r="G10273"/>
      <c r="H10273"/>
      <c r="I10273"/>
      <c r="J10273"/>
      <c r="K10273"/>
    </row>
    <row r="10274" spans="1:11" ht="15" x14ac:dyDescent="0.3">
      <c r="A10274"/>
      <c r="B10274"/>
      <c r="C10274"/>
      <c r="D10274"/>
      <c r="E10274"/>
      <c r="F10274"/>
      <c r="G10274"/>
      <c r="H10274"/>
      <c r="I10274"/>
      <c r="J10274"/>
      <c r="K10274"/>
    </row>
    <row r="10275" spans="1:11" ht="15" x14ac:dyDescent="0.3">
      <c r="A10275"/>
      <c r="B10275"/>
      <c r="C10275"/>
      <c r="D10275"/>
      <c r="E10275"/>
      <c r="F10275"/>
      <c r="G10275"/>
      <c r="H10275"/>
      <c r="I10275"/>
      <c r="J10275"/>
      <c r="K10275"/>
    </row>
    <row r="10276" spans="1:11" ht="15" x14ac:dyDescent="0.3">
      <c r="A10276"/>
      <c r="B10276"/>
      <c r="C10276"/>
      <c r="D10276"/>
      <c r="E10276"/>
      <c r="F10276"/>
      <c r="G10276"/>
      <c r="H10276"/>
      <c r="I10276"/>
      <c r="J10276"/>
      <c r="K10276"/>
    </row>
    <row r="10277" spans="1:11" ht="15" x14ac:dyDescent="0.3">
      <c r="A10277"/>
      <c r="B10277"/>
      <c r="C10277"/>
      <c r="D10277"/>
      <c r="E10277"/>
      <c r="F10277"/>
      <c r="G10277"/>
      <c r="H10277"/>
      <c r="I10277"/>
      <c r="J10277"/>
      <c r="K10277"/>
    </row>
    <row r="10278" spans="1:11" ht="15" x14ac:dyDescent="0.3">
      <c r="A10278"/>
      <c r="B10278"/>
      <c r="C10278"/>
      <c r="D10278"/>
      <c r="E10278"/>
      <c r="F10278"/>
      <c r="G10278"/>
      <c r="H10278"/>
      <c r="I10278"/>
      <c r="J10278"/>
      <c r="K10278"/>
    </row>
    <row r="10279" spans="1:11" ht="15" x14ac:dyDescent="0.3">
      <c r="A10279"/>
      <c r="B10279"/>
      <c r="C10279"/>
      <c r="D10279"/>
      <c r="E10279"/>
      <c r="F10279"/>
      <c r="G10279"/>
      <c r="H10279"/>
      <c r="I10279"/>
      <c r="J10279"/>
      <c r="K10279"/>
    </row>
    <row r="10280" spans="1:11" ht="15" x14ac:dyDescent="0.3">
      <c r="A10280"/>
      <c r="B10280"/>
      <c r="C10280"/>
      <c r="D10280"/>
      <c r="E10280"/>
      <c r="F10280"/>
      <c r="G10280"/>
      <c r="H10280"/>
      <c r="I10280"/>
      <c r="J10280"/>
      <c r="K10280"/>
    </row>
    <row r="10281" spans="1:11" ht="15" x14ac:dyDescent="0.3">
      <c r="A10281"/>
      <c r="B10281"/>
      <c r="C10281"/>
      <c r="D10281"/>
      <c r="E10281"/>
      <c r="F10281"/>
      <c r="G10281"/>
      <c r="H10281"/>
      <c r="I10281"/>
      <c r="J10281"/>
      <c r="K10281"/>
    </row>
    <row r="10282" spans="1:11" ht="15" x14ac:dyDescent="0.3">
      <c r="A10282"/>
      <c r="B10282"/>
      <c r="C10282"/>
      <c r="D10282"/>
      <c r="E10282"/>
      <c r="F10282"/>
      <c r="G10282"/>
      <c r="H10282"/>
      <c r="I10282"/>
      <c r="J10282"/>
      <c r="K10282"/>
    </row>
    <row r="10283" spans="1:11" ht="15" x14ac:dyDescent="0.3">
      <c r="A10283"/>
      <c r="B10283"/>
      <c r="C10283"/>
      <c r="D10283"/>
      <c r="E10283"/>
      <c r="F10283"/>
      <c r="G10283"/>
      <c r="H10283"/>
      <c r="I10283"/>
      <c r="J10283"/>
      <c r="K10283"/>
    </row>
    <row r="10284" spans="1:11" ht="15" x14ac:dyDescent="0.3">
      <c r="A10284"/>
      <c r="B10284"/>
      <c r="C10284"/>
      <c r="D10284"/>
      <c r="E10284"/>
      <c r="F10284"/>
      <c r="G10284"/>
      <c r="H10284"/>
      <c r="I10284"/>
      <c r="J10284"/>
      <c r="K10284"/>
    </row>
    <row r="10285" spans="1:11" ht="15" x14ac:dyDescent="0.3">
      <c r="A10285"/>
      <c r="B10285"/>
      <c r="C10285"/>
      <c r="D10285"/>
      <c r="E10285"/>
      <c r="F10285"/>
      <c r="G10285"/>
      <c r="H10285"/>
      <c r="I10285"/>
      <c r="J10285"/>
      <c r="K10285"/>
    </row>
    <row r="10286" spans="1:11" ht="15" x14ac:dyDescent="0.3">
      <c r="A10286"/>
      <c r="B10286"/>
      <c r="C10286"/>
      <c r="D10286"/>
      <c r="E10286"/>
      <c r="F10286"/>
      <c r="G10286"/>
      <c r="H10286"/>
      <c r="I10286"/>
      <c r="J10286"/>
      <c r="K10286"/>
    </row>
    <row r="10287" spans="1:11" ht="15" x14ac:dyDescent="0.3">
      <c r="A10287"/>
      <c r="B10287"/>
      <c r="C10287"/>
      <c r="D10287"/>
      <c r="E10287"/>
      <c r="F10287"/>
      <c r="G10287"/>
      <c r="H10287"/>
      <c r="I10287"/>
      <c r="J10287"/>
      <c r="K10287"/>
    </row>
    <row r="10288" spans="1:11" ht="15" x14ac:dyDescent="0.3">
      <c r="A10288"/>
      <c r="B10288"/>
      <c r="C10288"/>
      <c r="D10288"/>
      <c r="E10288"/>
      <c r="F10288"/>
      <c r="G10288"/>
      <c r="H10288"/>
      <c r="I10288"/>
      <c r="J10288"/>
      <c r="K10288"/>
    </row>
    <row r="10289" spans="1:11" ht="15" x14ac:dyDescent="0.3">
      <c r="A10289"/>
      <c r="B10289"/>
      <c r="C10289"/>
      <c r="D10289"/>
      <c r="E10289"/>
      <c r="F10289"/>
      <c r="G10289"/>
      <c r="H10289"/>
      <c r="I10289"/>
      <c r="J10289"/>
      <c r="K10289"/>
    </row>
    <row r="10290" spans="1:11" ht="15" x14ac:dyDescent="0.3">
      <c r="A10290"/>
      <c r="B10290"/>
      <c r="C10290"/>
      <c r="D10290"/>
      <c r="E10290"/>
      <c r="F10290"/>
      <c r="G10290"/>
      <c r="H10290"/>
      <c r="I10290"/>
      <c r="J10290"/>
      <c r="K10290"/>
    </row>
    <row r="10291" spans="1:11" ht="15" x14ac:dyDescent="0.3">
      <c r="A10291"/>
      <c r="B10291"/>
      <c r="C10291"/>
      <c r="D10291"/>
      <c r="E10291"/>
      <c r="F10291"/>
      <c r="G10291"/>
      <c r="H10291"/>
      <c r="I10291"/>
      <c r="J10291"/>
      <c r="K10291"/>
    </row>
    <row r="10292" spans="1:11" ht="15" x14ac:dyDescent="0.3">
      <c r="A10292"/>
      <c r="B10292"/>
      <c r="C10292"/>
      <c r="D10292"/>
      <c r="E10292"/>
      <c r="F10292"/>
      <c r="G10292"/>
      <c r="H10292"/>
      <c r="I10292"/>
      <c r="J10292"/>
      <c r="K10292"/>
    </row>
    <row r="10293" spans="1:11" ht="15" x14ac:dyDescent="0.3">
      <c r="A10293"/>
      <c r="B10293"/>
      <c r="C10293"/>
      <c r="D10293"/>
      <c r="E10293"/>
      <c r="F10293"/>
      <c r="G10293"/>
      <c r="H10293"/>
      <c r="I10293"/>
      <c r="J10293"/>
      <c r="K10293"/>
    </row>
    <row r="10294" spans="1:11" ht="15" x14ac:dyDescent="0.3">
      <c r="A10294"/>
      <c r="B10294"/>
      <c r="C10294"/>
      <c r="D10294"/>
      <c r="E10294"/>
      <c r="F10294"/>
      <c r="G10294"/>
      <c r="H10294"/>
      <c r="I10294"/>
      <c r="J10294"/>
      <c r="K10294"/>
    </row>
    <row r="10295" spans="1:11" ht="15" x14ac:dyDescent="0.3">
      <c r="A10295"/>
      <c r="B10295"/>
      <c r="C10295"/>
      <c r="D10295"/>
      <c r="E10295"/>
      <c r="F10295"/>
      <c r="G10295"/>
      <c r="H10295"/>
      <c r="I10295"/>
      <c r="J10295"/>
      <c r="K10295"/>
    </row>
    <row r="10296" spans="1:11" ht="15" x14ac:dyDescent="0.3">
      <c r="A10296"/>
      <c r="B10296"/>
      <c r="C10296"/>
      <c r="D10296"/>
      <c r="E10296"/>
      <c r="F10296"/>
      <c r="G10296"/>
      <c r="H10296"/>
      <c r="I10296"/>
      <c r="J10296"/>
      <c r="K10296"/>
    </row>
    <row r="10297" spans="1:11" ht="15" x14ac:dyDescent="0.3">
      <c r="A10297"/>
      <c r="B10297"/>
      <c r="C10297"/>
      <c r="D10297"/>
      <c r="E10297"/>
      <c r="F10297"/>
      <c r="G10297"/>
      <c r="H10297"/>
      <c r="I10297"/>
      <c r="J10297"/>
      <c r="K10297"/>
    </row>
    <row r="10298" spans="1:11" ht="15" x14ac:dyDescent="0.3">
      <c r="A10298"/>
      <c r="B10298"/>
      <c r="C10298"/>
      <c r="D10298"/>
      <c r="E10298"/>
      <c r="F10298"/>
      <c r="G10298"/>
      <c r="H10298"/>
      <c r="I10298"/>
      <c r="J10298"/>
      <c r="K10298"/>
    </row>
    <row r="10299" spans="1:11" ht="15" x14ac:dyDescent="0.3">
      <c r="A10299"/>
      <c r="B10299"/>
      <c r="C10299"/>
      <c r="D10299"/>
      <c r="E10299"/>
      <c r="F10299"/>
      <c r="G10299"/>
      <c r="H10299"/>
      <c r="I10299"/>
      <c r="J10299"/>
      <c r="K10299"/>
    </row>
    <row r="10300" spans="1:11" ht="15" x14ac:dyDescent="0.3">
      <c r="A10300"/>
      <c r="B10300"/>
      <c r="C10300"/>
      <c r="D10300"/>
      <c r="E10300"/>
      <c r="F10300"/>
      <c r="G10300"/>
      <c r="H10300"/>
      <c r="I10300"/>
      <c r="J10300"/>
      <c r="K10300"/>
    </row>
    <row r="10301" spans="1:11" ht="15" x14ac:dyDescent="0.3">
      <c r="A10301"/>
      <c r="B10301"/>
      <c r="C10301"/>
      <c r="D10301"/>
      <c r="E10301"/>
      <c r="F10301"/>
      <c r="G10301"/>
      <c r="H10301"/>
      <c r="I10301"/>
      <c r="J10301"/>
      <c r="K10301"/>
    </row>
    <row r="10302" spans="1:11" ht="15" x14ac:dyDescent="0.3">
      <c r="A10302"/>
      <c r="B10302"/>
      <c r="C10302"/>
      <c r="D10302"/>
      <c r="E10302"/>
      <c r="F10302"/>
      <c r="G10302"/>
      <c r="H10302"/>
      <c r="I10302"/>
      <c r="J10302"/>
      <c r="K10302"/>
    </row>
    <row r="10303" spans="1:11" ht="15" x14ac:dyDescent="0.3">
      <c r="A10303"/>
      <c r="B10303"/>
      <c r="C10303"/>
      <c r="D10303"/>
      <c r="E10303"/>
      <c r="F10303"/>
      <c r="G10303"/>
      <c r="H10303"/>
      <c r="I10303"/>
      <c r="J10303"/>
      <c r="K10303"/>
    </row>
    <row r="10304" spans="1:11" ht="15" x14ac:dyDescent="0.3">
      <c r="A10304"/>
      <c r="B10304"/>
      <c r="C10304"/>
      <c r="D10304"/>
      <c r="E10304"/>
      <c r="F10304"/>
      <c r="G10304"/>
      <c r="H10304"/>
      <c r="I10304"/>
      <c r="J10304"/>
      <c r="K10304"/>
    </row>
    <row r="10305" spans="1:11" ht="15" x14ac:dyDescent="0.3">
      <c r="A10305"/>
      <c r="B10305"/>
      <c r="C10305"/>
      <c r="D10305"/>
      <c r="E10305"/>
      <c r="F10305"/>
      <c r="G10305"/>
      <c r="H10305"/>
      <c r="I10305"/>
      <c r="J10305"/>
      <c r="K10305"/>
    </row>
    <row r="10306" spans="1:11" ht="15" x14ac:dyDescent="0.3">
      <c r="A10306"/>
      <c r="B10306"/>
      <c r="C10306"/>
      <c r="D10306"/>
      <c r="E10306"/>
      <c r="F10306"/>
      <c r="G10306"/>
      <c r="H10306"/>
      <c r="I10306"/>
      <c r="J10306"/>
      <c r="K10306"/>
    </row>
    <row r="10307" spans="1:11" ht="15" x14ac:dyDescent="0.3">
      <c r="A10307"/>
      <c r="B10307"/>
      <c r="C10307"/>
      <c r="D10307"/>
      <c r="E10307"/>
      <c r="F10307"/>
      <c r="G10307"/>
      <c r="H10307"/>
      <c r="I10307"/>
      <c r="J10307"/>
      <c r="K10307"/>
    </row>
  </sheetData>
  <mergeCells count="8451">
    <mergeCell ref="E3766:F3766"/>
    <mergeCell ref="E3767:F3767"/>
    <mergeCell ref="E3768:F3768"/>
    <mergeCell ref="E3805:F3805"/>
    <mergeCell ref="E3806:F3806"/>
    <mergeCell ref="E8880:F8880"/>
    <mergeCell ref="E8881:F8881"/>
    <mergeCell ref="E8882:F8882"/>
    <mergeCell ref="E8888:F8888"/>
    <mergeCell ref="E8889:F8889"/>
    <mergeCell ref="E8890:F8890"/>
    <mergeCell ref="E1000:F1000"/>
    <mergeCell ref="E964:F964"/>
    <mergeCell ref="E965:F965"/>
    <mergeCell ref="E963:F963"/>
    <mergeCell ref="E1705:F1705"/>
    <mergeCell ref="E1706:F1706"/>
    <mergeCell ref="E1709:F1709"/>
    <mergeCell ref="E1512:F1512"/>
    <mergeCell ref="E6456:F6456"/>
    <mergeCell ref="E6457:F6457"/>
    <mergeCell ref="E2835:F2835"/>
    <mergeCell ref="E2836:F2836"/>
    <mergeCell ref="E8855:F8855"/>
    <mergeCell ref="E8726:F8726"/>
    <mergeCell ref="E8778:F8778"/>
    <mergeCell ref="E8812:F8812"/>
    <mergeCell ref="E8818:F8818"/>
    <mergeCell ref="E8819:F8819"/>
    <mergeCell ref="E8727:F8727"/>
    <mergeCell ref="E6814:F6814"/>
    <mergeCell ref="E6811:F6811"/>
    <mergeCell ref="H7148:I7148"/>
    <mergeCell ref="E7151:F7151"/>
    <mergeCell ref="E7073:F7073"/>
    <mergeCell ref="E7074:F7074"/>
    <mergeCell ref="E7274:F7274"/>
    <mergeCell ref="E7275:F7275"/>
    <mergeCell ref="E4568:F4568"/>
    <mergeCell ref="E4569:F4569"/>
    <mergeCell ref="E2734:F2734"/>
    <mergeCell ref="E2735:F2735"/>
    <mergeCell ref="E2742:F2742"/>
    <mergeCell ref="E2743:F2743"/>
    <mergeCell ref="E2744:F2744"/>
    <mergeCell ref="E2745:F2745"/>
    <mergeCell ref="E2746:F2746"/>
    <mergeCell ref="E2783:F2783"/>
    <mergeCell ref="E2751:F2751"/>
    <mergeCell ref="E4212:F4212"/>
    <mergeCell ref="E4213:F4213"/>
    <mergeCell ref="E4186:F4186"/>
    <mergeCell ref="E4187:F4187"/>
    <mergeCell ref="E4195:F4195"/>
    <mergeCell ref="E4196:F4196"/>
    <mergeCell ref="E3999:F3999"/>
    <mergeCell ref="E4000:F4000"/>
    <mergeCell ref="E4006:F4006"/>
    <mergeCell ref="E4007:F4007"/>
    <mergeCell ref="E4017:F4017"/>
    <mergeCell ref="E4018:F4018"/>
    <mergeCell ref="E3844:F3844"/>
    <mergeCell ref="E3753:F3753"/>
    <mergeCell ref="E3754:F3754"/>
    <mergeCell ref="E6812:F6812"/>
    <mergeCell ref="E6813:F6813"/>
    <mergeCell ref="E5995:F5995"/>
    <mergeCell ref="E5996:F5996"/>
    <mergeCell ref="E6798:F6798"/>
    <mergeCell ref="E6799:F6799"/>
    <mergeCell ref="E6804:F6804"/>
    <mergeCell ref="E6805:F6805"/>
    <mergeCell ref="E6779:F6779"/>
    <mergeCell ref="E7071:F7071"/>
    <mergeCell ref="E7072:F7072"/>
    <mergeCell ref="E7057:F7057"/>
    <mergeCell ref="E7058:F7058"/>
    <mergeCell ref="E7066:F7066"/>
    <mergeCell ref="E7064:F7064"/>
    <mergeCell ref="E7065:F7065"/>
    <mergeCell ref="E6927:F6927"/>
    <mergeCell ref="E6928:F6928"/>
    <mergeCell ref="E6929:F6929"/>
    <mergeCell ref="E6935:F6935"/>
    <mergeCell ref="E6962:F6962"/>
    <mergeCell ref="E6887:F6887"/>
    <mergeCell ref="E6888:F6888"/>
    <mergeCell ref="E6990:F6990"/>
    <mergeCell ref="E6988:F6988"/>
    <mergeCell ref="E6994:F6994"/>
    <mergeCell ref="E7022:F7022"/>
    <mergeCell ref="E7023:F7023"/>
    <mergeCell ref="E7024:F7024"/>
    <mergeCell ref="E7053:F7053"/>
    <mergeCell ref="A6512:E6512"/>
    <mergeCell ref="F6512:I6512"/>
    <mergeCell ref="E5324:F5324"/>
    <mergeCell ref="E5325:F5325"/>
    <mergeCell ref="E5281:F5281"/>
    <mergeCell ref="E5289:F5289"/>
    <mergeCell ref="E5290:F5290"/>
    <mergeCell ref="E5291:F5291"/>
    <mergeCell ref="E5292:F5292"/>
    <mergeCell ref="E5298:F5298"/>
    <mergeCell ref="E5299:F5299"/>
    <mergeCell ref="E5300:F5300"/>
    <mergeCell ref="E5301:F5301"/>
    <mergeCell ref="E5322:F5322"/>
    <mergeCell ref="E5536:F5536"/>
    <mergeCell ref="E5537:F5537"/>
    <mergeCell ref="E5581:F5581"/>
    <mergeCell ref="E5558:F5558"/>
    <mergeCell ref="E5559:F5559"/>
    <mergeCell ref="E5564:F5564"/>
    <mergeCell ref="E5565:F5565"/>
    <mergeCell ref="E5575:F5575"/>
    <mergeCell ref="E5579:F5579"/>
    <mergeCell ref="E5580:F5580"/>
    <mergeCell ref="E5545:F5545"/>
    <mergeCell ref="E5471:F5471"/>
    <mergeCell ref="E5473:F5473"/>
    <mergeCell ref="E5474:F5474"/>
    <mergeCell ref="E5472:F5472"/>
    <mergeCell ref="E5456:F5456"/>
    <mergeCell ref="E5457:F5457"/>
    <mergeCell ref="E5323:F5323"/>
    <mergeCell ref="E5459:F5459"/>
    <mergeCell ref="E5445:F5445"/>
    <mergeCell ref="E4987:F4987"/>
    <mergeCell ref="E5288:F5288"/>
    <mergeCell ref="E5280:F5280"/>
    <mergeCell ref="E5067:F5067"/>
    <mergeCell ref="E4977:F4977"/>
    <mergeCell ref="E4978:F4978"/>
    <mergeCell ref="E4979:F4979"/>
    <mergeCell ref="E4986:F4986"/>
    <mergeCell ref="E4995:F4995"/>
    <mergeCell ref="E4996:F4996"/>
    <mergeCell ref="E5039:F5039"/>
    <mergeCell ref="E5040:F5040"/>
    <mergeCell ref="E5052:F5052"/>
    <mergeCell ref="E5057:F5057"/>
    <mergeCell ref="E5068:F5068"/>
    <mergeCell ref="E5006:F5006"/>
    <mergeCell ref="E5007:F5007"/>
    <mergeCell ref="E5028:F5028"/>
    <mergeCell ref="E5225:F5225"/>
    <mergeCell ref="E5226:F5226"/>
    <mergeCell ref="E5232:F5232"/>
    <mergeCell ref="E5204:F5204"/>
    <mergeCell ref="E5205:F5205"/>
    <mergeCell ref="E5120:F5120"/>
    <mergeCell ref="E5121:F5121"/>
    <mergeCell ref="E5122:F5122"/>
    <mergeCell ref="E5136:F5136"/>
    <mergeCell ref="E5149:F5149"/>
    <mergeCell ref="E5150:F5150"/>
    <mergeCell ref="E5158:F5158"/>
    <mergeCell ref="E5159:F5159"/>
    <mergeCell ref="E5142:F5142"/>
    <mergeCell ref="E4365:F4365"/>
    <mergeCell ref="E4366:F4366"/>
    <mergeCell ref="E4406:F4406"/>
    <mergeCell ref="E4407:F4407"/>
    <mergeCell ref="E4456:F4456"/>
    <mergeCell ref="E4457:F4457"/>
    <mergeCell ref="E4458:F4458"/>
    <mergeCell ref="E4459:F4459"/>
    <mergeCell ref="E4502:F4502"/>
    <mergeCell ref="E4657:F4657"/>
    <mergeCell ref="E4658:F4658"/>
    <mergeCell ref="E4616:F4616"/>
    <mergeCell ref="E4460:F4460"/>
    <mergeCell ref="E4647:F4647"/>
    <mergeCell ref="E4648:F4648"/>
    <mergeCell ref="E4315:F4315"/>
    <mergeCell ref="E4316:F4316"/>
    <mergeCell ref="E4317:F4317"/>
    <mergeCell ref="E4318:F4318"/>
    <mergeCell ref="E4319:F4319"/>
    <mergeCell ref="E4566:F4566"/>
    <mergeCell ref="E4567:F4567"/>
    <mergeCell ref="E4533:F4533"/>
    <mergeCell ref="E4538:F4538"/>
    <mergeCell ref="E4539:F4539"/>
    <mergeCell ref="E4476:F4476"/>
    <mergeCell ref="E4487:F4487"/>
    <mergeCell ref="E4497:F4497"/>
    <mergeCell ref="E4503:F4503"/>
    <mergeCell ref="E4504:F4504"/>
    <mergeCell ref="E4627:F4627"/>
    <mergeCell ref="E4628:F4628"/>
    <mergeCell ref="E3527:F3527"/>
    <mergeCell ref="E3528:F3528"/>
    <mergeCell ref="E3807:F3807"/>
    <mergeCell ref="E3816:F3816"/>
    <mergeCell ref="E3823:F3823"/>
    <mergeCell ref="E3843:F3843"/>
    <mergeCell ref="E3895:F3895"/>
    <mergeCell ref="E3896:F3896"/>
    <mergeCell ref="E3897:F3897"/>
    <mergeCell ref="E3887:F3887"/>
    <mergeCell ref="E3418:F3418"/>
    <mergeCell ref="E3419:F3419"/>
    <mergeCell ref="E3420:F3420"/>
    <mergeCell ref="E3421:F3421"/>
    <mergeCell ref="E3506:F3506"/>
    <mergeCell ref="E3507:F3507"/>
    <mergeCell ref="E3555:F3555"/>
    <mergeCell ref="E3508:F3508"/>
    <mergeCell ref="E3509:F3509"/>
    <mergeCell ref="E3864:F3864"/>
    <mergeCell ref="E3871:F3871"/>
    <mergeCell ref="E3872:F3872"/>
    <mergeCell ref="E3798:F3798"/>
    <mergeCell ref="E3554:F3554"/>
    <mergeCell ref="E3540:F3540"/>
    <mergeCell ref="E3484:F3484"/>
    <mergeCell ref="E3485:F3485"/>
    <mergeCell ref="E3493:F3493"/>
    <mergeCell ref="E3501:F3501"/>
    <mergeCell ref="E3473:F3473"/>
    <mergeCell ref="E3489:F3489"/>
    <mergeCell ref="E3497:F3497"/>
    <mergeCell ref="E3516:F3516"/>
    <mergeCell ref="E3517:F3517"/>
    <mergeCell ref="E3518:F3518"/>
    <mergeCell ref="E3519:F3519"/>
    <mergeCell ref="E3525:F3525"/>
    <mergeCell ref="E3526:F3526"/>
    <mergeCell ref="H2772:I2772"/>
    <mergeCell ref="E2778:F2778"/>
    <mergeCell ref="E2790:F2790"/>
    <mergeCell ref="E2791:F2791"/>
    <mergeCell ref="E2792:F2792"/>
    <mergeCell ref="E2800:F2800"/>
    <mergeCell ref="E2777:F2777"/>
    <mergeCell ref="E3089:F3089"/>
    <mergeCell ref="E3090:F3090"/>
    <mergeCell ref="E3091:F3091"/>
    <mergeCell ref="E3138:F3138"/>
    <mergeCell ref="E3139:F3139"/>
    <mergeCell ref="E3131:F3131"/>
    <mergeCell ref="E3212:F3212"/>
    <mergeCell ref="E3264:F3264"/>
    <mergeCell ref="E3194:F3194"/>
    <mergeCell ref="E3195:F3195"/>
    <mergeCell ref="E3202:F3202"/>
    <mergeCell ref="E3203:F3203"/>
    <mergeCell ref="E3498:F3498"/>
    <mergeCell ref="E3499:F3499"/>
    <mergeCell ref="E3046:F3046"/>
    <mergeCell ref="E3047:F3047"/>
    <mergeCell ref="E3048:F3048"/>
    <mergeCell ref="E3056:F3056"/>
    <mergeCell ref="E3057:F3057"/>
    <mergeCell ref="E1919:F1919"/>
    <mergeCell ref="E1975:F1975"/>
    <mergeCell ref="E1976:F1976"/>
    <mergeCell ref="E1984:F1984"/>
    <mergeCell ref="E1944:F1944"/>
    <mergeCell ref="E2328:F2328"/>
    <mergeCell ref="E1522:F1522"/>
    <mergeCell ref="E1523:F1523"/>
    <mergeCell ref="E1524:F1524"/>
    <mergeCell ref="E1525:F1525"/>
    <mergeCell ref="E1531:F1531"/>
    <mergeCell ref="E1532:F1532"/>
    <mergeCell ref="E1533:F1533"/>
    <mergeCell ref="E1534:F1534"/>
    <mergeCell ref="E1607:F1607"/>
    <mergeCell ref="E1656:F1656"/>
    <mergeCell ref="E1698:F1698"/>
    <mergeCell ref="E1699:F1699"/>
    <mergeCell ref="E1700:F1700"/>
    <mergeCell ref="E1893:F1893"/>
    <mergeCell ref="E1538:F1538"/>
    <mergeCell ref="E1539:F1539"/>
    <mergeCell ref="E1540:F1540"/>
    <mergeCell ref="E1526:F1526"/>
    <mergeCell ref="E2085:F2085"/>
    <mergeCell ref="E2099:F2099"/>
    <mergeCell ref="E2100:F2100"/>
    <mergeCell ref="E2101:F2101"/>
    <mergeCell ref="E2102:F2102"/>
    <mergeCell ref="E2103:F2103"/>
    <mergeCell ref="E2108:F2108"/>
    <mergeCell ref="E2109:F2109"/>
    <mergeCell ref="E957:F957"/>
    <mergeCell ref="E958:F958"/>
    <mergeCell ref="E922:F922"/>
    <mergeCell ref="E923:F923"/>
    <mergeCell ref="E924:F924"/>
    <mergeCell ref="E932:F932"/>
    <mergeCell ref="E933:F933"/>
    <mergeCell ref="E783:F783"/>
    <mergeCell ref="E792:F792"/>
    <mergeCell ref="E793:F793"/>
    <mergeCell ref="E794:F794"/>
    <mergeCell ref="E790:F790"/>
    <mergeCell ref="E791:F791"/>
    <mergeCell ref="E799:F799"/>
    <mergeCell ref="E800:F800"/>
    <mergeCell ref="E738:F738"/>
    <mergeCell ref="E739:F739"/>
    <mergeCell ref="E740:F740"/>
    <mergeCell ref="E744:F744"/>
    <mergeCell ref="E804:F804"/>
    <mergeCell ref="E900:F900"/>
    <mergeCell ref="E743:F743"/>
    <mergeCell ref="E814:F814"/>
    <mergeCell ref="E815:F815"/>
    <mergeCell ref="E819:F819"/>
    <mergeCell ref="E769:F769"/>
    <mergeCell ref="E770:F770"/>
    <mergeCell ref="E880:F880"/>
    <mergeCell ref="E881:F881"/>
    <mergeCell ref="E418:F418"/>
    <mergeCell ref="E419:F419"/>
    <mergeCell ref="E420:F420"/>
    <mergeCell ref="E517:F517"/>
    <mergeCell ref="E495:F495"/>
    <mergeCell ref="E496:F496"/>
    <mergeCell ref="E518:F518"/>
    <mergeCell ref="E519:F519"/>
    <mergeCell ref="E472:F472"/>
    <mergeCell ref="E479:F479"/>
    <mergeCell ref="E480:F480"/>
    <mergeCell ref="E438:F438"/>
    <mergeCell ref="E898:F898"/>
    <mergeCell ref="E899:F899"/>
    <mergeCell ref="E950:F950"/>
    <mergeCell ref="E805:F805"/>
    <mergeCell ref="E811:F811"/>
    <mergeCell ref="E820:F820"/>
    <mergeCell ref="E901:F901"/>
    <mergeCell ref="E637:F637"/>
    <mergeCell ref="E638:F638"/>
    <mergeCell ref="E685:F685"/>
    <mergeCell ref="E748:F748"/>
    <mergeCell ref="E755:F755"/>
    <mergeCell ref="E716:F716"/>
    <mergeCell ref="E717:F717"/>
    <mergeCell ref="E718:F718"/>
    <mergeCell ref="E719:F719"/>
    <mergeCell ref="E732:F732"/>
    <mergeCell ref="E733:F733"/>
    <mergeCell ref="E614:F614"/>
    <mergeCell ref="E487:F487"/>
    <mergeCell ref="E283:F283"/>
    <mergeCell ref="E284:F284"/>
    <mergeCell ref="E365:F365"/>
    <mergeCell ref="E325:F325"/>
    <mergeCell ref="E394:F394"/>
    <mergeCell ref="E395:F395"/>
    <mergeCell ref="E380:F380"/>
    <mergeCell ref="E381:F381"/>
    <mergeCell ref="E342:F342"/>
    <mergeCell ref="E269:F269"/>
    <mergeCell ref="E270:F270"/>
    <mergeCell ref="E271:F271"/>
    <mergeCell ref="E275:F275"/>
    <mergeCell ref="E276:F276"/>
    <mergeCell ref="E277:F277"/>
    <mergeCell ref="E278:F278"/>
    <mergeCell ref="E279:F279"/>
    <mergeCell ref="E280:F280"/>
    <mergeCell ref="E281:F281"/>
    <mergeCell ref="E285:F285"/>
    <mergeCell ref="E301:F301"/>
    <mergeCell ref="E302:F302"/>
    <mergeCell ref="E306:F306"/>
    <mergeCell ref="E307:F307"/>
    <mergeCell ref="E308:F308"/>
    <mergeCell ref="E309:F309"/>
    <mergeCell ref="E305:F305"/>
    <mergeCell ref="E311:F311"/>
    <mergeCell ref="E312:F312"/>
    <mergeCell ref="E313:F313"/>
    <mergeCell ref="E314:F314"/>
    <mergeCell ref="E315:F315"/>
    <mergeCell ref="E8458:F8458"/>
    <mergeCell ref="E8459:F8459"/>
    <mergeCell ref="E8487:F8487"/>
    <mergeCell ref="E8488:F8488"/>
    <mergeCell ref="E8463:F8463"/>
    <mergeCell ref="E8464:F8464"/>
    <mergeCell ref="E8465:F8465"/>
    <mergeCell ref="E8466:F8466"/>
    <mergeCell ref="E8467:F8467"/>
    <mergeCell ref="E8473:F8473"/>
    <mergeCell ref="E8474:F8474"/>
    <mergeCell ref="E8471:F8471"/>
    <mergeCell ref="E8472:F8472"/>
    <mergeCell ref="E8481:F8481"/>
    <mergeCell ref="E8475:F8475"/>
    <mergeCell ref="A8598:E8598"/>
    <mergeCell ref="F8598:I8598"/>
    <mergeCell ref="H8520:I8520"/>
    <mergeCell ref="E8524:F8524"/>
    <mergeCell ref="E8562:F8562"/>
    <mergeCell ref="E8563:F8563"/>
    <mergeCell ref="E8564:F8564"/>
    <mergeCell ref="E8542:F8542"/>
    <mergeCell ref="E8543:F8543"/>
    <mergeCell ref="E8522:F8522"/>
    <mergeCell ref="E8523:F8523"/>
    <mergeCell ref="E8502:F8502"/>
    <mergeCell ref="E8503:F8503"/>
    <mergeCell ref="E8504:F8504"/>
    <mergeCell ref="G8544:H8544"/>
    <mergeCell ref="I8544:I8545"/>
    <mergeCell ref="H8560:I8560"/>
    <mergeCell ref="E8385:F8385"/>
    <mergeCell ref="E8393:F8393"/>
    <mergeCell ref="E8394:F8394"/>
    <mergeCell ref="E8395:F8395"/>
    <mergeCell ref="E8403:F8403"/>
    <mergeCell ref="E8404:F8404"/>
    <mergeCell ref="E8448:F8448"/>
    <mergeCell ref="E8449:F8449"/>
    <mergeCell ref="E8450:F8450"/>
    <mergeCell ref="E8436:F8436"/>
    <mergeCell ref="E8437:F8437"/>
    <mergeCell ref="E8438:F8438"/>
    <mergeCell ref="E8444:F8444"/>
    <mergeCell ref="E8445:F8445"/>
    <mergeCell ref="E8446:F8446"/>
    <mergeCell ref="E8440:F8440"/>
    <mergeCell ref="E8441:F8441"/>
    <mergeCell ref="E8036:F8036"/>
    <mergeCell ref="E8297:F8297"/>
    <mergeCell ref="E8298:F8298"/>
    <mergeCell ref="E8299:F8299"/>
    <mergeCell ref="E8342:F8342"/>
    <mergeCell ref="E8343:F8343"/>
    <mergeCell ref="E8354:F8354"/>
    <mergeCell ref="E8360:F8360"/>
    <mergeCell ref="E8361:F8361"/>
    <mergeCell ref="E8372:F8372"/>
    <mergeCell ref="E8309:F8309"/>
    <mergeCell ref="E8310:F8310"/>
    <mergeCell ref="E8311:F8311"/>
    <mergeCell ref="E8321:F8321"/>
    <mergeCell ref="E8347:F8347"/>
    <mergeCell ref="H8375:I8375"/>
    <mergeCell ref="E8384:F8384"/>
    <mergeCell ref="E8365:F8365"/>
    <mergeCell ref="E8366:F8366"/>
    <mergeCell ref="E8367:F8367"/>
    <mergeCell ref="E8371:F8371"/>
    <mergeCell ref="E8373:F8373"/>
    <mergeCell ref="E8377:F8377"/>
    <mergeCell ref="E8378:F8378"/>
    <mergeCell ref="E8379:F8379"/>
    <mergeCell ref="E8380:F8380"/>
    <mergeCell ref="E8348:F8348"/>
    <mergeCell ref="E8349:F8349"/>
    <mergeCell ref="E8355:F8355"/>
    <mergeCell ref="E8359:F8359"/>
    <mergeCell ref="E8339:F8339"/>
    <mergeCell ref="E8340:F8340"/>
    <mergeCell ref="E7118:F7118"/>
    <mergeCell ref="E7119:F7119"/>
    <mergeCell ref="E7120:F7120"/>
    <mergeCell ref="E7125:F7125"/>
    <mergeCell ref="E7126:F7126"/>
    <mergeCell ref="E7112:F7112"/>
    <mergeCell ref="E7090:F7090"/>
    <mergeCell ref="E7091:F7091"/>
    <mergeCell ref="E7164:F7164"/>
    <mergeCell ref="E7165:F7165"/>
    <mergeCell ref="E7166:F7166"/>
    <mergeCell ref="H7168:I7168"/>
    <mergeCell ref="E7172:F7172"/>
    <mergeCell ref="E7173:F7173"/>
    <mergeCell ref="E7758:F7758"/>
    <mergeCell ref="E7873:F7873"/>
    <mergeCell ref="E7874:F7874"/>
    <mergeCell ref="E7869:F7869"/>
    <mergeCell ref="E7759:F7759"/>
    <mergeCell ref="E7867:F7867"/>
    <mergeCell ref="E7832:F7832"/>
    <mergeCell ref="E7844:F7844"/>
    <mergeCell ref="E7831:F7831"/>
    <mergeCell ref="E7837:F7837"/>
    <mergeCell ref="E7838:F7838"/>
    <mergeCell ref="E7664:F7664"/>
    <mergeCell ref="E7665:F7665"/>
    <mergeCell ref="E7103:F7103"/>
    <mergeCell ref="E7104:F7104"/>
    <mergeCell ref="E7105:F7105"/>
    <mergeCell ref="E7658:F7658"/>
    <mergeCell ref="E7663:F7663"/>
    <mergeCell ref="H6822:I6822"/>
    <mergeCell ref="E6824:F6824"/>
    <mergeCell ref="E6825:F6825"/>
    <mergeCell ref="E6837:F6837"/>
    <mergeCell ref="E6844:F6844"/>
    <mergeCell ref="E6845:F6845"/>
    <mergeCell ref="E6851:F6851"/>
    <mergeCell ref="E6846:F6846"/>
    <mergeCell ref="E6852:F6852"/>
    <mergeCell ref="A6705:E6705"/>
    <mergeCell ref="F6705:I6705"/>
    <mergeCell ref="A6706:E6706"/>
    <mergeCell ref="F6706:I6706"/>
    <mergeCell ref="A6707:E6707"/>
    <mergeCell ref="F6707:I6707"/>
    <mergeCell ref="G6708:I6708"/>
    <mergeCell ref="G6709:I6709"/>
    <mergeCell ref="G6710:I6710"/>
    <mergeCell ref="A6711:E6711"/>
    <mergeCell ref="F6711:I6711"/>
    <mergeCell ref="G6712:I6712"/>
    <mergeCell ref="G6713:I6713"/>
    <mergeCell ref="G6714:I6714"/>
    <mergeCell ref="G6715:I6715"/>
    <mergeCell ref="E6727:F6727"/>
    <mergeCell ref="E6732:F6732"/>
    <mergeCell ref="E6726:F6726"/>
    <mergeCell ref="E6731:F6731"/>
    <mergeCell ref="A6716:E6716"/>
    <mergeCell ref="F6716:I6716"/>
    <mergeCell ref="H6718:I6718"/>
    <mergeCell ref="E6722:F6722"/>
    <mergeCell ref="E6542:F6542"/>
    <mergeCell ref="E6569:F6569"/>
    <mergeCell ref="E6570:F6570"/>
    <mergeCell ref="E6616:F6616"/>
    <mergeCell ref="E6623:F6623"/>
    <mergeCell ref="E6627:F6627"/>
    <mergeCell ref="E6610:F6610"/>
    <mergeCell ref="A6518:E6518"/>
    <mergeCell ref="F6518:I6518"/>
    <mergeCell ref="A6525:E6525"/>
    <mergeCell ref="F6525:I6525"/>
    <mergeCell ref="H6527:I6527"/>
    <mergeCell ref="E6529:F6529"/>
    <mergeCell ref="E6530:F6530"/>
    <mergeCell ref="E6531:F6531"/>
    <mergeCell ref="E6532:F6532"/>
    <mergeCell ref="E6533:F6533"/>
    <mergeCell ref="E6534:F6534"/>
    <mergeCell ref="E6589:F6589"/>
    <mergeCell ref="E6590:F6590"/>
    <mergeCell ref="E6591:F6591"/>
    <mergeCell ref="E6626:F6626"/>
    <mergeCell ref="E6573:F6573"/>
    <mergeCell ref="E6577:F6577"/>
    <mergeCell ref="E6574:F6574"/>
    <mergeCell ref="E6575:F6575"/>
    <mergeCell ref="E6594:F6594"/>
    <mergeCell ref="H6596:I6596"/>
    <mergeCell ref="E6599:F6599"/>
    <mergeCell ref="E6600:F6600"/>
    <mergeCell ref="A6549:E6549"/>
    <mergeCell ref="F6549:I6549"/>
    <mergeCell ref="A6506:E6506"/>
    <mergeCell ref="F6506:I6506"/>
    <mergeCell ref="F6507:I6507"/>
    <mergeCell ref="A6509:E6509"/>
    <mergeCell ref="F6509:I6509"/>
    <mergeCell ref="A6510:E6510"/>
    <mergeCell ref="F6510:I6510"/>
    <mergeCell ref="A6511:E6511"/>
    <mergeCell ref="F6511:I6511"/>
    <mergeCell ref="E6159:F6159"/>
    <mergeCell ref="E6167:F6167"/>
    <mergeCell ref="E6144:F6144"/>
    <mergeCell ref="H6161:I6161"/>
    <mergeCell ref="E6164:F6164"/>
    <mergeCell ref="E6165:F6165"/>
    <mergeCell ref="E6166:F6166"/>
    <mergeCell ref="H6170:I6170"/>
    <mergeCell ref="E6146:F6146"/>
    <mergeCell ref="E6147:F6147"/>
    <mergeCell ref="E6154:F6154"/>
    <mergeCell ref="E6155:F6155"/>
    <mergeCell ref="E6156:F6156"/>
    <mergeCell ref="E6168:F6168"/>
    <mergeCell ref="E6345:F6345"/>
    <mergeCell ref="E6349:F6349"/>
    <mergeCell ref="E6350:F6350"/>
    <mergeCell ref="E6336:F6336"/>
    <mergeCell ref="E6346:F6346"/>
    <mergeCell ref="E6347:F6347"/>
    <mergeCell ref="E6302:F6302"/>
    <mergeCell ref="E6308:F6308"/>
    <mergeCell ref="E6309:F6309"/>
    <mergeCell ref="E6082:F6082"/>
    <mergeCell ref="E6083:F6083"/>
    <mergeCell ref="E6084:F6084"/>
    <mergeCell ref="E6085:F6085"/>
    <mergeCell ref="E6092:F6092"/>
    <mergeCell ref="E6096:F6096"/>
    <mergeCell ref="E6097:F6097"/>
    <mergeCell ref="E6098:F6098"/>
    <mergeCell ref="E6099:F6099"/>
    <mergeCell ref="E6030:F6030"/>
    <mergeCell ref="E6039:F6039"/>
    <mergeCell ref="E6040:F6040"/>
    <mergeCell ref="E6057:F6057"/>
    <mergeCell ref="E6070:F6070"/>
    <mergeCell ref="E6112:F6112"/>
    <mergeCell ref="E6107:F6107"/>
    <mergeCell ref="E6111:F6111"/>
    <mergeCell ref="E6076:F6076"/>
    <mergeCell ref="E6077:F6077"/>
    <mergeCell ref="E6074:F6074"/>
    <mergeCell ref="E6075:F6075"/>
    <mergeCell ref="E6073:F6073"/>
    <mergeCell ref="E6103:F6103"/>
    <mergeCell ref="E6104:F6104"/>
    <mergeCell ref="E6105:F6105"/>
    <mergeCell ref="E6106:F6106"/>
    <mergeCell ref="H5920:I5920"/>
    <mergeCell ref="E5922:F5922"/>
    <mergeCell ref="E5923:F5923"/>
    <mergeCell ref="E5924:F5924"/>
    <mergeCell ref="H5929:I5929"/>
    <mergeCell ref="E6031:F6031"/>
    <mergeCell ref="E6016:F6016"/>
    <mergeCell ref="E6037:F6037"/>
    <mergeCell ref="E6038:F6038"/>
    <mergeCell ref="E6046:F6046"/>
    <mergeCell ref="E6047:F6047"/>
    <mergeCell ref="E6048:F6048"/>
    <mergeCell ref="E6056:F6056"/>
    <mergeCell ref="E6009:F6009"/>
    <mergeCell ref="E5964:F5964"/>
    <mergeCell ref="E5965:F5965"/>
    <mergeCell ref="E5971:F5971"/>
    <mergeCell ref="E5981:F5981"/>
    <mergeCell ref="E5982:F5982"/>
    <mergeCell ref="H5976:I5976"/>
    <mergeCell ref="E5978:F5978"/>
    <mergeCell ref="E5979:F5979"/>
    <mergeCell ref="E5980:F5980"/>
    <mergeCell ref="H5984:I5984"/>
    <mergeCell ref="E5986:F5986"/>
    <mergeCell ref="E5990:F5990"/>
    <mergeCell ref="H5992:I5992"/>
    <mergeCell ref="E5936:F5936"/>
    <mergeCell ref="E5940:F5940"/>
    <mergeCell ref="E5960:F5960"/>
    <mergeCell ref="E5970:F5970"/>
    <mergeCell ref="H6001:I6001"/>
    <mergeCell ref="E5849:F5849"/>
    <mergeCell ref="E5855:F5855"/>
    <mergeCell ref="E5864:F5864"/>
    <mergeCell ref="E5797:F5797"/>
    <mergeCell ref="E5798:F5798"/>
    <mergeCell ref="E5840:F5840"/>
    <mergeCell ref="E5799:F5799"/>
    <mergeCell ref="E5801:F5801"/>
    <mergeCell ref="E5802:F5802"/>
    <mergeCell ref="E5803:F5803"/>
    <mergeCell ref="E5807:F5807"/>
    <mergeCell ref="E5816:F5816"/>
    <mergeCell ref="E5821:F5821"/>
    <mergeCell ref="E5822:F5822"/>
    <mergeCell ref="E5800:F5800"/>
    <mergeCell ref="E5750:F5750"/>
    <mergeCell ref="E5754:F5754"/>
    <mergeCell ref="E5755:F5755"/>
    <mergeCell ref="E5762:F5762"/>
    <mergeCell ref="E5763:F5763"/>
    <mergeCell ref="E5764:F5764"/>
    <mergeCell ref="E5765:F5765"/>
    <mergeCell ref="E5796:F5796"/>
    <mergeCell ref="E5756:F5756"/>
    <mergeCell ref="E5791:F5791"/>
    <mergeCell ref="E5792:F5792"/>
    <mergeCell ref="E5777:F5777"/>
    <mergeCell ref="E5601:F5601"/>
    <mergeCell ref="E5690:F5690"/>
    <mergeCell ref="E5691:F5691"/>
    <mergeCell ref="E5591:F5591"/>
    <mergeCell ref="E5592:F5592"/>
    <mergeCell ref="E5593:F5593"/>
    <mergeCell ref="E5598:F5598"/>
    <mergeCell ref="E5479:F5479"/>
    <mergeCell ref="E5480:F5480"/>
    <mergeCell ref="E5409:F5409"/>
    <mergeCell ref="E5410:F5410"/>
    <mergeCell ref="E5411:F5411"/>
    <mergeCell ref="E5538:F5538"/>
    <mergeCell ref="E5539:F5539"/>
    <mergeCell ref="E5540:F5540"/>
    <mergeCell ref="E5541:F5541"/>
    <mergeCell ref="E5520:F5520"/>
    <mergeCell ref="E5521:F5521"/>
    <mergeCell ref="E5522:F5522"/>
    <mergeCell ref="E5531:F5531"/>
    <mergeCell ref="E5529:F5529"/>
    <mergeCell ref="E5530:F5530"/>
    <mergeCell ref="E5451:F5451"/>
    <mergeCell ref="E5460:F5460"/>
    <mergeCell ref="E5461:F5461"/>
    <mergeCell ref="E5462:F5462"/>
    <mergeCell ref="E5463:F5463"/>
    <mergeCell ref="E5470:F5470"/>
    <mergeCell ref="E5468:F5468"/>
    <mergeCell ref="E5469:F5469"/>
    <mergeCell ref="E5440:F5440"/>
    <mergeCell ref="E5446:F5446"/>
    <mergeCell ref="E5318:F5318"/>
    <mergeCell ref="E5319:F5319"/>
    <mergeCell ref="E5320:F5320"/>
    <mergeCell ref="E5321:F5321"/>
    <mergeCell ref="E5239:F5239"/>
    <mergeCell ref="E5240:F5240"/>
    <mergeCell ref="E5246:F5246"/>
    <mergeCell ref="E5247:F5247"/>
    <mergeCell ref="E5248:F5248"/>
    <mergeCell ref="E5669:F5669"/>
    <mergeCell ref="E5670:F5670"/>
    <mergeCell ref="E5671:F5671"/>
    <mergeCell ref="E5680:F5680"/>
    <mergeCell ref="E5681:F5681"/>
    <mergeCell ref="E5682:F5682"/>
    <mergeCell ref="E5688:F5688"/>
    <mergeCell ref="E5689:F5689"/>
    <mergeCell ref="E5602:F5602"/>
    <mergeCell ref="E5630:F5630"/>
    <mergeCell ref="E5631:F5631"/>
    <mergeCell ref="E5603:F5603"/>
    <mergeCell ref="E5604:F5604"/>
    <mergeCell ref="E5607:F5607"/>
    <mergeCell ref="E5608:F5608"/>
    <mergeCell ref="E5643:F5643"/>
    <mergeCell ref="E5644:F5644"/>
    <mergeCell ref="E5645:F5645"/>
    <mergeCell ref="E5646:F5646"/>
    <mergeCell ref="E5589:F5589"/>
    <mergeCell ref="E5590:F5590"/>
    <mergeCell ref="E5599:F5599"/>
    <mergeCell ref="E5600:F5600"/>
    <mergeCell ref="E4919:F4919"/>
    <mergeCell ref="H4921:I4921"/>
    <mergeCell ref="E4924:F4924"/>
    <mergeCell ref="E4925:F4925"/>
    <mergeCell ref="E4926:F4926"/>
    <mergeCell ref="E4927:F4927"/>
    <mergeCell ref="E4935:F4935"/>
    <mergeCell ref="E4936:F4936"/>
    <mergeCell ref="E4942:F4942"/>
    <mergeCell ref="E4943:F4943"/>
    <mergeCell ref="E4923:F4923"/>
    <mergeCell ref="E4931:F4931"/>
    <mergeCell ref="E4918:F4918"/>
    <mergeCell ref="E4947:F4947"/>
    <mergeCell ref="E4948:F4948"/>
    <mergeCell ref="E5334:F5334"/>
    <mergeCell ref="E5335:F5335"/>
    <mergeCell ref="E5100:F5100"/>
    <mergeCell ref="E5233:F5233"/>
    <mergeCell ref="E5190:F5190"/>
    <mergeCell ref="E5191:F5191"/>
    <mergeCell ref="E5143:F5143"/>
    <mergeCell ref="E5144:F5144"/>
    <mergeCell ref="E5145:F5145"/>
    <mergeCell ref="E5167:F5167"/>
    <mergeCell ref="E5172:F5172"/>
    <mergeCell ref="E5181:F5181"/>
    <mergeCell ref="E5215:F5215"/>
    <mergeCell ref="E5216:F5216"/>
    <mergeCell ref="E5123:F5123"/>
    <mergeCell ref="E5124:F5124"/>
    <mergeCell ref="E5125:F5125"/>
    <mergeCell ref="E4894:F4894"/>
    <mergeCell ref="H4897:I4897"/>
    <mergeCell ref="E4900:F4900"/>
    <mergeCell ref="E4905:F4905"/>
    <mergeCell ref="E4915:F4915"/>
    <mergeCell ref="E4916:F4916"/>
    <mergeCell ref="E4917:F4917"/>
    <mergeCell ref="E4895:F4895"/>
    <mergeCell ref="E4901:F4901"/>
    <mergeCell ref="E4902:F4902"/>
    <mergeCell ref="E4903:F4903"/>
    <mergeCell ref="E4904:F4904"/>
    <mergeCell ref="E4911:F4911"/>
    <mergeCell ref="E4912:F4912"/>
    <mergeCell ref="E4913:F4913"/>
    <mergeCell ref="E4914:F4914"/>
    <mergeCell ref="E4906:F4906"/>
    <mergeCell ref="E4907:F4907"/>
    <mergeCell ref="H4909:I4909"/>
    <mergeCell ref="E4629:F4629"/>
    <mergeCell ref="E4636:F4636"/>
    <mergeCell ref="E4637:F4637"/>
    <mergeCell ref="E4602:F4602"/>
    <mergeCell ref="E4748:F4748"/>
    <mergeCell ref="E4749:F4749"/>
    <mergeCell ref="E4750:F4750"/>
    <mergeCell ref="E4758:F4758"/>
    <mergeCell ref="E4814:F4814"/>
    <mergeCell ref="E4815:F4815"/>
    <mergeCell ref="E4768:F4768"/>
    <mergeCell ref="E4769:F4769"/>
    <mergeCell ref="E4777:F4777"/>
    <mergeCell ref="E4778:F4778"/>
    <mergeCell ref="E4779:F4779"/>
    <mergeCell ref="E4780:F4780"/>
    <mergeCell ref="E4787:F4787"/>
    <mergeCell ref="E4788:F4788"/>
    <mergeCell ref="E4746:F4746"/>
    <mergeCell ref="E4747:F4747"/>
    <mergeCell ref="E4811:F4811"/>
    <mergeCell ref="E4812:F4812"/>
    <mergeCell ref="E4813:F4813"/>
    <mergeCell ref="E4773:F4773"/>
    <mergeCell ref="E4792:F4792"/>
    <mergeCell ref="E4793:F4793"/>
    <mergeCell ref="E4617:F4617"/>
    <mergeCell ref="E4694:F4694"/>
    <mergeCell ref="E4689:F4689"/>
    <mergeCell ref="E4646:F4646"/>
    <mergeCell ref="E4649:F4649"/>
    <mergeCell ref="E4643:F4643"/>
    <mergeCell ref="E4488:F4488"/>
    <mergeCell ref="E4489:F4489"/>
    <mergeCell ref="E4479:F4479"/>
    <mergeCell ref="E4480:F4480"/>
    <mergeCell ref="E4477:F4477"/>
    <mergeCell ref="E4478:F4478"/>
    <mergeCell ref="E4464:F4464"/>
    <mergeCell ref="E4465:F4465"/>
    <mergeCell ref="H4473:I4473"/>
    <mergeCell ref="E4475:F4475"/>
    <mergeCell ref="H4482:I4482"/>
    <mergeCell ref="E4484:F4484"/>
    <mergeCell ref="E4485:F4485"/>
    <mergeCell ref="E4486:F4486"/>
    <mergeCell ref="E4493:F4493"/>
    <mergeCell ref="E4498:F4498"/>
    <mergeCell ref="E4511:F4511"/>
    <mergeCell ref="E4466:F4466"/>
    <mergeCell ref="E4467:F4467"/>
    <mergeCell ref="E4468:F4468"/>
    <mergeCell ref="H4491:I4491"/>
    <mergeCell ref="E4494:F4494"/>
    <mergeCell ref="E4495:F4495"/>
    <mergeCell ref="E4496:F4496"/>
    <mergeCell ref="H4500:I4500"/>
    <mergeCell ref="E4506:F4506"/>
    <mergeCell ref="E4507:F4507"/>
    <mergeCell ref="H4509:I4509"/>
    <mergeCell ref="E4396:F4396"/>
    <mergeCell ref="E4397:F4397"/>
    <mergeCell ref="E4398:F4398"/>
    <mergeCell ref="E4401:F4401"/>
    <mergeCell ref="E4402:F4402"/>
    <mergeCell ref="E4449:F4449"/>
    <mergeCell ref="E4450:F4450"/>
    <mergeCell ref="E4471:F4471"/>
    <mergeCell ref="E4470:F4470"/>
    <mergeCell ref="E4469:F4469"/>
    <mergeCell ref="E4446:F4446"/>
    <mergeCell ref="E4447:F4447"/>
    <mergeCell ref="E4448:F4448"/>
    <mergeCell ref="E4408:F4408"/>
    <mergeCell ref="E4409:F4409"/>
    <mergeCell ref="E4410:F4410"/>
    <mergeCell ref="E4416:F4416"/>
    <mergeCell ref="E4292:F4292"/>
    <mergeCell ref="E4293:F4293"/>
    <mergeCell ref="E4297:F4297"/>
    <mergeCell ref="E4235:F4235"/>
    <mergeCell ref="E4241:F4241"/>
    <mergeCell ref="E4242:F4242"/>
    <mergeCell ref="E4206:F4206"/>
    <mergeCell ref="E4239:F4239"/>
    <mergeCell ref="E4240:F4240"/>
    <mergeCell ref="E4250:F4250"/>
    <mergeCell ref="E4303:F4303"/>
    <mergeCell ref="E4304:F4304"/>
    <mergeCell ref="E4272:F4272"/>
    <mergeCell ref="E4302:F4302"/>
    <mergeCell ref="E4283:F4283"/>
    <mergeCell ref="E4277:F4277"/>
    <mergeCell ref="E4278:F4278"/>
    <mergeCell ref="E4279:F4279"/>
    <mergeCell ref="E4281:F4281"/>
    <mergeCell ref="E4282:F4282"/>
    <mergeCell ref="E4301:F4301"/>
    <mergeCell ref="E4280:F4280"/>
    <mergeCell ref="E4223:F4223"/>
    <mergeCell ref="E4224:F4224"/>
    <mergeCell ref="E4221:F4221"/>
    <mergeCell ref="E4222:F4222"/>
    <mergeCell ref="E4078:F4078"/>
    <mergeCell ref="E4079:F4079"/>
    <mergeCell ref="E4086:F4086"/>
    <mergeCell ref="E4084:F4084"/>
    <mergeCell ref="E4051:F4051"/>
    <mergeCell ref="E4052:F4052"/>
    <mergeCell ref="E4058:F4058"/>
    <mergeCell ref="E4085:F4085"/>
    <mergeCell ref="E4053:F4053"/>
    <mergeCell ref="E4054:F4054"/>
    <mergeCell ref="E4062:F4062"/>
    <mergeCell ref="E4063:F4063"/>
    <mergeCell ref="E4064:F4064"/>
    <mergeCell ref="E4073:F4073"/>
    <mergeCell ref="E4074:F4074"/>
    <mergeCell ref="E4165:F4165"/>
    <mergeCell ref="E4140:F4140"/>
    <mergeCell ref="E4141:F4141"/>
    <mergeCell ref="E4118:F4118"/>
    <mergeCell ref="E4119:F4119"/>
    <mergeCell ref="E4120:F4120"/>
    <mergeCell ref="E4121:F4121"/>
    <mergeCell ref="E4122:F4122"/>
    <mergeCell ref="E4128:F4128"/>
    <mergeCell ref="E4129:F4129"/>
    <mergeCell ref="E4130:F4130"/>
    <mergeCell ref="E4131:F4131"/>
    <mergeCell ref="E4132:F4132"/>
    <mergeCell ref="E4133:F4133"/>
    <mergeCell ref="E4164:F4164"/>
    <mergeCell ref="E4139:F4139"/>
    <mergeCell ref="E4109:F4109"/>
    <mergeCell ref="E4001:F4001"/>
    <mergeCell ref="E4002:F4002"/>
    <mergeCell ref="E4011:F4011"/>
    <mergeCell ref="E4012:F4012"/>
    <mergeCell ref="E4013:F4013"/>
    <mergeCell ref="E3957:F3957"/>
    <mergeCell ref="E3958:F3958"/>
    <mergeCell ref="E4055:F4055"/>
    <mergeCell ref="E4056:F4056"/>
    <mergeCell ref="E4057:F4057"/>
    <mergeCell ref="E4065:F4065"/>
    <mergeCell ref="E4066:F4066"/>
    <mergeCell ref="E4067:F4067"/>
    <mergeCell ref="E4068:F4068"/>
    <mergeCell ref="E4075:F4075"/>
    <mergeCell ref="E4076:F4076"/>
    <mergeCell ref="E4077:F4077"/>
    <mergeCell ref="E3745:F3745"/>
    <mergeCell ref="E3698:F3698"/>
    <mergeCell ref="E3705:F3705"/>
    <mergeCell ref="E3706:F3706"/>
    <mergeCell ref="E3711:F3711"/>
    <mergeCell ref="E3716:F3716"/>
    <mergeCell ref="E3717:F3717"/>
    <mergeCell ref="E3722:F3722"/>
    <mergeCell ref="E3731:F3731"/>
    <mergeCell ref="E3699:F3699"/>
    <mergeCell ref="E3700:F3700"/>
    <mergeCell ref="E3755:F3755"/>
    <mergeCell ref="E4030:F4030"/>
    <mergeCell ref="E4035:F4035"/>
    <mergeCell ref="E4023:F4023"/>
    <mergeCell ref="E4024:F4024"/>
    <mergeCell ref="E4034:F4034"/>
    <mergeCell ref="E3951:F3951"/>
    <mergeCell ref="E3952:F3952"/>
    <mergeCell ref="E3966:F3966"/>
    <mergeCell ref="E3967:F3967"/>
    <mergeCell ref="E3975:F3975"/>
    <mergeCell ref="E3953:F3953"/>
    <mergeCell ref="E3954:F3954"/>
    <mergeCell ref="E3955:F3955"/>
    <mergeCell ref="E3956:F3956"/>
    <mergeCell ref="E3962:F3962"/>
    <mergeCell ref="E3963:F3963"/>
    <mergeCell ref="E3964:F3964"/>
    <mergeCell ref="E3965:F3965"/>
    <mergeCell ref="E3973:F3973"/>
    <mergeCell ref="E3974:F3974"/>
    <mergeCell ref="E3058:F3058"/>
    <mergeCell ref="E3069:F3069"/>
    <mergeCell ref="E3070:F3070"/>
    <mergeCell ref="E3064:F3064"/>
    <mergeCell ref="E3176:F3176"/>
    <mergeCell ref="E3177:F3177"/>
    <mergeCell ref="E3178:F3178"/>
    <mergeCell ref="H3542:I3542"/>
    <mergeCell ref="E3605:F3605"/>
    <mergeCell ref="E3627:F3627"/>
    <mergeCell ref="E3632:F3632"/>
    <mergeCell ref="E3574:F3574"/>
    <mergeCell ref="E3578:F3578"/>
    <mergeCell ref="E3579:F3579"/>
    <mergeCell ref="E3580:F3580"/>
    <mergeCell ref="E3588:F3588"/>
    <mergeCell ref="E3589:F3589"/>
    <mergeCell ref="E3590:F3590"/>
    <mergeCell ref="E3596:F3596"/>
    <mergeCell ref="E3597:F3597"/>
    <mergeCell ref="E3598:F3598"/>
    <mergeCell ref="E3599:F3599"/>
    <mergeCell ref="E3584:F3584"/>
    <mergeCell ref="E3256:F3256"/>
    <mergeCell ref="E3257:F3257"/>
    <mergeCell ref="E3247:F3247"/>
    <mergeCell ref="E3248:F3248"/>
    <mergeCell ref="E3142:F3142"/>
    <mergeCell ref="H3093:I3093"/>
    <mergeCell ref="H3084:I3084"/>
    <mergeCell ref="E3088:F3088"/>
    <mergeCell ref="E3095:F3095"/>
    <mergeCell ref="E2915:F2915"/>
    <mergeCell ref="E2916:F2916"/>
    <mergeCell ref="E2870:F2870"/>
    <mergeCell ref="E2878:F2878"/>
    <mergeCell ref="E2782:F2782"/>
    <mergeCell ref="E2818:F2818"/>
    <mergeCell ref="E2819:F2819"/>
    <mergeCell ref="E2809:F2809"/>
    <mergeCell ref="E2810:F2810"/>
    <mergeCell ref="E2801:F2801"/>
    <mergeCell ref="E3024:F3024"/>
    <mergeCell ref="E3025:F3025"/>
    <mergeCell ref="E3026:F3026"/>
    <mergeCell ref="E3034:F3034"/>
    <mergeCell ref="E2998:F2998"/>
    <mergeCell ref="E3001:F3001"/>
    <mergeCell ref="E3002:F3002"/>
    <mergeCell ref="E3008:F3008"/>
    <mergeCell ref="E3009:F3009"/>
    <mergeCell ref="E3010:F3010"/>
    <mergeCell ref="E3018:F3018"/>
    <mergeCell ref="E2812:F2812"/>
    <mergeCell ref="E2953:F2953"/>
    <mergeCell ref="E2954:F2954"/>
    <mergeCell ref="E2955:F2955"/>
    <mergeCell ref="E2989:F2989"/>
    <mergeCell ref="E2990:F2990"/>
    <mergeCell ref="E2991:F2991"/>
    <mergeCell ref="E2992:F2992"/>
    <mergeCell ref="E2879:F2879"/>
    <mergeCell ref="E2881:F2881"/>
    <mergeCell ref="E2913:F2913"/>
    <mergeCell ref="E2719:F2719"/>
    <mergeCell ref="E2842:F2842"/>
    <mergeCell ref="E2843:F2843"/>
    <mergeCell ref="E2827:F2827"/>
    <mergeCell ref="E2833:F2833"/>
    <mergeCell ref="E2834:F2834"/>
    <mergeCell ref="E2973:F2973"/>
    <mergeCell ref="E2974:F2974"/>
    <mergeCell ref="E2975:F2975"/>
    <mergeCell ref="E2980:F2980"/>
    <mergeCell ref="E2981:F2981"/>
    <mergeCell ref="E2982:F2982"/>
    <mergeCell ref="E2983:F2983"/>
    <mergeCell ref="E2984:F2984"/>
    <mergeCell ref="E2993:F2993"/>
    <mergeCell ref="E2750:F2750"/>
    <mergeCell ref="E2758:F2758"/>
    <mergeCell ref="E2759:F2759"/>
    <mergeCell ref="E2729:F2729"/>
    <mergeCell ref="E2730:F2730"/>
    <mergeCell ref="E2860:F2860"/>
    <mergeCell ref="E2871:F2871"/>
    <mergeCell ref="E2872:F2872"/>
    <mergeCell ref="E2873:F2873"/>
    <mergeCell ref="E2874:F2874"/>
    <mergeCell ref="E2859:F2859"/>
    <mergeCell ref="E2895:F2895"/>
    <mergeCell ref="E2896:F2896"/>
    <mergeCell ref="E2909:F2909"/>
    <mergeCell ref="E2752:F2752"/>
    <mergeCell ref="E2753:F2753"/>
    <mergeCell ref="E2754:F2754"/>
    <mergeCell ref="E2597:F2597"/>
    <mergeCell ref="E2598:F2598"/>
    <mergeCell ref="E2605:F2605"/>
    <mergeCell ref="E2606:F2606"/>
    <mergeCell ref="E2547:F2547"/>
    <mergeCell ref="E2548:F2548"/>
    <mergeCell ref="E2561:F2561"/>
    <mergeCell ref="E2662:F2662"/>
    <mergeCell ref="E2671:F2671"/>
    <mergeCell ref="E2680:F2680"/>
    <mergeCell ref="E2672:F2672"/>
    <mergeCell ref="E2673:F2673"/>
    <mergeCell ref="E2614:F2614"/>
    <mergeCell ref="E2626:F2626"/>
    <mergeCell ref="E2627:F2627"/>
    <mergeCell ref="E2628:F2628"/>
    <mergeCell ref="E2643:F2643"/>
    <mergeCell ref="E2644:F2644"/>
    <mergeCell ref="E2649:F2649"/>
    <mergeCell ref="E2610:F2610"/>
    <mergeCell ref="E2618:F2618"/>
    <mergeCell ref="E2619:F2619"/>
    <mergeCell ref="E2594:F2594"/>
    <mergeCell ref="E2595:F2595"/>
    <mergeCell ref="E2596:F2596"/>
    <mergeCell ref="E2552:F2552"/>
    <mergeCell ref="E2549:F2549"/>
    <mergeCell ref="E2550:F2550"/>
    <mergeCell ref="E2551:F2551"/>
    <mergeCell ref="E2546:F2546"/>
    <mergeCell ref="H2464:I2464"/>
    <mergeCell ref="E2452:F2452"/>
    <mergeCell ref="E2460:F2460"/>
    <mergeCell ref="E2461:F2461"/>
    <mergeCell ref="E2462:F2462"/>
    <mergeCell ref="E2467:F2467"/>
    <mergeCell ref="E2473:F2473"/>
    <mergeCell ref="E2474:F2474"/>
    <mergeCell ref="H2476:I2476"/>
    <mergeCell ref="E2481:F2481"/>
    <mergeCell ref="E2482:F2482"/>
    <mergeCell ref="H2484:I2484"/>
    <mergeCell ref="E2489:F2489"/>
    <mergeCell ref="E2442:F2442"/>
    <mergeCell ref="H2444:I2444"/>
    <mergeCell ref="H2494:I2494"/>
    <mergeCell ref="H2503:I2503"/>
    <mergeCell ref="E2501:F2501"/>
    <mergeCell ref="E2469:F2469"/>
    <mergeCell ref="E2470:F2470"/>
    <mergeCell ref="E2471:F2471"/>
    <mergeCell ref="E2472:F2472"/>
    <mergeCell ref="E2478:F2478"/>
    <mergeCell ref="E2479:F2479"/>
    <mergeCell ref="E2480:F2480"/>
    <mergeCell ref="E2487:F2487"/>
    <mergeCell ref="E2488:F2488"/>
    <mergeCell ref="E2506:F2506"/>
    <mergeCell ref="E2507:F2507"/>
    <mergeCell ref="H2510:I2510"/>
    <mergeCell ref="E2456:F2456"/>
    <mergeCell ref="E2440:F2440"/>
    <mergeCell ref="E2447:F2447"/>
    <mergeCell ref="E2448:F2448"/>
    <mergeCell ref="E2449:F2449"/>
    <mergeCell ref="E2450:F2450"/>
    <mergeCell ref="E2451:F2451"/>
    <mergeCell ref="H2454:I2454"/>
    <mergeCell ref="E2457:F2457"/>
    <mergeCell ref="E2458:F2458"/>
    <mergeCell ref="E2459:F2459"/>
    <mergeCell ref="E2023:F2023"/>
    <mergeCell ref="H2222:I2222"/>
    <mergeCell ref="E2227:F2227"/>
    <mergeCell ref="E2179:F2179"/>
    <mergeCell ref="E2215:F2215"/>
    <mergeCell ref="E2110:F2110"/>
    <mergeCell ref="E2111:F2111"/>
    <mergeCell ref="E2112:F2112"/>
    <mergeCell ref="E2118:F2118"/>
    <mergeCell ref="E2157:F2157"/>
    <mergeCell ref="E2158:F2158"/>
    <mergeCell ref="E2159:F2159"/>
    <mergeCell ref="E2160:F2160"/>
    <mergeCell ref="E2168:F2168"/>
    <mergeCell ref="E2143:F2143"/>
    <mergeCell ref="E2430:F2430"/>
    <mergeCell ref="E2224:F2224"/>
    <mergeCell ref="E2188:F2188"/>
    <mergeCell ref="E2189:F2189"/>
    <mergeCell ref="E2196:F2196"/>
    <mergeCell ref="E2197:F2197"/>
    <mergeCell ref="E2198:F2198"/>
    <mergeCell ref="E1935:F1935"/>
    <mergeCell ref="E1936:F1936"/>
    <mergeCell ref="E1953:F1953"/>
    <mergeCell ref="E2133:F2133"/>
    <mergeCell ref="E2134:F2134"/>
    <mergeCell ref="E1963:F1963"/>
    <mergeCell ref="E2020:F2020"/>
    <mergeCell ref="E2021:F2021"/>
    <mergeCell ref="E2022:F2022"/>
    <mergeCell ref="E1988:F1988"/>
    <mergeCell ref="E1989:F1989"/>
    <mergeCell ref="E1990:F1990"/>
    <mergeCell ref="E1996:F1996"/>
    <mergeCell ref="E1997:F1997"/>
    <mergeCell ref="E2010:F2010"/>
    <mergeCell ref="E2011:F2011"/>
    <mergeCell ref="E2012:F2012"/>
    <mergeCell ref="E1998:F1998"/>
    <mergeCell ref="E1999:F1999"/>
    <mergeCell ref="E2000:F2000"/>
    <mergeCell ref="E2117:F2117"/>
    <mergeCell ref="E2066:F2066"/>
    <mergeCell ref="E2029:F2029"/>
    <mergeCell ref="E2030:F2030"/>
    <mergeCell ref="E1987:F1987"/>
    <mergeCell ref="E2031:F2031"/>
    <mergeCell ref="E2032:F2032"/>
    <mergeCell ref="E2033:F2033"/>
    <mergeCell ref="E1945:F1945"/>
    <mergeCell ref="E2050:F2050"/>
    <mergeCell ref="E1697:F1697"/>
    <mergeCell ref="E1707:F1707"/>
    <mergeCell ref="E1708:F1708"/>
    <mergeCell ref="E1717:F1717"/>
    <mergeCell ref="E1730:F1730"/>
    <mergeCell ref="E1918:F1918"/>
    <mergeCell ref="E1732:F1732"/>
    <mergeCell ref="E1733:F1733"/>
    <mergeCell ref="E1739:F1739"/>
    <mergeCell ref="E1808:F1808"/>
    <mergeCell ref="E1813:F1813"/>
    <mergeCell ref="E1817:F1817"/>
    <mergeCell ref="E1818:F1818"/>
    <mergeCell ref="E1776:F1776"/>
    <mergeCell ref="E1777:F1777"/>
    <mergeCell ref="E1852:F1852"/>
    <mergeCell ref="E1713:F1713"/>
    <mergeCell ref="E1768:F1768"/>
    <mergeCell ref="E1767:F1767"/>
    <mergeCell ref="E1778:F1778"/>
    <mergeCell ref="E1785:F1785"/>
    <mergeCell ref="E1793:F1793"/>
    <mergeCell ref="E1794:F1794"/>
    <mergeCell ref="E1764:F1764"/>
    <mergeCell ref="E1765:F1765"/>
    <mergeCell ref="E1766:F1766"/>
    <mergeCell ref="E1894:F1894"/>
    <mergeCell ref="E1895:F1895"/>
    <mergeCell ref="E1907:F1907"/>
    <mergeCell ref="E1908:F1908"/>
    <mergeCell ref="E1899:F1899"/>
    <mergeCell ref="E1903:F1903"/>
    <mergeCell ref="H1702:I1702"/>
    <mergeCell ref="E1704:F1704"/>
    <mergeCell ref="E1413:F1413"/>
    <mergeCell ref="E1414:F1414"/>
    <mergeCell ref="E1415:F1415"/>
    <mergeCell ref="E1416:F1416"/>
    <mergeCell ref="E1422:F1422"/>
    <mergeCell ref="E1423:F1423"/>
    <mergeCell ref="E1424:F1424"/>
    <mergeCell ref="E1428:F1428"/>
    <mergeCell ref="E1429:F1429"/>
    <mergeCell ref="E1430:F1430"/>
    <mergeCell ref="E1450:F1450"/>
    <mergeCell ref="E1460:F1460"/>
    <mergeCell ref="E1437:F1437"/>
    <mergeCell ref="E1438:F1438"/>
    <mergeCell ref="E1439:F1439"/>
    <mergeCell ref="E1431:F1431"/>
    <mergeCell ref="E1432:F1432"/>
    <mergeCell ref="E1681:F1681"/>
    <mergeCell ref="E1682:F1682"/>
    <mergeCell ref="E1683:F1683"/>
    <mergeCell ref="E1687:F1687"/>
    <mergeCell ref="E1518:F1518"/>
    <mergeCell ref="E1510:F1510"/>
    <mergeCell ref="E1695:F1695"/>
    <mergeCell ref="E1696:F1696"/>
    <mergeCell ref="E1449:F1449"/>
    <mergeCell ref="E1446:F1446"/>
    <mergeCell ref="E1447:F1447"/>
    <mergeCell ref="E1448:F1448"/>
    <mergeCell ref="E1461:F1461"/>
    <mergeCell ref="E966:F966"/>
    <mergeCell ref="E967:F967"/>
    <mergeCell ref="E959:F959"/>
    <mergeCell ref="E1002:F1002"/>
    <mergeCell ref="E1003:F1003"/>
    <mergeCell ref="E1008:F1008"/>
    <mergeCell ref="E1087:F1087"/>
    <mergeCell ref="E1118:F1118"/>
    <mergeCell ref="E1119:F1119"/>
    <mergeCell ref="E1097:F1097"/>
    <mergeCell ref="E1098:F1098"/>
    <mergeCell ref="E1099:F1099"/>
    <mergeCell ref="E1113:F1113"/>
    <mergeCell ref="E1114:F1114"/>
    <mergeCell ref="E1045:F1045"/>
    <mergeCell ref="E1046:F1046"/>
    <mergeCell ref="E1088:F1088"/>
    <mergeCell ref="E1089:F1089"/>
    <mergeCell ref="E1090:F1090"/>
    <mergeCell ref="E1091:F1091"/>
    <mergeCell ref="E1011:F1011"/>
    <mergeCell ref="E1012:F1012"/>
    <mergeCell ref="E961:F961"/>
    <mergeCell ref="E962:F962"/>
    <mergeCell ref="E968:F968"/>
    <mergeCell ref="E969:F969"/>
    <mergeCell ref="E1040:F1040"/>
    <mergeCell ref="E708:F708"/>
    <mergeCell ref="E727:F727"/>
    <mergeCell ref="E742:F742"/>
    <mergeCell ref="E699:F699"/>
    <mergeCell ref="E700:F700"/>
    <mergeCell ref="E891:F891"/>
    <mergeCell ref="E1204:F1204"/>
    <mergeCell ref="E1205:F1205"/>
    <mergeCell ref="E973:F973"/>
    <mergeCell ref="E974:F974"/>
    <mergeCell ref="E975:F975"/>
    <mergeCell ref="E913:F913"/>
    <mergeCell ref="E928:F928"/>
    <mergeCell ref="E939:F939"/>
    <mergeCell ref="E940:F940"/>
    <mergeCell ref="E944:F944"/>
    <mergeCell ref="E1036:F1036"/>
    <mergeCell ref="E1037:F1037"/>
    <mergeCell ref="E1038:F1038"/>
    <mergeCell ref="E1044:F1044"/>
    <mergeCell ref="E1065:F1065"/>
    <mergeCell ref="E1070:F1070"/>
    <mergeCell ref="E1071:F1071"/>
    <mergeCell ref="E1072:F1072"/>
    <mergeCell ref="E1073:F1073"/>
    <mergeCell ref="E945:F945"/>
    <mergeCell ref="E946:F946"/>
    <mergeCell ref="E914:F914"/>
    <mergeCell ref="E915:F915"/>
    <mergeCell ref="E916:F916"/>
    <mergeCell ref="E934:F934"/>
    <mergeCell ref="E935:F935"/>
    <mergeCell ref="E629:F629"/>
    <mergeCell ref="E630:F630"/>
    <mergeCell ref="E642:F642"/>
    <mergeCell ref="E686:F686"/>
    <mergeCell ref="E687:F687"/>
    <mergeCell ref="E628:F628"/>
    <mergeCell ref="E1009:F1009"/>
    <mergeCell ref="E1010:F1010"/>
    <mergeCell ref="E695:F695"/>
    <mergeCell ref="E698:F698"/>
    <mergeCell ref="E676:F676"/>
    <mergeCell ref="E677:F677"/>
    <mergeCell ref="E678:F678"/>
    <mergeCell ref="E643:F643"/>
    <mergeCell ref="E644:F644"/>
    <mergeCell ref="E651:F651"/>
    <mergeCell ref="E653:F653"/>
    <mergeCell ref="E654:F654"/>
    <mergeCell ref="E781:F781"/>
    <mergeCell ref="E782:F782"/>
    <mergeCell ref="E709:F709"/>
    <mergeCell ref="E725:F725"/>
    <mergeCell ref="E726:F726"/>
    <mergeCell ref="E689:F689"/>
    <mergeCell ref="E690:F690"/>
    <mergeCell ref="E691:F691"/>
    <mergeCell ref="E697:F697"/>
    <mergeCell ref="E745:F745"/>
    <mergeCell ref="E746:F746"/>
    <mergeCell ref="E705:F705"/>
    <mergeCell ref="E706:F706"/>
    <mergeCell ref="E707:F707"/>
    <mergeCell ref="H703:I703"/>
    <mergeCell ref="E634:F634"/>
    <mergeCell ref="E635:F635"/>
    <mergeCell ref="E636:F636"/>
    <mergeCell ref="E648:F648"/>
    <mergeCell ref="E649:F649"/>
    <mergeCell ref="E650:F650"/>
    <mergeCell ref="E665:F665"/>
    <mergeCell ref="E666:F666"/>
    <mergeCell ref="E658:F658"/>
    <mergeCell ref="E659:F659"/>
    <mergeCell ref="E660:F660"/>
    <mergeCell ref="E668:F668"/>
    <mergeCell ref="E669:F669"/>
    <mergeCell ref="E667:F667"/>
    <mergeCell ref="E671:F671"/>
    <mergeCell ref="E679:F679"/>
    <mergeCell ref="E670:F670"/>
    <mergeCell ref="E675:F675"/>
    <mergeCell ref="E696:F696"/>
    <mergeCell ref="E701:F701"/>
    <mergeCell ref="E645:F645"/>
    <mergeCell ref="E646:F646"/>
    <mergeCell ref="E647:F647"/>
    <mergeCell ref="E652:F652"/>
    <mergeCell ref="E682:F682"/>
    <mergeCell ref="E683:F683"/>
    <mergeCell ref="E684:F684"/>
    <mergeCell ref="H656:I656"/>
    <mergeCell ref="H662:I662"/>
    <mergeCell ref="E664:F664"/>
    <mergeCell ref="E672:F672"/>
    <mergeCell ref="H318:I318"/>
    <mergeCell ref="E322:F322"/>
    <mergeCell ref="E323:F323"/>
    <mergeCell ref="E369:F369"/>
    <mergeCell ref="E370:F370"/>
    <mergeCell ref="E371:F371"/>
    <mergeCell ref="E533:F533"/>
    <mergeCell ref="E542:F542"/>
    <mergeCell ref="E547:F547"/>
    <mergeCell ref="E548:F548"/>
    <mergeCell ref="E553:F553"/>
    <mergeCell ref="E554:F554"/>
    <mergeCell ref="E555:F555"/>
    <mergeCell ref="E556:F556"/>
    <mergeCell ref="E363:F363"/>
    <mergeCell ref="E364:F364"/>
    <mergeCell ref="E493:F493"/>
    <mergeCell ref="E494:F494"/>
    <mergeCell ref="E465:F465"/>
    <mergeCell ref="E424:F424"/>
    <mergeCell ref="E431:F431"/>
    <mergeCell ref="E432:F432"/>
    <mergeCell ref="E439:F439"/>
    <mergeCell ref="E450:F450"/>
    <mergeCell ref="E451:F451"/>
    <mergeCell ref="E452:F452"/>
    <mergeCell ref="H422:I422"/>
    <mergeCell ref="E425:F425"/>
    <mergeCell ref="E426:F426"/>
    <mergeCell ref="E527:F527"/>
    <mergeCell ref="E528:F528"/>
    <mergeCell ref="E529:F529"/>
    <mergeCell ref="E343:F343"/>
    <mergeCell ref="E344:F344"/>
    <mergeCell ref="E345:F345"/>
    <mergeCell ref="E350:F350"/>
    <mergeCell ref="E357:F357"/>
    <mergeCell ref="E328:F328"/>
    <mergeCell ref="E329:F329"/>
    <mergeCell ref="E333:F333"/>
    <mergeCell ref="E334:F334"/>
    <mergeCell ref="E335:F335"/>
    <mergeCell ref="E349:F349"/>
    <mergeCell ref="E355:F355"/>
    <mergeCell ref="E356:F356"/>
    <mergeCell ref="E320:F320"/>
    <mergeCell ref="E321:F321"/>
    <mergeCell ref="E340:F340"/>
    <mergeCell ref="E341:F341"/>
    <mergeCell ref="E316:F316"/>
    <mergeCell ref="E326:F326"/>
    <mergeCell ref="E327:F327"/>
    <mergeCell ref="E310:F310"/>
    <mergeCell ref="E324:F324"/>
    <mergeCell ref="E289:F289"/>
    <mergeCell ref="E290:F290"/>
    <mergeCell ref="E291:F291"/>
    <mergeCell ref="E292:F292"/>
    <mergeCell ref="E293:F293"/>
    <mergeCell ref="E298:F298"/>
    <mergeCell ref="E299:F299"/>
    <mergeCell ref="E300:F300"/>
    <mergeCell ref="E70:F70"/>
    <mergeCell ref="E71:F71"/>
    <mergeCell ref="E73:F73"/>
    <mergeCell ref="E162:F162"/>
    <mergeCell ref="E114:F114"/>
    <mergeCell ref="E120:F120"/>
    <mergeCell ref="E121:F121"/>
    <mergeCell ref="E122:F122"/>
    <mergeCell ref="E123:F123"/>
    <mergeCell ref="E124:F124"/>
    <mergeCell ref="E125:F125"/>
    <mergeCell ref="E126:F126"/>
    <mergeCell ref="E81:F81"/>
    <mergeCell ref="E82:F82"/>
    <mergeCell ref="E83:F83"/>
    <mergeCell ref="E89:F89"/>
    <mergeCell ref="E90:F90"/>
    <mergeCell ref="E94:F94"/>
    <mergeCell ref="E95:F95"/>
    <mergeCell ref="E16:F16"/>
    <mergeCell ref="A31:E31"/>
    <mergeCell ref="J18:J19"/>
    <mergeCell ref="A20:E20"/>
    <mergeCell ref="E113:F113"/>
    <mergeCell ref="E80:F80"/>
    <mergeCell ref="E41:F41"/>
    <mergeCell ref="E42:F42"/>
    <mergeCell ref="E43:F43"/>
    <mergeCell ref="E44:F44"/>
    <mergeCell ref="E45:F45"/>
    <mergeCell ref="E46:F46"/>
    <mergeCell ref="E47:F47"/>
    <mergeCell ref="E53:F53"/>
    <mergeCell ref="E54:F54"/>
    <mergeCell ref="E55:F55"/>
    <mergeCell ref="E56:F56"/>
    <mergeCell ref="E57:F57"/>
    <mergeCell ref="E58:F58"/>
    <mergeCell ref="E59:F59"/>
    <mergeCell ref="E65:F65"/>
    <mergeCell ref="E66:F66"/>
    <mergeCell ref="E102:F102"/>
    <mergeCell ref="E108:F108"/>
    <mergeCell ref="E109:F109"/>
    <mergeCell ref="E110:F110"/>
    <mergeCell ref="E111:F111"/>
    <mergeCell ref="E112:F112"/>
    <mergeCell ref="F35:I35"/>
    <mergeCell ref="A37:E37"/>
    <mergeCell ref="F37:I37"/>
    <mergeCell ref="H39:I39"/>
    <mergeCell ref="E154:F154"/>
    <mergeCell ref="E163:F163"/>
    <mergeCell ref="E164:F164"/>
    <mergeCell ref="E172:F172"/>
    <mergeCell ref="I1:K1"/>
    <mergeCell ref="I2:K2"/>
    <mergeCell ref="A3:K3"/>
    <mergeCell ref="A4:K4"/>
    <mergeCell ref="E12:F12"/>
    <mergeCell ref="H14:I14"/>
    <mergeCell ref="E84:F84"/>
    <mergeCell ref="E96:F96"/>
    <mergeCell ref="E97:F97"/>
    <mergeCell ref="E98:F98"/>
    <mergeCell ref="E17:F17"/>
    <mergeCell ref="E18:F18"/>
    <mergeCell ref="C1:D1"/>
    <mergeCell ref="E1:F1"/>
    <mergeCell ref="G1:H1"/>
    <mergeCell ref="C2:D2"/>
    <mergeCell ref="E2:F2"/>
    <mergeCell ref="G2:H2"/>
    <mergeCell ref="E5:F5"/>
    <mergeCell ref="E6:F6"/>
    <mergeCell ref="E7:F7"/>
    <mergeCell ref="E8:F8"/>
    <mergeCell ref="E9:F9"/>
    <mergeCell ref="E10:F10"/>
    <mergeCell ref="E11:F11"/>
    <mergeCell ref="E77:F77"/>
    <mergeCell ref="E78:F78"/>
    <mergeCell ref="E79:F79"/>
    <mergeCell ref="E252:F252"/>
    <mergeCell ref="E253:F253"/>
    <mergeCell ref="E215:F215"/>
    <mergeCell ref="E216:F216"/>
    <mergeCell ref="E127:F127"/>
    <mergeCell ref="E158:F158"/>
    <mergeCell ref="E170:F170"/>
    <mergeCell ref="E182:F182"/>
    <mergeCell ref="E132:F132"/>
    <mergeCell ref="E133:F133"/>
    <mergeCell ref="E134:F134"/>
    <mergeCell ref="E135:F135"/>
    <mergeCell ref="E136:F136"/>
    <mergeCell ref="E137:F137"/>
    <mergeCell ref="E138:F138"/>
    <mergeCell ref="E139:F139"/>
    <mergeCell ref="E140:F140"/>
    <mergeCell ref="E145:F145"/>
    <mergeCell ref="E146:F146"/>
    <mergeCell ref="E147:F147"/>
    <mergeCell ref="E148:F148"/>
    <mergeCell ref="E153:F153"/>
    <mergeCell ref="E149:F149"/>
    <mergeCell ref="E173:F173"/>
    <mergeCell ref="E174:F174"/>
    <mergeCell ref="E175:F175"/>
    <mergeCell ref="E150:F150"/>
    <mergeCell ref="E151:F151"/>
    <mergeCell ref="E152:F152"/>
    <mergeCell ref="E159:F159"/>
    <mergeCell ref="E160:F160"/>
    <mergeCell ref="E161:F161"/>
    <mergeCell ref="E213:F213"/>
    <mergeCell ref="E223:F223"/>
    <mergeCell ref="E224:F224"/>
    <mergeCell ref="E225:F225"/>
    <mergeCell ref="E226:F226"/>
    <mergeCell ref="E233:F233"/>
    <mergeCell ref="E234:F234"/>
    <mergeCell ref="E235:F235"/>
    <mergeCell ref="E236:F236"/>
    <mergeCell ref="E207:F207"/>
    <mergeCell ref="E247:F247"/>
    <mergeCell ref="E222:F222"/>
    <mergeCell ref="E231:F231"/>
    <mergeCell ref="E232:F232"/>
    <mergeCell ref="E237:F237"/>
    <mergeCell ref="E238:F238"/>
    <mergeCell ref="E239:F239"/>
    <mergeCell ref="E240:F240"/>
    <mergeCell ref="E244:F244"/>
    <mergeCell ref="E245:F245"/>
    <mergeCell ref="E246:F246"/>
    <mergeCell ref="E208:F208"/>
    <mergeCell ref="E209:F209"/>
    <mergeCell ref="E217:F217"/>
    <mergeCell ref="E218:F218"/>
    <mergeCell ref="E386:F386"/>
    <mergeCell ref="E392:F392"/>
    <mergeCell ref="E393:F393"/>
    <mergeCell ref="E410:F410"/>
    <mergeCell ref="E401:F401"/>
    <mergeCell ref="E402:F402"/>
    <mergeCell ref="E406:F406"/>
    <mergeCell ref="E384:F384"/>
    <mergeCell ref="H388:I388"/>
    <mergeCell ref="E390:F390"/>
    <mergeCell ref="E391:F391"/>
    <mergeCell ref="H397:I397"/>
    <mergeCell ref="E399:F399"/>
    <mergeCell ref="E400:F400"/>
    <mergeCell ref="H404:I404"/>
    <mergeCell ref="E407:F407"/>
    <mergeCell ref="E408:F408"/>
    <mergeCell ref="E409:F409"/>
    <mergeCell ref="E383:F383"/>
    <mergeCell ref="E376:F376"/>
    <mergeCell ref="E377:F377"/>
    <mergeCell ref="E378:F378"/>
    <mergeCell ref="E379:F379"/>
    <mergeCell ref="H211:I211"/>
    <mergeCell ref="E214:F214"/>
    <mergeCell ref="H565:I565"/>
    <mergeCell ref="H578:I578"/>
    <mergeCell ref="H515:I515"/>
    <mergeCell ref="E446:F446"/>
    <mergeCell ref="E456:F456"/>
    <mergeCell ref="E462:F462"/>
    <mergeCell ref="E463:F463"/>
    <mergeCell ref="E464:F464"/>
    <mergeCell ref="H468:I468"/>
    <mergeCell ref="E470:F470"/>
    <mergeCell ref="E471:F471"/>
    <mergeCell ref="E478:F478"/>
    <mergeCell ref="E486:F486"/>
    <mergeCell ref="E485:F485"/>
    <mergeCell ref="E440:F440"/>
    <mergeCell ref="E484:F484"/>
    <mergeCell ref="E466:F466"/>
    <mergeCell ref="E461:F461"/>
    <mergeCell ref="H474:I474"/>
    <mergeCell ref="E476:F476"/>
    <mergeCell ref="E477:F477"/>
    <mergeCell ref="H482:I482"/>
    <mergeCell ref="E385:F385"/>
    <mergeCell ref="E488:F488"/>
    <mergeCell ref="E497:F497"/>
    <mergeCell ref="E498:F498"/>
    <mergeCell ref="E499:F499"/>
    <mergeCell ref="E507:F507"/>
    <mergeCell ref="E513:F513"/>
    <mergeCell ref="E503:F503"/>
    <mergeCell ref="E508:F508"/>
    <mergeCell ref="E509:F509"/>
    <mergeCell ref="E560:F560"/>
    <mergeCell ref="E561:F561"/>
    <mergeCell ref="E562:F562"/>
    <mergeCell ref="E571:F571"/>
    <mergeCell ref="E572:F572"/>
    <mergeCell ref="E567:F567"/>
    <mergeCell ref="E568:F568"/>
    <mergeCell ref="E569:F569"/>
    <mergeCell ref="E570:F570"/>
    <mergeCell ref="E537:F537"/>
    <mergeCell ref="E573:F573"/>
    <mergeCell ref="E574:F574"/>
    <mergeCell ref="E575:F575"/>
    <mergeCell ref="E576:F576"/>
    <mergeCell ref="E580:F580"/>
    <mergeCell ref="E581:F581"/>
    <mergeCell ref="E594:F594"/>
    <mergeCell ref="E692:F692"/>
    <mergeCell ref="E693:F693"/>
    <mergeCell ref="E694:F694"/>
    <mergeCell ref="E877:F877"/>
    <mergeCell ref="E878:F878"/>
    <mergeCell ref="E885:F885"/>
    <mergeCell ref="E886:F886"/>
    <mergeCell ref="E869:F869"/>
    <mergeCell ref="E870:F870"/>
    <mergeCell ref="E890:F890"/>
    <mergeCell ref="E861:F861"/>
    <mergeCell ref="E862:F862"/>
    <mergeCell ref="E863:F863"/>
    <mergeCell ref="E864:F864"/>
    <mergeCell ref="E673:F673"/>
    <mergeCell ref="E674:F674"/>
    <mergeCell ref="E680:F680"/>
    <mergeCell ref="E681:F681"/>
    <mergeCell ref="E688:F688"/>
    <mergeCell ref="E615:F615"/>
    <mergeCell ref="E620:F620"/>
    <mergeCell ref="E621:F621"/>
    <mergeCell ref="E622:F622"/>
    <mergeCell ref="E623:F623"/>
    <mergeCell ref="E624:F624"/>
    <mergeCell ref="H875:I875"/>
    <mergeCell ref="E879:F879"/>
    <mergeCell ref="E812:F812"/>
    <mergeCell ref="E813:F813"/>
    <mergeCell ref="E821:F821"/>
    <mergeCell ref="E822:F822"/>
    <mergeCell ref="E823:F823"/>
    <mergeCell ref="E824:F824"/>
    <mergeCell ref="E832:F832"/>
    <mergeCell ref="E833:F833"/>
    <mergeCell ref="E834:F834"/>
    <mergeCell ref="E835:F835"/>
    <mergeCell ref="H837:I837"/>
    <mergeCell ref="E839:F839"/>
    <mergeCell ref="E840:F840"/>
    <mergeCell ref="E841:F841"/>
    <mergeCell ref="E842:F842"/>
    <mergeCell ref="H926:I926"/>
    <mergeCell ref="E929:F929"/>
    <mergeCell ref="E930:F930"/>
    <mergeCell ref="E931:F931"/>
    <mergeCell ref="H937:I937"/>
    <mergeCell ref="E941:F941"/>
    <mergeCell ref="E942:F942"/>
    <mergeCell ref="E943:F943"/>
    <mergeCell ref="H948:I948"/>
    <mergeCell ref="E951:F951"/>
    <mergeCell ref="E952:F952"/>
    <mergeCell ref="E953:F953"/>
    <mergeCell ref="H955:I955"/>
    <mergeCell ref="E960:F960"/>
    <mergeCell ref="E1028:F1028"/>
    <mergeCell ref="E1029:F1029"/>
    <mergeCell ref="E1013:F1013"/>
    <mergeCell ref="E1018:F1018"/>
    <mergeCell ref="E1001:F1001"/>
    <mergeCell ref="E976:F976"/>
    <mergeCell ref="E977:F977"/>
    <mergeCell ref="E978:F978"/>
    <mergeCell ref="E979:F979"/>
    <mergeCell ref="E985:F985"/>
    <mergeCell ref="E986:F986"/>
    <mergeCell ref="E996:F996"/>
    <mergeCell ref="E997:F997"/>
    <mergeCell ref="E980:F980"/>
    <mergeCell ref="E984:F984"/>
    <mergeCell ref="E990:F990"/>
    <mergeCell ref="E991:F991"/>
    <mergeCell ref="E992:F992"/>
    <mergeCell ref="E1145:F1145"/>
    <mergeCell ref="E1146:F1146"/>
    <mergeCell ref="E1144:F1144"/>
    <mergeCell ref="E1150:F1150"/>
    <mergeCell ref="E1151:F1151"/>
    <mergeCell ref="E1143:F1143"/>
    <mergeCell ref="H1148:I1148"/>
    <mergeCell ref="E1152:F1152"/>
    <mergeCell ref="E1153:F1153"/>
    <mergeCell ref="E1166:F1166"/>
    <mergeCell ref="E1167:F1167"/>
    <mergeCell ref="E1168:F1168"/>
    <mergeCell ref="E1181:F1181"/>
    <mergeCell ref="E1203:F1203"/>
    <mergeCell ref="E1185:F1185"/>
    <mergeCell ref="E1209:F1209"/>
    <mergeCell ref="E1210:F1210"/>
    <mergeCell ref="E1155:F1155"/>
    <mergeCell ref="E1156:F1156"/>
    <mergeCell ref="E1154:F1154"/>
    <mergeCell ref="E1172:F1172"/>
    <mergeCell ref="E1173:F1173"/>
    <mergeCell ref="E1174:F1174"/>
    <mergeCell ref="H1179:I1179"/>
    <mergeCell ref="E1182:F1182"/>
    <mergeCell ref="E1183:F1183"/>
    <mergeCell ref="E1184:F1184"/>
    <mergeCell ref="H1187:I1187"/>
    <mergeCell ref="E1196:F1196"/>
    <mergeCell ref="E1197:F1197"/>
    <mergeCell ref="E1198:F1198"/>
    <mergeCell ref="E1193:F1193"/>
    <mergeCell ref="H1212:I1212"/>
    <mergeCell ref="E1157:F1157"/>
    <mergeCell ref="E1158:F1158"/>
    <mergeCell ref="E1175:F1175"/>
    <mergeCell ref="E1176:F1176"/>
    <mergeCell ref="E1177:F1177"/>
    <mergeCell ref="E1189:F1189"/>
    <mergeCell ref="E1190:F1190"/>
    <mergeCell ref="E1202:F1202"/>
    <mergeCell ref="E1194:F1194"/>
    <mergeCell ref="E1195:F1195"/>
    <mergeCell ref="H1200:I1200"/>
    <mergeCell ref="H1160:I1160"/>
    <mergeCell ref="E1162:F1162"/>
    <mergeCell ref="E1163:F1163"/>
    <mergeCell ref="E1164:F1164"/>
    <mergeCell ref="H1170:I1170"/>
    <mergeCell ref="E1191:F1191"/>
    <mergeCell ref="E1192:F1192"/>
    <mergeCell ref="E1165:F1165"/>
    <mergeCell ref="E1206:F1206"/>
    <mergeCell ref="E1207:F1207"/>
    <mergeCell ref="E1208:F1208"/>
    <mergeCell ref="E1331:F1331"/>
    <mergeCell ref="E1315:F1315"/>
    <mergeCell ref="E1316:F1316"/>
    <mergeCell ref="E1329:F1329"/>
    <mergeCell ref="E1330:F1330"/>
    <mergeCell ref="H1333:I1333"/>
    <mergeCell ref="E1244:F1244"/>
    <mergeCell ref="E1245:F1245"/>
    <mergeCell ref="E1246:F1246"/>
    <mergeCell ref="E1252:F1252"/>
    <mergeCell ref="E1253:F1253"/>
    <mergeCell ref="E1254:F1254"/>
    <mergeCell ref="E1255:F1255"/>
    <mergeCell ref="E1264:F1264"/>
    <mergeCell ref="E1265:F1265"/>
    <mergeCell ref="E1266:F1266"/>
    <mergeCell ref="H1286:I1286"/>
    <mergeCell ref="E1289:F1289"/>
    <mergeCell ref="E1251:F1251"/>
    <mergeCell ref="E1284:F1284"/>
    <mergeCell ref="E1288:F1288"/>
    <mergeCell ref="E1272:F1272"/>
    <mergeCell ref="E1273:F1273"/>
    <mergeCell ref="E1274:F1274"/>
    <mergeCell ref="E1280:F1280"/>
    <mergeCell ref="E1281:F1281"/>
    <mergeCell ref="E1282:F1282"/>
    <mergeCell ref="E1283:F1283"/>
    <mergeCell ref="H1258:I1258"/>
    <mergeCell ref="E1290:F1290"/>
    <mergeCell ref="E1291:F1291"/>
    <mergeCell ref="E1292:F1292"/>
    <mergeCell ref="H1343:I1343"/>
    <mergeCell ref="E1346:F1346"/>
    <mergeCell ref="E1347:F1347"/>
    <mergeCell ref="E1348:F1348"/>
    <mergeCell ref="E1355:F1355"/>
    <mergeCell ref="E1356:F1356"/>
    <mergeCell ref="E1368:F1368"/>
    <mergeCell ref="E1369:F1369"/>
    <mergeCell ref="E1381:F1381"/>
    <mergeCell ref="E1338:F1338"/>
    <mergeCell ref="E1339:F1339"/>
    <mergeCell ref="E1340:F1340"/>
    <mergeCell ref="E1341:F1341"/>
    <mergeCell ref="E1345:F1345"/>
    <mergeCell ref="E1360:F1360"/>
    <mergeCell ref="E1361:F1361"/>
    <mergeCell ref="E1335:F1335"/>
    <mergeCell ref="E1336:F1336"/>
    <mergeCell ref="E1337:F1337"/>
    <mergeCell ref="E1367:F1367"/>
    <mergeCell ref="E1376:F1376"/>
    <mergeCell ref="E1377:F1377"/>
    <mergeCell ref="E1349:F1349"/>
    <mergeCell ref="E1350:F1350"/>
    <mergeCell ref="E1351:F1351"/>
    <mergeCell ref="H1353:I1353"/>
    <mergeCell ref="E1357:F1357"/>
    <mergeCell ref="E1358:F1358"/>
    <mergeCell ref="E1359:F1359"/>
    <mergeCell ref="H1363:I1363"/>
    <mergeCell ref="E1365:F1365"/>
    <mergeCell ref="E1366:F1366"/>
    <mergeCell ref="E1491:F1491"/>
    <mergeCell ref="E1492:F1492"/>
    <mergeCell ref="E1462:F1462"/>
    <mergeCell ref="E1466:F1466"/>
    <mergeCell ref="E1472:F1472"/>
    <mergeCell ref="E1455:F1455"/>
    <mergeCell ref="E1456:F1456"/>
    <mergeCell ref="E1451:F1451"/>
    <mergeCell ref="E1567:F1567"/>
    <mergeCell ref="E1579:F1579"/>
    <mergeCell ref="E1562:F1562"/>
    <mergeCell ref="E1563:F1563"/>
    <mergeCell ref="E1558:F1558"/>
    <mergeCell ref="E1559:F1559"/>
    <mergeCell ref="E1560:F1560"/>
    <mergeCell ref="E1561:F1561"/>
    <mergeCell ref="E1575:F1575"/>
    <mergeCell ref="E1568:F1568"/>
    <mergeCell ref="E1569:F1569"/>
    <mergeCell ref="E1570:F1570"/>
    <mergeCell ref="E1549:F1549"/>
    <mergeCell ref="E1550:F1550"/>
    <mergeCell ref="E1551:F1551"/>
    <mergeCell ref="E1556:F1556"/>
    <mergeCell ref="E1557:F1557"/>
    <mergeCell ref="E1493:F1493"/>
    <mergeCell ref="H1577:I1577"/>
    <mergeCell ref="E1586:F1586"/>
    <mergeCell ref="E1587:F1587"/>
    <mergeCell ref="H1589:I1589"/>
    <mergeCell ref="H1596:I1596"/>
    <mergeCell ref="E1612:F1612"/>
    <mergeCell ref="E1621:F1621"/>
    <mergeCell ref="E1622:F1622"/>
    <mergeCell ref="E1629:F1629"/>
    <mergeCell ref="E1545:F1545"/>
    <mergeCell ref="E1546:F1546"/>
    <mergeCell ref="H1553:I1553"/>
    <mergeCell ref="E1555:F1555"/>
    <mergeCell ref="E1571:F1571"/>
    <mergeCell ref="E1572:F1572"/>
    <mergeCell ref="E1573:F1573"/>
    <mergeCell ref="E1574:F1574"/>
    <mergeCell ref="E1591:F1591"/>
    <mergeCell ref="E1592:F1592"/>
    <mergeCell ref="E1593:F1593"/>
    <mergeCell ref="E1594:F1594"/>
    <mergeCell ref="E1580:F1580"/>
    <mergeCell ref="E1581:F1581"/>
    <mergeCell ref="E1582:F1582"/>
    <mergeCell ref="E1583:F1583"/>
    <mergeCell ref="E1584:F1584"/>
    <mergeCell ref="E1585:F1585"/>
    <mergeCell ref="E1598:F1598"/>
    <mergeCell ref="E1599:F1599"/>
    <mergeCell ref="E1600:F1600"/>
    <mergeCell ref="E1547:F1547"/>
    <mergeCell ref="E1548:F1548"/>
    <mergeCell ref="E1772:F1772"/>
    <mergeCell ref="E1779:F1779"/>
    <mergeCell ref="E1780:F1780"/>
    <mergeCell ref="E1781:F1781"/>
    <mergeCell ref="H1787:I1787"/>
    <mergeCell ref="E1721:F1721"/>
    <mergeCell ref="E1722:F1722"/>
    <mergeCell ref="E1723:F1723"/>
    <mergeCell ref="E1731:F1731"/>
    <mergeCell ref="E1842:F1842"/>
    <mergeCell ref="E1843:F1843"/>
    <mergeCell ref="E1844:F1844"/>
    <mergeCell ref="E1845:F1845"/>
    <mergeCell ref="E1846:F1846"/>
    <mergeCell ref="E1773:F1773"/>
    <mergeCell ref="E1774:F1774"/>
    <mergeCell ref="E1775:F1775"/>
    <mergeCell ref="E1782:F1782"/>
    <mergeCell ref="E1783:F1783"/>
    <mergeCell ref="E1784:F1784"/>
    <mergeCell ref="E1790:F1790"/>
    <mergeCell ref="E1791:F1791"/>
    <mergeCell ref="E1792:F1792"/>
    <mergeCell ref="E1801:F1801"/>
    <mergeCell ref="E1809:F1809"/>
    <mergeCell ref="E1810:F1810"/>
    <mergeCell ref="E1811:F1811"/>
    <mergeCell ref="E1812:F1812"/>
    <mergeCell ref="E1819:F1819"/>
    <mergeCell ref="E1799:F1799"/>
    <mergeCell ref="E1800:F1800"/>
    <mergeCell ref="H1837:I1837"/>
    <mergeCell ref="H1992:I1992"/>
    <mergeCell ref="E1994:F1994"/>
    <mergeCell ref="E1995:F1995"/>
    <mergeCell ref="E2001:F2001"/>
    <mergeCell ref="E2002:F2002"/>
    <mergeCell ref="E2016:F2016"/>
    <mergeCell ref="E1875:F1875"/>
    <mergeCell ref="E1876:F1876"/>
    <mergeCell ref="E1877:F1877"/>
    <mergeCell ref="E1883:F1883"/>
    <mergeCell ref="E1884:F1884"/>
    <mergeCell ref="E1885:F1885"/>
    <mergeCell ref="E1886:F1886"/>
    <mergeCell ref="E1882:F1882"/>
    <mergeCell ref="H1889:I1889"/>
    <mergeCell ref="E1891:F1891"/>
    <mergeCell ref="E1892:F1892"/>
    <mergeCell ref="H1897:I1897"/>
    <mergeCell ref="E1900:F1900"/>
    <mergeCell ref="E1901:F1901"/>
    <mergeCell ref="E1878:F1878"/>
    <mergeCell ref="E1879:F1879"/>
    <mergeCell ref="E1887:F1887"/>
    <mergeCell ref="E1954:F1954"/>
    <mergeCell ref="E1955:F1955"/>
    <mergeCell ref="E1956:F1956"/>
    <mergeCell ref="E1957:F1957"/>
    <mergeCell ref="E1958:F1958"/>
    <mergeCell ref="E1946:F1946"/>
    <mergeCell ref="E1909:F1909"/>
    <mergeCell ref="E1910:F1910"/>
    <mergeCell ref="E1937:F1937"/>
    <mergeCell ref="H2037:I2037"/>
    <mergeCell ref="E2039:F2039"/>
    <mergeCell ref="E2040:F2040"/>
    <mergeCell ref="E2041:F2041"/>
    <mergeCell ref="H2045:I2045"/>
    <mergeCell ref="E2049:F2049"/>
    <mergeCell ref="E1902:F1902"/>
    <mergeCell ref="H1905:I1905"/>
    <mergeCell ref="E1964:F1964"/>
    <mergeCell ref="E1965:F1965"/>
    <mergeCell ref="E1966:F1966"/>
    <mergeCell ref="E1980:F1980"/>
    <mergeCell ref="E2042:F2042"/>
    <mergeCell ref="E2043:F2043"/>
    <mergeCell ref="E2047:F2047"/>
    <mergeCell ref="E2048:F2048"/>
    <mergeCell ref="E2013:F2013"/>
    <mergeCell ref="E1967:F1967"/>
    <mergeCell ref="E1968:F1968"/>
    <mergeCell ref="E1974:F1974"/>
    <mergeCell ref="E2003:F2003"/>
    <mergeCell ref="H2005:I2005"/>
    <mergeCell ref="E2007:F2007"/>
    <mergeCell ref="E2008:F2008"/>
    <mergeCell ref="E2009:F2009"/>
    <mergeCell ref="E2014:F2014"/>
    <mergeCell ref="E2015:F2015"/>
    <mergeCell ref="E2034:F2034"/>
    <mergeCell ref="E2035:F2035"/>
    <mergeCell ref="E1915:F1915"/>
    <mergeCell ref="E1916:F1916"/>
    <mergeCell ref="E1917:F1917"/>
    <mergeCell ref="E2230:F2230"/>
    <mergeCell ref="E2239:F2239"/>
    <mergeCell ref="E2240:F2240"/>
    <mergeCell ref="E2225:F2225"/>
    <mergeCell ref="E2226:F2226"/>
    <mergeCell ref="E2234:F2234"/>
    <mergeCell ref="E2220:F2220"/>
    <mergeCell ref="E2228:F2228"/>
    <mergeCell ref="E2229:F2229"/>
    <mergeCell ref="H2018:I2018"/>
    <mergeCell ref="H2087:I2087"/>
    <mergeCell ref="E2089:F2089"/>
    <mergeCell ref="E2090:F2090"/>
    <mergeCell ref="E2091:F2091"/>
    <mergeCell ref="H2096:I2096"/>
    <mergeCell ref="H2146:I2146"/>
    <mergeCell ref="H2105:I2105"/>
    <mergeCell ref="E2107:F2107"/>
    <mergeCell ref="E2072:F2072"/>
    <mergeCell ref="E2073:F2073"/>
    <mergeCell ref="E2074:F2074"/>
    <mergeCell ref="H2122:I2122"/>
    <mergeCell ref="E2127:F2127"/>
    <mergeCell ref="E2128:F2128"/>
    <mergeCell ref="H2130:I2130"/>
    <mergeCell ref="E2135:F2135"/>
    <mergeCell ref="E2136:F2136"/>
    <mergeCell ref="H2138:I2138"/>
    <mergeCell ref="E2144:F2144"/>
    <mergeCell ref="E2024:F2024"/>
    <mergeCell ref="E2025:F2025"/>
    <mergeCell ref="H2027:I2027"/>
    <mergeCell ref="E2362:F2362"/>
    <mergeCell ref="E2391:F2391"/>
    <mergeCell ref="E2368:F2368"/>
    <mergeCell ref="E2270:F2270"/>
    <mergeCell ref="E2271:F2271"/>
    <mergeCell ref="E2272:F2272"/>
    <mergeCell ref="E2286:F2286"/>
    <mergeCell ref="E2296:F2296"/>
    <mergeCell ref="E2262:F2262"/>
    <mergeCell ref="E2266:F2266"/>
    <mergeCell ref="E2278:F2278"/>
    <mergeCell ref="E2279:F2279"/>
    <mergeCell ref="E2280:F2280"/>
    <mergeCell ref="E2281:F2281"/>
    <mergeCell ref="E2287:F2287"/>
    <mergeCell ref="E2288:F2288"/>
    <mergeCell ref="E2289:F2289"/>
    <mergeCell ref="E2290:F2290"/>
    <mergeCell ref="E2263:F2263"/>
    <mergeCell ref="E2264:F2264"/>
    <mergeCell ref="E2265:F2265"/>
    <mergeCell ref="E2274:F2274"/>
    <mergeCell ref="E2282:F2282"/>
    <mergeCell ref="E2318:F2318"/>
    <mergeCell ref="E2319:F2319"/>
    <mergeCell ref="E2307:F2307"/>
    <mergeCell ref="E2308:F2308"/>
    <mergeCell ref="E2316:F2316"/>
    <mergeCell ref="E2320:F2320"/>
    <mergeCell ref="E2348:F2348"/>
    <mergeCell ref="E2342:F2342"/>
    <mergeCell ref="E2324:F2324"/>
    <mergeCell ref="E2412:F2412"/>
    <mergeCell ref="E2413:F2413"/>
    <mergeCell ref="E2420:F2420"/>
    <mergeCell ref="E2421:F2421"/>
    <mergeCell ref="E2422:F2422"/>
    <mergeCell ref="E2423:F2423"/>
    <mergeCell ref="E2428:F2428"/>
    <mergeCell ref="E2429:F2429"/>
    <mergeCell ref="E2363:F2363"/>
    <mergeCell ref="E2364:F2364"/>
    <mergeCell ref="E2365:F2365"/>
    <mergeCell ref="E2387:F2387"/>
    <mergeCell ref="E2388:F2388"/>
    <mergeCell ref="E2389:F2389"/>
    <mergeCell ref="E2398:F2398"/>
    <mergeCell ref="E2399:F2399"/>
    <mergeCell ref="E2372:F2372"/>
    <mergeCell ref="E2373:F2373"/>
    <mergeCell ref="E2374:F2374"/>
    <mergeCell ref="E2375:F2375"/>
    <mergeCell ref="E2382:F2382"/>
    <mergeCell ref="E2383:F2383"/>
    <mergeCell ref="E2390:F2390"/>
    <mergeCell ref="E2366:F2366"/>
    <mergeCell ref="E2367:F2367"/>
    <mergeCell ref="E2400:F2400"/>
    <mergeCell ref="E2406:F2406"/>
    <mergeCell ref="E2407:F2407"/>
    <mergeCell ref="E2414:F2414"/>
    <mergeCell ref="E2415:F2415"/>
    <mergeCell ref="E2424:F2424"/>
    <mergeCell ref="E2882:F2882"/>
    <mergeCell ref="E2883:F2883"/>
    <mergeCell ref="H2885:I2885"/>
    <mergeCell ref="E2891:F2891"/>
    <mergeCell ref="H2893:I2893"/>
    <mergeCell ref="E2431:F2431"/>
    <mergeCell ref="E2432:F2432"/>
    <mergeCell ref="E2438:F2438"/>
    <mergeCell ref="E2439:F2439"/>
    <mergeCell ref="E2689:F2689"/>
    <mergeCell ref="E2690:F2690"/>
    <mergeCell ref="E2691:F2691"/>
    <mergeCell ref="E2636:F2636"/>
    <mergeCell ref="E2637:F2637"/>
    <mergeCell ref="E2645:F2645"/>
    <mergeCell ref="E2646:F2646"/>
    <mergeCell ref="E2647:F2647"/>
    <mergeCell ref="E2648:F2648"/>
    <mergeCell ref="E2654:F2654"/>
    <mergeCell ref="E2655:F2655"/>
    <mergeCell ref="E2656:F2656"/>
    <mergeCell ref="E2657:F2657"/>
    <mergeCell ref="E2663:F2663"/>
    <mergeCell ref="E2664:F2664"/>
    <mergeCell ref="E2685:F2685"/>
    <mergeCell ref="E2681:F2681"/>
    <mergeCell ref="E2638:F2638"/>
    <mergeCell ref="E2639:F2639"/>
    <mergeCell ref="E2688:F2688"/>
    <mergeCell ref="E2496:F2496"/>
    <mergeCell ref="E2500:F2500"/>
    <mergeCell ref="E2468:F2468"/>
    <mergeCell ref="E2925:F2925"/>
    <mergeCell ref="E2926:F2926"/>
    <mergeCell ref="E2927:F2927"/>
    <mergeCell ref="E2937:F2937"/>
    <mergeCell ref="H2942:I2942"/>
    <mergeCell ref="E2944:F2944"/>
    <mergeCell ref="E2945:F2945"/>
    <mergeCell ref="H2950:I2950"/>
    <mergeCell ref="H2857:I2857"/>
    <mergeCell ref="E2861:F2861"/>
    <mergeCell ref="E2862:F2862"/>
    <mergeCell ref="E2863:F2863"/>
    <mergeCell ref="H2865:I2865"/>
    <mergeCell ref="E2867:F2867"/>
    <mergeCell ref="E2868:F2868"/>
    <mergeCell ref="E2869:F2869"/>
    <mergeCell ref="E2875:F2875"/>
    <mergeCell ref="E2876:F2876"/>
    <mergeCell ref="E2877:F2877"/>
    <mergeCell ref="H2929:I2929"/>
    <mergeCell ref="E2935:F2935"/>
    <mergeCell ref="E2936:F2936"/>
    <mergeCell ref="H2902:I2902"/>
    <mergeCell ref="E2887:F2887"/>
    <mergeCell ref="E2888:F2888"/>
    <mergeCell ref="E2889:F2889"/>
    <mergeCell ref="E2890:F2890"/>
    <mergeCell ref="E2897:F2897"/>
    <mergeCell ref="E2898:F2898"/>
    <mergeCell ref="E2899:F2899"/>
    <mergeCell ref="E2900:F2900"/>
    <mergeCell ref="E2880:F2880"/>
    <mergeCell ref="E3072:F3072"/>
    <mergeCell ref="H3075:I3075"/>
    <mergeCell ref="E3078:F3078"/>
    <mergeCell ref="E3079:F3079"/>
    <mergeCell ref="E3080:F3080"/>
    <mergeCell ref="E3081:F3081"/>
    <mergeCell ref="H3053:I3053"/>
    <mergeCell ref="H3062:I3062"/>
    <mergeCell ref="H2911:I2911"/>
    <mergeCell ref="E2917:F2917"/>
    <mergeCell ref="E2918:F2918"/>
    <mergeCell ref="H2920:I2920"/>
    <mergeCell ref="E2904:F2904"/>
    <mergeCell ref="E2905:F2905"/>
    <mergeCell ref="E2906:F2906"/>
    <mergeCell ref="E2907:F2907"/>
    <mergeCell ref="E2908:F2908"/>
    <mergeCell ref="E2914:F2914"/>
    <mergeCell ref="E2922:F2922"/>
    <mergeCell ref="E2931:F2931"/>
    <mergeCell ref="E2939:F2939"/>
    <mergeCell ref="E2940:F2940"/>
    <mergeCell ref="E2952:F2952"/>
    <mergeCell ref="E2947:F2947"/>
    <mergeCell ref="E2948:F2948"/>
    <mergeCell ref="E2924:F2924"/>
    <mergeCell ref="E2932:F2932"/>
    <mergeCell ref="E2933:F2933"/>
    <mergeCell ref="E2934:F2934"/>
    <mergeCell ref="E2938:F2938"/>
    <mergeCell ref="E2946:F2946"/>
    <mergeCell ref="E2923:F2923"/>
    <mergeCell ref="E3049:F3049"/>
    <mergeCell ref="E3104:F3104"/>
    <mergeCell ref="E3105:F3105"/>
    <mergeCell ref="E3113:F3113"/>
    <mergeCell ref="E3114:F3114"/>
    <mergeCell ref="E3115:F3115"/>
    <mergeCell ref="E3097:F3097"/>
    <mergeCell ref="E3098:F3098"/>
    <mergeCell ref="E3099:F3099"/>
    <mergeCell ref="E3106:F3106"/>
    <mergeCell ref="E3107:F3107"/>
    <mergeCell ref="E3121:F3121"/>
    <mergeCell ref="E3122:F3122"/>
    <mergeCell ref="E3123:F3123"/>
    <mergeCell ref="E3130:F3130"/>
    <mergeCell ref="E3051:F3051"/>
    <mergeCell ref="E3059:F3059"/>
    <mergeCell ref="E3060:F3060"/>
    <mergeCell ref="E3100:F3100"/>
    <mergeCell ref="E3096:F3096"/>
    <mergeCell ref="E3065:F3065"/>
    <mergeCell ref="E3066:F3066"/>
    <mergeCell ref="E3067:F3067"/>
    <mergeCell ref="E3068:F3068"/>
    <mergeCell ref="E3073:F3073"/>
    <mergeCell ref="E3077:F3077"/>
    <mergeCell ref="E3082:F3082"/>
    <mergeCell ref="E3086:F3086"/>
    <mergeCell ref="E3087:F3087"/>
    <mergeCell ref="E3050:F3050"/>
    <mergeCell ref="E3055:F3055"/>
    <mergeCell ref="E3071:F3071"/>
    <mergeCell ref="E3284:F3284"/>
    <mergeCell ref="E3296:F3296"/>
    <mergeCell ref="E3297:F3297"/>
    <mergeCell ref="E3304:F3304"/>
    <mergeCell ref="E3305:F3305"/>
    <mergeCell ref="E3306:F3306"/>
    <mergeCell ref="E3307:F3307"/>
    <mergeCell ref="E3315:F3315"/>
    <mergeCell ref="E3316:F3316"/>
    <mergeCell ref="E3282:F3282"/>
    <mergeCell ref="E3283:F3283"/>
    <mergeCell ref="E3236:F3236"/>
    <mergeCell ref="E3237:F3237"/>
    <mergeCell ref="E3238:F3238"/>
    <mergeCell ref="E3239:F3239"/>
    <mergeCell ref="E3270:F3270"/>
    <mergeCell ref="E3279:F3279"/>
    <mergeCell ref="E3280:F3280"/>
    <mergeCell ref="E3265:F3265"/>
    <mergeCell ref="E3266:F3266"/>
    <mergeCell ref="E3274:F3274"/>
    <mergeCell ref="E3258:F3258"/>
    <mergeCell ref="E3278:F3278"/>
    <mergeCell ref="E3240:F3240"/>
    <mergeCell ref="E3246:F3246"/>
    <mergeCell ref="E3254:F3254"/>
    <mergeCell ref="E3255:F3255"/>
    <mergeCell ref="E3281:F3281"/>
    <mergeCell ref="E3249:F3249"/>
    <mergeCell ref="E3250:F3250"/>
    <mergeCell ref="H3423:I3423"/>
    <mergeCell ref="H3415:I3415"/>
    <mergeCell ref="E3328:F3328"/>
    <mergeCell ref="E3329:F3329"/>
    <mergeCell ref="E3330:F3330"/>
    <mergeCell ref="E3331:F3331"/>
    <mergeCell ref="H3334:I3334"/>
    <mergeCell ref="E3338:F3338"/>
    <mergeCell ref="E3339:F3339"/>
    <mergeCell ref="E3340:F3340"/>
    <mergeCell ref="E3336:F3336"/>
    <mergeCell ref="E3337:F3337"/>
    <mergeCell ref="E3359:F3359"/>
    <mergeCell ref="E3360:F3360"/>
    <mergeCell ref="E3332:F3332"/>
    <mergeCell ref="E3356:F3356"/>
    <mergeCell ref="E3361:F3361"/>
    <mergeCell ref="E3362:F3362"/>
    <mergeCell ref="E3352:F3352"/>
    <mergeCell ref="E3357:F3357"/>
    <mergeCell ref="E3358:F3358"/>
    <mergeCell ref="E3353:F3353"/>
    <mergeCell ref="E3354:F3354"/>
    <mergeCell ref="E3346:F3346"/>
    <mergeCell ref="E3347:F3347"/>
    <mergeCell ref="E3348:F3348"/>
    <mergeCell ref="E3387:F3387"/>
    <mergeCell ref="E3388:F3388"/>
    <mergeCell ref="E3397:F3397"/>
    <mergeCell ref="E3395:F3395"/>
    <mergeCell ref="E3396:F3396"/>
    <mergeCell ref="E3403:F3403"/>
    <mergeCell ref="E3483:F3483"/>
    <mergeCell ref="E3481:F3481"/>
    <mergeCell ref="E3482:F3482"/>
    <mergeCell ref="E3385:F3385"/>
    <mergeCell ref="E3386:F3386"/>
    <mergeCell ref="E3393:F3393"/>
    <mergeCell ref="E3394:F3394"/>
    <mergeCell ref="E3425:F3425"/>
    <mergeCell ref="E3426:F3426"/>
    <mergeCell ref="E3427:F3427"/>
    <mergeCell ref="E3428:F3428"/>
    <mergeCell ref="E3417:F3417"/>
    <mergeCell ref="E3429:F3429"/>
    <mergeCell ref="E3404:F3404"/>
    <mergeCell ref="E3405:F3405"/>
    <mergeCell ref="E3465:F3465"/>
    <mergeCell ref="E3466:F3466"/>
    <mergeCell ref="E3436:F3436"/>
    <mergeCell ref="E3437:F3437"/>
    <mergeCell ref="E3445:F3445"/>
    <mergeCell ref="E3457:F3457"/>
    <mergeCell ref="E3458:F3458"/>
    <mergeCell ref="E3467:F3467"/>
    <mergeCell ref="E3564:F3564"/>
    <mergeCell ref="H3603:I3603"/>
    <mergeCell ref="E3609:F3609"/>
    <mergeCell ref="E3610:F3610"/>
    <mergeCell ref="E3600:F3600"/>
    <mergeCell ref="E3601:F3601"/>
    <mergeCell ref="E3650:F3650"/>
    <mergeCell ref="E3556:F3556"/>
    <mergeCell ref="E3560:F3560"/>
    <mergeCell ref="E3628:F3628"/>
    <mergeCell ref="E3557:F3557"/>
    <mergeCell ref="E3558:F3558"/>
    <mergeCell ref="E3559:F3559"/>
    <mergeCell ref="H3562:I3562"/>
    <mergeCell ref="E3565:F3565"/>
    <mergeCell ref="E3566:F3566"/>
    <mergeCell ref="E3567:F3567"/>
    <mergeCell ref="H3572:I3572"/>
    <mergeCell ref="E3575:F3575"/>
    <mergeCell ref="E3576:F3576"/>
    <mergeCell ref="E3637:F3637"/>
    <mergeCell ref="E3568:F3568"/>
    <mergeCell ref="E3569:F3569"/>
    <mergeCell ref="E3570:F3570"/>
    <mergeCell ref="E3577:F3577"/>
    <mergeCell ref="H3582:I3582"/>
    <mergeCell ref="E3585:F3585"/>
    <mergeCell ref="E3586:F3586"/>
    <mergeCell ref="E3587:F3587"/>
    <mergeCell ref="H3592:I3592"/>
    <mergeCell ref="E3594:F3594"/>
    <mergeCell ref="E3595:F3595"/>
    <mergeCell ref="E3789:F3789"/>
    <mergeCell ref="E3790:F3790"/>
    <mergeCell ref="E3799:F3799"/>
    <mergeCell ref="E3795:F3795"/>
    <mergeCell ref="E3796:F3796"/>
    <mergeCell ref="E3797:F3797"/>
    <mergeCell ref="E3838:F3838"/>
    <mergeCell ref="E3756:F3756"/>
    <mergeCell ref="E3763:F3763"/>
    <mergeCell ref="E3764:F3764"/>
    <mergeCell ref="E3727:F3727"/>
    <mergeCell ref="E3651:F3651"/>
    <mergeCell ref="E3661:F3661"/>
    <mergeCell ref="E3662:F3662"/>
    <mergeCell ref="E3672:F3672"/>
    <mergeCell ref="E3678:F3678"/>
    <mergeCell ref="E3636:F3636"/>
    <mergeCell ref="E3641:F3641"/>
    <mergeCell ref="E3642:F3642"/>
    <mergeCell ref="E3646:F3646"/>
    <mergeCell ref="E3652:F3652"/>
    <mergeCell ref="E3695:F3695"/>
    <mergeCell ref="E3696:F3696"/>
    <mergeCell ref="E3697:F3697"/>
    <mergeCell ref="E3656:F3656"/>
    <mergeCell ref="E3657:F3657"/>
    <mergeCell ref="E3663:F3663"/>
    <mergeCell ref="E3664:F3664"/>
    <mergeCell ref="E3665:F3665"/>
    <mergeCell ref="E3638:F3638"/>
    <mergeCell ref="E3639:F3639"/>
    <mergeCell ref="E3828:F3828"/>
    <mergeCell ref="E3941:F3941"/>
    <mergeCell ref="E3942:F3942"/>
    <mergeCell ref="E3927:F3927"/>
    <mergeCell ref="E3931:F3931"/>
    <mergeCell ref="E3908:F3908"/>
    <mergeCell ref="E3834:F3834"/>
    <mergeCell ref="E3842:F3842"/>
    <mergeCell ref="E3808:F3808"/>
    <mergeCell ref="E3809:F3809"/>
    <mergeCell ref="E3817:F3817"/>
    <mergeCell ref="E3818:F3818"/>
    <mergeCell ref="E3819:F3819"/>
    <mergeCell ref="E3827:F3827"/>
    <mergeCell ref="E3835:F3835"/>
    <mergeCell ref="E3836:F3836"/>
    <mergeCell ref="E3837:F3837"/>
    <mergeCell ref="H3840:I3840"/>
    <mergeCell ref="E3907:F3907"/>
    <mergeCell ref="E3889:F3889"/>
    <mergeCell ref="E3898:F3898"/>
    <mergeCell ref="E3899:F3899"/>
    <mergeCell ref="E3900:F3900"/>
    <mergeCell ref="E3829:F3829"/>
    <mergeCell ref="E3830:F3830"/>
    <mergeCell ref="E3845:F3845"/>
    <mergeCell ref="E3846:F3846"/>
    <mergeCell ref="H3848:I3848"/>
    <mergeCell ref="H3856:I3856"/>
    <mergeCell ref="E3858:F3858"/>
    <mergeCell ref="E3859:F3859"/>
    <mergeCell ref="H3866:I3866"/>
    <mergeCell ref="E3868:F3868"/>
    <mergeCell ref="E4110:F4110"/>
    <mergeCell ref="E4111:F4111"/>
    <mergeCell ref="E4112:F4112"/>
    <mergeCell ref="E4095:F4095"/>
    <mergeCell ref="E4096:F4096"/>
    <mergeCell ref="E4231:F4231"/>
    <mergeCell ref="E4232:F4232"/>
    <mergeCell ref="E4233:F4233"/>
    <mergeCell ref="E4234:F4234"/>
    <mergeCell ref="E4117:F4117"/>
    <mergeCell ref="E4134:F4134"/>
    <mergeCell ref="E4144:F4144"/>
    <mergeCell ref="E4145:F4145"/>
    <mergeCell ref="E4146:F4146"/>
    <mergeCell ref="E4155:F4155"/>
    <mergeCell ref="E4156:F4156"/>
    <mergeCell ref="E4157:F4157"/>
    <mergeCell ref="E4097:F4097"/>
    <mergeCell ref="E4098:F4098"/>
    <mergeCell ref="E4106:F4106"/>
    <mergeCell ref="E4107:F4107"/>
    <mergeCell ref="E4108:F4108"/>
    <mergeCell ref="E4142:F4142"/>
    <mergeCell ref="E4143:F4143"/>
    <mergeCell ref="E4150:F4150"/>
    <mergeCell ref="E4219:F4219"/>
    <mergeCell ref="E4220:F4220"/>
    <mergeCell ref="E4166:F4166"/>
    <mergeCell ref="E4167:F4167"/>
    <mergeCell ref="E4168:F4168"/>
    <mergeCell ref="E4174:F4174"/>
    <mergeCell ref="E4335:F4335"/>
    <mergeCell ref="E4336:F4336"/>
    <mergeCell ref="E4337:F4337"/>
    <mergeCell ref="E4338:F4338"/>
    <mergeCell ref="E4345:F4345"/>
    <mergeCell ref="E4346:F4346"/>
    <mergeCell ref="E4347:F4347"/>
    <mergeCell ref="E4353:F4353"/>
    <mergeCell ref="E4354:F4354"/>
    <mergeCell ref="E4355:F4355"/>
    <mergeCell ref="E4356:F4356"/>
    <mergeCell ref="E4357:F4357"/>
    <mergeCell ref="E4358:F4358"/>
    <mergeCell ref="E4363:F4363"/>
    <mergeCell ref="E4364:F4364"/>
    <mergeCell ref="E4343:F4343"/>
    <mergeCell ref="E4344:F4344"/>
    <mergeCell ref="E4558:F4558"/>
    <mergeCell ref="E4577:F4577"/>
    <mergeCell ref="E4578:F4578"/>
    <mergeCell ref="E4579:F4579"/>
    <mergeCell ref="E4580:F4580"/>
    <mergeCell ref="E4581:F4581"/>
    <mergeCell ref="E4582:F4582"/>
    <mergeCell ref="E4587:F4587"/>
    <mergeCell ref="E4588:F4588"/>
    <mergeCell ref="E4589:F4589"/>
    <mergeCell ref="E4540:F4540"/>
    <mergeCell ref="E4547:F4547"/>
    <mergeCell ref="E4548:F4548"/>
    <mergeCell ref="E4549:F4549"/>
    <mergeCell ref="E4550:F4550"/>
    <mergeCell ref="E4556:F4556"/>
    <mergeCell ref="E4557:F4557"/>
    <mergeCell ref="E4543:F4543"/>
    <mergeCell ref="E4573:F4573"/>
    <mergeCell ref="E4555:F4555"/>
    <mergeCell ref="E4583:F4583"/>
    <mergeCell ref="E4570:F4570"/>
    <mergeCell ref="E4571:F4571"/>
    <mergeCell ref="H4545:I4545"/>
    <mergeCell ref="E4551:F4551"/>
    <mergeCell ref="H4553:I4553"/>
    <mergeCell ref="E4562:F4562"/>
    <mergeCell ref="H4564:I4564"/>
    <mergeCell ref="E4572:F4572"/>
    <mergeCell ref="E4559:F4559"/>
    <mergeCell ref="E4560:F4560"/>
    <mergeCell ref="E4561:F4561"/>
    <mergeCell ref="E4695:F4695"/>
    <mergeCell ref="E4696:F4696"/>
    <mergeCell ref="E4697:F4697"/>
    <mergeCell ref="E4666:F4666"/>
    <mergeCell ref="E4667:F4667"/>
    <mergeCell ref="E4698:F4698"/>
    <mergeCell ref="E4705:F4705"/>
    <mergeCell ref="E4706:F4706"/>
    <mergeCell ref="E4690:F4690"/>
    <mergeCell ref="H4692:I4692"/>
    <mergeCell ref="E4699:F4699"/>
    <mergeCell ref="E4700:F4700"/>
    <mergeCell ref="E4701:F4701"/>
    <mergeCell ref="H4703:I4703"/>
    <mergeCell ref="E4614:F4614"/>
    <mergeCell ref="E4615:F4615"/>
    <mergeCell ref="E4624:F4624"/>
    <mergeCell ref="E4625:F4625"/>
    <mergeCell ref="E4662:F4662"/>
    <mergeCell ref="E4675:F4675"/>
    <mergeCell ref="E4676:F4676"/>
    <mergeCell ref="E4635:F4635"/>
    <mergeCell ref="E4645:F4645"/>
    <mergeCell ref="E4644:F4644"/>
    <mergeCell ref="E4671:F4671"/>
    <mergeCell ref="E4680:F4680"/>
    <mergeCell ref="E4756:F4756"/>
    <mergeCell ref="E4757:F4757"/>
    <mergeCell ref="E4766:F4766"/>
    <mergeCell ref="E4795:F4795"/>
    <mergeCell ref="E4801:F4801"/>
    <mergeCell ref="E4802:F4802"/>
    <mergeCell ref="E4803:F4803"/>
    <mergeCell ref="E4804:F4804"/>
    <mergeCell ref="E4762:F4762"/>
    <mergeCell ref="E4767:F4767"/>
    <mergeCell ref="E4707:F4707"/>
    <mergeCell ref="E4708:F4708"/>
    <mergeCell ref="E4709:F4709"/>
    <mergeCell ref="E4653:F4653"/>
    <mergeCell ref="E4710:F4710"/>
    <mergeCell ref="E4711:F4711"/>
    <mergeCell ref="E4805:F4805"/>
    <mergeCell ref="E4806:F4806"/>
    <mergeCell ref="E4752:F4752"/>
    <mergeCell ref="H4754:I4754"/>
    <mergeCell ref="E4759:F4759"/>
    <mergeCell ref="E4760:F4760"/>
    <mergeCell ref="E4761:F4761"/>
    <mergeCell ref="H4764:I4764"/>
    <mergeCell ref="E4770:F4770"/>
    <mergeCell ref="E4771:F4771"/>
    <mergeCell ref="E4794:F4794"/>
    <mergeCell ref="E4800:F4800"/>
    <mergeCell ref="E4826:F4826"/>
    <mergeCell ref="E4816:F4816"/>
    <mergeCell ref="E4835:F4835"/>
    <mergeCell ref="E4836:F4836"/>
    <mergeCell ref="E4844:F4844"/>
    <mergeCell ref="E4772:F4772"/>
    <mergeCell ref="H4775:I4775"/>
    <mergeCell ref="E4781:F4781"/>
    <mergeCell ref="E4782:F4782"/>
    <mergeCell ref="E4783:F4783"/>
    <mergeCell ref="H4785:I4785"/>
    <mergeCell ref="E4789:F4789"/>
    <mergeCell ref="E4790:F4790"/>
    <mergeCell ref="E4791:F4791"/>
    <mergeCell ref="H4797:I4797"/>
    <mergeCell ref="E4799:F4799"/>
    <mergeCell ref="E4807:F4807"/>
    <mergeCell ref="H4809:I4809"/>
    <mergeCell ref="E4817:F4817"/>
    <mergeCell ref="E4818:F4818"/>
    <mergeCell ref="H5030:I5030"/>
    <mergeCell ref="E4855:F4855"/>
    <mergeCell ref="E4862:F4862"/>
    <mergeCell ref="E4949:F4949"/>
    <mergeCell ref="E4950:F4950"/>
    <mergeCell ref="E4958:F4958"/>
    <mergeCell ref="E4959:F4959"/>
    <mergeCell ref="E4966:F4966"/>
    <mergeCell ref="E4967:F4967"/>
    <mergeCell ref="E4968:F4968"/>
    <mergeCell ref="E4969:F4969"/>
    <mergeCell ref="E4956:F4956"/>
    <mergeCell ref="E4957:F4957"/>
    <mergeCell ref="E4965:F4965"/>
    <mergeCell ref="E4860:F4860"/>
    <mergeCell ref="E4861:F4861"/>
    <mergeCell ref="E4868:F4868"/>
    <mergeCell ref="E4869:F4869"/>
    <mergeCell ref="E4870:F4870"/>
    <mergeCell ref="E4867:F4867"/>
    <mergeCell ref="E4883:F4883"/>
    <mergeCell ref="E4888:F4888"/>
    <mergeCell ref="E4889:F4889"/>
    <mergeCell ref="E4890:F4890"/>
    <mergeCell ref="E4891:F4891"/>
    <mergeCell ref="E4873:F4873"/>
    <mergeCell ref="H4875:I4875"/>
    <mergeCell ref="E4899:F4899"/>
    <mergeCell ref="E4884:F4884"/>
    <mergeCell ref="H4886:I4886"/>
    <mergeCell ref="E4892:F4892"/>
    <mergeCell ref="E4893:F4893"/>
    <mergeCell ref="E5153:F5153"/>
    <mergeCell ref="E5151:F5151"/>
    <mergeCell ref="E5152:F5152"/>
    <mergeCell ref="E5126:F5126"/>
    <mergeCell ref="E5131:F5131"/>
    <mergeCell ref="E5177:F5177"/>
    <mergeCell ref="E5178:F5178"/>
    <mergeCell ref="E5192:F5192"/>
    <mergeCell ref="E5193:F5193"/>
    <mergeCell ref="E5171:F5171"/>
    <mergeCell ref="E5154:F5154"/>
    <mergeCell ref="E5160:F5160"/>
    <mergeCell ref="E5161:F5161"/>
    <mergeCell ref="E5168:F5168"/>
    <mergeCell ref="E5169:F5169"/>
    <mergeCell ref="E5170:F5170"/>
    <mergeCell ref="E5116:F5116"/>
    <mergeCell ref="E5132:F5132"/>
    <mergeCell ref="E5133:F5133"/>
    <mergeCell ref="E5134:F5134"/>
    <mergeCell ref="E5135:F5135"/>
    <mergeCell ref="E5162:F5162"/>
    <mergeCell ref="E5163:F5163"/>
    <mergeCell ref="H5118:I5118"/>
    <mergeCell ref="H5128:I5128"/>
    <mergeCell ref="E5130:F5130"/>
    <mergeCell ref="H5138:I5138"/>
    <mergeCell ref="E5140:F5140"/>
    <mergeCell ref="E5141:F5141"/>
    <mergeCell ref="H5147:I5147"/>
    <mergeCell ref="E4871:F4871"/>
    <mergeCell ref="E4872:F4872"/>
    <mergeCell ref="E4877:F4877"/>
    <mergeCell ref="E4878:F4878"/>
    <mergeCell ref="E4879:F4879"/>
    <mergeCell ref="E4880:F4880"/>
    <mergeCell ref="E4881:F4881"/>
    <mergeCell ref="E4882:F4882"/>
    <mergeCell ref="E4928:F4928"/>
    <mergeCell ref="E4929:F4929"/>
    <mergeCell ref="E4930:F4930"/>
    <mergeCell ref="E5095:F5095"/>
    <mergeCell ref="E5096:F5096"/>
    <mergeCell ref="E5035:F5035"/>
    <mergeCell ref="E5034:F5034"/>
    <mergeCell ref="E5011:F5011"/>
    <mergeCell ref="E5032:F5032"/>
    <mergeCell ref="E5033:F5033"/>
    <mergeCell ref="E4983:F4983"/>
    <mergeCell ref="E4984:F4984"/>
    <mergeCell ref="E4985:F4985"/>
    <mergeCell ref="E5036:F5036"/>
    <mergeCell ref="E5037:F5037"/>
    <mergeCell ref="E5038:F5038"/>
    <mergeCell ref="E5084:F5084"/>
    <mergeCell ref="E5085:F5085"/>
    <mergeCell ref="E5091:F5091"/>
    <mergeCell ref="E5101:F5101"/>
    <mergeCell ref="E5102:F5102"/>
    <mergeCell ref="E5103:F5103"/>
    <mergeCell ref="E5110:F5110"/>
    <mergeCell ref="E5111:F5111"/>
    <mergeCell ref="E5112:F5112"/>
    <mergeCell ref="E5113:F5113"/>
    <mergeCell ref="E5114:F5114"/>
    <mergeCell ref="E5115:F5115"/>
    <mergeCell ref="E5077:F5077"/>
    <mergeCell ref="E5093:F5093"/>
    <mergeCell ref="E5094:F5094"/>
    <mergeCell ref="H5098:I5098"/>
    <mergeCell ref="E5104:F5104"/>
    <mergeCell ref="E5105:F5105"/>
    <mergeCell ref="E5106:F5106"/>
    <mergeCell ref="H5108:I5108"/>
    <mergeCell ref="E5249:F5249"/>
    <mergeCell ref="E5255:F5255"/>
    <mergeCell ref="E5266:F5266"/>
    <mergeCell ref="E5274:F5274"/>
    <mergeCell ref="E5267:F5267"/>
    <mergeCell ref="E5245:F5245"/>
    <mergeCell ref="E5253:F5253"/>
    <mergeCell ref="E5254:F5254"/>
    <mergeCell ref="E5259:F5259"/>
    <mergeCell ref="E5260:F5260"/>
    <mergeCell ref="E5261:F5261"/>
    <mergeCell ref="E5262:F5262"/>
    <mergeCell ref="E5268:F5268"/>
    <mergeCell ref="E5269:F5269"/>
    <mergeCell ref="E5270:F5270"/>
    <mergeCell ref="E5275:F5275"/>
    <mergeCell ref="E5276:F5276"/>
    <mergeCell ref="E5277:F5277"/>
    <mergeCell ref="E5278:F5278"/>
    <mergeCell ref="E5279:F5279"/>
    <mergeCell ref="E5285:F5285"/>
    <mergeCell ref="E5286:F5286"/>
    <mergeCell ref="E5287:F5287"/>
    <mergeCell ref="E5376:F5376"/>
    <mergeCell ref="E5377:F5377"/>
    <mergeCell ref="E5378:F5378"/>
    <mergeCell ref="E5392:F5392"/>
    <mergeCell ref="E5393:F5393"/>
    <mergeCell ref="E5401:F5401"/>
    <mergeCell ref="E5402:F5402"/>
    <mergeCell ref="H5383:I5383"/>
    <mergeCell ref="E5385:F5385"/>
    <mergeCell ref="E5386:F5386"/>
    <mergeCell ref="E5387:F5387"/>
    <mergeCell ref="H5327:I5327"/>
    <mergeCell ref="E5329:F5329"/>
    <mergeCell ref="E5330:F5330"/>
    <mergeCell ref="E5336:F5336"/>
    <mergeCell ref="H5338:I5338"/>
    <mergeCell ref="E5347:F5347"/>
    <mergeCell ref="H5349:I5349"/>
    <mergeCell ref="E5357:F5357"/>
    <mergeCell ref="E5358:F5358"/>
    <mergeCell ref="H5360:I5360"/>
    <mergeCell ref="E5365:F5365"/>
    <mergeCell ref="E5366:F5366"/>
    <mergeCell ref="E5367:F5367"/>
    <mergeCell ref="H5371:I5371"/>
    <mergeCell ref="E5373:F5373"/>
    <mergeCell ref="E5403:F5403"/>
    <mergeCell ref="E5404:F5404"/>
    <mergeCell ref="E5405:F5405"/>
    <mergeCell ref="H5407:I5407"/>
    <mergeCell ref="E5412:F5412"/>
    <mergeCell ref="E5413:F5413"/>
    <mergeCell ref="E5586:F5586"/>
    <mergeCell ref="E5587:F5587"/>
    <mergeCell ref="E5588:F5588"/>
    <mergeCell ref="E5594:F5594"/>
    <mergeCell ref="H5596:I5596"/>
    <mergeCell ref="E5569:F5569"/>
    <mergeCell ref="E5570:F5570"/>
    <mergeCell ref="E5605:F5605"/>
    <mergeCell ref="E5606:F5606"/>
    <mergeCell ref="E5421:F5421"/>
    <mergeCell ref="E5379:F5379"/>
    <mergeCell ref="E5380:F5380"/>
    <mergeCell ref="E5381:F5381"/>
    <mergeCell ref="E5388:F5388"/>
    <mergeCell ref="E5389:F5389"/>
    <mergeCell ref="E5390:F5390"/>
    <mergeCell ref="E5391:F5391"/>
    <mergeCell ref="H5395:I5395"/>
    <mergeCell ref="E5397:F5397"/>
    <mergeCell ref="E5398:F5398"/>
    <mergeCell ref="E5399:F5399"/>
    <mergeCell ref="E5400:F5400"/>
    <mergeCell ref="E5414:F5414"/>
    <mergeCell ref="H5419:I5419"/>
    <mergeCell ref="H5465:I5465"/>
    <mergeCell ref="E5467:F5467"/>
    <mergeCell ref="E5458:F5458"/>
    <mergeCell ref="E5563:F5563"/>
    <mergeCell ref="E5571:F5571"/>
    <mergeCell ref="E5572:F5572"/>
    <mergeCell ref="E5573:F5573"/>
    <mergeCell ref="E5574:F5574"/>
    <mergeCell ref="E5582:F5582"/>
    <mergeCell ref="E5583:F5583"/>
    <mergeCell ref="E5584:F5584"/>
    <mergeCell ref="E5585:F5585"/>
    <mergeCell ref="E5554:F5554"/>
    <mergeCell ref="E5555:F5555"/>
    <mergeCell ref="E5556:F5556"/>
    <mergeCell ref="E5557:F5557"/>
    <mergeCell ref="E5566:F5566"/>
    <mergeCell ref="E5567:F5567"/>
    <mergeCell ref="E5568:F5568"/>
    <mergeCell ref="E5576:F5576"/>
    <mergeCell ref="E5577:F5577"/>
    <mergeCell ref="E5578:F5578"/>
    <mergeCell ref="H5611:I5611"/>
    <mergeCell ref="E5617:F5617"/>
    <mergeCell ref="H5619:I5619"/>
    <mergeCell ref="E5641:F5641"/>
    <mergeCell ref="E5642:F5642"/>
    <mergeCell ref="E5609:F5609"/>
    <mergeCell ref="E5613:F5613"/>
    <mergeCell ref="E5614:F5614"/>
    <mergeCell ref="E5615:F5615"/>
    <mergeCell ref="E5616:F5616"/>
    <mergeCell ref="E5621:F5621"/>
    <mergeCell ref="E5622:F5622"/>
    <mergeCell ref="E5623:F5623"/>
    <mergeCell ref="E5624:F5624"/>
    <mergeCell ref="E5625:F5625"/>
    <mergeCell ref="E5632:F5632"/>
    <mergeCell ref="E5633:F5633"/>
    <mergeCell ref="E5634:F5634"/>
    <mergeCell ref="E5635:F5635"/>
    <mergeCell ref="E5636:F5636"/>
    <mergeCell ref="H5638:I5638"/>
    <mergeCell ref="E5640:F5640"/>
    <mergeCell ref="H5627:I5627"/>
    <mergeCell ref="E5629:F5629"/>
    <mergeCell ref="H5794:I5794"/>
    <mergeCell ref="H5694:I5694"/>
    <mergeCell ref="E5696:F5696"/>
    <mergeCell ref="E5697:F5697"/>
    <mergeCell ref="E5705:F5705"/>
    <mergeCell ref="E5706:F5706"/>
    <mergeCell ref="E5707:F5707"/>
    <mergeCell ref="E5708:F5708"/>
    <mergeCell ref="E5716:F5716"/>
    <mergeCell ref="E5717:F5717"/>
    <mergeCell ref="E5730:F5730"/>
    <mergeCell ref="E5699:F5699"/>
    <mergeCell ref="E5700:F5700"/>
    <mergeCell ref="E5709:F5709"/>
    <mergeCell ref="E5713:F5713"/>
    <mergeCell ref="E5714:F5714"/>
    <mergeCell ref="E5715:F5715"/>
    <mergeCell ref="E5721:F5721"/>
    <mergeCell ref="E5722:F5722"/>
    <mergeCell ref="E5723:F5723"/>
    <mergeCell ref="H5719:I5719"/>
    <mergeCell ref="H5726:I5726"/>
    <mergeCell ref="E5728:F5728"/>
    <mergeCell ref="E5729:F5729"/>
    <mergeCell ref="E5733:F5733"/>
    <mergeCell ref="E5734:F5734"/>
    <mergeCell ref="E5740:F5740"/>
    <mergeCell ref="E5741:F5741"/>
    <mergeCell ref="E5724:F5724"/>
    <mergeCell ref="E5732:F5732"/>
    <mergeCell ref="E5731:F5731"/>
    <mergeCell ref="E5748:F5748"/>
    <mergeCell ref="H5877:I5877"/>
    <mergeCell ref="E5879:F5879"/>
    <mergeCell ref="E5880:F5880"/>
    <mergeCell ref="E5881:F5881"/>
    <mergeCell ref="E5778:F5778"/>
    <mergeCell ref="E5779:F5779"/>
    <mergeCell ref="E5780:F5780"/>
    <mergeCell ref="E5845:F5845"/>
    <mergeCell ref="E5846:F5846"/>
    <mergeCell ref="E5847:F5847"/>
    <mergeCell ref="E5874:F5874"/>
    <mergeCell ref="E5875:F5875"/>
    <mergeCell ref="E5882:F5882"/>
    <mergeCell ref="E5883:F5883"/>
    <mergeCell ref="E5848:F5848"/>
    <mergeCell ref="E5808:F5808"/>
    <mergeCell ref="E5809:F5809"/>
    <mergeCell ref="E5817:F5817"/>
    <mergeCell ref="E5829:F5829"/>
    <mergeCell ref="E5830:F5830"/>
    <mergeCell ref="E5831:F5831"/>
    <mergeCell ref="E5839:F5839"/>
    <mergeCell ref="E5837:F5837"/>
    <mergeCell ref="E5838:F5838"/>
    <mergeCell ref="E5786:F5786"/>
    <mergeCell ref="E5787:F5787"/>
    <mergeCell ref="E5781:F5781"/>
    <mergeCell ref="E5782:F5782"/>
    <mergeCell ref="H5784:I5784"/>
    <mergeCell ref="E5788:F5788"/>
    <mergeCell ref="E5789:F5789"/>
    <mergeCell ref="E5790:F5790"/>
    <mergeCell ref="E5959:F5959"/>
    <mergeCell ref="E5997:F5997"/>
    <mergeCell ref="E5998:F5998"/>
    <mergeCell ref="E5999:F5999"/>
    <mergeCell ref="H5851:I5851"/>
    <mergeCell ref="E5853:F5853"/>
    <mergeCell ref="E5854:F5854"/>
    <mergeCell ref="E5862:F5862"/>
    <mergeCell ref="E5863:F5863"/>
    <mergeCell ref="E5869:F5869"/>
    <mergeCell ref="E5889:F5889"/>
    <mergeCell ref="E5890:F5890"/>
    <mergeCell ref="E5891:F5891"/>
    <mergeCell ref="E5865:F5865"/>
    <mergeCell ref="E5873:F5873"/>
    <mergeCell ref="E5897:F5897"/>
    <mergeCell ref="E5898:F5898"/>
    <mergeCell ref="E5899:F5899"/>
    <mergeCell ref="E5905:F5905"/>
    <mergeCell ref="E5906:F5906"/>
    <mergeCell ref="E5907:F5907"/>
    <mergeCell ref="E5896:F5896"/>
    <mergeCell ref="E5903:F5903"/>
    <mergeCell ref="E5904:F5904"/>
    <mergeCell ref="H5857:I5857"/>
    <mergeCell ref="E5859:F5859"/>
    <mergeCell ref="E5860:F5860"/>
    <mergeCell ref="E5861:F5861"/>
    <mergeCell ref="H5867:I5867"/>
    <mergeCell ref="E5870:F5870"/>
    <mergeCell ref="E5871:F5871"/>
    <mergeCell ref="E5872:F5872"/>
    <mergeCell ref="E6157:F6157"/>
    <mergeCell ref="E6158:F6158"/>
    <mergeCell ref="E6327:F6327"/>
    <mergeCell ref="E6328:F6328"/>
    <mergeCell ref="H6079:I6079"/>
    <mergeCell ref="E6081:F6081"/>
    <mergeCell ref="E6086:F6086"/>
    <mergeCell ref="E6087:F6087"/>
    <mergeCell ref="E6088:F6088"/>
    <mergeCell ref="H6090:I6090"/>
    <mergeCell ref="E6093:F6093"/>
    <mergeCell ref="E6094:F6094"/>
    <mergeCell ref="E6095:F6095"/>
    <mergeCell ref="H6101:I6101"/>
    <mergeCell ref="E5994:F5994"/>
    <mergeCell ref="E5944:F5944"/>
    <mergeCell ref="E5945:F5945"/>
    <mergeCell ref="E5952:F5952"/>
    <mergeCell ref="E5953:F5953"/>
    <mergeCell ref="E5954:F5954"/>
    <mergeCell ref="E5961:F5961"/>
    <mergeCell ref="E5962:F5962"/>
    <mergeCell ref="E5963:F5963"/>
    <mergeCell ref="E5987:F5987"/>
    <mergeCell ref="E5988:F5988"/>
    <mergeCell ref="E5989:F5989"/>
    <mergeCell ref="E5966:F5966"/>
    <mergeCell ref="H5968:I5968"/>
    <mergeCell ref="E5972:F5972"/>
    <mergeCell ref="E5973:F5973"/>
    <mergeCell ref="E5974:F5974"/>
    <mergeCell ref="E5958:F5958"/>
    <mergeCell ref="E6163:F6163"/>
    <mergeCell ref="E6195:F6195"/>
    <mergeCell ref="E6337:F6337"/>
    <mergeCell ref="E6338:F6338"/>
    <mergeCell ref="E6339:F6339"/>
    <mergeCell ref="E6227:F6227"/>
    <mergeCell ref="E6228:F6228"/>
    <mergeCell ref="E6229:F6229"/>
    <mergeCell ref="E6230:F6230"/>
    <mergeCell ref="E6267:F6267"/>
    <mergeCell ref="E6242:F6242"/>
    <mergeCell ref="E6243:F6243"/>
    <mergeCell ref="E6237:F6237"/>
    <mergeCell ref="E6238:F6238"/>
    <mergeCell ref="E6271:F6271"/>
    <mergeCell ref="E6172:F6172"/>
    <mergeCell ref="E6173:F6173"/>
    <mergeCell ref="E6174:F6174"/>
    <mergeCell ref="E6175:F6175"/>
    <mergeCell ref="E6210:F6210"/>
    <mergeCell ref="E6196:F6196"/>
    <mergeCell ref="E6197:F6197"/>
    <mergeCell ref="E6198:F6198"/>
    <mergeCell ref="E6199:F6199"/>
    <mergeCell ref="E6208:F6208"/>
    <mergeCell ref="E6316:F6316"/>
    <mergeCell ref="E6211:F6211"/>
    <mergeCell ref="E6246:F6246"/>
    <mergeCell ref="H6318:I6318"/>
    <mergeCell ref="E6322:F6322"/>
    <mergeCell ref="E6323:F6323"/>
    <mergeCell ref="H6325:I6325"/>
    <mergeCell ref="E6341:F6341"/>
    <mergeCell ref="H6343:I6343"/>
    <mergeCell ref="H6352:I6352"/>
    <mergeCell ref="E6354:F6354"/>
    <mergeCell ref="E6355:F6355"/>
    <mergeCell ref="H6362:I6362"/>
    <mergeCell ref="E6364:F6364"/>
    <mergeCell ref="E6365:F6365"/>
    <mergeCell ref="E6368:F6368"/>
    <mergeCell ref="H6370:I6370"/>
    <mergeCell ref="E6372:F6372"/>
    <mergeCell ref="E6373:F6373"/>
    <mergeCell ref="E6359:F6359"/>
    <mergeCell ref="E6360:F6360"/>
    <mergeCell ref="E6356:F6356"/>
    <mergeCell ref="E6357:F6357"/>
    <mergeCell ref="E6358:F6358"/>
    <mergeCell ref="E6366:F6366"/>
    <mergeCell ref="E6367:F6367"/>
    <mergeCell ref="E6348:F6348"/>
    <mergeCell ref="E6320:F6320"/>
    <mergeCell ref="E6321:F6321"/>
    <mergeCell ref="E6329:F6329"/>
    <mergeCell ref="E6330:F6330"/>
    <mergeCell ref="E6331:F6331"/>
    <mergeCell ref="E6332:F6332"/>
    <mergeCell ref="H6334:I6334"/>
    <mergeCell ref="E6340:F6340"/>
    <mergeCell ref="E6436:F6436"/>
    <mergeCell ref="E6437:F6437"/>
    <mergeCell ref="H6439:I6439"/>
    <mergeCell ref="E6400:F6400"/>
    <mergeCell ref="E6401:F6401"/>
    <mergeCell ref="E6402:F6402"/>
    <mergeCell ref="E6403:F6403"/>
    <mergeCell ref="E6413:F6413"/>
    <mergeCell ref="E6414:F6414"/>
    <mergeCell ref="E6415:F6415"/>
    <mergeCell ref="E6416:F6416"/>
    <mergeCell ref="E6417:F6417"/>
    <mergeCell ref="E6418:F6418"/>
    <mergeCell ref="E6419:F6419"/>
    <mergeCell ref="E6408:F6408"/>
    <mergeCell ref="E6452:F6452"/>
    <mergeCell ref="E6453:F6453"/>
    <mergeCell ref="A6441:K6441"/>
    <mergeCell ref="E6426:F6426"/>
    <mergeCell ref="E6427:F6427"/>
    <mergeCell ref="E6428:F6428"/>
    <mergeCell ref="E6429:F6429"/>
    <mergeCell ref="E6430:F6430"/>
    <mergeCell ref="E6431:F6431"/>
    <mergeCell ref="E6435:F6435"/>
    <mergeCell ref="E6420:F6420"/>
    <mergeCell ref="E6421:F6421"/>
    <mergeCell ref="H6423:I6423"/>
    <mergeCell ref="E6425:F6425"/>
    <mergeCell ref="H6433:I6433"/>
    <mergeCell ref="H6900:I6900"/>
    <mergeCell ref="E6903:F6903"/>
    <mergeCell ref="E6535:F6535"/>
    <mergeCell ref="E6536:F6536"/>
    <mergeCell ref="E6537:F6537"/>
    <mergeCell ref="H6540:I6540"/>
    <mergeCell ref="E6543:F6543"/>
    <mergeCell ref="A6544:A6545"/>
    <mergeCell ref="B6544:B6545"/>
    <mergeCell ref="C6544:C6545"/>
    <mergeCell ref="D6544:D6545"/>
    <mergeCell ref="E6544:F6544"/>
    <mergeCell ref="G6544:H6544"/>
    <mergeCell ref="I6544:I6545"/>
    <mergeCell ref="H6567:I6567"/>
    <mergeCell ref="E6571:F6571"/>
    <mergeCell ref="E6572:F6572"/>
    <mergeCell ref="E6628:F6628"/>
    <mergeCell ref="H6630:I6630"/>
    <mergeCell ref="E6633:F6633"/>
    <mergeCell ref="E6634:F6634"/>
    <mergeCell ref="E6635:F6635"/>
    <mergeCell ref="H6639:I6639"/>
    <mergeCell ref="E6655:F6655"/>
    <mergeCell ref="E6656:F6656"/>
    <mergeCell ref="H6658:I6658"/>
    <mergeCell ref="E6661:F6661"/>
    <mergeCell ref="E6662:F6662"/>
    <mergeCell ref="E6663:F6663"/>
    <mergeCell ref="E6664:F6664"/>
    <mergeCell ref="E6665:F6665"/>
    <mergeCell ref="E6673:F6673"/>
    <mergeCell ref="E6816:F6816"/>
    <mergeCell ref="E6817:F6817"/>
    <mergeCell ref="E6830:F6830"/>
    <mergeCell ref="E6598:F6598"/>
    <mergeCell ref="E6576:F6576"/>
    <mergeCell ref="E6582:F6582"/>
    <mergeCell ref="E6583:F6583"/>
    <mergeCell ref="E6592:F6592"/>
    <mergeCell ref="E6604:F6604"/>
    <mergeCell ref="E6578:F6578"/>
    <mergeCell ref="H6580:I6580"/>
    <mergeCell ref="E6584:F6584"/>
    <mergeCell ref="E6585:F6585"/>
    <mergeCell ref="H6587:I6587"/>
    <mergeCell ref="E6593:F6593"/>
    <mergeCell ref="A6523:E6523"/>
    <mergeCell ref="F6523:I6523"/>
    <mergeCell ref="E6538:F6538"/>
    <mergeCell ref="E6674:F6674"/>
    <mergeCell ref="E6632:F6632"/>
    <mergeCell ref="E6636:F6636"/>
    <mergeCell ref="E6637:F6637"/>
    <mergeCell ref="E6642:F6642"/>
    <mergeCell ref="E6643:F6643"/>
    <mergeCell ref="E6644:F6644"/>
    <mergeCell ref="E6654:F6654"/>
    <mergeCell ref="E6648:F6648"/>
    <mergeCell ref="E6660:F6660"/>
    <mergeCell ref="E6666:F6666"/>
    <mergeCell ref="E6667:F6667"/>
    <mergeCell ref="E6641:F6641"/>
    <mergeCell ref="E6645:F6645"/>
    <mergeCell ref="E6926:F6926"/>
    <mergeCell ref="H6931:I6931"/>
    <mergeCell ref="E6936:F6936"/>
    <mergeCell ref="E6904:F6904"/>
    <mergeCell ref="E6790:F6790"/>
    <mergeCell ref="E6791:F6791"/>
    <mergeCell ref="E6792:F6792"/>
    <mergeCell ref="E6800:F6800"/>
    <mergeCell ref="H6809:I6809"/>
    <mergeCell ref="E6785:F6785"/>
    <mergeCell ref="E6786:F6786"/>
    <mergeCell ref="E6793:F6793"/>
    <mergeCell ref="E6806:F6806"/>
    <mergeCell ref="E6807:F6807"/>
    <mergeCell ref="E6861:F6861"/>
    <mergeCell ref="E6818:F6818"/>
    <mergeCell ref="E6819:F6819"/>
    <mergeCell ref="E6820:F6820"/>
    <mergeCell ref="E6826:F6826"/>
    <mergeCell ref="E6827:F6827"/>
    <mergeCell ref="E6828:F6828"/>
    <mergeCell ref="E6829:F6829"/>
    <mergeCell ref="E6833:F6833"/>
    <mergeCell ref="E6838:F6838"/>
    <mergeCell ref="E6839:F6839"/>
    <mergeCell ref="E6840:F6840"/>
    <mergeCell ref="E6853:F6853"/>
    <mergeCell ref="E6854:F6854"/>
    <mergeCell ref="E6902:F6902"/>
    <mergeCell ref="E6802:F6802"/>
    <mergeCell ref="E6803:F6803"/>
    <mergeCell ref="E6815:F6815"/>
    <mergeCell ref="E7010:F7010"/>
    <mergeCell ref="E7011:F7011"/>
    <mergeCell ref="E7012:F7012"/>
    <mergeCell ref="E7013:F7013"/>
    <mergeCell ref="E7014:F7014"/>
    <mergeCell ref="E7019:F7019"/>
    <mergeCell ref="E7020:F7020"/>
    <mergeCell ref="E7021:F7021"/>
    <mergeCell ref="E7031:F7031"/>
    <mergeCell ref="E7037:F7037"/>
    <mergeCell ref="E6934:F6934"/>
    <mergeCell ref="E6943:F6943"/>
    <mergeCell ref="E6944:F6944"/>
    <mergeCell ref="E6956:F6956"/>
    <mergeCell ref="E6968:F6968"/>
    <mergeCell ref="E6976:F6976"/>
    <mergeCell ref="E6977:F6977"/>
    <mergeCell ref="E6942:F6942"/>
    <mergeCell ref="E6950:F6950"/>
    <mergeCell ref="E6969:F6969"/>
    <mergeCell ref="E6974:F6974"/>
    <mergeCell ref="E6975:F6975"/>
    <mergeCell ref="E6937:F6937"/>
    <mergeCell ref="E6938:F6938"/>
    <mergeCell ref="E7000:F7000"/>
    <mergeCell ref="E7001:F7001"/>
    <mergeCell ref="E7002:F7002"/>
    <mergeCell ref="E6955:F6955"/>
    <mergeCell ref="E7174:F7174"/>
    <mergeCell ref="H7177:I7177"/>
    <mergeCell ref="E7179:F7179"/>
    <mergeCell ref="E7180:F7180"/>
    <mergeCell ref="E7181:F7181"/>
    <mergeCell ref="E7153:F7153"/>
    <mergeCell ref="H7155:I7155"/>
    <mergeCell ref="E7157:F7157"/>
    <mergeCell ref="E7158:F7158"/>
    <mergeCell ref="E7159:F7159"/>
    <mergeCell ref="E7160:F7160"/>
    <mergeCell ref="H7162:I7162"/>
    <mergeCell ref="E7170:F7170"/>
    <mergeCell ref="E7171:F7171"/>
    <mergeCell ref="E7175:F7175"/>
    <mergeCell ref="H7202:I7202"/>
    <mergeCell ref="E7204:F7204"/>
    <mergeCell ref="E7205:F7205"/>
    <mergeCell ref="E7206:F7206"/>
    <mergeCell ref="E7207:F7207"/>
    <mergeCell ref="H7209:I7209"/>
    <mergeCell ref="E7211:F7211"/>
    <mergeCell ref="E7212:F7212"/>
    <mergeCell ref="E7213:F7213"/>
    <mergeCell ref="E7214:F7214"/>
    <mergeCell ref="E7198:F7198"/>
    <mergeCell ref="E7199:F7199"/>
    <mergeCell ref="E7182:F7182"/>
    <mergeCell ref="E7183:F7183"/>
    <mergeCell ref="E7184:F7184"/>
    <mergeCell ref="E7185:F7185"/>
    <mergeCell ref="E7186:F7186"/>
    <mergeCell ref="H7188:I7188"/>
    <mergeCell ref="E7190:F7190"/>
    <mergeCell ref="E7191:F7191"/>
    <mergeCell ref="H7195:I7195"/>
    <mergeCell ref="E7197:F7197"/>
    <mergeCell ref="E7192:F7192"/>
    <mergeCell ref="E7193:F7193"/>
    <mergeCell ref="E7200:F7200"/>
    <mergeCell ref="H7216:I7216"/>
    <mergeCell ref="E7218:F7218"/>
    <mergeCell ref="E7219:F7219"/>
    <mergeCell ref="E7220:F7220"/>
    <mergeCell ref="H7222:I7222"/>
    <mergeCell ref="E7242:F7242"/>
    <mergeCell ref="E7227:F7227"/>
    <mergeCell ref="E7228:F7228"/>
    <mergeCell ref="E7229:F7229"/>
    <mergeCell ref="H7231:I7231"/>
    <mergeCell ref="E7233:F7233"/>
    <mergeCell ref="E7234:F7234"/>
    <mergeCell ref="E7235:F7235"/>
    <mergeCell ref="E7239:F7239"/>
    <mergeCell ref="E7240:F7240"/>
    <mergeCell ref="E7241:F7241"/>
    <mergeCell ref="H7244:I7244"/>
    <mergeCell ref="E7224:F7224"/>
    <mergeCell ref="E7225:F7225"/>
    <mergeCell ref="E7226:F7226"/>
    <mergeCell ref="E7236:F7236"/>
    <mergeCell ref="E7237:F7237"/>
    <mergeCell ref="E7238:F7238"/>
    <mergeCell ref="E7280:F7280"/>
    <mergeCell ref="H7284:I7284"/>
    <mergeCell ref="E7288:F7288"/>
    <mergeCell ref="E7292:F7292"/>
    <mergeCell ref="E7298:F7298"/>
    <mergeCell ref="E7304:F7304"/>
    <mergeCell ref="A7269:E7269"/>
    <mergeCell ref="F7269:I7269"/>
    <mergeCell ref="H7271:I7271"/>
    <mergeCell ref="E7273:F7273"/>
    <mergeCell ref="E7277:F7277"/>
    <mergeCell ref="E7278:F7278"/>
    <mergeCell ref="E7279:F7279"/>
    <mergeCell ref="E7289:F7289"/>
    <mergeCell ref="E7324:F7324"/>
    <mergeCell ref="E7325:F7325"/>
    <mergeCell ref="E7326:F7326"/>
    <mergeCell ref="E7290:F7290"/>
    <mergeCell ref="E7291:F7291"/>
    <mergeCell ref="H7294:I7294"/>
    <mergeCell ref="E7296:F7296"/>
    <mergeCell ref="E7297:F7297"/>
    <mergeCell ref="H7300:I7300"/>
    <mergeCell ref="E7302:F7302"/>
    <mergeCell ref="E7303:F7303"/>
    <mergeCell ref="E7276:F7276"/>
    <mergeCell ref="E7281:F7281"/>
    <mergeCell ref="E7282:F7282"/>
    <mergeCell ref="E7286:F7286"/>
    <mergeCell ref="E7287:F7287"/>
    <mergeCell ref="H7306:I7306"/>
    <mergeCell ref="E7308:F7308"/>
    <mergeCell ref="E7393:F7393"/>
    <mergeCell ref="H7402:I7402"/>
    <mergeCell ref="E7404:F7404"/>
    <mergeCell ref="E7381:F7381"/>
    <mergeCell ref="E7382:F7382"/>
    <mergeCell ref="E7392:F7392"/>
    <mergeCell ref="E7398:F7398"/>
    <mergeCell ref="E7399:F7399"/>
    <mergeCell ref="E7400:F7400"/>
    <mergeCell ref="E7405:F7405"/>
    <mergeCell ref="E7411:F7411"/>
    <mergeCell ref="E7412:F7412"/>
    <mergeCell ref="E7391:F7391"/>
    <mergeCell ref="H7395:I7395"/>
    <mergeCell ref="E7397:F7397"/>
    <mergeCell ref="E7356:F7356"/>
    <mergeCell ref="E7374:F7374"/>
    <mergeCell ref="E7386:F7386"/>
    <mergeCell ref="E7357:F7357"/>
    <mergeCell ref="E7358:F7358"/>
    <mergeCell ref="E7368:F7368"/>
    <mergeCell ref="E7369:F7369"/>
    <mergeCell ref="E7370:F7370"/>
    <mergeCell ref="H7372:I7372"/>
    <mergeCell ref="E7375:F7375"/>
    <mergeCell ref="E7376:F7376"/>
    <mergeCell ref="E7366:F7366"/>
    <mergeCell ref="E7367:F7367"/>
    <mergeCell ref="E7377:F7377"/>
    <mergeCell ref="H7379:I7379"/>
    <mergeCell ref="E7383:F7383"/>
    <mergeCell ref="E7384:F7384"/>
    <mergeCell ref="E7500:F7500"/>
    <mergeCell ref="E7501:F7501"/>
    <mergeCell ref="H7504:I7504"/>
    <mergeCell ref="E7506:F7506"/>
    <mergeCell ref="E7507:F7507"/>
    <mergeCell ref="E7446:F7446"/>
    <mergeCell ref="E7447:F7447"/>
    <mergeCell ref="H7451:I7451"/>
    <mergeCell ref="E7424:F7424"/>
    <mergeCell ref="E7406:F7406"/>
    <mergeCell ref="E7417:F7417"/>
    <mergeCell ref="E7418:F7418"/>
    <mergeCell ref="E7428:F7428"/>
    <mergeCell ref="E7429:F7429"/>
    <mergeCell ref="E7407:F7407"/>
    <mergeCell ref="H7409:I7409"/>
    <mergeCell ref="E7413:F7413"/>
    <mergeCell ref="H7415:I7415"/>
    <mergeCell ref="E7419:F7419"/>
    <mergeCell ref="E7420:F7420"/>
    <mergeCell ref="H7422:I7422"/>
    <mergeCell ref="E7425:F7425"/>
    <mergeCell ref="E7426:F7426"/>
    <mergeCell ref="E7427:F7427"/>
    <mergeCell ref="H7431:I7431"/>
    <mergeCell ref="E7454:F7454"/>
    <mergeCell ref="F7523:I7523"/>
    <mergeCell ref="G7524:I7524"/>
    <mergeCell ref="G7525:I7525"/>
    <mergeCell ref="G7526:I7526"/>
    <mergeCell ref="A7527:E7527"/>
    <mergeCell ref="F7527:I7527"/>
    <mergeCell ref="H7529:I7529"/>
    <mergeCell ref="H7482:I7482"/>
    <mergeCell ref="E7486:F7486"/>
    <mergeCell ref="E7460:F7460"/>
    <mergeCell ref="E7461:F7461"/>
    <mergeCell ref="E7462:F7462"/>
    <mergeCell ref="A7476:E7476"/>
    <mergeCell ref="F7476:I7476"/>
    <mergeCell ref="G7477:I7477"/>
    <mergeCell ref="G7478:I7478"/>
    <mergeCell ref="G7479:I7479"/>
    <mergeCell ref="A7480:E7480"/>
    <mergeCell ref="F7480:I7480"/>
    <mergeCell ref="E7487:F7487"/>
    <mergeCell ref="E7488:F7488"/>
    <mergeCell ref="H7490:I7490"/>
    <mergeCell ref="E7484:F7484"/>
    <mergeCell ref="E7485:F7485"/>
    <mergeCell ref="G7474:I7474"/>
    <mergeCell ref="G7475:I7475"/>
    <mergeCell ref="E7492:F7492"/>
    <mergeCell ref="E7493:F7493"/>
    <mergeCell ref="E7494:F7494"/>
    <mergeCell ref="E7495:F7495"/>
    <mergeCell ref="H7497:I7497"/>
    <mergeCell ref="E7499:F7499"/>
    <mergeCell ref="A7721:A7722"/>
    <mergeCell ref="B7721:B7722"/>
    <mergeCell ref="C7721:C7722"/>
    <mergeCell ref="D7721:D7722"/>
    <mergeCell ref="E7721:F7721"/>
    <mergeCell ref="G7721:H7721"/>
    <mergeCell ref="I7721:I7722"/>
    <mergeCell ref="J7721:J7722"/>
    <mergeCell ref="A7723:E7723"/>
    <mergeCell ref="E7633:F7633"/>
    <mergeCell ref="G7633:H7633"/>
    <mergeCell ref="I7633:I7634"/>
    <mergeCell ref="A7639:E7639"/>
    <mergeCell ref="F7639:I7639"/>
    <mergeCell ref="A7640:E7640"/>
    <mergeCell ref="F7640:I7640"/>
    <mergeCell ref="A7641:E7641"/>
    <mergeCell ref="F7641:I7641"/>
    <mergeCell ref="F7636:I7636"/>
    <mergeCell ref="A7638:E7638"/>
    <mergeCell ref="F7638:I7638"/>
    <mergeCell ref="E7657:F7657"/>
    <mergeCell ref="H7661:I7661"/>
    <mergeCell ref="H7667:I7667"/>
    <mergeCell ref="E7669:F7669"/>
    <mergeCell ref="E7670:F7670"/>
    <mergeCell ref="E7651:F7651"/>
    <mergeCell ref="E7652:F7652"/>
    <mergeCell ref="E7653:F7653"/>
    <mergeCell ref="A7643:E7643"/>
    <mergeCell ref="F7643:I7643"/>
    <mergeCell ref="A7645:E7645"/>
    <mergeCell ref="H7743:I7743"/>
    <mergeCell ref="E7745:F7745"/>
    <mergeCell ref="E7746:F7746"/>
    <mergeCell ref="E7747:F7747"/>
    <mergeCell ref="H7749:I7749"/>
    <mergeCell ref="E7751:F7751"/>
    <mergeCell ref="E7752:F7752"/>
    <mergeCell ref="E7753:F7753"/>
    <mergeCell ref="H7755:I7755"/>
    <mergeCell ref="E7757:F7757"/>
    <mergeCell ref="H7761:I7761"/>
    <mergeCell ref="E7719:F7719"/>
    <mergeCell ref="E7720:F7720"/>
    <mergeCell ref="F7723:I7723"/>
    <mergeCell ref="E7714:F7714"/>
    <mergeCell ref="E7713:F7713"/>
    <mergeCell ref="H7711:I7711"/>
    <mergeCell ref="E7715:F7715"/>
    <mergeCell ref="H7717:I7717"/>
    <mergeCell ref="E7899:F7899"/>
    <mergeCell ref="H7901:I7901"/>
    <mergeCell ref="E7909:F7909"/>
    <mergeCell ref="E7886:F7886"/>
    <mergeCell ref="E7887:F7887"/>
    <mergeCell ref="E7903:F7903"/>
    <mergeCell ref="E7904:F7904"/>
    <mergeCell ref="E7905:F7905"/>
    <mergeCell ref="E7910:F7910"/>
    <mergeCell ref="E7911:F7911"/>
    <mergeCell ref="E7915:F7915"/>
    <mergeCell ref="E7916:F7916"/>
    <mergeCell ref="F7724:I7724"/>
    <mergeCell ref="A7726:E7726"/>
    <mergeCell ref="F7726:I7726"/>
    <mergeCell ref="A7727:E7727"/>
    <mergeCell ref="F7727:I7727"/>
    <mergeCell ref="E7739:F7739"/>
    <mergeCell ref="E7740:F7740"/>
    <mergeCell ref="A7728:E7728"/>
    <mergeCell ref="F7728:I7728"/>
    <mergeCell ref="A7729:E7729"/>
    <mergeCell ref="F7729:I7729"/>
    <mergeCell ref="A7731:E7731"/>
    <mergeCell ref="F7731:I7731"/>
    <mergeCell ref="A7733:E7733"/>
    <mergeCell ref="F7733:I7733"/>
    <mergeCell ref="E7799:F7799"/>
    <mergeCell ref="A7735:E7735"/>
    <mergeCell ref="F7735:I7735"/>
    <mergeCell ref="H7737:I7737"/>
    <mergeCell ref="E7741:F7741"/>
    <mergeCell ref="H7853:I7853"/>
    <mergeCell ref="E7857:F7857"/>
    <mergeCell ref="H7859:I7859"/>
    <mergeCell ref="E7863:F7863"/>
    <mergeCell ref="H7865:I7865"/>
    <mergeCell ref="H7871:I7871"/>
    <mergeCell ref="E7843:F7843"/>
    <mergeCell ref="H7829:I7829"/>
    <mergeCell ref="E7833:F7833"/>
    <mergeCell ref="H7835:I7835"/>
    <mergeCell ref="E7839:F7839"/>
    <mergeCell ref="H7841:I7841"/>
    <mergeCell ref="E7845:F7845"/>
    <mergeCell ref="J7813:J7814"/>
    <mergeCell ref="E7875:F7875"/>
    <mergeCell ref="E7897:F7897"/>
    <mergeCell ref="E7898:F7898"/>
    <mergeCell ref="H7925:I7925"/>
    <mergeCell ref="H7931:I7931"/>
    <mergeCell ref="H7937:I7937"/>
    <mergeCell ref="H7943:I7943"/>
    <mergeCell ref="E7849:F7849"/>
    <mergeCell ref="E7850:F7850"/>
    <mergeCell ref="E7855:F7855"/>
    <mergeCell ref="H7895:I7895"/>
    <mergeCell ref="H7907:I7907"/>
    <mergeCell ref="H7913:I7913"/>
    <mergeCell ref="E7856:F7856"/>
    <mergeCell ref="E7861:F7861"/>
    <mergeCell ref="E7862:F7862"/>
    <mergeCell ref="H7889:I7889"/>
    <mergeCell ref="A7818:E7818"/>
    <mergeCell ref="F7818:I7818"/>
    <mergeCell ref="A7819:E7819"/>
    <mergeCell ref="F7819:I7819"/>
    <mergeCell ref="A7820:E7820"/>
    <mergeCell ref="F7820:I7820"/>
    <mergeCell ref="A7821:E7821"/>
    <mergeCell ref="F7821:I7821"/>
    <mergeCell ref="A7823:E7823"/>
    <mergeCell ref="F7823:I7823"/>
    <mergeCell ref="A7825:E7825"/>
    <mergeCell ref="F7825:I7825"/>
    <mergeCell ref="A7827:E7827"/>
    <mergeCell ref="F7827:I7827"/>
    <mergeCell ref="H7847:I7847"/>
    <mergeCell ref="E7881:F7881"/>
    <mergeCell ref="H7883:I7883"/>
    <mergeCell ref="E7851:F7851"/>
    <mergeCell ref="E8097:F8097"/>
    <mergeCell ref="H8099:I8099"/>
    <mergeCell ref="E8102:F8102"/>
    <mergeCell ref="E7891:F7891"/>
    <mergeCell ref="E7892:F7892"/>
    <mergeCell ref="E7893:F7893"/>
    <mergeCell ref="E7885:F7885"/>
    <mergeCell ref="E7868:F7868"/>
    <mergeCell ref="E7939:F7939"/>
    <mergeCell ref="A8007:E8007"/>
    <mergeCell ref="F8007:I8007"/>
    <mergeCell ref="A8008:E8008"/>
    <mergeCell ref="F8008:I8008"/>
    <mergeCell ref="A8014:E8014"/>
    <mergeCell ref="E7981:F7981"/>
    <mergeCell ref="E7975:F7975"/>
    <mergeCell ref="E7968:F7968"/>
    <mergeCell ref="E7985:F7985"/>
    <mergeCell ref="E7986:F7986"/>
    <mergeCell ref="E7987:F7987"/>
    <mergeCell ref="E7988:F7988"/>
    <mergeCell ref="E7989:F7989"/>
    <mergeCell ref="E7990:F7990"/>
    <mergeCell ref="E7991:F7991"/>
    <mergeCell ref="E7992:F7992"/>
    <mergeCell ref="E7993:F7993"/>
    <mergeCell ref="E7994:F7994"/>
    <mergeCell ref="E8000:F8000"/>
    <mergeCell ref="E7980:F7980"/>
    <mergeCell ref="H7877:I7877"/>
    <mergeCell ref="E7879:F7879"/>
    <mergeCell ref="E7880:F7880"/>
    <mergeCell ref="J8123:J8124"/>
    <mergeCell ref="A8105:E8105"/>
    <mergeCell ref="F8105:I8105"/>
    <mergeCell ref="F8106:I8106"/>
    <mergeCell ref="A8107:E8107"/>
    <mergeCell ref="F8107:I8107"/>
    <mergeCell ref="J8103:J8104"/>
    <mergeCell ref="E8080:F8080"/>
    <mergeCell ref="E8081:F8081"/>
    <mergeCell ref="E8082:F8082"/>
    <mergeCell ref="E8089:F8089"/>
    <mergeCell ref="E8090:F8090"/>
    <mergeCell ref="E8091:F8091"/>
    <mergeCell ref="E8060:F8060"/>
    <mergeCell ref="E8061:F8061"/>
    <mergeCell ref="E8062:F8062"/>
    <mergeCell ref="E8063:F8063"/>
    <mergeCell ref="E8067:F8067"/>
    <mergeCell ref="E8072:F8072"/>
    <mergeCell ref="E8076:F8076"/>
    <mergeCell ref="E8083:F8083"/>
    <mergeCell ref="E8084:F8084"/>
    <mergeCell ref="E8085:F8085"/>
    <mergeCell ref="E8095:F8095"/>
    <mergeCell ref="E8092:F8092"/>
    <mergeCell ref="E8093:F8093"/>
    <mergeCell ref="E8094:F8094"/>
    <mergeCell ref="E8068:F8068"/>
    <mergeCell ref="E8069:F8069"/>
    <mergeCell ref="E8070:F8070"/>
    <mergeCell ref="E8071:F8071"/>
    <mergeCell ref="E8096:F8096"/>
    <mergeCell ref="D8123:D8124"/>
    <mergeCell ref="E8123:F8123"/>
    <mergeCell ref="G8123:H8123"/>
    <mergeCell ref="I8123:I8124"/>
    <mergeCell ref="A8129:E8129"/>
    <mergeCell ref="F8129:I8129"/>
    <mergeCell ref="A8130:E8130"/>
    <mergeCell ref="F8130:I8130"/>
    <mergeCell ref="A8137:E8137"/>
    <mergeCell ref="F8137:I8137"/>
    <mergeCell ref="H8139:I8139"/>
    <mergeCell ref="A8108:E8108"/>
    <mergeCell ref="F8108:I8108"/>
    <mergeCell ref="A8113:E8113"/>
    <mergeCell ref="F8113:I8113"/>
    <mergeCell ref="A8115:E8115"/>
    <mergeCell ref="F8115:I8115"/>
    <mergeCell ref="E8121:F8121"/>
    <mergeCell ref="A8109:E8109"/>
    <mergeCell ref="F8109:I8109"/>
    <mergeCell ref="A8110:E8110"/>
    <mergeCell ref="F8110:I8110"/>
    <mergeCell ref="A8117:E8117"/>
    <mergeCell ref="F8117:I8117"/>
    <mergeCell ref="H8119:I8119"/>
    <mergeCell ref="E8122:F8122"/>
    <mergeCell ref="A8213:E8213"/>
    <mergeCell ref="F8213:I8213"/>
    <mergeCell ref="A8215:E8215"/>
    <mergeCell ref="F8215:I8215"/>
    <mergeCell ref="A8165:E8165"/>
    <mergeCell ref="F8165:I8165"/>
    <mergeCell ref="F8166:I8166"/>
    <mergeCell ref="A8167:E8167"/>
    <mergeCell ref="F8167:I8167"/>
    <mergeCell ref="E8181:F8181"/>
    <mergeCell ref="H8179:I8179"/>
    <mergeCell ref="E8182:F8182"/>
    <mergeCell ref="A8145:E8145"/>
    <mergeCell ref="F8145:I8145"/>
    <mergeCell ref="F8146:I8146"/>
    <mergeCell ref="A8147:E8147"/>
    <mergeCell ref="F8147:I8147"/>
    <mergeCell ref="A8148:E8148"/>
    <mergeCell ref="F8148:I8148"/>
    <mergeCell ref="A8153:E8153"/>
    <mergeCell ref="F8153:I8153"/>
    <mergeCell ref="A8155:E8155"/>
    <mergeCell ref="F8155:I8155"/>
    <mergeCell ref="A8150:E8150"/>
    <mergeCell ref="F8150:I8150"/>
    <mergeCell ref="A8168:E8168"/>
    <mergeCell ref="F8168:I8168"/>
    <mergeCell ref="A8173:E8173"/>
    <mergeCell ref="F8173:I8173"/>
    <mergeCell ref="A8175:E8175"/>
    <mergeCell ref="F8175:I8175"/>
    <mergeCell ref="E8201:F8201"/>
    <mergeCell ref="F8209:I8209"/>
    <mergeCell ref="A8210:E8210"/>
    <mergeCell ref="F8187:I8187"/>
    <mergeCell ref="A8188:E8188"/>
    <mergeCell ref="F8188:I8188"/>
    <mergeCell ref="A8193:E8193"/>
    <mergeCell ref="F8193:I8193"/>
    <mergeCell ref="A8195:E8195"/>
    <mergeCell ref="F8195:I8195"/>
    <mergeCell ref="F8210:I8210"/>
    <mergeCell ref="E8202:F8202"/>
    <mergeCell ref="A8187:E8187"/>
    <mergeCell ref="A8190:E8190"/>
    <mergeCell ref="F8190:I8190"/>
    <mergeCell ref="A8197:E8197"/>
    <mergeCell ref="F8197:I8197"/>
    <mergeCell ref="H8199:I8199"/>
    <mergeCell ref="A8203:A8204"/>
    <mergeCell ref="B8203:B8204"/>
    <mergeCell ref="C8203:C8204"/>
    <mergeCell ref="D8203:D8204"/>
    <mergeCell ref="G8203:H8203"/>
    <mergeCell ref="I8203:I8204"/>
    <mergeCell ref="E8306:F8306"/>
    <mergeCell ref="E8307:F8307"/>
    <mergeCell ref="E8308:F8308"/>
    <mergeCell ref="E8275:F8275"/>
    <mergeCell ref="E8280:F8280"/>
    <mergeCell ref="E8281:F8281"/>
    <mergeCell ref="E8265:F8265"/>
    <mergeCell ref="H8267:I8267"/>
    <mergeCell ref="E8270:F8270"/>
    <mergeCell ref="E8271:F8271"/>
    <mergeCell ref="E8272:F8272"/>
    <mergeCell ref="E8276:F8276"/>
    <mergeCell ref="E8277:F8277"/>
    <mergeCell ref="E8278:F8278"/>
    <mergeCell ref="E8257:F8257"/>
    <mergeCell ref="H8255:I8255"/>
    <mergeCell ref="E8258:F8258"/>
    <mergeCell ref="E8259:F8259"/>
    <mergeCell ref="H8261:I8261"/>
    <mergeCell ref="E8264:F8264"/>
    <mergeCell ref="E8350:F8350"/>
    <mergeCell ref="E8415:F8415"/>
    <mergeCell ref="E8416:F8416"/>
    <mergeCell ref="H8352:I8352"/>
    <mergeCell ref="E8356:F8356"/>
    <mergeCell ref="E8357:F8357"/>
    <mergeCell ref="E8358:F8358"/>
    <mergeCell ref="E8362:F8362"/>
    <mergeCell ref="E8363:F8363"/>
    <mergeCell ref="E8364:F8364"/>
    <mergeCell ref="E8368:F8368"/>
    <mergeCell ref="E8369:F8369"/>
    <mergeCell ref="E8370:F8370"/>
    <mergeCell ref="E8289:F8289"/>
    <mergeCell ref="E8293:F8293"/>
    <mergeCell ref="E8294:F8294"/>
    <mergeCell ref="E8295:F8295"/>
    <mergeCell ref="E8296:F8296"/>
    <mergeCell ref="E8315:F8315"/>
    <mergeCell ref="E8316:F8316"/>
    <mergeCell ref="E8317:F8317"/>
    <mergeCell ref="E8336:F8336"/>
    <mergeCell ref="E8322:F8322"/>
    <mergeCell ref="E8323:F8323"/>
    <mergeCell ref="E8290:F8290"/>
    <mergeCell ref="E8291:F8291"/>
    <mergeCell ref="E8292:F8292"/>
    <mergeCell ref="E8300:F8300"/>
    <mergeCell ref="E8301:F8301"/>
    <mergeCell ref="E8302:F8302"/>
    <mergeCell ref="E8341:F8341"/>
    <mergeCell ref="H8304:I8304"/>
    <mergeCell ref="H8540:I8540"/>
    <mergeCell ref="A8544:A8545"/>
    <mergeCell ref="B8544:B8545"/>
    <mergeCell ref="C8544:C8545"/>
    <mergeCell ref="D8544:D8545"/>
    <mergeCell ref="E8544:F8544"/>
    <mergeCell ref="E8312:F8312"/>
    <mergeCell ref="E8313:F8313"/>
    <mergeCell ref="E8337:F8337"/>
    <mergeCell ref="E8338:F8338"/>
    <mergeCell ref="E8411:F8411"/>
    <mergeCell ref="E8412:F8412"/>
    <mergeCell ref="E8413:F8413"/>
    <mergeCell ref="E8414:F8414"/>
    <mergeCell ref="E8421:F8421"/>
    <mergeCell ref="E8422:F8422"/>
    <mergeCell ref="E8396:F8396"/>
    <mergeCell ref="E8423:F8423"/>
    <mergeCell ref="E8439:F8439"/>
    <mergeCell ref="E8335:F8335"/>
    <mergeCell ref="E8344:F8344"/>
    <mergeCell ref="E8381:F8381"/>
    <mergeCell ref="E8382:F8382"/>
    <mergeCell ref="E8383:F8383"/>
    <mergeCell ref="E8390:F8390"/>
    <mergeCell ref="E8391:F8391"/>
    <mergeCell ref="E8392:F8392"/>
    <mergeCell ref="E8397:F8397"/>
    <mergeCell ref="E8398:F8398"/>
    <mergeCell ref="E8399:F8399"/>
    <mergeCell ref="E8345:F8345"/>
    <mergeCell ref="E8346:F8346"/>
    <mergeCell ref="E8702:F8702"/>
    <mergeCell ref="E8708:F8708"/>
    <mergeCell ref="E8696:F8696"/>
    <mergeCell ref="E8692:F8692"/>
    <mergeCell ref="H8694:I8694"/>
    <mergeCell ref="H8700:I8700"/>
    <mergeCell ref="E8703:F8703"/>
    <mergeCell ref="E8704:F8704"/>
    <mergeCell ref="H8706:I8706"/>
    <mergeCell ref="A8616:E8616"/>
    <mergeCell ref="F8616:I8616"/>
    <mergeCell ref="A8618:E8618"/>
    <mergeCell ref="F8618:I8618"/>
    <mergeCell ref="H8620:I8620"/>
    <mergeCell ref="E8625:F8625"/>
    <mergeCell ref="E8626:F8626"/>
    <mergeCell ref="E8627:F8627"/>
    <mergeCell ref="H8634:I8634"/>
    <mergeCell ref="E8638:F8638"/>
    <mergeCell ref="E8639:F8639"/>
    <mergeCell ref="A8666:E8666"/>
    <mergeCell ref="F8666:I8666"/>
    <mergeCell ref="A8667:E8667"/>
    <mergeCell ref="F8667:I8667"/>
    <mergeCell ref="G8668:I8668"/>
    <mergeCell ref="G8669:I8669"/>
    <mergeCell ref="E8644:F8644"/>
    <mergeCell ref="E8645:F8645"/>
    <mergeCell ref="E8640:F8640"/>
    <mergeCell ref="H8642:I8642"/>
    <mergeCell ref="E8622:F8622"/>
    <mergeCell ref="E8623:F8623"/>
    <mergeCell ref="H8868:I8868"/>
    <mergeCell ref="H8876:I8876"/>
    <mergeCell ref="E8878:F8878"/>
    <mergeCell ref="H8884:I8884"/>
    <mergeCell ref="H8714:I8714"/>
    <mergeCell ref="E8716:F8716"/>
    <mergeCell ref="E8896:F8896"/>
    <mergeCell ref="E8776:F8776"/>
    <mergeCell ref="E8777:F8777"/>
    <mergeCell ref="E8784:F8784"/>
    <mergeCell ref="E8801:F8801"/>
    <mergeCell ref="E8802:F8802"/>
    <mergeCell ref="E8803:F8803"/>
    <mergeCell ref="E8807:F8807"/>
    <mergeCell ref="E8800:F8800"/>
    <mergeCell ref="E8795:F8795"/>
    <mergeCell ref="E8796:F8796"/>
    <mergeCell ref="H8798:I8798"/>
    <mergeCell ref="H8805:I8805"/>
    <mergeCell ref="E8808:F8808"/>
    <mergeCell ref="E8809:F8809"/>
    <mergeCell ref="H8730:I8730"/>
    <mergeCell ref="E8738:F8738"/>
    <mergeCell ref="E8739:F8739"/>
    <mergeCell ref="E8746:F8746"/>
    <mergeCell ref="E8753:F8753"/>
    <mergeCell ref="E8754:F8754"/>
    <mergeCell ref="E8760:F8760"/>
    <mergeCell ref="E8732:F8732"/>
    <mergeCell ref="E8733:F8733"/>
    <mergeCell ref="E8734:F8734"/>
    <mergeCell ref="E8740:F8740"/>
    <mergeCell ref="E8898:F8898"/>
    <mergeCell ref="E8906:F8906"/>
    <mergeCell ref="E8907:F8907"/>
    <mergeCell ref="E8902:F8902"/>
    <mergeCell ref="E8903:F8903"/>
    <mergeCell ref="E8904:F8904"/>
    <mergeCell ref="E8905:F8905"/>
    <mergeCell ref="E8915:F8915"/>
    <mergeCell ref="E8919:F8919"/>
    <mergeCell ref="E8911:F8911"/>
    <mergeCell ref="E8870:F8870"/>
    <mergeCell ref="E8862:F8862"/>
    <mergeCell ref="E8866:F8866"/>
    <mergeCell ref="E8879:F8879"/>
    <mergeCell ref="E8886:F8886"/>
    <mergeCell ref="E8887:F8887"/>
    <mergeCell ref="E8894:F8894"/>
    <mergeCell ref="E8871:F8871"/>
    <mergeCell ref="E8872:F8872"/>
    <mergeCell ref="E8873:F8873"/>
    <mergeCell ref="E8874:F8874"/>
    <mergeCell ref="E8917:F8917"/>
    <mergeCell ref="E8918:F8918"/>
    <mergeCell ref="H8892:I8892"/>
    <mergeCell ref="E8895:F8895"/>
    <mergeCell ref="H8994:I8994"/>
    <mergeCell ref="E8996:F8996"/>
    <mergeCell ref="E8997:F8997"/>
    <mergeCell ref="E9007:F9007"/>
    <mergeCell ref="E9008:F9008"/>
    <mergeCell ref="E9009:F9009"/>
    <mergeCell ref="H9012:I9012"/>
    <mergeCell ref="E9014:F9014"/>
    <mergeCell ref="E9015:F9015"/>
    <mergeCell ref="E8970:F8970"/>
    <mergeCell ref="E8974:F8974"/>
    <mergeCell ref="E8975:F8975"/>
    <mergeCell ref="E8976:F8976"/>
    <mergeCell ref="E8977:F8977"/>
    <mergeCell ref="E8978:F8978"/>
    <mergeCell ref="E8983:F8983"/>
    <mergeCell ref="E8984:F8984"/>
    <mergeCell ref="E8985:F8985"/>
    <mergeCell ref="E8986:F8986"/>
    <mergeCell ref="E8987:F8987"/>
    <mergeCell ref="E8988:F8988"/>
    <mergeCell ref="E8992:F8992"/>
    <mergeCell ref="E8991:F8991"/>
    <mergeCell ref="E8897:F8897"/>
    <mergeCell ref="H8900:I8900"/>
    <mergeCell ref="E8908:F8908"/>
    <mergeCell ref="E8909:F8909"/>
    <mergeCell ref="E8910:F8910"/>
    <mergeCell ref="H8913:I8913"/>
    <mergeCell ref="E8916:F8916"/>
    <mergeCell ref="E9020:F9020"/>
    <mergeCell ref="E9021:F9021"/>
    <mergeCell ref="E9026:F9026"/>
    <mergeCell ref="E9027:F9027"/>
    <mergeCell ref="E9028:F9028"/>
    <mergeCell ref="E9034:F9034"/>
    <mergeCell ref="E9038:F9038"/>
    <mergeCell ref="H9018:I9018"/>
    <mergeCell ref="E9022:F9022"/>
    <mergeCell ref="H9024:I9024"/>
    <mergeCell ref="H9030:I9030"/>
    <mergeCell ref="E9032:F9032"/>
    <mergeCell ref="E9033:F9033"/>
    <mergeCell ref="H9036:I9036"/>
    <mergeCell ref="E8998:F8998"/>
    <mergeCell ref="E8999:F8999"/>
    <mergeCell ref="E9000:F9000"/>
    <mergeCell ref="H9002:I9002"/>
    <mergeCell ref="E9004:F9004"/>
    <mergeCell ref="E9005:F9005"/>
    <mergeCell ref="E9006:F9006"/>
    <mergeCell ref="E9010:F9010"/>
    <mergeCell ref="E9016:F9016"/>
    <mergeCell ref="H9101:I9101"/>
    <mergeCell ref="E9103:F9103"/>
    <mergeCell ref="E9104:F9104"/>
    <mergeCell ref="E9105:F9105"/>
    <mergeCell ref="E9109:F9109"/>
    <mergeCell ref="E9110:F9110"/>
    <mergeCell ref="E9064:F9064"/>
    <mergeCell ref="E9065:F9065"/>
    <mergeCell ref="E9066:F9066"/>
    <mergeCell ref="E9070:F9070"/>
    <mergeCell ref="E9071:F9071"/>
    <mergeCell ref="E9072:F9072"/>
    <mergeCell ref="E9077:F9077"/>
    <mergeCell ref="E9078:F9078"/>
    <mergeCell ref="E9079:F9079"/>
    <mergeCell ref="E9080:F9080"/>
    <mergeCell ref="E9084:F9084"/>
    <mergeCell ref="E9085:F9085"/>
    <mergeCell ref="E9086:F9086"/>
    <mergeCell ref="E9158:F9158"/>
    <mergeCell ref="E9112:F9112"/>
    <mergeCell ref="E9118:F9118"/>
    <mergeCell ref="E9119:F9119"/>
    <mergeCell ref="E9120:F9120"/>
    <mergeCell ref="E9121:F9121"/>
    <mergeCell ref="E9122:F9122"/>
    <mergeCell ref="E9129:F9129"/>
    <mergeCell ref="E9130:F9130"/>
    <mergeCell ref="E9131:F9131"/>
    <mergeCell ref="E9132:F9132"/>
    <mergeCell ref="E9090:F9090"/>
    <mergeCell ref="E9094:F9094"/>
    <mergeCell ref="E9095:F9095"/>
    <mergeCell ref="E9096:F9096"/>
    <mergeCell ref="E9106:F9106"/>
    <mergeCell ref="E9107:F9107"/>
    <mergeCell ref="E9108:F9108"/>
    <mergeCell ref="E9091:F9091"/>
    <mergeCell ref="E9092:F9092"/>
    <mergeCell ref="E9093:F9093"/>
    <mergeCell ref="E9097:F9097"/>
    <mergeCell ref="E9098:F9098"/>
    <mergeCell ref="E9099:F9099"/>
    <mergeCell ref="E9111:F9111"/>
    <mergeCell ref="E9207:F9207"/>
    <mergeCell ref="E9208:F9208"/>
    <mergeCell ref="E9209:F9209"/>
    <mergeCell ref="E9210:F9210"/>
    <mergeCell ref="E9211:F9211"/>
    <mergeCell ref="E9215:F9215"/>
    <mergeCell ref="E9216:F9216"/>
    <mergeCell ref="E9220:F9220"/>
    <mergeCell ref="E9221:F9221"/>
    <mergeCell ref="E9222:F9222"/>
    <mergeCell ref="E9223:F9223"/>
    <mergeCell ref="E9224:F9224"/>
    <mergeCell ref="E9212:F9212"/>
    <mergeCell ref="E9213:F9213"/>
    <mergeCell ref="E9214:F9214"/>
    <mergeCell ref="H9218:I9218"/>
    <mergeCell ref="E9184:F9184"/>
    <mergeCell ref="E9185:F9185"/>
    <mergeCell ref="E9186:F9186"/>
    <mergeCell ref="E9190:F9190"/>
    <mergeCell ref="E9196:F9196"/>
    <mergeCell ref="E9197:F9197"/>
    <mergeCell ref="E9198:F9198"/>
    <mergeCell ref="E9202:F9202"/>
    <mergeCell ref="E9203:F9203"/>
    <mergeCell ref="H9205:I9205"/>
    <mergeCell ref="E9262:F9262"/>
    <mergeCell ref="E9263:F9263"/>
    <mergeCell ref="E9264:F9264"/>
    <mergeCell ref="E9265:F9265"/>
    <mergeCell ref="E9266:F9266"/>
    <mergeCell ref="E9270:F9270"/>
    <mergeCell ref="E9271:F9271"/>
    <mergeCell ref="E9272:F9272"/>
    <mergeCell ref="H9260:I9260"/>
    <mergeCell ref="E9267:F9267"/>
    <mergeCell ref="E9268:F9268"/>
    <mergeCell ref="E9269:F9269"/>
    <mergeCell ref="E9257:F9257"/>
    <mergeCell ref="E9258:F9258"/>
    <mergeCell ref="E9255:F9255"/>
    <mergeCell ref="E9256:F9256"/>
    <mergeCell ref="E9228:F9228"/>
    <mergeCell ref="E9229:F9229"/>
    <mergeCell ref="E9230:F9230"/>
    <mergeCell ref="E9234:F9234"/>
    <mergeCell ref="E9235:F9235"/>
    <mergeCell ref="E9236:F9236"/>
    <mergeCell ref="E9237:F9237"/>
    <mergeCell ref="E9241:F9241"/>
    <mergeCell ref="E9242:F9242"/>
    <mergeCell ref="E9304:F9304"/>
    <mergeCell ref="E9305:F9305"/>
    <mergeCell ref="E9306:F9306"/>
    <mergeCell ref="E9307:F9307"/>
    <mergeCell ref="E9308:F9308"/>
    <mergeCell ref="E9309:F9309"/>
    <mergeCell ref="E9310:F9310"/>
    <mergeCell ref="E9311:F9311"/>
    <mergeCell ref="H9274:I9274"/>
    <mergeCell ref="E9276:F9276"/>
    <mergeCell ref="E9277:F9277"/>
    <mergeCell ref="E9278:F9278"/>
    <mergeCell ref="E9279:F9279"/>
    <mergeCell ref="E9280:F9280"/>
    <mergeCell ref="E9281:F9281"/>
    <mergeCell ref="E9282:F9282"/>
    <mergeCell ref="E9283:F9283"/>
    <mergeCell ref="E9284:F9284"/>
    <mergeCell ref="E9285:F9285"/>
    <mergeCell ref="H9287:I9287"/>
    <mergeCell ref="E9289:F9289"/>
    <mergeCell ref="E9290:F9290"/>
    <mergeCell ref="E9291:F9291"/>
    <mergeCell ref="E9292:F9292"/>
    <mergeCell ref="E9293:F9293"/>
    <mergeCell ref="H9300:I9300"/>
    <mergeCell ref="E9302:F9302"/>
    <mergeCell ref="E9294:F9294"/>
    <mergeCell ref="E9295:F9295"/>
    <mergeCell ref="E9296:F9296"/>
    <mergeCell ref="E9297:F9297"/>
    <mergeCell ref="E9298:F9298"/>
    <mergeCell ref="E9358:F9358"/>
    <mergeCell ref="H9347:I9347"/>
    <mergeCell ref="E9349:F9349"/>
    <mergeCell ref="E9350:F9350"/>
    <mergeCell ref="E9351:F9351"/>
    <mergeCell ref="E9352:F9352"/>
    <mergeCell ref="E9353:F9353"/>
    <mergeCell ref="E9354:F9354"/>
    <mergeCell ref="H9356:I9356"/>
    <mergeCell ref="E9359:F9359"/>
    <mergeCell ref="E9344:F9344"/>
    <mergeCell ref="E9345:F9345"/>
    <mergeCell ref="E9337:F9337"/>
    <mergeCell ref="E9338:F9338"/>
    <mergeCell ref="H9340:I9340"/>
    <mergeCell ref="E9342:F9342"/>
    <mergeCell ref="E9343:F9343"/>
    <mergeCell ref="E9383:F9383"/>
    <mergeCell ref="E9384:F9384"/>
    <mergeCell ref="H9374:I9374"/>
    <mergeCell ref="E9376:F9376"/>
    <mergeCell ref="E9377:F9377"/>
    <mergeCell ref="E9378:F9378"/>
    <mergeCell ref="H9380:I9380"/>
    <mergeCell ref="E9382:F9382"/>
    <mergeCell ref="E9385:F9385"/>
    <mergeCell ref="H9368:I9368"/>
    <mergeCell ref="E9370:F9370"/>
    <mergeCell ref="E9371:F9371"/>
    <mergeCell ref="E9360:F9360"/>
    <mergeCell ref="H9362:I9362"/>
    <mergeCell ref="E9364:F9364"/>
    <mergeCell ref="E9365:F9365"/>
    <mergeCell ref="E9366:F9366"/>
    <mergeCell ref="E9372:F9372"/>
    <mergeCell ref="E9410:F9410"/>
    <mergeCell ref="E9411:F9411"/>
    <mergeCell ref="E9399:F9399"/>
    <mergeCell ref="E9400:F9400"/>
    <mergeCell ref="E9401:F9401"/>
    <mergeCell ref="H9403:I9403"/>
    <mergeCell ref="E9405:F9405"/>
    <mergeCell ref="E9406:F9406"/>
    <mergeCell ref="E9407:F9407"/>
    <mergeCell ref="E9408:F9408"/>
    <mergeCell ref="E9409:F9409"/>
    <mergeCell ref="E9397:F9397"/>
    <mergeCell ref="E9386:F9386"/>
    <mergeCell ref="E9387:F9387"/>
    <mergeCell ref="H9389:I9389"/>
    <mergeCell ref="E9391:F9391"/>
    <mergeCell ref="E9392:F9392"/>
    <mergeCell ref="E9393:F9393"/>
    <mergeCell ref="H9395:I9395"/>
    <mergeCell ref="E9398:F9398"/>
    <mergeCell ref="E9427:F9427"/>
    <mergeCell ref="H9437:I9437"/>
    <mergeCell ref="E9439:F9439"/>
    <mergeCell ref="E9428:F9428"/>
    <mergeCell ref="E9429:F9429"/>
    <mergeCell ref="H9431:I9431"/>
    <mergeCell ref="E9433:F9433"/>
    <mergeCell ref="E9434:F9434"/>
    <mergeCell ref="E9435:F9435"/>
    <mergeCell ref="H9413:I9413"/>
    <mergeCell ref="E9415:F9415"/>
    <mergeCell ref="E9416:F9416"/>
    <mergeCell ref="E9417:F9417"/>
    <mergeCell ref="H9419:I9419"/>
    <mergeCell ref="E9421:F9421"/>
    <mergeCell ref="E9422:F9422"/>
    <mergeCell ref="E9423:F9423"/>
    <mergeCell ref="H9425:I9425"/>
    <mergeCell ref="E9453:F9453"/>
    <mergeCell ref="H9463:I9463"/>
    <mergeCell ref="E9465:F9465"/>
    <mergeCell ref="H9455:I9455"/>
    <mergeCell ref="E9457:F9457"/>
    <mergeCell ref="E9458:F9458"/>
    <mergeCell ref="E9459:F9459"/>
    <mergeCell ref="E9460:F9460"/>
    <mergeCell ref="E9461:F9461"/>
    <mergeCell ref="E9440:F9440"/>
    <mergeCell ref="E9452:F9452"/>
    <mergeCell ref="E9441:F9441"/>
    <mergeCell ref="E9442:F9442"/>
    <mergeCell ref="E9443:F9443"/>
    <mergeCell ref="E9444:F9444"/>
    <mergeCell ref="H9446:I9446"/>
    <mergeCell ref="E9448:F9448"/>
    <mergeCell ref="E9449:F9449"/>
    <mergeCell ref="E9450:F9450"/>
    <mergeCell ref="E9451:F9451"/>
    <mergeCell ref="E9481:F9481"/>
    <mergeCell ref="E9487:F9487"/>
    <mergeCell ref="E9488:F9488"/>
    <mergeCell ref="E9489:F9489"/>
    <mergeCell ref="H9491:I9491"/>
    <mergeCell ref="E9493:F9493"/>
    <mergeCell ref="E9494:F9494"/>
    <mergeCell ref="E9495:F9495"/>
    <mergeCell ref="E9500:F9500"/>
    <mergeCell ref="E9501:F9501"/>
    <mergeCell ref="H9479:I9479"/>
    <mergeCell ref="E9482:F9482"/>
    <mergeCell ref="E9483:F9483"/>
    <mergeCell ref="H9485:I9485"/>
    <mergeCell ref="H9497:I9497"/>
    <mergeCell ref="E9499:F9499"/>
    <mergeCell ref="E9466:F9466"/>
    <mergeCell ref="E9467:F9467"/>
    <mergeCell ref="E9468:F9468"/>
    <mergeCell ref="E9469:F9469"/>
    <mergeCell ref="E9470:F9470"/>
    <mergeCell ref="E9471:F9471"/>
    <mergeCell ref="H9473:I9473"/>
    <mergeCell ref="E9475:F9475"/>
    <mergeCell ref="E9476:F9476"/>
    <mergeCell ref="E9477:F9477"/>
    <mergeCell ref="E9502:F9502"/>
    <mergeCell ref="E9503:F9503"/>
    <mergeCell ref="E9508:F9508"/>
    <mergeCell ref="E9509:F9509"/>
    <mergeCell ref="E9510:F9510"/>
    <mergeCell ref="E9511:F9511"/>
    <mergeCell ref="E9517:F9517"/>
    <mergeCell ref="E9518:F9518"/>
    <mergeCell ref="E9519:F9519"/>
    <mergeCell ref="H9521:I9521"/>
    <mergeCell ref="E9523:F9523"/>
    <mergeCell ref="E9524:F9524"/>
    <mergeCell ref="H9505:I9505"/>
    <mergeCell ref="E9507:F9507"/>
    <mergeCell ref="E9512:F9512"/>
    <mergeCell ref="E9513:F9513"/>
    <mergeCell ref="H9515:I9515"/>
    <mergeCell ref="H9547:I9547"/>
    <mergeCell ref="E9549:F9549"/>
    <mergeCell ref="E9550:F9550"/>
    <mergeCell ref="H9557:I9557"/>
    <mergeCell ref="E9559:F9559"/>
    <mergeCell ref="E9560:F9560"/>
    <mergeCell ref="H9563:I9563"/>
    <mergeCell ref="E9565:F9565"/>
    <mergeCell ref="E9566:F9566"/>
    <mergeCell ref="E9525:F9525"/>
    <mergeCell ref="E9535:F9535"/>
    <mergeCell ref="E9536:F9536"/>
    <mergeCell ref="E9537:F9537"/>
    <mergeCell ref="E9543:F9543"/>
    <mergeCell ref="E9544:F9544"/>
    <mergeCell ref="E9545:F9545"/>
    <mergeCell ref="H9527:I9527"/>
    <mergeCell ref="E9529:F9529"/>
    <mergeCell ref="E9530:F9530"/>
    <mergeCell ref="E9531:F9531"/>
    <mergeCell ref="H9533:I9533"/>
    <mergeCell ref="H9539:I9539"/>
    <mergeCell ref="E9541:F9541"/>
    <mergeCell ref="E9542:F9542"/>
    <mergeCell ref="H9569:I9569"/>
    <mergeCell ref="E9571:F9571"/>
    <mergeCell ref="E9572:F9572"/>
    <mergeCell ref="H9575:I9575"/>
    <mergeCell ref="E9577:F9577"/>
    <mergeCell ref="E9578:F9578"/>
    <mergeCell ref="H9581:I9581"/>
    <mergeCell ref="E9583:F9583"/>
    <mergeCell ref="E9584:F9584"/>
    <mergeCell ref="H9589:I9589"/>
    <mergeCell ref="E9551:F9551"/>
    <mergeCell ref="E9552:F9552"/>
    <mergeCell ref="E9553:F9553"/>
    <mergeCell ref="E9554:F9554"/>
    <mergeCell ref="E9555:F9555"/>
    <mergeCell ref="E9561:F9561"/>
    <mergeCell ref="E9567:F9567"/>
    <mergeCell ref="E9634:F9634"/>
    <mergeCell ref="E9592:F9592"/>
    <mergeCell ref="E9593:F9593"/>
    <mergeCell ref="E9594:F9594"/>
    <mergeCell ref="E9601:F9601"/>
    <mergeCell ref="E9602:F9602"/>
    <mergeCell ref="E9603:F9603"/>
    <mergeCell ref="E9609:F9609"/>
    <mergeCell ref="E9595:F9595"/>
    <mergeCell ref="E9596:F9596"/>
    <mergeCell ref="E9597:F9597"/>
    <mergeCell ref="H9599:I9599"/>
    <mergeCell ref="H9605:I9605"/>
    <mergeCell ref="E9607:F9607"/>
    <mergeCell ref="E9608:F9608"/>
    <mergeCell ref="H9611:I9611"/>
    <mergeCell ref="E9573:F9573"/>
    <mergeCell ref="E9579:F9579"/>
    <mergeCell ref="E9585:F9585"/>
    <mergeCell ref="E9586:F9586"/>
    <mergeCell ref="E9587:F9587"/>
    <mergeCell ref="E9591:F9591"/>
    <mergeCell ref="E9613:F9613"/>
    <mergeCell ref="E9614:F9614"/>
    <mergeCell ref="E9619:F9619"/>
    <mergeCell ref="E9620:F9620"/>
    <mergeCell ref="E9621:F9621"/>
    <mergeCell ref="E9625:F9625"/>
    <mergeCell ref="E9629:F9629"/>
    <mergeCell ref="E9630:F9630"/>
    <mergeCell ref="E9631:F9631"/>
    <mergeCell ref="E9615:F9615"/>
    <mergeCell ref="H9617:I9617"/>
    <mergeCell ref="H9623:I9623"/>
    <mergeCell ref="E9626:F9626"/>
    <mergeCell ref="E9627:F9627"/>
    <mergeCell ref="E9628:F9628"/>
    <mergeCell ref="E9632:F9632"/>
    <mergeCell ref="E9633:F9633"/>
    <mergeCell ref="A9673:E9673"/>
    <mergeCell ref="F9673:I9673"/>
    <mergeCell ref="E9641:F9641"/>
    <mergeCell ref="E9642:F9642"/>
    <mergeCell ref="E9643:F9643"/>
    <mergeCell ref="E9647:F9647"/>
    <mergeCell ref="E9653:F9653"/>
    <mergeCell ref="E9654:F9654"/>
    <mergeCell ref="E9655:F9655"/>
    <mergeCell ref="E9656:F9656"/>
    <mergeCell ref="E9657:F9657"/>
    <mergeCell ref="E9658:F9658"/>
    <mergeCell ref="H9636:I9636"/>
    <mergeCell ref="E9638:F9638"/>
    <mergeCell ref="E9639:F9639"/>
    <mergeCell ref="E9640:F9640"/>
    <mergeCell ref="E9644:F9644"/>
    <mergeCell ref="E9645:F9645"/>
    <mergeCell ref="E9646:F9646"/>
    <mergeCell ref="H9649:I9649"/>
    <mergeCell ref="E9651:F9651"/>
    <mergeCell ref="E9652:F9652"/>
    <mergeCell ref="E9659:F9659"/>
    <mergeCell ref="E9660:F9660"/>
    <mergeCell ref="E9664:F9664"/>
    <mergeCell ref="E9665:F9665"/>
    <mergeCell ref="H9662:I9662"/>
    <mergeCell ref="A9666:E9666"/>
    <mergeCell ref="F9666:I9666"/>
    <mergeCell ref="A9667:E9667"/>
    <mergeCell ref="F9667:I9667"/>
    <mergeCell ref="A9668:E9668"/>
    <mergeCell ref="F9668:I9668"/>
    <mergeCell ref="A9669:E9669"/>
    <mergeCell ref="F9669:I9669"/>
    <mergeCell ref="A9670:E9670"/>
    <mergeCell ref="F9670:I9670"/>
    <mergeCell ref="G9671:I9671"/>
    <mergeCell ref="G9672:I9672"/>
    <mergeCell ref="A18:A19"/>
    <mergeCell ref="B18:B19"/>
    <mergeCell ref="C18:C19"/>
    <mergeCell ref="D18:D19"/>
    <mergeCell ref="G18:H18"/>
    <mergeCell ref="I18:I19"/>
    <mergeCell ref="E93:F93"/>
    <mergeCell ref="H100:I100"/>
    <mergeCell ref="E103:F103"/>
    <mergeCell ref="E104:F104"/>
    <mergeCell ref="H106:I106"/>
    <mergeCell ref="E115:F115"/>
    <mergeCell ref="E116:F116"/>
    <mergeCell ref="H118:I118"/>
    <mergeCell ref="E128:F128"/>
    <mergeCell ref="H130:I130"/>
    <mergeCell ref="E141:F141"/>
    <mergeCell ref="H143:I143"/>
    <mergeCell ref="F20:I20"/>
    <mergeCell ref="F21:I21"/>
    <mergeCell ref="A23:E23"/>
    <mergeCell ref="F23:I23"/>
    <mergeCell ref="A24:E24"/>
    <mergeCell ref="F24:I24"/>
    <mergeCell ref="A25:E25"/>
    <mergeCell ref="F25:I25"/>
    <mergeCell ref="A26:E26"/>
    <mergeCell ref="F26:I26"/>
    <mergeCell ref="H75:I75"/>
    <mergeCell ref="E85:F85"/>
    <mergeCell ref="H87:I87"/>
    <mergeCell ref="E91:F91"/>
    <mergeCell ref="E92:F92"/>
    <mergeCell ref="A35:E35"/>
    <mergeCell ref="E69:F69"/>
    <mergeCell ref="F31:I31"/>
    <mergeCell ref="E67:F67"/>
    <mergeCell ref="E68:F68"/>
    <mergeCell ref="E48:F48"/>
    <mergeCell ref="E49:F49"/>
    <mergeCell ref="H51:I51"/>
    <mergeCell ref="E60:F60"/>
    <mergeCell ref="E61:F61"/>
    <mergeCell ref="H63:I63"/>
    <mergeCell ref="E72:F72"/>
    <mergeCell ref="H156:I156"/>
    <mergeCell ref="E165:F165"/>
    <mergeCell ref="E166:F166"/>
    <mergeCell ref="H168:I168"/>
    <mergeCell ref="E176:F176"/>
    <mergeCell ref="E177:F177"/>
    <mergeCell ref="E178:F178"/>
    <mergeCell ref="H180:I180"/>
    <mergeCell ref="E187:F187"/>
    <mergeCell ref="E188:F188"/>
    <mergeCell ref="E189:F189"/>
    <mergeCell ref="H191:I191"/>
    <mergeCell ref="E196:F196"/>
    <mergeCell ref="E197:F197"/>
    <mergeCell ref="E198:F198"/>
    <mergeCell ref="E205:F205"/>
    <mergeCell ref="E206:F206"/>
    <mergeCell ref="H202:I202"/>
    <mergeCell ref="E183:F183"/>
    <mergeCell ref="E184:F184"/>
    <mergeCell ref="E185:F185"/>
    <mergeCell ref="E186:F186"/>
    <mergeCell ref="E195:F195"/>
    <mergeCell ref="E193:F193"/>
    <mergeCell ref="E194:F194"/>
    <mergeCell ref="E199:F199"/>
    <mergeCell ref="E200:F200"/>
    <mergeCell ref="E171:F171"/>
    <mergeCell ref="E204:F204"/>
    <mergeCell ref="H220:I220"/>
    <mergeCell ref="E227:F227"/>
    <mergeCell ref="H229:I229"/>
    <mergeCell ref="H256:I256"/>
    <mergeCell ref="E272:F272"/>
    <mergeCell ref="E273:F273"/>
    <mergeCell ref="E274:F274"/>
    <mergeCell ref="H287:I287"/>
    <mergeCell ref="E303:F303"/>
    <mergeCell ref="E304:F304"/>
    <mergeCell ref="E248:F248"/>
    <mergeCell ref="E249:F249"/>
    <mergeCell ref="E250:F250"/>
    <mergeCell ref="E262:F262"/>
    <mergeCell ref="E263:F263"/>
    <mergeCell ref="E264:F264"/>
    <mergeCell ref="E265:F265"/>
    <mergeCell ref="E294:F294"/>
    <mergeCell ref="E295:F295"/>
    <mergeCell ref="E296:F296"/>
    <mergeCell ref="E297:F297"/>
    <mergeCell ref="E282:F282"/>
    <mergeCell ref="E251:F251"/>
    <mergeCell ref="E254:F254"/>
    <mergeCell ref="E258:F258"/>
    <mergeCell ref="E259:F259"/>
    <mergeCell ref="E260:F260"/>
    <mergeCell ref="E261:F261"/>
    <mergeCell ref="E266:F266"/>
    <mergeCell ref="E267:F267"/>
    <mergeCell ref="H242:I242"/>
    <mergeCell ref="E268:F268"/>
    <mergeCell ref="H413:I413"/>
    <mergeCell ref="E415:F415"/>
    <mergeCell ref="E416:F416"/>
    <mergeCell ref="E427:F427"/>
    <mergeCell ref="H429:I429"/>
    <mergeCell ref="E433:F433"/>
    <mergeCell ref="E434:F434"/>
    <mergeCell ref="H436:I436"/>
    <mergeCell ref="H442:I442"/>
    <mergeCell ref="E444:F444"/>
    <mergeCell ref="E445:F445"/>
    <mergeCell ref="H448:I448"/>
    <mergeCell ref="E453:F453"/>
    <mergeCell ref="E454:F454"/>
    <mergeCell ref="E455:F455"/>
    <mergeCell ref="H331:I331"/>
    <mergeCell ref="H337:I337"/>
    <mergeCell ref="E339:F339"/>
    <mergeCell ref="E346:F346"/>
    <mergeCell ref="E347:F347"/>
    <mergeCell ref="E348:F348"/>
    <mergeCell ref="H352:I352"/>
    <mergeCell ref="E354:F354"/>
    <mergeCell ref="E358:F358"/>
    <mergeCell ref="E359:F359"/>
    <mergeCell ref="H361:I361"/>
    <mergeCell ref="H367:I367"/>
    <mergeCell ref="H373:I373"/>
    <mergeCell ref="E375:F375"/>
    <mergeCell ref="E382:F382"/>
    <mergeCell ref="E411:F411"/>
    <mergeCell ref="E417:F417"/>
    <mergeCell ref="H458:I458"/>
    <mergeCell ref="E460:F460"/>
    <mergeCell ref="E520:F520"/>
    <mergeCell ref="E521:F521"/>
    <mergeCell ref="E522:F522"/>
    <mergeCell ref="H525:I525"/>
    <mergeCell ref="E530:F530"/>
    <mergeCell ref="E531:F531"/>
    <mergeCell ref="E532:F532"/>
    <mergeCell ref="H535:I535"/>
    <mergeCell ref="E543:F543"/>
    <mergeCell ref="H545:I545"/>
    <mergeCell ref="E550:F550"/>
    <mergeCell ref="E551:F551"/>
    <mergeCell ref="E552:F552"/>
    <mergeCell ref="H558:I558"/>
    <mergeCell ref="E563:F563"/>
    <mergeCell ref="E500:F500"/>
    <mergeCell ref="E501:F501"/>
    <mergeCell ref="E502:F502"/>
    <mergeCell ref="H505:I505"/>
    <mergeCell ref="E510:F510"/>
    <mergeCell ref="E511:F511"/>
    <mergeCell ref="E512:F512"/>
    <mergeCell ref="H490:I490"/>
    <mergeCell ref="E492:F492"/>
    <mergeCell ref="E523:F523"/>
    <mergeCell ref="E538:F538"/>
    <mergeCell ref="E539:F539"/>
    <mergeCell ref="E540:F540"/>
    <mergeCell ref="E541:F541"/>
    <mergeCell ref="E549:F549"/>
    <mergeCell ref="H610:I610"/>
    <mergeCell ref="E616:F616"/>
    <mergeCell ref="H618:I618"/>
    <mergeCell ref="H626:I626"/>
    <mergeCell ref="E631:F631"/>
    <mergeCell ref="E632:F632"/>
    <mergeCell ref="E633:F633"/>
    <mergeCell ref="H640:I640"/>
    <mergeCell ref="E582:F582"/>
    <mergeCell ref="E583:F583"/>
    <mergeCell ref="E584:F584"/>
    <mergeCell ref="E585:F585"/>
    <mergeCell ref="H587:I587"/>
    <mergeCell ref="E593:F593"/>
    <mergeCell ref="H603:I603"/>
    <mergeCell ref="E605:F605"/>
    <mergeCell ref="E606:F606"/>
    <mergeCell ref="E607:F607"/>
    <mergeCell ref="E612:F612"/>
    <mergeCell ref="E613:F613"/>
    <mergeCell ref="E589:F589"/>
    <mergeCell ref="E590:F590"/>
    <mergeCell ref="E591:F591"/>
    <mergeCell ref="E592:F592"/>
    <mergeCell ref="E597:F597"/>
    <mergeCell ref="E598:F598"/>
    <mergeCell ref="E599:F599"/>
    <mergeCell ref="E600:F600"/>
    <mergeCell ref="E601:F601"/>
    <mergeCell ref="E608:F608"/>
    <mergeCell ref="E595:F595"/>
    <mergeCell ref="E596:F596"/>
    <mergeCell ref="H711:I711"/>
    <mergeCell ref="E713:F713"/>
    <mergeCell ref="E714:F714"/>
    <mergeCell ref="H721:I721"/>
    <mergeCell ref="E723:F723"/>
    <mergeCell ref="E724:F724"/>
    <mergeCell ref="E728:F728"/>
    <mergeCell ref="E729:F729"/>
    <mergeCell ref="E730:F730"/>
    <mergeCell ref="H736:I736"/>
    <mergeCell ref="E741:F741"/>
    <mergeCell ref="H750:I750"/>
    <mergeCell ref="E752:F752"/>
    <mergeCell ref="H757:I757"/>
    <mergeCell ref="E759:F759"/>
    <mergeCell ref="E760:F760"/>
    <mergeCell ref="H767:I767"/>
    <mergeCell ref="E753:F753"/>
    <mergeCell ref="E754:F754"/>
    <mergeCell ref="E715:F715"/>
    <mergeCell ref="E734:F734"/>
    <mergeCell ref="E747:F747"/>
    <mergeCell ref="E731:F731"/>
    <mergeCell ref="H777:I777"/>
    <mergeCell ref="E784:F784"/>
    <mergeCell ref="E785:F785"/>
    <mergeCell ref="H787:I787"/>
    <mergeCell ref="E795:F795"/>
    <mergeCell ref="H797:I797"/>
    <mergeCell ref="E801:F801"/>
    <mergeCell ref="E802:F802"/>
    <mergeCell ref="E803:F803"/>
    <mergeCell ref="E779:F779"/>
    <mergeCell ref="E780:F780"/>
    <mergeCell ref="E789:F789"/>
    <mergeCell ref="E761:F761"/>
    <mergeCell ref="E762:F762"/>
    <mergeCell ref="E763:F763"/>
    <mergeCell ref="E764:F764"/>
    <mergeCell ref="E765:F765"/>
    <mergeCell ref="E771:F771"/>
    <mergeCell ref="E772:F772"/>
    <mergeCell ref="E773:F773"/>
    <mergeCell ref="E774:F774"/>
    <mergeCell ref="E775:F775"/>
    <mergeCell ref="H807:I807"/>
    <mergeCell ref="E809:F809"/>
    <mergeCell ref="E810:F810"/>
    <mergeCell ref="H817:I817"/>
    <mergeCell ref="E825:F825"/>
    <mergeCell ref="H827:I827"/>
    <mergeCell ref="H847:I847"/>
    <mergeCell ref="E850:F850"/>
    <mergeCell ref="E851:F851"/>
    <mergeCell ref="H853:I853"/>
    <mergeCell ref="E856:F856"/>
    <mergeCell ref="E857:F857"/>
    <mergeCell ref="E858:F858"/>
    <mergeCell ref="H866:I866"/>
    <mergeCell ref="E871:F871"/>
    <mergeCell ref="E872:F872"/>
    <mergeCell ref="E873:F873"/>
    <mergeCell ref="E860:F860"/>
    <mergeCell ref="E868:F868"/>
    <mergeCell ref="E829:F829"/>
    <mergeCell ref="E830:F830"/>
    <mergeCell ref="E831:F831"/>
    <mergeCell ref="E843:F843"/>
    <mergeCell ref="E844:F844"/>
    <mergeCell ref="E845:F845"/>
    <mergeCell ref="E849:F849"/>
    <mergeCell ref="E859:F859"/>
    <mergeCell ref="E855:F855"/>
    <mergeCell ref="H883:I883"/>
    <mergeCell ref="E887:F887"/>
    <mergeCell ref="E888:F888"/>
    <mergeCell ref="E889:F889"/>
    <mergeCell ref="H893:I893"/>
    <mergeCell ref="E895:F895"/>
    <mergeCell ref="E896:F896"/>
    <mergeCell ref="E897:F897"/>
    <mergeCell ref="E905:F905"/>
    <mergeCell ref="E906:F906"/>
    <mergeCell ref="E907:F907"/>
    <mergeCell ref="H909:I909"/>
    <mergeCell ref="E917:F917"/>
    <mergeCell ref="E918:F918"/>
    <mergeCell ref="H920:I920"/>
    <mergeCell ref="E902:F902"/>
    <mergeCell ref="E903:F903"/>
    <mergeCell ref="E904:F904"/>
    <mergeCell ref="E911:F911"/>
    <mergeCell ref="E912:F912"/>
    <mergeCell ref="H971:I971"/>
    <mergeCell ref="E981:F981"/>
    <mergeCell ref="E982:F982"/>
    <mergeCell ref="E983:F983"/>
    <mergeCell ref="H988:I988"/>
    <mergeCell ref="E993:F993"/>
    <mergeCell ref="E994:F994"/>
    <mergeCell ref="E995:F995"/>
    <mergeCell ref="H1005:I1005"/>
    <mergeCell ref="E1007:F1007"/>
    <mergeCell ref="E1020:F1020"/>
    <mergeCell ref="H1022:I1022"/>
    <mergeCell ref="E1039:F1039"/>
    <mergeCell ref="E998:F998"/>
    <mergeCell ref="E999:F999"/>
    <mergeCell ref="E1014:F1014"/>
    <mergeCell ref="E1015:F1015"/>
    <mergeCell ref="E1016:F1016"/>
    <mergeCell ref="E1017:F1017"/>
    <mergeCell ref="E1024:F1024"/>
    <mergeCell ref="E1025:F1025"/>
    <mergeCell ref="E1026:F1026"/>
    <mergeCell ref="E1027:F1027"/>
    <mergeCell ref="H1031:I1031"/>
    <mergeCell ref="E1033:F1033"/>
    <mergeCell ref="E1034:F1034"/>
    <mergeCell ref="E1035:F1035"/>
    <mergeCell ref="E1019:F1019"/>
    <mergeCell ref="H1042:I1042"/>
    <mergeCell ref="E1051:F1051"/>
    <mergeCell ref="E1052:F1052"/>
    <mergeCell ref="E1053:F1053"/>
    <mergeCell ref="H1056:I1056"/>
    <mergeCell ref="E1059:F1059"/>
    <mergeCell ref="E1060:F1060"/>
    <mergeCell ref="H1062:I1062"/>
    <mergeCell ref="E1067:F1067"/>
    <mergeCell ref="E1068:F1068"/>
    <mergeCell ref="E1069:F1069"/>
    <mergeCell ref="E1075:F1075"/>
    <mergeCell ref="H1077:I1077"/>
    <mergeCell ref="H1093:I1093"/>
    <mergeCell ref="E1095:F1095"/>
    <mergeCell ref="E1096:F1096"/>
    <mergeCell ref="E1058:F1058"/>
    <mergeCell ref="E1066:F1066"/>
    <mergeCell ref="E1082:F1082"/>
    <mergeCell ref="E1083:F1083"/>
    <mergeCell ref="H1085:I1085"/>
    <mergeCell ref="E1047:F1047"/>
    <mergeCell ref="E1048:F1048"/>
    <mergeCell ref="E1049:F1049"/>
    <mergeCell ref="E1050:F1050"/>
    <mergeCell ref="E1054:F1054"/>
    <mergeCell ref="E1064:F1064"/>
    <mergeCell ref="E1074:F1074"/>
    <mergeCell ref="E1079:F1079"/>
    <mergeCell ref="E1080:F1080"/>
    <mergeCell ref="E1081:F1081"/>
    <mergeCell ref="H1101:I1101"/>
    <mergeCell ref="E1105:F1105"/>
    <mergeCell ref="E1106:F1106"/>
    <mergeCell ref="E1107:F1107"/>
    <mergeCell ref="H1111:I1111"/>
    <mergeCell ref="E1115:F1115"/>
    <mergeCell ref="E1116:F1116"/>
    <mergeCell ref="E1117:F1117"/>
    <mergeCell ref="H1123:I1123"/>
    <mergeCell ref="E1125:F1125"/>
    <mergeCell ref="E1126:F1126"/>
    <mergeCell ref="E1127:F1127"/>
    <mergeCell ref="E1133:F1133"/>
    <mergeCell ref="E1134:F1134"/>
    <mergeCell ref="H1136:I1136"/>
    <mergeCell ref="E1141:F1141"/>
    <mergeCell ref="E1142:F1142"/>
    <mergeCell ref="E1128:F1128"/>
    <mergeCell ref="E1129:F1129"/>
    <mergeCell ref="E1108:F1108"/>
    <mergeCell ref="E1103:F1103"/>
    <mergeCell ref="E1104:F1104"/>
    <mergeCell ref="E1109:F1109"/>
    <mergeCell ref="E1120:F1120"/>
    <mergeCell ref="E1121:F1121"/>
    <mergeCell ref="E1138:F1138"/>
    <mergeCell ref="E1139:F1139"/>
    <mergeCell ref="E1140:F1140"/>
    <mergeCell ref="E1130:F1130"/>
    <mergeCell ref="E1131:F1131"/>
    <mergeCell ref="E1132:F1132"/>
    <mergeCell ref="H1224:I1224"/>
    <mergeCell ref="E1227:F1227"/>
    <mergeCell ref="E1228:F1228"/>
    <mergeCell ref="E1229:F1229"/>
    <mergeCell ref="E1233:F1233"/>
    <mergeCell ref="E1234:F1234"/>
    <mergeCell ref="E1235:F1235"/>
    <mergeCell ref="H1239:I1239"/>
    <mergeCell ref="E1241:F1241"/>
    <mergeCell ref="E1242:F1242"/>
    <mergeCell ref="E1247:F1247"/>
    <mergeCell ref="H1249:I1249"/>
    <mergeCell ref="E1261:F1261"/>
    <mergeCell ref="E1262:F1262"/>
    <mergeCell ref="E1214:F1214"/>
    <mergeCell ref="E1218:F1218"/>
    <mergeCell ref="E1219:F1219"/>
    <mergeCell ref="E1220:F1220"/>
    <mergeCell ref="E1230:F1230"/>
    <mergeCell ref="E1231:F1231"/>
    <mergeCell ref="E1232:F1232"/>
    <mergeCell ref="E1215:F1215"/>
    <mergeCell ref="E1216:F1216"/>
    <mergeCell ref="E1217:F1217"/>
    <mergeCell ref="E1221:F1221"/>
    <mergeCell ref="E1222:F1222"/>
    <mergeCell ref="E1263:F1263"/>
    <mergeCell ref="H1270:I1270"/>
    <mergeCell ref="E1275:F1275"/>
    <mergeCell ref="E1256:F1256"/>
    <mergeCell ref="E1260:F1260"/>
    <mergeCell ref="E1267:F1267"/>
    <mergeCell ref="E1268:F1268"/>
    <mergeCell ref="E1226:F1226"/>
    <mergeCell ref="E1236:F1236"/>
    <mergeCell ref="E1237:F1237"/>
    <mergeCell ref="E1243:F1243"/>
    <mergeCell ref="E1276:F1276"/>
    <mergeCell ref="H1278:I1278"/>
    <mergeCell ref="H1294:I1294"/>
    <mergeCell ref="E1297:F1297"/>
    <mergeCell ref="E1298:F1298"/>
    <mergeCell ref="E1299:F1299"/>
    <mergeCell ref="E1296:F1296"/>
    <mergeCell ref="H1303:I1303"/>
    <mergeCell ref="E1309:F1309"/>
    <mergeCell ref="E1310:F1310"/>
    <mergeCell ref="E1311:F1311"/>
    <mergeCell ref="H1313:I1313"/>
    <mergeCell ref="E1328:F1328"/>
    <mergeCell ref="H1322:I1322"/>
    <mergeCell ref="E1324:F1324"/>
    <mergeCell ref="E1325:F1325"/>
    <mergeCell ref="E1326:F1326"/>
    <mergeCell ref="E1300:F1300"/>
    <mergeCell ref="E1301:F1301"/>
    <mergeCell ref="E1306:F1306"/>
    <mergeCell ref="E1307:F1307"/>
    <mergeCell ref="E1308:F1308"/>
    <mergeCell ref="E1317:F1317"/>
    <mergeCell ref="E1318:F1318"/>
    <mergeCell ref="E1319:F1319"/>
    <mergeCell ref="E1320:F1320"/>
    <mergeCell ref="E1327:F1327"/>
    <mergeCell ref="E1305:F1305"/>
    <mergeCell ref="H1371:I1371"/>
    <mergeCell ref="E1373:F1373"/>
    <mergeCell ref="E1374:F1374"/>
    <mergeCell ref="E1375:F1375"/>
    <mergeCell ref="H1379:I1379"/>
    <mergeCell ref="E1382:F1382"/>
    <mergeCell ref="E1383:F1383"/>
    <mergeCell ref="E1384:F1384"/>
    <mergeCell ref="H1390:I1390"/>
    <mergeCell ref="E1392:F1392"/>
    <mergeCell ref="E1393:F1393"/>
    <mergeCell ref="E1408:F1408"/>
    <mergeCell ref="H1410:I1410"/>
    <mergeCell ref="E1417:F1417"/>
    <mergeCell ref="E1418:F1418"/>
    <mergeCell ref="H1420:I1420"/>
    <mergeCell ref="E1425:F1425"/>
    <mergeCell ref="E1385:F1385"/>
    <mergeCell ref="E1386:F1386"/>
    <mergeCell ref="E1387:F1387"/>
    <mergeCell ref="E1388:F1388"/>
    <mergeCell ref="E1398:F1398"/>
    <mergeCell ref="H1400:I1400"/>
    <mergeCell ref="E1426:F1426"/>
    <mergeCell ref="E1427:F1427"/>
    <mergeCell ref="H1434:I1434"/>
    <mergeCell ref="E1436:F1436"/>
    <mergeCell ref="H1442:I1442"/>
    <mergeCell ref="E1444:F1444"/>
    <mergeCell ref="E1445:F1445"/>
    <mergeCell ref="E1394:F1394"/>
    <mergeCell ref="E1395:F1395"/>
    <mergeCell ref="E1396:F1396"/>
    <mergeCell ref="E1402:F1402"/>
    <mergeCell ref="E1403:F1403"/>
    <mergeCell ref="E1404:F1404"/>
    <mergeCell ref="E1405:F1405"/>
    <mergeCell ref="E1406:F1406"/>
    <mergeCell ref="E1407:F1407"/>
    <mergeCell ref="E1412:F1412"/>
    <mergeCell ref="E1397:F1397"/>
    <mergeCell ref="E1440:F1440"/>
    <mergeCell ref="H1453:I1453"/>
    <mergeCell ref="E1457:F1457"/>
    <mergeCell ref="E1458:F1458"/>
    <mergeCell ref="E1459:F1459"/>
    <mergeCell ref="H1464:I1464"/>
    <mergeCell ref="E1467:F1467"/>
    <mergeCell ref="E1468:F1468"/>
    <mergeCell ref="E1469:F1469"/>
    <mergeCell ref="H1474:I1474"/>
    <mergeCell ref="E1476:F1476"/>
    <mergeCell ref="E1477:F1477"/>
    <mergeCell ref="E1478:F1478"/>
    <mergeCell ref="H1483:I1483"/>
    <mergeCell ref="E1485:F1485"/>
    <mergeCell ref="E1486:F1486"/>
    <mergeCell ref="E1487:F1487"/>
    <mergeCell ref="H1489:I1489"/>
    <mergeCell ref="E1470:F1470"/>
    <mergeCell ref="E1471:F1471"/>
    <mergeCell ref="E1479:F1479"/>
    <mergeCell ref="E1480:F1480"/>
    <mergeCell ref="E1481:F1481"/>
    <mergeCell ref="H1495:I1495"/>
    <mergeCell ref="H1501:I1501"/>
    <mergeCell ref="E1503:F1503"/>
    <mergeCell ref="E1504:F1504"/>
    <mergeCell ref="H1508:I1508"/>
    <mergeCell ref="H1515:I1515"/>
    <mergeCell ref="E1519:F1519"/>
    <mergeCell ref="E1520:F1520"/>
    <mergeCell ref="E1521:F1521"/>
    <mergeCell ref="H1529:I1529"/>
    <mergeCell ref="E1535:F1535"/>
    <mergeCell ref="E1536:F1536"/>
    <mergeCell ref="E1537:F1537"/>
    <mergeCell ref="H1543:I1543"/>
    <mergeCell ref="H1565:I1565"/>
    <mergeCell ref="E1505:F1505"/>
    <mergeCell ref="E1513:F1513"/>
    <mergeCell ref="E1527:F1527"/>
    <mergeCell ref="E1506:F1506"/>
    <mergeCell ref="E1517:F1517"/>
    <mergeCell ref="E1511:F1511"/>
    <mergeCell ref="E1541:F1541"/>
    <mergeCell ref="E1497:F1497"/>
    <mergeCell ref="E1498:F1498"/>
    <mergeCell ref="E1499:F1499"/>
    <mergeCell ref="E1601:F1601"/>
    <mergeCell ref="H1603:I1603"/>
    <mergeCell ref="H1610:I1610"/>
    <mergeCell ref="H1617:I1617"/>
    <mergeCell ref="E1619:F1619"/>
    <mergeCell ref="E1620:F1620"/>
    <mergeCell ref="H1625:I1625"/>
    <mergeCell ref="E1627:F1627"/>
    <mergeCell ref="E1628:F1628"/>
    <mergeCell ref="H1632:I1632"/>
    <mergeCell ref="E1634:F1634"/>
    <mergeCell ref="E1635:F1635"/>
    <mergeCell ref="E1636:F1636"/>
    <mergeCell ref="H1641:I1641"/>
    <mergeCell ref="E1643:F1643"/>
    <mergeCell ref="E1644:F1644"/>
    <mergeCell ref="H1650:I1650"/>
    <mergeCell ref="E1639:F1639"/>
    <mergeCell ref="E1645:F1645"/>
    <mergeCell ref="E1646:F1646"/>
    <mergeCell ref="E1647:F1647"/>
    <mergeCell ref="E1648:F1648"/>
    <mergeCell ref="E1605:F1605"/>
    <mergeCell ref="E1613:F1613"/>
    <mergeCell ref="E1614:F1614"/>
    <mergeCell ref="E1615:F1615"/>
    <mergeCell ref="E1606:F1606"/>
    <mergeCell ref="E1623:F1623"/>
    <mergeCell ref="E1630:F1630"/>
    <mergeCell ref="E1637:F1637"/>
    <mergeCell ref="E1638:F1638"/>
    <mergeCell ref="E1608:F1608"/>
    <mergeCell ref="E1652:F1652"/>
    <mergeCell ref="H1667:I1667"/>
    <mergeCell ref="E1669:F1669"/>
    <mergeCell ref="E1670:F1670"/>
    <mergeCell ref="H1676:I1676"/>
    <mergeCell ref="E1678:F1678"/>
    <mergeCell ref="E1679:F1679"/>
    <mergeCell ref="E1680:F1680"/>
    <mergeCell ref="H1685:I1685"/>
    <mergeCell ref="E1689:F1689"/>
    <mergeCell ref="E1690:F1690"/>
    <mergeCell ref="E1691:F1691"/>
    <mergeCell ref="H1693:I1693"/>
    <mergeCell ref="H1711:I1711"/>
    <mergeCell ref="E1714:F1714"/>
    <mergeCell ref="E1715:F1715"/>
    <mergeCell ref="E1716:F1716"/>
    <mergeCell ref="E1653:F1653"/>
    <mergeCell ref="E1654:F1654"/>
    <mergeCell ref="E1655:F1655"/>
    <mergeCell ref="H1659:I1659"/>
    <mergeCell ref="E1661:F1661"/>
    <mergeCell ref="E1662:F1662"/>
    <mergeCell ref="E1663:F1663"/>
    <mergeCell ref="E1657:F1657"/>
    <mergeCell ref="E1664:F1664"/>
    <mergeCell ref="E1665:F1665"/>
    <mergeCell ref="E1671:F1671"/>
    <mergeCell ref="E1672:F1672"/>
    <mergeCell ref="E1673:F1673"/>
    <mergeCell ref="E1674:F1674"/>
    <mergeCell ref="E1688:F1688"/>
    <mergeCell ref="E1839:F1839"/>
    <mergeCell ref="E1840:F1840"/>
    <mergeCell ref="E1841:F1841"/>
    <mergeCell ref="E1847:F1847"/>
    <mergeCell ref="H1719:I1719"/>
    <mergeCell ref="H1725:I1725"/>
    <mergeCell ref="E1727:F1727"/>
    <mergeCell ref="E1728:F1728"/>
    <mergeCell ref="E1729:F1729"/>
    <mergeCell ref="H1735:I1735"/>
    <mergeCell ref="E1737:F1737"/>
    <mergeCell ref="E1738:F1738"/>
    <mergeCell ref="H1744:I1744"/>
    <mergeCell ref="E1746:F1746"/>
    <mergeCell ref="E1747:F1747"/>
    <mergeCell ref="E1748:F1748"/>
    <mergeCell ref="H1753:I1753"/>
    <mergeCell ref="E1755:F1755"/>
    <mergeCell ref="E1756:F1756"/>
    <mergeCell ref="H1761:I1761"/>
    <mergeCell ref="E1763:F1763"/>
    <mergeCell ref="E1740:F1740"/>
    <mergeCell ref="E1741:F1741"/>
    <mergeCell ref="E1742:F1742"/>
    <mergeCell ref="E1749:F1749"/>
    <mergeCell ref="E1750:F1750"/>
    <mergeCell ref="E1751:F1751"/>
    <mergeCell ref="E1757:F1757"/>
    <mergeCell ref="E1758:F1758"/>
    <mergeCell ref="E1759:F1759"/>
    <mergeCell ref="H1770:I1770"/>
    <mergeCell ref="E1834:F1834"/>
    <mergeCell ref="E1835:F1835"/>
    <mergeCell ref="E1789:F1789"/>
    <mergeCell ref="E1796:F1796"/>
    <mergeCell ref="E1797:F1797"/>
    <mergeCell ref="E1798:F1798"/>
    <mergeCell ref="H1803:I1803"/>
    <mergeCell ref="E1805:F1805"/>
    <mergeCell ref="E1806:F1806"/>
    <mergeCell ref="E1807:F1807"/>
    <mergeCell ref="E1814:F1814"/>
    <mergeCell ref="E1815:F1815"/>
    <mergeCell ref="E1816:F1816"/>
    <mergeCell ref="H1821:I1821"/>
    <mergeCell ref="E1823:F1823"/>
    <mergeCell ref="E1824:F1824"/>
    <mergeCell ref="E1825:F1825"/>
    <mergeCell ref="E1831:F1831"/>
    <mergeCell ref="E1832:F1832"/>
    <mergeCell ref="E1828:F1828"/>
    <mergeCell ref="E1829:F1829"/>
    <mergeCell ref="E1826:F1826"/>
    <mergeCell ref="E1827:F1827"/>
    <mergeCell ref="E1830:F1830"/>
    <mergeCell ref="E1795:F1795"/>
    <mergeCell ref="E1833:F1833"/>
    <mergeCell ref="E1848:F1848"/>
    <mergeCell ref="E1849:F1849"/>
    <mergeCell ref="H1855:I1855"/>
    <mergeCell ref="E1857:F1857"/>
    <mergeCell ref="E1864:F1864"/>
    <mergeCell ref="E1865:F1865"/>
    <mergeCell ref="E1866:F1866"/>
    <mergeCell ref="H1872:I1872"/>
    <mergeCell ref="E1874:F1874"/>
    <mergeCell ref="E1880:F1880"/>
    <mergeCell ref="E1881:F1881"/>
    <mergeCell ref="E1853:F1853"/>
    <mergeCell ref="E1862:F1862"/>
    <mergeCell ref="E1863:F1863"/>
    <mergeCell ref="E1867:F1867"/>
    <mergeCell ref="E1850:F1850"/>
    <mergeCell ref="E1851:F1851"/>
    <mergeCell ref="E1858:F1858"/>
    <mergeCell ref="E1859:F1859"/>
    <mergeCell ref="E1860:F1860"/>
    <mergeCell ref="E1861:F1861"/>
    <mergeCell ref="E1868:F1868"/>
    <mergeCell ref="E1869:F1869"/>
    <mergeCell ref="E1870:F1870"/>
    <mergeCell ref="E1924:F1924"/>
    <mergeCell ref="E1934:F1934"/>
    <mergeCell ref="H1960:I1960"/>
    <mergeCell ref="E1962:F1962"/>
    <mergeCell ref="E1969:F1969"/>
    <mergeCell ref="E1970:F1970"/>
    <mergeCell ref="H1972:I1972"/>
    <mergeCell ref="E1977:F1977"/>
    <mergeCell ref="E1978:F1978"/>
    <mergeCell ref="E1979:F1979"/>
    <mergeCell ref="H1982:I1982"/>
    <mergeCell ref="E1985:F1985"/>
    <mergeCell ref="E1986:F1986"/>
    <mergeCell ref="E1911:F1911"/>
    <mergeCell ref="H1913:I1913"/>
    <mergeCell ref="H1921:I1921"/>
    <mergeCell ref="E1923:F1923"/>
    <mergeCell ref="H1929:I1929"/>
    <mergeCell ref="E1931:F1931"/>
    <mergeCell ref="E1932:F1932"/>
    <mergeCell ref="E1933:F1933"/>
    <mergeCell ref="H1939:I1939"/>
    <mergeCell ref="E1941:F1941"/>
    <mergeCell ref="E1942:F1942"/>
    <mergeCell ref="E1943:F1943"/>
    <mergeCell ref="H1949:I1949"/>
    <mergeCell ref="E1951:F1951"/>
    <mergeCell ref="E1952:F1952"/>
    <mergeCell ref="E1947:F1947"/>
    <mergeCell ref="E1925:F1925"/>
    <mergeCell ref="E1926:F1926"/>
    <mergeCell ref="E1927:F1927"/>
    <mergeCell ref="H2052:I2052"/>
    <mergeCell ref="H2114:I2114"/>
    <mergeCell ref="E2119:F2119"/>
    <mergeCell ref="E2120:F2120"/>
    <mergeCell ref="E2098:F2098"/>
    <mergeCell ref="E2092:F2092"/>
    <mergeCell ref="E2093:F2093"/>
    <mergeCell ref="E2094:F2094"/>
    <mergeCell ref="E2075:F2075"/>
    <mergeCell ref="E2054:F2054"/>
    <mergeCell ref="E2055:F2055"/>
    <mergeCell ref="E2056:F2056"/>
    <mergeCell ref="E2057:F2057"/>
    <mergeCell ref="E2058:F2058"/>
    <mergeCell ref="E2063:F2063"/>
    <mergeCell ref="E2059:F2059"/>
    <mergeCell ref="H2061:I2061"/>
    <mergeCell ref="E2064:F2064"/>
    <mergeCell ref="E2065:F2065"/>
    <mergeCell ref="E2067:F2067"/>
    <mergeCell ref="E2076:F2076"/>
    <mergeCell ref="E2082:F2082"/>
    <mergeCell ref="E2083:F2083"/>
    <mergeCell ref="E2084:F2084"/>
    <mergeCell ref="E2116:F2116"/>
    <mergeCell ref="E2068:F2068"/>
    <mergeCell ref="H2070:I2070"/>
    <mergeCell ref="H2078:I2078"/>
    <mergeCell ref="E2080:F2080"/>
    <mergeCell ref="E2081:F2081"/>
    <mergeCell ref="E2140:F2140"/>
    <mergeCell ref="E2125:F2125"/>
    <mergeCell ref="E2126:F2126"/>
    <mergeCell ref="E2132:F2132"/>
    <mergeCell ref="E2153:F2153"/>
    <mergeCell ref="H2155:I2155"/>
    <mergeCell ref="H2163:I2163"/>
    <mergeCell ref="E2165:F2165"/>
    <mergeCell ref="H2171:I2171"/>
    <mergeCell ref="E2124:F2124"/>
    <mergeCell ref="E2150:F2150"/>
    <mergeCell ref="E2151:F2151"/>
    <mergeCell ref="E2152:F2152"/>
    <mergeCell ref="E2161:F2161"/>
    <mergeCell ref="E2148:F2148"/>
    <mergeCell ref="E2149:F2149"/>
    <mergeCell ref="E2167:F2167"/>
    <mergeCell ref="E2169:F2169"/>
    <mergeCell ref="E2166:F2166"/>
    <mergeCell ref="E2141:F2141"/>
    <mergeCell ref="E2142:F2142"/>
    <mergeCell ref="E2173:F2173"/>
    <mergeCell ref="E2174:F2174"/>
    <mergeCell ref="E2175:F2175"/>
    <mergeCell ref="H2181:I2181"/>
    <mergeCell ref="E2185:F2185"/>
    <mergeCell ref="E2186:F2186"/>
    <mergeCell ref="E2187:F2187"/>
    <mergeCell ref="H2191:I2191"/>
    <mergeCell ref="E2193:F2193"/>
    <mergeCell ref="E2194:F2194"/>
    <mergeCell ref="E2195:F2195"/>
    <mergeCell ref="H2202:I2202"/>
    <mergeCell ref="E2204:F2204"/>
    <mergeCell ref="E2205:F2205"/>
    <mergeCell ref="H2212:I2212"/>
    <mergeCell ref="E2214:F2214"/>
    <mergeCell ref="E2219:F2219"/>
    <mergeCell ref="E2178:F2178"/>
    <mergeCell ref="E2183:F2183"/>
    <mergeCell ref="E2184:F2184"/>
    <mergeCell ref="E2176:F2176"/>
    <mergeCell ref="E2177:F2177"/>
    <mergeCell ref="E2199:F2199"/>
    <mergeCell ref="E2200:F2200"/>
    <mergeCell ref="E2206:F2206"/>
    <mergeCell ref="E2207:F2207"/>
    <mergeCell ref="E2208:F2208"/>
    <mergeCell ref="E2209:F2209"/>
    <mergeCell ref="E2210:F2210"/>
    <mergeCell ref="E2216:F2216"/>
    <mergeCell ref="E2217:F2217"/>
    <mergeCell ref="E2218:F2218"/>
    <mergeCell ref="H2232:I2232"/>
    <mergeCell ref="E2236:F2236"/>
    <mergeCell ref="E2237:F2237"/>
    <mergeCell ref="E2238:F2238"/>
    <mergeCell ref="H2242:I2242"/>
    <mergeCell ref="E2244:F2244"/>
    <mergeCell ref="E2245:F2245"/>
    <mergeCell ref="H2251:I2251"/>
    <mergeCell ref="E2253:F2253"/>
    <mergeCell ref="E2254:F2254"/>
    <mergeCell ref="E2255:F2255"/>
    <mergeCell ref="H2260:I2260"/>
    <mergeCell ref="E2256:F2256"/>
    <mergeCell ref="E2257:F2257"/>
    <mergeCell ref="E2273:F2273"/>
    <mergeCell ref="H2268:I2268"/>
    <mergeCell ref="H2276:I2276"/>
    <mergeCell ref="E2258:F2258"/>
    <mergeCell ref="E2235:F2235"/>
    <mergeCell ref="E2246:F2246"/>
    <mergeCell ref="E2247:F2247"/>
    <mergeCell ref="E2248:F2248"/>
    <mergeCell ref="E2249:F2249"/>
    <mergeCell ref="E2356:F2356"/>
    <mergeCell ref="E2332:F2332"/>
    <mergeCell ref="E2346:F2346"/>
    <mergeCell ref="E2347:F2347"/>
    <mergeCell ref="E2357:F2357"/>
    <mergeCell ref="E2358:F2358"/>
    <mergeCell ref="H2284:I2284"/>
    <mergeCell ref="H2292:I2292"/>
    <mergeCell ref="E2294:F2294"/>
    <mergeCell ref="H2298:I2298"/>
    <mergeCell ref="E2301:F2301"/>
    <mergeCell ref="E2302:F2302"/>
    <mergeCell ref="E2303:F2303"/>
    <mergeCell ref="H2305:I2305"/>
    <mergeCell ref="E2309:F2309"/>
    <mergeCell ref="E2310:F2310"/>
    <mergeCell ref="E2311:F2311"/>
    <mergeCell ref="H2314:I2314"/>
    <mergeCell ref="E2317:F2317"/>
    <mergeCell ref="E2312:F2312"/>
    <mergeCell ref="E2295:F2295"/>
    <mergeCell ref="E2300:F2300"/>
    <mergeCell ref="H2426:I2426"/>
    <mergeCell ref="E2437:F2437"/>
    <mergeCell ref="E2446:F2446"/>
    <mergeCell ref="H2410:I2410"/>
    <mergeCell ref="E2416:F2416"/>
    <mergeCell ref="H2418:I2418"/>
    <mergeCell ref="E2433:F2433"/>
    <mergeCell ref="H2435:I2435"/>
    <mergeCell ref="E2441:F2441"/>
    <mergeCell ref="H2322:I2322"/>
    <mergeCell ref="E2325:F2325"/>
    <mergeCell ref="E2326:F2326"/>
    <mergeCell ref="E2327:F2327"/>
    <mergeCell ref="H2330:I2330"/>
    <mergeCell ref="E2333:F2333"/>
    <mergeCell ref="E2334:F2334"/>
    <mergeCell ref="E2335:F2335"/>
    <mergeCell ref="H2340:I2340"/>
    <mergeCell ref="E2343:F2343"/>
    <mergeCell ref="E2344:F2344"/>
    <mergeCell ref="E2345:F2345"/>
    <mergeCell ref="H2350:I2350"/>
    <mergeCell ref="E2352:F2352"/>
    <mergeCell ref="H2360:I2360"/>
    <mergeCell ref="E2401:F2401"/>
    <mergeCell ref="E2405:F2405"/>
    <mergeCell ref="E2336:F2336"/>
    <mergeCell ref="E2337:F2337"/>
    <mergeCell ref="E2338:F2338"/>
    <mergeCell ref="E2353:F2353"/>
    <mergeCell ref="E2354:F2354"/>
    <mergeCell ref="E2355:F2355"/>
    <mergeCell ref="E2508:F2508"/>
    <mergeCell ref="E2490:F2490"/>
    <mergeCell ref="E2491:F2491"/>
    <mergeCell ref="E2497:F2497"/>
    <mergeCell ref="E2498:F2498"/>
    <mergeCell ref="E2499:F2499"/>
    <mergeCell ref="E2505:F2505"/>
    <mergeCell ref="E2486:F2486"/>
    <mergeCell ref="E2492:F2492"/>
    <mergeCell ref="E2515:F2515"/>
    <mergeCell ref="H2518:I2518"/>
    <mergeCell ref="E2523:F2523"/>
    <mergeCell ref="E2524:F2524"/>
    <mergeCell ref="E2525:F2525"/>
    <mergeCell ref="H2527:I2527"/>
    <mergeCell ref="H2370:I2370"/>
    <mergeCell ref="E2376:F2376"/>
    <mergeCell ref="E2377:F2377"/>
    <mergeCell ref="E2378:F2378"/>
    <mergeCell ref="H2380:I2380"/>
    <mergeCell ref="E2384:F2384"/>
    <mergeCell ref="E2385:F2385"/>
    <mergeCell ref="E2386:F2386"/>
    <mergeCell ref="E2392:F2392"/>
    <mergeCell ref="E2393:F2393"/>
    <mergeCell ref="E2394:F2394"/>
    <mergeCell ref="H2396:I2396"/>
    <mergeCell ref="E2402:F2402"/>
    <mergeCell ref="E2403:F2403"/>
    <mergeCell ref="E2404:F2404"/>
    <mergeCell ref="E2408:F2408"/>
    <mergeCell ref="E2466:F2466"/>
    <mergeCell ref="E2531:F2531"/>
    <mergeCell ref="E2532:F2532"/>
    <mergeCell ref="H2534:I2534"/>
    <mergeCell ref="E2540:F2540"/>
    <mergeCell ref="E2541:F2541"/>
    <mergeCell ref="E2542:F2542"/>
    <mergeCell ref="E2512:F2512"/>
    <mergeCell ref="E2520:F2520"/>
    <mergeCell ref="E2521:F2521"/>
    <mergeCell ref="E2522:F2522"/>
    <mergeCell ref="E2529:F2529"/>
    <mergeCell ref="E2530:F2530"/>
    <mergeCell ref="E2538:F2538"/>
    <mergeCell ref="E2516:F2516"/>
    <mergeCell ref="E2536:F2536"/>
    <mergeCell ref="E2537:F2537"/>
    <mergeCell ref="H2544:I2544"/>
    <mergeCell ref="E2513:F2513"/>
    <mergeCell ref="E2514:F2514"/>
    <mergeCell ref="E2539:F2539"/>
    <mergeCell ref="H2554:I2554"/>
    <mergeCell ref="E2558:F2558"/>
    <mergeCell ref="E2559:F2559"/>
    <mergeCell ref="E2560:F2560"/>
    <mergeCell ref="H2564:I2564"/>
    <mergeCell ref="E2566:F2566"/>
    <mergeCell ref="E2567:F2567"/>
    <mergeCell ref="E2568:F2568"/>
    <mergeCell ref="H2573:I2573"/>
    <mergeCell ref="E2575:F2575"/>
    <mergeCell ref="E2576:F2576"/>
    <mergeCell ref="H2583:I2583"/>
    <mergeCell ref="H2592:I2592"/>
    <mergeCell ref="E2569:F2569"/>
    <mergeCell ref="E2570:F2570"/>
    <mergeCell ref="E2571:F2571"/>
    <mergeCell ref="E2581:F2581"/>
    <mergeCell ref="E2577:F2577"/>
    <mergeCell ref="E2578:F2578"/>
    <mergeCell ref="E2579:F2579"/>
    <mergeCell ref="E2580:F2580"/>
    <mergeCell ref="E2585:F2585"/>
    <mergeCell ref="E2586:F2586"/>
    <mergeCell ref="E2556:F2556"/>
    <mergeCell ref="E2557:F2557"/>
    <mergeCell ref="E2562:F2562"/>
    <mergeCell ref="E2587:F2587"/>
    <mergeCell ref="E2588:F2588"/>
    <mergeCell ref="E2589:F2589"/>
    <mergeCell ref="E2590:F2590"/>
    <mergeCell ref="H2600:I2600"/>
    <mergeCell ref="E2602:F2602"/>
    <mergeCell ref="E2603:F2603"/>
    <mergeCell ref="E2604:F2604"/>
    <mergeCell ref="H2608:I2608"/>
    <mergeCell ref="E2611:F2611"/>
    <mergeCell ref="E2612:F2612"/>
    <mergeCell ref="E2613:F2613"/>
    <mergeCell ref="H2616:I2616"/>
    <mergeCell ref="E2620:F2620"/>
    <mergeCell ref="E2621:F2621"/>
    <mergeCell ref="E2622:F2622"/>
    <mergeCell ref="H2624:I2624"/>
    <mergeCell ref="E2629:F2629"/>
    <mergeCell ref="E2630:F2630"/>
    <mergeCell ref="E2631:F2631"/>
    <mergeCell ref="H2634:I2634"/>
    <mergeCell ref="H2641:I2641"/>
    <mergeCell ref="H2651:I2651"/>
    <mergeCell ref="E2653:F2653"/>
    <mergeCell ref="H2659:I2659"/>
    <mergeCell ref="E2661:F2661"/>
    <mergeCell ref="H2667:I2667"/>
    <mergeCell ref="E2669:F2669"/>
    <mergeCell ref="E2670:F2670"/>
    <mergeCell ref="H2675:I2675"/>
    <mergeCell ref="E2677:F2677"/>
    <mergeCell ref="E2678:F2678"/>
    <mergeCell ref="E2679:F2679"/>
    <mergeCell ref="E2665:F2665"/>
    <mergeCell ref="E2632:F2632"/>
    <mergeCell ref="H2683:I2683"/>
    <mergeCell ref="E2686:F2686"/>
    <mergeCell ref="E2687:F2687"/>
    <mergeCell ref="H2693:I2693"/>
    <mergeCell ref="E2696:F2696"/>
    <mergeCell ref="E2697:F2697"/>
    <mergeCell ref="H2699:I2699"/>
    <mergeCell ref="E2704:F2704"/>
    <mergeCell ref="E2705:F2705"/>
    <mergeCell ref="H2707:I2707"/>
    <mergeCell ref="E2713:F2713"/>
    <mergeCell ref="E2714:F2714"/>
    <mergeCell ref="H2716:I2716"/>
    <mergeCell ref="E2722:F2722"/>
    <mergeCell ref="H2724:I2724"/>
    <mergeCell ref="H2748:I2748"/>
    <mergeCell ref="H2732:I2732"/>
    <mergeCell ref="E2736:F2736"/>
    <mergeCell ref="E2737:F2737"/>
    <mergeCell ref="E2738:F2738"/>
    <mergeCell ref="H2740:I2740"/>
    <mergeCell ref="E2728:F2728"/>
    <mergeCell ref="E2711:F2711"/>
    <mergeCell ref="E2701:F2701"/>
    <mergeCell ref="E2702:F2702"/>
    <mergeCell ref="E2703:F2703"/>
    <mergeCell ref="E2710:F2710"/>
    <mergeCell ref="E2726:F2726"/>
    <mergeCell ref="E2727:F2727"/>
    <mergeCell ref="E2712:F2712"/>
    <mergeCell ref="E2720:F2720"/>
    <mergeCell ref="E2721:F2721"/>
    <mergeCell ref="E2695:F2695"/>
    <mergeCell ref="E2709:F2709"/>
    <mergeCell ref="E2718:F2718"/>
    <mergeCell ref="H2756:I2756"/>
    <mergeCell ref="E2762:F2762"/>
    <mergeCell ref="H2764:I2764"/>
    <mergeCell ref="H2780:I2780"/>
    <mergeCell ref="E2784:F2784"/>
    <mergeCell ref="E2785:F2785"/>
    <mergeCell ref="E2786:F2786"/>
    <mergeCell ref="H2788:I2788"/>
    <mergeCell ref="E2793:F2793"/>
    <mergeCell ref="E2794:F2794"/>
    <mergeCell ref="H2796:I2796"/>
    <mergeCell ref="E2802:F2802"/>
    <mergeCell ref="H2804:I2804"/>
    <mergeCell ref="E2811:F2811"/>
    <mergeCell ref="E2769:F2769"/>
    <mergeCell ref="E2770:F2770"/>
    <mergeCell ref="E2767:F2767"/>
    <mergeCell ref="E2760:F2760"/>
    <mergeCell ref="E2761:F2761"/>
    <mergeCell ref="E2766:F2766"/>
    <mergeCell ref="E2808:F2808"/>
    <mergeCell ref="E2798:F2798"/>
    <mergeCell ref="E2799:F2799"/>
    <mergeCell ref="E2774:F2774"/>
    <mergeCell ref="E2775:F2775"/>
    <mergeCell ref="E2776:F2776"/>
    <mergeCell ref="E2768:F2768"/>
    <mergeCell ref="E2806:F2806"/>
    <mergeCell ref="E2807:F2807"/>
    <mergeCell ref="H2814:I2814"/>
    <mergeCell ref="E2820:F2820"/>
    <mergeCell ref="H2822:I2822"/>
    <mergeCell ref="E2828:F2828"/>
    <mergeCell ref="E2829:F2829"/>
    <mergeCell ref="H2831:I2831"/>
    <mergeCell ref="E2837:F2837"/>
    <mergeCell ref="E2838:F2838"/>
    <mergeCell ref="H2840:I2840"/>
    <mergeCell ref="E2845:F2845"/>
    <mergeCell ref="E2846:F2846"/>
    <mergeCell ref="E2847:F2847"/>
    <mergeCell ref="H2849:I2849"/>
    <mergeCell ref="E2853:F2853"/>
    <mergeCell ref="E2854:F2854"/>
    <mergeCell ref="E2855:F2855"/>
    <mergeCell ref="E2851:F2851"/>
    <mergeCell ref="E2852:F2852"/>
    <mergeCell ref="E2844:F2844"/>
    <mergeCell ref="E2816:F2816"/>
    <mergeCell ref="E2817:F2817"/>
    <mergeCell ref="E2824:F2824"/>
    <mergeCell ref="E2825:F2825"/>
    <mergeCell ref="E2826:F2826"/>
    <mergeCell ref="H2959:I2959"/>
    <mergeCell ref="E2961:F2961"/>
    <mergeCell ref="E2962:F2962"/>
    <mergeCell ref="E2963:F2963"/>
    <mergeCell ref="H2968:I2968"/>
    <mergeCell ref="E2970:F2970"/>
    <mergeCell ref="E2971:F2971"/>
    <mergeCell ref="H2977:I2977"/>
    <mergeCell ref="E2979:F2979"/>
    <mergeCell ref="E2964:F2964"/>
    <mergeCell ref="E2956:F2956"/>
    <mergeCell ref="E2957:F2957"/>
    <mergeCell ref="E2965:F2965"/>
    <mergeCell ref="E2966:F2966"/>
    <mergeCell ref="E2972:F2972"/>
    <mergeCell ref="E2985:F2985"/>
    <mergeCell ref="H2987:I2987"/>
    <mergeCell ref="H2995:I2995"/>
    <mergeCell ref="E2997:F2997"/>
    <mergeCell ref="E3011:F3011"/>
    <mergeCell ref="H3013:I3013"/>
    <mergeCell ref="E3019:F3019"/>
    <mergeCell ref="E3020:F3020"/>
    <mergeCell ref="H3022:I3022"/>
    <mergeCell ref="E3027:F3027"/>
    <mergeCell ref="E3028:F3028"/>
    <mergeCell ref="H3030:I3030"/>
    <mergeCell ref="E3035:F3035"/>
    <mergeCell ref="E3036:F3036"/>
    <mergeCell ref="E3037:F3037"/>
    <mergeCell ref="H3043:I3043"/>
    <mergeCell ref="E3045:F3045"/>
    <mergeCell ref="H3004:I3004"/>
    <mergeCell ref="E3006:F3006"/>
    <mergeCell ref="E3007:F3007"/>
    <mergeCell ref="E3015:F3015"/>
    <mergeCell ref="E3016:F3016"/>
    <mergeCell ref="E3017:F3017"/>
    <mergeCell ref="E3039:F3039"/>
    <mergeCell ref="E3040:F3040"/>
    <mergeCell ref="E3041:F3041"/>
    <mergeCell ref="E2999:F2999"/>
    <mergeCell ref="E3000:F3000"/>
    <mergeCell ref="E3038:F3038"/>
    <mergeCell ref="E3032:F3032"/>
    <mergeCell ref="E3033:F3033"/>
    <mergeCell ref="H3102:I3102"/>
    <mergeCell ref="E3108:F3108"/>
    <mergeCell ref="E3109:F3109"/>
    <mergeCell ref="H3111:I3111"/>
    <mergeCell ref="E3116:F3116"/>
    <mergeCell ref="E3117:F3117"/>
    <mergeCell ref="H3119:I3119"/>
    <mergeCell ref="E3124:F3124"/>
    <mergeCell ref="E3125:F3125"/>
    <mergeCell ref="E3126:F3126"/>
    <mergeCell ref="H3128:I3128"/>
    <mergeCell ref="E3132:F3132"/>
    <mergeCell ref="E3133:F3133"/>
    <mergeCell ref="E3134:F3134"/>
    <mergeCell ref="H3136:I3136"/>
    <mergeCell ref="E3140:F3140"/>
    <mergeCell ref="E3141:F3141"/>
    <mergeCell ref="H3144:I3144"/>
    <mergeCell ref="E3148:F3148"/>
    <mergeCell ref="E3149:F3149"/>
    <mergeCell ref="E3150:F3150"/>
    <mergeCell ref="H3152:I3152"/>
    <mergeCell ref="E3156:F3156"/>
    <mergeCell ref="H3158:I3158"/>
    <mergeCell ref="E3164:F3164"/>
    <mergeCell ref="H3166:I3166"/>
    <mergeCell ref="E3180:F3180"/>
    <mergeCell ref="E3146:F3146"/>
    <mergeCell ref="E3147:F3147"/>
    <mergeCell ref="E3154:F3154"/>
    <mergeCell ref="E3155:F3155"/>
    <mergeCell ref="E3162:F3162"/>
    <mergeCell ref="E3163:F3163"/>
    <mergeCell ref="E3170:F3170"/>
    <mergeCell ref="E3171:F3171"/>
    <mergeCell ref="H3173:I3173"/>
    <mergeCell ref="E3179:F3179"/>
    <mergeCell ref="E3160:F3160"/>
    <mergeCell ref="E3161:F3161"/>
    <mergeCell ref="E3168:F3168"/>
    <mergeCell ref="E3169:F3169"/>
    <mergeCell ref="E3175:F3175"/>
    <mergeCell ref="H3182:I3182"/>
    <mergeCell ref="E3188:F3188"/>
    <mergeCell ref="E3189:F3189"/>
    <mergeCell ref="E3190:F3190"/>
    <mergeCell ref="H3192:I3192"/>
    <mergeCell ref="E3196:F3196"/>
    <mergeCell ref="E3197:F3197"/>
    <mergeCell ref="E3198:F3198"/>
    <mergeCell ref="H3200:I3200"/>
    <mergeCell ref="E3204:F3204"/>
    <mergeCell ref="E3205:F3205"/>
    <mergeCell ref="E3206:F3206"/>
    <mergeCell ref="H3208:I3208"/>
    <mergeCell ref="E3213:F3213"/>
    <mergeCell ref="E3214:F3214"/>
    <mergeCell ref="H3216:I3216"/>
    <mergeCell ref="E3222:F3222"/>
    <mergeCell ref="E3210:F3210"/>
    <mergeCell ref="E3211:F3211"/>
    <mergeCell ref="E3218:F3218"/>
    <mergeCell ref="E3219:F3219"/>
    <mergeCell ref="E3220:F3220"/>
    <mergeCell ref="E3221:F3221"/>
    <mergeCell ref="E3184:F3184"/>
    <mergeCell ref="E3185:F3185"/>
    <mergeCell ref="E3186:F3186"/>
    <mergeCell ref="E3187:F3187"/>
    <mergeCell ref="E3223:F3223"/>
    <mergeCell ref="E3224:F3224"/>
    <mergeCell ref="H3226:I3226"/>
    <mergeCell ref="E3231:F3231"/>
    <mergeCell ref="E3232:F3232"/>
    <mergeCell ref="H3234:I3234"/>
    <mergeCell ref="E3241:F3241"/>
    <mergeCell ref="E3242:F3242"/>
    <mergeCell ref="H3244:I3244"/>
    <mergeCell ref="H3260:I3260"/>
    <mergeCell ref="E3262:F3262"/>
    <mergeCell ref="E3263:F3263"/>
    <mergeCell ref="H3268:I3268"/>
    <mergeCell ref="E3271:F3271"/>
    <mergeCell ref="E3272:F3272"/>
    <mergeCell ref="E3273:F3273"/>
    <mergeCell ref="H3276:I3276"/>
    <mergeCell ref="H3252:I3252"/>
    <mergeCell ref="E3228:F3228"/>
    <mergeCell ref="E3229:F3229"/>
    <mergeCell ref="E3230:F3230"/>
    <mergeCell ref="H3286:I3286"/>
    <mergeCell ref="E3291:F3291"/>
    <mergeCell ref="E3292:F3292"/>
    <mergeCell ref="H3294:I3294"/>
    <mergeCell ref="H3310:I3310"/>
    <mergeCell ref="E3312:F3312"/>
    <mergeCell ref="E3313:F3313"/>
    <mergeCell ref="E3314:F3314"/>
    <mergeCell ref="H3318:I3318"/>
    <mergeCell ref="E3322:F3322"/>
    <mergeCell ref="E3323:F3323"/>
    <mergeCell ref="E3324:F3324"/>
    <mergeCell ref="H3326:I3326"/>
    <mergeCell ref="H3342:I3342"/>
    <mergeCell ref="E3344:F3344"/>
    <mergeCell ref="E3345:F3345"/>
    <mergeCell ref="H3350:I3350"/>
    <mergeCell ref="E3288:F3288"/>
    <mergeCell ref="E3289:F3289"/>
    <mergeCell ref="E3290:F3290"/>
    <mergeCell ref="E3298:F3298"/>
    <mergeCell ref="E3299:F3299"/>
    <mergeCell ref="E3300:F3300"/>
    <mergeCell ref="H3302:I3302"/>
    <mergeCell ref="E3308:F3308"/>
    <mergeCell ref="E3321:F3321"/>
    <mergeCell ref="E3320:F3320"/>
    <mergeCell ref="E3355:F3355"/>
    <mergeCell ref="E3363:F3363"/>
    <mergeCell ref="H3365:I3365"/>
    <mergeCell ref="H3374:I3374"/>
    <mergeCell ref="E3376:F3376"/>
    <mergeCell ref="E3377:F3377"/>
    <mergeCell ref="E3378:F3378"/>
    <mergeCell ref="H3383:I3383"/>
    <mergeCell ref="E3389:F3389"/>
    <mergeCell ref="H3391:I3391"/>
    <mergeCell ref="H3399:I3399"/>
    <mergeCell ref="E3401:F3401"/>
    <mergeCell ref="E3402:F3402"/>
    <mergeCell ref="H3407:I3407"/>
    <mergeCell ref="E3411:F3411"/>
    <mergeCell ref="E3412:F3412"/>
    <mergeCell ref="E3413:F3413"/>
    <mergeCell ref="E3371:F3371"/>
    <mergeCell ref="E3372:F3372"/>
    <mergeCell ref="E3379:F3379"/>
    <mergeCell ref="E3380:F3380"/>
    <mergeCell ref="E3381:F3381"/>
    <mergeCell ref="E3369:F3369"/>
    <mergeCell ref="E3370:F3370"/>
    <mergeCell ref="E3409:F3409"/>
    <mergeCell ref="E3410:F3410"/>
    <mergeCell ref="E3367:F3367"/>
    <mergeCell ref="E3368:F3368"/>
    <mergeCell ref="H3431:I3431"/>
    <mergeCell ref="E3433:F3433"/>
    <mergeCell ref="E3434:F3434"/>
    <mergeCell ref="E3435:F3435"/>
    <mergeCell ref="H3439:I3439"/>
    <mergeCell ref="E3442:F3442"/>
    <mergeCell ref="E3443:F3443"/>
    <mergeCell ref="E3444:F3444"/>
    <mergeCell ref="H3447:I3447"/>
    <mergeCell ref="E3451:F3451"/>
    <mergeCell ref="E3452:F3452"/>
    <mergeCell ref="E3453:F3453"/>
    <mergeCell ref="H3455:I3455"/>
    <mergeCell ref="E3460:F3460"/>
    <mergeCell ref="E3461:F3461"/>
    <mergeCell ref="H3463:I3463"/>
    <mergeCell ref="H3479:I3479"/>
    <mergeCell ref="H3471:I3471"/>
    <mergeCell ref="E3474:F3474"/>
    <mergeCell ref="E3475:F3475"/>
    <mergeCell ref="E3476:F3476"/>
    <mergeCell ref="E3477:F3477"/>
    <mergeCell ref="E3441:F3441"/>
    <mergeCell ref="E3449:F3449"/>
    <mergeCell ref="E3450:F3450"/>
    <mergeCell ref="E3468:F3468"/>
    <mergeCell ref="E3469:F3469"/>
    <mergeCell ref="E3459:F3459"/>
    <mergeCell ref="H3487:I3487"/>
    <mergeCell ref="E3490:F3490"/>
    <mergeCell ref="E3491:F3491"/>
    <mergeCell ref="E3492:F3492"/>
    <mergeCell ref="H3495:I3495"/>
    <mergeCell ref="E3502:F3502"/>
    <mergeCell ref="H3504:I3504"/>
    <mergeCell ref="E3510:F3510"/>
    <mergeCell ref="E3511:F3511"/>
    <mergeCell ref="H3513:I3513"/>
    <mergeCell ref="E3520:F3520"/>
    <mergeCell ref="H3522:I3522"/>
    <mergeCell ref="E3530:F3530"/>
    <mergeCell ref="H3532:I3532"/>
    <mergeCell ref="E3549:F3549"/>
    <mergeCell ref="E3550:F3550"/>
    <mergeCell ref="H3552:I3552"/>
    <mergeCell ref="E3524:F3524"/>
    <mergeCell ref="E3534:F3534"/>
    <mergeCell ref="E3535:F3535"/>
    <mergeCell ref="E3536:F3536"/>
    <mergeCell ref="E3537:F3537"/>
    <mergeCell ref="E3538:F3538"/>
    <mergeCell ref="E3539:F3539"/>
    <mergeCell ref="E3544:F3544"/>
    <mergeCell ref="E3545:F3545"/>
    <mergeCell ref="E3546:F3546"/>
    <mergeCell ref="E3547:F3547"/>
    <mergeCell ref="E3548:F3548"/>
    <mergeCell ref="E3500:F3500"/>
    <mergeCell ref="E3529:F3529"/>
    <mergeCell ref="E3515:F3515"/>
    <mergeCell ref="E3611:F3611"/>
    <mergeCell ref="H3613:I3613"/>
    <mergeCell ref="E3620:F3620"/>
    <mergeCell ref="E3621:F3621"/>
    <mergeCell ref="E3622:F3622"/>
    <mergeCell ref="H3624:I3624"/>
    <mergeCell ref="E3629:F3629"/>
    <mergeCell ref="E3630:F3630"/>
    <mergeCell ref="E3631:F3631"/>
    <mergeCell ref="E3640:F3640"/>
    <mergeCell ref="H3644:I3644"/>
    <mergeCell ref="E3647:F3647"/>
    <mergeCell ref="E3648:F3648"/>
    <mergeCell ref="E3649:F3649"/>
    <mergeCell ref="E3606:F3606"/>
    <mergeCell ref="E3607:F3607"/>
    <mergeCell ref="E3608:F3608"/>
    <mergeCell ref="E3615:F3615"/>
    <mergeCell ref="E3616:F3616"/>
    <mergeCell ref="E3617:F3617"/>
    <mergeCell ref="E3618:F3618"/>
    <mergeCell ref="E3619:F3619"/>
    <mergeCell ref="E3626:F3626"/>
    <mergeCell ref="H3634:I3634"/>
    <mergeCell ref="H3654:I3654"/>
    <mergeCell ref="E3658:F3658"/>
    <mergeCell ref="E3659:F3659"/>
    <mergeCell ref="E3660:F3660"/>
    <mergeCell ref="H3667:I3667"/>
    <mergeCell ref="E3669:F3669"/>
    <mergeCell ref="E3670:F3670"/>
    <mergeCell ref="E3671:F3671"/>
    <mergeCell ref="H3680:I3680"/>
    <mergeCell ref="E3682:F3682"/>
    <mergeCell ref="H3691:I3691"/>
    <mergeCell ref="E3693:F3693"/>
    <mergeCell ref="E3673:F3673"/>
    <mergeCell ref="E3674:F3674"/>
    <mergeCell ref="E3675:F3675"/>
    <mergeCell ref="H3702:I3702"/>
    <mergeCell ref="E3704:F3704"/>
    <mergeCell ref="E3694:F3694"/>
    <mergeCell ref="E3687:F3687"/>
    <mergeCell ref="E3688:F3688"/>
    <mergeCell ref="E3676:F3676"/>
    <mergeCell ref="E3677:F3677"/>
    <mergeCell ref="E3683:F3683"/>
    <mergeCell ref="E3684:F3684"/>
    <mergeCell ref="E3685:F3685"/>
    <mergeCell ref="E3686:F3686"/>
    <mergeCell ref="E3689:F3689"/>
    <mergeCell ref="H3713:I3713"/>
    <mergeCell ref="E3715:F3715"/>
    <mergeCell ref="H3724:I3724"/>
    <mergeCell ref="E3726:F3726"/>
    <mergeCell ref="H3733:I3733"/>
    <mergeCell ref="E3736:F3736"/>
    <mergeCell ref="E3737:F3737"/>
    <mergeCell ref="E3738:F3738"/>
    <mergeCell ref="H3742:I3742"/>
    <mergeCell ref="E3747:F3747"/>
    <mergeCell ref="E3748:F3748"/>
    <mergeCell ref="E3749:F3749"/>
    <mergeCell ref="H3751:I3751"/>
    <mergeCell ref="E3758:F3758"/>
    <mergeCell ref="E3759:F3759"/>
    <mergeCell ref="E3707:F3707"/>
    <mergeCell ref="E3708:F3708"/>
    <mergeCell ref="E3709:F3709"/>
    <mergeCell ref="E3710:F3710"/>
    <mergeCell ref="E3718:F3718"/>
    <mergeCell ref="E3719:F3719"/>
    <mergeCell ref="E3720:F3720"/>
    <mergeCell ref="E3721:F3721"/>
    <mergeCell ref="E3728:F3728"/>
    <mergeCell ref="E3729:F3729"/>
    <mergeCell ref="E3730:F3730"/>
    <mergeCell ref="E3757:F3757"/>
    <mergeCell ref="E3739:F3739"/>
    <mergeCell ref="E3740:F3740"/>
    <mergeCell ref="E3746:F3746"/>
    <mergeCell ref="E3735:F3735"/>
    <mergeCell ref="E3744:F3744"/>
    <mergeCell ref="H3761:I3761"/>
    <mergeCell ref="E3769:F3769"/>
    <mergeCell ref="H3771:I3771"/>
    <mergeCell ref="E3791:F3791"/>
    <mergeCell ref="H3793:I3793"/>
    <mergeCell ref="H3801:I3801"/>
    <mergeCell ref="E3803:F3803"/>
    <mergeCell ref="E3804:F3804"/>
    <mergeCell ref="H3811:I3811"/>
    <mergeCell ref="E3813:F3813"/>
    <mergeCell ref="E3814:F3814"/>
    <mergeCell ref="E3815:F3815"/>
    <mergeCell ref="H3821:I3821"/>
    <mergeCell ref="E3824:F3824"/>
    <mergeCell ref="E3825:F3825"/>
    <mergeCell ref="E3826:F3826"/>
    <mergeCell ref="H3832:I3832"/>
    <mergeCell ref="E3774:F3774"/>
    <mergeCell ref="E3775:F3775"/>
    <mergeCell ref="E3773:F3773"/>
    <mergeCell ref="E3765:F3765"/>
    <mergeCell ref="E3776:F3776"/>
    <mergeCell ref="E3777:F3777"/>
    <mergeCell ref="E3778:F3778"/>
    <mergeCell ref="E3779:F3779"/>
    <mergeCell ref="H3781:I3781"/>
    <mergeCell ref="E3785:F3785"/>
    <mergeCell ref="E3786:F3786"/>
    <mergeCell ref="E3787:F3787"/>
    <mergeCell ref="E3788:F3788"/>
    <mergeCell ref="E3783:F3783"/>
    <mergeCell ref="E3784:F3784"/>
    <mergeCell ref="E3869:F3869"/>
    <mergeCell ref="E3870:F3870"/>
    <mergeCell ref="H3876:I3876"/>
    <mergeCell ref="E3879:F3879"/>
    <mergeCell ref="E3880:F3880"/>
    <mergeCell ref="E3881:F3881"/>
    <mergeCell ref="H3884:I3884"/>
    <mergeCell ref="E3890:F3890"/>
    <mergeCell ref="E3891:F3891"/>
    <mergeCell ref="H3893:I3893"/>
    <mergeCell ref="E3850:F3850"/>
    <mergeCell ref="E3851:F3851"/>
    <mergeCell ref="E3852:F3852"/>
    <mergeCell ref="E3860:F3860"/>
    <mergeCell ref="E3861:F3861"/>
    <mergeCell ref="E3878:F3878"/>
    <mergeCell ref="E3886:F3886"/>
    <mergeCell ref="E3874:F3874"/>
    <mergeCell ref="E3882:F3882"/>
    <mergeCell ref="E3873:F3873"/>
    <mergeCell ref="E3888:F3888"/>
    <mergeCell ref="E3853:F3853"/>
    <mergeCell ref="E3854:F3854"/>
    <mergeCell ref="E3862:F3862"/>
    <mergeCell ref="E3863:F3863"/>
    <mergeCell ref="H3902:I3902"/>
    <mergeCell ref="E3904:F3904"/>
    <mergeCell ref="H3911:I3911"/>
    <mergeCell ref="E3913:F3913"/>
    <mergeCell ref="E3914:F3914"/>
    <mergeCell ref="E3915:F3915"/>
    <mergeCell ref="H3920:I3920"/>
    <mergeCell ref="E3924:F3924"/>
    <mergeCell ref="E3925:F3925"/>
    <mergeCell ref="E3926:F3926"/>
    <mergeCell ref="H3929:I3929"/>
    <mergeCell ref="E3935:F3935"/>
    <mergeCell ref="E3936:F3936"/>
    <mergeCell ref="H3938:I3938"/>
    <mergeCell ref="E3946:F3946"/>
    <mergeCell ref="E3947:F3947"/>
    <mergeCell ref="H3949:I3949"/>
    <mergeCell ref="E3909:F3909"/>
    <mergeCell ref="E3905:F3905"/>
    <mergeCell ref="E3906:F3906"/>
    <mergeCell ref="E3916:F3916"/>
    <mergeCell ref="E3917:F3917"/>
    <mergeCell ref="E3923:F3923"/>
    <mergeCell ref="E3933:F3933"/>
    <mergeCell ref="E3934:F3934"/>
    <mergeCell ref="E3943:F3943"/>
    <mergeCell ref="E3944:F3944"/>
    <mergeCell ref="E3945:F3945"/>
    <mergeCell ref="E3918:F3918"/>
    <mergeCell ref="E3922:F3922"/>
    <mergeCell ref="E3932:F3932"/>
    <mergeCell ref="E3940:F3940"/>
    <mergeCell ref="H3960:I3960"/>
    <mergeCell ref="E3968:F3968"/>
    <mergeCell ref="E3969:F3969"/>
    <mergeCell ref="H3971:I3971"/>
    <mergeCell ref="E3977:F3977"/>
    <mergeCell ref="E3978:F3978"/>
    <mergeCell ref="E3979:F3979"/>
    <mergeCell ref="H3982:I3982"/>
    <mergeCell ref="E3984:F3984"/>
    <mergeCell ref="E3985:F3985"/>
    <mergeCell ref="E3986:F3986"/>
    <mergeCell ref="H3993:I3993"/>
    <mergeCell ref="E3996:F3996"/>
    <mergeCell ref="E3997:F3997"/>
    <mergeCell ref="E3998:F3998"/>
    <mergeCell ref="E3995:F3995"/>
    <mergeCell ref="E3976:F3976"/>
    <mergeCell ref="E3980:F3980"/>
    <mergeCell ref="E3987:F3987"/>
    <mergeCell ref="E3988:F3988"/>
    <mergeCell ref="E3989:F3989"/>
    <mergeCell ref="E3990:F3990"/>
    <mergeCell ref="E3991:F3991"/>
    <mergeCell ref="H4004:I4004"/>
    <mergeCell ref="E4008:F4008"/>
    <mergeCell ref="E4009:F4009"/>
    <mergeCell ref="E4010:F4010"/>
    <mergeCell ref="H4015:I4015"/>
    <mergeCell ref="E4020:F4020"/>
    <mergeCell ref="E4021:F4021"/>
    <mergeCell ref="E4022:F4022"/>
    <mergeCell ref="H4027:I4027"/>
    <mergeCell ref="E4031:F4031"/>
    <mergeCell ref="E4032:F4032"/>
    <mergeCell ref="E4033:F4033"/>
    <mergeCell ref="H4038:I4038"/>
    <mergeCell ref="E4042:F4042"/>
    <mergeCell ref="E4043:F4043"/>
    <mergeCell ref="E4044:F4044"/>
    <mergeCell ref="H4049:I4049"/>
    <mergeCell ref="E4045:F4045"/>
    <mergeCell ref="E4046:F4046"/>
    <mergeCell ref="E4047:F4047"/>
    <mergeCell ref="E4019:F4019"/>
    <mergeCell ref="E4025:F4025"/>
    <mergeCell ref="E4029:F4029"/>
    <mergeCell ref="E4041:F4041"/>
    <mergeCell ref="E4036:F4036"/>
    <mergeCell ref="E4040:F4040"/>
    <mergeCell ref="H4060:I4060"/>
    <mergeCell ref="E4069:F4069"/>
    <mergeCell ref="H4071:I4071"/>
    <mergeCell ref="E4080:F4080"/>
    <mergeCell ref="H4082:I4082"/>
    <mergeCell ref="E4091:F4091"/>
    <mergeCell ref="H4093:I4093"/>
    <mergeCell ref="E4113:F4113"/>
    <mergeCell ref="H4115:I4115"/>
    <mergeCell ref="E4123:F4123"/>
    <mergeCell ref="E4124:F4124"/>
    <mergeCell ref="H4126:I4126"/>
    <mergeCell ref="E4135:F4135"/>
    <mergeCell ref="H4137:I4137"/>
    <mergeCell ref="H4159:I4159"/>
    <mergeCell ref="E4162:F4162"/>
    <mergeCell ref="E4163:F4163"/>
    <mergeCell ref="H4148:I4148"/>
    <mergeCell ref="E4087:F4087"/>
    <mergeCell ref="E4088:F4088"/>
    <mergeCell ref="E4089:F4089"/>
    <mergeCell ref="E4090:F4090"/>
    <mergeCell ref="H4104:I4104"/>
    <mergeCell ref="E4151:F4151"/>
    <mergeCell ref="E4152:F4152"/>
    <mergeCell ref="E4153:F4153"/>
    <mergeCell ref="E4154:F4154"/>
    <mergeCell ref="E4161:F4161"/>
    <mergeCell ref="E4099:F4099"/>
    <mergeCell ref="E4100:F4100"/>
    <mergeCell ref="E4101:F4101"/>
    <mergeCell ref="E4102:F4102"/>
    <mergeCell ref="H4170:I4170"/>
    <mergeCell ref="E4172:F4172"/>
    <mergeCell ref="E4173:F4173"/>
    <mergeCell ref="H4181:I4181"/>
    <mergeCell ref="E4183:F4183"/>
    <mergeCell ref="E4184:F4184"/>
    <mergeCell ref="E4191:F4191"/>
    <mergeCell ref="H4193:I4193"/>
    <mergeCell ref="E4200:F4200"/>
    <mergeCell ref="E4201:F4201"/>
    <mergeCell ref="E4202:F4202"/>
    <mergeCell ref="H4204:I4204"/>
    <mergeCell ref="E4209:F4209"/>
    <mergeCell ref="E4210:F4210"/>
    <mergeCell ref="E4211:F4211"/>
    <mergeCell ref="H4215:I4215"/>
    <mergeCell ref="E4218:F4218"/>
    <mergeCell ref="E4188:F4188"/>
    <mergeCell ref="E4189:F4189"/>
    <mergeCell ref="E4190:F4190"/>
    <mergeCell ref="E4197:F4197"/>
    <mergeCell ref="E4198:F4198"/>
    <mergeCell ref="E4199:F4199"/>
    <mergeCell ref="E4207:F4207"/>
    <mergeCell ref="E4208:F4208"/>
    <mergeCell ref="E4217:F4217"/>
    <mergeCell ref="E4185:F4185"/>
    <mergeCell ref="E4178:F4178"/>
    <mergeCell ref="E4179:F4179"/>
    <mergeCell ref="E4175:F4175"/>
    <mergeCell ref="E4176:F4176"/>
    <mergeCell ref="E4177:F4177"/>
    <mergeCell ref="H4226:I4226"/>
    <mergeCell ref="E4228:F4228"/>
    <mergeCell ref="E4229:F4229"/>
    <mergeCell ref="E4245:F4245"/>
    <mergeCell ref="E4246:F4246"/>
    <mergeCell ref="H4248:I4248"/>
    <mergeCell ref="E4254:F4254"/>
    <mergeCell ref="E4255:F4255"/>
    <mergeCell ref="E4256:F4256"/>
    <mergeCell ref="H4259:I4259"/>
    <mergeCell ref="E4262:F4262"/>
    <mergeCell ref="E4263:F4263"/>
    <mergeCell ref="E4264:F4264"/>
    <mergeCell ref="H4268:I4268"/>
    <mergeCell ref="E4273:F4273"/>
    <mergeCell ref="E4257:F4257"/>
    <mergeCell ref="E4270:F4270"/>
    <mergeCell ref="E4261:F4261"/>
    <mergeCell ref="E4265:F4265"/>
    <mergeCell ref="E4266:F4266"/>
    <mergeCell ref="E4271:F4271"/>
    <mergeCell ref="E4243:F4243"/>
    <mergeCell ref="E4244:F4244"/>
    <mergeCell ref="E4251:F4251"/>
    <mergeCell ref="E4252:F4252"/>
    <mergeCell ref="E4253:F4253"/>
    <mergeCell ref="E4230:F4230"/>
    <mergeCell ref="H4237:I4237"/>
    <mergeCell ref="H4275:I4275"/>
    <mergeCell ref="E4284:F4284"/>
    <mergeCell ref="E4285:F4285"/>
    <mergeCell ref="H4287:I4287"/>
    <mergeCell ref="E4294:F4294"/>
    <mergeCell ref="E4295:F4295"/>
    <mergeCell ref="E4296:F4296"/>
    <mergeCell ref="H4299:I4299"/>
    <mergeCell ref="E4307:F4307"/>
    <mergeCell ref="E4308:F4308"/>
    <mergeCell ref="E4309:F4309"/>
    <mergeCell ref="H4311:I4311"/>
    <mergeCell ref="E4320:F4320"/>
    <mergeCell ref="H4322:I4322"/>
    <mergeCell ref="E4331:F4331"/>
    <mergeCell ref="H4333:I4333"/>
    <mergeCell ref="H4341:I4341"/>
    <mergeCell ref="E4328:F4328"/>
    <mergeCell ref="E4289:F4289"/>
    <mergeCell ref="E4290:F4290"/>
    <mergeCell ref="E4291:F4291"/>
    <mergeCell ref="E4305:F4305"/>
    <mergeCell ref="E4306:F4306"/>
    <mergeCell ref="E4314:F4314"/>
    <mergeCell ref="E4324:F4324"/>
    <mergeCell ref="E4325:F4325"/>
    <mergeCell ref="E4326:F4326"/>
    <mergeCell ref="E4327:F4327"/>
    <mergeCell ref="E4313:F4313"/>
    <mergeCell ref="E4329:F4329"/>
    <mergeCell ref="E4330:F4330"/>
    <mergeCell ref="E4339:F4339"/>
    <mergeCell ref="H4349:I4349"/>
    <mergeCell ref="E4351:F4351"/>
    <mergeCell ref="E4352:F4352"/>
    <mergeCell ref="H4360:I4360"/>
    <mergeCell ref="E4362:F4362"/>
    <mergeCell ref="E4369:F4369"/>
    <mergeCell ref="H4371:I4371"/>
    <mergeCell ref="E4378:F4378"/>
    <mergeCell ref="E4379:F4379"/>
    <mergeCell ref="E4380:F4380"/>
    <mergeCell ref="H4382:I4382"/>
    <mergeCell ref="E4387:F4387"/>
    <mergeCell ref="E4388:F4388"/>
    <mergeCell ref="E4389:F4389"/>
    <mergeCell ref="H4394:I4394"/>
    <mergeCell ref="H4404:I4404"/>
    <mergeCell ref="E4412:F4412"/>
    <mergeCell ref="E4367:F4367"/>
    <mergeCell ref="E4368:F4368"/>
    <mergeCell ref="E4373:F4373"/>
    <mergeCell ref="E4374:F4374"/>
    <mergeCell ref="E4375:F4375"/>
    <mergeCell ref="E4376:F4376"/>
    <mergeCell ref="E4377:F4377"/>
    <mergeCell ref="E4384:F4384"/>
    <mergeCell ref="E4385:F4385"/>
    <mergeCell ref="E4386:F4386"/>
    <mergeCell ref="E4390:F4390"/>
    <mergeCell ref="E4391:F4391"/>
    <mergeCell ref="E4399:F4399"/>
    <mergeCell ref="E4400:F4400"/>
    <mergeCell ref="E4392:F4392"/>
    <mergeCell ref="H4414:I4414"/>
    <mergeCell ref="E4422:F4422"/>
    <mergeCell ref="E4423:F4423"/>
    <mergeCell ref="E4424:F4424"/>
    <mergeCell ref="H4426:I4426"/>
    <mergeCell ref="E4432:F4432"/>
    <mergeCell ref="E4433:F4433"/>
    <mergeCell ref="E4434:F4434"/>
    <mergeCell ref="H4438:I4438"/>
    <mergeCell ref="E4443:F4443"/>
    <mergeCell ref="E4444:F4444"/>
    <mergeCell ref="E4445:F4445"/>
    <mergeCell ref="H4453:I4453"/>
    <mergeCell ref="E4455:F4455"/>
    <mergeCell ref="H4462:I4462"/>
    <mergeCell ref="E4411:F4411"/>
    <mergeCell ref="E4421:F4421"/>
    <mergeCell ref="E4431:F4431"/>
    <mergeCell ref="E4441:F4441"/>
    <mergeCell ref="E4442:F4442"/>
    <mergeCell ref="E4451:F4451"/>
    <mergeCell ref="E4418:F4418"/>
    <mergeCell ref="E4419:F4419"/>
    <mergeCell ref="E4420:F4420"/>
    <mergeCell ref="E4428:F4428"/>
    <mergeCell ref="E4429:F4429"/>
    <mergeCell ref="E4430:F4430"/>
    <mergeCell ref="E4435:F4435"/>
    <mergeCell ref="E4436:F4436"/>
    <mergeCell ref="E4440:F4440"/>
    <mergeCell ref="E4417:F4417"/>
    <mergeCell ref="H4518:I4518"/>
    <mergeCell ref="E4520:F4520"/>
    <mergeCell ref="H4527:I4527"/>
    <mergeCell ref="E4530:F4530"/>
    <mergeCell ref="E4531:F4531"/>
    <mergeCell ref="E4532:F4532"/>
    <mergeCell ref="H4536:I4536"/>
    <mergeCell ref="E4541:F4541"/>
    <mergeCell ref="E4542:F4542"/>
    <mergeCell ref="E4534:F4534"/>
    <mergeCell ref="E4505:F4505"/>
    <mergeCell ref="E4513:F4513"/>
    <mergeCell ref="E4514:F4514"/>
    <mergeCell ref="E4515:F4515"/>
    <mergeCell ref="E4516:F4516"/>
    <mergeCell ref="E4523:F4523"/>
    <mergeCell ref="E4524:F4524"/>
    <mergeCell ref="E4525:F4525"/>
    <mergeCell ref="E4529:F4529"/>
    <mergeCell ref="E4521:F4521"/>
    <mergeCell ref="E4522:F4522"/>
    <mergeCell ref="E4512:F4512"/>
    <mergeCell ref="H4575:I4575"/>
    <mergeCell ref="E4595:F4595"/>
    <mergeCell ref="E4596:F4596"/>
    <mergeCell ref="H4598:I4598"/>
    <mergeCell ref="E4606:F4606"/>
    <mergeCell ref="E4607:F4607"/>
    <mergeCell ref="E4608:F4608"/>
    <mergeCell ref="H4611:I4611"/>
    <mergeCell ref="E4618:F4618"/>
    <mergeCell ref="E4619:F4619"/>
    <mergeCell ref="E4620:F4620"/>
    <mergeCell ref="H4622:I4622"/>
    <mergeCell ref="E4630:F4630"/>
    <mergeCell ref="E4631:F4631"/>
    <mergeCell ref="H4633:I4633"/>
    <mergeCell ref="H4641:I4641"/>
    <mergeCell ref="E4603:F4603"/>
    <mergeCell ref="E4604:F4604"/>
    <mergeCell ref="E4605:F4605"/>
    <mergeCell ref="E4593:F4593"/>
    <mergeCell ref="E4594:F4594"/>
    <mergeCell ref="E4590:F4590"/>
    <mergeCell ref="E4591:F4591"/>
    <mergeCell ref="E4638:F4638"/>
    <mergeCell ref="E4639:F4639"/>
    <mergeCell ref="E4609:F4609"/>
    <mergeCell ref="E4600:F4600"/>
    <mergeCell ref="E4601:F4601"/>
    <mergeCell ref="E4592:F4592"/>
    <mergeCell ref="E4613:F4613"/>
    <mergeCell ref="H4585:I4585"/>
    <mergeCell ref="E4626:F4626"/>
    <mergeCell ref="H4651:I4651"/>
    <mergeCell ref="E4654:F4654"/>
    <mergeCell ref="E4655:F4655"/>
    <mergeCell ref="E4656:F4656"/>
    <mergeCell ref="H4660:I4660"/>
    <mergeCell ref="E4663:F4663"/>
    <mergeCell ref="E4664:F4664"/>
    <mergeCell ref="E4665:F4665"/>
    <mergeCell ref="H4669:I4669"/>
    <mergeCell ref="E4672:F4672"/>
    <mergeCell ref="E4673:F4673"/>
    <mergeCell ref="E4674:F4674"/>
    <mergeCell ref="H4678:I4678"/>
    <mergeCell ref="E4681:F4681"/>
    <mergeCell ref="E4682:F4682"/>
    <mergeCell ref="E4683:F4683"/>
    <mergeCell ref="H4687:I4687"/>
    <mergeCell ref="E4685:F4685"/>
    <mergeCell ref="E4684:F4684"/>
    <mergeCell ref="H4713:I4713"/>
    <mergeCell ref="E4718:F4718"/>
    <mergeCell ref="E4719:F4719"/>
    <mergeCell ref="E4720:F4720"/>
    <mergeCell ref="H4723:I4723"/>
    <mergeCell ref="E4727:F4727"/>
    <mergeCell ref="E4728:F4728"/>
    <mergeCell ref="E4729:F4729"/>
    <mergeCell ref="H4734:I4734"/>
    <mergeCell ref="E4739:F4739"/>
    <mergeCell ref="E4740:F4740"/>
    <mergeCell ref="E4741:F4741"/>
    <mergeCell ref="H4744:I4744"/>
    <mergeCell ref="E4751:F4751"/>
    <mergeCell ref="E4715:F4715"/>
    <mergeCell ref="E4716:F4716"/>
    <mergeCell ref="E4717:F4717"/>
    <mergeCell ref="E4725:F4725"/>
    <mergeCell ref="E4726:F4726"/>
    <mergeCell ref="E4736:F4736"/>
    <mergeCell ref="E4737:F4737"/>
    <mergeCell ref="E4721:F4721"/>
    <mergeCell ref="E4730:F4730"/>
    <mergeCell ref="E4731:F4731"/>
    <mergeCell ref="E4732:F4732"/>
    <mergeCell ref="E4738:F4738"/>
    <mergeCell ref="E4742:F4742"/>
    <mergeCell ref="E4819:F4819"/>
    <mergeCell ref="H4821:I4821"/>
    <mergeCell ref="E4829:F4829"/>
    <mergeCell ref="H4832:I4832"/>
    <mergeCell ref="E4837:F4837"/>
    <mergeCell ref="E4838:F4838"/>
    <mergeCell ref="E4839:F4839"/>
    <mergeCell ref="H4842:I4842"/>
    <mergeCell ref="E4847:F4847"/>
    <mergeCell ref="E4848:F4848"/>
    <mergeCell ref="E4849:F4849"/>
    <mergeCell ref="H4853:I4853"/>
    <mergeCell ref="E4856:F4856"/>
    <mergeCell ref="E4857:F4857"/>
    <mergeCell ref="E4858:F4858"/>
    <mergeCell ref="H4864:I4864"/>
    <mergeCell ref="E4866:F4866"/>
    <mergeCell ref="E4845:F4845"/>
    <mergeCell ref="E4846:F4846"/>
    <mergeCell ref="E4823:F4823"/>
    <mergeCell ref="E4824:F4824"/>
    <mergeCell ref="E4825:F4825"/>
    <mergeCell ref="E4830:F4830"/>
    <mergeCell ref="E4834:F4834"/>
    <mergeCell ref="E4840:F4840"/>
    <mergeCell ref="E4850:F4850"/>
    <mergeCell ref="E4851:F4851"/>
    <mergeCell ref="E4827:F4827"/>
    <mergeCell ref="E4828:F4828"/>
    <mergeCell ref="E4859:F4859"/>
    <mergeCell ref="H4933:I4933"/>
    <mergeCell ref="E4937:F4937"/>
    <mergeCell ref="E4938:F4938"/>
    <mergeCell ref="E4939:F4939"/>
    <mergeCell ref="E4951:F4951"/>
    <mergeCell ref="E4952:F4952"/>
    <mergeCell ref="H4954:I4954"/>
    <mergeCell ref="E4960:F4960"/>
    <mergeCell ref="E4961:F4961"/>
    <mergeCell ref="H4963:I4963"/>
    <mergeCell ref="H4972:I4972"/>
    <mergeCell ref="E4974:F4974"/>
    <mergeCell ref="E4975:F4975"/>
    <mergeCell ref="H4981:I4981"/>
    <mergeCell ref="H4945:I4945"/>
    <mergeCell ref="E4970:F4970"/>
    <mergeCell ref="E4976:F4976"/>
    <mergeCell ref="E4940:F4940"/>
    <mergeCell ref="E4941:F4941"/>
    <mergeCell ref="H4990:I4990"/>
    <mergeCell ref="E4992:F4992"/>
    <mergeCell ref="E4993:F4993"/>
    <mergeCell ref="E4994:F4994"/>
    <mergeCell ref="H4998:I4998"/>
    <mergeCell ref="E5003:F5003"/>
    <mergeCell ref="E5004:F5004"/>
    <mergeCell ref="E5005:F5005"/>
    <mergeCell ref="H5009:I5009"/>
    <mergeCell ref="E5014:F5014"/>
    <mergeCell ref="E5015:F5015"/>
    <mergeCell ref="E5016:F5016"/>
    <mergeCell ref="H5018:I5018"/>
    <mergeCell ref="E5025:F5025"/>
    <mergeCell ref="E5026:F5026"/>
    <mergeCell ref="E5027:F5027"/>
    <mergeCell ref="E4988:F4988"/>
    <mergeCell ref="E5012:F5012"/>
    <mergeCell ref="E5013:F5013"/>
    <mergeCell ref="E5000:F5000"/>
    <mergeCell ref="E5001:F5001"/>
    <mergeCell ref="E5002:F5002"/>
    <mergeCell ref="E5020:F5020"/>
    <mergeCell ref="E5021:F5021"/>
    <mergeCell ref="E5022:F5022"/>
    <mergeCell ref="E5023:F5023"/>
    <mergeCell ref="E5024:F5024"/>
    <mergeCell ref="H5042:I5042"/>
    <mergeCell ref="E5047:F5047"/>
    <mergeCell ref="E5048:F5048"/>
    <mergeCell ref="H5050:I5050"/>
    <mergeCell ref="E5058:F5058"/>
    <mergeCell ref="E5059:F5059"/>
    <mergeCell ref="H5061:I5061"/>
    <mergeCell ref="E5069:F5069"/>
    <mergeCell ref="E5070:F5070"/>
    <mergeCell ref="H5072:I5072"/>
    <mergeCell ref="H5080:I5080"/>
    <mergeCell ref="E5082:F5082"/>
    <mergeCell ref="H5088:I5088"/>
    <mergeCell ref="E5092:F5092"/>
    <mergeCell ref="E5078:F5078"/>
    <mergeCell ref="E5086:F5086"/>
    <mergeCell ref="E5090:F5090"/>
    <mergeCell ref="E5044:F5044"/>
    <mergeCell ref="E5045:F5045"/>
    <mergeCell ref="E5046:F5046"/>
    <mergeCell ref="E5053:F5053"/>
    <mergeCell ref="E5054:F5054"/>
    <mergeCell ref="E5055:F5055"/>
    <mergeCell ref="E5056:F5056"/>
    <mergeCell ref="E5063:F5063"/>
    <mergeCell ref="E5064:F5064"/>
    <mergeCell ref="E5065:F5065"/>
    <mergeCell ref="E5066:F5066"/>
    <mergeCell ref="E5074:F5074"/>
    <mergeCell ref="E5075:F5075"/>
    <mergeCell ref="E5076:F5076"/>
    <mergeCell ref="E5083:F5083"/>
    <mergeCell ref="H5165:I5165"/>
    <mergeCell ref="H5174:I5174"/>
    <mergeCell ref="E5176:F5176"/>
    <mergeCell ref="H5183:I5183"/>
    <mergeCell ref="E5185:F5185"/>
    <mergeCell ref="E5186:F5186"/>
    <mergeCell ref="E5187:F5187"/>
    <mergeCell ref="H5197:I5197"/>
    <mergeCell ref="E5199:F5199"/>
    <mergeCell ref="E5208:F5208"/>
    <mergeCell ref="E5209:F5209"/>
    <mergeCell ref="H5156:I5156"/>
    <mergeCell ref="H5211:I5211"/>
    <mergeCell ref="H5219:I5219"/>
    <mergeCell ref="E5221:F5221"/>
    <mergeCell ref="E5222:F5222"/>
    <mergeCell ref="E5179:F5179"/>
    <mergeCell ref="E5180:F5180"/>
    <mergeCell ref="E5188:F5188"/>
    <mergeCell ref="E5189:F5189"/>
    <mergeCell ref="E5195:F5195"/>
    <mergeCell ref="E5206:F5206"/>
    <mergeCell ref="E5207:F5207"/>
    <mergeCell ref="E5213:F5213"/>
    <mergeCell ref="E5214:F5214"/>
    <mergeCell ref="E5217:F5217"/>
    <mergeCell ref="E5194:F5194"/>
    <mergeCell ref="E5200:F5200"/>
    <mergeCell ref="E5201:F5201"/>
    <mergeCell ref="E5202:F5202"/>
    <mergeCell ref="E5203:F5203"/>
    <mergeCell ref="E5223:F5223"/>
    <mergeCell ref="H5235:I5235"/>
    <mergeCell ref="E5237:F5237"/>
    <mergeCell ref="E5238:F5238"/>
    <mergeCell ref="H5242:I5242"/>
    <mergeCell ref="E5244:F5244"/>
    <mergeCell ref="H5251:I5251"/>
    <mergeCell ref="E5256:F5256"/>
    <mergeCell ref="E5257:F5257"/>
    <mergeCell ref="E5258:F5258"/>
    <mergeCell ref="H5264:I5264"/>
    <mergeCell ref="H5272:I5272"/>
    <mergeCell ref="H5283:I5283"/>
    <mergeCell ref="H5294:I5294"/>
    <mergeCell ref="H5305:I5305"/>
    <mergeCell ref="E5307:F5307"/>
    <mergeCell ref="H5316:I5316"/>
    <mergeCell ref="E5314:F5314"/>
    <mergeCell ref="E5296:F5296"/>
    <mergeCell ref="E5297:F5297"/>
    <mergeCell ref="E5302:F5302"/>
    <mergeCell ref="E5303:F5303"/>
    <mergeCell ref="E5308:F5308"/>
    <mergeCell ref="E5309:F5309"/>
    <mergeCell ref="E5310:F5310"/>
    <mergeCell ref="E5311:F5311"/>
    <mergeCell ref="E5312:F5312"/>
    <mergeCell ref="E5313:F5313"/>
    <mergeCell ref="H5228:I5228"/>
    <mergeCell ref="E5230:F5230"/>
    <mergeCell ref="E5231:F5231"/>
    <mergeCell ref="E5224:F5224"/>
    <mergeCell ref="E5374:F5374"/>
    <mergeCell ref="E5375:F5375"/>
    <mergeCell ref="E5343:F5343"/>
    <mergeCell ref="E5344:F5344"/>
    <mergeCell ref="E5345:F5345"/>
    <mergeCell ref="E5346:F5346"/>
    <mergeCell ref="E5352:F5352"/>
    <mergeCell ref="E5353:F5353"/>
    <mergeCell ref="E5354:F5354"/>
    <mergeCell ref="E5355:F5355"/>
    <mergeCell ref="E5362:F5362"/>
    <mergeCell ref="E5363:F5363"/>
    <mergeCell ref="E5364:F5364"/>
    <mergeCell ref="E5369:F5369"/>
    <mergeCell ref="E5331:F5331"/>
    <mergeCell ref="E5332:F5332"/>
    <mergeCell ref="E5333:F5333"/>
    <mergeCell ref="E5340:F5340"/>
    <mergeCell ref="E5341:F5341"/>
    <mergeCell ref="E5342:F5342"/>
    <mergeCell ref="E5351:F5351"/>
    <mergeCell ref="E5356:F5356"/>
    <mergeCell ref="E5368:F5368"/>
    <mergeCell ref="E5428:F5428"/>
    <mergeCell ref="H5430:I5430"/>
    <mergeCell ref="E5435:F5435"/>
    <mergeCell ref="E5436:F5436"/>
    <mergeCell ref="E5437:F5437"/>
    <mergeCell ref="H5442:I5442"/>
    <mergeCell ref="E5447:F5447"/>
    <mergeCell ref="E5448:F5448"/>
    <mergeCell ref="E5449:F5449"/>
    <mergeCell ref="H5453:I5453"/>
    <mergeCell ref="E5455:F5455"/>
    <mergeCell ref="E5415:F5415"/>
    <mergeCell ref="E5416:F5416"/>
    <mergeCell ref="E5417:F5417"/>
    <mergeCell ref="E5424:F5424"/>
    <mergeCell ref="E5425:F5425"/>
    <mergeCell ref="E5426:F5426"/>
    <mergeCell ref="E5427:F5427"/>
    <mergeCell ref="E5433:F5433"/>
    <mergeCell ref="E5434:F5434"/>
    <mergeCell ref="E5444:F5444"/>
    <mergeCell ref="E5432:F5432"/>
    <mergeCell ref="E5438:F5438"/>
    <mergeCell ref="E5439:F5439"/>
    <mergeCell ref="E5422:F5422"/>
    <mergeCell ref="E5423:F5423"/>
    <mergeCell ref="E5450:F5450"/>
    <mergeCell ref="H5476:I5476"/>
    <mergeCell ref="E5478:F5478"/>
    <mergeCell ref="E5484:F5484"/>
    <mergeCell ref="E5485:F5485"/>
    <mergeCell ref="E5486:F5486"/>
    <mergeCell ref="H5488:I5488"/>
    <mergeCell ref="E5493:F5493"/>
    <mergeCell ref="E5494:F5494"/>
    <mergeCell ref="E5495:F5495"/>
    <mergeCell ref="H5499:I5499"/>
    <mergeCell ref="E5503:F5503"/>
    <mergeCell ref="E5504:F5504"/>
    <mergeCell ref="E5505:F5505"/>
    <mergeCell ref="H5512:I5512"/>
    <mergeCell ref="E5514:F5514"/>
    <mergeCell ref="E5515:F5515"/>
    <mergeCell ref="E5516:F5516"/>
    <mergeCell ref="E5481:F5481"/>
    <mergeCell ref="E5482:F5482"/>
    <mergeCell ref="E5483:F5483"/>
    <mergeCell ref="E5496:F5496"/>
    <mergeCell ref="E5506:F5506"/>
    <mergeCell ref="E5507:F5507"/>
    <mergeCell ref="E5508:F5508"/>
    <mergeCell ref="E5490:F5490"/>
    <mergeCell ref="E5491:F5491"/>
    <mergeCell ref="E5492:F5492"/>
    <mergeCell ref="E5497:F5497"/>
    <mergeCell ref="E5501:F5501"/>
    <mergeCell ref="E5502:F5502"/>
    <mergeCell ref="E5509:F5509"/>
    <mergeCell ref="E5510:F5510"/>
    <mergeCell ref="H5518:I5518"/>
    <mergeCell ref="E5523:F5523"/>
    <mergeCell ref="E5524:F5524"/>
    <mergeCell ref="E5525:F5525"/>
    <mergeCell ref="H5527:I5527"/>
    <mergeCell ref="H5533:I5533"/>
    <mergeCell ref="E5535:F5535"/>
    <mergeCell ref="E5542:F5542"/>
    <mergeCell ref="E5543:F5543"/>
    <mergeCell ref="E5544:F5544"/>
    <mergeCell ref="H5547:I5547"/>
    <mergeCell ref="E5551:F5551"/>
    <mergeCell ref="E5552:F5552"/>
    <mergeCell ref="E5553:F5553"/>
    <mergeCell ref="E5560:F5560"/>
    <mergeCell ref="E5561:F5561"/>
    <mergeCell ref="E5562:F5562"/>
    <mergeCell ref="E5549:F5549"/>
    <mergeCell ref="E5550:F5550"/>
    <mergeCell ref="H5656:I5656"/>
    <mergeCell ref="E5658:F5658"/>
    <mergeCell ref="H5664:I5664"/>
    <mergeCell ref="E5666:F5666"/>
    <mergeCell ref="E5667:F5667"/>
    <mergeCell ref="H5676:I5676"/>
    <mergeCell ref="E5678:F5678"/>
    <mergeCell ref="E5679:F5679"/>
    <mergeCell ref="H5685:I5685"/>
    <mergeCell ref="E5687:F5687"/>
    <mergeCell ref="E5701:F5701"/>
    <mergeCell ref="H5703:I5703"/>
    <mergeCell ref="E5710:F5710"/>
    <mergeCell ref="E5711:F5711"/>
    <mergeCell ref="E5712:F5712"/>
    <mergeCell ref="H5648:I5648"/>
    <mergeCell ref="E5650:F5650"/>
    <mergeCell ref="E5651:F5651"/>
    <mergeCell ref="E5652:F5652"/>
    <mergeCell ref="E5653:F5653"/>
    <mergeCell ref="E5661:F5661"/>
    <mergeCell ref="E5662:F5662"/>
    <mergeCell ref="E5672:F5672"/>
    <mergeCell ref="E5673:F5673"/>
    <mergeCell ref="E5674:F5674"/>
    <mergeCell ref="E5683:F5683"/>
    <mergeCell ref="E5692:F5692"/>
    <mergeCell ref="E5698:F5698"/>
    <mergeCell ref="E5654:F5654"/>
    <mergeCell ref="E5659:F5659"/>
    <mergeCell ref="E5660:F5660"/>
    <mergeCell ref="E5668:F5668"/>
    <mergeCell ref="E5735:F5735"/>
    <mergeCell ref="E5736:F5736"/>
    <mergeCell ref="H5738:I5738"/>
    <mergeCell ref="E5742:F5742"/>
    <mergeCell ref="E5743:F5743"/>
    <mergeCell ref="E5744:F5744"/>
    <mergeCell ref="H5746:I5746"/>
    <mergeCell ref="E5751:F5751"/>
    <mergeCell ref="E5752:F5752"/>
    <mergeCell ref="E5753:F5753"/>
    <mergeCell ref="H5758:I5758"/>
    <mergeCell ref="E5760:F5760"/>
    <mergeCell ref="E5761:F5761"/>
    <mergeCell ref="H5767:I5767"/>
    <mergeCell ref="E5769:F5769"/>
    <mergeCell ref="E5770:F5770"/>
    <mergeCell ref="H5775:I5775"/>
    <mergeCell ref="E5771:F5771"/>
    <mergeCell ref="E5772:F5772"/>
    <mergeCell ref="E5773:F5773"/>
    <mergeCell ref="E5749:F5749"/>
    <mergeCell ref="H5805:I5805"/>
    <mergeCell ref="E5810:F5810"/>
    <mergeCell ref="E5811:F5811"/>
    <mergeCell ref="E5812:F5812"/>
    <mergeCell ref="H5814:I5814"/>
    <mergeCell ref="E5818:F5818"/>
    <mergeCell ref="E5819:F5819"/>
    <mergeCell ref="E5820:F5820"/>
    <mergeCell ref="H5824:I5824"/>
    <mergeCell ref="E5826:F5826"/>
    <mergeCell ref="E5827:F5827"/>
    <mergeCell ref="E5828:F5828"/>
    <mergeCell ref="H5833:I5833"/>
    <mergeCell ref="E5835:F5835"/>
    <mergeCell ref="E5836:F5836"/>
    <mergeCell ref="H5842:I5842"/>
    <mergeCell ref="E5844:F5844"/>
    <mergeCell ref="H5885:I5885"/>
    <mergeCell ref="E5887:F5887"/>
    <mergeCell ref="E5888:F5888"/>
    <mergeCell ref="H5893:I5893"/>
    <mergeCell ref="E5895:F5895"/>
    <mergeCell ref="E5933:F5933"/>
    <mergeCell ref="E5934:F5934"/>
    <mergeCell ref="E5935:F5935"/>
    <mergeCell ref="H5938:I5938"/>
    <mergeCell ref="E5941:F5941"/>
    <mergeCell ref="E5942:F5942"/>
    <mergeCell ref="E5943:F5943"/>
    <mergeCell ref="H5947:I5947"/>
    <mergeCell ref="E5949:F5949"/>
    <mergeCell ref="E5950:F5950"/>
    <mergeCell ref="E5951:F5951"/>
    <mergeCell ref="H5956:I5956"/>
    <mergeCell ref="E5913:F5913"/>
    <mergeCell ref="E5914:F5914"/>
    <mergeCell ref="E5925:F5925"/>
    <mergeCell ref="E5926:F5926"/>
    <mergeCell ref="E5931:F5931"/>
    <mergeCell ref="E5932:F5932"/>
    <mergeCell ref="E5915:F5915"/>
    <mergeCell ref="E5916:F5916"/>
    <mergeCell ref="E5917:F5917"/>
    <mergeCell ref="E5918:F5918"/>
    <mergeCell ref="E5927:F5927"/>
    <mergeCell ref="H5901:I5901"/>
    <mergeCell ref="H5909:I5909"/>
    <mergeCell ref="E5911:F5911"/>
    <mergeCell ref="E5912:F5912"/>
    <mergeCell ref="E6006:F6006"/>
    <mergeCell ref="E6007:F6007"/>
    <mergeCell ref="E6008:F6008"/>
    <mergeCell ref="E6013:F6013"/>
    <mergeCell ref="E6014:F6014"/>
    <mergeCell ref="E6015:F6015"/>
    <mergeCell ref="H6018:I6018"/>
    <mergeCell ref="E6020:F6020"/>
    <mergeCell ref="E6021:F6021"/>
    <mergeCell ref="E6022:F6022"/>
    <mergeCell ref="H6026:I6026"/>
    <mergeCell ref="E6028:F6028"/>
    <mergeCell ref="E6029:F6029"/>
    <mergeCell ref="E6003:F6003"/>
    <mergeCell ref="E6004:F6004"/>
    <mergeCell ref="E6005:F6005"/>
    <mergeCell ref="E6010:F6010"/>
    <mergeCell ref="E6011:F6011"/>
    <mergeCell ref="E6012:F6012"/>
    <mergeCell ref="E6023:F6023"/>
    <mergeCell ref="E6024:F6024"/>
    <mergeCell ref="H6033:I6033"/>
    <mergeCell ref="E6035:F6035"/>
    <mergeCell ref="E6036:F6036"/>
    <mergeCell ref="H6042:I6042"/>
    <mergeCell ref="E6044:F6044"/>
    <mergeCell ref="E6045:F6045"/>
    <mergeCell ref="H6050:I6050"/>
    <mergeCell ref="E6052:F6052"/>
    <mergeCell ref="E6053:F6053"/>
    <mergeCell ref="E6054:F6054"/>
    <mergeCell ref="H6059:I6059"/>
    <mergeCell ref="E6061:F6061"/>
    <mergeCell ref="E6062:F6062"/>
    <mergeCell ref="E6063:F6063"/>
    <mergeCell ref="H6068:I6068"/>
    <mergeCell ref="E6071:F6071"/>
    <mergeCell ref="E6072:F6072"/>
    <mergeCell ref="E6064:F6064"/>
    <mergeCell ref="E6065:F6065"/>
    <mergeCell ref="E6066:F6066"/>
    <mergeCell ref="E6055:F6055"/>
    <mergeCell ref="H6109:I6109"/>
    <mergeCell ref="E6114:F6114"/>
    <mergeCell ref="E6115:F6115"/>
    <mergeCell ref="H6117:I6117"/>
    <mergeCell ref="H6125:I6125"/>
    <mergeCell ref="E6127:F6127"/>
    <mergeCell ref="H6133:I6133"/>
    <mergeCell ref="E6138:F6138"/>
    <mergeCell ref="E6139:F6139"/>
    <mergeCell ref="H6141:I6141"/>
    <mergeCell ref="H6150:I6150"/>
    <mergeCell ref="E6152:F6152"/>
    <mergeCell ref="E6153:F6153"/>
    <mergeCell ref="E6113:F6113"/>
    <mergeCell ref="E6123:F6123"/>
    <mergeCell ref="E6128:F6128"/>
    <mergeCell ref="E6129:F6129"/>
    <mergeCell ref="E6130:F6130"/>
    <mergeCell ref="E6131:F6131"/>
    <mergeCell ref="E6135:F6135"/>
    <mergeCell ref="E6143:F6143"/>
    <mergeCell ref="E6145:F6145"/>
    <mergeCell ref="E6119:F6119"/>
    <mergeCell ref="E6120:F6120"/>
    <mergeCell ref="E6121:F6121"/>
    <mergeCell ref="E6122:F6122"/>
    <mergeCell ref="E6136:F6136"/>
    <mergeCell ref="E6137:F6137"/>
    <mergeCell ref="E6148:F6148"/>
    <mergeCell ref="H6177:I6177"/>
    <mergeCell ref="E6179:F6179"/>
    <mergeCell ref="E6180:F6180"/>
    <mergeCell ref="E6181:F6181"/>
    <mergeCell ref="E6182:F6182"/>
    <mergeCell ref="E6183:F6183"/>
    <mergeCell ref="H6185:I6185"/>
    <mergeCell ref="E6187:F6187"/>
    <mergeCell ref="E6188:F6188"/>
    <mergeCell ref="E6189:F6189"/>
    <mergeCell ref="E6190:F6190"/>
    <mergeCell ref="E6191:F6191"/>
    <mergeCell ref="H6193:I6193"/>
    <mergeCell ref="H6201:I6201"/>
    <mergeCell ref="E6204:F6204"/>
    <mergeCell ref="E6205:F6205"/>
    <mergeCell ref="E6206:F6206"/>
    <mergeCell ref="H6213:I6213"/>
    <mergeCell ref="E6215:F6215"/>
    <mergeCell ref="E6216:F6216"/>
    <mergeCell ref="E6217:F6217"/>
    <mergeCell ref="E6218:F6218"/>
    <mergeCell ref="E6219:F6219"/>
    <mergeCell ref="E6220:F6220"/>
    <mergeCell ref="E6221:F6221"/>
    <mergeCell ref="E6222:F6222"/>
    <mergeCell ref="H6224:I6224"/>
    <mergeCell ref="E6226:F6226"/>
    <mergeCell ref="E6209:F6209"/>
    <mergeCell ref="E6203:F6203"/>
    <mergeCell ref="E6207:F6207"/>
    <mergeCell ref="H6240:I6240"/>
    <mergeCell ref="E6244:F6244"/>
    <mergeCell ref="E6245:F6245"/>
    <mergeCell ref="H6248:I6248"/>
    <mergeCell ref="E6251:F6251"/>
    <mergeCell ref="E6252:F6252"/>
    <mergeCell ref="E6253:F6253"/>
    <mergeCell ref="H6257:I6257"/>
    <mergeCell ref="E6260:F6260"/>
    <mergeCell ref="E6261:F6261"/>
    <mergeCell ref="H6263:I6263"/>
    <mergeCell ref="E6266:F6266"/>
    <mergeCell ref="E6259:F6259"/>
    <mergeCell ref="E6250:F6250"/>
    <mergeCell ref="H6232:I6232"/>
    <mergeCell ref="E6234:F6234"/>
    <mergeCell ref="E6235:F6235"/>
    <mergeCell ref="E6236:F6236"/>
    <mergeCell ref="E6254:F6254"/>
    <mergeCell ref="E6255:F6255"/>
    <mergeCell ref="E6265:F6265"/>
    <mergeCell ref="H6269:I6269"/>
    <mergeCell ref="E6272:F6272"/>
    <mergeCell ref="E6273:F6273"/>
    <mergeCell ref="H6275:I6275"/>
    <mergeCell ref="E6278:F6278"/>
    <mergeCell ref="E6279:F6279"/>
    <mergeCell ref="H6281:I6281"/>
    <mergeCell ref="E6285:F6285"/>
    <mergeCell ref="E6286:F6286"/>
    <mergeCell ref="H6288:I6288"/>
    <mergeCell ref="E6294:F6294"/>
    <mergeCell ref="E6295:F6295"/>
    <mergeCell ref="H6297:I6297"/>
    <mergeCell ref="H6311:I6311"/>
    <mergeCell ref="E6314:F6314"/>
    <mergeCell ref="E6315:F6315"/>
    <mergeCell ref="E6313:F6313"/>
    <mergeCell ref="E6277:F6277"/>
    <mergeCell ref="E6284:F6284"/>
    <mergeCell ref="E6290:F6290"/>
    <mergeCell ref="E6291:F6291"/>
    <mergeCell ref="E6293:F6293"/>
    <mergeCell ref="H6304:I6304"/>
    <mergeCell ref="E6283:F6283"/>
    <mergeCell ref="E6292:F6292"/>
    <mergeCell ref="E6299:F6299"/>
    <mergeCell ref="E6300:F6300"/>
    <mergeCell ref="E6301:F6301"/>
    <mergeCell ref="E6306:F6306"/>
    <mergeCell ref="E6307:F6307"/>
    <mergeCell ref="D6504:D6505"/>
    <mergeCell ref="G6504:H6504"/>
    <mergeCell ref="I6504:I6505"/>
    <mergeCell ref="E6374:F6374"/>
    <mergeCell ref="E6375:F6375"/>
    <mergeCell ref="H6377:I6377"/>
    <mergeCell ref="E6379:F6379"/>
    <mergeCell ref="E6380:F6380"/>
    <mergeCell ref="E6381:F6381"/>
    <mergeCell ref="E6382:F6382"/>
    <mergeCell ref="H6384:I6384"/>
    <mergeCell ref="E6391:F6391"/>
    <mergeCell ref="E6392:F6392"/>
    <mergeCell ref="H6394:I6394"/>
    <mergeCell ref="E6404:F6404"/>
    <mergeCell ref="H6406:I6406"/>
    <mergeCell ref="E6409:F6409"/>
    <mergeCell ref="E6410:F6410"/>
    <mergeCell ref="E6411:F6411"/>
    <mergeCell ref="E6412:F6412"/>
    <mergeCell ref="E6387:F6387"/>
    <mergeCell ref="E6396:F6396"/>
    <mergeCell ref="E6388:F6388"/>
    <mergeCell ref="E6389:F6389"/>
    <mergeCell ref="E6390:F6390"/>
    <mergeCell ref="E6397:F6397"/>
    <mergeCell ref="E6398:F6398"/>
    <mergeCell ref="E6399:F6399"/>
    <mergeCell ref="E6386:F6386"/>
    <mergeCell ref="E6465:F6465"/>
    <mergeCell ref="E6466:F6466"/>
    <mergeCell ref="E6485:F6485"/>
    <mergeCell ref="J6504:J6505"/>
    <mergeCell ref="E6442:F6442"/>
    <mergeCell ref="E6443:F6443"/>
    <mergeCell ref="E6444:F6444"/>
    <mergeCell ref="E6445:F6445"/>
    <mergeCell ref="E6446:F6446"/>
    <mergeCell ref="E6447:F6447"/>
    <mergeCell ref="E6448:F6448"/>
    <mergeCell ref="E6495:F6495"/>
    <mergeCell ref="E6496:F6496"/>
    <mergeCell ref="E6497:F6497"/>
    <mergeCell ref="E6504:F6504"/>
    <mergeCell ref="H6450:I6450"/>
    <mergeCell ref="E6498:F6498"/>
    <mergeCell ref="E6458:F6458"/>
    <mergeCell ref="E6459:F6459"/>
    <mergeCell ref="E6454:F6454"/>
    <mergeCell ref="E6455:F6455"/>
    <mergeCell ref="E6467:F6467"/>
    <mergeCell ref="E6468:F6468"/>
    <mergeCell ref="E6479:F6479"/>
    <mergeCell ref="E6480:F6480"/>
    <mergeCell ref="J6544:J6545"/>
    <mergeCell ref="A6546:E6546"/>
    <mergeCell ref="F6546:I6546"/>
    <mergeCell ref="F6547:I6547"/>
    <mergeCell ref="H6461:I6461"/>
    <mergeCell ref="E6463:F6463"/>
    <mergeCell ref="E6464:F6464"/>
    <mergeCell ref="H6474:I6474"/>
    <mergeCell ref="E6476:F6476"/>
    <mergeCell ref="E6477:F6477"/>
    <mergeCell ref="H6487:I6487"/>
    <mergeCell ref="E6489:F6489"/>
    <mergeCell ref="E6490:F6490"/>
    <mergeCell ref="H6500:I6500"/>
    <mergeCell ref="E6502:F6502"/>
    <mergeCell ref="E6503:F6503"/>
    <mergeCell ref="A6504:A6505"/>
    <mergeCell ref="B6504:B6505"/>
    <mergeCell ref="C6504:C6505"/>
    <mergeCell ref="E6481:F6481"/>
    <mergeCell ref="E6482:F6482"/>
    <mergeCell ref="E6483:F6483"/>
    <mergeCell ref="E6484:F6484"/>
    <mergeCell ref="E6491:F6491"/>
    <mergeCell ref="E6492:F6492"/>
    <mergeCell ref="E6493:F6493"/>
    <mergeCell ref="E6494:F6494"/>
    <mergeCell ref="E6469:F6469"/>
    <mergeCell ref="E6470:F6470"/>
    <mergeCell ref="E6471:F6471"/>
    <mergeCell ref="E6472:F6472"/>
    <mergeCell ref="E6478:F6478"/>
    <mergeCell ref="A6550:E6550"/>
    <mergeCell ref="F6550:I6550"/>
    <mergeCell ref="A6551:E6551"/>
    <mergeCell ref="F6551:I6551"/>
    <mergeCell ref="A6552:E6552"/>
    <mergeCell ref="F6552:I6552"/>
    <mergeCell ref="A6558:E6558"/>
    <mergeCell ref="F6558:I6558"/>
    <mergeCell ref="A6563:E6563"/>
    <mergeCell ref="F6563:I6563"/>
    <mergeCell ref="A6565:E6565"/>
    <mergeCell ref="F6565:I6565"/>
    <mergeCell ref="H6602:I6602"/>
    <mergeCell ref="E6605:F6605"/>
    <mergeCell ref="E6606:F6606"/>
    <mergeCell ref="H6608:I6608"/>
    <mergeCell ref="E6611:F6611"/>
    <mergeCell ref="E6612:F6612"/>
    <mergeCell ref="H6614:I6614"/>
    <mergeCell ref="E6617:F6617"/>
    <mergeCell ref="E6618:F6618"/>
    <mergeCell ref="E6619:F6619"/>
    <mergeCell ref="H6621:I6621"/>
    <mergeCell ref="E6624:F6624"/>
    <mergeCell ref="E6625:F6625"/>
    <mergeCell ref="H6650:I6650"/>
    <mergeCell ref="E6652:F6652"/>
    <mergeCell ref="E6653:F6653"/>
    <mergeCell ref="H6669:I6669"/>
    <mergeCell ref="E6671:F6671"/>
    <mergeCell ref="E6672:F6672"/>
    <mergeCell ref="H6677:I6677"/>
    <mergeCell ref="E6679:F6679"/>
    <mergeCell ref="E6680:F6680"/>
    <mergeCell ref="E6681:F6681"/>
    <mergeCell ref="H6699:I6699"/>
    <mergeCell ref="E6701:F6701"/>
    <mergeCell ref="E6702:F6702"/>
    <mergeCell ref="E6646:F6646"/>
    <mergeCell ref="E6647:F6647"/>
    <mergeCell ref="A6703:E6703"/>
    <mergeCell ref="F6703:I6703"/>
    <mergeCell ref="A6704:E6704"/>
    <mergeCell ref="F6704:I6704"/>
    <mergeCell ref="E6675:F6675"/>
    <mergeCell ref="E6684:F6684"/>
    <mergeCell ref="E6685:F6685"/>
    <mergeCell ref="E6682:F6682"/>
    <mergeCell ref="E6683:F6683"/>
    <mergeCell ref="E6691:F6691"/>
    <mergeCell ref="E6692:F6692"/>
    <mergeCell ref="E6697:F6697"/>
    <mergeCell ref="E6686:F6686"/>
    <mergeCell ref="E6687:F6687"/>
    <mergeCell ref="H6689:I6689"/>
    <mergeCell ref="E6693:F6693"/>
    <mergeCell ref="E6694:F6694"/>
    <mergeCell ref="E6695:F6695"/>
    <mergeCell ref="E6696:F6696"/>
    <mergeCell ref="E6723:F6723"/>
    <mergeCell ref="E6724:F6724"/>
    <mergeCell ref="H6729:I6729"/>
    <mergeCell ref="E6733:F6733"/>
    <mergeCell ref="E6734:F6734"/>
    <mergeCell ref="E6735:F6735"/>
    <mergeCell ref="H6738:I6738"/>
    <mergeCell ref="E6740:F6740"/>
    <mergeCell ref="E6741:F6741"/>
    <mergeCell ref="E6742:F6742"/>
    <mergeCell ref="E6747:F6747"/>
    <mergeCell ref="E6748:F6748"/>
    <mergeCell ref="E6749:F6749"/>
    <mergeCell ref="E6721:F6721"/>
    <mergeCell ref="E6725:F6725"/>
    <mergeCell ref="E6720:F6720"/>
    <mergeCell ref="E6736:F6736"/>
    <mergeCell ref="E6746:F6746"/>
    <mergeCell ref="E6743:F6743"/>
    <mergeCell ref="E6744:F6744"/>
    <mergeCell ref="E6745:F6745"/>
    <mergeCell ref="H6751:I6751"/>
    <mergeCell ref="E6754:F6754"/>
    <mergeCell ref="A6755:E6755"/>
    <mergeCell ref="F6755:I6755"/>
    <mergeCell ref="A6756:E6756"/>
    <mergeCell ref="F6756:I6756"/>
    <mergeCell ref="A6757:E6757"/>
    <mergeCell ref="F6757:I6757"/>
    <mergeCell ref="A6758:E6758"/>
    <mergeCell ref="F6758:I6758"/>
    <mergeCell ref="A6759:E6759"/>
    <mergeCell ref="F6759:I6759"/>
    <mergeCell ref="G6760:I6760"/>
    <mergeCell ref="G6761:I6761"/>
    <mergeCell ref="G6762:I6762"/>
    <mergeCell ref="A6763:E6763"/>
    <mergeCell ref="F6763:I6763"/>
    <mergeCell ref="E6753:F6753"/>
    <mergeCell ref="G6764:I6764"/>
    <mergeCell ref="G6765:I6765"/>
    <mergeCell ref="G6766:I6766"/>
    <mergeCell ref="G6767:I6767"/>
    <mergeCell ref="A6768:E6768"/>
    <mergeCell ref="F6768:I6768"/>
    <mergeCell ref="H6770:I6770"/>
    <mergeCell ref="E6776:F6776"/>
    <mergeCell ref="E6777:F6777"/>
    <mergeCell ref="E6778:F6778"/>
    <mergeCell ref="H6783:I6783"/>
    <mergeCell ref="E6787:F6787"/>
    <mergeCell ref="E6788:F6788"/>
    <mergeCell ref="E6789:F6789"/>
    <mergeCell ref="E6794:F6794"/>
    <mergeCell ref="H6796:I6796"/>
    <mergeCell ref="E6801:F6801"/>
    <mergeCell ref="E6780:F6780"/>
    <mergeCell ref="E6781:F6781"/>
    <mergeCell ref="E6772:F6772"/>
    <mergeCell ref="E6773:F6773"/>
    <mergeCell ref="E6774:F6774"/>
    <mergeCell ref="E6775:F6775"/>
    <mergeCell ref="E6831:F6831"/>
    <mergeCell ref="E6832:F6832"/>
    <mergeCell ref="H6835:I6835"/>
    <mergeCell ref="E6841:F6841"/>
    <mergeCell ref="E6842:F6842"/>
    <mergeCell ref="E6843:F6843"/>
    <mergeCell ref="H6848:I6848"/>
    <mergeCell ref="E6850:F6850"/>
    <mergeCell ref="E6855:F6855"/>
    <mergeCell ref="E6856:F6856"/>
    <mergeCell ref="E6857:F6857"/>
    <mergeCell ref="H6859:I6859"/>
    <mergeCell ref="E6862:F6862"/>
    <mergeCell ref="A6863:A6864"/>
    <mergeCell ref="B6863:B6864"/>
    <mergeCell ref="C6863:C6864"/>
    <mergeCell ref="D6863:D6864"/>
    <mergeCell ref="E6863:F6863"/>
    <mergeCell ref="G6863:H6863"/>
    <mergeCell ref="I6863:I6864"/>
    <mergeCell ref="J6863:J6864"/>
    <mergeCell ref="A6865:E6865"/>
    <mergeCell ref="F6865:I6865"/>
    <mergeCell ref="F6866:I6866"/>
    <mergeCell ref="A6867:E6867"/>
    <mergeCell ref="F6867:I6867"/>
    <mergeCell ref="A6868:E6868"/>
    <mergeCell ref="F6868:I6868"/>
    <mergeCell ref="A6869:E6869"/>
    <mergeCell ref="F6869:I6869"/>
    <mergeCell ref="A6870:E6870"/>
    <mergeCell ref="F6870:I6870"/>
    <mergeCell ref="A6874:E6874"/>
    <mergeCell ref="F6874:I6874"/>
    <mergeCell ref="A6878:E6878"/>
    <mergeCell ref="F6878:I6878"/>
    <mergeCell ref="A6880:E6880"/>
    <mergeCell ref="F6880:I6880"/>
    <mergeCell ref="H6882:I6882"/>
    <mergeCell ref="E6884:F6884"/>
    <mergeCell ref="E6885:F6885"/>
    <mergeCell ref="E6886:F6886"/>
    <mergeCell ref="H6890:I6890"/>
    <mergeCell ref="E6897:F6897"/>
    <mergeCell ref="E6898:F6898"/>
    <mergeCell ref="E6892:F6892"/>
    <mergeCell ref="E6893:F6893"/>
    <mergeCell ref="E6894:F6894"/>
    <mergeCell ref="E6895:F6895"/>
    <mergeCell ref="E6896:F6896"/>
    <mergeCell ref="H6946:I6946"/>
    <mergeCell ref="E6948:F6948"/>
    <mergeCell ref="E6949:F6949"/>
    <mergeCell ref="H6952:I6952"/>
    <mergeCell ref="E6954:F6954"/>
    <mergeCell ref="H6940:I6940"/>
    <mergeCell ref="E6933:F6933"/>
    <mergeCell ref="H6906:I6906"/>
    <mergeCell ref="E6908:F6908"/>
    <mergeCell ref="E6909:F6909"/>
    <mergeCell ref="E6910:F6910"/>
    <mergeCell ref="H6912:I6912"/>
    <mergeCell ref="E6914:F6914"/>
    <mergeCell ref="E6915:F6915"/>
    <mergeCell ref="E6916:F6916"/>
    <mergeCell ref="H6918:I6918"/>
    <mergeCell ref="E6920:F6920"/>
    <mergeCell ref="E6921:F6921"/>
    <mergeCell ref="E6922:F6922"/>
    <mergeCell ref="H6924:I6924"/>
    <mergeCell ref="H6958:I6958"/>
    <mergeCell ref="E6960:F6960"/>
    <mergeCell ref="E6961:F6961"/>
    <mergeCell ref="H6964:I6964"/>
    <mergeCell ref="E6966:F6966"/>
    <mergeCell ref="E6967:F6967"/>
    <mergeCell ref="H6971:I6971"/>
    <mergeCell ref="E6973:F6973"/>
    <mergeCell ref="H6980:I6980"/>
    <mergeCell ref="E6983:F6983"/>
    <mergeCell ref="E6984:F6984"/>
    <mergeCell ref="E6978:F6978"/>
    <mergeCell ref="E6982:F6982"/>
    <mergeCell ref="H6986:I6986"/>
    <mergeCell ref="H6992:I6992"/>
    <mergeCell ref="E6995:F6995"/>
    <mergeCell ref="E6996:F6996"/>
    <mergeCell ref="H6998:I6998"/>
    <mergeCell ref="H7004:I7004"/>
    <mergeCell ref="E7006:F7006"/>
    <mergeCell ref="E7032:F7032"/>
    <mergeCell ref="E7033:F7033"/>
    <mergeCell ref="H7035:I7035"/>
    <mergeCell ref="E7041:F7041"/>
    <mergeCell ref="E7042:F7042"/>
    <mergeCell ref="E7043:F7043"/>
    <mergeCell ref="H7047:I7047"/>
    <mergeCell ref="E7049:F7049"/>
    <mergeCell ref="E7050:F7050"/>
    <mergeCell ref="E7054:F7054"/>
    <mergeCell ref="E6989:F6989"/>
    <mergeCell ref="E7055:F7055"/>
    <mergeCell ref="E7056:F7056"/>
    <mergeCell ref="E7015:F7015"/>
    <mergeCell ref="H7017:I7017"/>
    <mergeCell ref="H7026:I7026"/>
    <mergeCell ref="E7028:F7028"/>
    <mergeCell ref="E7029:F7029"/>
    <mergeCell ref="E7030:F7030"/>
    <mergeCell ref="E7038:F7038"/>
    <mergeCell ref="E7039:F7039"/>
    <mergeCell ref="E7040:F7040"/>
    <mergeCell ref="E7051:F7051"/>
    <mergeCell ref="E7052:F7052"/>
    <mergeCell ref="E7044:F7044"/>
    <mergeCell ref="E7045:F7045"/>
    <mergeCell ref="E7007:F7007"/>
    <mergeCell ref="E7008:F7008"/>
    <mergeCell ref="E7009:F7009"/>
    <mergeCell ref="H7060:I7060"/>
    <mergeCell ref="E7062:F7062"/>
    <mergeCell ref="E7063:F7063"/>
    <mergeCell ref="E7067:F7067"/>
    <mergeCell ref="H7069:I7069"/>
    <mergeCell ref="E7075:F7075"/>
    <mergeCell ref="E7076:F7076"/>
    <mergeCell ref="E7077:F7077"/>
    <mergeCell ref="H7080:I7080"/>
    <mergeCell ref="E7082:F7082"/>
    <mergeCell ref="E7083:F7083"/>
    <mergeCell ref="E7084:F7084"/>
    <mergeCell ref="E7085:F7085"/>
    <mergeCell ref="H7087:I7087"/>
    <mergeCell ref="E7089:F7089"/>
    <mergeCell ref="E7092:F7092"/>
    <mergeCell ref="H7094:I7094"/>
    <mergeCell ref="E7078:F7078"/>
    <mergeCell ref="H7114:I7114"/>
    <mergeCell ref="E7116:F7116"/>
    <mergeCell ref="E7127:F7127"/>
    <mergeCell ref="E7128:F7128"/>
    <mergeCell ref="E7129:F7129"/>
    <mergeCell ref="E7130:F7130"/>
    <mergeCell ref="E7131:F7131"/>
    <mergeCell ref="E7132:F7132"/>
    <mergeCell ref="H7134:I7134"/>
    <mergeCell ref="E7136:F7136"/>
    <mergeCell ref="E7137:F7137"/>
    <mergeCell ref="E7138:F7138"/>
    <mergeCell ref="E7139:F7139"/>
    <mergeCell ref="H7141:I7141"/>
    <mergeCell ref="E7152:F7152"/>
    <mergeCell ref="E7150:F7150"/>
    <mergeCell ref="E7096:F7096"/>
    <mergeCell ref="E7097:F7097"/>
    <mergeCell ref="E7098:F7098"/>
    <mergeCell ref="H7101:I7101"/>
    <mergeCell ref="H7108:I7108"/>
    <mergeCell ref="E7110:F7110"/>
    <mergeCell ref="E7111:F7111"/>
    <mergeCell ref="E7106:F7106"/>
    <mergeCell ref="E7121:F7121"/>
    <mergeCell ref="H7123:I7123"/>
    <mergeCell ref="E7143:F7143"/>
    <mergeCell ref="E7144:F7144"/>
    <mergeCell ref="E7145:F7145"/>
    <mergeCell ref="E7146:F7146"/>
    <mergeCell ref="E7099:F7099"/>
    <mergeCell ref="E7117:F7117"/>
    <mergeCell ref="E7246:F7246"/>
    <mergeCell ref="E7247:F7247"/>
    <mergeCell ref="A7248:A7249"/>
    <mergeCell ref="B7248:B7249"/>
    <mergeCell ref="C7248:C7249"/>
    <mergeCell ref="D7248:D7249"/>
    <mergeCell ref="E7248:F7248"/>
    <mergeCell ref="G7248:H7248"/>
    <mergeCell ref="I7248:I7249"/>
    <mergeCell ref="J7248:J7249"/>
    <mergeCell ref="A7253:E7253"/>
    <mergeCell ref="F7253:I7253"/>
    <mergeCell ref="A7255:E7255"/>
    <mergeCell ref="F7255:I7255"/>
    <mergeCell ref="A7262:E7262"/>
    <mergeCell ref="F7262:I7262"/>
    <mergeCell ref="A7267:E7267"/>
    <mergeCell ref="F7267:I7267"/>
    <mergeCell ref="A7250:E7250"/>
    <mergeCell ref="F7250:I7250"/>
    <mergeCell ref="F7251:I7251"/>
    <mergeCell ref="A7254:E7254"/>
    <mergeCell ref="F7254:I7254"/>
    <mergeCell ref="A7256:E7256"/>
    <mergeCell ref="F7256:I7256"/>
    <mergeCell ref="E7309:F7309"/>
    <mergeCell ref="E7310:F7310"/>
    <mergeCell ref="H7312:I7312"/>
    <mergeCell ref="E7314:F7314"/>
    <mergeCell ref="E7315:F7315"/>
    <mergeCell ref="E7316:F7316"/>
    <mergeCell ref="H7318:I7318"/>
    <mergeCell ref="E7323:F7323"/>
    <mergeCell ref="E7327:F7327"/>
    <mergeCell ref="E7328:F7328"/>
    <mergeCell ref="H7330:I7330"/>
    <mergeCell ref="E7333:F7333"/>
    <mergeCell ref="E7334:F7334"/>
    <mergeCell ref="E7335:F7335"/>
    <mergeCell ref="E7336:F7336"/>
    <mergeCell ref="E7320:F7320"/>
    <mergeCell ref="E7321:F7321"/>
    <mergeCell ref="E7322:F7322"/>
    <mergeCell ref="E7332:F7332"/>
    <mergeCell ref="E7337:F7337"/>
    <mergeCell ref="E7338:F7338"/>
    <mergeCell ref="E7339:F7339"/>
    <mergeCell ref="E7340:F7340"/>
    <mergeCell ref="H7342:I7342"/>
    <mergeCell ref="E7344:F7344"/>
    <mergeCell ref="E7345:F7345"/>
    <mergeCell ref="E7346:F7346"/>
    <mergeCell ref="E7347:F7347"/>
    <mergeCell ref="E7353:F7353"/>
    <mergeCell ref="E7354:F7354"/>
    <mergeCell ref="E7355:F7355"/>
    <mergeCell ref="E7359:F7359"/>
    <mergeCell ref="E7360:F7360"/>
    <mergeCell ref="E7361:F7361"/>
    <mergeCell ref="H7363:I7363"/>
    <mergeCell ref="E7365:F7365"/>
    <mergeCell ref="E7348:F7348"/>
    <mergeCell ref="E7349:F7349"/>
    <mergeCell ref="H7351:I7351"/>
    <mergeCell ref="E7385:F7385"/>
    <mergeCell ref="H7388:I7388"/>
    <mergeCell ref="E7390:F7390"/>
    <mergeCell ref="E7453:F7453"/>
    <mergeCell ref="H7457:I7457"/>
    <mergeCell ref="E7459:F7459"/>
    <mergeCell ref="E7463:F7463"/>
    <mergeCell ref="H7465:I7465"/>
    <mergeCell ref="A7469:E7469"/>
    <mergeCell ref="F7469:I7469"/>
    <mergeCell ref="A7470:E7470"/>
    <mergeCell ref="F7470:I7470"/>
    <mergeCell ref="A7471:E7471"/>
    <mergeCell ref="F7471:I7471"/>
    <mergeCell ref="A7472:E7472"/>
    <mergeCell ref="F7472:I7472"/>
    <mergeCell ref="A7473:E7473"/>
    <mergeCell ref="F7473:I7473"/>
    <mergeCell ref="E7455:F7455"/>
    <mergeCell ref="E7467:F7467"/>
    <mergeCell ref="E7468:F7468"/>
    <mergeCell ref="E7448:F7448"/>
    <mergeCell ref="E7449:F7449"/>
    <mergeCell ref="E7433:F7433"/>
    <mergeCell ref="E7434:F7434"/>
    <mergeCell ref="E7435:F7435"/>
    <mergeCell ref="E7436:F7436"/>
    <mergeCell ref="H7438:I7438"/>
    <mergeCell ref="E7440:F7440"/>
    <mergeCell ref="E7441:F7441"/>
    <mergeCell ref="E7442:F7442"/>
    <mergeCell ref="H7444:I7444"/>
    <mergeCell ref="A7516:E7516"/>
    <mergeCell ref="F7516:I7516"/>
    <mergeCell ref="A7517:E7517"/>
    <mergeCell ref="F7517:I7517"/>
    <mergeCell ref="A7518:E7518"/>
    <mergeCell ref="F7518:I7518"/>
    <mergeCell ref="A7519:E7519"/>
    <mergeCell ref="F7519:I7519"/>
    <mergeCell ref="E7502:F7502"/>
    <mergeCell ref="E7531:F7531"/>
    <mergeCell ref="E7535:F7535"/>
    <mergeCell ref="H7537:I7537"/>
    <mergeCell ref="A7541:E7541"/>
    <mergeCell ref="F7541:I7541"/>
    <mergeCell ref="A7542:E7542"/>
    <mergeCell ref="F7542:I7542"/>
    <mergeCell ref="A7543:E7543"/>
    <mergeCell ref="F7543:I7543"/>
    <mergeCell ref="E7508:F7508"/>
    <mergeCell ref="E7509:F7509"/>
    <mergeCell ref="H7512:I7512"/>
    <mergeCell ref="E7532:F7532"/>
    <mergeCell ref="E7533:F7533"/>
    <mergeCell ref="E7534:F7534"/>
    <mergeCell ref="E7510:F7510"/>
    <mergeCell ref="E7514:F7514"/>
    <mergeCell ref="E7515:F7515"/>
    <mergeCell ref="A7520:E7520"/>
    <mergeCell ref="F7520:I7520"/>
    <mergeCell ref="G7521:I7521"/>
    <mergeCell ref="G7522:I7522"/>
    <mergeCell ref="A7523:E7523"/>
    <mergeCell ref="E7558:F7558"/>
    <mergeCell ref="H7554:I7554"/>
    <mergeCell ref="E7556:F7556"/>
    <mergeCell ref="E7557:F7557"/>
    <mergeCell ref="H7579:I7579"/>
    <mergeCell ref="A7544:E7544"/>
    <mergeCell ref="F7544:I7544"/>
    <mergeCell ref="A7545:E7545"/>
    <mergeCell ref="F7545:I7545"/>
    <mergeCell ref="G7546:I7546"/>
    <mergeCell ref="G7547:I7547"/>
    <mergeCell ref="A7548:E7548"/>
    <mergeCell ref="F7548:I7548"/>
    <mergeCell ref="E7539:F7539"/>
    <mergeCell ref="E7540:F7540"/>
    <mergeCell ref="G7549:I7549"/>
    <mergeCell ref="G7550:I7550"/>
    <mergeCell ref="G7551:I7551"/>
    <mergeCell ref="A7552:E7552"/>
    <mergeCell ref="F7552:I7552"/>
    <mergeCell ref="E7559:F7559"/>
    <mergeCell ref="E7560:F7560"/>
    <mergeCell ref="A7568:E7568"/>
    <mergeCell ref="F7568:I7568"/>
    <mergeCell ref="A7569:E7569"/>
    <mergeCell ref="F7569:I7569"/>
    <mergeCell ref="A7570:E7570"/>
    <mergeCell ref="F7570:I7570"/>
    <mergeCell ref="G7571:I7571"/>
    <mergeCell ref="G7572:I7572"/>
    <mergeCell ref="A7573:E7573"/>
    <mergeCell ref="F7573:I7573"/>
    <mergeCell ref="J7589:J7590"/>
    <mergeCell ref="A7591:E7591"/>
    <mergeCell ref="F7591:I7591"/>
    <mergeCell ref="E7583:F7583"/>
    <mergeCell ref="E7589:F7589"/>
    <mergeCell ref="F7592:I7592"/>
    <mergeCell ref="A7594:E7594"/>
    <mergeCell ref="F7594:I7594"/>
    <mergeCell ref="H7562:I7562"/>
    <mergeCell ref="E7565:F7565"/>
    <mergeCell ref="A7566:E7566"/>
    <mergeCell ref="F7566:I7566"/>
    <mergeCell ref="A7567:E7567"/>
    <mergeCell ref="F7567:I7567"/>
    <mergeCell ref="G7574:I7574"/>
    <mergeCell ref="G7575:I7575"/>
    <mergeCell ref="G7576:I7576"/>
    <mergeCell ref="A7577:E7577"/>
    <mergeCell ref="F7577:I7577"/>
    <mergeCell ref="E7564:F7564"/>
    <mergeCell ref="E7581:F7581"/>
    <mergeCell ref="E7582:F7582"/>
    <mergeCell ref="A7595:E7595"/>
    <mergeCell ref="F7595:I7595"/>
    <mergeCell ref="A7596:E7596"/>
    <mergeCell ref="F7596:I7596"/>
    <mergeCell ref="A7597:E7597"/>
    <mergeCell ref="F7597:I7597"/>
    <mergeCell ref="A7599:E7599"/>
    <mergeCell ref="F7599:I7599"/>
    <mergeCell ref="A7601:E7601"/>
    <mergeCell ref="F7601:I7601"/>
    <mergeCell ref="A7603:E7603"/>
    <mergeCell ref="F7603:I7603"/>
    <mergeCell ref="H7605:I7605"/>
    <mergeCell ref="H7611:I7611"/>
    <mergeCell ref="E7607:F7607"/>
    <mergeCell ref="E7608:F7608"/>
    <mergeCell ref="H7585:I7585"/>
    <mergeCell ref="E7587:F7587"/>
    <mergeCell ref="E7588:F7588"/>
    <mergeCell ref="A7589:A7590"/>
    <mergeCell ref="B7589:B7590"/>
    <mergeCell ref="C7589:C7590"/>
    <mergeCell ref="D7589:D7590"/>
    <mergeCell ref="G7589:H7589"/>
    <mergeCell ref="I7589:I7590"/>
    <mergeCell ref="E7632:F7632"/>
    <mergeCell ref="E7609:F7609"/>
    <mergeCell ref="E7613:F7613"/>
    <mergeCell ref="E7614:F7614"/>
    <mergeCell ref="H7617:I7617"/>
    <mergeCell ref="E7619:F7619"/>
    <mergeCell ref="E7620:F7620"/>
    <mergeCell ref="E7621:F7621"/>
    <mergeCell ref="H7623:I7623"/>
    <mergeCell ref="E7625:F7625"/>
    <mergeCell ref="E7626:F7626"/>
    <mergeCell ref="E7627:F7627"/>
    <mergeCell ref="H7629:I7629"/>
    <mergeCell ref="E7631:F7631"/>
    <mergeCell ref="J7633:J7634"/>
    <mergeCell ref="A7635:E7635"/>
    <mergeCell ref="F7635:I7635"/>
    <mergeCell ref="A7633:A7634"/>
    <mergeCell ref="B7633:B7634"/>
    <mergeCell ref="C7633:C7634"/>
    <mergeCell ref="D7633:D7634"/>
    <mergeCell ref="E7615:F7615"/>
    <mergeCell ref="F7645:I7645"/>
    <mergeCell ref="A7647:E7647"/>
    <mergeCell ref="F7647:I7647"/>
    <mergeCell ref="H7649:I7649"/>
    <mergeCell ref="H7655:I7655"/>
    <mergeCell ref="H7673:I7673"/>
    <mergeCell ref="H7679:I7679"/>
    <mergeCell ref="E7681:F7681"/>
    <mergeCell ref="E7682:F7682"/>
    <mergeCell ref="E7683:F7683"/>
    <mergeCell ref="H7685:I7685"/>
    <mergeCell ref="H7691:I7691"/>
    <mergeCell ref="E7694:F7694"/>
    <mergeCell ref="A7695:A7696"/>
    <mergeCell ref="B7695:B7696"/>
    <mergeCell ref="C7695:C7696"/>
    <mergeCell ref="D7695:D7696"/>
    <mergeCell ref="E7695:F7695"/>
    <mergeCell ref="G7695:H7695"/>
    <mergeCell ref="I7695:I7696"/>
    <mergeCell ref="E7659:F7659"/>
    <mergeCell ref="E7671:F7671"/>
    <mergeCell ref="E7675:F7675"/>
    <mergeCell ref="E7676:F7676"/>
    <mergeCell ref="E7677:F7677"/>
    <mergeCell ref="E7687:F7687"/>
    <mergeCell ref="E7688:F7688"/>
    <mergeCell ref="E7689:F7689"/>
    <mergeCell ref="E7693:F7693"/>
    <mergeCell ref="J7695:J7696"/>
    <mergeCell ref="A7697:E7697"/>
    <mergeCell ref="F7697:I7697"/>
    <mergeCell ref="F7698:I7698"/>
    <mergeCell ref="A7700:E7700"/>
    <mergeCell ref="F7700:I7700"/>
    <mergeCell ref="A7701:E7701"/>
    <mergeCell ref="F7701:I7701"/>
    <mergeCell ref="A7702:E7702"/>
    <mergeCell ref="F7702:I7702"/>
    <mergeCell ref="A7703:E7703"/>
    <mergeCell ref="F7703:I7703"/>
    <mergeCell ref="A7705:E7705"/>
    <mergeCell ref="F7705:I7705"/>
    <mergeCell ref="A7707:E7707"/>
    <mergeCell ref="F7707:I7707"/>
    <mergeCell ref="A7709:E7709"/>
    <mergeCell ref="F7709:I7709"/>
    <mergeCell ref="E7763:F7763"/>
    <mergeCell ref="E7764:F7764"/>
    <mergeCell ref="E7782:F7782"/>
    <mergeCell ref="E7783:F7783"/>
    <mergeCell ref="H7785:I7785"/>
    <mergeCell ref="E7765:F7765"/>
    <mergeCell ref="H7767:I7767"/>
    <mergeCell ref="E7769:F7769"/>
    <mergeCell ref="E7770:F7770"/>
    <mergeCell ref="E7771:F7771"/>
    <mergeCell ref="H7773:I7773"/>
    <mergeCell ref="E7775:F7775"/>
    <mergeCell ref="E7776:F7776"/>
    <mergeCell ref="E7777:F7777"/>
    <mergeCell ref="H7779:I7779"/>
    <mergeCell ref="E7781:F7781"/>
    <mergeCell ref="E7787:F7787"/>
    <mergeCell ref="E7788:F7788"/>
    <mergeCell ref="E7789:F7789"/>
    <mergeCell ref="H7791:I7791"/>
    <mergeCell ref="E7793:F7793"/>
    <mergeCell ref="E7794:F7794"/>
    <mergeCell ref="E7795:F7795"/>
    <mergeCell ref="H7797:I7797"/>
    <mergeCell ref="E7801:F7801"/>
    <mergeCell ref="H7803:I7803"/>
    <mergeCell ref="E7805:F7805"/>
    <mergeCell ref="E7806:F7806"/>
    <mergeCell ref="E7807:F7807"/>
    <mergeCell ref="H7809:I7809"/>
    <mergeCell ref="A7815:E7815"/>
    <mergeCell ref="F7815:I7815"/>
    <mergeCell ref="F7816:I7816"/>
    <mergeCell ref="E7811:F7811"/>
    <mergeCell ref="E7812:F7812"/>
    <mergeCell ref="A7813:A7814"/>
    <mergeCell ref="B7813:B7814"/>
    <mergeCell ref="C7813:C7814"/>
    <mergeCell ref="D7813:D7814"/>
    <mergeCell ref="E7813:F7813"/>
    <mergeCell ref="G7813:H7813"/>
    <mergeCell ref="I7813:I7814"/>
    <mergeCell ref="E7800:F7800"/>
    <mergeCell ref="H7955:I7955"/>
    <mergeCell ref="H7961:I7961"/>
    <mergeCell ref="H7970:I7970"/>
    <mergeCell ref="E7972:F7972"/>
    <mergeCell ref="E7973:F7973"/>
    <mergeCell ref="H7983:I7983"/>
    <mergeCell ref="H7996:I7996"/>
    <mergeCell ref="E7998:F7998"/>
    <mergeCell ref="E7976:F7976"/>
    <mergeCell ref="E7977:F7977"/>
    <mergeCell ref="E7978:F7978"/>
    <mergeCell ref="E7979:F7979"/>
    <mergeCell ref="E7952:F7952"/>
    <mergeCell ref="E7953:F7953"/>
    <mergeCell ref="E7917:F7917"/>
    <mergeCell ref="E7921:F7921"/>
    <mergeCell ref="E7922:F7922"/>
    <mergeCell ref="E7933:F7933"/>
    <mergeCell ref="E7934:F7934"/>
    <mergeCell ref="E7935:F7935"/>
    <mergeCell ref="E7940:F7940"/>
    <mergeCell ref="E7941:F7941"/>
    <mergeCell ref="E7951:F7951"/>
    <mergeCell ref="H7949:I7949"/>
    <mergeCell ref="E7945:F7945"/>
    <mergeCell ref="E7946:F7946"/>
    <mergeCell ref="E7947:F7947"/>
    <mergeCell ref="E7927:F7927"/>
    <mergeCell ref="E7928:F7928"/>
    <mergeCell ref="E7929:F7929"/>
    <mergeCell ref="H7919:I7919"/>
    <mergeCell ref="E7923:F7923"/>
    <mergeCell ref="A8000:A8001"/>
    <mergeCell ref="B8000:B8001"/>
    <mergeCell ref="C8000:C8001"/>
    <mergeCell ref="D8000:D8001"/>
    <mergeCell ref="G8000:H8000"/>
    <mergeCell ref="I8000:I8001"/>
    <mergeCell ref="J8000:J8001"/>
    <mergeCell ref="A8002:E8002"/>
    <mergeCell ref="F8002:I8002"/>
    <mergeCell ref="E7957:F7957"/>
    <mergeCell ref="E7958:F7958"/>
    <mergeCell ref="E7959:F7959"/>
    <mergeCell ref="E7974:F7974"/>
    <mergeCell ref="F8003:I8003"/>
    <mergeCell ref="A8005:E8005"/>
    <mergeCell ref="F8005:I8005"/>
    <mergeCell ref="A8006:E8006"/>
    <mergeCell ref="F8006:I8006"/>
    <mergeCell ref="E7999:F7999"/>
    <mergeCell ref="E7963:F7963"/>
    <mergeCell ref="E7964:F7964"/>
    <mergeCell ref="E7965:F7965"/>
    <mergeCell ref="E7966:F7966"/>
    <mergeCell ref="E7967:F7967"/>
    <mergeCell ref="F8014:I8014"/>
    <mergeCell ref="A8019:E8019"/>
    <mergeCell ref="F8019:I8019"/>
    <mergeCell ref="A8021:E8021"/>
    <mergeCell ref="F8021:I8021"/>
    <mergeCell ref="H8023:I8023"/>
    <mergeCell ref="E8027:F8027"/>
    <mergeCell ref="H8031:I8031"/>
    <mergeCell ref="H8039:I8039"/>
    <mergeCell ref="H8052:I8052"/>
    <mergeCell ref="E8054:F8054"/>
    <mergeCell ref="H8065:I8065"/>
    <mergeCell ref="E8073:F8073"/>
    <mergeCell ref="E8074:F8074"/>
    <mergeCell ref="E8075:F8075"/>
    <mergeCell ref="H8078:I8078"/>
    <mergeCell ref="H8087:I8087"/>
    <mergeCell ref="E8033:F8033"/>
    <mergeCell ref="E8034:F8034"/>
    <mergeCell ref="E8026:F8026"/>
    <mergeCell ref="E8025:F8025"/>
    <mergeCell ref="E8037:F8037"/>
    <mergeCell ref="E8046:F8046"/>
    <mergeCell ref="E8058:F8058"/>
    <mergeCell ref="E8059:F8059"/>
    <mergeCell ref="E8042:F8042"/>
    <mergeCell ref="E8043:F8043"/>
    <mergeCell ref="E8044:F8044"/>
    <mergeCell ref="E8045:F8045"/>
    <mergeCell ref="E8028:F8028"/>
    <mergeCell ref="E8029:F8029"/>
    <mergeCell ref="E8035:F8035"/>
    <mergeCell ref="A8103:A8104"/>
    <mergeCell ref="B8103:B8104"/>
    <mergeCell ref="C8103:C8104"/>
    <mergeCell ref="D8103:D8104"/>
    <mergeCell ref="E8103:F8103"/>
    <mergeCell ref="G8103:H8103"/>
    <mergeCell ref="I8103:I8104"/>
    <mergeCell ref="E8101:F8101"/>
    <mergeCell ref="E8041:F8041"/>
    <mergeCell ref="E8047:F8047"/>
    <mergeCell ref="E8048:F8048"/>
    <mergeCell ref="E8049:F8049"/>
    <mergeCell ref="E8050:F8050"/>
    <mergeCell ref="E8056:F8056"/>
    <mergeCell ref="E8057:F8057"/>
    <mergeCell ref="E8055:F8055"/>
    <mergeCell ref="E8142:F8142"/>
    <mergeCell ref="A8125:E8125"/>
    <mergeCell ref="F8125:I8125"/>
    <mergeCell ref="F8126:I8126"/>
    <mergeCell ref="A8127:E8127"/>
    <mergeCell ref="F8127:I8127"/>
    <mergeCell ref="A8128:E8128"/>
    <mergeCell ref="F8128:I8128"/>
    <mergeCell ref="A8133:E8133"/>
    <mergeCell ref="F8133:I8133"/>
    <mergeCell ref="A8135:E8135"/>
    <mergeCell ref="F8135:I8135"/>
    <mergeCell ref="E8141:F8141"/>
    <mergeCell ref="A8123:A8124"/>
    <mergeCell ref="B8123:B8124"/>
    <mergeCell ref="C8123:C8124"/>
    <mergeCell ref="A8143:A8144"/>
    <mergeCell ref="B8143:B8144"/>
    <mergeCell ref="C8143:C8144"/>
    <mergeCell ref="D8143:D8144"/>
    <mergeCell ref="E8143:F8143"/>
    <mergeCell ref="G8143:H8143"/>
    <mergeCell ref="I8143:I8144"/>
    <mergeCell ref="J8143:J8144"/>
    <mergeCell ref="A8149:E8149"/>
    <mergeCell ref="F8149:I8149"/>
    <mergeCell ref="A8157:E8157"/>
    <mergeCell ref="F8157:I8157"/>
    <mergeCell ref="H8159:I8159"/>
    <mergeCell ref="E8162:F8162"/>
    <mergeCell ref="A8163:A8164"/>
    <mergeCell ref="B8163:B8164"/>
    <mergeCell ref="C8163:C8164"/>
    <mergeCell ref="D8163:D8164"/>
    <mergeCell ref="E8163:F8163"/>
    <mergeCell ref="G8163:H8163"/>
    <mergeCell ref="I8163:I8164"/>
    <mergeCell ref="J8163:J8164"/>
    <mergeCell ref="A8169:E8169"/>
    <mergeCell ref="F8169:I8169"/>
    <mergeCell ref="A8170:E8170"/>
    <mergeCell ref="F8170:I8170"/>
    <mergeCell ref="A8177:E8177"/>
    <mergeCell ref="F8177:I8177"/>
    <mergeCell ref="E8161:F8161"/>
    <mergeCell ref="A8183:A8184"/>
    <mergeCell ref="B8183:B8184"/>
    <mergeCell ref="C8183:C8184"/>
    <mergeCell ref="D8183:D8184"/>
    <mergeCell ref="E8183:F8183"/>
    <mergeCell ref="G8183:H8183"/>
    <mergeCell ref="I8183:I8184"/>
    <mergeCell ref="J8183:J8184"/>
    <mergeCell ref="A8189:E8189"/>
    <mergeCell ref="F8189:I8189"/>
    <mergeCell ref="J8203:J8204"/>
    <mergeCell ref="E8203:F8203"/>
    <mergeCell ref="A8185:E8185"/>
    <mergeCell ref="F8185:I8185"/>
    <mergeCell ref="F8186:I8186"/>
    <mergeCell ref="A8217:E8217"/>
    <mergeCell ref="F8217:I8217"/>
    <mergeCell ref="E8235:F8235"/>
    <mergeCell ref="H8237:I8237"/>
    <mergeCell ref="E8240:F8240"/>
    <mergeCell ref="E8241:F8241"/>
    <mergeCell ref="H8243:I8243"/>
    <mergeCell ref="E8245:F8245"/>
    <mergeCell ref="E8246:F8246"/>
    <mergeCell ref="E8247:F8247"/>
    <mergeCell ref="H8249:I8249"/>
    <mergeCell ref="E8251:F8251"/>
    <mergeCell ref="E8225:F8225"/>
    <mergeCell ref="H8227:I8227"/>
    <mergeCell ref="E8230:F8230"/>
    <mergeCell ref="E8231:F8231"/>
    <mergeCell ref="E8232:F8232"/>
    <mergeCell ref="E8233:F8233"/>
    <mergeCell ref="E8234:F8234"/>
    <mergeCell ref="A8205:E8205"/>
    <mergeCell ref="F8205:I8205"/>
    <mergeCell ref="F8206:I8206"/>
    <mergeCell ref="A8207:E8207"/>
    <mergeCell ref="F8207:I8207"/>
    <mergeCell ref="A8208:E8208"/>
    <mergeCell ref="F8208:I8208"/>
    <mergeCell ref="A8209:E8209"/>
    <mergeCell ref="E8252:F8252"/>
    <mergeCell ref="H8219:I8219"/>
    <mergeCell ref="E8229:F8229"/>
    <mergeCell ref="E8239:F8239"/>
    <mergeCell ref="E8221:F8221"/>
    <mergeCell ref="E8222:F8222"/>
    <mergeCell ref="E8223:F8223"/>
    <mergeCell ref="E8224:F8224"/>
    <mergeCell ref="E8314:F8314"/>
    <mergeCell ref="E8318:F8318"/>
    <mergeCell ref="E8319:F8319"/>
    <mergeCell ref="E8320:F8320"/>
    <mergeCell ref="E8324:F8324"/>
    <mergeCell ref="E8325:F8325"/>
    <mergeCell ref="H8327:I8327"/>
    <mergeCell ref="E8333:F8333"/>
    <mergeCell ref="E8334:F8334"/>
    <mergeCell ref="E8329:F8329"/>
    <mergeCell ref="E8330:F8330"/>
    <mergeCell ref="E8331:F8331"/>
    <mergeCell ref="E8332:F8332"/>
    <mergeCell ref="E8269:F8269"/>
    <mergeCell ref="E8279:F8279"/>
    <mergeCell ref="H8283:I8283"/>
    <mergeCell ref="E8286:F8286"/>
    <mergeCell ref="E8287:F8287"/>
    <mergeCell ref="E8288:F8288"/>
    <mergeCell ref="E8253:F8253"/>
    <mergeCell ref="E8263:F8263"/>
    <mergeCell ref="E8273:F8273"/>
    <mergeCell ref="E8285:F8285"/>
    <mergeCell ref="E8274:F8274"/>
    <mergeCell ref="H8401:I8401"/>
    <mergeCell ref="E8386:F8386"/>
    <mergeCell ref="E8387:F8387"/>
    <mergeCell ref="E8388:F8388"/>
    <mergeCell ref="E8389:F8389"/>
    <mergeCell ref="E8452:F8452"/>
    <mergeCell ref="E8453:F8453"/>
    <mergeCell ref="E8454:F8454"/>
    <mergeCell ref="E8447:F8447"/>
    <mergeCell ref="E8405:F8405"/>
    <mergeCell ref="E8406:F8406"/>
    <mergeCell ref="E8407:F8407"/>
    <mergeCell ref="E8418:F8418"/>
    <mergeCell ref="E8419:F8419"/>
    <mergeCell ref="E8420:F8420"/>
    <mergeCell ref="E8429:F8429"/>
    <mergeCell ref="E8443:F8443"/>
    <mergeCell ref="E8442:F8442"/>
    <mergeCell ref="H8431:I8431"/>
    <mergeCell ref="E8451:F8451"/>
    <mergeCell ref="E8408:F8408"/>
    <mergeCell ref="E8409:F8409"/>
    <mergeCell ref="E8410:F8410"/>
    <mergeCell ref="E8417:F8417"/>
    <mergeCell ref="E8424:F8424"/>
    <mergeCell ref="E8425:F8425"/>
    <mergeCell ref="E8426:F8426"/>
    <mergeCell ref="E8427:F8427"/>
    <mergeCell ref="E8428:F8428"/>
    <mergeCell ref="E8433:F8433"/>
    <mergeCell ref="E8434:F8434"/>
    <mergeCell ref="E8435:F8435"/>
    <mergeCell ref="H8456:I8456"/>
    <mergeCell ref="E8460:F8460"/>
    <mergeCell ref="E8461:F8461"/>
    <mergeCell ref="E8462:F8462"/>
    <mergeCell ref="E8468:F8468"/>
    <mergeCell ref="E8469:F8469"/>
    <mergeCell ref="E8470:F8470"/>
    <mergeCell ref="E8489:F8489"/>
    <mergeCell ref="E8490:F8490"/>
    <mergeCell ref="E8491:F8491"/>
    <mergeCell ref="E8497:F8497"/>
    <mergeCell ref="E8498:F8498"/>
    <mergeCell ref="H8500:I8500"/>
    <mergeCell ref="A8504:A8505"/>
    <mergeCell ref="B8504:B8505"/>
    <mergeCell ref="C8504:C8505"/>
    <mergeCell ref="D8504:D8505"/>
    <mergeCell ref="G8504:H8504"/>
    <mergeCell ref="I8504:I8505"/>
    <mergeCell ref="E8496:F8496"/>
    <mergeCell ref="E8482:F8482"/>
    <mergeCell ref="E8483:F8483"/>
    <mergeCell ref="E8484:F8484"/>
    <mergeCell ref="E8485:F8485"/>
    <mergeCell ref="E8486:F8486"/>
    <mergeCell ref="E8492:F8492"/>
    <mergeCell ref="E8493:F8493"/>
    <mergeCell ref="E8494:F8494"/>
    <mergeCell ref="E8495:F8495"/>
    <mergeCell ref="H8477:I8477"/>
    <mergeCell ref="E8479:F8479"/>
    <mergeCell ref="E8480:F8480"/>
    <mergeCell ref="J8504:J8505"/>
    <mergeCell ref="A8506:E8506"/>
    <mergeCell ref="F8506:I8506"/>
    <mergeCell ref="F8507:I8507"/>
    <mergeCell ref="A8508:E8508"/>
    <mergeCell ref="F8508:I8508"/>
    <mergeCell ref="A8509:E8509"/>
    <mergeCell ref="F8509:I8509"/>
    <mergeCell ref="A8510:E8510"/>
    <mergeCell ref="F8510:I8510"/>
    <mergeCell ref="A8511:E8511"/>
    <mergeCell ref="F8511:I8511"/>
    <mergeCell ref="A8514:E8514"/>
    <mergeCell ref="F8514:I8514"/>
    <mergeCell ref="A8516:E8516"/>
    <mergeCell ref="F8516:I8516"/>
    <mergeCell ref="A8518:E8518"/>
    <mergeCell ref="F8518:I8518"/>
    <mergeCell ref="J8524:J8525"/>
    <mergeCell ref="A8526:E8526"/>
    <mergeCell ref="F8526:I8526"/>
    <mergeCell ref="F8527:I8527"/>
    <mergeCell ref="A8528:E8528"/>
    <mergeCell ref="F8528:I8528"/>
    <mergeCell ref="A8529:E8529"/>
    <mergeCell ref="F8529:I8529"/>
    <mergeCell ref="A8530:E8530"/>
    <mergeCell ref="F8530:I8530"/>
    <mergeCell ref="A8531:E8531"/>
    <mergeCell ref="F8531:I8531"/>
    <mergeCell ref="A8534:E8534"/>
    <mergeCell ref="F8534:I8534"/>
    <mergeCell ref="A8536:E8536"/>
    <mergeCell ref="F8536:I8536"/>
    <mergeCell ref="A8538:E8538"/>
    <mergeCell ref="F8538:I8538"/>
    <mergeCell ref="A8524:A8525"/>
    <mergeCell ref="B8524:B8525"/>
    <mergeCell ref="C8524:C8525"/>
    <mergeCell ref="D8524:D8525"/>
    <mergeCell ref="G8524:H8524"/>
    <mergeCell ref="I8524:I8525"/>
    <mergeCell ref="J8544:J8545"/>
    <mergeCell ref="A8546:E8546"/>
    <mergeCell ref="F8546:I8546"/>
    <mergeCell ref="F8547:I8547"/>
    <mergeCell ref="A8548:E8548"/>
    <mergeCell ref="F8548:I8548"/>
    <mergeCell ref="A8549:E8549"/>
    <mergeCell ref="F8549:I8549"/>
    <mergeCell ref="A8550:E8550"/>
    <mergeCell ref="F8550:I8550"/>
    <mergeCell ref="A8551:E8551"/>
    <mergeCell ref="F8551:I8551"/>
    <mergeCell ref="A8554:E8554"/>
    <mergeCell ref="F8554:I8554"/>
    <mergeCell ref="A8556:E8556"/>
    <mergeCell ref="F8556:I8556"/>
    <mergeCell ref="A8558:E8558"/>
    <mergeCell ref="F8558:I8558"/>
    <mergeCell ref="A8564:A8565"/>
    <mergeCell ref="B8564:B8565"/>
    <mergeCell ref="C8564:C8565"/>
    <mergeCell ref="D8564:D8565"/>
    <mergeCell ref="G8564:H8564"/>
    <mergeCell ref="I8564:I8565"/>
    <mergeCell ref="J8564:J8565"/>
    <mergeCell ref="A8566:E8566"/>
    <mergeCell ref="F8566:I8566"/>
    <mergeCell ref="F8567:I8567"/>
    <mergeCell ref="A8568:E8568"/>
    <mergeCell ref="F8568:I8568"/>
    <mergeCell ref="A8569:E8569"/>
    <mergeCell ref="F8569:I8569"/>
    <mergeCell ref="A8570:E8570"/>
    <mergeCell ref="F8570:I8570"/>
    <mergeCell ref="A8571:E8571"/>
    <mergeCell ref="F8571:I8571"/>
    <mergeCell ref="A8574:E8574"/>
    <mergeCell ref="F8574:I8574"/>
    <mergeCell ref="A8576:E8576"/>
    <mergeCell ref="F8576:I8576"/>
    <mergeCell ref="A8578:E8578"/>
    <mergeCell ref="F8578:I8578"/>
    <mergeCell ref="H8580:I8580"/>
    <mergeCell ref="A8584:A8585"/>
    <mergeCell ref="B8584:B8585"/>
    <mergeCell ref="C8584:C8585"/>
    <mergeCell ref="D8584:D8585"/>
    <mergeCell ref="G8584:H8584"/>
    <mergeCell ref="I8584:I8585"/>
    <mergeCell ref="J8584:J8585"/>
    <mergeCell ref="A8586:E8586"/>
    <mergeCell ref="F8586:I8586"/>
    <mergeCell ref="F8587:I8587"/>
    <mergeCell ref="A8588:E8588"/>
    <mergeCell ref="F8588:I8588"/>
    <mergeCell ref="A8589:E8589"/>
    <mergeCell ref="F8589:I8589"/>
    <mergeCell ref="A8590:E8590"/>
    <mergeCell ref="F8590:I8590"/>
    <mergeCell ref="E8582:F8582"/>
    <mergeCell ref="E8583:F8583"/>
    <mergeCell ref="E8584:F8584"/>
    <mergeCell ref="C8604:C8605"/>
    <mergeCell ref="D8604:D8605"/>
    <mergeCell ref="G8604:H8604"/>
    <mergeCell ref="I8604:I8605"/>
    <mergeCell ref="J8604:J8605"/>
    <mergeCell ref="A8606:E8606"/>
    <mergeCell ref="F8606:I8606"/>
    <mergeCell ref="F8607:I8607"/>
    <mergeCell ref="A8591:E8591"/>
    <mergeCell ref="F8591:I8591"/>
    <mergeCell ref="A8594:E8594"/>
    <mergeCell ref="F8594:I8594"/>
    <mergeCell ref="A8596:E8596"/>
    <mergeCell ref="F8596:I8596"/>
    <mergeCell ref="H8600:I8600"/>
    <mergeCell ref="E8602:F8602"/>
    <mergeCell ref="A8604:A8605"/>
    <mergeCell ref="B8604:B8605"/>
    <mergeCell ref="E8603:F8603"/>
    <mergeCell ref="E8604:F8604"/>
    <mergeCell ref="A8608:E8608"/>
    <mergeCell ref="F8608:I8608"/>
    <mergeCell ref="A8609:E8609"/>
    <mergeCell ref="F8609:I8609"/>
    <mergeCell ref="A8610:E8610"/>
    <mergeCell ref="F8610:I8610"/>
    <mergeCell ref="A8611:E8611"/>
    <mergeCell ref="F8611:I8611"/>
    <mergeCell ref="A8614:E8614"/>
    <mergeCell ref="F8614:I8614"/>
    <mergeCell ref="H8650:I8650"/>
    <mergeCell ref="E8652:F8652"/>
    <mergeCell ref="E8653:F8653"/>
    <mergeCell ref="H8659:I8659"/>
    <mergeCell ref="E8629:F8629"/>
    <mergeCell ref="E8630:F8630"/>
    <mergeCell ref="E8631:F8631"/>
    <mergeCell ref="E8632:F8632"/>
    <mergeCell ref="E8637:F8637"/>
    <mergeCell ref="E8636:F8636"/>
    <mergeCell ref="E8648:F8648"/>
    <mergeCell ref="E8656:F8656"/>
    <mergeCell ref="E8657:F8657"/>
    <mergeCell ref="E8646:F8646"/>
    <mergeCell ref="E8654:F8654"/>
    <mergeCell ref="E8655:F8655"/>
    <mergeCell ref="E8624:F8624"/>
    <mergeCell ref="E8628:F8628"/>
    <mergeCell ref="G8670:I8670"/>
    <mergeCell ref="E8647:F8647"/>
    <mergeCell ref="A8671:E8671"/>
    <mergeCell ref="F8671:I8671"/>
    <mergeCell ref="H8673:I8673"/>
    <mergeCell ref="E8677:F8677"/>
    <mergeCell ref="E8678:F8678"/>
    <mergeCell ref="E8679:F8679"/>
    <mergeCell ref="H8682:I8682"/>
    <mergeCell ref="H8688:I8688"/>
    <mergeCell ref="E8690:F8690"/>
    <mergeCell ref="E8661:F8661"/>
    <mergeCell ref="E8662:F8662"/>
    <mergeCell ref="E8675:F8675"/>
    <mergeCell ref="E8676:F8676"/>
    <mergeCell ref="A8663:E8663"/>
    <mergeCell ref="F8663:I8663"/>
    <mergeCell ref="A8664:E8664"/>
    <mergeCell ref="F8664:I8664"/>
    <mergeCell ref="A8665:E8665"/>
    <mergeCell ref="F8665:I8665"/>
    <mergeCell ref="E8684:F8684"/>
    <mergeCell ref="E8685:F8685"/>
    <mergeCell ref="E8680:F8680"/>
    <mergeCell ref="E8686:F8686"/>
    <mergeCell ref="E8691:F8691"/>
    <mergeCell ref="E8718:F8718"/>
    <mergeCell ref="H8724:I8724"/>
    <mergeCell ref="H8736:I8736"/>
    <mergeCell ref="H8742:I8742"/>
    <mergeCell ref="E8744:F8744"/>
    <mergeCell ref="H8748:I8748"/>
    <mergeCell ref="E8755:F8755"/>
    <mergeCell ref="E8745:F8745"/>
    <mergeCell ref="H8757:I8757"/>
    <mergeCell ref="H8768:I8768"/>
    <mergeCell ref="E8770:F8770"/>
    <mergeCell ref="H8774:I8774"/>
    <mergeCell ref="H8780:I8780"/>
    <mergeCell ref="E8782:F8782"/>
    <mergeCell ref="E8783:F8783"/>
    <mergeCell ref="H8786:I8786"/>
    <mergeCell ref="E8719:F8719"/>
    <mergeCell ref="E8720:F8720"/>
    <mergeCell ref="E8750:F8750"/>
    <mergeCell ref="E8751:F8751"/>
    <mergeCell ref="E8752:F8752"/>
    <mergeCell ref="E8766:F8766"/>
    <mergeCell ref="E8771:F8771"/>
    <mergeCell ref="E8772:F8772"/>
    <mergeCell ref="E8717:F8717"/>
    <mergeCell ref="E8697:F8697"/>
    <mergeCell ref="E8698:F8698"/>
    <mergeCell ref="E8709:F8709"/>
    <mergeCell ref="E8710:F8710"/>
    <mergeCell ref="E8711:F8711"/>
    <mergeCell ref="E8712:F8712"/>
    <mergeCell ref="H8792:I8792"/>
    <mergeCell ref="E8794:F8794"/>
    <mergeCell ref="E8762:F8762"/>
    <mergeCell ref="E8721:F8721"/>
    <mergeCell ref="E8728:F8728"/>
    <mergeCell ref="E8722:F8722"/>
    <mergeCell ref="E8810:F8810"/>
    <mergeCell ref="H8814:I8814"/>
    <mergeCell ref="H8821:I8821"/>
    <mergeCell ref="E8763:F8763"/>
    <mergeCell ref="E8761:F8761"/>
    <mergeCell ref="E8759:F8759"/>
    <mergeCell ref="E8764:F8764"/>
    <mergeCell ref="E8765:F8765"/>
    <mergeCell ref="E8823:F8823"/>
    <mergeCell ref="E8824:F8824"/>
    <mergeCell ref="H8829:I8829"/>
    <mergeCell ref="E8816:F8816"/>
    <mergeCell ref="E8817:F8817"/>
    <mergeCell ref="E8825:F8825"/>
    <mergeCell ref="E8811:F8811"/>
    <mergeCell ref="E8788:F8788"/>
    <mergeCell ref="E8789:F8789"/>
    <mergeCell ref="E8790:F8790"/>
    <mergeCell ref="E8836:F8836"/>
    <mergeCell ref="E8837:F8837"/>
    <mergeCell ref="E8838:F8838"/>
    <mergeCell ref="H8842:I8842"/>
    <mergeCell ref="E8850:F8850"/>
    <mergeCell ref="E8851:F8851"/>
    <mergeCell ref="H8853:I8853"/>
    <mergeCell ref="H8860:I8860"/>
    <mergeCell ref="E8863:F8863"/>
    <mergeCell ref="E8864:F8864"/>
    <mergeCell ref="E8865:F8865"/>
    <mergeCell ref="E8826:F8826"/>
    <mergeCell ref="E8827:F8827"/>
    <mergeCell ref="E8831:F8831"/>
    <mergeCell ref="E8832:F8832"/>
    <mergeCell ref="E8833:F8833"/>
    <mergeCell ref="E8834:F8834"/>
    <mergeCell ref="E8835:F8835"/>
    <mergeCell ref="E8840:F8840"/>
    <mergeCell ref="E8844:F8844"/>
    <mergeCell ref="E8845:F8845"/>
    <mergeCell ref="E8839:F8839"/>
    <mergeCell ref="E8846:F8846"/>
    <mergeCell ref="E8847:F8847"/>
    <mergeCell ref="E8848:F8848"/>
    <mergeCell ref="E8849:F8849"/>
    <mergeCell ref="E8856:F8856"/>
    <mergeCell ref="E8857:F8857"/>
    <mergeCell ref="E8858:F8858"/>
    <mergeCell ref="H8921:I8921"/>
    <mergeCell ref="E8923:F8923"/>
    <mergeCell ref="E8924:F8924"/>
    <mergeCell ref="E8925:F8925"/>
    <mergeCell ref="H8931:I8931"/>
    <mergeCell ref="E8933:F8933"/>
    <mergeCell ref="E8934:F8934"/>
    <mergeCell ref="H8937:I8937"/>
    <mergeCell ref="E8926:F8926"/>
    <mergeCell ref="E8927:F8927"/>
    <mergeCell ref="E8928:F8928"/>
    <mergeCell ref="E8929:F8929"/>
    <mergeCell ref="E8935:F8935"/>
    <mergeCell ref="E8946:F8946"/>
    <mergeCell ref="H8949:I8949"/>
    <mergeCell ref="E8941:F8941"/>
    <mergeCell ref="E8939:F8939"/>
    <mergeCell ref="E8940:F8940"/>
    <mergeCell ref="H8943:I8943"/>
    <mergeCell ref="E8945:F8945"/>
    <mergeCell ref="E8951:F8951"/>
    <mergeCell ref="E8952:F8952"/>
    <mergeCell ref="H8955:I8955"/>
    <mergeCell ref="E8957:F8957"/>
    <mergeCell ref="E8958:F8958"/>
    <mergeCell ref="E8965:F8965"/>
    <mergeCell ref="E8966:F8966"/>
    <mergeCell ref="H8968:I8968"/>
    <mergeCell ref="E8971:F8971"/>
    <mergeCell ref="E8972:F8972"/>
    <mergeCell ref="E8973:F8973"/>
    <mergeCell ref="E8979:F8979"/>
    <mergeCell ref="H8981:I8981"/>
    <mergeCell ref="E8989:F8989"/>
    <mergeCell ref="E8990:F8990"/>
    <mergeCell ref="E8947:F8947"/>
    <mergeCell ref="E8953:F8953"/>
    <mergeCell ref="E8959:F8959"/>
    <mergeCell ref="E8960:F8960"/>
    <mergeCell ref="E8961:F8961"/>
    <mergeCell ref="E8962:F8962"/>
    <mergeCell ref="E8963:F8963"/>
    <mergeCell ref="E8964:F8964"/>
    <mergeCell ref="E9039:F9039"/>
    <mergeCell ref="E9040:F9040"/>
    <mergeCell ref="E9041:F9041"/>
    <mergeCell ref="H9049:I9049"/>
    <mergeCell ref="E9051:F9051"/>
    <mergeCell ref="E9055:F9055"/>
    <mergeCell ref="E9056:F9056"/>
    <mergeCell ref="E9057:F9057"/>
    <mergeCell ref="E9067:F9067"/>
    <mergeCell ref="E9068:F9068"/>
    <mergeCell ref="E9069:F9069"/>
    <mergeCell ref="E9073:F9073"/>
    <mergeCell ref="H9075:I9075"/>
    <mergeCell ref="E9081:F9081"/>
    <mergeCell ref="E9082:F9082"/>
    <mergeCell ref="E9083:F9083"/>
    <mergeCell ref="H9088:I9088"/>
    <mergeCell ref="E9042:F9042"/>
    <mergeCell ref="E9043:F9043"/>
    <mergeCell ref="E9044:F9044"/>
    <mergeCell ref="E9045:F9045"/>
    <mergeCell ref="E9046:F9046"/>
    <mergeCell ref="E9047:F9047"/>
    <mergeCell ref="E9052:F9052"/>
    <mergeCell ref="E9053:F9053"/>
    <mergeCell ref="E9054:F9054"/>
    <mergeCell ref="E9058:F9058"/>
    <mergeCell ref="E9059:F9059"/>
    <mergeCell ref="E9060:F9060"/>
    <mergeCell ref="H9062:I9062"/>
    <mergeCell ref="H9114:I9114"/>
    <mergeCell ref="E9116:F9116"/>
    <mergeCell ref="E9117:F9117"/>
    <mergeCell ref="E9123:F9123"/>
    <mergeCell ref="E9124:F9124"/>
    <mergeCell ref="E9125:F9125"/>
    <mergeCell ref="H9127:I9127"/>
    <mergeCell ref="E9133:F9133"/>
    <mergeCell ref="E9134:F9134"/>
    <mergeCell ref="E9135:F9135"/>
    <mergeCell ref="E9145:F9145"/>
    <mergeCell ref="E9146:F9146"/>
    <mergeCell ref="E9147:F9147"/>
    <mergeCell ref="E9151:F9151"/>
    <mergeCell ref="H9153:I9153"/>
    <mergeCell ref="E9157:F9157"/>
    <mergeCell ref="E9136:F9136"/>
    <mergeCell ref="E9137:F9137"/>
    <mergeCell ref="E9138:F9138"/>
    <mergeCell ref="H9140:I9140"/>
    <mergeCell ref="E9142:F9142"/>
    <mergeCell ref="E9143:F9143"/>
    <mergeCell ref="E9144:F9144"/>
    <mergeCell ref="E9148:F9148"/>
    <mergeCell ref="E9149:F9149"/>
    <mergeCell ref="E9150:F9150"/>
    <mergeCell ref="E9155:F9155"/>
    <mergeCell ref="E9156:F9156"/>
    <mergeCell ref="E9159:F9159"/>
    <mergeCell ref="E9175:F9175"/>
    <mergeCell ref="E9176:F9176"/>
    <mergeCell ref="E9177:F9177"/>
    <mergeCell ref="H9179:I9179"/>
    <mergeCell ref="E9181:F9181"/>
    <mergeCell ref="E9182:F9182"/>
    <mergeCell ref="E9183:F9183"/>
    <mergeCell ref="E9187:F9187"/>
    <mergeCell ref="E9188:F9188"/>
    <mergeCell ref="E9189:F9189"/>
    <mergeCell ref="H9192:I9192"/>
    <mergeCell ref="E9194:F9194"/>
    <mergeCell ref="E9195:F9195"/>
    <mergeCell ref="E9199:F9199"/>
    <mergeCell ref="E9200:F9200"/>
    <mergeCell ref="E9201:F9201"/>
    <mergeCell ref="E9160:F9160"/>
    <mergeCell ref="E9161:F9161"/>
    <mergeCell ref="E9162:F9162"/>
    <mergeCell ref="E9163:F9163"/>
    <mergeCell ref="E9164:F9164"/>
    <mergeCell ref="H9166:I9166"/>
    <mergeCell ref="E9168:F9168"/>
    <mergeCell ref="E9169:F9169"/>
    <mergeCell ref="E9170:F9170"/>
    <mergeCell ref="E9171:F9171"/>
    <mergeCell ref="E9172:F9172"/>
    <mergeCell ref="E9173:F9173"/>
    <mergeCell ref="E9174:F9174"/>
    <mergeCell ref="E9225:F9225"/>
    <mergeCell ref="E9226:F9226"/>
    <mergeCell ref="E9227:F9227"/>
    <mergeCell ref="H9232:I9232"/>
    <mergeCell ref="E9238:F9238"/>
    <mergeCell ref="E9239:F9239"/>
    <mergeCell ref="E9240:F9240"/>
    <mergeCell ref="E9243:F9243"/>
    <mergeCell ref="E9244:F9244"/>
    <mergeCell ref="H9246:I9246"/>
    <mergeCell ref="E9248:F9248"/>
    <mergeCell ref="E9249:F9249"/>
    <mergeCell ref="E9250:F9250"/>
    <mergeCell ref="E9251:F9251"/>
    <mergeCell ref="E9252:F9252"/>
    <mergeCell ref="E9253:F9253"/>
    <mergeCell ref="E9254:F9254"/>
    <mergeCell ref="H9319:I9319"/>
    <mergeCell ref="E9325:F9325"/>
    <mergeCell ref="E9326:F9326"/>
    <mergeCell ref="E9327:F9327"/>
    <mergeCell ref="E9330:F9330"/>
    <mergeCell ref="H9332:I9332"/>
    <mergeCell ref="E9334:F9334"/>
    <mergeCell ref="E9335:F9335"/>
    <mergeCell ref="E9336:F9336"/>
    <mergeCell ref="E9312:F9312"/>
    <mergeCell ref="E9316:F9316"/>
    <mergeCell ref="E9317:F9317"/>
    <mergeCell ref="E9321:F9321"/>
    <mergeCell ref="E9322:F9322"/>
    <mergeCell ref="E9323:F9323"/>
    <mergeCell ref="E9324:F9324"/>
    <mergeCell ref="E9328:F9328"/>
    <mergeCell ref="E9329:F9329"/>
    <mergeCell ref="E9303:F9303"/>
    <mergeCell ref="G9674:I9674"/>
    <mergeCell ref="G9675:I9675"/>
    <mergeCell ref="A9676:E9676"/>
    <mergeCell ref="F9676:I9676"/>
    <mergeCell ref="H9678:I9678"/>
    <mergeCell ref="E9684:F9684"/>
    <mergeCell ref="E9685:F9685"/>
    <mergeCell ref="E9686:F9686"/>
    <mergeCell ref="A9695:A9696"/>
    <mergeCell ref="B9695:B9696"/>
    <mergeCell ref="C9695:C9696"/>
    <mergeCell ref="D9695:D9696"/>
    <mergeCell ref="G9695:H9695"/>
    <mergeCell ref="I9695:I9696"/>
    <mergeCell ref="J9695:J9696"/>
    <mergeCell ref="A9697:E9697"/>
    <mergeCell ref="F9697:I9697"/>
    <mergeCell ref="E9680:F9680"/>
    <mergeCell ref="E9681:F9681"/>
    <mergeCell ref="E9682:F9682"/>
    <mergeCell ref="E9683:F9683"/>
    <mergeCell ref="E9687:F9687"/>
    <mergeCell ref="E9688:F9688"/>
    <mergeCell ref="E9689:F9689"/>
    <mergeCell ref="H9691:I9691"/>
    <mergeCell ref="E9693:F9693"/>
    <mergeCell ref="E9694:F9694"/>
    <mergeCell ref="E9695:F9695"/>
    <mergeCell ref="E9313:F9313"/>
    <mergeCell ref="E9314:F9314"/>
    <mergeCell ref="E9315:F9315"/>
    <mergeCell ref="F9698:I9698"/>
    <mergeCell ref="A9699:E9699"/>
    <mergeCell ref="F9699:I9699"/>
    <mergeCell ref="A9700:E9700"/>
    <mergeCell ref="F9700:I9700"/>
    <mergeCell ref="A9701:E9701"/>
    <mergeCell ref="F9701:I9701"/>
    <mergeCell ref="A9702:E9702"/>
    <mergeCell ref="F9702:I9702"/>
    <mergeCell ref="A9708:E9708"/>
    <mergeCell ref="F9708:I9708"/>
    <mergeCell ref="A9711:E9711"/>
    <mergeCell ref="F9711:I9711"/>
    <mergeCell ref="A9713:E9713"/>
    <mergeCell ref="F9713:I9713"/>
    <mergeCell ref="H9715:I9715"/>
    <mergeCell ref="E9721:F9721"/>
    <mergeCell ref="E9717:F9717"/>
    <mergeCell ref="E9718:F9718"/>
    <mergeCell ref="E9719:F9719"/>
    <mergeCell ref="E9720:F9720"/>
    <mergeCell ref="E9722:F9722"/>
    <mergeCell ref="H9724:I9724"/>
    <mergeCell ref="E9726:F9726"/>
    <mergeCell ref="E9727:F9727"/>
    <mergeCell ref="E9728:F9728"/>
    <mergeCell ref="E9729:F9729"/>
    <mergeCell ref="E9730:F9730"/>
    <mergeCell ref="H9732:I9732"/>
    <mergeCell ref="E9734:F9734"/>
    <mergeCell ref="E9735:F9735"/>
    <mergeCell ref="E9736:F9736"/>
    <mergeCell ref="H9738:I9738"/>
    <mergeCell ref="E9740:F9740"/>
    <mergeCell ref="E9741:F9741"/>
    <mergeCell ref="E9742:F9742"/>
    <mergeCell ref="H9744:I9744"/>
    <mergeCell ref="E9746:F9746"/>
    <mergeCell ref="E9747:F9747"/>
    <mergeCell ref="E9748:F9748"/>
    <mergeCell ref="H9750:I9750"/>
    <mergeCell ref="E9752:F9752"/>
    <mergeCell ref="E9753:F9753"/>
    <mergeCell ref="E9754:F9754"/>
    <mergeCell ref="E9755:F9755"/>
    <mergeCell ref="E9756:F9756"/>
    <mergeCell ref="E9757:F9757"/>
    <mergeCell ref="E9758:F9758"/>
    <mergeCell ref="E9759:F9759"/>
    <mergeCell ref="E9760:F9760"/>
    <mergeCell ref="E9761:F9761"/>
    <mergeCell ref="H9763:I9763"/>
    <mergeCell ref="E9765:F9765"/>
    <mergeCell ref="E9766:F9766"/>
    <mergeCell ref="E9767:F9767"/>
    <mergeCell ref="E9768:F9768"/>
    <mergeCell ref="E9769:F9769"/>
    <mergeCell ref="E9770:F9770"/>
    <mergeCell ref="E9771:F9771"/>
    <mergeCell ref="E9772:F9772"/>
    <mergeCell ref="E9773:F9773"/>
    <mergeCell ref="H9775:I9775"/>
    <mergeCell ref="E9777:F9777"/>
    <mergeCell ref="E9778:F9778"/>
    <mergeCell ref="A9779:E9779"/>
    <mergeCell ref="F9779:I9779"/>
    <mergeCell ref="A9780:E9780"/>
    <mergeCell ref="F9780:I9780"/>
    <mergeCell ref="A9781:E9781"/>
    <mergeCell ref="F9781:I9781"/>
    <mergeCell ref="A9782:E9782"/>
    <mergeCell ref="F9782:I9782"/>
    <mergeCell ref="A9783:E9783"/>
    <mergeCell ref="F9783:I9783"/>
    <mergeCell ref="G9784:I9784"/>
    <mergeCell ref="G9785:I9785"/>
    <mergeCell ref="G9786:I9786"/>
    <mergeCell ref="G9787:I9787"/>
    <mergeCell ref="G9788:I9788"/>
    <mergeCell ref="A9789:E9789"/>
    <mergeCell ref="F9789:I9789"/>
    <mergeCell ref="H9791:I9791"/>
    <mergeCell ref="E9793:F9793"/>
    <mergeCell ref="E9794:F9794"/>
    <mergeCell ref="A9795:E9795"/>
    <mergeCell ref="F9795:I9795"/>
    <mergeCell ref="A9796:E9796"/>
    <mergeCell ref="F9796:I9796"/>
    <mergeCell ref="A9797:E9797"/>
    <mergeCell ref="F9797:I9797"/>
    <mergeCell ref="A9798:E9798"/>
    <mergeCell ref="F9798:I9798"/>
    <mergeCell ref="A9799:E9799"/>
    <mergeCell ref="F9799:I9799"/>
    <mergeCell ref="G9800:I9800"/>
    <mergeCell ref="G9801:I9801"/>
    <mergeCell ref="A9802:E9802"/>
    <mergeCell ref="F9802:I9802"/>
    <mergeCell ref="H9804:I9804"/>
    <mergeCell ref="E9806:F9806"/>
    <mergeCell ref="E9807:F9807"/>
    <mergeCell ref="A9808:E9808"/>
    <mergeCell ref="F9808:I9808"/>
    <mergeCell ref="A9809:E9809"/>
    <mergeCell ref="F9809:I9809"/>
    <mergeCell ref="A9810:E9810"/>
    <mergeCell ref="F9810:I9810"/>
    <mergeCell ref="A9811:E9811"/>
    <mergeCell ref="F9811:I9811"/>
    <mergeCell ref="A9812:E9812"/>
    <mergeCell ref="F9812:I9812"/>
    <mergeCell ref="G9813:I9813"/>
    <mergeCell ref="G9814:I9814"/>
    <mergeCell ref="A9815:E9815"/>
    <mergeCell ref="F9815:I9815"/>
    <mergeCell ref="H9817:I9817"/>
    <mergeCell ref="E9819:F9819"/>
    <mergeCell ref="E9820:F9820"/>
    <mergeCell ref="A9821:E9821"/>
    <mergeCell ref="F9821:I9821"/>
    <mergeCell ref="A9822:E9822"/>
    <mergeCell ref="F9822:I9822"/>
    <mergeCell ref="A9823:E9823"/>
    <mergeCell ref="F9823:I9823"/>
    <mergeCell ref="A9824:E9824"/>
    <mergeCell ref="F9824:I9824"/>
    <mergeCell ref="A9825:E9825"/>
    <mergeCell ref="F9825:I9825"/>
    <mergeCell ref="G9826:I9826"/>
    <mergeCell ref="G9827:I9827"/>
    <mergeCell ref="A9828:E9828"/>
    <mergeCell ref="F9828:I9828"/>
    <mergeCell ref="H9830:I9830"/>
    <mergeCell ref="E9832:F9832"/>
    <mergeCell ref="E9833:F9833"/>
    <mergeCell ref="A9834:E9834"/>
    <mergeCell ref="F9834:I9834"/>
    <mergeCell ref="A9835:E9835"/>
    <mergeCell ref="F9835:I9835"/>
    <mergeCell ref="A9836:E9836"/>
    <mergeCell ref="F9836:I9836"/>
    <mergeCell ref="A9837:E9837"/>
    <mergeCell ref="F9837:I9837"/>
    <mergeCell ref="A9838:E9838"/>
    <mergeCell ref="F9838:I9838"/>
    <mergeCell ref="G9839:I9839"/>
    <mergeCell ref="G9840:I9840"/>
    <mergeCell ref="A9841:E9841"/>
    <mergeCell ref="F9841:I9841"/>
    <mergeCell ref="H9843:I9843"/>
    <mergeCell ref="E9845:F9845"/>
    <mergeCell ref="E9846:F9846"/>
    <mergeCell ref="A9847:E9847"/>
    <mergeCell ref="F9847:I9847"/>
    <mergeCell ref="A9848:E9848"/>
    <mergeCell ref="F9848:I9848"/>
    <mergeCell ref="A9849:E9849"/>
    <mergeCell ref="F9849:I9849"/>
    <mergeCell ref="A9850:E9850"/>
    <mergeCell ref="F9850:I9850"/>
    <mergeCell ref="A9851:E9851"/>
    <mergeCell ref="F9851:I9851"/>
    <mergeCell ref="G9852:I9852"/>
    <mergeCell ref="G9853:I9853"/>
    <mergeCell ref="G9854:I9854"/>
    <mergeCell ref="A9855:E9855"/>
    <mergeCell ref="F9855:I9855"/>
    <mergeCell ref="H9857:I9857"/>
    <mergeCell ref="E9859:F9859"/>
    <mergeCell ref="E9860:F9860"/>
    <mergeCell ref="A9861:E9861"/>
    <mergeCell ref="F9861:I9861"/>
    <mergeCell ref="A9862:E9862"/>
    <mergeCell ref="F9862:I9862"/>
    <mergeCell ref="A9863:E9863"/>
    <mergeCell ref="F9863:I9863"/>
    <mergeCell ref="A9864:E9864"/>
    <mergeCell ref="F9864:I9864"/>
    <mergeCell ref="A9865:E9865"/>
    <mergeCell ref="F9865:I9865"/>
    <mergeCell ref="G9866:I9866"/>
    <mergeCell ref="G9867:I9867"/>
    <mergeCell ref="G9868:I9868"/>
    <mergeCell ref="G9869:I9869"/>
    <mergeCell ref="G9870:I9870"/>
    <mergeCell ref="A9871:E9871"/>
    <mergeCell ref="F9871:I9871"/>
    <mergeCell ref="H9873:I9873"/>
    <mergeCell ref="E9875:F9875"/>
    <mergeCell ref="E9876:F9876"/>
    <mergeCell ref="A9877:E9877"/>
    <mergeCell ref="F9877:I9877"/>
    <mergeCell ref="A9878:E9878"/>
    <mergeCell ref="F9878:I9878"/>
    <mergeCell ref="A9879:E9879"/>
    <mergeCell ref="F9879:I9879"/>
    <mergeCell ref="A9880:E9880"/>
    <mergeCell ref="F9880:I9880"/>
    <mergeCell ref="A9881:E9881"/>
    <mergeCell ref="F9881:I9881"/>
    <mergeCell ref="G9882:I9882"/>
    <mergeCell ref="G9883:I9883"/>
    <mergeCell ref="A9884:E9884"/>
    <mergeCell ref="F9884:I9884"/>
    <mergeCell ref="H9886:I9886"/>
    <mergeCell ref="E9888:F9888"/>
    <mergeCell ref="E9889:F9889"/>
    <mergeCell ref="A9890:E9890"/>
    <mergeCell ref="F9890:I9890"/>
    <mergeCell ref="A9891:E9891"/>
    <mergeCell ref="F9891:I9891"/>
    <mergeCell ref="A9892:E9892"/>
    <mergeCell ref="F9892:I9892"/>
    <mergeCell ref="A9893:E9893"/>
    <mergeCell ref="F9893:I9893"/>
    <mergeCell ref="A9894:E9894"/>
    <mergeCell ref="F9894:I9894"/>
    <mergeCell ref="G9895:I9895"/>
    <mergeCell ref="G9896:I9896"/>
    <mergeCell ref="A9897:E9897"/>
    <mergeCell ref="F9897:I9897"/>
    <mergeCell ref="H9899:I9899"/>
    <mergeCell ref="E9901:F9901"/>
    <mergeCell ref="E9902:F9902"/>
    <mergeCell ref="A9903:E9903"/>
    <mergeCell ref="F9903:I9903"/>
    <mergeCell ref="A9904:E9904"/>
    <mergeCell ref="F9904:I9904"/>
    <mergeCell ref="A9905:E9905"/>
    <mergeCell ref="F9905:I9905"/>
    <mergeCell ref="A9906:E9906"/>
    <mergeCell ref="F9906:I9906"/>
    <mergeCell ref="A9907:E9907"/>
    <mergeCell ref="F9907:I9907"/>
    <mergeCell ref="G9908:I9908"/>
    <mergeCell ref="G9909:I9909"/>
    <mergeCell ref="A9910:E9910"/>
    <mergeCell ref="F9910:I9910"/>
    <mergeCell ref="H9912:I9912"/>
    <mergeCell ref="E9914:F9914"/>
    <mergeCell ref="E9915:F9915"/>
    <mergeCell ref="A9916:E9916"/>
    <mergeCell ref="F9916:I9916"/>
    <mergeCell ref="A9917:E9917"/>
    <mergeCell ref="F9917:I9917"/>
    <mergeCell ref="A9918:E9918"/>
    <mergeCell ref="F9918:I9918"/>
    <mergeCell ref="A9919:E9919"/>
    <mergeCell ref="F9919:I9919"/>
    <mergeCell ref="A9920:E9920"/>
    <mergeCell ref="F9920:I9920"/>
    <mergeCell ref="G9921:I9921"/>
    <mergeCell ref="G9922:I9922"/>
    <mergeCell ref="A9923:E9923"/>
    <mergeCell ref="F9923:I9923"/>
    <mergeCell ref="H9925:I9925"/>
    <mergeCell ref="E9927:F9927"/>
    <mergeCell ref="E9928:F9928"/>
    <mergeCell ref="E9929:F9929"/>
    <mergeCell ref="E9930:F9930"/>
    <mergeCell ref="H9932:I9932"/>
    <mergeCell ref="E9934:F9934"/>
    <mergeCell ref="E9935:F9935"/>
    <mergeCell ref="E9936:F9936"/>
    <mergeCell ref="E9937:F9937"/>
    <mergeCell ref="E9938:F9938"/>
    <mergeCell ref="H9940:I9940"/>
    <mergeCell ref="E9942:F9942"/>
    <mergeCell ref="E9943:F9943"/>
    <mergeCell ref="E9944:F9944"/>
    <mergeCell ref="E9945:F9945"/>
    <mergeCell ref="H9947:I9947"/>
    <mergeCell ref="E9949:F9949"/>
    <mergeCell ref="E9950:F9950"/>
    <mergeCell ref="E9951:F9951"/>
    <mergeCell ref="E9952:F9952"/>
    <mergeCell ref="E9953:F9953"/>
    <mergeCell ref="H9955:I9955"/>
    <mergeCell ref="E9957:F9957"/>
    <mergeCell ref="E9958:F9958"/>
    <mergeCell ref="E9959:F9959"/>
    <mergeCell ref="E9960:F9960"/>
    <mergeCell ref="H9962:I9962"/>
    <mergeCell ref="E9964:F9964"/>
    <mergeCell ref="E9965:F9965"/>
    <mergeCell ref="E9966:F9966"/>
    <mergeCell ref="E9967:F9967"/>
    <mergeCell ref="E9968:F9968"/>
    <mergeCell ref="H9970:I9970"/>
    <mergeCell ref="E9972:F9972"/>
    <mergeCell ref="E9973:F9973"/>
    <mergeCell ref="E9974:F9974"/>
    <mergeCell ref="E9975:F9975"/>
    <mergeCell ref="E9976:F9976"/>
    <mergeCell ref="E9977:F9977"/>
    <mergeCell ref="H9979:I9979"/>
    <mergeCell ref="E9981:F9981"/>
    <mergeCell ref="E9982:F9982"/>
    <mergeCell ref="E9983:F9983"/>
    <mergeCell ref="E9984:F9984"/>
    <mergeCell ref="E9985:F9985"/>
    <mergeCell ref="E9986:F9986"/>
    <mergeCell ref="E9987:F9987"/>
    <mergeCell ref="E9988:F9988"/>
    <mergeCell ref="H9990:I9990"/>
    <mergeCell ref="E9992:F9992"/>
    <mergeCell ref="E9993:F9993"/>
    <mergeCell ref="E9994:F9994"/>
    <mergeCell ref="E9995:F9995"/>
    <mergeCell ref="E9996:F9996"/>
    <mergeCell ref="H9998:I9998"/>
    <mergeCell ref="E10000:F10000"/>
    <mergeCell ref="E10001:F10001"/>
    <mergeCell ref="E10002:F10002"/>
    <mergeCell ref="E10003:F10003"/>
    <mergeCell ref="E10004:F10004"/>
    <mergeCell ref="E10005:F10005"/>
    <mergeCell ref="E10006:F10006"/>
    <mergeCell ref="H10008:I10008"/>
    <mergeCell ref="E10010:F10010"/>
    <mergeCell ref="E10011:F10011"/>
    <mergeCell ref="E10012:F10012"/>
    <mergeCell ref="H10014:I10014"/>
    <mergeCell ref="E10016:F10016"/>
    <mergeCell ref="E10017:F10017"/>
    <mergeCell ref="E10018:F10018"/>
    <mergeCell ref="H10020:I10020"/>
    <mergeCell ref="E10022:F10022"/>
    <mergeCell ref="E10023:F10023"/>
    <mergeCell ref="E10024:F10024"/>
    <mergeCell ref="H10026:I10026"/>
    <mergeCell ref="E10028:F10028"/>
    <mergeCell ref="E10029:F10029"/>
    <mergeCell ref="E10030:F10030"/>
    <mergeCell ref="H10032:I10032"/>
    <mergeCell ref="E10034:F10034"/>
    <mergeCell ref="E10035:F10035"/>
    <mergeCell ref="E10036:F10036"/>
    <mergeCell ref="E10037:F10037"/>
    <mergeCell ref="E10038:F10038"/>
    <mergeCell ref="E10039:F10039"/>
    <mergeCell ref="E10040:F10040"/>
    <mergeCell ref="E10041:F10041"/>
    <mergeCell ref="E10042:F10042"/>
    <mergeCell ref="E10043:F10043"/>
    <mergeCell ref="H10045:I10045"/>
    <mergeCell ref="E10047:F10047"/>
    <mergeCell ref="E10048:F10048"/>
    <mergeCell ref="E10049:F10049"/>
    <mergeCell ref="E10050:F10050"/>
    <mergeCell ref="E10051:F10051"/>
    <mergeCell ref="E10052:F10052"/>
    <mergeCell ref="E10053:F10053"/>
    <mergeCell ref="E10054:F10054"/>
    <mergeCell ref="H10056:I10056"/>
    <mergeCell ref="E10058:F10058"/>
    <mergeCell ref="E10059:F10059"/>
    <mergeCell ref="E10060:F10060"/>
    <mergeCell ref="E10061:F10061"/>
    <mergeCell ref="E10062:F10062"/>
    <mergeCell ref="E10063:F10063"/>
    <mergeCell ref="H10065:I10065"/>
    <mergeCell ref="E10067:F10067"/>
    <mergeCell ref="E10068:F10068"/>
    <mergeCell ref="E10069:F10069"/>
    <mergeCell ref="E10070:F10070"/>
    <mergeCell ref="E10071:F10071"/>
    <mergeCell ref="E10072:F10072"/>
    <mergeCell ref="E10073:F10073"/>
    <mergeCell ref="E10074:F10074"/>
    <mergeCell ref="H10076:I10076"/>
    <mergeCell ref="E10078:F10078"/>
    <mergeCell ref="E10079:F10079"/>
    <mergeCell ref="E10080:F10080"/>
    <mergeCell ref="H10082:I10082"/>
    <mergeCell ref="E10084:F10084"/>
    <mergeCell ref="E10085:F10085"/>
    <mergeCell ref="E10086:F10086"/>
    <mergeCell ref="H10088:I10088"/>
    <mergeCell ref="E10090:F10090"/>
    <mergeCell ref="E10091:F10091"/>
    <mergeCell ref="E10092:F10092"/>
    <mergeCell ref="H10094:I10094"/>
    <mergeCell ref="E10096:F10096"/>
    <mergeCell ref="E10097:F10097"/>
    <mergeCell ref="E10098:F10098"/>
    <mergeCell ref="H10100:I10100"/>
    <mergeCell ref="E10102:F10102"/>
    <mergeCell ref="E10103:F10103"/>
    <mergeCell ref="E10104:F10104"/>
    <mergeCell ref="E10105:F10105"/>
    <mergeCell ref="E10106:F10106"/>
    <mergeCell ref="E10107:F10107"/>
    <mergeCell ref="E10108:F10108"/>
    <mergeCell ref="E10109:F10109"/>
    <mergeCell ref="E10110:F10110"/>
    <mergeCell ref="E10111:F10111"/>
    <mergeCell ref="E10112:F10112"/>
    <mergeCell ref="E10113:F10113"/>
    <mergeCell ref="E10114:F10114"/>
    <mergeCell ref="E10115:F10115"/>
    <mergeCell ref="E10116:F10116"/>
    <mergeCell ref="H10118:I10118"/>
    <mergeCell ref="E10120:F10120"/>
    <mergeCell ref="E10121:F10121"/>
    <mergeCell ref="E10122:F10122"/>
    <mergeCell ref="E10123:F10123"/>
    <mergeCell ref="H10125:I10125"/>
    <mergeCell ref="E10127:F10127"/>
    <mergeCell ref="E10128:F10128"/>
    <mergeCell ref="E10129:F10129"/>
    <mergeCell ref="E10130:F10130"/>
    <mergeCell ref="E10131:F10131"/>
    <mergeCell ref="E10132:F10132"/>
    <mergeCell ref="H10134:I10134"/>
    <mergeCell ref="E10161:F10161"/>
    <mergeCell ref="E10162:F10162"/>
    <mergeCell ref="E10163:F10163"/>
    <mergeCell ref="E10164:F10164"/>
    <mergeCell ref="E10165:F10165"/>
    <mergeCell ref="E10166:F10166"/>
    <mergeCell ref="E10167:F10167"/>
    <mergeCell ref="E10168:F10168"/>
    <mergeCell ref="E10169:F10169"/>
    <mergeCell ref="H10171:I10171"/>
    <mergeCell ref="E10136:F10136"/>
    <mergeCell ref="E10137:F10137"/>
    <mergeCell ref="E10138:F10138"/>
    <mergeCell ref="H10140:I10140"/>
    <mergeCell ref="E10142:F10142"/>
    <mergeCell ref="E10143:F10143"/>
    <mergeCell ref="E10144:F10144"/>
    <mergeCell ref="H10146:I10146"/>
    <mergeCell ref="E10148:F10148"/>
    <mergeCell ref="E10149:F10149"/>
    <mergeCell ref="E10150:F10150"/>
    <mergeCell ref="H10152:I10152"/>
    <mergeCell ref="E10154:F10154"/>
    <mergeCell ref="E10155:F10155"/>
    <mergeCell ref="E10156:F10156"/>
    <mergeCell ref="H10158:I10158"/>
    <mergeCell ref="E10160:F10160"/>
  </mergeCells>
  <phoneticPr fontId="8" type="noConversion"/>
  <printOptions horizontalCentered="1"/>
  <pageMargins left="0.59055118110236227" right="0.19685039370078741" top="0.78740157480314965" bottom="0.78740157480314965" header="0" footer="0.19685039370078741"/>
  <pageSetup paperSize="9" scale="45" fitToHeight="0" orientation="portrait" r:id="rId1"/>
  <headerFooter>
    <oddFooter>&amp;R&amp;"Verdana,Normal"&amp;10Página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2ACD-47BF-4E39-AFC7-2E465E8DB5C4}">
  <sheetPr>
    <tabColor rgb="FFFFFF00"/>
    <pageSetUpPr fitToPage="1"/>
  </sheetPr>
  <dimension ref="A2:K933"/>
  <sheetViews>
    <sheetView showGridLines="0" zoomScale="85" zoomScaleNormal="85" zoomScaleSheetLayoutView="85" workbookViewId="0">
      <pane xSplit="3" ySplit="8" topLeftCell="D9" activePane="bottomRight" state="frozen"/>
      <selection activeCell="G14" sqref="G14"/>
      <selection pane="topRight" activeCell="G14" sqref="G14"/>
      <selection pane="bottomLeft" activeCell="G14" sqref="G14"/>
      <selection pane="bottomRight" activeCell="C19" sqref="C19"/>
    </sheetView>
  </sheetViews>
  <sheetFormatPr defaultColWidth="9.109375" defaultRowHeight="16.8" x14ac:dyDescent="0.3"/>
  <cols>
    <col min="1" max="1" width="12.6640625" style="77" customWidth="1"/>
    <col min="2" max="2" width="13.44140625" style="73" bestFit="1" customWidth="1"/>
    <col min="3" max="3" width="62.88671875" style="78" customWidth="1"/>
    <col min="4" max="4" width="22.109375" style="73" bestFit="1" customWidth="1"/>
    <col min="5" max="5" width="11.33203125" style="73" bestFit="1" customWidth="1"/>
    <col min="6" max="6" width="13.33203125" style="73" bestFit="1" customWidth="1"/>
    <col min="7" max="7" width="9.109375" style="73"/>
    <col min="8" max="10" width="9.109375" style="73" hidden="1" customWidth="1"/>
    <col min="11" max="16384" width="9.109375" style="73"/>
  </cols>
  <sheetData>
    <row r="2" spans="1:11" ht="20.399999999999999" x14ac:dyDescent="0.3">
      <c r="A2" s="609" t="s">
        <v>5898</v>
      </c>
      <c r="B2" s="609"/>
      <c r="C2" s="609"/>
      <c r="D2" s="609"/>
      <c r="E2" s="609"/>
      <c r="F2" s="609"/>
      <c r="G2" s="76"/>
      <c r="H2" s="76"/>
      <c r="I2" s="76"/>
      <c r="J2" s="76"/>
      <c r="K2" s="76"/>
    </row>
    <row r="3" spans="1:11" ht="17.399999999999999" thickBot="1" x14ac:dyDescent="0.35"/>
    <row r="4" spans="1:11" x14ac:dyDescent="0.3">
      <c r="A4" s="79"/>
      <c r="B4" s="613" t="str">
        <f>Resumo!C4</f>
        <v>LITOTECA URCA/RJ</v>
      </c>
      <c r="C4" s="613"/>
      <c r="D4" s="80"/>
      <c r="E4" s="80"/>
      <c r="F4" s="81"/>
    </row>
    <row r="5" spans="1:11" x14ac:dyDescent="0.3">
      <c r="A5" s="82"/>
      <c r="B5" s="610" t="s">
        <v>5897</v>
      </c>
      <c r="C5" s="610"/>
      <c r="D5" s="83"/>
      <c r="E5" s="83"/>
      <c r="F5" s="84"/>
    </row>
    <row r="6" spans="1:11" x14ac:dyDescent="0.3">
      <c r="A6" s="82"/>
      <c r="B6" s="610" t="s">
        <v>5894</v>
      </c>
      <c r="C6" s="610"/>
      <c r="D6" s="83"/>
      <c r="E6" s="83"/>
      <c r="F6" s="84"/>
    </row>
    <row r="7" spans="1:11" ht="17.399999999999999" thickBot="1" x14ac:dyDescent="0.35">
      <c r="A7" s="85"/>
      <c r="B7" s="614" t="s">
        <v>5899</v>
      </c>
      <c r="C7" s="614"/>
      <c r="D7" s="86"/>
      <c r="E7" s="86"/>
      <c r="F7" s="87"/>
    </row>
    <row r="8" spans="1:11" ht="12.6" customHeight="1" x14ac:dyDescent="0.3"/>
    <row r="9" spans="1:11" x14ac:dyDescent="0.3">
      <c r="A9" s="88">
        <v>1</v>
      </c>
      <c r="B9" s="89" t="str">
        <f>_xlfn.XLOOKUP($D9,Planilha!$O:$O,Planilha!C:C)</f>
        <v>02.01.07.01.01</v>
      </c>
      <c r="C9" s="90" t="str">
        <f>_xlfn.XLOOKUP($D9,Planilha!$O:$O,Planilha!F:F)</f>
        <v>PILARES PRÉ-MOLDADOS - FORNECIMETNOE COLOCAÇÃO</v>
      </c>
      <c r="D9" s="91">
        <f>LARGE(Planilha!$O:$O,$A9)</f>
        <v>1222720.43</v>
      </c>
      <c r="E9" s="92">
        <f t="shared" ref="E9:E72" si="0">D9/$D$933</f>
        <v>8.7847890144223173E-2</v>
      </c>
      <c r="F9" s="93">
        <f>E9</f>
        <v>8.7847890144223173E-2</v>
      </c>
      <c r="I9" s="73" t="str" cm="1">
        <f t="array" ref="I9:I722">_xlfn.UNIQUE(C9:C931)</f>
        <v>PILARES PRÉ-MOLDADOS - FORNECIMETNOE COLOCAÇÃO</v>
      </c>
    </row>
    <row r="10" spans="1:11" ht="33.6" x14ac:dyDescent="0.3">
      <c r="A10" s="88">
        <f>+A9+1</f>
        <v>2</v>
      </c>
      <c r="B10" s="89" t="str">
        <f>_xlfn.XLOOKUP(D10,Planilha!O:O,Planilha!C:C)</f>
        <v>02.01.08.01</v>
      </c>
      <c r="C10" s="90" t="str">
        <f>_xlfn.XLOOKUP($D10,Planilha!$O:$O,Planilha!F:F)</f>
        <v>FORNECIMENTO E MONTAGEM DE ESTRUTURA TUBULAR EM AÇO ASTM-A572 GRAU 50, SEM PINTURA</v>
      </c>
      <c r="D10" s="91">
        <f>LARGE(Planilha!$O:$O,$A10)</f>
        <v>1051697.01</v>
      </c>
      <c r="E10" s="92">
        <f t="shared" si="0"/>
        <v>7.5560497013604316E-2</v>
      </c>
      <c r="F10" s="93">
        <f t="shared" ref="F10:F72" si="1">+E10+F9</f>
        <v>0.16340838715782749</v>
      </c>
      <c r="I10" s="73" t="str">
        <v>FORNECIMENTO E MONTAGEM DE ESTRUTURA TUBULAR EM AÇO ASTM-A572 GRAU 50, SEM PINTURA</v>
      </c>
    </row>
    <row r="11" spans="1:11" ht="50.4" x14ac:dyDescent="0.3">
      <c r="A11" s="88">
        <f t="shared" ref="A11:A74" si="2">+A10+1</f>
        <v>3</v>
      </c>
      <c r="B11" s="89" t="str">
        <f>_xlfn.XLOOKUP(D11,Planilha!O:O,Planilha!C:C)</f>
        <v>02.02.11.01.08</v>
      </c>
      <c r="C11" s="90" t="str">
        <f>_xlfn.XLOOKUP($D11,Planilha!$O:$O,Planilha!F:F)</f>
        <v>FORNECIMENTO DO FECHAMENTO LATERAL EM PAINÉIS TERMILOR WALL,CONFORME PROJETO b-027, + 10% ACESSÓRIOS E ACABAMENTO</v>
      </c>
      <c r="D11" s="91">
        <f>LARGE(Planilha!$O:$O,$A11)</f>
        <v>377312.1</v>
      </c>
      <c r="E11" s="92">
        <f t="shared" si="0"/>
        <v>2.7108463306600796E-2</v>
      </c>
      <c r="F11" s="93">
        <f t="shared" si="1"/>
        <v>0.19051685046442829</v>
      </c>
      <c r="I11" s="73" t="str">
        <v>FORNECIMENTO DO FECHAMENTO LATERAL EM PAINÉIS TERMILOR WALL,CONFORME PROJETO b-027, + 10% ACESSÓRIOS E ACABAMENTO</v>
      </c>
    </row>
    <row r="12" spans="1:11" x14ac:dyDescent="0.3">
      <c r="A12" s="88">
        <f t="shared" si="2"/>
        <v>4</v>
      </c>
      <c r="B12" s="89" t="str">
        <f>_xlfn.XLOOKUP(D12,Planilha!O:O,Planilha!C:C)</f>
        <v>02.02.11.02.10</v>
      </c>
      <c r="C12" s="90" t="str">
        <f>_xlfn.XLOOKUP($D12,Planilha!$O:$O,Planilha!F:F)</f>
        <v>ROLL-ON RO 150 KS</v>
      </c>
      <c r="D12" s="91">
        <f>LARGE(Planilha!$O:$O,$A12)</f>
        <v>375370.63</v>
      </c>
      <c r="E12" s="92">
        <f t="shared" si="0"/>
        <v>2.6968975947844306E-2</v>
      </c>
      <c r="F12" s="93">
        <f t="shared" si="1"/>
        <v>0.2174858264122726</v>
      </c>
      <c r="I12" s="73" t="str">
        <v>ROLL-ON RO 150 KS</v>
      </c>
    </row>
    <row r="13" spans="1:11" ht="50.4" x14ac:dyDescent="0.3">
      <c r="A13" s="88">
        <f t="shared" si="2"/>
        <v>5</v>
      </c>
      <c r="B13" s="89" t="str">
        <f>_xlfn.XLOOKUP(D13,Planilha!O:O,Planilha!C:C)</f>
        <v>02.02.11.01.07</v>
      </c>
      <c r="C13" s="90" t="str">
        <f>_xlfn.XLOOKUP($D13,Planilha!$O:$O,Planilha!F:F)</f>
        <v>MONTAGEM DE FECHAMENTO LATERAL COM TELHAS TERMOACÚSTICAS E ACESSÓRIOS DE FIXAÇÃO, INLCUIDO MUNK, SEM FORNECIMETNO DE MATERIAL</v>
      </c>
      <c r="D13" s="91">
        <f>LARGE(Planilha!$O:$O,$A13)</f>
        <v>327122.5</v>
      </c>
      <c r="E13" s="92">
        <f t="shared" si="0"/>
        <v>2.3502528246545817E-2</v>
      </c>
      <c r="F13" s="93">
        <f t="shared" si="1"/>
        <v>0.2409883546588184</v>
      </c>
      <c r="I13" s="73" t="str">
        <v>MONTAGEM DE FECHAMENTO LATERAL COM TELHAS TERMOACÚSTICAS E ACESSÓRIOS DE FIXAÇÃO, INLCUIDO MUNK, SEM FORNECIMETNO DE MATERIAL</v>
      </c>
    </row>
    <row r="14" spans="1:11" ht="50.4" x14ac:dyDescent="0.3">
      <c r="A14" s="88">
        <f t="shared" si="2"/>
        <v>6</v>
      </c>
      <c r="B14" s="89" t="str">
        <f>_xlfn.XLOOKUP(D14,Planilha!O:O,Planilha!C:C)</f>
        <v>02.01.02.02</v>
      </c>
      <c r="C14" s="90" t="str">
        <f>_xlfn.XLOOKUP($D14,Planilha!$O:$O,Planilha!F:F)</f>
        <v>ESCAVAÇÃO MANUAL PARA BLOCO DE COROAMENTO OU SAPATA (INCLUINDO ESCAVAÇÃO PARA COLOCAÇÃO DE FÔRMAS). AF_06/2017</v>
      </c>
      <c r="D14" s="91">
        <f>LARGE(Planilha!$O:$O,$A14)</f>
        <v>276468.28000000003</v>
      </c>
      <c r="E14" s="92">
        <f t="shared" si="0"/>
        <v>1.9863211977084849E-2</v>
      </c>
      <c r="F14" s="93">
        <f t="shared" si="1"/>
        <v>0.26085156663590325</v>
      </c>
      <c r="I14" s="73" t="str">
        <v>ESCAVAÇÃO MANUAL PARA BLOCO DE COROAMENTO OU SAPATA (INCLUINDO ESCAVAÇÃO PARA COLOCAÇÃO DE FÔRMAS). AF_06/2017</v>
      </c>
    </row>
    <row r="15" spans="1:11" ht="50.4" x14ac:dyDescent="0.3">
      <c r="A15" s="88">
        <f t="shared" si="2"/>
        <v>7</v>
      </c>
      <c r="B15" s="89" t="str">
        <f>_xlfn.XLOOKUP(D15,Planilha!O:O,Planilha!C:C)</f>
        <v>02.01.02.05</v>
      </c>
      <c r="C15" s="90" t="str">
        <f>_xlfn.XLOOKUP($D15,Planilha!$O:$O,Planilha!F:F)</f>
        <v>TRANSPORTE COM CAMINHÃO BASCULANTE DE 10 M³, EM VIA URBANA PAVIMENTADA, DMT ATÉ 30 KM (UNIDADE: M3XKM). AF_07/2020</v>
      </c>
      <c r="D15" s="91">
        <f>LARGE(Planilha!$O:$O,$A15)</f>
        <v>232555.54</v>
      </c>
      <c r="E15" s="92">
        <f t="shared" si="0"/>
        <v>1.6708245833718913E-2</v>
      </c>
      <c r="F15" s="93">
        <f t="shared" si="1"/>
        <v>0.27755981246962219</v>
      </c>
      <c r="I15" s="73" t="str">
        <v>TRANSPORTE COM CAMINHÃO BASCULANTE DE 10 M³, EM VIA URBANA PAVIMENTADA, DMT ATÉ 30 KM (UNIDADE: M3XKM). AF_07/2020</v>
      </c>
    </row>
    <row r="16" spans="1:11" x14ac:dyDescent="0.3">
      <c r="A16" s="88">
        <f t="shared" si="2"/>
        <v>8</v>
      </c>
      <c r="B16" s="89" t="str">
        <f>_xlfn.XLOOKUP(D16,Planilha!O:O,Planilha!C:C)</f>
        <v>02.01.04.09</v>
      </c>
      <c r="C16" s="90" t="str">
        <f>_xlfn.XLOOKUP($D16,Planilha!$O:$O,Planilha!F:F)</f>
        <v>CONCRETO USINADO, FCK = 30 MPA - PARA BOMBEAMENTO</v>
      </c>
      <c r="D16" s="91">
        <f>LARGE(Planilha!$O:$O,$A16)</f>
        <v>232510.11</v>
      </c>
      <c r="E16" s="92">
        <f t="shared" si="0"/>
        <v>1.6704981858118823E-2</v>
      </c>
      <c r="F16" s="93">
        <f t="shared" si="1"/>
        <v>0.294264794327741</v>
      </c>
      <c r="I16" s="73" t="str">
        <v>CONCRETO USINADO, FCK = 30 MPA - PARA BOMBEAMENTO</v>
      </c>
    </row>
    <row r="17" spans="1:9" ht="33.6" x14ac:dyDescent="0.3">
      <c r="A17" s="88">
        <f t="shared" si="2"/>
        <v>9</v>
      </c>
      <c r="B17" s="89" t="str">
        <f>_xlfn.XLOOKUP(D17,Planilha!O:O,Planilha!C:C)</f>
        <v>01.01.01</v>
      </c>
      <c r="C17" s="90" t="str">
        <f>_xlfn.XLOOKUP($D17,Planilha!$O:$O,Planilha!F:F)</f>
        <v>ENGENHEIRO CIVIL DE OBRA PLENO COM ENCARGOS COMPLEMENTARES</v>
      </c>
      <c r="D17" s="91">
        <f>LARGE(Planilha!$O:$O,$A17)</f>
        <v>230153.52</v>
      </c>
      <c r="E17" s="92">
        <f t="shared" si="0"/>
        <v>1.6535669679835375E-2</v>
      </c>
      <c r="F17" s="93">
        <f t="shared" si="1"/>
        <v>0.31080046400757638</v>
      </c>
      <c r="I17" s="73" t="str">
        <v>ENGENHEIRO CIVIL DE OBRA PLENO COM ENCARGOS COMPLEMENTARES</v>
      </c>
    </row>
    <row r="18" spans="1:9" ht="50.4" x14ac:dyDescent="0.3">
      <c r="A18" s="88">
        <f t="shared" si="2"/>
        <v>10</v>
      </c>
      <c r="B18" s="89" t="str">
        <f>_xlfn.XLOOKUP(D18,Planilha!O:O,Planilha!C:C)</f>
        <v>01.05.11</v>
      </c>
      <c r="C18" s="90" t="str">
        <f>_xlfn.XLOOKUP($D18,Planilha!$O:$O,Planilha!F:F)</f>
        <v>TRANSPORTE COM CAMINHÃO BASCULANTE DE 10 M³, EM VIA URBANA PAVIMENTADA, DMT ATÉ 30 KM (UNIDADE: M3XKM). AF_07/2020</v>
      </c>
      <c r="D18" s="91">
        <f>LARGE(Planilha!$O:$O,$A18)</f>
        <v>227730.24</v>
      </c>
      <c r="E18" s="92">
        <f t="shared" si="0"/>
        <v>1.6361566074460356E-2</v>
      </c>
      <c r="F18" s="93">
        <f t="shared" si="1"/>
        <v>0.32716203008203676</v>
      </c>
      <c r="I18" s="73" t="str">
        <v>CABO DE COBRE FLEXÍVEL DE 185 MM², ISOLAMENTO 0,6/1 KV - ISOLAÇÃO HEPR 90°C - BAIXA EMISSÃO DE FUMAÇA E GASES</v>
      </c>
    </row>
    <row r="19" spans="1:9" ht="33.6" x14ac:dyDescent="0.3">
      <c r="A19" s="88">
        <f t="shared" si="2"/>
        <v>11</v>
      </c>
      <c r="B19" s="89" t="str">
        <f>_xlfn.XLOOKUP(D19,Planilha!O:O,Planilha!C:C)</f>
        <v>02.03.11.15.10</v>
      </c>
      <c r="C19" s="90" t="str">
        <f>_xlfn.XLOOKUP($D19,Planilha!$O:$O,Planilha!F:F)</f>
        <v>CABO DE COBRE FLEXÍVEL DE 185 MM², ISOLAMENTO 0,6/1 KV - ISOLAÇÃO HEPR 90°C - BAIXA EMISSÃO DE FUMAÇA E GASES</v>
      </c>
      <c r="D19" s="91">
        <f>LARGE(Planilha!$O:$O,$A19)</f>
        <v>212160</v>
      </c>
      <c r="E19" s="92">
        <f t="shared" si="0"/>
        <v>1.524290256031658E-2</v>
      </c>
      <c r="F19" s="93">
        <f t="shared" si="1"/>
        <v>0.34240493264235333</v>
      </c>
      <c r="I19" s="73" t="str">
        <v>DEMOLIÇÃO DE PILARES E VIGAS EM CONCRETO ARMADO, DE FORMA MECANIZADA COM MARTELETE, SEM REAPROVEITAMENTO. AF_12/2017</v>
      </c>
    </row>
    <row r="20" spans="1:9" ht="50.4" x14ac:dyDescent="0.3">
      <c r="A20" s="88">
        <f t="shared" si="2"/>
        <v>12</v>
      </c>
      <c r="B20" s="89" t="str">
        <f>_xlfn.XLOOKUP(D20,Planilha!O:O,Planilha!C:C)</f>
        <v>01.05.02</v>
      </c>
      <c r="C20" s="90" t="str">
        <f>_xlfn.XLOOKUP($D20,Planilha!$O:$O,Planilha!F:F)</f>
        <v>DEMOLIÇÃO DE PILARES E VIGAS EM CONCRETO ARMADO, DE FORMA MECANIZADA COM MARTELETE, SEM REAPROVEITAMENTO. AF_12/2017</v>
      </c>
      <c r="D20" s="91">
        <f>LARGE(Planilha!$O:$O,$A20)</f>
        <v>210984.41</v>
      </c>
      <c r="E20" s="92">
        <f t="shared" si="0"/>
        <v>1.5158440815308649E-2</v>
      </c>
      <c r="F20" s="93">
        <f t="shared" si="1"/>
        <v>0.35756337345766198</v>
      </c>
      <c r="I20" s="73" t="str">
        <v>MODULO DE CONTROLE CENTRAL CS-NET WEB HITACHI</v>
      </c>
    </row>
    <row r="21" spans="1:9" x14ac:dyDescent="0.3">
      <c r="A21" s="88">
        <f t="shared" si="2"/>
        <v>13</v>
      </c>
      <c r="B21" s="89" t="str">
        <f>_xlfn.XLOOKUP(D21,Planilha!O:O,Planilha!C:C)</f>
        <v>02.03.09.20</v>
      </c>
      <c r="C21" s="90" t="str">
        <f>_xlfn.XLOOKUP($D21,Planilha!$O:$O,Planilha!F:F)</f>
        <v>MODULO DE CONTROLE CENTRAL CS-NET WEB HITACHI</v>
      </c>
      <c r="D21" s="91">
        <f>LARGE(Planilha!$O:$O,$A21)</f>
        <v>210275.1</v>
      </c>
      <c r="E21" s="92">
        <f t="shared" si="0"/>
        <v>1.5107479544498609E-2</v>
      </c>
      <c r="F21" s="93">
        <f t="shared" si="1"/>
        <v>0.37267085300216057</v>
      </c>
      <c r="I21" s="73" t="str">
        <v>ESTRUTURA AUXILIAR DE FECH.</v>
      </c>
    </row>
    <row r="22" spans="1:9" x14ac:dyDescent="0.3">
      <c r="A22" s="88">
        <f t="shared" si="2"/>
        <v>14</v>
      </c>
      <c r="B22" s="89" t="str">
        <f>_xlfn.XLOOKUP(D22,Planilha!O:O,Planilha!C:C)</f>
        <v>02.02.11.02.19</v>
      </c>
      <c r="C22" s="90" t="str">
        <f>_xlfn.XLOOKUP($D22,Planilha!$O:$O,Planilha!F:F)</f>
        <v>ESTRUTURA AUXILIAR DE FECH.</v>
      </c>
      <c r="D22" s="91">
        <f>LARGE(Planilha!$O:$O,$A22)</f>
        <v>202403.35</v>
      </c>
      <c r="E22" s="92">
        <f t="shared" si="0"/>
        <v>1.4541923745907112E-2</v>
      </c>
      <c r="F22" s="93">
        <f t="shared" si="1"/>
        <v>0.3872127767480677</v>
      </c>
      <c r="I22" s="73" t="str">
        <v>MONTAGEM DE ESTRUTURA AUXILIAR  PARA FIXAÇÃO DOS PAINÉIS TERMOACÚSTICOS, INCLUINDO MUNK, CONFORME PROJETO, SEM FORNECIMETNO DE MATERIAL</v>
      </c>
    </row>
    <row r="23" spans="1:9" ht="50.4" x14ac:dyDescent="0.3">
      <c r="A23" s="88">
        <f t="shared" si="2"/>
        <v>15</v>
      </c>
      <c r="B23" s="89" t="str">
        <f>_xlfn.XLOOKUP(D23,Planilha!O:O,Planilha!C:C)</f>
        <v>02.02.11.01.06</v>
      </c>
      <c r="C23" s="90" t="str">
        <f>_xlfn.XLOOKUP($D23,Planilha!$O:$O,Planilha!F:F)</f>
        <v>MONTAGEM DE ESTRUTURA AUXILIAR  PARA FIXAÇÃO DOS PAINÉIS TERMOACÚSTICOS, INCLUINDO MUNK, CONFORME PROJETO, SEM FORNECIMETNO DE MATERIAL</v>
      </c>
      <c r="D23" s="91">
        <f>LARGE(Planilha!$O:$O,$A23)</f>
        <v>193557.46</v>
      </c>
      <c r="E23" s="92">
        <f t="shared" si="0"/>
        <v>1.3906379631421446E-2</v>
      </c>
      <c r="F23" s="93">
        <f t="shared" si="1"/>
        <v>0.40111915637948914</v>
      </c>
      <c r="I23" s="73" t="str">
        <v>CPM.02.A - PAINEL EM CHAPA METÁLICA PERFURADA REDONDA EM AÇO INOX 304 - PERFURAÇÃO R8,00 EC11,00. ACABAMENTO EM PINTURA ELETROSTÁTICA COR RAL 7042 BRILHANTE. SUBESTRUTURA EM PERFIS DE AÇO INOX 304 E ACESSÓRIOS PARA FIXAÇÃO PINTADOS NA MESMA COR, PARAFUSOS SEM PINTURA.24,999 - 5,286m2</v>
      </c>
    </row>
    <row r="24" spans="1:9" ht="100.8" x14ac:dyDescent="0.3">
      <c r="A24" s="88">
        <f t="shared" si="2"/>
        <v>16</v>
      </c>
      <c r="B24" s="89" t="str">
        <f>_xlfn.XLOOKUP(D24,Planilha!O:O,Planilha!C:C)</f>
        <v>02.02.15.05.04</v>
      </c>
      <c r="C24" s="90" t="str">
        <f>_xlfn.XLOOKUP($D24,Planilha!$O:$O,Planilha!F:F)</f>
        <v>CPM.02.A - PAINEL EM CHAPA METÁLICA PERFURADA REDONDA EM AÇO INOX 304 - PERFURAÇÃO R8,00 EC11,00. ACABAMENTO EM PINTURA ELETROSTÁTICA COR RAL 7042 BRILHANTE. SUBESTRUTURA EM PERFIS DE AÇO INOX 304 E ACESSÓRIOS PARA FIXAÇÃO PINTADOS NA MESMA COR, PARAFUSOS SEM PINTURA.24,999 - 5,286m2</v>
      </c>
      <c r="D24" s="91">
        <f>LARGE(Planilha!$O:$O,$A24)</f>
        <v>193318.82</v>
      </c>
      <c r="E24" s="92">
        <f t="shared" si="0"/>
        <v>1.3889234239891498E-2</v>
      </c>
      <c r="F24" s="93">
        <f t="shared" si="1"/>
        <v>0.41500839061938066</v>
      </c>
      <c r="I24" s="73" t="str">
        <v>FORMA PLANA EM COMPENSADO PARA ESTRUTURA APARENTE COM CIMBRAMENTO TUBULAR METÁLICO</v>
      </c>
    </row>
    <row r="25" spans="1:9" ht="33.6" x14ac:dyDescent="0.3">
      <c r="A25" s="88">
        <f t="shared" si="2"/>
        <v>17</v>
      </c>
      <c r="B25" s="89" t="str">
        <f>_xlfn.XLOOKUP(D25,Planilha!O:O,Planilha!C:C)</f>
        <v>02.01.07.03.03</v>
      </c>
      <c r="C25" s="90" t="str">
        <f>_xlfn.XLOOKUP($D25,Planilha!$O:$O,Planilha!F:F)</f>
        <v>FORMA PLANA EM COMPENSADO PARA ESTRUTURA APARENTE COM CIMBRAMENTO TUBULAR METÁLICO</v>
      </c>
      <c r="D25" s="91">
        <f>LARGE(Planilha!$O:$O,$A25)</f>
        <v>180846.6</v>
      </c>
      <c r="E25" s="92">
        <f t="shared" si="0"/>
        <v>1.2993151876718272E-2</v>
      </c>
      <c r="F25" s="93">
        <f t="shared" si="1"/>
        <v>0.42800154249609895</v>
      </c>
      <c r="I25" s="73" t="str">
        <v>MONTAGEM DE COBERTUA ROLLON, CORORME PROJETO CONSIDERANDO PRÉ-MONTGAGEM IN LOCO, SEM FORNECIMENTO DE MATERIAL</v>
      </c>
    </row>
    <row r="26" spans="1:9" ht="50.4" x14ac:dyDescent="0.3">
      <c r="A26" s="88">
        <f t="shared" si="2"/>
        <v>18</v>
      </c>
      <c r="B26" s="89" t="str">
        <f>_xlfn.XLOOKUP(D26,Planilha!O:O,Planilha!C:C)</f>
        <v>02.02.11.01.05</v>
      </c>
      <c r="C26" s="90" t="str">
        <f>_xlfn.XLOOKUP($D26,Planilha!$O:$O,Planilha!F:F)</f>
        <v>MONTAGEM DE COBERTUA ROLLON, CORORME PROJETO CONSIDERANDO PRÉ-MONTGAGEM IN LOCO, SEM FORNECIMENTO DE MATERIAL</v>
      </c>
      <c r="D26" s="91">
        <f>LARGE(Planilha!$O:$O,$A26)</f>
        <v>176372.28</v>
      </c>
      <c r="E26" s="92">
        <f t="shared" si="0"/>
        <v>1.2671688717858563E-2</v>
      </c>
      <c r="F26" s="93">
        <f t="shared" si="1"/>
        <v>0.44067323121395752</v>
      </c>
      <c r="I26" s="73" t="str">
        <v>CPM.01.B - PAINEL EM CHAPA METÁLICA PERFURADA REDONDA EM AÇO INOX 304 - PERFURAÇÃO R8,00 EC11,00. ACABAMENTO EM PINTURA ELETROSTÁTICA COR RAL 7042 BRILHANTE. SUBESTRUTURA EM PERFIS DE AÇO INOX 304 E ACESSÓRIOS PARA FIXAÇÃO PINTADOS NA MESMA COR, PARAFUSOS SEM PINTURA.24,08 - 5,286m2</v>
      </c>
    </row>
    <row r="27" spans="1:9" ht="100.8" x14ac:dyDescent="0.3">
      <c r="A27" s="88">
        <f t="shared" si="2"/>
        <v>19</v>
      </c>
      <c r="B27" s="89" t="str">
        <f>_xlfn.XLOOKUP(D27,Planilha!O:O,Planilha!C:C)</f>
        <v>02.02.15.05.02</v>
      </c>
      <c r="C27" s="90" t="str">
        <f>_xlfn.XLOOKUP($D27,Planilha!$O:$O,Planilha!F:F)</f>
        <v>CPM.01.B - PAINEL EM CHAPA METÁLICA PERFURADA REDONDA EM AÇO INOX 304 - PERFURAÇÃO R8,00 EC11,00. ACABAMENTO EM PINTURA ELETROSTÁTICA COR RAL 7042 BRILHANTE. SUBESTRUTURA EM PERFIS DE AÇO INOX 304 E ACESSÓRIOS PARA FIXAÇÃO PINTADOS NA MESMA COR, PARAFUSOS SEM PINTURA.24,08 - 5,286m2</v>
      </c>
      <c r="D27" s="91">
        <f>LARGE(Planilha!$O:$O,$A27)</f>
        <v>170043.49</v>
      </c>
      <c r="E27" s="92">
        <f t="shared" si="0"/>
        <v>1.2216988824878237E-2</v>
      </c>
      <c r="F27" s="93">
        <f t="shared" si="1"/>
        <v>0.45289022003883578</v>
      </c>
      <c r="I27" s="73" t="str">
        <v xml:space="preserve">ESTACA RAIZ DIÂMETRO 410MM </v>
      </c>
    </row>
    <row r="28" spans="1:9" x14ac:dyDescent="0.3">
      <c r="A28" s="88">
        <f t="shared" si="2"/>
        <v>20</v>
      </c>
      <c r="B28" s="89" t="str">
        <f>_xlfn.XLOOKUP(D28,Planilha!O:O,Planilha!C:C)</f>
        <v>02.01.05.02</v>
      </c>
      <c r="C28" s="90" t="str">
        <f>_xlfn.XLOOKUP($D28,Planilha!$O:$O,Planilha!F:F)</f>
        <v xml:space="preserve">ESTACA RAIZ DIÂMETRO 410MM </v>
      </c>
      <c r="D28" s="91">
        <f>LARGE(Planilha!$O:$O,$A28)</f>
        <v>160320</v>
      </c>
      <c r="E28" s="92">
        <f t="shared" si="0"/>
        <v>1.151839243245642E-2</v>
      </c>
      <c r="F28" s="93">
        <f t="shared" si="1"/>
        <v>0.46440861247129217</v>
      </c>
      <c r="I28" s="73" t="str">
        <v>BLC03 -  ALVENARIA DE VEDAÇÃO DE BLOCOS  VAZADOS DE CONCRETO APARENTE DE 19X19X39 CM (ESPESSURA 19 CM) E ARGAMASSA DE ASSENTAMENTO COM PREPARO EM BETONEIRA. AF_12/2021</v>
      </c>
    </row>
    <row r="29" spans="1:9" ht="67.2" x14ac:dyDescent="0.3">
      <c r="A29" s="88">
        <f t="shared" si="2"/>
        <v>21</v>
      </c>
      <c r="B29" s="89" t="str">
        <f>_xlfn.XLOOKUP(D29,Planilha!O:O,Planilha!C:C)</f>
        <v>02.02.01.03</v>
      </c>
      <c r="C29" s="90" t="str">
        <f>_xlfn.XLOOKUP($D29,Planilha!$O:$O,Planilha!F:F)</f>
        <v>BLC03 -  ALVENARIA DE VEDAÇÃO DE BLOCOS  VAZADOS DE CONCRETO APARENTE DE 19X19X39 CM (ESPESSURA 19 CM) E ARGAMASSA DE ASSENTAMENTO COM PREPARO EM BETONEIRA. AF_12/2021</v>
      </c>
      <c r="D29" s="91">
        <f>LARGE(Planilha!$O:$O,$A29)</f>
        <v>159548.38</v>
      </c>
      <c r="E29" s="92">
        <f t="shared" si="0"/>
        <v>1.1462954421174409E-2</v>
      </c>
      <c r="F29" s="93">
        <f t="shared" si="1"/>
        <v>0.47587156689246657</v>
      </c>
      <c r="I29" s="73" t="str">
        <v>ARMAÇÃO DE BLOCO, VIGA BALDRAME OU SAPATA UTILIZANDO AÇO CA-50 DE 20 MM - MONTAGEM. AF_06/2017</v>
      </c>
    </row>
    <row r="30" spans="1:9" ht="33.6" x14ac:dyDescent="0.3">
      <c r="A30" s="88">
        <f t="shared" si="2"/>
        <v>22</v>
      </c>
      <c r="B30" s="89" t="str">
        <f>_xlfn.XLOOKUP(D30,Planilha!O:O,Planilha!C:C)</f>
        <v>02.01.04.08</v>
      </c>
      <c r="C30" s="90" t="str">
        <f>_xlfn.XLOOKUP($D30,Planilha!$O:$O,Planilha!F:F)</f>
        <v>ARMAÇÃO DE BLOCO, VIGA BALDRAME OU SAPATA UTILIZANDO AÇO CA-50 DE 20 MM - MONTAGEM. AF_06/2017</v>
      </c>
      <c r="D30" s="91">
        <f>LARGE(Planilha!$O:$O,$A30)</f>
        <v>148620</v>
      </c>
      <c r="E30" s="92">
        <f t="shared" si="0"/>
        <v>1.0677791188321314E-2</v>
      </c>
      <c r="F30" s="93">
        <f t="shared" si="1"/>
        <v>0.48654935808078786</v>
      </c>
      <c r="I30" s="73" t="str">
        <v>ESTACA METÁLICA PARA FUNDAÇÃO, UTILIZANDO PERFIL LAMINADO W310X38,7 + W200X46,10 (EXCLUSIVE MOBILIZAÇÃO E DESMOBILIZAÇÃO). AF_01/2020</v>
      </c>
    </row>
    <row r="31" spans="1:9" ht="50.4" x14ac:dyDescent="0.3">
      <c r="A31" s="88">
        <f t="shared" si="2"/>
        <v>23</v>
      </c>
      <c r="B31" s="89" t="str">
        <f>_xlfn.XLOOKUP(D31,Planilha!O:O,Planilha!C:C)</f>
        <v>02.01.05.01</v>
      </c>
      <c r="C31" s="90" t="str">
        <f>_xlfn.XLOOKUP($D31,Planilha!$O:$O,Planilha!F:F)</f>
        <v>ESTACA METÁLICA PARA FUNDAÇÃO, UTILIZANDO PERFIL LAMINADO W310X38,7 + W200X46,10 (EXCLUSIVE MOBILIZAÇÃO E DESMOBILIZAÇÃO). AF_01/2020</v>
      </c>
      <c r="D31" s="22">
        <f>LARGE(Planilha!$O:$O,$A31)</f>
        <v>147261.84</v>
      </c>
      <c r="E31" s="92">
        <f t="shared" si="0"/>
        <v>1.0580212471591867E-2</v>
      </c>
      <c r="F31" s="93">
        <f t="shared" si="1"/>
        <v>0.49712957055237972</v>
      </c>
      <c r="I31" s="73" t="str">
        <v>CONCRETAGEM DE RADIER, PISO DE CONCRETO OU LAJE SOBRE SOLO, FCK 30 MPA - LANÇAMENTO, ADENSAMENTO E ACABAMENTO. AF_09/2021</v>
      </c>
    </row>
    <row r="32" spans="1:9" ht="50.4" x14ac:dyDescent="0.3">
      <c r="A32" s="88">
        <f t="shared" si="2"/>
        <v>24</v>
      </c>
      <c r="B32" s="89" t="str">
        <f>_xlfn.XLOOKUP(D32,Planilha!O:O,Planilha!C:C)</f>
        <v>02.02.06.04</v>
      </c>
      <c r="C32" s="90" t="str">
        <f>_xlfn.XLOOKUP($D32,Planilha!$O:$O,Planilha!F:F)</f>
        <v>CONCRETAGEM DE RADIER, PISO DE CONCRETO OU LAJE SOBRE SOLO, FCK 30 MPA - LANÇAMENTO, ADENSAMENTO E ACABAMENTO. AF_09/2021</v>
      </c>
      <c r="D32" s="91">
        <f>LARGE(Planilha!$O:$O,$A32)</f>
        <v>143494.92000000001</v>
      </c>
      <c r="E32" s="92">
        <f t="shared" si="0"/>
        <v>1.0309573357185253E-2</v>
      </c>
      <c r="F32" s="93">
        <f t="shared" si="1"/>
        <v>0.50743914390956502</v>
      </c>
      <c r="I32" s="73" t="str">
        <v xml:space="preserve">GUARDA-CORPO DE AÇO GALVANIZADO DE 1,10M DE ALTURA,DUPLO CORRIMÃO, MONTANTES TUBULARES DE 1.1/2" ESPAÇADOS 1,20M, TRAVESSA SUPERIOR DE 2" </v>
      </c>
    </row>
    <row r="33" spans="1:9" ht="50.4" x14ac:dyDescent="0.3">
      <c r="A33" s="88">
        <f t="shared" si="2"/>
        <v>25</v>
      </c>
      <c r="B33" s="89" t="str">
        <f>_xlfn.XLOOKUP(D33,Planilha!O:O,Planilha!C:C)</f>
        <v>02.02.16.05</v>
      </c>
      <c r="C33" s="90" t="str">
        <f>_xlfn.XLOOKUP($D33,Planilha!$O:$O,Planilha!F:F)</f>
        <v xml:space="preserve">GUARDA-CORPO DE AÇO GALVANIZADO DE 1,10M DE ALTURA,DUPLO CORRIMÃO, MONTANTES TUBULARES DE 1.1/2" ESPAÇADOS 1,20M, TRAVESSA SUPERIOR DE 2" </v>
      </c>
      <c r="D33" s="91">
        <f>LARGE(Planilha!$O:$O,$A33)</f>
        <v>131549.14000000001</v>
      </c>
      <c r="E33" s="92">
        <f t="shared" si="0"/>
        <v>9.4513137392224951E-3</v>
      </c>
      <c r="F33" s="93">
        <f t="shared" si="1"/>
        <v>0.51689045764878749</v>
      </c>
      <c r="I33" s="73" t="str">
        <v>FORNECIMANTO DE CONDICIONADORES DE AR</v>
      </c>
    </row>
    <row r="34" spans="1:9" x14ac:dyDescent="0.3">
      <c r="A34" s="88">
        <f t="shared" si="2"/>
        <v>26</v>
      </c>
      <c r="B34" s="89" t="str">
        <f>_xlfn.XLOOKUP(D34,Planilha!O:O,Planilha!C:C)</f>
        <v>02.06.01.01.01</v>
      </c>
      <c r="C34" s="90" t="str">
        <f>_xlfn.XLOOKUP($D34,Planilha!$O:$O,Planilha!F:F)</f>
        <v>FORNECIMANTO DE CONDICIONADORES DE AR</v>
      </c>
      <c r="D34" s="91">
        <f>LARGE(Planilha!$O:$O,$A34)</f>
        <v>125720</v>
      </c>
      <c r="E34" s="92">
        <f t="shared" si="0"/>
        <v>9.0325118301423472E-3</v>
      </c>
      <c r="F34" s="93">
        <f t="shared" si="1"/>
        <v>0.5259229694789298</v>
      </c>
      <c r="I34" s="73" t="str">
        <v>MONTAGEM PERFIL ACO ASTM A36 6"" LAMINADO + FIXACOES</v>
      </c>
    </row>
    <row r="35" spans="1:9" x14ac:dyDescent="0.3">
      <c r="A35" s="88">
        <f t="shared" si="2"/>
        <v>27</v>
      </c>
      <c r="B35" s="89" t="str">
        <f>_xlfn.XLOOKUP(D35,Planilha!O:O,Planilha!C:C)</f>
        <v>02.01.08.02</v>
      </c>
      <c r="C35" s="90" t="str">
        <f>_xlfn.XLOOKUP($D35,Planilha!$O:$O,Planilha!F:F)</f>
        <v>MONTAGEM PERFIL ACO ASTM A36 6"" LAMINADO + FIXACOES</v>
      </c>
      <c r="D35" s="91">
        <f>LARGE(Planilha!$O:$O,$A35)</f>
        <v>124068.8</v>
      </c>
      <c r="E35" s="92">
        <f t="shared" si="0"/>
        <v>8.9138792853290238E-3</v>
      </c>
      <c r="F35" s="93">
        <f t="shared" si="1"/>
        <v>0.53483684876425885</v>
      </c>
      <c r="I35" s="73" t="str">
        <v>PIS.02 - PISO MONOLÍTICO DE ALTA RESISTÊNCIA, REF:. FERCODUR-COR ACABAMENTO TIPO FULGET LAVADO, FERCOBAN OU SIMILAR</v>
      </c>
    </row>
    <row r="36" spans="1:9" ht="33.6" x14ac:dyDescent="0.3">
      <c r="A36" s="88">
        <f t="shared" si="2"/>
        <v>28</v>
      </c>
      <c r="B36" s="89" t="str">
        <f>_xlfn.XLOOKUP(D36,Planilha!O:O,Planilha!C:C)</f>
        <v>02.02.07.03</v>
      </c>
      <c r="C36" s="90" t="str">
        <f>_xlfn.XLOOKUP($D36,Planilha!$O:$O,Planilha!F:F)</f>
        <v>PIS.02 - PISO MONOLÍTICO DE ALTA RESISTÊNCIA, REF:. FERCODUR-COR ACABAMENTO TIPO FULGET LAVADO, FERCOBAN OU SIMILAR</v>
      </c>
      <c r="D36" s="91">
        <f>LARGE(Planilha!$O:$O,$A36)</f>
        <v>120312.17</v>
      </c>
      <c r="E36" s="92">
        <f t="shared" si="0"/>
        <v>8.6439794689396852E-3</v>
      </c>
      <c r="F36" s="93">
        <f t="shared" si="1"/>
        <v>0.54348082823319854</v>
      </c>
      <c r="I36" s="73" t="str">
        <v>LAJE PRÉ-FABRICADA UNIDIRECIONAL EM VIGA TRELIÇADA/LAJOTA EM EPS LT 16 (12 + 4), COM CAPA DE CONCRETO DE 25 MPA</v>
      </c>
    </row>
    <row r="37" spans="1:9" ht="33.6" x14ac:dyDescent="0.3">
      <c r="A37" s="88">
        <f t="shared" si="2"/>
        <v>29</v>
      </c>
      <c r="B37" s="89" t="str">
        <f>_xlfn.XLOOKUP(D37,Planilha!O:O,Planilha!C:C)</f>
        <v>02.01.07.02.02</v>
      </c>
      <c r="C37" s="90" t="str">
        <f>_xlfn.XLOOKUP($D37,Planilha!$O:$O,Planilha!F:F)</f>
        <v>LAJE PRÉ-FABRICADA UNIDIRECIONAL EM VIGA TRELIÇADA/LAJOTA EM EPS LT 16 (12 + 4), COM CAPA DE CONCRETO DE 25 MPA</v>
      </c>
      <c r="D37" s="91">
        <f>LARGE(Planilha!$O:$O,$A37)</f>
        <v>118436</v>
      </c>
      <c r="E37" s="92">
        <f t="shared" si="0"/>
        <v>8.509183670973107E-3</v>
      </c>
      <c r="F37" s="93">
        <f t="shared" si="1"/>
        <v>0.55199001190417163</v>
      </c>
      <c r="I37" s="73" t="str">
        <v>MÃO DE OBRA E MATERIAIS PARA SISTEMA DE  AR EXTERIOR</v>
      </c>
    </row>
    <row r="38" spans="1:9" x14ac:dyDescent="0.3">
      <c r="A38" s="88">
        <f t="shared" si="2"/>
        <v>30</v>
      </c>
      <c r="B38" s="89" t="str">
        <f>_xlfn.XLOOKUP(D38,Planilha!O:O,Planilha!C:C)</f>
        <v>02.06.01.01.05</v>
      </c>
      <c r="C38" s="90" t="str">
        <f>_xlfn.XLOOKUP($D38,Planilha!$O:$O,Planilha!F:F)</f>
        <v>MÃO DE OBRA E MATERIAIS PARA SISTEMA DE  AR EXTERIOR</v>
      </c>
      <c r="D38" s="91">
        <f>LARGE(Planilha!$O:$O,$A38)</f>
        <v>116500</v>
      </c>
      <c r="E38" s="92">
        <f t="shared" si="0"/>
        <v>8.370089311259812E-3</v>
      </c>
      <c r="F38" s="93">
        <f t="shared" si="1"/>
        <v>0.56036010121543145</v>
      </c>
      <c r="I38" s="73" t="str">
        <v>TAXA DE DESTINAÇÃO DE RESÍDUO SÓLIDO EM ATERRO, TIPO INERTE</v>
      </c>
    </row>
    <row r="39" spans="1:9" ht="33.6" x14ac:dyDescent="0.3">
      <c r="A39" s="88">
        <f t="shared" si="2"/>
        <v>31</v>
      </c>
      <c r="B39" s="89" t="str">
        <f>_xlfn.XLOOKUP(D39,Planilha!O:O,Planilha!C:C)</f>
        <v>01.05.09</v>
      </c>
      <c r="C39" s="90" t="str">
        <f>_xlfn.XLOOKUP($D39,Planilha!$O:$O,Planilha!F:F)</f>
        <v>TAXA DE DESTINAÇÃO DE RESÍDUO SÓLIDO EM ATERRO, TIPO INERTE</v>
      </c>
      <c r="D39" s="91">
        <f>LARGE(Planilha!$O:$O,$A39)</f>
        <v>114007.45</v>
      </c>
      <c r="E39" s="92">
        <f t="shared" si="0"/>
        <v>8.191008915441951E-3</v>
      </c>
      <c r="F39" s="93">
        <f t="shared" si="1"/>
        <v>0.56855111013087345</v>
      </c>
      <c r="I39" s="73" t="str">
        <v>LAJE PRE-FABRICADA PRE-LAJE TRELICADA UNIDIR C/ EPS PLT20-100KGF/M2</v>
      </c>
    </row>
    <row r="40" spans="1:9" ht="33.6" x14ac:dyDescent="0.3">
      <c r="A40" s="88">
        <f t="shared" si="2"/>
        <v>32</v>
      </c>
      <c r="B40" s="89" t="str">
        <f>_xlfn.XLOOKUP(D40,Planilha!O:O,Planilha!C:C)</f>
        <v>02.01.05.05</v>
      </c>
      <c r="C40" s="90" t="str">
        <f>_xlfn.XLOOKUP($D40,Planilha!$O:$O,Planilha!F:F)</f>
        <v>LAJE PRE-FABRICADA PRE-LAJE TRELICADA UNIDIR C/ EPS PLT20-100KGF/M2</v>
      </c>
      <c r="D40" s="91">
        <f>LARGE(Planilha!$O:$O,$A40)</f>
        <v>112345.63</v>
      </c>
      <c r="E40" s="92">
        <f t="shared" si="0"/>
        <v>8.0716133633454909E-3</v>
      </c>
      <c r="F40" s="93">
        <f t="shared" si="1"/>
        <v>0.57662272349421895</v>
      </c>
      <c r="I40" s="73" t="str">
        <v>MESTRE DE OBRAS COM ENCARGOS COMPLEMENTARES</v>
      </c>
    </row>
    <row r="41" spans="1:9" x14ac:dyDescent="0.3">
      <c r="A41" s="88">
        <f t="shared" si="2"/>
        <v>33</v>
      </c>
      <c r="B41" s="89" t="str">
        <f>_xlfn.XLOOKUP(D41,Planilha!O:O,Planilha!C:C)</f>
        <v>01.01.03</v>
      </c>
      <c r="C41" s="90" t="str">
        <f>_xlfn.XLOOKUP($D41,Planilha!$O:$O,Planilha!F:F)</f>
        <v>MESTRE DE OBRAS COM ENCARGOS COMPLEMENTARES</v>
      </c>
      <c r="D41" s="91">
        <f>LARGE(Planilha!$O:$O,$A41)</f>
        <v>109002.32</v>
      </c>
      <c r="E41" s="92">
        <f t="shared" si="0"/>
        <v>7.8314090432147782E-3</v>
      </c>
      <c r="F41" s="93">
        <f t="shared" si="1"/>
        <v>0.58445413253743372</v>
      </c>
      <c r="I41" s="73" t="str">
        <v>TELA ELETROSOLDADA NERVURADA Q-246 10X10CM 5,6MM (3,91KG/M2)</v>
      </c>
    </row>
    <row r="42" spans="1:9" ht="33.6" x14ac:dyDescent="0.3">
      <c r="A42" s="88">
        <f t="shared" si="2"/>
        <v>34</v>
      </c>
      <c r="B42" s="89" t="str">
        <f>_xlfn.XLOOKUP(D42,Planilha!O:O,Planilha!C:C)</f>
        <v>02.02.06.03</v>
      </c>
      <c r="C42" s="90" t="str">
        <f>_xlfn.XLOOKUP($D42,Planilha!$O:$O,Planilha!F:F)</f>
        <v>TELA ELETROSOLDADA NERVURADA Q-246 10X10CM 5,6MM (3,91KG/M2)</v>
      </c>
      <c r="D42" s="91">
        <f>LARGE(Planilha!$O:$O,$A42)</f>
        <v>105535.32</v>
      </c>
      <c r="E42" s="92">
        <f t="shared" si="0"/>
        <v>7.582318059162093E-3</v>
      </c>
      <c r="F42" s="93">
        <f t="shared" si="1"/>
        <v>0.59203645059659582</v>
      </c>
      <c r="I42" s="73" t="str">
        <v>SALA DE PREPARO 2 - SISTEMA DE EXAUSTAO  - COMPOSTO DE: 1,00 COIFAINOX04-E COIFA 04 AGUAS CONFECCIONADA EM AÇO INOX AISI 304, MEDINDO 3300X1150X500MM. - 1,00 E35 EXAUSTOR CENTRIFUGO TIPO "LIMIT LOAD" COM AS SEGUINTES CARACTERÍSTICAS: VAZÃO: 4815 M3/H , PRESSÃO: 65MM CA, ROTAÇÃO: 1750 RPM, MOTOR: 2,0 CV, TRANSMISSÃO: DIRETA, MAT. DE CONSTRUÇÃO: PRFV(PLÁSTICO REFORÇADO COM FIBRA DE VIDRO) E ROTOR EM PRFV. 1,00 SUPORTE  PARA EXAUSTOR INSTALADO EM PAREDE EM AÇO CARBONO, PROTEGIDO POR PINTURA EPÓXI. - 1,00 KITELETEX2 KIT ELÉTRICA EXTERNO PARA EXAUSTÃO COM INVERSOR DE FREQUÊNCIA 2CV BIFÁSICO. - 8,00 DUTO350 METRO(S) LINEAR(ES) DE DUTO EM PVC RÍGIDO COM 350MM DE DIÂMETRO. - 2,00 CURVA90350 CURVA 90 GRAUS EM PVC COM DIÂMETRO DE 350MM. - 2,00 CURVA45350 CURVA 45 GRAUS EM PVC COM DIÂMETRO DE 350MM. - 1,00 CURVA135350 CURVA 135 GRAUS EM PVC COM DIÂMETRO DE 350MM. - 3,00 FIX350 SISTEMA DE FIXAÇÃO PARA DUTO DE 350MM DE DIÂMETRO</v>
      </c>
    </row>
    <row r="43" spans="1:9" ht="285.60000000000002" x14ac:dyDescent="0.3">
      <c r="A43" s="88">
        <f t="shared" si="2"/>
        <v>35</v>
      </c>
      <c r="B43" s="89" t="str">
        <f>_xlfn.XLOOKUP(D43,Planilha!O:O,Planilha!C:C)</f>
        <v>02.02.17.25</v>
      </c>
      <c r="C43" s="90" t="str">
        <f>_xlfn.XLOOKUP($D43,Planilha!$O:$O,Planilha!F:F)</f>
        <v>SALA DE PREPARO 2 - SISTEMA DE EXAUSTAO  - COMPOSTO DE: 1,00 COIFAINOX04-E COIFA 04 AGUAS CONFECCIONADA EM AÇO INOX AISI 304, MEDINDO 3300X1150X500MM. - 1,00 E35 EXAUSTOR CENTRIFUGO TIPO "LIMIT LOAD" COM AS SEGUINTES CARACTERÍSTICAS: VAZÃO: 4815 M3/H , PRESSÃO: 65MM CA, ROTAÇÃO: 1750 RPM, MOTOR: 2,0 CV, TRANSMISSÃO: DIRETA, MAT. DE CONSTRUÇÃO: PRFV(PLÁSTICO REFORÇADO COM FIBRA DE VIDRO) E ROTOR EM PRFV. 1,00 SUPORTE  PARA EXAUSTOR INSTALADO EM PAREDE EM AÇO CARBONO, PROTEGIDO POR PINTURA EPÓXI. - 1,00 KITELETEX2 KIT ELÉTRICA EXTERNO PARA EXAUSTÃO COM INVERSOR DE FREQUÊNCIA 2CV BIFÁSICO. - 8,00 DUTO350 METRO(S) LINEAR(ES) DE DUTO EM PVC RÍGIDO COM 350MM DE DIÂMETRO. - 2,00 CURVA90350 CURVA 90 GRAUS EM PVC COM DIÂMETRO DE 350MM. - 2,00 CURVA45350 CURVA 45 GRAUS EM PVC COM DIÂMETRO DE 350MM. - 1,00 CURVA135350 CURVA 135 GRAUS EM PVC COM DIÂMETRO DE 350MM. - 3,00 FIX350 SISTEMA DE FIXAÇÃO PARA DUTO DE 350MM DE DIÂMETRO</v>
      </c>
      <c r="D43" s="91">
        <f>LARGE(Planilha!$O:$O,$A43)</f>
        <v>104141.14</v>
      </c>
      <c r="E43" s="92">
        <f t="shared" si="0"/>
        <v>7.4821514401408719E-3</v>
      </c>
      <c r="F43" s="93">
        <f t="shared" si="1"/>
        <v>0.59951860203673668</v>
      </c>
      <c r="I43" s="73" t="str">
        <v>TÉCNICO EM SEGURANÇA DO TRABALHO COM ENCARGOS COMPLEMENTARES</v>
      </c>
    </row>
    <row r="44" spans="1:9" ht="33.6" x14ac:dyDescent="0.3">
      <c r="A44" s="88">
        <f t="shared" si="2"/>
        <v>36</v>
      </c>
      <c r="B44" s="89" t="str">
        <f>_xlfn.XLOOKUP(D44,Planilha!O:O,Planilha!C:C)</f>
        <v>01.01.04</v>
      </c>
      <c r="C44" s="90" t="str">
        <f>_xlfn.XLOOKUP($D44,Planilha!$O:$O,Planilha!F:F)</f>
        <v>TÉCNICO EM SEGURANÇA DO TRABALHO COM ENCARGOS COMPLEMENTARES</v>
      </c>
      <c r="D44" s="91">
        <f>LARGE(Planilha!$O:$O,$A44)</f>
        <v>101059.2</v>
      </c>
      <c r="E44" s="92">
        <f t="shared" si="0"/>
        <v>7.2607255770340559E-3</v>
      </c>
      <c r="F44" s="93">
        <f t="shared" si="1"/>
        <v>0.60677932761377074</v>
      </c>
      <c r="I44" s="73" t="str">
        <v>CPM.05.A - PAINEL EM CHAPA METÁLICA PERFURADA REDONDA EM AÇO INOX 304 - PERFURAÇÃO R8,00 EC11,00. ACABAMENTO EM PINTURA ELETROSTÁTICA COR RAL 7042 BRILHANTE. SUBESTRUTURA EM PERFIS DE AÇO INOX 304 E ACESSÓRIOS PARA FIXAÇÃO PINTADOS NA MESMA COR, PARAFUSOS SEM PINTURA.22,926 - 5,286m2</v>
      </c>
    </row>
    <row r="45" spans="1:9" ht="100.8" x14ac:dyDescent="0.3">
      <c r="A45" s="88">
        <f t="shared" si="2"/>
        <v>37</v>
      </c>
      <c r="B45" s="89" t="str">
        <f>_xlfn.XLOOKUP(D45,Planilha!O:O,Planilha!C:C)</f>
        <v>02.02.15.05.12</v>
      </c>
      <c r="C45" s="90" t="str">
        <f>_xlfn.XLOOKUP($D45,Planilha!$O:$O,Planilha!F:F)</f>
        <v>CPM.05.A - PAINEL EM CHAPA METÁLICA PERFURADA REDONDA EM AÇO INOX 304 - PERFURAÇÃO R8,00 EC11,00. ACABAMENTO EM PINTURA ELETROSTÁTICA COR RAL 7042 BRILHANTE. SUBESTRUTURA EM PERFIS DE AÇO INOX 304 E ACESSÓRIOS PARA FIXAÇÃO PINTADOS NA MESMA COR, PARAFUSOS SEM PINTURA.22,926 - 5,286m2</v>
      </c>
      <c r="D45" s="91">
        <f>LARGE(Planilha!$O:$O,$A45)</f>
        <v>95027.96</v>
      </c>
      <c r="E45" s="92">
        <f t="shared" si="0"/>
        <v>6.8274035387710296E-3</v>
      </c>
      <c r="F45" s="93">
        <f t="shared" si="1"/>
        <v>0.61360673115254172</v>
      </c>
      <c r="I45" s="73" t="str">
        <v>SALA DE MAMINAÇÃO - CAPELA MODELO LS-408 MEDINDO
1500X890X2600MM - COMPOSTO DE: RECOMENDADA PARA APLICAÇÕES GERAIS E TRABALHOS COM SOLUÇÕES DILUÍDAS EM TEMPERATURA MÉDIA. - 1,00 CORPO SUP EXT CAP150 CORPO SUPERIOR EXTERNO REVESTIDO EXTERNAMENTE E INTERNAMENTE EM LAMINADO MELAMÍNICO. ACESSO A LUMINÁRIA, ELÉTRICA E SAÍDA DA EXAUSTÃO, POR UMA PORTA NA PARTE FRONTAL SUPERIOR. PAINÉIS LATERAIS EM ALUMÍNIO PINTADO EM EPÓXI A PÓ POR PROCESSO DE ELETRODEPOSIÇÃO PARA FIXAÇÃO DE TOMADAS, VÁLVULAS DE COMANDO DAS UTILIDADES, INTERRUPTOR DA LUMINÁRIA E BOTOEIRA CASO NECESSÁRIOS. ALTURA EXTERNA FINAL 1780MM. - 1,00 LUMINARIA CAP RETANG KIT COMPLETO DE LUMINÁRIA COM DUAS LÂMPADAS TUBULARES 9W EQUIVALÊNCIA 20W FLUORESCENTE. - 1,00 EST.BASE.VAZ.CAP1500 ESTRUTURA DE BASE VAZADA PARA CAPELA E PAINEL DE FUNDO REMOVÍVEL. - 2,50 MANGUEIRA CZ 50MM MANGUEIRA CINZA CORRUGADA MED. 50MM. LAB. LINEA INDUSTRIA E COMERCIO DE MOVEIS PARA LABORATÓRIOS LTDA. - 1,00 GAB.BASE.500_ESQ GABINETE DE BASE MEDINDO 500X450X805MM PARA CAPELA, PROVIDO DE UMA PORTA A ESQUERDA E UMA PRATELEIRA. - 1,00 GAB.BASE.900 GABINETE DE BASE MEDINDO 900X450X805MM PARA CAPELA, PROVIDO DE DUAS PORTAS E UMA PRATELEIRA. - 1,00 BOXTS/LS1500 CORPO INTERNO (BOX), CONSTRUÍDO EM COMPENSADO NAVAL DE 15 MM DE ESPESSURA REVESTIDO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COMPRIMENTO DE 1500MM. - 1,00 TAMP.CAP.AA.1500 TAMPO CONSTRUÍDO EM MADEIRA DE LEI COMPENSADA DO TIPO NAVAL REVESTIDO EM CERÂMICAS ANTIÁCIDAS (DUAS CURAS) MARCA GAIL, ESTUCADA COM MASSA EPÓXI ESPECIAL E REJUNTADA COM RESINA FN, COM BORDA DE RETENÇÃO EM RESINA POLIÉSTER. - 1,00 TAMP.CAP.AA.1500 TAMPO CONSTRUÍDO EM MADEIRA DE LEI COMPENSADA DO TIPO NAVAL REVESTIDO EM CERÂMICAS ANTIÁCIDAS (DUAS CURAS) MARCA GAIL, ESTUCADA COM MASSA EPÓXI ESPECIAL E REJUNTADA COM RESINA FN, COM BORDA DE RETENÇÃO EM RESINA POLIÉSTER.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CJCHICTS/LS1500 CHICANA DEFLETORA PARA ORIENTAÇÃO DE FLUXO DE TIRAGEM, PLANA, CONSTRUÍDA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1500MM DE COMPRIMENTO. - 1,00 E25 EXAUSTOR CENTRIFUGO TIPO "LIMIT LOAD" COM AS SEGUINTES CARACTERÍSTICAS: VAZÃO: 2140 M3/H , PRESSÃO: 45MM CA, ROTAÇÃO: 1720 RPM, MOTOR: 1,0 CV, TRANSMISSÃO: DIRETA, MAT. DE CONSTRUÇÃO: PRFV(PLÁSTICO REFORÇADO COM FIBRA DE VIDRO) E ROTOR EM PRFV. - 1,00 KITELETCAN1 KIT ELÉTRICA PARA EXAUSTÃO DE CAPELA, COM INVERSOR DE FREQUÊNCIA 1,0CV. - 1,00 SUPORTE  PARA EXAUSTOR INSTALADO EM PAREDE EM AÇO CARBONO, PROTEGIDO POR PINTURA EPÓXI. - 8,00 DUTO250 METRO(S) LINEAR(ES) DE DUTO EM PVC RÍGIDO COM 250MM DE DIÂMETRO. - 2,00 CURVA90250 CURVA 90 GRAUS EM PVC COM DIÂMETRO DE 250MM. - 1,00 CURVA135250 CURVA 135 GRAUS EM PVC COM DIÂMETRO DE 250MM. - 2,00 FIX250 SISTEMA DE FIXAÇÃO PARA DUTO DE 250MM DE DIÂMETRO. - 0,16 LL2049 H2600 ABS METRO(S) LINEAR(ES) DE PAINEL PARA ACABAMENTO LATERAL APARENTE DE CAPELAS. - 0,16 LL2049 H2600 ABS METRO(S) LINEAR(ES) DE PAINEL PARA ACABAMENTO LATERAL APARENTE DE CAPELAS. - UTILIDADES: - 1,00 LL9052CAP KIT DE ELÉTRICA COMPOSTO DE UMA TOMADA 110 V, UMA TOMADA 220V, UM INTERRUPTOR PARA LUMINÁRIA E UM INTERRUPTOR PARA EXAUSTOR, MONTADAS EM ESPELHO DE ALUMÍNIO PINTADO EM EPÓXI BRANCO PARA CAPELAS. - 1,00 LB7162 NITROGENIO CONJUNTO COM COMANDO A DISTÂNCIA FORMADO POR BICO ANGULAR ESCALONADO E REGISTRO DE BLOQUEIO 3/8" NPT EM LATÃO COM ACABAMENTO EM EPÓXI COM BATOQUE ROSA PARA NITROGÊNIO. LAB. LINEA INDUSTRIA E COMERCIO DE MOVEIS PARA LABORATÓRIOS LTDA. - 1,00 LB7162 VACUO CONJUNTO COM COMANDO A DISTANCIA FORMADO POR BICO ANGULAR ESCALONADO E REGISTRO DE BLOQUEIO 3/8" NPT EM LATÃO COM ACABAMENTO EM EPÓXI COM BATOQUE CINZA PARA VÁCUO.</v>
      </c>
    </row>
    <row r="46" spans="1:9" ht="409.6" x14ac:dyDescent="0.3">
      <c r="A46" s="88">
        <f t="shared" si="2"/>
        <v>38</v>
      </c>
      <c r="B46" s="89" t="str">
        <f>_xlfn.XLOOKUP(D46,Planilha!O:O,Planilha!C:C)</f>
        <v>02.02.17.02</v>
      </c>
      <c r="C46" s="90" t="str">
        <f>_xlfn.XLOOKUP($D46,Planilha!$O:$O,Planilha!F:F)</f>
        <v>SALA DE MAMINAÇÃO - CAPELA MODELO LS-408 MEDINDO
1500X890X2600MM - COMPOSTO DE: RECOMENDADA PARA APLICAÇÕES GERAIS E TRABALHOS COM SOLUÇÕES DILUÍDAS EM TEMPERATURA MÉDIA. - 1,00 CORPO SUP EXT CAP150 CORPO SUPERIOR EXTERNO REVESTIDO EXTERNAMENTE E INTERNAMENTE EM LAMINADO MELAMÍNICO. ACESSO A LUMINÁRIA, ELÉTRICA E SAÍDA DA EXAUSTÃO, POR UMA PORTA NA PARTE FRONTAL SUPERIOR. PAINÉIS LATERAIS EM ALUMÍNIO PINTADO EM EPÓXI A PÓ POR PROCESSO DE ELETRODEPOSIÇÃO PARA FIXAÇÃO DE TOMADAS, VÁLVULAS DE COMANDO DAS UTILIDADES, INTERRUPTOR DA LUMINÁRIA E BOTOEIRA CASO NECESSÁRIOS. ALTURA EXTERNA FINAL 1780MM. - 1,00 LUMINARIA CAP RETANG KIT COMPLETO DE LUMINÁRIA COM DUAS LÂMPADAS TUBULARES 9W EQUIVALÊNCIA 20W FLUORESCENTE. - 1,00 EST.BASE.VAZ.CAP1500 ESTRUTURA DE BASE VAZADA PARA CAPELA E PAINEL DE FUNDO REMOVÍVEL. - 2,50 MANGUEIRA CZ 50MM MANGUEIRA CINZA CORRUGADA MED. 50MM. LAB. LINEA INDUSTRIA E COMERCIO DE MOVEIS PARA LABORATÓRIOS LTDA. - 1,00 GAB.BASE.500_ESQ GABINETE DE BASE MEDINDO 500X450X805MM PARA CAPELA, PROVIDO DE UMA PORTA A ESQUERDA E UMA PRATELEIRA. - 1,00 GAB.BASE.900 GABINETE DE BASE MEDINDO 900X450X805MM PARA CAPELA, PROVIDO DE DUAS PORTAS E UMA PRATELEIRA. - 1,00 BOXTS/LS1500 CORPO INTERNO (BOX), CONSTRUÍDO EM COMPENSADO NAVAL DE 15 MM DE ESPESSURA REVESTIDO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COMPRIMENTO DE 1500MM. - 1,00 TAMP.CAP.AA.1500 TAMPO CONSTRUÍDO EM MADEIRA DE LEI COMPENSADA DO TIPO NAVAL REVESTIDO EM CERÂMICAS ANTIÁCIDAS (DUAS CURAS) MARCA GAIL, ESTUCADA COM MASSA EPÓXI ESPECIAL E REJUNTADA COM RESINA FN, COM BORDA DE RETENÇÃO EM RESINA POLIÉSTER. - 1,00 TAMP.CAP.AA.1500 TAMPO CONSTRUÍDO EM MADEIRA DE LEI COMPENSADA DO TIPO NAVAL REVESTIDO EM CERÂMICAS ANTIÁCIDAS (DUAS CURAS) MARCA GAIL, ESTUCADA COM MASSA EPÓXI ESPECIAL E REJUNTADA COM RESINA FN, COM BORDA DE RETENÇÃO EM RESINA POLIÉSTER.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CJCHICTS/LS1500 CHICANA DEFLETORA PARA ORIENTAÇÃO DE FLUXO DE TIRAGEM, PLANA, CONSTRUÍDA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1500MM DE COMPRIMENTO. - 1,00 E25 EXAUSTOR CENTRIFUGO TIPO "LIMIT LOAD" COM AS SEGUINTES CARACTERÍSTICAS: VAZÃO: 2140 M3/H , PRESSÃO: 45MM CA, ROTAÇÃO: 1720 RPM, MOTOR: 1,0 CV, TRANSMISSÃO: DIRETA, MAT. DE CONSTRUÇÃO: PRFV(PLÁSTICO REFORÇADO COM FIBRA DE VIDRO) E ROTOR EM PRFV. - 1,00 KITELETCAN1 KIT ELÉTRICA PARA EXAUSTÃO DE CAPELA, COM INVERSOR DE FREQUÊNCIA 1,0CV. - 1,00 SUPORTE  PARA EXAUSTOR INSTALADO EM PAREDE EM AÇO CARBONO, PROTEGIDO POR PINTURA EPÓXI. - 8,00 DUTO250 METRO(S) LINEAR(ES) DE DUTO EM PVC RÍGIDO COM 250MM DE DIÂMETRO. - 2,00 CURVA90250 CURVA 90 GRAUS EM PVC COM DIÂMETRO DE 250MM. - 1,00 CURVA135250 CURVA 135 GRAUS EM PVC COM DIÂMETRO DE 250MM. - 2,00 FIX250 SISTEMA DE FIXAÇÃO PARA DUTO DE 250MM DE DIÂMETRO. - 0,16 LL2049 H2600 ABS METRO(S) LINEAR(ES) DE PAINEL PARA ACABAMENTO LATERAL APARENTE DE CAPELAS. - 0,16 LL2049 H2600 ABS METRO(S) LINEAR(ES) DE PAINEL PARA ACABAMENTO LATERAL APARENTE DE CAPELAS. - UTILIDADES: - 1,00 LL9052CAP KIT DE ELÉTRICA COMPOSTO DE UMA TOMADA 110 V, UMA TOMADA 220V, UM INTERRUPTOR PARA LUMINÁRIA E UM INTERRUPTOR PARA EXAUSTOR, MONTADAS EM ESPELHO DE ALUMÍNIO PINTADO EM EPÓXI BRANCO PARA CAPELAS. - 1,00 LB7162 NITROGENIO CONJUNTO COM COMANDO A DISTÂNCIA FORMADO POR BICO ANGULAR ESCALONADO E REGISTRO DE BLOQUEIO 3/8" NPT EM LATÃO COM ACABAMENTO EM EPÓXI COM BATOQUE ROSA PARA NITROGÊNIO. LAB. LINEA INDUSTRIA E COMERCIO DE MOVEIS PARA LABORATÓRIOS LTDA. - 1,00 LB7162 VACUO CONJUNTO COM COMANDO A DISTANCIA FORMADO POR BICO ANGULAR ESCALONADO E REGISTRO DE BLOQUEIO 3/8" NPT EM LATÃO COM ACABAMENTO EM EPÓXI COM BATOQUE CINZA PARA VÁCUO.</v>
      </c>
      <c r="D46" s="91">
        <f>LARGE(Planilha!$O:$O,$A46)</f>
        <v>92034.43</v>
      </c>
      <c r="E46" s="92">
        <f t="shared" si="0"/>
        <v>6.6123296035269464E-3</v>
      </c>
      <c r="F46" s="93">
        <f t="shared" si="1"/>
        <v>0.6202190607560687</v>
      </c>
      <c r="I46" s="73" t="str">
        <v>FORMA PLANA PARA SAPATAS, EM MADEIRA MACIÇA, 02 USOS, INCLUSIVE ESCORAMENTO</v>
      </c>
    </row>
    <row r="47" spans="1:9" ht="409.6" x14ac:dyDescent="0.3">
      <c r="A47" s="88">
        <f t="shared" si="2"/>
        <v>39</v>
      </c>
      <c r="B47" s="89" t="str">
        <f>_xlfn.XLOOKUP(D47,Planilha!O:O,Planilha!C:C)</f>
        <v>02.02.17.02</v>
      </c>
      <c r="C47" s="90" t="str">
        <f>_xlfn.XLOOKUP($D47,Planilha!$O:$O,Planilha!F:F)</f>
        <v>SALA DE MAMINAÇÃO - CAPELA MODELO LS-408 MEDINDO
1500X890X2600MM - COMPOSTO DE: RECOMENDADA PARA APLICAÇÕES GERAIS E TRABALHOS COM SOLUÇÕES DILUÍDAS EM TEMPERATURA MÉDIA. - 1,00 CORPO SUP EXT CAP150 CORPO SUPERIOR EXTERNO REVESTIDO EXTERNAMENTE E INTERNAMENTE EM LAMINADO MELAMÍNICO. ACESSO A LUMINÁRIA, ELÉTRICA E SAÍDA DA EXAUSTÃO, POR UMA PORTA NA PARTE FRONTAL SUPERIOR. PAINÉIS LATERAIS EM ALUMÍNIO PINTADO EM EPÓXI A PÓ POR PROCESSO DE ELETRODEPOSIÇÃO PARA FIXAÇÃO DE TOMADAS, VÁLVULAS DE COMANDO DAS UTILIDADES, INTERRUPTOR DA LUMINÁRIA E BOTOEIRA CASO NECESSÁRIOS. ALTURA EXTERNA FINAL 1780MM. - 1,00 LUMINARIA CAP RETANG KIT COMPLETO DE LUMINÁRIA COM DUAS LÂMPADAS TUBULARES 9W EQUIVALÊNCIA 20W FLUORESCENTE. - 1,00 EST.BASE.VAZ.CAP1500 ESTRUTURA DE BASE VAZADA PARA CAPELA E PAINEL DE FUNDO REMOVÍVEL. - 2,50 MANGUEIRA CZ 50MM MANGUEIRA CINZA CORRUGADA MED. 50MM. LAB. LINEA INDUSTRIA E COMERCIO DE MOVEIS PARA LABORATÓRIOS LTDA. - 1,00 GAB.BASE.500_ESQ GABINETE DE BASE MEDINDO 500X450X805MM PARA CAPELA, PROVIDO DE UMA PORTA A ESQUERDA E UMA PRATELEIRA. - 1,00 GAB.BASE.900 GABINETE DE BASE MEDINDO 900X450X805MM PARA CAPELA, PROVIDO DE DUAS PORTAS E UMA PRATELEIRA. - 1,00 BOXTS/LS1500 CORPO INTERNO (BOX), CONSTRUÍDO EM COMPENSADO NAVAL DE 15 MM DE ESPESSURA REVESTIDO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COMPRIMENTO DE 1500MM. - 1,00 TAMP.CAP.AA.1500 TAMPO CONSTRUÍDO EM MADEIRA DE LEI COMPENSADA DO TIPO NAVAL REVESTIDO EM CERÂMICAS ANTIÁCIDAS (DUAS CURAS) MARCA GAIL, ESTUCADA COM MASSA EPÓXI ESPECIAL E REJUNTADA COM RESINA FN, COM BORDA DE RETENÇÃO EM RESINA POLIÉSTER. - 1,00 TAMP.CAP.AA.1500 TAMPO CONSTRUÍDO EM MADEIRA DE LEI COMPENSADA DO TIPO NAVAL REVESTIDO EM CERÂMICAS ANTIÁCIDAS (DUAS CURAS) MARCA GAIL, ESTUCADA COM MASSA EPÓXI ESPECIAL E REJUNTADA COM RESINA FN, COM BORDA DE RETENÇÃO EM RESINA POLIÉSTER. - 1,00 GUILHOTI CAP1500 JANELA TIPO GUILHOTINA CONSTRUÍDA EM DOIS QUADROS DE ALUMÍNIO NA COR BRANCA, SENDO UM QUADRO SUPERIOR FIXO OUTRO COM DESLOCAMENTO VERTICAL COM SISTEMAS DE CONTRAPESO E COM PARADA EM QUALQUER PONTO, AMBOS COM VIDRO TEMPERADO INCOLOR NA ESPESSURA DE 6MM. SISTEMA SUPORTADO POR CABO DE AÇO GALVANIZADO, PLASTIFICADO DE 3/32". - 1,00 CJCHICTS/LS1500 CHICANA DEFLETORA PARA ORIENTAÇÃO DE FLUXO DE TIRAGEM, PLANA, CONSTRUÍDA EM LAMINADO A BASE DE RESINAS MELAMÍNICAS, COMPOSTO POR FOLHAS DE KRAFT IMPREGNADO COM RESINAS FENÓLICAS MODIFICADAS POR SAIS RETARDANTES DE CHAMA NÃO HALOGENADOS (HOLOGEN-FREE), CONSOLIDADOS SOB CONDIÇÕES DE ALTA PRESSÃO (80 - 100 KG/CM2) E TEMPERATURA (130 - 140 GRAUS C) PARA CAPELAS COM 1500MM DE COMPRIMENTO. - 1,00 E25 EXAUSTOR CENTRIFUGO TIPO "LIMIT LOAD" COM AS SEGUINTES CARACTERÍSTICAS: VAZÃO: 2140 M3/H , PRESSÃO: 45MM CA, ROTAÇÃO: 1720 RPM, MOTOR: 1,0 CV, TRANSMISSÃO: DIRETA, MAT. DE CONSTRUÇÃO: PRFV(PLÁSTICO REFORÇADO COM FIBRA DE VIDRO) E ROTOR EM PRFV. - 1,00 KITELETCAN1 KIT ELÉTRICA PARA EXAUSTÃO DE CAPELA, COM INVERSOR DE FREQUÊNCIA 1,0CV. - 1,00 SUPORTE  PARA EXAUSTOR INSTALADO EM PAREDE EM AÇO CARBONO, PROTEGIDO POR PINTURA EPÓXI. - 8,00 DUTO250 METRO(S) LINEAR(ES) DE DUTO EM PVC RÍGIDO COM 250MM DE DIÂMETRO. - 2,00 CURVA90250 CURVA 90 GRAUS EM PVC COM DIÂMETRO DE 250MM. - 1,00 CURVA135250 CURVA 135 GRAUS EM PVC COM DIÂMETRO DE 250MM. - 2,00 FIX250 SISTEMA DE FIXAÇÃO PARA DUTO DE 250MM DE DIÂMETRO. - 0,16 LL2049 H2600 ABS METRO(S) LINEAR(ES) DE PAINEL PARA ACABAMENTO LATERAL APARENTE DE CAPELAS. - 0,16 LL2049 H2600 ABS METRO(S) LINEAR(ES) DE PAINEL PARA ACABAMENTO LATERAL APARENTE DE CAPELAS. - UTILIDADES: - 1,00 LL9052CAP KIT DE ELÉTRICA COMPOSTO DE UMA TOMADA 110 V, UMA TOMADA 220V, UM INTERRUPTOR PARA LUMINÁRIA E UM INTERRUPTOR PARA EXAUSTOR, MONTADAS EM ESPELHO DE ALUMÍNIO PINTADO EM EPÓXI BRANCO PARA CAPELAS. - 1,00 LB7162 NITROGENIO CONJUNTO COM COMANDO A DISTÂNCIA FORMADO POR BICO ANGULAR ESCALONADO E REGISTRO DE BLOQUEIO 3/8" NPT EM LATÃO COM ACABAMENTO EM EPÓXI COM BATOQUE ROSA PARA NITROGÊNIO. LAB. LINEA INDUSTRIA E COMERCIO DE MOVEIS PARA LABORATÓRIOS LTDA. - 1,00 LB7162 VACUO CONJUNTO COM COMANDO A DISTANCIA FORMADO POR BICO ANGULAR ESCALONADO E REGISTRO DE BLOQUEIO 3/8" NPT EM LATÃO COM ACABAMENTO EM EPÓXI COM BATOQUE CINZA PARA VÁCUO.</v>
      </c>
      <c r="D47" s="91">
        <f>LARGE(Planilha!$O:$O,$A47)</f>
        <v>92034.43</v>
      </c>
      <c r="E47" s="92">
        <f t="shared" si="0"/>
        <v>6.6123296035269464E-3</v>
      </c>
      <c r="F47" s="93">
        <f t="shared" si="1"/>
        <v>0.62683139035959567</v>
      </c>
      <c r="I47" s="73" t="str">
        <v>PIS.01 - PISO MONOLITICO DE ALTA RESISTÊNCIA TIPO GRANILITE COR BEGE, ACABAMENTO POLIDO ESPESSURA 8CM - KORODUR TP.02 OU EQUIVALENTE TÉCNICO</v>
      </c>
    </row>
    <row r="48" spans="1:9" ht="33.6" x14ac:dyDescent="0.3">
      <c r="A48" s="88">
        <f t="shared" si="2"/>
        <v>40</v>
      </c>
      <c r="B48" s="89" t="str">
        <f>_xlfn.XLOOKUP(D48,Planilha!O:O,Planilha!C:C)</f>
        <v>02.01.04.02</v>
      </c>
      <c r="C48" s="90" t="str">
        <f>_xlfn.XLOOKUP($D48,Planilha!$O:$O,Planilha!F:F)</f>
        <v>FORMA PLANA PARA SAPATAS, EM MADEIRA MACIÇA, 02 USOS, INCLUSIVE ESCORAMENTO</v>
      </c>
      <c r="D48" s="91">
        <f>LARGE(Planilha!$O:$O,$A48)</f>
        <v>91842.63</v>
      </c>
      <c r="E48" s="92">
        <f t="shared" si="0"/>
        <v>6.5985494908239462E-3</v>
      </c>
      <c r="F48" s="93">
        <f t="shared" si="1"/>
        <v>0.63342993985041962</v>
      </c>
      <c r="I48" s="73" t="str">
        <v>ARGAMASSA DE REGULARIZAÇÃO E/OU PROTEÇÃO</v>
      </c>
    </row>
    <row r="49" spans="1:9" ht="50.4" x14ac:dyDescent="0.3">
      <c r="A49" s="88">
        <f t="shared" si="2"/>
        <v>41</v>
      </c>
      <c r="B49" s="89" t="str">
        <f>_xlfn.XLOOKUP(D49,Planilha!O:O,Planilha!C:C)</f>
        <v>02.02.07.02</v>
      </c>
      <c r="C49" s="90" t="str">
        <f>_xlfn.XLOOKUP($D49,Planilha!$O:$O,Planilha!F:F)</f>
        <v>PIS.01 - PISO MONOLITICO DE ALTA RESISTÊNCIA TIPO GRANILITE COR BEGE, ACABAMENTO POLIDO ESPESSURA 8CM - KORODUR TP.02 OU EQUIVALENTE TÉCNICO</v>
      </c>
      <c r="D49" s="91">
        <f>LARGE(Planilha!$O:$O,$A49)</f>
        <v>90178.62</v>
      </c>
      <c r="E49" s="92">
        <f t="shared" si="0"/>
        <v>6.4789965954176847E-3</v>
      </c>
      <c r="F49" s="93">
        <f t="shared" si="1"/>
        <v>0.63990893644583735</v>
      </c>
      <c r="I49" s="73" t="str">
        <v>ARMAÇÃO DE BLOCO, VIGA BALDRAME OU SAPATA UTILIZANDO AÇO CA-50 DE 16 MM - MONTAGEM. AF_06/2017</v>
      </c>
    </row>
    <row r="50" spans="1:9" x14ac:dyDescent="0.3">
      <c r="A50" s="88">
        <f t="shared" si="2"/>
        <v>42</v>
      </c>
      <c r="B50" s="89" t="str">
        <f>_xlfn.XLOOKUP(D50,Planilha!O:O,Planilha!C:C)</f>
        <v>02.02.09.01</v>
      </c>
      <c r="C50" s="90" t="str">
        <f>_xlfn.XLOOKUP($D50,Planilha!$O:$O,Planilha!F:F)</f>
        <v>ARGAMASSA DE REGULARIZAÇÃO E/OU PROTEÇÃO</v>
      </c>
      <c r="D50" s="91">
        <f>LARGE(Planilha!$O:$O,$A50)</f>
        <v>88626.36</v>
      </c>
      <c r="E50" s="92">
        <f t="shared" si="0"/>
        <v>6.3674725195868162E-3</v>
      </c>
      <c r="F50" s="93">
        <f t="shared" si="1"/>
        <v>0.64627640896542415</v>
      </c>
      <c r="I50" s="73" t="str">
        <v>LANÇAMENTO E ADENSAMENTO DE CONCRETO OU MASSA EM FUNDAÇÃO</v>
      </c>
    </row>
    <row r="51" spans="1:9" ht="33.6" x14ac:dyDescent="0.3">
      <c r="A51" s="88">
        <f t="shared" si="2"/>
        <v>43</v>
      </c>
      <c r="B51" s="89" t="str">
        <f>_xlfn.XLOOKUP(D51,Planilha!O:O,Planilha!C:C)</f>
        <v>02.01.04.07</v>
      </c>
      <c r="C51" s="90" t="str">
        <f>_xlfn.XLOOKUP($D51,Planilha!$O:$O,Planilha!F:F)</f>
        <v>ARMAÇÃO DE BLOCO, VIGA BALDRAME OU SAPATA UTILIZANDO AÇO CA-50 DE 16 MM - MONTAGEM. AF_06/2017</v>
      </c>
      <c r="D51" s="91">
        <f>LARGE(Planilha!$O:$O,$A51)</f>
        <v>86416.08</v>
      </c>
      <c r="E51" s="92">
        <f t="shared" si="0"/>
        <v>6.2086721676306673E-3</v>
      </c>
      <c r="F51" s="93">
        <f t="shared" si="1"/>
        <v>0.65248508113305481</v>
      </c>
      <c r="I51" s="73" t="str">
        <v>CONCRETO USINADO, FCK = 35 MPA - PARA BOMBEAMENTO</v>
      </c>
    </row>
    <row r="52" spans="1:9" ht="33.6" x14ac:dyDescent="0.3">
      <c r="A52" s="88">
        <f t="shared" si="2"/>
        <v>44</v>
      </c>
      <c r="B52" s="89" t="str">
        <f>_xlfn.XLOOKUP(D52,Planilha!O:O,Planilha!C:C)</f>
        <v>02.01.04.11</v>
      </c>
      <c r="C52" s="90" t="str">
        <f>_xlfn.XLOOKUP($D52,Planilha!$O:$O,Planilha!F:F)</f>
        <v>LANÇAMENTO E ADENSAMENTO DE CONCRETO OU MASSA EM FUNDAÇÃO</v>
      </c>
      <c r="D52" s="91">
        <f>LARGE(Planilha!$O:$O,$A52)</f>
        <v>74420.95</v>
      </c>
      <c r="E52" s="92">
        <f t="shared" si="0"/>
        <v>5.346866936727904E-3</v>
      </c>
      <c r="F52" s="93">
        <f t="shared" si="1"/>
        <v>0.65783194806978273</v>
      </c>
      <c r="I52" s="73" t="str">
        <v>MÃO DE OBRA E MATERIAIS COMPLEMENTARES PARA EXAUSTÃO MECÂNICA (BANHEIROS E COIFA)</v>
      </c>
    </row>
    <row r="53" spans="1:9" x14ac:dyDescent="0.3">
      <c r="A53" s="88">
        <f t="shared" si="2"/>
        <v>45</v>
      </c>
      <c r="B53" s="89" t="str">
        <f>_xlfn.XLOOKUP(D53,Planilha!O:O,Planilha!C:C)</f>
        <v>02.01.07.03.14</v>
      </c>
      <c r="C53" s="90" t="str">
        <f>_xlfn.XLOOKUP($D53,Planilha!$O:$O,Planilha!F:F)</f>
        <v>CONCRETO USINADO, FCK = 35 MPA - PARA BOMBEAMENTO</v>
      </c>
      <c r="D53" s="91">
        <f>LARGE(Planilha!$O:$O,$A53)</f>
        <v>73927.41</v>
      </c>
      <c r="E53" s="92">
        <f t="shared" si="0"/>
        <v>5.3114079334774401E-3</v>
      </c>
      <c r="F53" s="93">
        <f t="shared" si="1"/>
        <v>0.66314335600326013</v>
      </c>
      <c r="I53" s="73" t="str">
        <v>BGS.01 - EXECUÇÃO E COMPACTAÇÃO DE BASE E OU SUB BASE PARA PAVIMENTAÇÃO DE BRITA GRADUADA SIMPLES TRATADA COM CIMENTO - EXCLUSIVE CARGA E TRANSPORTE. AF_11/2019</v>
      </c>
    </row>
    <row r="54" spans="1:9" ht="33.6" x14ac:dyDescent="0.3">
      <c r="A54" s="88">
        <f t="shared" si="2"/>
        <v>46</v>
      </c>
      <c r="B54" s="89" t="str">
        <f>_xlfn.XLOOKUP(D54,Planilha!O:O,Planilha!C:C)</f>
        <v>02.06.01.01.04</v>
      </c>
      <c r="C54" s="90" t="str">
        <f>_xlfn.XLOOKUP($D54,Planilha!$O:$O,Planilha!F:F)</f>
        <v>MÃO DE OBRA E MATERIAIS COMPLEMENTARES PARA EXAUSTÃO MECÂNICA (BANHEIROS E COIFA)</v>
      </c>
      <c r="D54" s="91">
        <f>LARGE(Planilha!$O:$O,$A54)</f>
        <v>72000</v>
      </c>
      <c r="E54" s="92">
        <f t="shared" si="0"/>
        <v>5.1729307331391111E-3</v>
      </c>
      <c r="F54" s="93">
        <f t="shared" si="1"/>
        <v>0.6683162867363992</v>
      </c>
      <c r="I54" s="73" t="str">
        <v>PINTURA DE ACABAMENTO COM APLICAÇÃO DE FUNDO PREPARADOR EPOXI, 01 DEMÃO DE MASSA EPOXI E 02 DEMÃOS DE TINTA ESMALTE EPOXI BRANCO, E = 35 MICRA P/ DEMÃO - R1</v>
      </c>
    </row>
    <row r="55" spans="1:9" ht="50.4" x14ac:dyDescent="0.3">
      <c r="A55" s="88">
        <f t="shared" si="2"/>
        <v>47</v>
      </c>
      <c r="B55" s="89" t="str">
        <f>_xlfn.XLOOKUP(D55,Planilha!O:O,Planilha!C:C)</f>
        <v>02.02.06.02</v>
      </c>
      <c r="C55" s="90" t="str">
        <f>_xlfn.XLOOKUP($D55,Planilha!$O:$O,Planilha!F:F)</f>
        <v>BGS.01 - EXECUÇÃO E COMPACTAÇÃO DE BASE E OU SUB BASE PARA PAVIMENTAÇÃO DE BRITA GRADUADA SIMPLES TRATADA COM CIMENTO - EXCLUSIVE CARGA E TRANSPORTE. AF_11/2019</v>
      </c>
      <c r="D55" s="91">
        <f>LARGE(Planilha!$O:$O,$A55)</f>
        <v>65049.63</v>
      </c>
      <c r="E55" s="92">
        <f t="shared" si="0"/>
        <v>4.673572641754554E-3</v>
      </c>
      <c r="F55" s="93">
        <f t="shared" si="1"/>
        <v>0.67298985937815381</v>
      </c>
      <c r="I55" s="73" t="str">
        <v>VIGIA DIURNO COM ENCARGOS COMPLEMENTARES</v>
      </c>
    </row>
    <row r="56" spans="1:9" ht="50.4" x14ac:dyDescent="0.3">
      <c r="A56" s="88">
        <f t="shared" si="2"/>
        <v>48</v>
      </c>
      <c r="B56" s="89" t="str">
        <f>_xlfn.XLOOKUP(D56,Planilha!O:O,Planilha!C:C)</f>
        <v>02.02.04.06</v>
      </c>
      <c r="C56" s="90" t="str">
        <f>_xlfn.XLOOKUP($D56,Planilha!$O:$O,Planilha!F:F)</f>
        <v>PINTURA DE ACABAMENTO COM APLICAÇÃO DE FUNDO PREPARADOR EPOXI, 01 DEMÃO DE MASSA EPOXI E 02 DEMÃOS DE TINTA ESMALTE EPOXI BRANCO, E = 35 MICRA P/ DEMÃO - R1</v>
      </c>
      <c r="D56" s="91">
        <f>LARGE(Planilha!$O:$O,$A56)</f>
        <v>63903.82</v>
      </c>
      <c r="E56" s="92">
        <f t="shared" si="0"/>
        <v>4.5912504783748578E-3</v>
      </c>
      <c r="F56" s="93">
        <f t="shared" si="1"/>
        <v>0.67758110985652864</v>
      </c>
      <c r="I56" s="73" t="str">
        <v>ALMOXARIFE COM ENCARGOS COMPLEMENTARES</v>
      </c>
    </row>
    <row r="57" spans="1:9" x14ac:dyDescent="0.3">
      <c r="A57" s="88">
        <f t="shared" si="2"/>
        <v>49</v>
      </c>
      <c r="B57" s="89" t="str">
        <f>_xlfn.XLOOKUP(D57,Planilha!O:O,Planilha!C:C)</f>
        <v>01.01.07</v>
      </c>
      <c r="C57" s="90" t="str">
        <f>_xlfn.XLOOKUP($D57,Planilha!$O:$O,Planilha!F:F)</f>
        <v>VIGIA DIURNO COM ENCARGOS COMPLEMENTARES</v>
      </c>
      <c r="D57" s="91">
        <f>LARGE(Planilha!$O:$O,$A57)</f>
        <v>61793.599999999999</v>
      </c>
      <c r="E57" s="92">
        <f t="shared" si="0"/>
        <v>4.4396390632125684E-3</v>
      </c>
      <c r="F57" s="93">
        <f t="shared" si="1"/>
        <v>0.68202074891974118</v>
      </c>
      <c r="I57" s="73" t="str">
        <v>REATERRO MANUAL DE VALAS COM COMPACTAÇÃO MECANIZADA. AF_04/2016</v>
      </c>
    </row>
    <row r="58" spans="1:9" x14ac:dyDescent="0.3">
      <c r="A58" s="88">
        <f t="shared" si="2"/>
        <v>50</v>
      </c>
      <c r="B58" s="89" t="str">
        <f>_xlfn.XLOOKUP(D58,Planilha!O:O,Planilha!C:C)</f>
        <v>01.01.06</v>
      </c>
      <c r="C58" s="90" t="str">
        <f>_xlfn.XLOOKUP($D58,Planilha!$O:$O,Planilha!F:F)</f>
        <v>ALMOXARIFE COM ENCARGOS COMPLEMENTARES</v>
      </c>
      <c r="D58" s="91">
        <f>LARGE(Planilha!$O:$O,$A58)</f>
        <v>61202.400000000001</v>
      </c>
      <c r="E58" s="92">
        <f t="shared" si="0"/>
        <v>4.3971635541926821E-3</v>
      </c>
      <c r="F58" s="93">
        <f t="shared" si="1"/>
        <v>0.68641791247393391</v>
      </c>
      <c r="I58" s="73" t="str">
        <v>INSTALAÇÃO DOS SPLITS (MÃO DE OBRA E MATERIAIS)</v>
      </c>
    </row>
    <row r="59" spans="1:9" ht="33.6" x14ac:dyDescent="0.3">
      <c r="A59" s="88">
        <f t="shared" si="2"/>
        <v>51</v>
      </c>
      <c r="B59" s="89" t="str">
        <f>_xlfn.XLOOKUP(D59,Planilha!O:O,Planilha!C:C)</f>
        <v>02.01.02.03</v>
      </c>
      <c r="C59" s="90" t="str">
        <f>_xlfn.XLOOKUP($D59,Planilha!$O:$O,Planilha!F:F)</f>
        <v>REATERRO MANUAL DE VALAS COM COMPACTAÇÃO MECANIZADA. AF_04/2016</v>
      </c>
      <c r="D59" s="91">
        <f>LARGE(Planilha!$O:$O,$A59)</f>
        <v>60275.27</v>
      </c>
      <c r="E59" s="92">
        <f t="shared" si="0"/>
        <v>4.3305527309896921E-3</v>
      </c>
      <c r="F59" s="93">
        <f t="shared" si="1"/>
        <v>0.69074846520492361</v>
      </c>
      <c r="I59" s="73" t="str">
        <v>VU 90 S</v>
      </c>
    </row>
    <row r="60" spans="1:9" x14ac:dyDescent="0.3">
      <c r="A60" s="88">
        <f t="shared" si="2"/>
        <v>52</v>
      </c>
      <c r="B60" s="89" t="str">
        <f>_xlfn.XLOOKUP(D60,Planilha!O:O,Planilha!C:C)</f>
        <v>02.06.01.01.03</v>
      </c>
      <c r="C60" s="90" t="str">
        <f>_xlfn.XLOOKUP($D60,Planilha!$O:$O,Planilha!F:F)</f>
        <v>INSTALAÇÃO DOS SPLITS (MÃO DE OBRA E MATERIAIS)</v>
      </c>
      <c r="D60" s="91">
        <f>LARGE(Planilha!$O:$O,$A60)</f>
        <v>59800</v>
      </c>
      <c r="E60" s="92">
        <f t="shared" si="0"/>
        <v>4.2964063589127615E-3</v>
      </c>
      <c r="F60" s="93">
        <f t="shared" si="1"/>
        <v>0.69504487156383632</v>
      </c>
      <c r="I60" s="73" t="str">
        <v>ARMAÇÃO DE BLOCO, VIGA BALDRAME OU SAPATA UTILIZANDO AÇO CA-50 DE 10 MM - MONTAGEM. AF_06/2017</v>
      </c>
    </row>
    <row r="61" spans="1:9" x14ac:dyDescent="0.3">
      <c r="A61" s="88">
        <f t="shared" si="2"/>
        <v>53</v>
      </c>
      <c r="B61" s="89" t="str">
        <f>_xlfn.XLOOKUP(D61,Planilha!O:O,Planilha!C:C)</f>
        <v>02.02.11.02.17</v>
      </c>
      <c r="C61" s="90" t="str">
        <f>_xlfn.XLOOKUP($D61,Planilha!$O:$O,Planilha!F:F)</f>
        <v>VU 90 S</v>
      </c>
      <c r="D61" s="91">
        <f>LARGE(Planilha!$O:$O,$A61)</f>
        <v>59797.06</v>
      </c>
      <c r="E61" s="92">
        <f t="shared" si="0"/>
        <v>4.2961951309078246E-3</v>
      </c>
      <c r="F61" s="93">
        <f t="shared" si="1"/>
        <v>0.69934106669474416</v>
      </c>
      <c r="I61" s="73" t="str">
        <v>IMPERMEABILIZAÇÃO EM MANTA ASFÁLTICA PLASTOMÉRICA COM ARMADURA, TIPO III, ESPESSURA DE 4 MM, FACE EXPOSTA EM GEOTÊXTIL COM MEMBRANA ACRÍLICA</v>
      </c>
    </row>
    <row r="62" spans="1:9" ht="33.6" x14ac:dyDescent="0.3">
      <c r="A62" s="88">
        <f t="shared" si="2"/>
        <v>54</v>
      </c>
      <c r="B62" s="89" t="str">
        <f>_xlfn.XLOOKUP(D62,Planilha!O:O,Planilha!C:C)</f>
        <v>02.01.04.05</v>
      </c>
      <c r="C62" s="90" t="str">
        <f>_xlfn.XLOOKUP($D62,Planilha!$O:$O,Planilha!F:F)</f>
        <v>ARMAÇÃO DE BLOCO, VIGA BALDRAME OU SAPATA UTILIZANDO AÇO CA-50 DE 10 MM - MONTAGEM. AF_06/2017</v>
      </c>
      <c r="D62" s="91">
        <f>LARGE(Planilha!$O:$O,$A62)</f>
        <v>59548.5</v>
      </c>
      <c r="E62" s="92">
        <f t="shared" si="0"/>
        <v>4.278337024476866E-3</v>
      </c>
      <c r="F62" s="93">
        <f t="shared" si="1"/>
        <v>0.70361940371922105</v>
      </c>
      <c r="I62" s="73" t="str">
        <v>DEMOLIÇÃO MECANIZADA DE CONCRETO SIMPLES, INCLUSIVE FRAGMENTAÇÃO E ACOMODAÇÃO DO MATERIAL</v>
      </c>
    </row>
    <row r="63" spans="1:9" ht="50.4" x14ac:dyDescent="0.3">
      <c r="A63" s="88">
        <f t="shared" si="2"/>
        <v>55</v>
      </c>
      <c r="B63" s="89" t="str">
        <f>_xlfn.XLOOKUP(D63,Planilha!O:O,Planilha!C:C)</f>
        <v>02.02.09.02</v>
      </c>
      <c r="C63" s="90" t="str">
        <f>_xlfn.XLOOKUP($D63,Planilha!$O:$O,Planilha!F:F)</f>
        <v>IMPERMEABILIZAÇÃO EM MANTA ASFÁLTICA PLASTOMÉRICA COM ARMADURA, TIPO III, ESPESSURA DE 4 MM, FACE EXPOSTA EM GEOTÊXTIL COM MEMBRANA ACRÍLICA</v>
      </c>
      <c r="D63" s="91">
        <f>LARGE(Planilha!$O:$O,$A63)</f>
        <v>58796.01</v>
      </c>
      <c r="E63" s="92">
        <f t="shared" si="0"/>
        <v>4.2242734321521463E-3</v>
      </c>
      <c r="F63" s="93">
        <f t="shared" si="1"/>
        <v>0.7078436771513732</v>
      </c>
      <c r="I63" s="73" t="str">
        <v>CPM.04 - PAINEL EM CHAPA METÁLICA PERFURADA REDONDA EM AÇO INOX 304 - PERFURAÇÃO R8,00 EC11,00. ACABAMENTO EM PINTURA ELETROSTÁTICA COR RAL 7042 BRILHANTE. SUBESTRUTURA EM PERFIS DE AÇO INOX 304 E ACESSÓRIOS PARA FIXAÇÃO PINTADOS NA MESMA COR, PARAFUSOS SEM PINTURA.8,129 - 5,286m2</v>
      </c>
    </row>
    <row r="64" spans="1:9" ht="33.6" x14ac:dyDescent="0.3">
      <c r="A64" s="88">
        <f t="shared" si="2"/>
        <v>56</v>
      </c>
      <c r="B64" s="89" t="str">
        <f>_xlfn.XLOOKUP(D64,Planilha!O:O,Planilha!C:C)</f>
        <v>01.05.01</v>
      </c>
      <c r="C64" s="90" t="str">
        <f>_xlfn.XLOOKUP($D64,Planilha!$O:$O,Planilha!F:F)</f>
        <v>DEMOLIÇÃO MECANIZADA DE CONCRETO SIMPLES, INCLUSIVE FRAGMENTAÇÃO E ACOMODAÇÃO DO MATERIAL</v>
      </c>
      <c r="D64" s="91">
        <f>LARGE(Planilha!$O:$O,$A64)</f>
        <v>57026.46</v>
      </c>
      <c r="E64" s="92">
        <f t="shared" si="0"/>
        <v>4.0971378824462244E-3</v>
      </c>
      <c r="F64" s="93">
        <f t="shared" si="1"/>
        <v>0.71194081503381945</v>
      </c>
      <c r="I64" s="73" t="str">
        <v>BLI.01 - EXECUÇÃO DE PASSEIO EM PISO INTERTRAVADO, COM BLOCO RETANGULAR COLORIDO DE 20 X 10 CM, ESPESSURA 6 CM. AF_12/2015</v>
      </c>
    </row>
    <row r="65" spans="1:9" ht="100.8" x14ac:dyDescent="0.3">
      <c r="A65" s="88">
        <f t="shared" si="2"/>
        <v>57</v>
      </c>
      <c r="B65" s="89" t="str">
        <f>_xlfn.XLOOKUP(D65,Planilha!O:O,Planilha!C:C)</f>
        <v>02.02.15.05.11</v>
      </c>
      <c r="C65" s="90" t="str">
        <f>_xlfn.XLOOKUP($D65,Planilha!$O:$O,Planilha!F:F)</f>
        <v>CPM.04 - PAINEL EM CHAPA METÁLICA PERFURADA REDONDA EM AÇO INOX 304 - PERFURAÇÃO R8,00 EC11,00. ACABAMENTO EM PINTURA ELETROSTÁTICA COR RAL 7042 BRILHANTE. SUBESTRUTURA EM PERFIS DE AÇO INOX 304 E ACESSÓRIOS PARA FIXAÇÃO PINTADOS NA MESMA COR, PARAFUSOS SEM PINTURA.8,129 - 5,286m2</v>
      </c>
      <c r="D65" s="91">
        <f>LARGE(Planilha!$O:$O,$A65)</f>
        <v>56836.54</v>
      </c>
      <c r="E65" s="92">
        <f t="shared" si="0"/>
        <v>4.0834928407123671E-3</v>
      </c>
      <c r="F65" s="93">
        <f t="shared" si="1"/>
        <v>0.71602430787453186</v>
      </c>
      <c r="I65" s="73" t="str">
        <v>CABO DE COBRE DE 2,5 MM², ISOLAMENTO 750 V - ISOLAÇÃO EM PVC 70°C</v>
      </c>
    </row>
    <row r="66" spans="1:9" ht="50.4" x14ac:dyDescent="0.3">
      <c r="A66" s="88">
        <f t="shared" si="2"/>
        <v>58</v>
      </c>
      <c r="B66" s="89" t="str">
        <f>_xlfn.XLOOKUP(D66,Planilha!O:O,Planilha!C:C)</f>
        <v>02.02.08.01</v>
      </c>
      <c r="C66" s="90" t="str">
        <f>_xlfn.XLOOKUP($D66,Planilha!$O:$O,Planilha!F:F)</f>
        <v>BLI.01 - EXECUÇÃO DE PASSEIO EM PISO INTERTRAVADO, COM BLOCO RETANGULAR COLORIDO DE 20 X 10 CM, ESPESSURA 6 CM. AF_12/2015</v>
      </c>
      <c r="D66" s="91">
        <f>LARGE(Planilha!$O:$O,$A66)</f>
        <v>55691.839999999997</v>
      </c>
      <c r="E66" s="92">
        <f t="shared" si="0"/>
        <v>4.0012504266814727E-3</v>
      </c>
      <c r="F66" s="93">
        <f t="shared" si="1"/>
        <v>0.72002555830121329</v>
      </c>
      <c r="I66" s="73" t="str">
        <v>MAO-DE-OBRA DE COMPRADOR,INCLUSIVE ENCARGOS SOCIAIS</v>
      </c>
    </row>
    <row r="67" spans="1:9" ht="33.6" x14ac:dyDescent="0.3">
      <c r="A67" s="88">
        <f t="shared" si="2"/>
        <v>59</v>
      </c>
      <c r="B67" s="89" t="str">
        <f>_xlfn.XLOOKUP(D67,Planilha!O:O,Planilha!C:C)</f>
        <v>02.03.02.03.35</v>
      </c>
      <c r="C67" s="90" t="str">
        <f>_xlfn.XLOOKUP($D67,Planilha!$O:$O,Planilha!F:F)</f>
        <v>CABO DE COBRE DE 2,5 MM², ISOLAMENTO 750 V - ISOLAÇÃO EM PVC 70°C</v>
      </c>
      <c r="D67" s="91">
        <f>LARGE(Planilha!$O:$O,$A67)</f>
        <v>51030</v>
      </c>
      <c r="E67" s="92">
        <f t="shared" si="0"/>
        <v>3.666314657112345E-3</v>
      </c>
      <c r="F67" s="93">
        <f t="shared" si="1"/>
        <v>0.7236918729583256</v>
      </c>
      <c r="I67" s="73" t="str">
        <v>FORNECIMENTO DE ESTRUTURA AUXILIAR E MÃO DE OBRA PARA INSTALAÇÃO DA ESTRUTURA E BRISES REFAX RB</v>
      </c>
    </row>
    <row r="68" spans="1:9" x14ac:dyDescent="0.3">
      <c r="A68" s="88">
        <f t="shared" si="2"/>
        <v>60</v>
      </c>
      <c r="B68" s="89" t="str">
        <f>_xlfn.XLOOKUP(D68,Planilha!O:O,Planilha!C:C)</f>
        <v>01.01.05</v>
      </c>
      <c r="C68" s="90" t="str">
        <f>_xlfn.XLOOKUP($D68,Planilha!$O:$O,Planilha!F:F)</f>
        <v>MAO-DE-OBRA DE COMPRADOR,INCLUSIVE ENCARGOS SOCIAIS</v>
      </c>
      <c r="D68" s="91">
        <f>LARGE(Planilha!$O:$O,$A68)</f>
        <v>46689.279999999999</v>
      </c>
      <c r="E68" s="92">
        <f t="shared" si="0"/>
        <v>3.354450158613017E-3</v>
      </c>
      <c r="F68" s="93">
        <f t="shared" si="1"/>
        <v>0.72704632311693862</v>
      </c>
      <c r="I68" s="73" t="str">
        <v>CONCRETO GROUT, PREPARADO NO LOCAL, LANCADO E ADENSADO</v>
      </c>
    </row>
    <row r="69" spans="1:9" ht="33.6" x14ac:dyDescent="0.3">
      <c r="A69" s="88">
        <f t="shared" si="2"/>
        <v>61</v>
      </c>
      <c r="B69" s="89" t="str">
        <f>_xlfn.XLOOKUP(D69,Planilha!O:O,Planilha!C:C)</f>
        <v>02.02.15.06.05</v>
      </c>
      <c r="C69" s="90" t="str">
        <f>_xlfn.XLOOKUP($D69,Planilha!$O:$O,Planilha!F:F)</f>
        <v>FORNECIMENTO DE ESTRUTURA AUXILIAR E MÃO DE OBRA PARA INSTALAÇÃO DA ESTRUTURA E BRISES REFAX RB</v>
      </c>
      <c r="D69" s="91">
        <f>LARGE(Planilha!$O:$O,$A69)</f>
        <v>46080</v>
      </c>
      <c r="E69" s="92">
        <f t="shared" si="0"/>
        <v>3.310675669209031E-3</v>
      </c>
      <c r="F69" s="93">
        <f t="shared" si="1"/>
        <v>0.73035699878614768</v>
      </c>
      <c r="I69" s="73" t="str">
        <v>REMOÇÃO DE TRAMA METÁLICA PARA COBERTURA, DE FORMA MANUAL, SEM REAPROVEITAMENTO. AF_12/2017</v>
      </c>
    </row>
    <row r="70" spans="1:9" ht="33.6" x14ac:dyDescent="0.3">
      <c r="A70" s="88">
        <f t="shared" si="2"/>
        <v>62</v>
      </c>
      <c r="B70" s="89" t="str">
        <f>_xlfn.XLOOKUP(D70,Planilha!O:O,Planilha!C:C)</f>
        <v>02.02.01.04</v>
      </c>
      <c r="C70" s="90" t="str">
        <f>_xlfn.XLOOKUP($D70,Planilha!$O:$O,Planilha!F:F)</f>
        <v>CONCRETO GROUT, PREPARADO NO LOCAL, LANCADO E ADENSADO</v>
      </c>
      <c r="D70" s="91">
        <f>LARGE(Planilha!$O:$O,$A70)</f>
        <v>44157.8</v>
      </c>
      <c r="E70" s="92">
        <f t="shared" si="0"/>
        <v>3.1725727878862534E-3</v>
      </c>
      <c r="F70" s="93">
        <f t="shared" si="1"/>
        <v>0.73352957157403398</v>
      </c>
      <c r="I70" s="73" t="str">
        <v>TAXA DE MOBILIZAÇÃO E DESMOBILIZAÇÃO DE EQUIPAMENTOS PARA EXECUÇÃO DE ESTACA TIPO HÉLICE CONTÍNUA EM SOLO</v>
      </c>
    </row>
    <row r="71" spans="1:9" ht="33.6" x14ac:dyDescent="0.3">
      <c r="A71" s="88">
        <f t="shared" si="2"/>
        <v>63</v>
      </c>
      <c r="B71" s="89" t="str">
        <f>_xlfn.XLOOKUP(D71,Planilha!O:O,Planilha!C:C)</f>
        <v>01.05.08</v>
      </c>
      <c r="C71" s="90" t="str">
        <f>_xlfn.XLOOKUP($D71,Planilha!$O:$O,Planilha!F:F)</f>
        <v>REMOÇÃO DE TRAMA METÁLICA PARA COBERTURA, DE FORMA MANUAL, SEM REAPROVEITAMENTO. AF_12/2017</v>
      </c>
      <c r="D71" s="91">
        <f>LARGE(Planilha!$O:$O,$A71)</f>
        <v>43905.8</v>
      </c>
      <c r="E71" s="92">
        <f t="shared" si="0"/>
        <v>3.1544675303202666E-3</v>
      </c>
      <c r="F71" s="93">
        <f t="shared" si="1"/>
        <v>0.7366840391043542</v>
      </c>
      <c r="I71" s="73" t="str">
        <v>FORF.01 - FORRO EM PAINÉIS DE GESSO ACARTONADO, ESPESSURA DE 12,5 MM, FIXO</v>
      </c>
    </row>
    <row r="72" spans="1:9" ht="33.6" x14ac:dyDescent="0.3">
      <c r="A72" s="88">
        <f t="shared" si="2"/>
        <v>64</v>
      </c>
      <c r="B72" s="89" t="str">
        <f>_xlfn.XLOOKUP(D72,Planilha!O:O,Planilha!C:C)</f>
        <v>02.01.03.01</v>
      </c>
      <c r="C72" s="90" t="str">
        <f>_xlfn.XLOOKUP($D72,Planilha!$O:$O,Planilha!F:F)</f>
        <v>TAXA DE MOBILIZAÇÃO E DESMOBILIZAÇÃO DE EQUIPAMENTOS PARA EXECUÇÃO DE ESTACA TIPO HÉLICE CONTÍNUA EM SOLO</v>
      </c>
      <c r="D72" s="91">
        <f>LARGE(Planilha!$O:$O,$A72)</f>
        <v>43853.17</v>
      </c>
      <c r="E72" s="92">
        <f t="shared" si="0"/>
        <v>3.1506862616468619E-3</v>
      </c>
      <c r="F72" s="93">
        <f t="shared" si="1"/>
        <v>0.73983472536600103</v>
      </c>
      <c r="I72" s="73" t="str">
        <v>TECNICO DE EDIFICACOES COM ENCARGOS COMPLEMENTARES</v>
      </c>
    </row>
    <row r="73" spans="1:9" ht="33.6" x14ac:dyDescent="0.3">
      <c r="A73" s="88">
        <f t="shared" si="2"/>
        <v>65</v>
      </c>
      <c r="B73" s="89" t="str">
        <f>_xlfn.XLOOKUP(D73,Planilha!O:O,Planilha!C:C)</f>
        <v>02.02.10.02</v>
      </c>
      <c r="C73" s="90" t="str">
        <f>_xlfn.XLOOKUP($D73,Planilha!$O:$O,Planilha!F:F)</f>
        <v>FORF.01 - FORRO EM PAINÉIS DE GESSO ACARTONADO, ESPESSURA DE 12,5 MM, FIXO</v>
      </c>
      <c r="D73" s="91">
        <f>LARGE(Planilha!$O:$O,$A73)</f>
        <v>43838.400000000001</v>
      </c>
      <c r="E73" s="92">
        <f t="shared" ref="E73:E136" si="3">D73/$D$933</f>
        <v>3.1496250923839669E-3</v>
      </c>
      <c r="F73" s="93">
        <f t="shared" ref="F73:F136" si="4">+E73+F72</f>
        <v>0.74298435045838496</v>
      </c>
      <c r="I73" s="73" t="str">
        <v>ARMAÇÃO DE BLOCO, VIGA BALDRAME OU SAPATA UTILIZANDO AÇO CA-50 DE 12,5 MM - MONTAGEM. AF_06/2017</v>
      </c>
    </row>
    <row r="74" spans="1:9" x14ac:dyDescent="0.3">
      <c r="A74" s="88">
        <f t="shared" si="2"/>
        <v>66</v>
      </c>
      <c r="B74" s="89" t="str">
        <f>_xlfn.XLOOKUP(D74,Planilha!O:O,Planilha!C:C)</f>
        <v>01.01.02</v>
      </c>
      <c r="C74" s="90" t="str">
        <f>_xlfn.XLOOKUP($D74,Planilha!$O:$O,Planilha!F:F)</f>
        <v>TECNICO DE EDIFICACOES COM ENCARGOS COMPLEMENTARES</v>
      </c>
      <c r="D74" s="91">
        <f>LARGE(Planilha!$O:$O,$A74)</f>
        <v>43718.080000000002</v>
      </c>
      <c r="E74" s="92">
        <f t="shared" si="3"/>
        <v>3.14098055035881E-3</v>
      </c>
      <c r="F74" s="93">
        <f t="shared" si="4"/>
        <v>0.74612533100874379</v>
      </c>
      <c r="I74" s="73" t="str">
        <v>DEMOLIÇÃO DE ALVENARIA PARA QUALQUER TIPO DE BLOCO, DE FORMA MECANIZADA, SEM REAPROVEITAMENTO. AF_12/2017</v>
      </c>
    </row>
    <row r="75" spans="1:9" ht="33.6" x14ac:dyDescent="0.3">
      <c r="A75" s="88">
        <f t="shared" ref="A75:A138" si="5">+A74+1</f>
        <v>67</v>
      </c>
      <c r="B75" s="89" t="str">
        <f>_xlfn.XLOOKUP(D75,Planilha!O:O,Planilha!C:C)</f>
        <v>02.01.04.06</v>
      </c>
      <c r="C75" s="90" t="str">
        <f>_xlfn.XLOOKUP($D75,Planilha!$O:$O,Planilha!F:F)</f>
        <v>ARMAÇÃO DE BLOCO, VIGA BALDRAME OU SAPATA UTILIZANDO AÇO CA-50 DE 12,5 MM - MONTAGEM. AF_06/2017</v>
      </c>
      <c r="D75" s="91">
        <f>LARGE(Planilha!$O:$O,$A75)</f>
        <v>42781.16</v>
      </c>
      <c r="E75" s="92">
        <f t="shared" si="3"/>
        <v>3.0736663522686336E-3</v>
      </c>
      <c r="F75" s="93">
        <f t="shared" si="4"/>
        <v>0.74919899736101248</v>
      </c>
      <c r="I75" s="73" t="str">
        <v>CPM.02.B - PAINEL EM CHAPA METÁLICA PERFURADA REDONDA EM AÇO INOX 304 - PERFURAÇÃO R8,00 EC11,00. ACABAMENTO EM PINTURA ELETROSTÁTICA COR RAL 7042 BRILHANTE. SUBESTRUTURA EM PERFIS DE AÇO INOX 304 E ACESSÓRIOS PARA FIXAÇÃO PINTADOS NA MESMA COR, PARAFUSOS SEM PINTURA.5,186 - 5,286m2</v>
      </c>
    </row>
    <row r="76" spans="1:9" x14ac:dyDescent="0.3">
      <c r="A76" s="88">
        <f t="shared" si="5"/>
        <v>68</v>
      </c>
      <c r="B76" s="89" t="str">
        <f>_xlfn.XLOOKUP(D76,Planilha!O:O,Planilha!C:C)</f>
        <v>02.01.03.05</v>
      </c>
      <c r="C76" s="90" t="str">
        <f>_xlfn.XLOOKUP($D76,Planilha!$O:$O,Planilha!F:F)</f>
        <v>CONCRETO USINADO, FCK = 30 MPA - PARA BOMBEAMENTO</v>
      </c>
      <c r="D76" s="91">
        <f>LARGE(Planilha!$O:$O,$A76)</f>
        <v>41117.440000000002</v>
      </c>
      <c r="E76" s="92">
        <f t="shared" si="3"/>
        <v>2.9541342922778254E-3</v>
      </c>
      <c r="F76" s="93">
        <f t="shared" si="4"/>
        <v>0.75215313165329034</v>
      </c>
      <c r="I76" s="73" t="str">
        <v>REMOÇÃO DE TELHAS DE FIBROCIMENTO, METÁLICA E CERÂMICA, DE FORMA MECANIZADA, COM USO DE GUINDASTE, SEM REAPROVEITAMENTO. AF_12/2017</v>
      </c>
    </row>
    <row r="77" spans="1:9" ht="33.6" x14ac:dyDescent="0.3">
      <c r="A77" s="88">
        <f t="shared" si="5"/>
        <v>69</v>
      </c>
      <c r="B77" s="89" t="str">
        <f>_xlfn.XLOOKUP(D77,Planilha!O:O,Planilha!C:C)</f>
        <v>01.05.03</v>
      </c>
      <c r="C77" s="90" t="str">
        <f>_xlfn.XLOOKUP($D77,Planilha!$O:$O,Planilha!F:F)</f>
        <v>DEMOLIÇÃO DE ALVENARIA PARA QUALQUER TIPO DE BLOCO, DE FORMA MECANIZADA, SEM REAPROVEITAMENTO. AF_12/2017</v>
      </c>
      <c r="D77" s="91">
        <f>LARGE(Planilha!$O:$O,$A77)</f>
        <v>40293.89</v>
      </c>
      <c r="E77" s="92">
        <f t="shared" si="3"/>
        <v>2.8949653047045374E-3</v>
      </c>
      <c r="F77" s="93">
        <f t="shared" si="4"/>
        <v>0.75504809695799491</v>
      </c>
      <c r="I77" s="73" t="str">
        <v>PINTURA HIDROFUGANTE COM SILICONE, APLICAÇÃO MANUAL, 2 DEMÃOS. AF_05/2021</v>
      </c>
    </row>
    <row r="78" spans="1:9" ht="100.8" x14ac:dyDescent="0.3">
      <c r="A78" s="88">
        <f t="shared" si="5"/>
        <v>70</v>
      </c>
      <c r="B78" s="89" t="str">
        <f>_xlfn.XLOOKUP(D78,Planilha!O:O,Planilha!C:C)</f>
        <v>02.02.15.05.07</v>
      </c>
      <c r="C78" s="90" t="str">
        <f>_xlfn.XLOOKUP($D78,Planilha!$O:$O,Planilha!F:F)</f>
        <v>CPM.02.B - PAINEL EM CHAPA METÁLICA PERFURADA REDONDA EM AÇO INOX 304 - PERFURAÇÃO R8,00 EC11,00. ACABAMENTO EM PINTURA ELETROSTÁTICA COR RAL 7042 BRILHANTE. SUBESTRUTURA EM PERFIS DE AÇO INOX 304 E ACESSÓRIOS PARA FIXAÇÃO PINTADOS NA MESMA COR, PARAFUSOS SEM PINTURA.5,186 - 5,286m2</v>
      </c>
      <c r="D78" s="91">
        <f>LARGE(Planilha!$O:$O,$A78)</f>
        <v>40024.86</v>
      </c>
      <c r="E78" s="92">
        <f t="shared" si="3"/>
        <v>2.8756365053276426E-3</v>
      </c>
      <c r="F78" s="93">
        <f t="shared" si="4"/>
        <v>0.75792373346332254</v>
      </c>
      <c r="I78" s="73" t="str">
        <v>ROLL-ON RO 150 SS</v>
      </c>
    </row>
    <row r="79" spans="1:9" ht="50.4" x14ac:dyDescent="0.3">
      <c r="A79" s="88">
        <f t="shared" si="5"/>
        <v>71</v>
      </c>
      <c r="B79" s="89" t="str">
        <f>_xlfn.XLOOKUP(D79,Planilha!O:O,Planilha!C:C)</f>
        <v>01.05.07</v>
      </c>
      <c r="C79" s="90" t="str">
        <f>_xlfn.XLOOKUP($D79,Planilha!$O:$O,Planilha!F:F)</f>
        <v>REMOÇÃO DE TELHAS DE FIBROCIMENTO, METÁLICA E CERÂMICA, DE FORMA MECANIZADA, COM USO DE GUINDASTE, SEM REAPROVEITAMENTO. AF_12/2017</v>
      </c>
      <c r="D79" s="91">
        <f>LARGE(Planilha!$O:$O,$A79)</f>
        <v>39970</v>
      </c>
      <c r="E79" s="92">
        <f t="shared" si="3"/>
        <v>2.8716950194940315E-3</v>
      </c>
      <c r="F79" s="93">
        <f t="shared" si="4"/>
        <v>0.76079542848281656</v>
      </c>
      <c r="I79" s="73" t="str">
        <v>EMBOÇO, PARA RECEBIMENTO DE CERÂMICA, EM ARGAMASSA TRAÇO 1:2:8, PREPARO MANUAL, APLICADO MANUALMENTE EM FACES INTERNAS DE PAREDES, PARA AMBIENTE COM ÁREA  MAIOR QUE 10M2, ESPESSURA DE 20MM, COM EXECUÇÃO DE TALISCAS. AF_06/2014</v>
      </c>
    </row>
    <row r="80" spans="1:9" ht="33.6" x14ac:dyDescent="0.3">
      <c r="A80" s="88">
        <f t="shared" si="5"/>
        <v>72</v>
      </c>
      <c r="B80" s="89" t="str">
        <f>_xlfn.XLOOKUP(D80,Planilha!O:O,Planilha!C:C)</f>
        <v>02.02.04.04</v>
      </c>
      <c r="C80" s="90" t="str">
        <f>_xlfn.XLOOKUP($D80,Planilha!$O:$O,Planilha!F:F)</f>
        <v>PINTURA HIDROFUGANTE COM SILICONE, APLICAÇÃO MANUAL, 2 DEMÃOS. AF_05/2021</v>
      </c>
      <c r="D80" s="91">
        <f>LARGE(Planilha!$O:$O,$A80)</f>
        <v>39352.33</v>
      </c>
      <c r="E80" s="92">
        <f t="shared" si="3"/>
        <v>2.8273177399671143E-3</v>
      </c>
      <c r="F80" s="93">
        <f t="shared" si="4"/>
        <v>0.7636227462227837</v>
      </c>
      <c r="I80" s="73" t="str">
        <v>ACR.01 - PINTURA ACRILICA BRANCA, ACABAMENTO FOSCO COM LIMITE COV (COMPOSTO ORGÂNICO VOLÁTEIS) DE ATÉ 50g/L, MÍNIMO 2 DEMÃOS COM EMASSAMENTO</v>
      </c>
    </row>
    <row r="81" spans="1:9" x14ac:dyDescent="0.3">
      <c r="A81" s="88">
        <f t="shared" si="5"/>
        <v>73</v>
      </c>
      <c r="B81" s="89" t="str">
        <f>_xlfn.XLOOKUP(D81,Planilha!O:O,Planilha!C:C)</f>
        <v>02.02.11.02.11</v>
      </c>
      <c r="C81" s="90" t="str">
        <f>_xlfn.XLOOKUP($D81,Planilha!$O:$O,Planilha!F:F)</f>
        <v>ROLL-ON RO 150 SS</v>
      </c>
      <c r="D81" s="91">
        <f>LARGE(Planilha!$O:$O,$A81)</f>
        <v>37709.279999999999</v>
      </c>
      <c r="E81" s="92">
        <f t="shared" si="3"/>
        <v>2.7092707421742779E-3</v>
      </c>
      <c r="F81" s="93">
        <f t="shared" si="4"/>
        <v>0.76633201696495801</v>
      </c>
      <c r="I81" s="73" t="str">
        <v>TAPUME COM TELHA METÁLICA. AF_05/2018</v>
      </c>
    </row>
    <row r="82" spans="1:9" ht="84" x14ac:dyDescent="0.3">
      <c r="A82" s="88">
        <f t="shared" si="5"/>
        <v>74</v>
      </c>
      <c r="B82" s="89" t="str">
        <f>_xlfn.XLOOKUP(D82,Planilha!O:O,Planilha!C:C)</f>
        <v>02.02.03.02</v>
      </c>
      <c r="C82" s="90" t="str">
        <f>_xlfn.XLOOKUP($D82,Planilha!$O:$O,Planilha!F:F)</f>
        <v>EMBOÇO, PARA RECEBIMENTO DE CERÂMICA, EM ARGAMASSA TRAÇO 1:2:8, PREPARO MANUAL, APLICADO MANUALMENTE EM FACES INTERNAS DE PAREDES, PARA AMBIENTE COM ÁREA  MAIOR QUE 10M2, ESPESSURA DE 20MM, COM EXECUÇÃO DE TALISCAS. AF_06/2014</v>
      </c>
      <c r="D82" s="91">
        <f>LARGE(Planilha!$O:$O,$A82)</f>
        <v>37114.57</v>
      </c>
      <c r="E82" s="92">
        <f t="shared" si="3"/>
        <v>2.6665430527811505E-3</v>
      </c>
      <c r="F82" s="93">
        <f t="shared" si="4"/>
        <v>0.76899856001773914</v>
      </c>
      <c r="I82" s="73" t="str">
        <v>PM06 - PORTA DUPLA DESIGUAL (0,90+0,30m) DE ABRIR EM MADEIRA MACIÇA COM REVESTIMENTO MELAMÍNICO NA COR BRANCA, COM VISOR (VIDRO 6mm 0,30x1,34m) E CHAPA DE PROTEÇÃO EM AÇO INOX LARGURA DA PORTA E h=0,40m - 1,20X 2,10M</v>
      </c>
    </row>
    <row r="83" spans="1:9" ht="50.4" x14ac:dyDescent="0.3">
      <c r="A83" s="88">
        <f t="shared" si="5"/>
        <v>75</v>
      </c>
      <c r="B83" s="89" t="str">
        <f>_xlfn.XLOOKUP(D83,Planilha!O:O,Planilha!C:C)</f>
        <v>02.02.04.01</v>
      </c>
      <c r="C83" s="90" t="str">
        <f>_xlfn.XLOOKUP($D83,Planilha!$O:$O,Planilha!F:F)</f>
        <v>ACR.01 - PINTURA ACRILICA BRANCA, ACABAMENTO FOSCO COM LIMITE COV (COMPOSTO ORGÂNICO VOLÁTEIS) DE ATÉ 50g/L, MÍNIMO 2 DEMÃOS COM EMASSAMENTO</v>
      </c>
      <c r="D83" s="91">
        <f>LARGE(Planilha!$O:$O,$A83)</f>
        <v>35795.769999999997</v>
      </c>
      <c r="E83" s="92">
        <f t="shared" si="3"/>
        <v>2.5717922048524859E-3</v>
      </c>
      <c r="F83" s="93">
        <f t="shared" si="4"/>
        <v>0.77157035222259163</v>
      </c>
      <c r="I83" s="73" t="str">
        <v>CPM.03.A - PAINEL EM CHAPA METÁLICA PERFURADA REDONDA EM AÇO INOX 304 - PERFURAÇÃO R8,00 EC11,00. ACABAMENTO EM PINTURA ELETROSTÁTICA COR RAL 7042 BRILHANTE. SUBESTRUTURA EM PERFIS DE AÇO INOX 304 E ACESSÓRIOS PARA FIXAÇÃO PINTADOS NA MESMA COR, PARAFUSOS SEM PINTURA.4,805 - 5,286m2</v>
      </c>
    </row>
    <row r="84" spans="1:9" x14ac:dyDescent="0.3">
      <c r="A84" s="88">
        <f t="shared" si="5"/>
        <v>76</v>
      </c>
      <c r="B84" s="89" t="str">
        <f>_xlfn.XLOOKUP(D84,Planilha!O:O,Planilha!C:C)</f>
        <v>01.02.08</v>
      </c>
      <c r="C84" s="90" t="str">
        <f>_xlfn.XLOOKUP($D84,Planilha!$O:$O,Planilha!F:F)</f>
        <v>TAPUME COM TELHA METÁLICA. AF_05/2018</v>
      </c>
      <c r="D84" s="91">
        <f>LARGE(Planilha!$O:$O,$A84)</f>
        <v>35644</v>
      </c>
      <c r="E84" s="92">
        <f t="shared" si="3"/>
        <v>2.5608880979445898E-3</v>
      </c>
      <c r="F84" s="93">
        <f t="shared" si="4"/>
        <v>0.77413124032053626</v>
      </c>
      <c r="I84" s="73" t="str">
        <v>PRM.04 - REVESTIMENTO EM PLACA CIMENTÍCIA AUTOCLAVADA COM ESPESSURA DE 12 MM, BORDA QUADRADA RETA E JUNTAS SECAS COM TRATAMENTO EM SILICONE ESTRUTURAL PRÓPRIO PARA FACHADAS EXTERNAS. SUBESTRUTURA EM PERFIS METÁLICOS CONFORME FABRICANTE</v>
      </c>
    </row>
    <row r="85" spans="1:9" ht="67.2" x14ac:dyDescent="0.3">
      <c r="A85" s="88">
        <f t="shared" si="5"/>
        <v>77</v>
      </c>
      <c r="B85" s="89" t="str">
        <f>_xlfn.XLOOKUP(D85,Planilha!O:O,Planilha!C:C)</f>
        <v>02.02.15.01.06</v>
      </c>
      <c r="C85" s="90" t="str">
        <f>_xlfn.XLOOKUP($D85,Planilha!$O:$O,Planilha!F:F)</f>
        <v>PM06 - PORTA DUPLA DESIGUAL (0,90+0,30m) DE ABRIR EM MADEIRA MACIÇA COM REVESTIMENTO MELAMÍNICO NA COR BRANCA, COM VISOR (VIDRO 6mm 0,30x1,34m) E CHAPA DE PROTEÇÃO EM AÇO INOX LARGURA DA PORTA E h=0,40m - 1,20X 2,10M</v>
      </c>
      <c r="D85" s="91">
        <f>LARGE(Planilha!$O:$O,$A85)</f>
        <v>34156.080000000002</v>
      </c>
      <c r="E85" s="92">
        <f t="shared" si="3"/>
        <v>2.4539866104938629E-3</v>
      </c>
      <c r="F85" s="93">
        <f t="shared" si="4"/>
        <v>0.77658522693103016</v>
      </c>
      <c r="I85" s="73" t="str">
        <v>CPM.03 - PAINEL DE ALUMINIO COMPOSTO COM NUCLEO EM POLIETILENO DE BAIXA DENSIDADE, COR CINZA CLARO (RAL 7042), DOBRAS TIPO FRESAGEM EM V COM ABA, COM ESTRUTURA AUXILIAR JUNTO AOS PILARES PARA DESCIDA TUBULAÇÕES EM PERFIL METALICO CINZA CLARO (RAL 7042), CONFORME MODULAÇÃO DO PROJETO, COM SISTEMA DE FIXAÇÃO CIMPLETO COMPOSTO MINIMAMENTE POR TARUCELL/ESPUMA, REBITE (QUANDO PERTINETNE) E SILICONE.</v>
      </c>
    </row>
    <row r="86" spans="1:9" ht="100.8" x14ac:dyDescent="0.3">
      <c r="A86" s="88">
        <f t="shared" si="5"/>
        <v>78</v>
      </c>
      <c r="B86" s="89" t="str">
        <f>_xlfn.XLOOKUP(D86,Planilha!O:O,Planilha!C:C)</f>
        <v>02.02.15.05.09</v>
      </c>
      <c r="C86" s="90" t="str">
        <f>_xlfn.XLOOKUP($D86,Planilha!$O:$O,Planilha!F:F)</f>
        <v>CPM.03.A - PAINEL EM CHAPA METÁLICA PERFURADA REDONDA EM AÇO INOX 304 - PERFURAÇÃO R8,00 EC11,00. ACABAMENTO EM PINTURA ELETROSTÁTICA COR RAL 7042 BRILHANTE. SUBESTRUTURA EM PERFIS DE AÇO INOX 304 E ACESSÓRIOS PARA FIXAÇÃO PINTADOS NA MESMA COR, PARAFUSOS SEM PINTURA.4,805 - 5,286m2</v>
      </c>
      <c r="D86" s="91">
        <f>LARGE(Planilha!$O:$O,$A86)</f>
        <v>33592.29</v>
      </c>
      <c r="E86" s="92">
        <f t="shared" si="3"/>
        <v>2.4134804074655782E-3</v>
      </c>
      <c r="F86" s="93">
        <f t="shared" si="4"/>
        <v>0.77899870733849574</v>
      </c>
      <c r="I86" s="73" t="str">
        <v>SALA DE CORTES - BANCADA LATERAL MEDINDO 4500X1000X900MM - COMPOSTO DE: 4,50 LL4298BI3-E METRO(S) LINEAR(ES) DE TAMPO EM GRANITO NATURAL POLIDO COM 30MM DE ESPESSURA, MEDINDO 1100MM DE PROFUNDIDADE, COM RESPALDO DE 60MM JUNTO A PAREDE E ACABAMENTO BICOTADO. - 1,00 LL2038-E MODULO INFERIOR DE CUBA MEDINDO 900X800X870MM PROVIDA DE DUAS PORTAS. - 3,00 LL2222-E MODULO INFERIOR MEDINDO 900X800X870MM PROVIDO DE DUAS PORTAS E UMA PRATELEIRA. - 1,00 LL2222-E MODULO INFERIOR MEDINDO 810X800X870MM PROVIDO DE DUAS PORTAS E UMA PRATELEIRA. - LAB. LINEA INDUSTRIA E COMERCIO DE MOVEIS PARA LABORATÓRIOS LTDA. - 0,26 LL2049 ABS METRO(S) LINEAR(ES) DE PAINEL PARA ACABAMENTO LATERAL APARENTE. - 0,05 LL2049 S ABS METRO(S) LINEAR(ES) DE PAINEL DE ACABAMENTO PARA FECHAMENTO FRONTAL. - UTILIDADES: - 1,00 LL9033 CUBA EM AÇO INOXIDÁVEL AISI 304 POLIDO MEDINDO 500X400X400MM. - 1,00 LN7158G AGUA FRIA CONJUNTO FORMADO POR NUCA GIRATÓRIA COM BICO ESCALONADO RETO E REGISTRO DE BLOQUEIO 3/8" EM LATÃO COM ACABAMENTO EM EPÓXI COM BATOQUE VERDE PARA AGUA FRIA. - 1,00 LL9012 VÁLVULA AMERICANA SIFONADA EM POLIPROPILENO MEDINDO 3 1/2" DE DIÂMETRO COM CONEXÕES TAMBÉM EM POLIPROPILENO PARA BANCADA.</v>
      </c>
    </row>
    <row r="87" spans="1:9" ht="84" x14ac:dyDescent="0.3">
      <c r="A87" s="88">
        <f t="shared" si="5"/>
        <v>79</v>
      </c>
      <c r="B87" s="89" t="str">
        <f>_xlfn.XLOOKUP(D87,Planilha!O:O,Planilha!C:C)</f>
        <v>02.02.03.07</v>
      </c>
      <c r="C87" s="90" t="str">
        <f>_xlfn.XLOOKUP($D87,Planilha!$O:$O,Planilha!F:F)</f>
        <v>PRM.04 - REVESTIMENTO EM PLACA CIMENTÍCIA AUTOCLAVADA COM ESPESSURA DE 12 MM, BORDA QUADRADA RETA E JUNTAS SECAS COM TRATAMENTO EM SILICONE ESTRUTURAL PRÓPRIO PARA FACHADAS EXTERNAS. SUBESTRUTURA EM PERFIS METÁLICOS CONFORME FABRICANTE</v>
      </c>
      <c r="D87" s="91">
        <f>LARGE(Planilha!$O:$O,$A87)</f>
        <v>33558.660000000003</v>
      </c>
      <c r="E87" s="92">
        <f t="shared" si="3"/>
        <v>2.4110642177356412E-3</v>
      </c>
      <c r="F87" s="93">
        <f t="shared" si="4"/>
        <v>0.78140977155623137</v>
      </c>
      <c r="I87" s="73" t="str">
        <v>FORNECIMENTO E INSTALAÇÃO DE TRELIÇA TB14, PARA SUPORTE DE TELA</v>
      </c>
    </row>
    <row r="88" spans="1:9" ht="134.4" x14ac:dyDescent="0.3">
      <c r="A88" s="88">
        <f t="shared" si="5"/>
        <v>80</v>
      </c>
      <c r="B88" s="89" t="str">
        <f>_xlfn.XLOOKUP(D88,Planilha!O:O,Planilha!C:C)</f>
        <v>02.02.03.09</v>
      </c>
      <c r="C88" s="90" t="str">
        <f>_xlfn.XLOOKUP($D88,Planilha!$O:$O,Planilha!F:F)</f>
        <v>CPM.03 - PAINEL DE ALUMINIO COMPOSTO COM NUCLEO EM POLIETILENO DE BAIXA DENSIDADE, COR CINZA CLARO (RAL 7042), DOBRAS TIPO FRESAGEM EM V COM ABA, COM ESTRUTURA AUXILIAR JUNTO AOS PILARES PARA DESCIDA TUBULAÇÕES EM PERFIL METALICO CINZA CLARO (RAL 7042), CONFORME MODULAÇÃO DO PROJETO, COM SISTEMA DE FIXAÇÃO CIMPLETO COMPOSTO MINIMAMENTE POR TARUCELL/ESPUMA, REBITE (QUANDO PERTINETNE) E SILICONE.</v>
      </c>
      <c r="D88" s="91">
        <f>LARGE(Planilha!$O:$O,$A88)</f>
        <v>32967.49</v>
      </c>
      <c r="E88" s="92">
        <f t="shared" si="3"/>
        <v>2.3685908641035598E-3</v>
      </c>
      <c r="F88" s="93">
        <f t="shared" si="4"/>
        <v>0.78377836242033494</v>
      </c>
      <c r="I88" s="73" t="str">
        <v>TRELIÇA CONTENÇÃO LATERAL</v>
      </c>
    </row>
    <row r="89" spans="1:9" ht="369.6" x14ac:dyDescent="0.3">
      <c r="A89" s="88">
        <f t="shared" si="5"/>
        <v>81</v>
      </c>
      <c r="B89" s="89" t="str">
        <f>_xlfn.XLOOKUP(D89,Planilha!O:O,Planilha!C:C)</f>
        <v>02.02.17.06</v>
      </c>
      <c r="C89" s="90" t="str">
        <f>_xlfn.XLOOKUP($D89,Planilha!$O:$O,Planilha!F:F)</f>
        <v>SALA DE CORTES - BANCADA LATERAL MEDINDO 4500X1000X900MM - COMPOSTO DE: 4,50 LL4298BI3-E METRO(S) LINEAR(ES) DE TAMPO EM GRANITO NATURAL POLIDO COM 30MM DE ESPESSURA, MEDINDO 1100MM DE PROFUNDIDADE, COM RESPALDO DE 60MM JUNTO A PAREDE E ACABAMENTO BICOTADO. - 1,00 LL2038-E MODULO INFERIOR DE CUBA MEDINDO 900X800X870MM PROVIDA DE DUAS PORTAS. - 3,00 LL2222-E MODULO INFERIOR MEDINDO 900X800X870MM PROVIDO DE DUAS PORTAS E UMA PRATELEIRA. - 1,00 LL2222-E MODULO INFERIOR MEDINDO 810X800X870MM PROVIDO DE DUAS PORTAS E UMA PRATELEIRA. - LAB. LINEA INDUSTRIA E COMERCIO DE MOVEIS PARA LABORATÓRIOS LTDA. - 0,26 LL2049 ABS METRO(S) LINEAR(ES) DE PAINEL PARA ACABAMENTO LATERAL APARENTE. - 0,05 LL2049 S ABS METRO(S) LINEAR(ES) DE PAINEL DE ACABAMENTO PARA FECHAMENTO FRONTAL. - UTILIDADES: - 1,00 LL9033 CUBA EM AÇO INOXIDÁVEL AISI 304 POLIDO MEDINDO 500X400X400MM. - 1,00 LN7158G AGUA FRIA CONJUNTO FORMADO POR NUCA GIRATÓRIA COM BICO ESCALONADO RETO E REGISTRO DE BLOQUEIO 3/8" EM LATÃO COM ACABAMENTO EM EPÓXI COM BATOQUE VERDE PARA AGUA FRIA. - 1,00 LL9012 VÁLVULA AMERICANA SIFONADA EM POLIPROPILENO MEDINDO 3 1/2" DE DIÂMETRO COM CONEXÕES TAMBÉM EM POLIPROPILENO PARA BANCADA.</v>
      </c>
      <c r="D89" s="91">
        <f>LARGE(Planilha!$O:$O,$A89)</f>
        <v>32585.55</v>
      </c>
      <c r="E89" s="92">
        <f t="shared" si="3"/>
        <v>2.3411499034894606E-3</v>
      </c>
      <c r="F89" s="93">
        <f t="shared" si="4"/>
        <v>0.78611951232382438</v>
      </c>
      <c r="I89" s="73" t="str">
        <v>CABO DE COBRE FLEXÍVEL DE 50 MM², ISOLAMENTO 0,6/1 KV - ISOLAÇÃO HEPR 90°C - BAIXA EMISSÃO DE FUMAÇA E GASES</v>
      </c>
    </row>
    <row r="90" spans="1:9" ht="33.6" x14ac:dyDescent="0.3">
      <c r="A90" s="88">
        <f t="shared" si="5"/>
        <v>82</v>
      </c>
      <c r="B90" s="89" t="str">
        <f>_xlfn.XLOOKUP(D90,Planilha!O:O,Planilha!C:C)</f>
        <v>02.02.06.09</v>
      </c>
      <c r="C90" s="90" t="str">
        <f>_xlfn.XLOOKUP($D90,Planilha!$O:$O,Planilha!F:F)</f>
        <v>FORNECIMENTO E INSTALAÇÃO DE TRELIÇA TB14, PARA SUPORTE DE TELA</v>
      </c>
      <c r="D90" s="91">
        <f>LARGE(Planilha!$O:$O,$A90)</f>
        <v>32238</v>
      </c>
      <c r="E90" s="92">
        <f t="shared" si="3"/>
        <v>2.3161797357630371E-3</v>
      </c>
      <c r="F90" s="93">
        <f t="shared" si="4"/>
        <v>0.78843569205958741</v>
      </c>
      <c r="I90" s="73" t="str">
        <v>PERFILADO PERFURADO 38X38MM</v>
      </c>
    </row>
    <row r="91" spans="1:9" x14ac:dyDescent="0.3">
      <c r="A91" s="88">
        <f t="shared" si="5"/>
        <v>83</v>
      </c>
      <c r="B91" s="89" t="str">
        <f>_xlfn.XLOOKUP(D91,Planilha!O:O,Planilha!C:C)</f>
        <v>02.02.11.02.18</v>
      </c>
      <c r="C91" s="90" t="str">
        <f>_xlfn.XLOOKUP($D91,Planilha!$O:$O,Planilha!F:F)</f>
        <v>TRELIÇA CONTENÇÃO LATERAL</v>
      </c>
      <c r="D91" s="91">
        <f>LARGE(Planilha!$O:$O,$A91)</f>
        <v>32200.38</v>
      </c>
      <c r="E91" s="92">
        <f t="shared" si="3"/>
        <v>2.3134768794549716E-3</v>
      </c>
      <c r="F91" s="93">
        <f t="shared" si="4"/>
        <v>0.79074916893904235</v>
      </c>
      <c r="I91" s="73" t="str">
        <v>CER.03 - AZULEJO 20X20CM BRILHANTE BORDA ARRED. BRANCO EXTRA PIERINI</v>
      </c>
    </row>
    <row r="92" spans="1:9" ht="33.6" x14ac:dyDescent="0.3">
      <c r="A92" s="88">
        <f t="shared" si="5"/>
        <v>84</v>
      </c>
      <c r="B92" s="89" t="str">
        <f>_xlfn.XLOOKUP(D92,Planilha!O:O,Planilha!C:C)</f>
        <v>02.03.11.15.08</v>
      </c>
      <c r="C92" s="90" t="str">
        <f>_xlfn.XLOOKUP($D92,Planilha!$O:$O,Planilha!F:F)</f>
        <v>CABO DE COBRE FLEXÍVEL DE 50 MM², ISOLAMENTO 0,6/1 KV - ISOLAÇÃO HEPR 90°C - BAIXA EMISSÃO DE FUMAÇA E GASES</v>
      </c>
      <c r="D92" s="91">
        <f>LARGE(Planilha!$O:$O,$A92)</f>
        <v>30972.240000000002</v>
      </c>
      <c r="E92" s="92">
        <f t="shared" si="3"/>
        <v>2.2252396134744513E-3</v>
      </c>
      <c r="F92" s="93">
        <f t="shared" si="4"/>
        <v>0.79297440855251677</v>
      </c>
      <c r="I92" s="73" t="str">
        <v>ARMAÇÃO DE PILAR OU VIGA DE UMA ESTRUTURA CONVENCIONAL DE CONCRETO ARMADO EM UMA EDIFICAÇÃO TÉRREA OU SOBRADO UTILIZANDO AÇO CA-50 DE 12,5 MM - MONTAGEM. AF_12/2015</v>
      </c>
    </row>
    <row r="93" spans="1:9" x14ac:dyDescent="0.3">
      <c r="A93" s="88">
        <f t="shared" si="5"/>
        <v>85</v>
      </c>
      <c r="B93" s="89" t="str">
        <f>_xlfn.XLOOKUP(D93,Planilha!O:O,Planilha!C:C)</f>
        <v>02.03.02.01.20</v>
      </c>
      <c r="C93" s="90" t="str">
        <f>_xlfn.XLOOKUP($D93,Planilha!$O:$O,Planilha!F:F)</f>
        <v>PERFILADO PERFURADO 38X38MM</v>
      </c>
      <c r="D93" s="91">
        <f>LARGE(Planilha!$O:$O,$A93)</f>
        <v>30282.75</v>
      </c>
      <c r="E93" s="92">
        <f t="shared" si="3"/>
        <v>2.1757023355412279E-3</v>
      </c>
      <c r="F93" s="93">
        <f t="shared" si="4"/>
        <v>0.79515011088805798</v>
      </c>
      <c r="I93" s="73" t="str">
        <v>FORNECIMENTO E MONTAGEM DE ESTRUTURA METALICA COM AÇO NAO PATINAVE (ASTM A36/A570)</v>
      </c>
    </row>
    <row r="94" spans="1:9" ht="33.6" x14ac:dyDescent="0.3">
      <c r="A94" s="88">
        <f t="shared" si="5"/>
        <v>86</v>
      </c>
      <c r="B94" s="89" t="str">
        <f>_xlfn.XLOOKUP(D94,Planilha!O:O,Planilha!C:C)</f>
        <v>02.02.03.04</v>
      </c>
      <c r="C94" s="90" t="str">
        <f>_xlfn.XLOOKUP($D94,Planilha!$O:$O,Planilha!F:F)</f>
        <v>CER.03 - AZULEJO 20X20CM BRILHANTE BORDA ARRED. BRANCO EXTRA PIERINI</v>
      </c>
      <c r="D94" s="91">
        <f>LARGE(Planilha!$O:$O,$A94)</f>
        <v>29570.7</v>
      </c>
      <c r="E94" s="92">
        <f t="shared" si="3"/>
        <v>2.1245442059782877E-3</v>
      </c>
      <c r="F94" s="93">
        <f t="shared" si="4"/>
        <v>0.79727465509403628</v>
      </c>
      <c r="I94" s="73" t="str">
        <v>EXECUÇÃO DE CENTRAL DE FÔRMAS, PRODUÇÃO DE ARGAMASSA OU CONCRETO EM CANTEIRO DE OBRA, NÃO INCLUSO MOBILIÁRIO E EQUIPAMENTOS. AF_04/2016</v>
      </c>
    </row>
    <row r="95" spans="1:9" ht="67.2" x14ac:dyDescent="0.3">
      <c r="A95" s="88">
        <f t="shared" si="5"/>
        <v>87</v>
      </c>
      <c r="B95" s="89" t="str">
        <f>_xlfn.XLOOKUP(D95,Planilha!O:O,Planilha!C:C)</f>
        <v>02.01.07.03.09</v>
      </c>
      <c r="C95" s="90" t="str">
        <f>_xlfn.XLOOKUP($D95,Planilha!$O:$O,Planilha!F:F)</f>
        <v>ARMAÇÃO DE PILAR OU VIGA DE UMA ESTRUTURA CONVENCIONAL DE CONCRETO ARMADO EM UMA EDIFICAÇÃO TÉRREA OU SOBRADO UTILIZANDO AÇO CA-50 DE 12,5 MM - MONTAGEM. AF_12/2015</v>
      </c>
      <c r="D95" s="91">
        <f>LARGE(Planilha!$O:$O,$A95)</f>
        <v>29390.720000000001</v>
      </c>
      <c r="E95" s="92">
        <f t="shared" si="3"/>
        <v>2.1116133160706436E-3</v>
      </c>
      <c r="F95" s="93">
        <f t="shared" si="4"/>
        <v>0.79938626841010696</v>
      </c>
      <c r="I95" s="73" t="str">
        <v>CABO DE COBRE FLEXÍVEL DE 95 MM², ISOLAMENTO 0,6/1 KV - ISOLAÇÃO HEPR 90°C - BAIXA EMISSÃO DE FUMAÇA E GASES</v>
      </c>
    </row>
    <row r="96" spans="1:9" ht="33.6" x14ac:dyDescent="0.3">
      <c r="A96" s="88">
        <f t="shared" si="5"/>
        <v>88</v>
      </c>
      <c r="B96" s="89" t="str">
        <f>_xlfn.XLOOKUP(D96,Planilha!O:O,Planilha!C:C)</f>
        <v>02.01.08.03</v>
      </c>
      <c r="C96" s="90" t="str">
        <f>_xlfn.XLOOKUP($D96,Planilha!$O:$O,Planilha!F:F)</f>
        <v>FORNECIMENTO E MONTAGEM DE ESTRUTURA METALICA COM AÇO NAO PATINAVE (ASTM A36/A570)</v>
      </c>
      <c r="D96" s="91">
        <f>LARGE(Planilha!$O:$O,$A96)</f>
        <v>29046.68</v>
      </c>
      <c r="E96" s="92">
        <f t="shared" si="3"/>
        <v>2.0868953287174604E-3</v>
      </c>
      <c r="F96" s="93">
        <f t="shared" si="4"/>
        <v>0.80147316373882438</v>
      </c>
      <c r="I96" s="73" t="str">
        <v>ARMAÇÃO DE PILAR OU VIGA DE UMA ESTRUTURA CONVENCIONAL DE CONCRETO ARMADO EM UMA EDIFICAÇÃO TÉRREA OU SOBRADO UTILIZANDO AÇO CA-50 DE 6,3 MM - MONTAGEM. AF_12/2015</v>
      </c>
    </row>
    <row r="97" spans="1:9" ht="50.4" x14ac:dyDescent="0.3">
      <c r="A97" s="88">
        <f t="shared" si="5"/>
        <v>89</v>
      </c>
      <c r="B97" s="89" t="str">
        <f>_xlfn.XLOOKUP(D97,Planilha!O:O,Planilha!C:C)</f>
        <v>01.02.10</v>
      </c>
      <c r="C97" s="90" t="str">
        <f>_xlfn.XLOOKUP($D97,Planilha!$O:$O,Planilha!F:F)</f>
        <v>EXECUÇÃO DE CENTRAL DE FÔRMAS, PRODUÇÃO DE ARGAMASSA OU CONCRETO EM CANTEIRO DE OBRA, NÃO INCLUSO MOBILIÁRIO E EQUIPAMENTOS. AF_04/2016</v>
      </c>
      <c r="D97" s="91">
        <f>LARGE(Planilha!$O:$O,$A97)</f>
        <v>28822</v>
      </c>
      <c r="E97" s="92">
        <f t="shared" si="3"/>
        <v>2.0707529109796593E-3</v>
      </c>
      <c r="F97" s="93">
        <f t="shared" si="4"/>
        <v>0.80354391664980407</v>
      </c>
      <c r="I97" s="73" t="str">
        <v xml:space="preserve">LOCACAO DE ANDAIME METALICO TUBULAR DE ENCAIXE, TIPO DE TORRE, COM LARGURA DE 1 ATE 1,5 M E ALTURA DE *1,00* M (INCLUSO SAPATAS FIXAS OU RODIZIOS)                                                                                                                                                                                                                                                                                                                                                        </v>
      </c>
    </row>
    <row r="98" spans="1:9" ht="33.6" x14ac:dyDescent="0.3">
      <c r="A98" s="88">
        <f t="shared" si="5"/>
        <v>90</v>
      </c>
      <c r="B98" s="89" t="str">
        <f>_xlfn.XLOOKUP(D98,Planilha!O:O,Planilha!C:C)</f>
        <v>02.03.11.15.09</v>
      </c>
      <c r="C98" s="90" t="str">
        <f>_xlfn.XLOOKUP($D98,Planilha!$O:$O,Planilha!F:F)</f>
        <v>CABO DE COBRE FLEXÍVEL DE 95 MM², ISOLAMENTO 0,6/1 KV - ISOLAÇÃO HEPR 90°C - BAIXA EMISSÃO DE FUMAÇA E GASES</v>
      </c>
      <c r="D98" s="91">
        <f>LARGE(Planilha!$O:$O,$A98)</f>
        <v>28586.400000000001</v>
      </c>
      <c r="E98" s="92">
        <f t="shared" si="3"/>
        <v>2.0538259320806653E-3</v>
      </c>
      <c r="F98" s="93">
        <f t="shared" si="4"/>
        <v>0.80559774258188477</v>
      </c>
      <c r="I98" s="73" t="str">
        <v>CARGA, MANOBRA E DESCARGA DE ENTULHO EM CAMINHÃO BASCULANTE 6 M³ - CARGA COM ESCAVADEIRA HIDRÁULICA  (CAÇAMBA DE 0,80 M³ / 111 HP) E DESCARGA LIVRE (UNIDADE: M3). AF_07/2020</v>
      </c>
    </row>
    <row r="99" spans="1:9" ht="67.2" x14ac:dyDescent="0.3">
      <c r="A99" s="88">
        <f t="shared" si="5"/>
        <v>91</v>
      </c>
      <c r="B99" s="89" t="str">
        <f>_xlfn.XLOOKUP(D99,Planilha!O:O,Planilha!C:C)</f>
        <v>02.01.07.03.06</v>
      </c>
      <c r="C99" s="90" t="str">
        <f>_xlfn.XLOOKUP($D99,Planilha!$O:$O,Planilha!F:F)</f>
        <v>ARMAÇÃO DE PILAR OU VIGA DE UMA ESTRUTURA CONVENCIONAL DE CONCRETO ARMADO EM UMA EDIFICAÇÃO TÉRREA OU SOBRADO UTILIZANDO AÇO CA-50 DE 6,3 MM - MONTAGEM. AF_12/2015</v>
      </c>
      <c r="D99" s="91">
        <f>LARGE(Planilha!$O:$O,$A99)</f>
        <v>28025.98</v>
      </c>
      <c r="E99" s="92">
        <f t="shared" si="3"/>
        <v>2.0135618509491953E-3</v>
      </c>
      <c r="F99" s="93">
        <f t="shared" si="4"/>
        <v>0.80761130443283391</v>
      </c>
      <c r="I99" s="73" t="str">
        <v>SALA DE CORTES -   BANCADA LATERAL MEDINDO 4500X1000X900MM - COMPOSTO DE: 4,95 LL4298BI3-E METRO(S) LINEAR(ES) DE TAMPO EM GRANITO NATURAL POLIDO COM 30MM DE ESPESSURA, MEDINDO 1100MM DE PROFUNDIDADE, COM RESPALDO DE 60MM JUNTO A PAREDE E ACABAMENTO BICOTADO. - 4,00 LL2222-E MODULO INFERIOR MEDINDO 900X800X870MM PROVIDO DE DUAS PORTAS E UMA PRATELEIRA. - 1,00 LL2222-E MODULO INFERIOR MEDINDO 1260X800X870MM PROVIDO DE TRÊS PORTAS E UMA PRATELEIRA. - 0,26 LL2049 ABS METRO(S) LINEAR(ES) DE PAINEL PARA ACABAMENTO LATERAL APARENTE. - 0,05 LL2049 S ABS METRO(S) LINEAR(ES) DE PAINEL DE ACABAMENTO PARA FECHAMENTO FRONTAL.</v>
      </c>
    </row>
    <row r="100" spans="1:9" ht="50.4" x14ac:dyDescent="0.3">
      <c r="A100" s="88">
        <f t="shared" si="5"/>
        <v>92</v>
      </c>
      <c r="B100" s="89" t="str">
        <f>_xlfn.XLOOKUP(D100,Planilha!O:O,Planilha!C:C)</f>
        <v>01.03.01</v>
      </c>
      <c r="C100" s="90" t="str">
        <f>_xlfn.XLOOKUP($D100,Planilha!$O:$O,Planilha!F:F)</f>
        <v xml:space="preserve">LOCACAO DE ANDAIME METALICO TUBULAR DE ENCAIXE, TIPO DE TORRE, COM LARGURA DE 1 ATE 1,5 M E ALTURA DE *1,00* M (INCLUSO SAPATAS FIXAS OU RODIZIOS)                                                                                                                                                                                                                                                                                                                                                        </v>
      </c>
      <c r="D100" s="91">
        <f>LARGE(Planilha!$O:$O,$A100)</f>
        <v>28000</v>
      </c>
      <c r="E100" s="92">
        <f t="shared" si="3"/>
        <v>2.0116952851096542E-3</v>
      </c>
      <c r="F100" s="93">
        <f t="shared" si="4"/>
        <v>0.8096229997179436</v>
      </c>
      <c r="I100" s="73" t="str">
        <v>HB VAL 150W/840</v>
      </c>
    </row>
    <row r="101" spans="1:9" ht="67.2" x14ac:dyDescent="0.3">
      <c r="A101" s="88">
        <f t="shared" si="5"/>
        <v>93</v>
      </c>
      <c r="B101" s="89" t="str">
        <f>_xlfn.XLOOKUP(D101,Planilha!O:O,Planilha!C:C)</f>
        <v>02.01.02.04</v>
      </c>
      <c r="C101" s="90" t="str">
        <f>_xlfn.XLOOKUP($D101,Planilha!$O:$O,Planilha!F:F)</f>
        <v>CARGA, MANOBRA E DESCARGA DE ENTULHO EM CAMINHÃO BASCULANTE 6 M³ - CARGA COM ESCAVADEIRA HIDRÁULICA  (CAÇAMBA DE 0,80 M³ / 111 HP) E DESCARGA LIVRE (UNIDADE: M3). AF_07/2020</v>
      </c>
      <c r="D101" s="91">
        <f>LARGE(Planilha!$O:$O,$A101)</f>
        <v>27906.66</v>
      </c>
      <c r="E101" s="92">
        <f t="shared" si="3"/>
        <v>2.0049891551842209E-3</v>
      </c>
      <c r="F101" s="93">
        <f t="shared" si="4"/>
        <v>0.81162798887312781</v>
      </c>
      <c r="I101" s="73" t="str">
        <v>APILOAMENTO COM MACO DE 30KG</v>
      </c>
    </row>
    <row r="102" spans="1:9" ht="201.6" x14ac:dyDescent="0.3">
      <c r="A102" s="88">
        <f t="shared" si="5"/>
        <v>94</v>
      </c>
      <c r="B102" s="89" t="str">
        <f>_xlfn.XLOOKUP(D102,Planilha!O:O,Planilha!C:C)</f>
        <v>02.02.17.07</v>
      </c>
      <c r="C102" s="90" t="str">
        <f>_xlfn.XLOOKUP($D102,Planilha!$O:$O,Planilha!F:F)</f>
        <v>SALA DE CORTES -   BANCADA LATERAL MEDINDO 4500X1000X900MM - COMPOSTO DE: 4,95 LL4298BI3-E METRO(S) LINEAR(ES) DE TAMPO EM GRANITO NATURAL POLIDO COM 30MM DE ESPESSURA, MEDINDO 1100MM DE PROFUNDIDADE, COM RESPALDO DE 60MM JUNTO A PAREDE E ACABAMENTO BICOTADO. - 4,00 LL2222-E MODULO INFERIOR MEDINDO 900X800X870MM PROVIDO DE DUAS PORTAS E UMA PRATELEIRA. - 1,00 LL2222-E MODULO INFERIOR MEDINDO 1260X800X870MM PROVIDO DE TRÊS PORTAS E UMA PRATELEIRA. - 0,26 LL2049 ABS METRO(S) LINEAR(ES) DE PAINEL PARA ACABAMENTO LATERAL APARENTE. - 0,05 LL2049 S ABS METRO(S) LINEAR(ES) DE PAINEL DE ACABAMENTO PARA FECHAMENTO FRONTAL.</v>
      </c>
      <c r="D102" s="91">
        <f>LARGE(Planilha!$O:$O,$A102)</f>
        <v>27714.51</v>
      </c>
      <c r="E102" s="92">
        <f t="shared" si="3"/>
        <v>1.9911838962901559E-3</v>
      </c>
      <c r="F102" s="93">
        <f t="shared" si="4"/>
        <v>0.81361917276941798</v>
      </c>
      <c r="I102" s="73" t="str">
        <v>DISPOSITIVO SUPPRESOR DE SURTO DPS CLASSE 1 100 KA, 350V, 1,5 KV</v>
      </c>
    </row>
    <row r="103" spans="1:9" ht="67.2" x14ac:dyDescent="0.3">
      <c r="A103" s="88">
        <f t="shared" si="5"/>
        <v>95</v>
      </c>
      <c r="B103" s="89" t="str">
        <f>_xlfn.XLOOKUP(D103,Planilha!O:O,Planilha!C:C)</f>
        <v>01.05.10</v>
      </c>
      <c r="C103" s="90" t="str">
        <f>_xlfn.XLOOKUP($D103,Planilha!$O:$O,Planilha!F:F)</f>
        <v>CARGA, MANOBRA E DESCARGA DE ENTULHO EM CAMINHÃO BASCULANTE 6 M³ - CARGA COM ESCAVADEIRA HIDRÁULICA  (CAÇAMBA DE 0,80 M³ / 111 HP) E DESCARGA LIVRE (UNIDADE: M3). AF_07/2020</v>
      </c>
      <c r="D103" s="91">
        <f>LARGE(Planilha!$O:$O,$A103)</f>
        <v>27327.63</v>
      </c>
      <c r="E103" s="92">
        <f t="shared" si="3"/>
        <v>1.9633880151507552E-3</v>
      </c>
      <c r="F103" s="93">
        <f t="shared" si="4"/>
        <v>0.8155825607845687</v>
      </c>
      <c r="I103" s="73" t="str">
        <v>ARMAÇÃO DE BLOCO, VIGA BALDRAME OU SAPATA UTILIZANDO AÇO CA-50 DE 6,3 MM - MONTAGEM. AF_06/2017</v>
      </c>
    </row>
    <row r="104" spans="1:9" x14ac:dyDescent="0.3">
      <c r="A104" s="88">
        <f t="shared" si="5"/>
        <v>96</v>
      </c>
      <c r="B104" s="89" t="str">
        <f>_xlfn.XLOOKUP(D104,Planilha!O:O,Planilha!C:C)</f>
        <v>02.03.01.01</v>
      </c>
      <c r="C104" s="90" t="str">
        <f>_xlfn.XLOOKUP($D104,Planilha!$O:$O,Planilha!F:F)</f>
        <v>HB VAL 150W/840</v>
      </c>
      <c r="D104" s="91">
        <f>LARGE(Planilha!$O:$O,$A104)</f>
        <v>26620.63</v>
      </c>
      <c r="E104" s="92">
        <f t="shared" si="3"/>
        <v>1.9125927092017363E-3</v>
      </c>
      <c r="F104" s="93">
        <f t="shared" si="4"/>
        <v>0.81749515349377044</v>
      </c>
      <c r="I104" s="73" t="str">
        <v>ALUGUEL DE CACAMBA 48 HORAS COM RETIRADA</v>
      </c>
    </row>
    <row r="105" spans="1:9" x14ac:dyDescent="0.3">
      <c r="A105" s="88">
        <f t="shared" si="5"/>
        <v>97</v>
      </c>
      <c r="B105" s="89" t="str">
        <f>_xlfn.XLOOKUP(D105,Planilha!O:O,Planilha!C:C)</f>
        <v>02.01.02.06</v>
      </c>
      <c r="C105" s="90" t="str">
        <f>_xlfn.XLOOKUP($D105,Planilha!$O:$O,Planilha!F:F)</f>
        <v>APILOAMENTO COM MACO DE 30KG</v>
      </c>
      <c r="D105" s="91">
        <f>LARGE(Planilha!$O:$O,$A105)</f>
        <v>26496.080000000002</v>
      </c>
      <c r="E105" s="92">
        <f t="shared" si="3"/>
        <v>1.9036442574960075E-3</v>
      </c>
      <c r="F105" s="93">
        <f t="shared" si="4"/>
        <v>0.81939879775126645</v>
      </c>
      <c r="I105" s="73" t="str">
        <v>JOELHO 90 GRAUS, PVC, SERIE R, ÁGUA PLUVIAL, DN 150 MM, JUNTA ELÁSTICA, FORNECIDO E INSTALADO EM CONDUTORES VERTICAIS DE ÁGUAS PLUVIAIS. AF_12/2014</v>
      </c>
    </row>
    <row r="106" spans="1:9" ht="33.6" x14ac:dyDescent="0.3">
      <c r="A106" s="88">
        <f t="shared" si="5"/>
        <v>98</v>
      </c>
      <c r="B106" s="89" t="str">
        <f>_xlfn.XLOOKUP(D106,Planilha!O:O,Planilha!C:C)</f>
        <v>02.03.11.03.02</v>
      </c>
      <c r="C106" s="90" t="str">
        <f>_xlfn.XLOOKUP($D106,Planilha!$O:$O,Planilha!F:F)</f>
        <v>DISPOSITIVO SUPPRESOR DE SURTO DPS CLASSE 1 100 KA, 350V, 1,5 KV</v>
      </c>
      <c r="D106" s="91">
        <f>LARGE(Planilha!$O:$O,$A106)</f>
        <v>26312.44</v>
      </c>
      <c r="E106" s="92">
        <f t="shared" si="3"/>
        <v>1.8904504102760953E-3</v>
      </c>
      <c r="F106" s="93">
        <f t="shared" si="4"/>
        <v>0.82128924816154258</v>
      </c>
      <c r="I106" s="73" t="str">
        <v>EXECUÇÃO DE PISO DE CONCRETO COM CONCRETO MOLDADO IN LOCO, USINADO, ACABAMENTO CONVENCIONAL, ESPESSURA 12 CM, ARMADO. AF_07/2016</v>
      </c>
    </row>
    <row r="107" spans="1:9" ht="33.6" x14ac:dyDescent="0.3">
      <c r="A107" s="88">
        <f t="shared" si="5"/>
        <v>99</v>
      </c>
      <c r="B107" s="89" t="str">
        <f>_xlfn.XLOOKUP(D107,Planilha!O:O,Planilha!C:C)</f>
        <v>02.01.04.03</v>
      </c>
      <c r="C107" s="90" t="str">
        <f>_xlfn.XLOOKUP($D107,Planilha!$O:$O,Planilha!F:F)</f>
        <v>ARMAÇÃO DE BLOCO, VIGA BALDRAME OU SAPATA UTILIZANDO AÇO CA-50 DE 6,3 MM - MONTAGEM. AF_06/2017</v>
      </c>
      <c r="D107" s="91">
        <f>LARGE(Planilha!$O:$O,$A107)</f>
        <v>26297.279999999999</v>
      </c>
      <c r="E107" s="92">
        <f t="shared" si="3"/>
        <v>1.8893612209717288E-3</v>
      </c>
      <c r="F107" s="93">
        <f t="shared" si="4"/>
        <v>0.8231786093825143</v>
      </c>
      <c r="I107" s="73" t="str">
        <v xml:space="preserve">CPM.02 - FECHAMENTO EM PAINEL COM CHAPA PERFURADA EM INOX 304 - PERFURAÇÃO R8,00 EC11,00 E ACABAMENTO EM PINTURA ELETROSTÁTICA COR RAL 7042 BRILHANTE. COM ESTRUTURA AUXILIAR JUNTO AOS PILARES PARA DESCIDA TUBULAÇÕES EM PERFIS DE AÇO INOX 304 E ACESSÓRIOS PARA FIXAÇÃO PINTADOS NA MESMA COR, PARAFUSOS SEM PINTURA. </v>
      </c>
    </row>
    <row r="108" spans="1:9" x14ac:dyDescent="0.3">
      <c r="A108" s="88">
        <f t="shared" si="5"/>
        <v>100</v>
      </c>
      <c r="B108" s="89" t="str">
        <f>_xlfn.XLOOKUP(D108,Planilha!O:O,Planilha!C:C)</f>
        <v>01.03.03</v>
      </c>
      <c r="C108" s="90" t="str">
        <f>_xlfn.XLOOKUP($D108,Planilha!$O:$O,Planilha!F:F)</f>
        <v>ALUGUEL DE CACAMBA 48 HORAS COM RETIRADA</v>
      </c>
      <c r="D108" s="91">
        <f>LARGE(Planilha!$O:$O,$A108)</f>
        <v>25900</v>
      </c>
      <c r="E108" s="92">
        <f t="shared" si="3"/>
        <v>1.8608181387264303E-3</v>
      </c>
      <c r="F108" s="93">
        <f t="shared" si="4"/>
        <v>0.82503942752124071</v>
      </c>
      <c r="I108" s="73" t="str">
        <v>ACR.02 - MASSA TEXTURIZADA A BASE DE RESINA ACRÍLICA ESTINERADA, COM PIGMENTOS INERTES, COR CINZA CLARO, HIDROCARBONETOS ALIFÁTICOS, SURFACTANTES, COALESCENTES , ESPESSANTES. MICROBICIDAS NÃO METÁLICOS E ÁGUA, APLICADO COM ROLO.</v>
      </c>
    </row>
    <row r="109" spans="1:9" ht="33.6" x14ac:dyDescent="0.3">
      <c r="A109" s="88">
        <f t="shared" si="5"/>
        <v>101</v>
      </c>
      <c r="B109" s="89" t="str">
        <f>_xlfn.XLOOKUP(D109,Planilha!O:O,Planilha!C:C)</f>
        <v>02.01.03.04</v>
      </c>
      <c r="C109" s="90" t="str">
        <f>_xlfn.XLOOKUP($D109,Planilha!$O:$O,Planilha!F:F)</f>
        <v>ARMAÇÃO DE BLOCO, VIGA BALDRAME OU SAPATA UTILIZANDO AÇO CA-50 DE 16 MM - MONTAGEM. AF_06/2017</v>
      </c>
      <c r="D109" s="91">
        <f>LARGE(Planilha!$O:$O,$A109)</f>
        <v>25593.87</v>
      </c>
      <c r="E109" s="92">
        <f t="shared" si="3"/>
        <v>1.8388238430967652E-3</v>
      </c>
      <c r="F109" s="93">
        <f t="shared" si="4"/>
        <v>0.82687825136433746</v>
      </c>
      <c r="I109" s="73" t="str">
        <v>LIMPEZA FINAL DA OBRA</v>
      </c>
    </row>
    <row r="110" spans="1:9" ht="50.4" x14ac:dyDescent="0.3">
      <c r="A110" s="88">
        <f t="shared" si="5"/>
        <v>102</v>
      </c>
      <c r="B110" s="89" t="str">
        <f>_xlfn.XLOOKUP(D110,Planilha!O:O,Planilha!C:C)</f>
        <v>02.04.01.01.09</v>
      </c>
      <c r="C110" s="90" t="str">
        <f>_xlfn.XLOOKUP($D110,Planilha!$O:$O,Planilha!F:F)</f>
        <v>JOELHO 90 GRAUS, PVC, SERIE R, ÁGUA PLUVIAL, DN 150 MM, JUNTA ELÁSTICA, FORNECIDO E INSTALADO EM CONDUTORES VERTICAIS DE ÁGUAS PLUVIAIS. AF_12/2014</v>
      </c>
      <c r="D110" s="91">
        <f>LARGE(Planilha!$O:$O,$A110)</f>
        <v>25415.43</v>
      </c>
      <c r="E110" s="92">
        <f t="shared" si="3"/>
        <v>1.8260035964298021E-3</v>
      </c>
      <c r="F110" s="93">
        <f t="shared" si="4"/>
        <v>0.82870425496076727</v>
      </c>
      <c r="I110" s="73" t="str">
        <v>PINTURA, COM TINTA DE BASE ALQUIDICA ESMALTADA BRILHANTE, EQUIVALENTE A LAGOLINE OU SIMILAR, INCLUSIVE LIXAMENTO, LIMPEZA, DESENGORDURAMENTO, APLICACAO DE ZARCAO DE SECAGEM RAPIDA, COR LARANJA E 2 DEMAOS DE ACABAMENTO.(DESONERADO)</v>
      </c>
    </row>
    <row r="111" spans="1:9" ht="50.4" x14ac:dyDescent="0.3">
      <c r="A111" s="88">
        <f t="shared" si="5"/>
        <v>103</v>
      </c>
      <c r="B111" s="89" t="str">
        <f>_xlfn.XLOOKUP(D111,Planilha!O:O,Planilha!C:C)</f>
        <v>02.02.05.01.04</v>
      </c>
      <c r="C111" s="90" t="str">
        <f>_xlfn.XLOOKUP($D111,Planilha!$O:$O,Planilha!F:F)</f>
        <v>EXECUÇÃO DE PISO DE CONCRETO COM CONCRETO MOLDADO IN LOCO, USINADO, ACABAMENTO CONVENCIONAL, ESPESSURA 12 CM, ARMADO. AF_07/2016</v>
      </c>
      <c r="D111" s="91">
        <f>LARGE(Planilha!$O:$O,$A111)</f>
        <v>25025.37</v>
      </c>
      <c r="E111" s="92">
        <f t="shared" si="3"/>
        <v>1.7979792441830209E-3</v>
      </c>
      <c r="F111" s="93">
        <f t="shared" si="4"/>
        <v>0.83050223420495028</v>
      </c>
      <c r="I111" s="73" t="str">
        <v>COMPRESSOR DE AR COMPRIMIDO INDUSTRIAL, MOD. BRAVO CSLV 60BR, POTÊNCIA ESTIMADA 15CV, TENSÃO 220V TRIFÁSICO, FABRICANTE: SCHULZ</v>
      </c>
    </row>
    <row r="112" spans="1:9" ht="100.8" x14ac:dyDescent="0.3">
      <c r="A112" s="88">
        <f t="shared" si="5"/>
        <v>104</v>
      </c>
      <c r="B112" s="89" t="str">
        <f>_xlfn.XLOOKUP(D112,Planilha!O:O,Planilha!C:C)</f>
        <v>02.02.03.08</v>
      </c>
      <c r="C112" s="90" t="str">
        <f>_xlfn.XLOOKUP($D112,Planilha!$O:$O,Planilha!F:F)</f>
        <v xml:space="preserve">CPM.02 - FECHAMENTO EM PAINEL COM CHAPA PERFURADA EM INOX 304 - PERFURAÇÃO R8,00 EC11,00 E ACABAMENTO EM PINTURA ELETROSTÁTICA COR RAL 7042 BRILHANTE. COM ESTRUTURA AUXILIAR JUNTO AOS PILARES PARA DESCIDA TUBULAÇÕES EM PERFIS DE AÇO INOX 304 E ACESSÓRIOS PARA FIXAÇÃO PINTADOS NA MESMA COR, PARAFUSOS SEM PINTURA. </v>
      </c>
      <c r="D112" s="91">
        <f>LARGE(Planilha!$O:$O,$A112)</f>
        <v>24580.48</v>
      </c>
      <c r="E112" s="92">
        <f t="shared" si="3"/>
        <v>1.7660155614904341E-3</v>
      </c>
      <c r="F112" s="93">
        <f t="shared" si="4"/>
        <v>0.83226824976644076</v>
      </c>
      <c r="I112" s="73" t="str">
        <v>CABO DE COBRE FLEXÍVEL DE 25 MM², ISOLAMENTO 0,6/1 KV - ISOLAÇÃO HEPR 90°C - BAIXA EMISSÃO DE FUMAÇA E GASES</v>
      </c>
    </row>
    <row r="113" spans="1:9" ht="84" x14ac:dyDescent="0.3">
      <c r="A113" s="88">
        <f t="shared" si="5"/>
        <v>105</v>
      </c>
      <c r="B113" s="89" t="str">
        <f>_xlfn.XLOOKUP(D113,Planilha!O:O,Planilha!C:C)</f>
        <v>02.02.04.03</v>
      </c>
      <c r="C113" s="90" t="str">
        <f>_xlfn.XLOOKUP($D113,Planilha!$O:$O,Planilha!F:F)</f>
        <v>ACR.02 - MASSA TEXTURIZADA A BASE DE RESINA ACRÍLICA ESTINERADA, COM PIGMENTOS INERTES, COR CINZA CLARO, HIDROCARBONETOS ALIFÁTICOS, SURFACTANTES, COALESCENTES , ESPESSANTES. MICROBICIDAS NÃO METÁLICOS E ÁGUA, APLICADO COM ROLO.</v>
      </c>
      <c r="D113" s="91">
        <f>LARGE(Planilha!$O:$O,$A113)</f>
        <v>24397.03</v>
      </c>
      <c r="E113" s="92">
        <f t="shared" si="3"/>
        <v>1.7528353650599566E-3</v>
      </c>
      <c r="F113" s="93">
        <f t="shared" si="4"/>
        <v>0.83402108513150075</v>
      </c>
      <c r="I113" s="73" t="str">
        <v>CER.01 - CERÂMICA REF LIVERPOOL MATT WHITE 7X24CM, PORTOBELLO OU SIMILAR</v>
      </c>
    </row>
    <row r="114" spans="1:9" x14ac:dyDescent="0.3">
      <c r="A114" s="88">
        <f t="shared" si="5"/>
        <v>106</v>
      </c>
      <c r="B114" s="89" t="str">
        <f>_xlfn.XLOOKUP(D114,Planilha!O:O,Planilha!C:C)</f>
        <v>02.07.01.01</v>
      </c>
      <c r="C114" s="90" t="str">
        <f>_xlfn.XLOOKUP($D114,Planilha!$O:$O,Planilha!F:F)</f>
        <v>LIMPEZA FINAL DA OBRA</v>
      </c>
      <c r="D114" s="91">
        <f>LARGE(Planilha!$O:$O,$A114)</f>
        <v>23850</v>
      </c>
      <c r="E114" s="92">
        <f t="shared" si="3"/>
        <v>1.7135333053523304E-3</v>
      </c>
      <c r="F114" s="93">
        <f t="shared" si="4"/>
        <v>0.83573461843685304</v>
      </c>
      <c r="I114" s="73" t="str">
        <v>TYLON MK 1.4 - ILUMINAÇÃO</v>
      </c>
    </row>
    <row r="115" spans="1:9" ht="84" x14ac:dyDescent="0.3">
      <c r="A115" s="88">
        <f t="shared" si="5"/>
        <v>107</v>
      </c>
      <c r="B115" s="89" t="str">
        <f>_xlfn.XLOOKUP(D115,Planilha!O:O,Planilha!C:C)</f>
        <v>02.02.15.06.06</v>
      </c>
      <c r="C115" s="90" t="str">
        <f>_xlfn.XLOOKUP($D115,Planilha!$O:$O,Planilha!F:F)</f>
        <v>PINTURA, COM TINTA DE BASE ALQUIDICA ESMALTADA BRILHANTE, EQUIVALENTE A LAGOLINE OU SIMILAR, INCLUSIVE LIXAMENTO, LIMPEZA, DESENGORDURAMENTO, APLICACAO DE ZARCAO DE SECAGEM RAPIDA, COR LARANJA E 2 DEMAOS DE ACABAMENTO.(DESONERADO)</v>
      </c>
      <c r="D115" s="91">
        <f>LARGE(Planilha!$O:$O,$A115)</f>
        <v>22620.16</v>
      </c>
      <c r="E115" s="92">
        <f t="shared" si="3"/>
        <v>1.6251739007294998E-3</v>
      </c>
      <c r="F115" s="93">
        <f t="shared" si="4"/>
        <v>0.83735979233758251</v>
      </c>
      <c r="I115" s="73" t="str">
        <v>UNIDADE DE REFERENCIA,PARA DESPESAS DENTRO DO CANTEIRO DE OBRAS,TAIS COMO:CONSUMO DE AGUA,TELEFONE,ENERGIA ELETRICA, ETC,E DEMAIS ITENS QUE COMPLEMENTAM AS DESPESAS JA CONSIDERA DAS.</v>
      </c>
    </row>
    <row r="116" spans="1:9" ht="50.4" x14ac:dyDescent="0.3">
      <c r="A116" s="88">
        <f t="shared" si="5"/>
        <v>108</v>
      </c>
      <c r="B116" s="89" t="str">
        <f>_xlfn.XLOOKUP(D116,Planilha!O:O,Planilha!C:C)</f>
        <v>02.05.05.01</v>
      </c>
      <c r="C116" s="90" t="str">
        <f>_xlfn.XLOOKUP($D116,Planilha!$O:$O,Planilha!F:F)</f>
        <v>COMPRESSOR DE AR COMPRIMIDO INDUSTRIAL, MOD. BRAVO CSLV 60BR, POTÊNCIA ESTIMADA 15CV, TENSÃO 220V TRIFÁSICO, FABRICANTE: SCHULZ</v>
      </c>
      <c r="D116" s="91">
        <f>LARGE(Planilha!$O:$O,$A116)</f>
        <v>21944.39</v>
      </c>
      <c r="E116" s="92">
        <f t="shared" si="3"/>
        <v>1.5766223534859802E-3</v>
      </c>
      <c r="F116" s="93">
        <f t="shared" si="4"/>
        <v>0.8389364146910685</v>
      </c>
      <c r="I116" s="73" t="str">
        <v>LASTRO DE CONCRETO MAGRO, APLICADO EM BLOCOS DE COROAMENTO OU SAPATAS. AF_08/2017</v>
      </c>
    </row>
    <row r="117" spans="1:9" ht="33.6" x14ac:dyDescent="0.3">
      <c r="A117" s="88">
        <f t="shared" si="5"/>
        <v>109</v>
      </c>
      <c r="B117" s="89" t="str">
        <f>_xlfn.XLOOKUP(D117,Planilha!O:O,Planilha!C:C)</f>
        <v>02.03.11.15.06</v>
      </c>
      <c r="C117" s="90" t="str">
        <f>_xlfn.XLOOKUP($D117,Planilha!$O:$O,Planilha!F:F)</f>
        <v>CABO DE COBRE FLEXÍVEL DE 25 MM², ISOLAMENTO 0,6/1 KV - ISOLAÇÃO HEPR 90°C - BAIXA EMISSÃO DE FUMAÇA E GASES</v>
      </c>
      <c r="D117" s="91">
        <f>LARGE(Planilha!$O:$O,$A117)</f>
        <v>21846.15</v>
      </c>
      <c r="E117" s="92">
        <f t="shared" si="3"/>
        <v>1.5695641768856527E-3</v>
      </c>
      <c r="F117" s="93">
        <f t="shared" si="4"/>
        <v>0.8405059788679542</v>
      </c>
      <c r="I117" s="73" t="str">
        <v>LUVA DE CORRER - JUNTA ELÁSTICA INTEGRADA - JEI - 250 MM</v>
      </c>
    </row>
    <row r="118" spans="1:9" ht="33.6" x14ac:dyDescent="0.3">
      <c r="A118" s="88">
        <f t="shared" si="5"/>
        <v>110</v>
      </c>
      <c r="B118" s="89" t="str">
        <f>_xlfn.XLOOKUP(D118,Planilha!O:O,Planilha!C:C)</f>
        <v>02.02.03.06</v>
      </c>
      <c r="C118" s="90" t="str">
        <f>_xlfn.XLOOKUP($D118,Planilha!$O:$O,Planilha!F:F)</f>
        <v>CER.01 - CERÂMICA REF LIVERPOOL MATT WHITE 7X24CM, PORTOBELLO OU SIMILAR</v>
      </c>
      <c r="D118" s="91">
        <f>LARGE(Planilha!$O:$O,$A118)</f>
        <v>21803.39</v>
      </c>
      <c r="E118" s="92">
        <f t="shared" si="3"/>
        <v>1.5664920308002493E-3</v>
      </c>
      <c r="F118" s="93">
        <f t="shared" si="4"/>
        <v>0.84207247089875448</v>
      </c>
      <c r="I118" s="73" t="str">
        <v>ARMAÇÃO DE PILAR OU VIGA DE UMA ESTRUTURA CONVENCIONAL DE CONCRETO ARMADO EM UMA EDIFICAÇÃO TÉRREA OU SOBRADO UTILIZANDO AÇO CA-50 DE 8,0 MM - MONTAGEM. AF_12/2015</v>
      </c>
    </row>
    <row r="119" spans="1:9" x14ac:dyDescent="0.3">
      <c r="A119" s="88">
        <f t="shared" si="5"/>
        <v>111</v>
      </c>
      <c r="B119" s="89" t="str">
        <f>_xlfn.XLOOKUP(D119,Planilha!O:O,Planilha!C:C)</f>
        <v>02.02.11.02.13</v>
      </c>
      <c r="C119" s="90" t="str">
        <f>_xlfn.XLOOKUP($D119,Planilha!$O:$O,Planilha!F:F)</f>
        <v>TYLON MK 1.4 - ILUMINAÇÃO</v>
      </c>
      <c r="D119" s="91">
        <f>LARGE(Planilha!$O:$O,$A119)</f>
        <v>21655.94</v>
      </c>
      <c r="E119" s="92">
        <f t="shared" si="3"/>
        <v>1.5558982997363414E-3</v>
      </c>
      <c r="F119" s="93">
        <f t="shared" si="4"/>
        <v>0.84362836919849082</v>
      </c>
      <c r="I119" s="73" t="str">
        <v>IMPERMEABILIZAÇÃO EM MEMBRANA DE ASFALTO MODIFICADO COM ELASTÔMEROS, NA COR PRETA E REFORÇO EM TELA POLIÉSTER</v>
      </c>
    </row>
    <row r="120" spans="1:9" ht="67.2" x14ac:dyDescent="0.3">
      <c r="A120" s="88">
        <f t="shared" si="5"/>
        <v>112</v>
      </c>
      <c r="B120" s="89" t="str">
        <f>_xlfn.XLOOKUP(D120,Planilha!O:O,Planilha!C:C)</f>
        <v>01.04.02</v>
      </c>
      <c r="C120" s="90" t="str">
        <f>_xlfn.XLOOKUP($D120,Planilha!$O:$O,Planilha!F:F)</f>
        <v>UNIDADE DE REFERENCIA,PARA DESPESAS DENTRO DO CANTEIRO DE OBRAS,TAIS COMO:CONSUMO DE AGUA,TELEFONE,ENERGIA ELETRICA, ETC,E DEMAIS ITENS QUE COMPLEMENTAM AS DESPESAS JA CONSIDERA DAS.</v>
      </c>
      <c r="D120" s="91">
        <f>LARGE(Planilha!$O:$O,$A120)</f>
        <v>21553.919999999998</v>
      </c>
      <c r="E120" s="92">
        <f t="shared" si="3"/>
        <v>1.5485685442725241E-3</v>
      </c>
      <c r="F120" s="93">
        <f t="shared" si="4"/>
        <v>0.84517693774276337</v>
      </c>
      <c r="I120" s="73" t="str">
        <v>SALA LIQUIDOS DENSOS - BANCADA LATERAL EM "L" MEDINDO (2400X650)+(1250X700)X900MM - COMPOSTO DE: 2,40 LL4098BI3 65 METRO(S) LINEAR(ES) DE TAMPO EM GRANITO NATURAL POLIDO COM 30MM DE ESPESSURA, MEDINDO 650MM DE PROFUNDIDADE COM RESPALDO DE 60MM JUNTO A PAREDE E ACABAMENTO BIZOTADO. - 1,25 LL4098BI3 METRO(S) LINEAR(ES) DE TAMPO EM GRANITO NATURAL POLIDO COM 30MM DE ESPESSURA, MEDINDO 700MM DE PROFUNDIDADE, COM RESPALDO DE 60MM JUNTO A PAREDE E ACABAMENTO BIZOTADO. - 1,00 LL2038-E MODULO INFERIOR DE CUBA MEDINDO 1125X520X870MM PROVIDA DE DUAS PORTAS. - 1,00 LL2212_ESQ-E MODULO INFERIOR MEDINDO 450X520X870MM PROVIDO DE UMA PORTA A ESQUERDA E UMA PRATELEIRA. - 1,00 LL2222-E MODULO INFERIOR MEDINDO 900X520X870MM PROVIDO DE DUAS PORTAS E UMA PRATELEIRA. - 1,00 LL2222-E MODULO INFERIOR DE CANTO MEDINDO 900X520X870MM PROVIDO DE UMA PORTA E UMA PRATELEIRA. - 0,12 LL2049 L METRO(S) LINEAR(ES) DE PAINEL DE ACABAMENTO PARA FECHAMENTO FRONTAL EM "L". - 0,10 LL2049 S ABS METRO(S) LINEAR(ES) DE PAINEL DE ACABAMENTO PARA FECHAMENTO FRONTAL. - UTILIDADES: - 1,00 LL9033 CUBA EM AÇO INOXIDÁVEL AISI 304 POLIDO MEDINDO 500X400X400MM. - 1,00 LN7158G AGUAFRIA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v>
      </c>
    </row>
    <row r="121" spans="1:9" ht="33.6" x14ac:dyDescent="0.3">
      <c r="A121" s="88">
        <f t="shared" si="5"/>
        <v>113</v>
      </c>
      <c r="B121" s="89" t="str">
        <f>_xlfn.XLOOKUP(D121,Planilha!O:O,Planilha!C:C)</f>
        <v>02.01.04.01</v>
      </c>
      <c r="C121" s="90" t="str">
        <f>_xlfn.XLOOKUP($D121,Planilha!$O:$O,Planilha!F:F)</f>
        <v>LASTRO DE CONCRETO MAGRO, APLICADO EM BLOCOS DE COROAMENTO OU SAPATAS. AF_08/2017</v>
      </c>
      <c r="D121" s="91">
        <f>LARGE(Planilha!$O:$O,$A121)</f>
        <v>21492.09</v>
      </c>
      <c r="E121" s="92">
        <f t="shared" si="3"/>
        <v>1.5441262900054409E-3</v>
      </c>
      <c r="F121" s="93">
        <f t="shared" si="4"/>
        <v>0.84672106403276881</v>
      </c>
      <c r="I121" s="73" t="str">
        <v>DOBRADIÇAS COM ROLAMENTO REF. 80 4X3 - LA FONTE</v>
      </c>
    </row>
    <row r="122" spans="1:9" x14ac:dyDescent="0.3">
      <c r="A122" s="88">
        <f t="shared" si="5"/>
        <v>114</v>
      </c>
      <c r="B122" s="89" t="str">
        <f>_xlfn.XLOOKUP(D122,Planilha!O:O,Planilha!C:C)</f>
        <v>02.04.01.02.05</v>
      </c>
      <c r="C122" s="90" t="str">
        <f>_xlfn.XLOOKUP($D122,Planilha!$O:$O,Planilha!F:F)</f>
        <v>LUVA DE CORRER - JUNTA ELÁSTICA INTEGRADA - JEI - 250 MM</v>
      </c>
      <c r="D122" s="91">
        <f>LARGE(Planilha!$O:$O,$A122)</f>
        <v>21181.759999999998</v>
      </c>
      <c r="E122" s="92">
        <f t="shared" si="3"/>
        <v>1.5218302400830095E-3</v>
      </c>
      <c r="F122" s="93">
        <f t="shared" si="4"/>
        <v>0.84824289427285182</v>
      </c>
      <c r="I122" s="73" t="str">
        <v>TOPOGRAFO COM ENCARGOS COMPLEMENTARES</v>
      </c>
    </row>
    <row r="123" spans="1:9" ht="67.2" x14ac:dyDescent="0.3">
      <c r="A123" s="88">
        <f t="shared" si="5"/>
        <v>115</v>
      </c>
      <c r="B123" s="89" t="str">
        <f>_xlfn.XLOOKUP(D123,Planilha!O:O,Planilha!C:C)</f>
        <v>02.01.07.03.07</v>
      </c>
      <c r="C123" s="90" t="str">
        <f>_xlfn.XLOOKUP($D123,Planilha!$O:$O,Planilha!F:F)</f>
        <v>ARMAÇÃO DE PILAR OU VIGA DE UMA ESTRUTURA CONVENCIONAL DE CONCRETO ARMADO EM UMA EDIFICAÇÃO TÉRREA OU SOBRADO UTILIZANDO AÇO CA-50 DE 8,0 MM - MONTAGEM. AF_12/2015</v>
      </c>
      <c r="D123" s="91">
        <f>LARGE(Planilha!$O:$O,$A123)</f>
        <v>21160.02</v>
      </c>
      <c r="E123" s="92">
        <f t="shared" si="3"/>
        <v>1.5202683023866424E-3</v>
      </c>
      <c r="F123" s="93">
        <f t="shared" si="4"/>
        <v>0.84976316257523843</v>
      </c>
      <c r="I123" s="73" t="str">
        <v xml:space="preserve"> SALA DE LAMINAÇÃO - BANCADA LATERAL MEDINDO 2400X900X900MM - COMPOSTO DE: 2,40 LL4298BI3 METRO(S) LINEAR(ES) DE TAMPO EM GRANITO NATURAL POLIDO COM 30MM DE ESPESSURA, MEDINDO 900MM DE PROFUNDIDADE, COM RESPALDO DE 60MM JUNTO A PAREDE E ACABAMENTO BIZOTADO.1,00 LL2038-E MODULO INFERIOR DE CUBA MEDINDO 900X700X870MM PROVIDA DE DUAS PORTAS.1,00 LL2222-E MODULO INFERIOR MEDINDO 900X700X870MM PROVIDO DE DUAS PORTAS E UMA PRATELEIRA.1,00 LL2212_ESQ-E MODULO INFERIOR MEDINDO 550X700X870MM PROVIDO DE UMA PORTA A ESQUERDA E UMA PRATELEIRA.0,05 LL2049 S ABS METRO(S) LINEAR(ES) DE PAINEL DE ACABAMENTO PARA FECHAMENTO FRONTAL.UTILIDADES:1,00 LL9033 CUBA EM AÇO INOXIDÁVEL AISI 304 POLIDO MEDINDO 500X400X400MM.1,00 LN7158G ÁGUA FRIA CONJUNTO FORMADO POR NUCA GIRATÓRIA COM BICO ESCALONADO RETO E REGISTRO DE BLOQUEIO 3/8" EM LATÃO COM ACABAMENTO EM EPÓXI COM BATOQUE VERDE PARA ÁGUA FRIA.1,00 LL9012 VÁLVULA AMERICANA SIFONADA EM POLIPROPILENO MEDINDO 3 1/2" DE DIÂMETRO COM CONEXÕES TAMBÉM EM POLIPROPILENO PARA BANCADA.1,00 LL9012 VÁLVULA AMERICANA SIFONADA EM POLIPROPILENO MEDINDO 3 1/2" DE DIÂMETRO COM CONEXÕES TAMBÉM EM POLIPROPILENO PARA BANCADA.</v>
      </c>
    </row>
    <row r="124" spans="1:9" ht="50.4" x14ac:dyDescent="0.3">
      <c r="A124" s="88">
        <f t="shared" si="5"/>
        <v>116</v>
      </c>
      <c r="B124" s="89" t="str">
        <f>_xlfn.XLOOKUP(D124,Planilha!O:O,Planilha!C:C)</f>
        <v>02.02.09.03</v>
      </c>
      <c r="C124" s="90" t="str">
        <f>_xlfn.XLOOKUP($D124,Planilha!$O:$O,Planilha!F:F)</f>
        <v>IMPERMEABILIZAÇÃO EM MEMBRANA DE ASFALTO MODIFICADO COM ELASTÔMEROS, NA COR PRETA E REFORÇO EM TELA POLIÉSTER</v>
      </c>
      <c r="D124" s="91">
        <f>LARGE(Planilha!$O:$O,$A124)</f>
        <v>20634</v>
      </c>
      <c r="E124" s="92">
        <f t="shared" si="3"/>
        <v>1.4824757326054503E-3</v>
      </c>
      <c r="F124" s="93">
        <f t="shared" si="4"/>
        <v>0.85124563830784383</v>
      </c>
      <c r="I124" s="73" t="str">
        <v>TUBO DE AÇO GALVANIZADO COM COSTURA, CLASSE MÉDIA, CONEXÃO RANHURADA, DN 65 (2 1/2"), INSTALADO EM PRUMADAS - FORNECIMENTO E INSTALAÇÃO. AF_10/2020</v>
      </c>
    </row>
    <row r="125" spans="1:9" ht="409.6" x14ac:dyDescent="0.3">
      <c r="A125" s="88">
        <f t="shared" si="5"/>
        <v>117</v>
      </c>
      <c r="B125" s="89" t="str">
        <f>_xlfn.XLOOKUP(D125,Planilha!O:O,Planilha!C:C)</f>
        <v>02.02.17.21</v>
      </c>
      <c r="C125" s="90" t="str">
        <f>_xlfn.XLOOKUP($D125,Planilha!$O:$O,Planilha!F:F)</f>
        <v>SALA LIQUIDOS DENSOS - BANCADA LATERAL EM "L" MEDINDO (2400X650)+(1250X700)X900MM - COMPOSTO DE: 2,40 LL4098BI3 65 METRO(S) LINEAR(ES) DE TAMPO EM GRANITO NATURAL POLIDO COM 30MM DE ESPESSURA, MEDINDO 650MM DE PROFUNDIDADE COM RESPALDO DE 60MM JUNTO A PAREDE E ACABAMENTO BIZOTADO. - 1,25 LL4098BI3 METRO(S) LINEAR(ES) DE TAMPO EM GRANITO NATURAL POLIDO COM 30MM DE ESPESSURA, MEDINDO 700MM DE PROFUNDIDADE, COM RESPALDO DE 60MM JUNTO A PAREDE E ACABAMENTO BIZOTADO. - 1,00 LL2038-E MODULO INFERIOR DE CUBA MEDINDO 1125X520X870MM PROVIDA DE DUAS PORTAS. - 1,00 LL2212_ESQ-E MODULO INFERIOR MEDINDO 450X520X870MM PROVIDO DE UMA PORTA A ESQUERDA E UMA PRATELEIRA. - 1,00 LL2222-E MODULO INFERIOR MEDINDO 900X520X870MM PROVIDO DE DUAS PORTAS E UMA PRATELEIRA. - 1,00 LL2222-E MODULO INFERIOR DE CANTO MEDINDO 900X520X870MM PROVIDO DE UMA PORTA E UMA PRATELEIRA. - 0,12 LL2049 L METRO(S) LINEAR(ES) DE PAINEL DE ACABAMENTO PARA FECHAMENTO FRONTAL EM "L". - 0,10 LL2049 S ABS METRO(S) LINEAR(ES) DE PAINEL DE ACABAMENTO PARA FECHAMENTO FRONTAL. - UTILIDADES: - 1,00 LL9033 CUBA EM AÇO INOXIDÁVEL AISI 304 POLIDO MEDINDO 500X400X400MM. - 1,00 LN7158G AGUAFRIA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v>
      </c>
      <c r="D125" s="91">
        <f>LARGE(Planilha!$O:$O,$A125)</f>
        <v>20076.45</v>
      </c>
      <c r="E125" s="92">
        <f t="shared" si="3"/>
        <v>1.4424178502407043E-3</v>
      </c>
      <c r="F125" s="93">
        <f t="shared" si="4"/>
        <v>0.85268805615808452</v>
      </c>
      <c r="I125" s="73" t="str">
        <v>SALA DE LAMINAÇÃO - BANCADA LATERAL MEDINDO 6300X1000X900MM - COMPOSTO DE: 6,30 LL4292-E METRO(S) LINEAR(ES) DE TAMPO EM LAMINADO MELAMÍNICO ESPESSURA DE 25MM "MACIÇO", MEDINDO 900MM DE PROFUNDIDADE E COM RESPALDO DE 60MM JUNTO A PAREDE. - 2,00 LL2222-E MODULO INFERIOR MEDINDO 900X700X870MM PROVIDO DE DUAS PORTAS E UMA PRATELEIRA. - 1,00 LL2222-E MODULO INFERIOR MEDINDO 785X700X870MM PROVIDO DE DUAS PORTAS E UMA PRATELEIRA. - 2,00 LL2214-E MODULO INFERIOR MEDINDO 450X700X870MM PROVIDO DE QUATRO GAVETAS. - 1,00 LL2051-E PAINEL DE SUSTENTAÇÃO PARA BANCADA MEDINDO 25X650X870MM. - 0,90 LL2050 METRO(S) LINEAR(ES) DE MODULO VAZADO COMPOSTO POR PAINEL DE FUNDO. - 0,90 LL2050 METRO(S) LINEAR(ES) DE MODULO VAZADO COMPOSTO POR PAINEL DE FUNDO. - 0,90 LL2050 METRO(S) LINEAR(ES) DE MODULO VAZADO COMPOSTO POR PAINEL DE FUNDO. - 0,05 LL2049 S ABS METRO(S) LINEAR(ES) DE PAINEL DE ACABAMENTO PARA FECHAMENTO FRONTAL. - 0,26 LL2049 ABS METRO(S) LINEAR(ES) DE PAINEL PARA ACABAMENTO LATERAL APARENTE.</v>
      </c>
    </row>
    <row r="126" spans="1:9" x14ac:dyDescent="0.3">
      <c r="A126" s="88">
        <f t="shared" si="5"/>
        <v>118</v>
      </c>
      <c r="B126" s="89" t="str">
        <f>_xlfn.XLOOKUP(D126,Planilha!O:O,Planilha!C:C)</f>
        <v>02.02.15.01.09</v>
      </c>
      <c r="C126" s="90" t="str">
        <f>_xlfn.XLOOKUP($D126,Planilha!$O:$O,Planilha!F:F)</f>
        <v>DOBRADIÇAS COM ROLAMENTO REF. 80 4X3 - LA FONTE</v>
      </c>
      <c r="D126" s="91">
        <f>LARGE(Planilha!$O:$O,$A126)</f>
        <v>20051.64</v>
      </c>
      <c r="E126" s="92">
        <f t="shared" si="3"/>
        <v>1.4406353445255767E-3</v>
      </c>
      <c r="F126" s="93">
        <f t="shared" si="4"/>
        <v>0.85412869150261006</v>
      </c>
      <c r="I126" s="73" t="str">
        <v>EXECUÇÃO DE ESTACA TIPO HÉLICE CONTÍNUA D = 600 MM, EXCETO CONCRETO</v>
      </c>
    </row>
    <row r="127" spans="1:9" ht="50.4" x14ac:dyDescent="0.3">
      <c r="A127" s="88">
        <f t="shared" si="5"/>
        <v>119</v>
      </c>
      <c r="B127" s="89" t="str">
        <f>_xlfn.XLOOKUP(D127,Planilha!O:O,Planilha!C:C)</f>
        <v>02.01.05.10</v>
      </c>
      <c r="C127" s="90" t="str">
        <f>_xlfn.XLOOKUP($D127,Planilha!$O:$O,Planilha!F:F)</f>
        <v>ESCAVAÇÃO MANUAL PARA BLOCO DE COROAMENTO OU SAPATA (INCLUINDO ESCAVAÇÃO PARA COLOCAÇÃO DE FÔRMAS). AF_06/2017</v>
      </c>
      <c r="D127" s="91">
        <f>LARGE(Planilha!$O:$O,$A127)</f>
        <v>19964.830000000002</v>
      </c>
      <c r="E127" s="92">
        <f t="shared" si="3"/>
        <v>1.4343983706791351E-3</v>
      </c>
      <c r="F127" s="93">
        <f t="shared" si="4"/>
        <v>0.85556308987328922</v>
      </c>
      <c r="I127" s="73" t="str">
        <v>ESCAVAÇÃO HORIZONTAL, INCLUINDO CARGA E DESCARGA EM SOLO DE 1A CATEGORIA COM TRATOR DE ESTEIRAS (100HP/LÂMINA: 2,19M3). AF_07/2020</v>
      </c>
    </row>
    <row r="128" spans="1:9" x14ac:dyDescent="0.3">
      <c r="A128" s="88">
        <f t="shared" si="5"/>
        <v>120</v>
      </c>
      <c r="B128" s="89" t="str">
        <f>_xlfn.XLOOKUP(D128,Planilha!O:O,Planilha!C:C)</f>
        <v>01.01.08</v>
      </c>
      <c r="C128" s="90" t="str">
        <f>_xlfn.XLOOKUP($D128,Planilha!$O:$O,Planilha!F:F)</f>
        <v>TOPOGRAFO COM ENCARGOS COMPLEMENTARES</v>
      </c>
      <c r="D128" s="91">
        <f>LARGE(Planilha!$O:$O,$A128)</f>
        <v>19577.25</v>
      </c>
      <c r="E128" s="92">
        <f t="shared" si="3"/>
        <v>1.4065521971576064E-3</v>
      </c>
      <c r="F128" s="93">
        <f t="shared" si="4"/>
        <v>0.85696964207044679</v>
      </c>
      <c r="I128" s="73" t="str">
        <v>ELETRODUTO GALVANIZADO A QUENTE CONFORME NBR6323 - 1´ COM ACESSÓRIOS</v>
      </c>
    </row>
    <row r="129" spans="1:9" ht="369.6" x14ac:dyDescent="0.3">
      <c r="A129" s="88">
        <f t="shared" si="5"/>
        <v>121</v>
      </c>
      <c r="B129" s="89" t="str">
        <f>_xlfn.XLOOKUP(D129,Planilha!O:O,Planilha!C:C)</f>
        <v>02.02.17.01</v>
      </c>
      <c r="C129" s="90" t="str">
        <f>_xlfn.XLOOKUP($D129,Planilha!$O:$O,Planilha!F:F)</f>
        <v xml:space="preserve"> SALA DE LAMINAÇÃO - BANCADA LATERAL MEDINDO 2400X900X900MM - COMPOSTO DE: 2,40 LL4298BI3 METRO(S) LINEAR(ES) DE TAMPO EM GRANITO NATURAL POLIDO COM 30MM DE ESPESSURA, MEDINDO 900MM DE PROFUNDIDADE, COM RESPALDO DE 60MM JUNTO A PAREDE E ACABAMENTO BIZOTADO.1,00 LL2038-E MODULO INFERIOR DE CUBA MEDINDO 900X700X870MM PROVIDA DE DUAS PORTAS.1,00 LL2222-E MODULO INFERIOR MEDINDO 900X700X870MM PROVIDO DE DUAS PORTAS E UMA PRATELEIRA.1,00 LL2212_ESQ-E MODULO INFERIOR MEDINDO 550X700X870MM PROVIDO DE UMA PORTA A ESQUERDA E UMA PRATELEIRA.0,05 LL2049 S ABS METRO(S) LINEAR(ES) DE PAINEL DE ACABAMENTO PARA FECHAMENTO FRONTAL.UTILIDADES:1,00 LL9033 CUBA EM AÇO INOXIDÁVEL AISI 304 POLIDO MEDINDO 500X400X400MM.1,00 LN7158G ÁGUA FRIA CONJUNTO FORMADO POR NUCA GIRATÓRIA COM BICO ESCALONADO RETO E REGISTRO DE BLOQUEIO 3/8" EM LATÃO COM ACABAMENTO EM EPÓXI COM BATOQUE VERDE PARA ÁGUA FRIA.1,00 LL9012 VÁLVULA AMERICANA SIFONADA EM POLIPROPILENO MEDINDO 3 1/2" DE DIÂMETRO COM CONEXÕES TAMBÉM EM POLIPROPILENO PARA BANCADA.1,00 LL9012 VÁLVULA AMERICANA SIFONADA EM POLIPROPILENO MEDINDO 3 1/2" DE DIÂMETRO COM CONEXÕES TAMBÉM EM POLIPROPILENO PARA BANCADA.</v>
      </c>
      <c r="D129" s="91">
        <f>LARGE(Planilha!$O:$O,$A129)</f>
        <v>19548.04</v>
      </c>
      <c r="E129" s="92">
        <f t="shared" si="3"/>
        <v>1.4044535678976759E-3</v>
      </c>
      <c r="F129" s="93">
        <f t="shared" si="4"/>
        <v>0.85837409563834444</v>
      </c>
      <c r="I129" s="73" t="str">
        <v>TUBO PVC, SÉRIE R, ÁGUA PLUVIAL, DN 150 MM, FORNECIDO E INSTALADO EM CONDUTORES VERTICAIS DE ÁGUAS PLUVIAIS. AF_12/2014</v>
      </c>
    </row>
    <row r="130" spans="1:9" ht="50.4" x14ac:dyDescent="0.3">
      <c r="A130" s="88">
        <f t="shared" si="5"/>
        <v>122</v>
      </c>
      <c r="B130" s="89" t="str">
        <f>_xlfn.XLOOKUP(D130,Planilha!O:O,Planilha!C:C)</f>
        <v>02.04.04.01.01</v>
      </c>
      <c r="C130" s="90" t="str">
        <f>_xlfn.XLOOKUP($D130,Planilha!$O:$O,Planilha!F:F)</f>
        <v>TUBO DE AÇO GALVANIZADO COM COSTURA, CLASSE MÉDIA, CONEXÃO RANHURADA, DN 65 (2 1/2"), INSTALADO EM PRUMADAS - FORNECIMENTO E INSTALAÇÃO. AF_10/2020</v>
      </c>
      <c r="D130" s="91">
        <f>LARGE(Planilha!$O:$O,$A130)</f>
        <v>19530.650000000001</v>
      </c>
      <c r="E130" s="92">
        <f t="shared" si="3"/>
        <v>1.4032041614331025E-3</v>
      </c>
      <c r="F130" s="93">
        <f t="shared" si="4"/>
        <v>0.85977729979977757</v>
      </c>
      <c r="I130" s="73" t="str">
        <v>SALA DE PREPARO 2 - BANCADA LATERAL MEDINDO 2900X800X900MM2,90 LL4198BI3 85-E METRO(S) LINEAR(ES) DE TAMPO EM GRANITO NATURAL POLIDO COM 30MM DE ESPESSURA, MEDINDO 800MM DE PROFUNDIDADE, COM RESPALDO DE 60MM JUNTO A PAREDE E ACABAMENTO BIZOTADO. 1,00 LL2038-E MODULO INFERIOR DE CUBA MEDINDO 900X520X870MM PROVIDA DE DUAS PORTAS. - 2,00 LL2222-E MODULO INFERIOR MEDINDO 900X520X870MM PROVIDO DE DUAS PORTAS E UMA PRATELEIRA. - 0,10 LL2049 S ABS METRO(S) LINEAR(ES) DE PAINEL DE ACABAMENTO PARA FECHAMENTO FRONTAL. - 0,10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v>
      </c>
    </row>
    <row r="131" spans="1:9" ht="319.2" x14ac:dyDescent="0.3">
      <c r="A131" s="88">
        <f t="shared" si="5"/>
        <v>123</v>
      </c>
      <c r="B131" s="89" t="str">
        <f>_xlfn.XLOOKUP(D131,Planilha!O:O,Planilha!C:C)</f>
        <v>02.02.17.04</v>
      </c>
      <c r="C131" s="90" t="str">
        <f>_xlfn.XLOOKUP($D131,Planilha!$O:$O,Planilha!F:F)</f>
        <v>SALA DE LAMINAÇÃO - BANCADA LATERAL MEDINDO 6300X1000X900MM - COMPOSTO DE: 6,30 LL4292-E METRO(S) LINEAR(ES) DE TAMPO EM LAMINADO MELAMÍNICO ESPESSURA DE 25MM "MACIÇO", MEDINDO 900MM DE PROFUNDIDADE E COM RESPALDO DE 60MM JUNTO A PAREDE. - 2,00 LL2222-E MODULO INFERIOR MEDINDO 900X700X870MM PROVIDO DE DUAS PORTAS E UMA PRATELEIRA. - 1,00 LL2222-E MODULO INFERIOR MEDINDO 785X700X870MM PROVIDO DE DUAS PORTAS E UMA PRATELEIRA. - 2,00 LL2214-E MODULO INFERIOR MEDINDO 450X700X870MM PROVIDO DE QUATRO GAVETAS. - 1,00 LL2051-E PAINEL DE SUSTENTAÇÃO PARA BANCADA MEDINDO 25X650X870MM. - 0,90 LL2050 METRO(S) LINEAR(ES) DE MODULO VAZADO COMPOSTO POR PAINEL DE FUNDO. - 0,90 LL2050 METRO(S) LINEAR(ES) DE MODULO VAZADO COMPOSTO POR PAINEL DE FUNDO. - 0,90 LL2050 METRO(S) LINEAR(ES) DE MODULO VAZADO COMPOSTO POR PAINEL DE FUNDO. - 0,05 LL2049 S ABS METRO(S) LINEAR(ES) DE PAINEL DE ACABAMENTO PARA FECHAMENTO FRONTAL. - 0,26 LL2049 ABS METRO(S) LINEAR(ES) DE PAINEL PARA ACABAMENTO LATERAL APARENTE.</v>
      </c>
      <c r="D131" s="91">
        <f>LARGE(Planilha!$O:$O,$A131)</f>
        <v>19530.11</v>
      </c>
      <c r="E131" s="92">
        <f t="shared" si="3"/>
        <v>1.403165364452604E-3</v>
      </c>
      <c r="F131" s="93">
        <f t="shared" si="4"/>
        <v>0.86118046516423019</v>
      </c>
      <c r="I131" s="73" t="str">
        <v>ESTR. VENT. NATURAL C/ TYLON</v>
      </c>
    </row>
    <row r="132" spans="1:9" ht="33.6" x14ac:dyDescent="0.3">
      <c r="A132" s="88">
        <f t="shared" si="5"/>
        <v>124</v>
      </c>
      <c r="B132" s="89" t="str">
        <f>_xlfn.XLOOKUP(D132,Planilha!O:O,Planilha!C:C)</f>
        <v>02.01.03.02</v>
      </c>
      <c r="C132" s="90" t="str">
        <f>_xlfn.XLOOKUP($D132,Planilha!$O:$O,Planilha!F:F)</f>
        <v>EXECUÇÃO DE ESTACA TIPO HÉLICE CONTÍNUA D = 600 MM, EXCETO CONCRETO</v>
      </c>
      <c r="D132" s="91">
        <f>LARGE(Planilha!$O:$O,$A132)</f>
        <v>18866.52</v>
      </c>
      <c r="E132" s="92">
        <f t="shared" si="3"/>
        <v>1.3554889046581069E-3</v>
      </c>
      <c r="F132" s="93">
        <f t="shared" si="4"/>
        <v>0.86253595406888828</v>
      </c>
      <c r="I132" s="73" t="str">
        <v>CABO DE COBRE FLEXÍVEL DE 35 MM², ISOLAMENTO 0,6/1 KV - ISOLAÇÃO HEPR 90°C - BAIXA EMISSÃO DE FUMAÇA E GASES</v>
      </c>
    </row>
    <row r="133" spans="1:9" ht="50.4" x14ac:dyDescent="0.3">
      <c r="A133" s="88">
        <f t="shared" si="5"/>
        <v>125</v>
      </c>
      <c r="B133" s="89" t="str">
        <f>_xlfn.XLOOKUP(D133,Planilha!O:O,Planilha!C:C)</f>
        <v>02.01.02.01</v>
      </c>
      <c r="C133" s="90" t="str">
        <f>_xlfn.XLOOKUP($D133,Planilha!$O:$O,Planilha!F:F)</f>
        <v>ESCAVAÇÃO HORIZONTAL, INCLUINDO CARGA E DESCARGA EM SOLO DE 1A CATEGORIA COM TRATOR DE ESTEIRAS (100HP/LÂMINA: 2,19M3). AF_07/2020</v>
      </c>
      <c r="D133" s="91">
        <f>LARGE(Planilha!$O:$O,$A133)</f>
        <v>18846.8</v>
      </c>
      <c r="E133" s="92">
        <f t="shared" si="3"/>
        <v>1.3540720964073081E-3</v>
      </c>
      <c r="F133" s="93">
        <f t="shared" si="4"/>
        <v>0.86389002616529553</v>
      </c>
      <c r="I133" s="73" t="str">
        <v>LOCACAO CONVENCIONAL DE OBRA, UTILIZANDO GABARITO DE TÁBUAS CORRIDAS PONTALETADAS A CADA 2,00M -  2 UTILIZAÇÕES. AF_10/2018</v>
      </c>
    </row>
    <row r="134" spans="1:9" x14ac:dyDescent="0.3">
      <c r="A134" s="88">
        <f t="shared" si="5"/>
        <v>126</v>
      </c>
      <c r="B134" s="89" t="str">
        <f>_xlfn.XLOOKUP(D134,Planilha!O:O,Planilha!C:C)</f>
        <v>02.02.07.01</v>
      </c>
      <c r="C134" s="90" t="str">
        <f>_xlfn.XLOOKUP($D134,Planilha!$O:$O,Planilha!F:F)</f>
        <v>ARGAMASSA DE REGULARIZAÇÃO E/OU PROTEÇÃO</v>
      </c>
      <c r="D134" s="91">
        <f>LARGE(Planilha!$O:$O,$A134)</f>
        <v>18815.7</v>
      </c>
      <c r="E134" s="92">
        <f t="shared" si="3"/>
        <v>1.351837677715633E-3</v>
      </c>
      <c r="F134" s="93">
        <f t="shared" si="4"/>
        <v>0.86524186384301116</v>
      </c>
      <c r="I134" s="73" t="str">
        <v>EXECUÇÃO DE CENTRAL DE ARMADURA EM CANTEIRO DE OBRA, NÃO INCLUSO MOBILIÁRIO E EQUIPAMENTOS. AF_04/2016</v>
      </c>
    </row>
    <row r="135" spans="1:9" ht="33.6" x14ac:dyDescent="0.3">
      <c r="A135" s="88">
        <f t="shared" si="5"/>
        <v>127</v>
      </c>
      <c r="B135" s="89" t="str">
        <f>_xlfn.XLOOKUP(D135,Planilha!O:O,Planilha!C:C)</f>
        <v>02.03.06.02</v>
      </c>
      <c r="C135" s="90" t="str">
        <f>_xlfn.XLOOKUP($D135,Planilha!$O:$O,Planilha!F:F)</f>
        <v>ELETRODUTO GALVANIZADO A QUENTE CONFORME NBR6323 - 1´ COM ACESSÓRIOS</v>
      </c>
      <c r="D135" s="91">
        <f>LARGE(Planilha!$O:$O,$A135)</f>
        <v>18750.18</v>
      </c>
      <c r="E135" s="92">
        <f t="shared" si="3"/>
        <v>1.3471303107484764E-3</v>
      </c>
      <c r="F135" s="93">
        <f t="shared" si="4"/>
        <v>0.86658899415375967</v>
      </c>
      <c r="I135" s="73" t="str">
        <v>SALA FOTOGRAFIA - BANCADA LATERAL MEDINDO 5500X1000X900MM - COMPOSTO DE: 5,50 LL4292-E METRO(S) LINEAR(ES) DE TAMPO EM LAMINADO MELAMÍNICO ESPESSURA DE 25MM "MACIÇO", MEDINDO 900MM DE PROFUNDIDADE E COM RESPALDO DE 60MM JUNTO A PAREDE.4,00 LL2222-E MODULO INFERIOR MEDINDO 900X800X870MM PROVIDO DE DUAS PORTAS E UMA PRATELEIRA.1,00 LL2051-E PAINEL DE SUSTENTAÇÃO PARA BANCADA MEDINDO 25X750X870MM.1,00 LL2051-E PAINEL DE SUSTENTAÇÃO PARA BANCADA MEDINDO 25X750X870MM.0,85 LL2050 METRO(S) LINEAR(ES) DE MODULO VAZADO COMPOSTO POR PAINEL DE FUNDO.0,85 LL2050 METRO(S) LINEAR(ES) DE MODULO VAZADO COMPOSTO POR PAINEL DE FUNDO.0,08 LL2049 S ABS METRO(S) LINEAR(ES) DE PAINEL DE ACABAMENTO PARA FECHAMENTO FRONTAL.0,08 LL2049 S ABS METRO(S) LINEAR(ES) DE PAINEL DE ACABAMENTO PARA FECHAMENTO FRONTAL.</v>
      </c>
    </row>
    <row r="136" spans="1:9" ht="50.4" x14ac:dyDescent="0.3">
      <c r="A136" s="88">
        <f t="shared" si="5"/>
        <v>128</v>
      </c>
      <c r="B136" s="89" t="str">
        <f>_xlfn.XLOOKUP(D136,Planilha!O:O,Planilha!C:C)</f>
        <v>02.04.01.01.03</v>
      </c>
      <c r="C136" s="90" t="str">
        <f>_xlfn.XLOOKUP($D136,Planilha!$O:$O,Planilha!F:F)</f>
        <v>TUBO PVC, SÉRIE R, ÁGUA PLUVIAL, DN 150 MM, FORNECIDO E INSTALADO EM CONDUTORES VERTICAIS DE ÁGUAS PLUVIAIS. AF_12/2014</v>
      </c>
      <c r="D136" s="91">
        <f>LARGE(Planilha!$O:$O,$A136)</f>
        <v>18662</v>
      </c>
      <c r="E136" s="92">
        <f t="shared" si="3"/>
        <v>1.3407949075255846E-3</v>
      </c>
      <c r="F136" s="93">
        <f t="shared" si="4"/>
        <v>0.86792978906128526</v>
      </c>
      <c r="I136" s="73" t="str">
        <v>SALA PREPARO 1 - BANCADA LATERAL MEDINDO 2360X800X900MM - COMPOSTO DE: 2,36 LL4198BI3 85-E METRO(S) LINEAR(ES) DE TAMPO EM GRANITO NATURAL POLIDO COM 30MM DE ESPESSURA, MEDINDO 800MM DE PROFUNDIDADE, COM RESPALDO DE 60MM JUNTO A PAREDE E ACABAMENTO BIZOTADO. 1,00 LL2038-E MODULO INFERIOR DE CUBA MEDINDO 900X520X870MM PROVIDA DE DUAS PORTAS. - 1,00 LL2222-E MODULO INFERIOR MEDINDO 900X520X870MM PROVIDO DE DUAS PORTAS E UMA PRATELEIRA. - 1,00 LL2212_ESQ-E MODULO INFERIOR MEDINDO 450X520X870MM PROVIDO DE UMA PORTA A ESQUERDA E UMA PRATELEIRA. - 0,26 LL2049 ABS METRO(S) LINEAR(ES) DE PAINEL PARA ACABAMENTO LATERAL APARENTE. - 0,07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AGUA FRIA. - 1,00 LL9012 VÁLVULA AMERICANA SIFONADA EM POLIPROPILENO MEDINDO 3 1/2" DE DIÂMETRO COM CONEXÕES TAMBÉM EM POLIPROPILENO PARA BANCADA.</v>
      </c>
    </row>
    <row r="137" spans="1:9" ht="319.2" x14ac:dyDescent="0.3">
      <c r="A137" s="88">
        <f t="shared" si="5"/>
        <v>129</v>
      </c>
      <c r="B137" s="89" t="str">
        <f>_xlfn.XLOOKUP(D137,Planilha!O:O,Planilha!C:C)</f>
        <v>02.02.17.24</v>
      </c>
      <c r="C137" s="90" t="str">
        <f>_xlfn.XLOOKUP($D137,Planilha!$O:$O,Planilha!F:F)</f>
        <v>SALA DE PREPARO 2 - BANCADA LATERAL MEDINDO 2900X800X900MM2,90 LL4198BI3 85-E METRO(S) LINEAR(ES) DE TAMPO EM GRANITO NATURAL POLIDO COM 30MM DE ESPESSURA, MEDINDO 800MM DE PROFUNDIDADE, COM RESPALDO DE 60MM JUNTO A PAREDE E ACABAMENTO BIZOTADO. 1,00 LL2038-E MODULO INFERIOR DE CUBA MEDINDO 900X520X870MM PROVIDA DE DUAS PORTAS. - 2,00 LL2222-E MODULO INFERIOR MEDINDO 900X520X870MM PROVIDO DE DUAS PORTAS E UMA PRATELEIRA. - 0,10 LL2049 S ABS METRO(S) LINEAR(ES) DE PAINEL DE ACABAMENTO PARA FECHAMENTO FRONTAL. - 0,10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v>
      </c>
      <c r="D137" s="91">
        <f>LARGE(Planilha!$O:$O,$A137)</f>
        <v>18015.87</v>
      </c>
      <c r="E137" s="92">
        <f t="shared" ref="E137:E200" si="6">D137/$D$933</f>
        <v>1.2943728834338738E-3</v>
      </c>
      <c r="F137" s="93">
        <f t="shared" ref="F137:F200" si="7">+E137+F136</f>
        <v>0.86922416194471919</v>
      </c>
      <c r="I137" s="73" t="str">
        <v>CONJUNTO COMPLETO DE PRESSURIZAÇÃO COMPLETO - MOD. MAX PRESS 30 E, VAZÃO CAL 5,0M³/ H, PRESSÃO CAL 20MCA, POTÊNCIA 0,85CV, MOTOR TRIFÁSICO 220V, FABRICANTE ROWA.</v>
      </c>
    </row>
    <row r="138" spans="1:9" x14ac:dyDescent="0.3">
      <c r="A138" s="88">
        <f t="shared" si="5"/>
        <v>130</v>
      </c>
      <c r="B138" s="89" t="str">
        <f>_xlfn.XLOOKUP(D138,Planilha!O:O,Planilha!C:C)</f>
        <v>02.02.11.02.16</v>
      </c>
      <c r="C138" s="90" t="str">
        <f>_xlfn.XLOOKUP($D138,Planilha!$O:$O,Planilha!F:F)</f>
        <v>ESTR. VENT. NATURAL C/ TYLON</v>
      </c>
      <c r="D138" s="91">
        <f>LARGE(Planilha!$O:$O,$A138)</f>
        <v>17743.099999999999</v>
      </c>
      <c r="E138" s="92">
        <f t="shared" si="6"/>
        <v>1.2747753790438964E-3</v>
      </c>
      <c r="F138" s="93">
        <f t="shared" si="7"/>
        <v>0.87049893732376304</v>
      </c>
      <c r="I138" s="73" t="str">
        <v>LANÇAMENTO E ADENSAMENTO DE CONCRETO OU MASSA EM ESTRUTURA</v>
      </c>
    </row>
    <row r="139" spans="1:9" ht="33.6" x14ac:dyDescent="0.3">
      <c r="A139" s="88">
        <f t="shared" ref="A139:A202" si="8">+A138+1</f>
        <v>131</v>
      </c>
      <c r="B139" s="89" t="str">
        <f>_xlfn.XLOOKUP(D139,Planilha!O:O,Planilha!C:C)</f>
        <v>02.03.11.15.07</v>
      </c>
      <c r="C139" s="90" t="str">
        <f>_xlfn.XLOOKUP($D139,Planilha!$O:$O,Planilha!F:F)</f>
        <v>CABO DE COBRE FLEXÍVEL DE 35 MM², ISOLAMENTO 0,6/1 KV - ISOLAÇÃO HEPR 90°C - BAIXA EMISSÃO DE FUMAÇA E GASES</v>
      </c>
      <c r="D139" s="91">
        <f>LARGE(Planilha!$O:$O,$A139)</f>
        <v>17089.8</v>
      </c>
      <c r="E139" s="92">
        <f t="shared" si="6"/>
        <v>1.2278382172666775E-3</v>
      </c>
      <c r="F139" s="93">
        <f t="shared" si="7"/>
        <v>0.87172677554102973</v>
      </c>
      <c r="I139" s="73" t="str">
        <v>ELETRODUTO GALVANIZADO CONFORME NBR13057 -  2´ COM ACESSÓRIOS</v>
      </c>
    </row>
    <row r="140" spans="1:9" ht="50.4" x14ac:dyDescent="0.3">
      <c r="A140" s="88">
        <f t="shared" si="8"/>
        <v>132</v>
      </c>
      <c r="B140" s="89" t="str">
        <f>_xlfn.XLOOKUP(D140,Planilha!O:O,Planilha!C:C)</f>
        <v>02.01.01.01</v>
      </c>
      <c r="C140" s="90" t="str">
        <f>_xlfn.XLOOKUP($D140,Planilha!$O:$O,Planilha!F:F)</f>
        <v>LOCACAO CONVENCIONAL DE OBRA, UTILIZANDO GABARITO DE TÁBUAS CORRIDAS PONTALETADAS A CADA 2,00M -  2 UTILIZAÇÕES. AF_10/2018</v>
      </c>
      <c r="D140" s="91">
        <f>LARGE(Planilha!$O:$O,$A140)</f>
        <v>17074</v>
      </c>
      <c r="E140" s="92">
        <f t="shared" si="6"/>
        <v>1.2267030463557942E-3</v>
      </c>
      <c r="F140" s="93">
        <f t="shared" si="7"/>
        <v>0.87295347858738548</v>
      </c>
      <c r="I140" s="73" t="str">
        <v>BLOCO AUTÔNOMO PARA ILUMINAÇÃO DE EMERGÊNCIA, COM LEDS DE ACLARAMENTO, FLUXO LUMINOSO CONSTANTE DE 1500LUMENS , AUTONOMIA SUPERIOR A 2H NA FALTA DE ENERGIA, COM BATERIA SELADA, FLUXEON-1500/L SE IP 43 ACLARAMENTO OU BALIZAMENTO, DJ - SOBREPOR</v>
      </c>
    </row>
    <row r="141" spans="1:9" ht="33.6" x14ac:dyDescent="0.3">
      <c r="A141" s="88">
        <f t="shared" si="8"/>
        <v>133</v>
      </c>
      <c r="B141" s="89" t="str">
        <f>_xlfn.XLOOKUP(D141,Planilha!O:O,Planilha!C:C)</f>
        <v>01.02.09</v>
      </c>
      <c r="C141" s="90" t="str">
        <f>_xlfn.XLOOKUP($D141,Planilha!$O:$O,Planilha!F:F)</f>
        <v>EXECUÇÃO DE CENTRAL DE ARMADURA EM CANTEIRO DE OBRA, NÃO INCLUSO MOBILIÁRIO E EQUIPAMENTOS. AF_04/2016</v>
      </c>
      <c r="D141" s="91">
        <f>LARGE(Planilha!$O:$O,$A141)</f>
        <v>16971.5</v>
      </c>
      <c r="E141" s="92">
        <f t="shared" si="6"/>
        <v>1.2193388046870892E-3</v>
      </c>
      <c r="F141" s="93">
        <f t="shared" si="7"/>
        <v>0.87417281739207253</v>
      </c>
      <c r="I141" s="73" t="str">
        <v>CPM.01.A - PAINEL EM CHAPA METÁLICA PERFURADA REDONDA EM AÇO INOX 304 - PERFURAÇÃO R8,00 EC11,00. ACABAMENTO EM PINTURA ELETROSTÁTICA COR RAL 7042 BRILHANTE. SUBESTRUTURA EM PERFIS DE AÇO INOX 304 E ACESSÓRIOS PARA FIXAÇÃO PINTADOS NA MESMA COR, PARAFUSOS SEM PINTURA.1,738x5,286m2</v>
      </c>
    </row>
    <row r="142" spans="1:9" ht="252" x14ac:dyDescent="0.3">
      <c r="A142" s="88">
        <f t="shared" si="8"/>
        <v>134</v>
      </c>
      <c r="B142" s="89" t="str">
        <f>_xlfn.XLOOKUP(D142,Planilha!O:O,Planilha!C:C)</f>
        <v>02.02.17.14</v>
      </c>
      <c r="C142" s="90" t="str">
        <f>_xlfn.XLOOKUP($D142,Planilha!$O:$O,Planilha!F:F)</f>
        <v>SALA FOTOGRAFIA - BANCADA LATERAL MEDINDO 5500X1000X900MM - COMPOSTO DE: 5,50 LL4292-E METRO(S) LINEAR(ES) DE TAMPO EM LAMINADO MELAMÍNICO ESPESSURA DE 25MM "MACIÇO", MEDINDO 900MM DE PROFUNDIDADE E COM RESPALDO DE 60MM JUNTO A PAREDE.4,00 LL2222-E MODULO INFERIOR MEDINDO 900X800X870MM PROVIDO DE DUAS PORTAS E UMA PRATELEIRA.1,00 LL2051-E PAINEL DE SUSTENTAÇÃO PARA BANCADA MEDINDO 25X750X870MM.1,00 LL2051-E PAINEL DE SUSTENTAÇÃO PARA BANCADA MEDINDO 25X750X870MM.0,85 LL2050 METRO(S) LINEAR(ES) DE MODULO VAZADO COMPOSTO POR PAINEL DE FUNDO.0,85 LL2050 METRO(S) LINEAR(ES) DE MODULO VAZADO COMPOSTO POR PAINEL DE FUNDO.0,08 LL2049 S ABS METRO(S) LINEAR(ES) DE PAINEL DE ACABAMENTO PARA FECHAMENTO FRONTAL.0,08 LL2049 S ABS METRO(S) LINEAR(ES) DE PAINEL DE ACABAMENTO PARA FECHAMENTO FRONTAL.</v>
      </c>
      <c r="D142" s="91">
        <f>LARGE(Planilha!$O:$O,$A142)</f>
        <v>16670.89</v>
      </c>
      <c r="E142" s="92">
        <f t="shared" si="6"/>
        <v>1.1977411004136316E-3</v>
      </c>
      <c r="F142" s="93">
        <f t="shared" si="7"/>
        <v>0.87537055849248613</v>
      </c>
      <c r="I142" s="73" t="str">
        <v>LUVA DE CORRER - JUNTA ELÁSTICA INTEGRADA - JEI - 300 MM</v>
      </c>
    </row>
    <row r="143" spans="1:9" ht="352.8" x14ac:dyDescent="0.3">
      <c r="A143" s="88">
        <f t="shared" si="8"/>
        <v>135</v>
      </c>
      <c r="B143" s="89" t="str">
        <f>_xlfn.XLOOKUP(D143,Planilha!O:O,Planilha!C:C)</f>
        <v>02.02.17.26</v>
      </c>
      <c r="C143" s="90" t="str">
        <f>_xlfn.XLOOKUP($D143,Planilha!$O:$O,Planilha!F:F)</f>
        <v>SALA PREPARO 1 - BANCADA LATERAL MEDINDO 2360X800X900MM - COMPOSTO DE: 2,36 LL4198BI3 85-E METRO(S) LINEAR(ES) DE TAMPO EM GRANITO NATURAL POLIDO COM 30MM DE ESPESSURA, MEDINDO 800MM DE PROFUNDIDADE, COM RESPALDO DE 60MM JUNTO A PAREDE E ACABAMENTO BIZOTADO. 1,00 LL2038-E MODULO INFERIOR DE CUBA MEDINDO 900X520X870MM PROVIDA DE DUAS PORTAS. - 1,00 LL2222-E MODULO INFERIOR MEDINDO 900X520X870MM PROVIDO DE DUAS PORTAS E UMA PRATELEIRA. - 1,00 LL2212_ESQ-E MODULO INFERIOR MEDINDO 450X520X870MM PROVIDO DE UMA PORTA A ESQUERDA E UMA PRATELEIRA. - 0,26 LL2049 ABS METRO(S) LINEAR(ES) DE PAINEL PARA ACABAMENTO LATERAL APARENTE. - 0,07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AGUA FRIA. - 1,00 LL9012 VÁLVULA AMERICANA SIFONADA EM POLIPROPILENO MEDINDO 3 1/2" DE DIÂMETRO COM CONEXÕES TAMBÉM EM POLIPROPILENO PARA BANCADA.</v>
      </c>
      <c r="D143" s="91">
        <f>LARGE(Planilha!$O:$O,$A143)</f>
        <v>16607.14</v>
      </c>
      <c r="E143" s="92">
        <f t="shared" si="6"/>
        <v>1.193160901326998E-3</v>
      </c>
      <c r="F143" s="93">
        <f t="shared" si="7"/>
        <v>0.87656371939381317</v>
      </c>
      <c r="I143" s="73" t="str">
        <v>ARMAÇÃO DE PILAR OU VIGA DE UMA ESTRUTURA CONVENCIONAL DE CONCRETO ARMADO EM UMA EDIFICAÇÃO TÉRREA OU SOBRADO UTILIZANDO AÇO CA-50 DE 10,0 MM - MONTAGEM. AF_12/2015</v>
      </c>
    </row>
    <row r="144" spans="1:9" ht="50.4" x14ac:dyDescent="0.3">
      <c r="A144" s="88">
        <f t="shared" si="8"/>
        <v>136</v>
      </c>
      <c r="B144" s="89" t="str">
        <f>_xlfn.XLOOKUP(D144,Planilha!O:O,Planilha!C:C)</f>
        <v>02.04.02.05.02</v>
      </c>
      <c r="C144" s="90" t="str">
        <f>_xlfn.XLOOKUP($D144,Planilha!$O:$O,Planilha!F:F)</f>
        <v>CONJUNTO COMPLETO DE PRESSURIZAÇÃO COMPLETO - MOD. MAX PRESS 30 E, VAZÃO CAL 5,0M³/ H, PRESSÃO CAL 20MCA, POTÊNCIA 0,85CV, MOTOR TRIFÁSICO 220V, FABRICANTE ROWA.</v>
      </c>
      <c r="D144" s="91">
        <f>LARGE(Planilha!$O:$O,$A144)</f>
        <v>15925.98</v>
      </c>
      <c r="E144" s="92">
        <f t="shared" si="6"/>
        <v>1.1442221027410946E-3</v>
      </c>
      <c r="F144" s="93">
        <f t="shared" si="7"/>
        <v>0.87770794149655429</v>
      </c>
      <c r="I144" s="73" t="str">
        <v>ELETRODUTO DE AÇO GALVANIZADO, CLASSE LEVE, DN 20 MM (3/4), APARENTE, INSTALADO EM TETO - FORNECIMENTO E INSTALAÇÃO. AF_11/2016_P</v>
      </c>
    </row>
    <row r="145" spans="1:9" ht="33.6" x14ac:dyDescent="0.3">
      <c r="A145" s="88">
        <f t="shared" si="8"/>
        <v>137</v>
      </c>
      <c r="B145" s="89" t="str">
        <f>_xlfn.XLOOKUP(D145,Planilha!O:O,Planilha!C:C)</f>
        <v>02.01.07.03.15</v>
      </c>
      <c r="C145" s="90" t="str">
        <f>_xlfn.XLOOKUP($D145,Planilha!$O:$O,Planilha!F:F)</f>
        <v>LANÇAMENTO E ADENSAMENTO DE CONCRETO OU MASSA EM ESTRUTURA</v>
      </c>
      <c r="D145" s="91">
        <f>LARGE(Planilha!$O:$O,$A145)</f>
        <v>15677.55</v>
      </c>
      <c r="E145" s="92">
        <f t="shared" si="6"/>
        <v>1.1263733363239593E-3</v>
      </c>
      <c r="F145" s="93">
        <f t="shared" si="7"/>
        <v>0.87883431483287822</v>
      </c>
      <c r="I145" s="73" t="str">
        <v xml:space="preserve">TIRANTE PROTENDIDO PARA ANCORAGEM EM SOLO,CONSTITUIDO POR 8 FIOS DE ACO DURO DE 8MM.O CUSTO INCLUI APENAS O FORNECIMENTO E A CONFECCAO DO CABO PARA TRECHO DE ANCORAGEM 60% - PERDAS,MAT.DIVERSOS(28%),USINAGEM,TRAT.,ASSIST.TEC.(25%) 28,75%-DF.E EPI (3%),USINAGEM,TRAT.,ASSISTENCIA TECNICA(25%) 53%-MAT.DIVERSOS(2%),PERF.DO TUBO,FABRICACAO MANCHETES (50%) </v>
      </c>
    </row>
    <row r="146" spans="1:9" ht="33.6" x14ac:dyDescent="0.3">
      <c r="A146" s="88">
        <f t="shared" si="8"/>
        <v>138</v>
      </c>
      <c r="B146" s="89" t="str">
        <f>_xlfn.XLOOKUP(D146,Planilha!O:O,Planilha!C:C)</f>
        <v>02.03.06.03</v>
      </c>
      <c r="C146" s="90" t="str">
        <f>_xlfn.XLOOKUP($D146,Planilha!$O:$O,Planilha!F:F)</f>
        <v>ELETRODUTO GALVANIZADO CONFORME NBR13057 -  2´ COM ACESSÓRIOS</v>
      </c>
      <c r="D146" s="91">
        <f>LARGE(Planilha!$O:$O,$A146)</f>
        <v>14922</v>
      </c>
      <c r="E146" s="92">
        <f t="shared" si="6"/>
        <v>1.0720898944430808E-3</v>
      </c>
      <c r="F146" s="93">
        <f t="shared" si="7"/>
        <v>0.87990640472732129</v>
      </c>
      <c r="I146" s="73" t="str">
        <v>EXECUÇÃO DE RESERVATÓRIO ELEVADO DE ÁGUA (2000 LITROS) EM CANTEIRO DE OBRA, APOIADO EM ESTRUTURA DE MADEIRA. AF_02/2016</v>
      </c>
    </row>
    <row r="147" spans="1:9" ht="84" x14ac:dyDescent="0.3">
      <c r="A147" s="88">
        <f t="shared" si="8"/>
        <v>139</v>
      </c>
      <c r="B147" s="89" t="str">
        <f>_xlfn.XLOOKUP(D147,Planilha!O:O,Planilha!C:C)</f>
        <v>02.03.02.02.32</v>
      </c>
      <c r="C147" s="90" t="str">
        <f>_xlfn.XLOOKUP($D147,Planilha!$O:$O,Planilha!F:F)</f>
        <v>BLOCO AUTÔNOMO PARA ILUMINAÇÃO DE EMERGÊNCIA, COM LEDS DE ACLARAMENTO, FLUXO LUMINOSO CONSTANTE DE 1500LUMENS , AUTONOMIA SUPERIOR A 2H NA FALTA DE ENERGIA, COM BATERIA SELADA, FLUXEON-1500/L SE IP 43 ACLARAMENTO OU BALIZAMENTO, DJ - SOBREPOR</v>
      </c>
      <c r="D147" s="91">
        <f>LARGE(Planilha!$O:$O,$A147)</f>
        <v>14522.48</v>
      </c>
      <c r="E147" s="92">
        <f t="shared" si="6"/>
        <v>1.0433858765749732E-3</v>
      </c>
      <c r="F147" s="93">
        <f t="shared" si="7"/>
        <v>0.88094979060389622</v>
      </c>
      <c r="I147" s="73" t="str">
        <v>SOLEIRA EM PERFIL INOX QUADRADO COR PRATA ACAB. ESCOVADO H=10MM, HDL OU SIMILAR</v>
      </c>
    </row>
    <row r="148" spans="1:9" ht="100.8" x14ac:dyDescent="0.3">
      <c r="A148" s="88">
        <f t="shared" si="8"/>
        <v>140</v>
      </c>
      <c r="B148" s="89" t="str">
        <f>_xlfn.XLOOKUP(D148,Planilha!O:O,Planilha!C:C)</f>
        <v>02.02.15.05.01</v>
      </c>
      <c r="C148" s="90" t="str">
        <f>_xlfn.XLOOKUP($D148,Planilha!$O:$O,Planilha!F:F)</f>
        <v>CPM.01.A - PAINEL EM CHAPA METÁLICA PERFURADA REDONDA EM AÇO INOX 304 - PERFURAÇÃO R8,00 EC11,00. ACABAMENTO EM PINTURA ELETROSTÁTICA COR RAL 7042 BRILHANTE. SUBESTRUTURA EM PERFIS DE AÇO INOX 304 E ACESSÓRIOS PARA FIXAÇÃO PINTADOS NA MESMA COR, PARAFUSOS SEM PINTURA.1,738x5,286m2</v>
      </c>
      <c r="D148" s="91">
        <f>LARGE(Planilha!$O:$O,$A148)</f>
        <v>14263.52</v>
      </c>
      <c r="E148" s="92">
        <f t="shared" si="6"/>
        <v>1.0247805690381162E-3</v>
      </c>
      <c r="F148" s="93">
        <f t="shared" si="7"/>
        <v>0.88197457117293432</v>
      </c>
      <c r="I148" s="73" t="str">
        <v>LOCAÇÃO DE CONTAINER TIPO ESCRITÓRIO COM 1 VASO SANITÁRIO, 1 LAVATÓRIO E 1 PONTO PARA CHUVEIRO - ÁREA MÍNIMA DE 13,80 M²</v>
      </c>
    </row>
    <row r="149" spans="1:9" x14ac:dyDescent="0.3">
      <c r="A149" s="88">
        <f t="shared" si="8"/>
        <v>141</v>
      </c>
      <c r="B149" s="89" t="str">
        <f>_xlfn.XLOOKUP(D149,Planilha!O:O,Planilha!C:C)</f>
        <v>02.04.01.02.06</v>
      </c>
      <c r="C149" s="90" t="str">
        <f>_xlfn.XLOOKUP($D149,Planilha!$O:$O,Planilha!F:F)</f>
        <v>LUVA DE CORRER - JUNTA ELÁSTICA INTEGRADA - JEI - 300 MM</v>
      </c>
      <c r="D149" s="91">
        <f>LARGE(Planilha!$O:$O,$A149)</f>
        <v>14245.63</v>
      </c>
      <c r="E149" s="92">
        <f t="shared" si="6"/>
        <v>1.0234952394434515E-3</v>
      </c>
      <c r="F149" s="93">
        <f t="shared" si="7"/>
        <v>0.88299806641237777</v>
      </c>
      <c r="I149" s="73" t="str">
        <v>BARRAS DE TRANSFERÊNCIA, AÇO CA-25 DE 25,0 MM, PARA EXECUÇÃO DE PAVIMENTO DE CONCRETO  FORNECIMENTO E INSTALAÇÃO. AF_04/2022</v>
      </c>
    </row>
    <row r="150" spans="1:9" ht="67.2" x14ac:dyDescent="0.3">
      <c r="A150" s="88">
        <f t="shared" si="8"/>
        <v>142</v>
      </c>
      <c r="B150" s="89" t="str">
        <f>_xlfn.XLOOKUP(D150,Planilha!O:O,Planilha!C:C)</f>
        <v>02.01.07.03.08</v>
      </c>
      <c r="C150" s="90" t="str">
        <f>_xlfn.XLOOKUP($D150,Planilha!$O:$O,Planilha!F:F)</f>
        <v>ARMAÇÃO DE PILAR OU VIGA DE UMA ESTRUTURA CONVENCIONAL DE CONCRETO ARMADO EM UMA EDIFICAÇÃO TÉRREA OU SOBRADO UTILIZANDO AÇO CA-50 DE 10,0 MM - MONTAGEM. AF_12/2015</v>
      </c>
      <c r="D150" s="91">
        <f>LARGE(Planilha!$O:$O,$A150)</f>
        <v>14180.64</v>
      </c>
      <c r="E150" s="92">
        <f t="shared" si="6"/>
        <v>1.0188259509941917E-3</v>
      </c>
      <c r="F150" s="93">
        <f t="shared" si="7"/>
        <v>0.884016892363372</v>
      </c>
      <c r="I150" s="73" t="str">
        <v>LOCAÇÃO DE CONTAINER TIPO SANITÁRIO COM 2 VASOS SANITÁRIOS, 2 LAVATÓRIOS, 2 MICTÓRIOS E 4 PONTOS PARA CHUVEIRO - ÁREA MÍNIMA DE 13,80 M²</v>
      </c>
    </row>
    <row r="151" spans="1:9" ht="50.4" x14ac:dyDescent="0.3">
      <c r="A151" s="88">
        <f t="shared" si="8"/>
        <v>143</v>
      </c>
      <c r="B151" s="89" t="str">
        <f>_xlfn.XLOOKUP(D151,Planilha!O:O,Planilha!C:C)</f>
        <v>02.03.02.01.26</v>
      </c>
      <c r="C151" s="90" t="str">
        <f>_xlfn.XLOOKUP($D151,Planilha!$O:$O,Planilha!F:F)</f>
        <v>ELETRODUTO DE AÇO GALVANIZADO, CLASSE LEVE, DN 20 MM (3/4), APARENTE, INSTALADO EM TETO - FORNECIMENTO E INSTALAÇÃO. AF_11/2016_P</v>
      </c>
      <c r="D151" s="91">
        <f>LARGE(Planilha!$O:$O,$A151)</f>
        <v>13788.06</v>
      </c>
      <c r="E151" s="92">
        <f t="shared" si="6"/>
        <v>9.9062054617175062E-4</v>
      </c>
      <c r="F151" s="93">
        <f t="shared" si="7"/>
        <v>0.88500751290954371</v>
      </c>
      <c r="I151" s="73" t="str">
        <v>ACR.05 - PINTURA ACRÍLICA COR CINZA ESCURO, ACABAMENTO FOSCO COM LIMITE COV (COMPOSTO ORGÂNICO VOLÁTEIS) DE ATÉ 50g/L, MÍNIMO 2 DEMÃOS COM EMASSAMENTO</v>
      </c>
    </row>
    <row r="152" spans="1:9" ht="134.4" x14ac:dyDescent="0.3">
      <c r="A152" s="88">
        <f t="shared" si="8"/>
        <v>144</v>
      </c>
      <c r="B152" s="89" t="str">
        <f>_xlfn.XLOOKUP(D152,Planilha!O:O,Planilha!C:C)</f>
        <v>02.01.06.02</v>
      </c>
      <c r="C152" s="90" t="str">
        <f>_xlfn.XLOOKUP($D152,Planilha!$O:$O,Planilha!F:F)</f>
        <v xml:space="preserve">TIRANTE PROTENDIDO PARA ANCORAGEM EM SOLO,CONSTITUIDO POR 8 FIOS DE ACO DURO DE 8MM.O CUSTO INCLUI APENAS O FORNECIMENTO E A CONFECCAO DO CABO PARA TRECHO DE ANCORAGEM 60% - PERDAS,MAT.DIVERSOS(28%),USINAGEM,TRAT.,ASSIST.TEC.(25%) 28,75%-DF.E EPI (3%),USINAGEM,TRAT.,ASSISTENCIA TECNICA(25%) 53%-MAT.DIVERSOS(2%),PERF.DO TUBO,FABRICACAO MANCHETES (50%) </v>
      </c>
      <c r="D152" s="91">
        <f>LARGE(Planilha!$O:$O,$A152)</f>
        <v>13402.08</v>
      </c>
      <c r="E152" s="92">
        <f t="shared" si="6"/>
        <v>9.6288932666651413E-4</v>
      </c>
      <c r="F152" s="93">
        <f t="shared" si="7"/>
        <v>0.88597040223621026</v>
      </c>
      <c r="I152" s="73" t="str">
        <v>ANEL PRÉ-MOLDADO DE CONCRETO COM DIÂMETRO DE 3,00 M</v>
      </c>
    </row>
    <row r="153" spans="1:9" ht="50.4" x14ac:dyDescent="0.3">
      <c r="A153" s="88">
        <f t="shared" si="8"/>
        <v>145</v>
      </c>
      <c r="B153" s="89" t="str">
        <f>_xlfn.XLOOKUP(D153,Planilha!O:O,Planilha!C:C)</f>
        <v>01.03.02</v>
      </c>
      <c r="C153" s="90" t="str">
        <f>_xlfn.XLOOKUP($D153,Planilha!$O:$O,Planilha!F:F)</f>
        <v>EXECUÇÃO DE RESERVATÓRIO ELEVADO DE ÁGUA (2000 LITROS) EM CANTEIRO DE OBRA, APOIADO EM ESTRUTURA DE MADEIRA. AF_02/2016</v>
      </c>
      <c r="D153" s="91">
        <f>LARGE(Planilha!$O:$O,$A153)</f>
        <v>13317.27</v>
      </c>
      <c r="E153" s="92">
        <f t="shared" si="6"/>
        <v>9.5679604534043734E-4</v>
      </c>
      <c r="F153" s="93">
        <f t="shared" si="7"/>
        <v>0.88692719828155075</v>
      </c>
      <c r="I153" s="73" t="str">
        <v>BARRA CONDUTORA CHATA EM ALUMÍNIO DE 7/8´ X 1/8´, INCLUSIVE ACESSÓRIOS DE FIXAÇÃO</v>
      </c>
    </row>
    <row r="154" spans="1:9" ht="33.6" x14ac:dyDescent="0.3">
      <c r="A154" s="88">
        <f t="shared" si="8"/>
        <v>146</v>
      </c>
      <c r="B154" s="89" t="str">
        <f>_xlfn.XLOOKUP(D154,Planilha!O:O,Planilha!C:C)</f>
        <v>02.02.07.06</v>
      </c>
      <c r="C154" s="90" t="str">
        <f>_xlfn.XLOOKUP($D154,Planilha!$O:$O,Planilha!F:F)</f>
        <v>SOLEIRA EM PERFIL INOX QUADRADO COR PRATA ACAB. ESCOVADO H=10MM, HDL OU SIMILAR</v>
      </c>
      <c r="D154" s="91">
        <f>LARGE(Planilha!$O:$O,$A154)</f>
        <v>13029.1</v>
      </c>
      <c r="E154" s="92">
        <f t="shared" si="6"/>
        <v>9.3609210854364989E-4</v>
      </c>
      <c r="F154" s="93">
        <f t="shared" si="7"/>
        <v>0.88786329039009437</v>
      </c>
      <c r="I154" s="73" t="str">
        <v>TELA SOLDADA NERVURADA Q138 (10X10 4.2MM 2,2KG.M2) EM LAJE</v>
      </c>
    </row>
    <row r="155" spans="1:9" ht="50.4" x14ac:dyDescent="0.3">
      <c r="A155" s="88">
        <f t="shared" si="8"/>
        <v>147</v>
      </c>
      <c r="B155" s="89" t="str">
        <f>_xlfn.XLOOKUP(D155,Planilha!O:O,Planilha!C:C)</f>
        <v>01.02.03</v>
      </c>
      <c r="C155" s="90" t="str">
        <f>_xlfn.XLOOKUP($D155,Planilha!$O:$O,Planilha!F:F)</f>
        <v>LOCAÇÃO DE CONTAINER TIPO ESCRITÓRIO COM 1 VASO SANITÁRIO, 1 LAVATÓRIO E 1 PONTO PARA CHUVEIRO - ÁREA MÍNIMA DE 13,80 M²</v>
      </c>
      <c r="D155" s="91">
        <f>LARGE(Planilha!$O:$O,$A155)</f>
        <v>12709.2</v>
      </c>
      <c r="E155" s="92">
        <f t="shared" si="6"/>
        <v>9.1310848991127207E-4</v>
      </c>
      <c r="F155" s="93">
        <f t="shared" si="7"/>
        <v>0.88877639888000559</v>
      </c>
      <c r="I155" s="73" t="str">
        <v>TOMADA ALTA DE EMBUTIR (1 MÓDULO), 2P+T 20 A, SEM SUPORTE E SEM PLACA - FORNECIMENTO E INSTALAÇÃO. AF_12/2015</v>
      </c>
    </row>
    <row r="156" spans="1:9" ht="50.4" x14ac:dyDescent="0.3">
      <c r="A156" s="88">
        <f t="shared" si="8"/>
        <v>148</v>
      </c>
      <c r="B156" s="89" t="str">
        <f>_xlfn.XLOOKUP(D156,Planilha!O:O,Planilha!C:C)</f>
        <v>02.02.06.10</v>
      </c>
      <c r="C156" s="90" t="str">
        <f>_xlfn.XLOOKUP($D156,Planilha!$O:$O,Planilha!F:F)</f>
        <v>BARRAS DE TRANSFERÊNCIA, AÇO CA-25 DE 25,0 MM, PARA EXECUÇÃO DE PAVIMENTO DE CONCRETO  FORNECIMENTO E INSTALAÇÃO. AF_04/2022</v>
      </c>
      <c r="D156" s="91">
        <f>LARGE(Planilha!$O:$O,$A156)</f>
        <v>12593.06</v>
      </c>
      <c r="E156" s="92">
        <f t="shared" si="6"/>
        <v>9.0476426525367792E-4</v>
      </c>
      <c r="F156" s="93">
        <f t="shared" si="7"/>
        <v>0.88968116314525925</v>
      </c>
      <c r="I156" s="73" t="str">
        <v>PANEL G3 36W 620X620 UGR 100-277V, LEDVANCE OU SIMILAR</v>
      </c>
    </row>
    <row r="157" spans="1:9" ht="50.4" x14ac:dyDescent="0.3">
      <c r="A157" s="88">
        <f t="shared" si="8"/>
        <v>149</v>
      </c>
      <c r="B157" s="89" t="str">
        <f>_xlfn.XLOOKUP(D157,Planilha!O:O,Planilha!C:C)</f>
        <v>01.02.04</v>
      </c>
      <c r="C157" s="90" t="str">
        <f>_xlfn.XLOOKUP($D157,Planilha!$O:$O,Planilha!F:F)</f>
        <v>LOCAÇÃO DE CONTAINER TIPO SANITÁRIO COM 2 VASOS SANITÁRIOS, 2 LAVATÓRIOS, 2 MICTÓRIOS E 4 PONTOS PARA CHUVEIRO - ÁREA MÍNIMA DE 13,80 M²</v>
      </c>
      <c r="D157" s="91">
        <f>LARGE(Planilha!$O:$O,$A157)</f>
        <v>12256.32</v>
      </c>
      <c r="E157" s="92">
        <f t="shared" si="6"/>
        <v>8.8057075559982707E-4</v>
      </c>
      <c r="F157" s="93">
        <f t="shared" si="7"/>
        <v>0.89056173390085902</v>
      </c>
      <c r="I157" s="73" t="str">
        <v>AUXILIAR DE TOPÓGRAFO COM ENCARGOS COMPLEMENTARES</v>
      </c>
    </row>
    <row r="158" spans="1:9" ht="50.4" x14ac:dyDescent="0.3">
      <c r="A158" s="88">
        <f t="shared" si="8"/>
        <v>150</v>
      </c>
      <c r="B158" s="89" t="str">
        <f>_xlfn.XLOOKUP(D158,Planilha!O:O,Planilha!C:C)</f>
        <v>02.02.04.02</v>
      </c>
      <c r="C158" s="90" t="str">
        <f>_xlfn.XLOOKUP($D158,Planilha!$O:$O,Planilha!F:F)</f>
        <v>ACR.05 - PINTURA ACRÍLICA COR CINZA ESCURO, ACABAMENTO FOSCO COM LIMITE COV (COMPOSTO ORGÂNICO VOLÁTEIS) DE ATÉ 50g/L, MÍNIMO 2 DEMÃOS COM EMASSAMENTO</v>
      </c>
      <c r="D158" s="91">
        <f>LARGE(Planilha!$O:$O,$A158)</f>
        <v>12146.83</v>
      </c>
      <c r="E158" s="92">
        <f t="shared" si="6"/>
        <v>8.7270430857244643E-4</v>
      </c>
      <c r="F158" s="93">
        <f t="shared" si="7"/>
        <v>0.89143443820943147</v>
      </c>
      <c r="I158" s="73" t="str">
        <v>ARMAÇÃO PARA EXECUÇÃO DE RADIER, PISO DE CONCRETO OU LAJE SOBRE SOLO, COM USO DE TELA Q-113. AF_09/2021</v>
      </c>
    </row>
    <row r="159" spans="1:9" x14ac:dyDescent="0.3">
      <c r="A159" s="88">
        <f t="shared" si="8"/>
        <v>151</v>
      </c>
      <c r="B159" s="89" t="str">
        <f>_xlfn.XLOOKUP(D159,Planilha!O:O,Planilha!C:C)</f>
        <v>02.01.07.04.12</v>
      </c>
      <c r="C159" s="90" t="str">
        <f>_xlfn.XLOOKUP($D159,Planilha!$O:$O,Planilha!F:F)</f>
        <v>ANEL PRÉ-MOLDADO DE CONCRETO COM DIÂMETRO DE 3,00 M</v>
      </c>
      <c r="D159" s="91">
        <f>LARGE(Planilha!$O:$O,$A159)</f>
        <v>11974.41</v>
      </c>
      <c r="E159" s="92">
        <f t="shared" si="6"/>
        <v>8.6031657639178193E-4</v>
      </c>
      <c r="F159" s="93">
        <f t="shared" si="7"/>
        <v>0.89229475478582321</v>
      </c>
      <c r="I159" s="73" t="str">
        <v>BRS01 - PAINEL DE SISTEMA LINEAR RB FIXADO SOBRE PORTA PAINEL RB AUTOTRAVE TODO EM ALUMÍNIO, COR RAL 7021 - 0,685X 2,96M</v>
      </c>
    </row>
    <row r="160" spans="1:9" ht="33.6" x14ac:dyDescent="0.3">
      <c r="A160" s="88">
        <f t="shared" si="8"/>
        <v>152</v>
      </c>
      <c r="B160" s="89" t="str">
        <f>_xlfn.XLOOKUP(D160,Planilha!O:O,Planilha!C:C)</f>
        <v>02.03.10.02.06</v>
      </c>
      <c r="C160" s="90" t="str">
        <f>_xlfn.XLOOKUP($D160,Planilha!$O:$O,Planilha!F:F)</f>
        <v>BARRA CONDUTORA CHATA EM ALUMÍNIO DE 7/8´ X 1/8´, INCLUSIVE ACESSÓRIOS DE FIXAÇÃO</v>
      </c>
      <c r="D160" s="91">
        <f>LARGE(Planilha!$O:$O,$A160)</f>
        <v>11926.4</v>
      </c>
      <c r="E160" s="92">
        <f t="shared" si="6"/>
        <v>8.5686723744042071E-4</v>
      </c>
      <c r="F160" s="93">
        <f t="shared" si="7"/>
        <v>0.89315162202326359</v>
      </c>
      <c r="I160" s="73" t="str">
        <v>CABO DE COBRE FLEXÍVEL ISOLADO, 2,5 MM², ANTI-CHAMA 450/750 V, PARA CIRCUITOS TERMINAIS - FORNECIMENTO E INSTALAÇÃO. AF_12/2015</v>
      </c>
    </row>
    <row r="161" spans="1:9" x14ac:dyDescent="0.3">
      <c r="A161" s="88">
        <f t="shared" si="8"/>
        <v>153</v>
      </c>
      <c r="B161" s="89" t="str">
        <f>_xlfn.XLOOKUP(D161,Planilha!O:O,Planilha!C:C)</f>
        <v>02.01.07.03.13</v>
      </c>
      <c r="C161" s="90" t="str">
        <f>_xlfn.XLOOKUP($D161,Planilha!$O:$O,Planilha!F:F)</f>
        <v>TELA SOLDADA NERVURADA Q138 (10X10 4.2MM 2,2KG.M2) EM LAJE</v>
      </c>
      <c r="D161" s="91">
        <f>LARGE(Planilha!$O:$O,$A161)</f>
        <v>11657.3</v>
      </c>
      <c r="E161" s="92">
        <f t="shared" si="6"/>
        <v>8.3753340882531324E-4</v>
      </c>
      <c r="F161" s="93">
        <f t="shared" si="7"/>
        <v>0.8939891554320889</v>
      </c>
      <c r="I161" s="73" t="str">
        <v>ABRIGO PARA HIDRANTE, 90X60X17CM EMBUTIR, COM REGISTRO GLOBO ANGULAR 45 GRAUS 2 1/2", ADAPTADOR STORZ 2 1/2", MANGUEIRA DE INCÊNDIO 30M, REDUÇÃO 2 1/2" X 1 1/2" E ESGUICHO EM LATÃO 1 1/2" - FORNECIMENTO E INSTALAÇÃO. AF_10/2020</v>
      </c>
    </row>
    <row r="162" spans="1:9" ht="33.6" x14ac:dyDescent="0.3">
      <c r="A162" s="88">
        <f t="shared" si="8"/>
        <v>154</v>
      </c>
      <c r="B162" s="89" t="str">
        <f>_xlfn.XLOOKUP(D162,Planilha!O:O,Planilha!C:C)</f>
        <v>02.03.02.01.11</v>
      </c>
      <c r="C162" s="90" t="str">
        <f>_xlfn.XLOOKUP($D162,Planilha!$O:$O,Planilha!F:F)</f>
        <v>TOMADA ALTA DE EMBUTIR (1 MÓDULO), 2P+T 20 A, SEM SUPORTE E SEM PLACA - FORNECIMENTO E INSTALAÇÃO. AF_12/2015</v>
      </c>
      <c r="D162" s="91">
        <f>LARGE(Planilha!$O:$O,$A162)</f>
        <v>11578.7</v>
      </c>
      <c r="E162" s="92">
        <f t="shared" si="6"/>
        <v>8.3188629277496985E-4</v>
      </c>
      <c r="F162" s="93">
        <f t="shared" si="7"/>
        <v>0.89482104172486387</v>
      </c>
      <c r="I162" s="73" t="str">
        <v>TELA ELETROSOLDADA NERVURADA Q92 15X15CM 4,2MM(1,48KG/M2)</v>
      </c>
    </row>
    <row r="163" spans="1:9" x14ac:dyDescent="0.3">
      <c r="A163" s="88">
        <f t="shared" si="8"/>
        <v>155</v>
      </c>
      <c r="B163" s="89" t="str">
        <f>_xlfn.XLOOKUP(D163,Planilha!O:O,Planilha!C:C)</f>
        <v>02.03.01.03</v>
      </c>
      <c r="C163" s="90" t="str">
        <f>_xlfn.XLOOKUP($D163,Planilha!$O:$O,Planilha!F:F)</f>
        <v>PANEL G3 36W 620X620 UGR 100-277V, LEDVANCE OU SIMILAR</v>
      </c>
      <c r="D163" s="91">
        <f>LARGE(Planilha!$O:$O,$A163)</f>
        <v>11530.34</v>
      </c>
      <c r="E163" s="92">
        <f t="shared" si="6"/>
        <v>8.2841180763254464E-4</v>
      </c>
      <c r="F163" s="93">
        <f t="shared" si="7"/>
        <v>0.89564945353249636</v>
      </c>
      <c r="I163" s="73" t="str">
        <v>BLC.01 - ALVENARIA DE VEDAÇÃO DE BLOCOS VAZADOS DE CONCRETO APARENTE DE 19X9X39 CM (ESPESSURA 9 CM) E ARGAMASSA DE ASSENTAMENTO COM PREPARO EM BETONEIRA.</v>
      </c>
    </row>
    <row r="164" spans="1:9" x14ac:dyDescent="0.3">
      <c r="A164" s="88">
        <f t="shared" si="8"/>
        <v>156</v>
      </c>
      <c r="B164" s="89" t="str">
        <f>_xlfn.XLOOKUP(D164,Planilha!O:O,Planilha!C:C)</f>
        <v>01.01.09</v>
      </c>
      <c r="C164" s="90" t="str">
        <f>_xlfn.XLOOKUP($D164,Planilha!$O:$O,Planilha!F:F)</f>
        <v>AUXILIAR DE TOPÓGRAFO COM ENCARGOS COMPLEMENTARES</v>
      </c>
      <c r="D164" s="91">
        <f>LARGE(Planilha!$O:$O,$A164)</f>
        <v>11257.35</v>
      </c>
      <c r="E164" s="92">
        <f t="shared" si="6"/>
        <v>8.0879849706532738E-4</v>
      </c>
      <c r="F164" s="93">
        <f t="shared" si="7"/>
        <v>0.89645825202956164</v>
      </c>
      <c r="I164" s="73" t="str">
        <v>ARMAÇÃO DE PILAR OU VIGA DE UMA ESTRUTURA CONVENCIONAL DE CONCRETO ARMADO EM UMA EDIFICAÇÃO TÉRREA OU SOBRADO UTILIZANDO AÇO CA-50 DE 16,0 MM - MONTAGEM. AF_12/2015</v>
      </c>
    </row>
    <row r="165" spans="1:9" ht="33.6" x14ac:dyDescent="0.3">
      <c r="A165" s="88">
        <f t="shared" si="8"/>
        <v>157</v>
      </c>
      <c r="B165" s="89" t="str">
        <f>_xlfn.XLOOKUP(D165,Planilha!O:O,Planilha!C:C)</f>
        <v>02.01.04.12</v>
      </c>
      <c r="C165" s="90" t="str">
        <f>_xlfn.XLOOKUP($D165,Planilha!$O:$O,Planilha!F:F)</f>
        <v>ARMAÇÃO PARA EXECUÇÃO DE RADIER, PISO DE CONCRETO OU LAJE SOBRE SOLO, COM USO DE TELA Q-113. AF_09/2021</v>
      </c>
      <c r="D165" s="91">
        <f>LARGE(Planilha!$O:$O,$A165)</f>
        <v>11182.06</v>
      </c>
      <c r="E165" s="92">
        <f t="shared" si="6"/>
        <v>8.0338919213618788E-4</v>
      </c>
      <c r="F165" s="93">
        <f t="shared" si="7"/>
        <v>0.89726164122169783</v>
      </c>
      <c r="I165" s="73" t="str">
        <v>SALA FOTOGRAFIA - ARMARIO MEDINDO 900X520X2000MM PROVIDA DE DUAS PORTAS E SEIS NIVEIS DE APOIO.</v>
      </c>
    </row>
    <row r="166" spans="1:9" ht="33.6" x14ac:dyDescent="0.3">
      <c r="A166" s="88">
        <f t="shared" si="8"/>
        <v>158</v>
      </c>
      <c r="B166" s="89" t="str">
        <f>_xlfn.XLOOKUP(D166,Planilha!O:O,Planilha!C:C)</f>
        <v>02.02.15.06.01</v>
      </c>
      <c r="C166" s="90" t="str">
        <f>_xlfn.XLOOKUP($D166,Planilha!$O:$O,Planilha!F:F)</f>
        <v>BRS01 - PAINEL DE SISTEMA LINEAR RB FIXADO SOBRE PORTA PAINEL RB AUTOTRAVE TODO EM ALUMÍNIO, COR RAL 7021 - 0,685X 2,96M</v>
      </c>
      <c r="D166" s="91">
        <f>LARGE(Planilha!$O:$O,$A166)</f>
        <v>11000</v>
      </c>
      <c r="E166" s="92">
        <f t="shared" si="6"/>
        <v>7.9030886200736413E-4</v>
      </c>
      <c r="F166" s="93">
        <f t="shared" si="7"/>
        <v>0.8980519500837052</v>
      </c>
      <c r="I166" s="73" t="str">
        <v>RDP.05 - RODAPÉ QUALQUER EM ALTA RESISTÊNCIA MOLDADO NO LOCAL ATÉ 10 CM</v>
      </c>
    </row>
    <row r="167" spans="1:9" ht="50.4" x14ac:dyDescent="0.3">
      <c r="A167" s="88">
        <f t="shared" si="8"/>
        <v>159</v>
      </c>
      <c r="B167" s="89" t="str">
        <f>_xlfn.XLOOKUP(D167,Planilha!O:O,Planilha!C:C)</f>
        <v>02.03.11.15.01</v>
      </c>
      <c r="C167" s="90" t="str">
        <f>_xlfn.XLOOKUP($D167,Planilha!$O:$O,Planilha!F:F)</f>
        <v>CABO DE COBRE FLEXÍVEL ISOLADO, 2,5 MM², ANTI-CHAMA 450/750 V, PARA CIRCUITOS TERMINAIS - FORNECIMENTO E INSTALAÇÃO. AF_12/2015</v>
      </c>
      <c r="D167" s="91">
        <f>LARGE(Planilha!$O:$O,$A167)</f>
        <v>10840</v>
      </c>
      <c r="E167" s="92">
        <f t="shared" si="6"/>
        <v>7.7881346037816609E-4</v>
      </c>
      <c r="F167" s="93">
        <f t="shared" si="7"/>
        <v>0.89883076354408331</v>
      </c>
      <c r="I167" s="73" t="str">
        <v>MOBILIARIO PARA ESCRITORIO OBRAS</v>
      </c>
    </row>
    <row r="168" spans="1:9" ht="84" x14ac:dyDescent="0.3">
      <c r="A168" s="88">
        <f t="shared" si="8"/>
        <v>160</v>
      </c>
      <c r="B168" s="89" t="str">
        <f>_xlfn.XLOOKUP(D168,Planilha!O:O,Planilha!C:C)</f>
        <v>02.04.04.03.01</v>
      </c>
      <c r="C168" s="90" t="str">
        <f>_xlfn.XLOOKUP($D168,Planilha!$O:$O,Planilha!F:F)</f>
        <v>ABRIGO PARA HIDRANTE, 90X60X17CM EMBUTIR, COM REGISTRO GLOBO ANGULAR 45 GRAUS 2 1/2", ADAPTADOR STORZ 2 1/2", MANGUEIRA DE INCÊNDIO 30M, REDUÇÃO 2 1/2" X 1 1/2" E ESGUICHO EM LATÃO 1 1/2" - FORNECIMENTO E INSTALAÇÃO. AF_10/2020</v>
      </c>
      <c r="D168" s="91">
        <f>LARGE(Planilha!$O:$O,$A168)</f>
        <v>10837.92</v>
      </c>
      <c r="E168" s="92">
        <f t="shared" si="6"/>
        <v>7.7866402015698652E-4</v>
      </c>
      <c r="F168" s="93">
        <f t="shared" si="7"/>
        <v>0.89960942756424034</v>
      </c>
      <c r="I168" s="73" t="str">
        <v>ESTACA PERFIL METALICO DUPLO I - 10""X4.5/8"" 80TF</v>
      </c>
    </row>
    <row r="169" spans="1:9" ht="33.6" x14ac:dyDescent="0.3">
      <c r="A169" s="88">
        <f t="shared" si="8"/>
        <v>161</v>
      </c>
      <c r="B169" s="89" t="str">
        <f>_xlfn.XLOOKUP(D169,Planilha!O:O,Planilha!C:C)</f>
        <v>02.01.07.03.12</v>
      </c>
      <c r="C169" s="90" t="str">
        <f>_xlfn.XLOOKUP($D169,Planilha!$O:$O,Planilha!F:F)</f>
        <v>TELA ELETROSOLDADA NERVURADA Q92 15X15CM 4,2MM(1,48KG/M2)</v>
      </c>
      <c r="D169" s="91">
        <f>LARGE(Planilha!$O:$O,$A169)</f>
        <v>10743.1</v>
      </c>
      <c r="E169" s="92">
        <f t="shared" si="6"/>
        <v>7.7185155776648311E-4</v>
      </c>
      <c r="F169" s="93">
        <f t="shared" si="7"/>
        <v>0.90038127912200683</v>
      </c>
      <c r="I169" s="73" t="str">
        <v>ARMAÇÃO DE BLOCO, VIGA BALDRAME OU SAPATA UTILIZANDO AÇO CA-50 DE 8 MM - MONTAGEM. AF_06/2017</v>
      </c>
    </row>
    <row r="170" spans="1:9" ht="50.4" x14ac:dyDescent="0.3">
      <c r="A170" s="88">
        <f t="shared" si="8"/>
        <v>162</v>
      </c>
      <c r="B170" s="89" t="str">
        <f>_xlfn.XLOOKUP(D170,Planilha!O:O,Planilha!C:C)</f>
        <v>02.02.01.01</v>
      </c>
      <c r="C170" s="90" t="str">
        <f>_xlfn.XLOOKUP($D170,Planilha!$O:$O,Planilha!F:F)</f>
        <v>BLC.01 - ALVENARIA DE VEDAÇÃO DE BLOCOS VAZADOS DE CONCRETO APARENTE DE 19X9X39 CM (ESPESSURA 9 CM) E ARGAMASSA DE ASSENTAMENTO COM PREPARO EM BETONEIRA.</v>
      </c>
      <c r="D170" s="91">
        <f>LARGE(Planilha!$O:$O,$A170)</f>
        <v>10669.63</v>
      </c>
      <c r="E170" s="92">
        <f t="shared" si="6"/>
        <v>7.6657301303087563E-4</v>
      </c>
      <c r="F170" s="93">
        <f t="shared" si="7"/>
        <v>0.90114785213503767</v>
      </c>
      <c r="I170" s="73" t="str">
        <v>INSTALACAO PROVISORIA DE AGUA/LUZ/FORCA/ESGOTOS</v>
      </c>
    </row>
    <row r="171" spans="1:9" ht="67.2" x14ac:dyDescent="0.3">
      <c r="A171" s="88">
        <f t="shared" si="8"/>
        <v>163</v>
      </c>
      <c r="B171" s="89" t="str">
        <f>_xlfn.XLOOKUP(D171,Planilha!O:O,Planilha!C:C)</f>
        <v>02.01.07.03.10</v>
      </c>
      <c r="C171" s="90" t="str">
        <f>_xlfn.XLOOKUP($D171,Planilha!$O:$O,Planilha!F:F)</f>
        <v>ARMAÇÃO DE PILAR OU VIGA DE UMA ESTRUTURA CONVENCIONAL DE CONCRETO ARMADO EM UMA EDIFICAÇÃO TÉRREA OU SOBRADO UTILIZANDO AÇO CA-50 DE 16,0 MM - MONTAGEM. AF_12/2015</v>
      </c>
      <c r="D171" s="91">
        <f>LARGE(Planilha!$O:$O,$A171)</f>
        <v>10570.56</v>
      </c>
      <c r="E171" s="92">
        <f t="shared" si="6"/>
        <v>7.5945520403459664E-4</v>
      </c>
      <c r="F171" s="93">
        <f t="shared" si="7"/>
        <v>0.90190730733907232</v>
      </c>
      <c r="I171" s="73" t="str">
        <v>ELETRODUTO FLEXÍVEL CORRUGADO, PEAD, DN 100 (4"), PARA REDE ENTERRADA DE DISTRIBUIÇÃO DE ENERGIA ELÉTRICA - FORNECIMENTO E INSTALAÇÃO. AF_12/2021</v>
      </c>
    </row>
    <row r="172" spans="1:9" ht="33.6" x14ac:dyDescent="0.3">
      <c r="A172" s="88">
        <f t="shared" si="8"/>
        <v>164</v>
      </c>
      <c r="B172" s="89" t="str">
        <f>_xlfn.XLOOKUP(D172,Planilha!O:O,Planilha!C:C)</f>
        <v>02.02.17.15</v>
      </c>
      <c r="C172" s="90" t="str">
        <f>_xlfn.XLOOKUP($D172,Planilha!$O:$O,Planilha!F:F)</f>
        <v>SALA FOTOGRAFIA - ARMARIO MEDINDO 900X520X2000MM PROVIDA DE DUAS PORTAS E SEIS NIVEIS DE APOIO.</v>
      </c>
      <c r="D172" s="91">
        <f>LARGE(Planilha!$O:$O,$A172)</f>
        <v>10561.51</v>
      </c>
      <c r="E172" s="92">
        <f t="shared" si="6"/>
        <v>7.5880499537994521E-4</v>
      </c>
      <c r="F172" s="93">
        <f t="shared" si="7"/>
        <v>0.90266611233445226</v>
      </c>
      <c r="I172" s="73" t="str">
        <v>CABO DE COBRE NU # 50 MM2</v>
      </c>
    </row>
    <row r="173" spans="1:9" ht="33.6" x14ac:dyDescent="0.3">
      <c r="A173" s="88">
        <f t="shared" si="8"/>
        <v>165</v>
      </c>
      <c r="B173" s="89" t="str">
        <f>_xlfn.XLOOKUP(D173,Planilha!O:O,Planilha!C:C)</f>
        <v>02.02.17.15</v>
      </c>
      <c r="C173" s="90" t="str">
        <f>_xlfn.XLOOKUP($D173,Planilha!$O:$O,Planilha!F:F)</f>
        <v>SALA FOTOGRAFIA - ARMARIO MEDINDO 900X520X2000MM PROVIDA DE DUAS PORTAS E SEIS NIVEIS DE APOIO.</v>
      </c>
      <c r="D173" s="91">
        <f>LARGE(Planilha!$O:$O,$A173)</f>
        <v>10561.51</v>
      </c>
      <c r="E173" s="92">
        <f t="shared" si="6"/>
        <v>7.5880499537994521E-4</v>
      </c>
      <c r="F173" s="93">
        <f t="shared" si="7"/>
        <v>0.90342491732983221</v>
      </c>
      <c r="I173" s="73" t="str">
        <v>LOCAÇÃO DE C0NTAINER ALMOXARIFADO, INLCUSIVE TRANSPORTE DE IDA E VOLTA, INCLUSIVE INSTALAÇÕES</v>
      </c>
    </row>
    <row r="174" spans="1:9" ht="33.6" x14ac:dyDescent="0.3">
      <c r="A174" s="88">
        <f t="shared" si="8"/>
        <v>166</v>
      </c>
      <c r="B174" s="89" t="str">
        <f>_xlfn.XLOOKUP(D174,Planilha!O:O,Planilha!C:C)</f>
        <v>02.02.05.01.02</v>
      </c>
      <c r="C174" s="90" t="str">
        <f>_xlfn.XLOOKUP($D174,Planilha!$O:$O,Planilha!F:F)</f>
        <v>LASTRO DE CONCRETO MAGRO, APLICADO EM BLOCOS DE COROAMENTO OU SAPATAS. AF_08/2017</v>
      </c>
      <c r="D174" s="91">
        <f>LARGE(Planilha!$O:$O,$A174)</f>
        <v>10385.24</v>
      </c>
      <c r="E174" s="92">
        <f t="shared" si="6"/>
        <v>7.4614065509757803E-4</v>
      </c>
      <c r="F174" s="93">
        <f t="shared" si="7"/>
        <v>0.9041710579849298</v>
      </c>
      <c r="I174" s="73" t="str">
        <v>SALA DE FOTOGRAFIA - BANCADA LATERAL MEDINDO 2790X700X900MM - COMPOSTO DE: 2,79 LL4098BI3 METRO(S) LINEAR(ES) DE TAMPO EM GRANITO NATURAL POLIDO COM 30MM DE ESPESSURA, MEDINDO 700MM DE PROFUNDIDADE, COM RESPALDO DE 60MM JUNTO A PAREDE E ACABAMENTO BIZOTADO. - 3,00 LL2222-E MODULO INFERIOR MEDINDO 900X520X870MM PROVIDO DE DUAS PORTAS E UMA PRATELEIRA. - 0,05 LL2049 S ABS METRO(S) LINEAR(ES) DE PAINEL DE ACABAMENTO PARA FECHAMENTO FRONTAL. - 0,16 LL2049 ABS METRO(S) LINEAR(ES) DE PAINEL PARA ACABAMENTO LATERAL APARENTE.</v>
      </c>
    </row>
    <row r="175" spans="1:9" ht="33.6" x14ac:dyDescent="0.3">
      <c r="A175" s="88">
        <f t="shared" si="8"/>
        <v>167</v>
      </c>
      <c r="B175" s="89" t="str">
        <f>_xlfn.XLOOKUP(D175,Planilha!O:O,Planilha!C:C)</f>
        <v>02.02.07.07</v>
      </c>
      <c r="C175" s="90" t="str">
        <f>_xlfn.XLOOKUP($D175,Planilha!$O:$O,Planilha!F:F)</f>
        <v>RDP.05 - RODAPÉ QUALQUER EM ALTA RESISTÊNCIA MOLDADO NO LOCAL ATÉ 10 CM</v>
      </c>
      <c r="D175" s="91">
        <f>LARGE(Planilha!$O:$O,$A175)</f>
        <v>10294.049999999999</v>
      </c>
      <c r="E175" s="92">
        <f t="shared" si="6"/>
        <v>7.3958899463153697E-4</v>
      </c>
      <c r="F175" s="93">
        <f t="shared" si="7"/>
        <v>0.90491064697956136</v>
      </c>
      <c r="I175" s="73" t="str">
        <v>PONTO PARA RECEPCAO SINAIS DE TV CIRCUITO DIRIGIDO</v>
      </c>
    </row>
    <row r="176" spans="1:9" x14ac:dyDescent="0.3">
      <c r="A176" s="88">
        <f t="shared" si="8"/>
        <v>168</v>
      </c>
      <c r="B176" s="89" t="str">
        <f>_xlfn.XLOOKUP(D176,Planilha!O:O,Planilha!C:C)</f>
        <v>01.04.01</v>
      </c>
      <c r="C176" s="90" t="str">
        <f>_xlfn.XLOOKUP($D176,Planilha!$O:$O,Planilha!F:F)</f>
        <v>MOBILIARIO PARA ESCRITORIO OBRAS</v>
      </c>
      <c r="D176" s="91">
        <f>LARGE(Planilha!$O:$O,$A176)</f>
        <v>10244.879999999999</v>
      </c>
      <c r="E176" s="92">
        <f t="shared" si="6"/>
        <v>7.3605631401836406E-4</v>
      </c>
      <c r="F176" s="93">
        <f t="shared" si="7"/>
        <v>0.90564670329357977</v>
      </c>
      <c r="I176" s="73" t="str">
        <v>TUBO PVC, SÉRIE R, ÁGUA PLUVIAL, DN 100 MM, FORNECIDO E INSTALADO EM RAMAL DE ENCAMINHAMENTO. AF_12/2014</v>
      </c>
    </row>
    <row r="177" spans="1:9" x14ac:dyDescent="0.3">
      <c r="A177" s="88">
        <f t="shared" si="8"/>
        <v>169</v>
      </c>
      <c r="B177" s="89" t="str">
        <f>_xlfn.XLOOKUP(D177,Planilha!O:O,Planilha!C:C)</f>
        <v>02.01.06.01</v>
      </c>
      <c r="C177" s="90" t="str">
        <f>_xlfn.XLOOKUP($D177,Planilha!$O:$O,Planilha!F:F)</f>
        <v>ESTACA PERFIL METALICO DUPLO I - 10""X4.5/8"" 80TF</v>
      </c>
      <c r="D177" s="91">
        <f>LARGE(Planilha!$O:$O,$A177)</f>
        <v>10162.08</v>
      </c>
      <c r="E177" s="92">
        <f t="shared" si="6"/>
        <v>7.3010744367525411E-4</v>
      </c>
      <c r="F177" s="93">
        <f t="shared" si="7"/>
        <v>0.90637681073725507</v>
      </c>
      <c r="I177" s="73" t="str">
        <v>BRS04 - PAINEL DE SISTEMA LINEAR RB FIXADO SOBRE PORTA PAINEL RB AUTOTRAVE TODO EM ALUMÍNIO, COR RAL 7021 - 10,905X 2,96M</v>
      </c>
    </row>
    <row r="178" spans="1:9" x14ac:dyDescent="0.3">
      <c r="A178" s="88">
        <f t="shared" si="8"/>
        <v>170</v>
      </c>
      <c r="B178" s="89" t="str">
        <f>_xlfn.XLOOKUP(D178,Planilha!O:O,Planilha!C:C)</f>
        <v>02.01.05.06</v>
      </c>
      <c r="C178" s="90" t="str">
        <f>_xlfn.XLOOKUP($D178,Planilha!$O:$O,Planilha!F:F)</f>
        <v>CONCRETO USINADO, FCK = 30 MPA - PARA BOMBEAMENTO</v>
      </c>
      <c r="D178" s="91">
        <f>LARGE(Planilha!$O:$O,$A178)</f>
        <v>10011.57</v>
      </c>
      <c r="E178" s="92">
        <f t="shared" si="6"/>
        <v>7.1929386305518784E-4</v>
      </c>
      <c r="F178" s="93">
        <f t="shared" si="7"/>
        <v>0.9070961046003102</v>
      </c>
      <c r="I178" s="73" t="str">
        <v>JOELHO 90 GRAUS, PVC, SERIE R, ÁGUA PLUVIAL, DN 100 MM, JUNTA ELÁSTICA, FORNECIDO E INSTALADO EM CONDUTORES VERTICAIS DE ÁGUAS PLUVIAIS. AF_12/2014</v>
      </c>
    </row>
    <row r="179" spans="1:9" ht="33.6" x14ac:dyDescent="0.3">
      <c r="A179" s="88">
        <f t="shared" si="8"/>
        <v>171</v>
      </c>
      <c r="B179" s="89" t="str">
        <f>_xlfn.XLOOKUP(D179,Planilha!O:O,Planilha!C:C)</f>
        <v>02.01.03.03</v>
      </c>
      <c r="C179" s="90" t="str">
        <f>_xlfn.XLOOKUP($D179,Planilha!$O:$O,Planilha!F:F)</f>
        <v>ARMAÇÃO DE BLOCO, VIGA BALDRAME OU SAPATA UTILIZANDO AÇO CA-50 DE 8 MM - MONTAGEM. AF_06/2017</v>
      </c>
      <c r="D179" s="91">
        <f>LARGE(Planilha!$O:$O,$A179)</f>
        <v>9895.02</v>
      </c>
      <c r="E179" s="92">
        <f t="shared" si="6"/>
        <v>7.1092018143091898E-4</v>
      </c>
      <c r="F179" s="93">
        <f t="shared" si="7"/>
        <v>0.90780702478174113</v>
      </c>
      <c r="I179" s="73" t="str">
        <v>JA06 - 10 MÓDULOS DE 0,74x0,53 DE JANELAS DE ALUMÍNIO LINHA 25 TIPO MAXIM-AR, COM VIDRO DE 6mm, COM CONTRAMARCO, ALIZAR, BATENTE E FERRAGENS, ACAB. PINTURA ELETROSTÁTICA COR RAL 7021 - 3,66X 1,24M X3</v>
      </c>
    </row>
    <row r="180" spans="1:9" x14ac:dyDescent="0.3">
      <c r="A180" s="88">
        <f t="shared" si="8"/>
        <v>172</v>
      </c>
      <c r="B180" s="89" t="str">
        <f>_xlfn.XLOOKUP(D180,Planilha!O:O,Planilha!C:C)</f>
        <v>01.02.02</v>
      </c>
      <c r="C180" s="90" t="str">
        <f>_xlfn.XLOOKUP($D180,Planilha!$O:$O,Planilha!F:F)</f>
        <v>INSTALACAO PROVISORIA DE AGUA/LUZ/FORCA/ESGOTOS</v>
      </c>
      <c r="D180" s="91">
        <f>LARGE(Planilha!$O:$O,$A180)</f>
        <v>9881.1</v>
      </c>
      <c r="E180" s="92">
        <f t="shared" si="6"/>
        <v>7.0992008148917875E-4</v>
      </c>
      <c r="F180" s="93">
        <f t="shared" si="7"/>
        <v>0.90851694486323031</v>
      </c>
      <c r="I180" s="73" t="str">
        <v>MOBILIZAÇÃO, CANTEIRO DE OBRAS E ISOLAMENTOS DAS ÁREAS, INLCUSIVE INSTALAÇÕES PROVISÓRIAS DE POONTGALETES DE MADEIRA, TELA LARANJA DE OBRA, PLACAS PROVISÓRIAS DE IDENTGIFICAÇÃO, ETC.</v>
      </c>
    </row>
    <row r="181" spans="1:9" ht="50.4" x14ac:dyDescent="0.3">
      <c r="A181" s="88">
        <f t="shared" si="8"/>
        <v>173</v>
      </c>
      <c r="B181" s="89" t="str">
        <f>_xlfn.XLOOKUP(D181,Planilha!O:O,Planilha!C:C)</f>
        <v>02.03.11.14.10</v>
      </c>
      <c r="C181" s="90" t="str">
        <f>_xlfn.XLOOKUP($D181,Planilha!$O:$O,Planilha!F:F)</f>
        <v>ELETRODUTO FLEXÍVEL CORRUGADO, PEAD, DN 100 (4"), PARA REDE ENTERRADA DE DISTRIBUIÇÃO DE ENERGIA ELÉTRICA - FORNECIMENTO E INSTALAÇÃO. AF_12/2021</v>
      </c>
      <c r="D181" s="91">
        <f>LARGE(Planilha!$O:$O,$A181)</f>
        <v>9867.6</v>
      </c>
      <c r="E181" s="92">
        <f t="shared" si="6"/>
        <v>7.0895015697671512E-4</v>
      </c>
      <c r="F181" s="93">
        <f t="shared" si="7"/>
        <v>0.90922589502020701</v>
      </c>
      <c r="I181" s="73" t="str">
        <v>NOBREAK APC SMC3000XLI-BR SMART-UPS 3,0 KVA (3000VA) 220V - T.E.-127V-1F+T - T.S.-127V-1F+T</v>
      </c>
    </row>
    <row r="182" spans="1:9" x14ac:dyDescent="0.3">
      <c r="A182" s="88">
        <f t="shared" si="8"/>
        <v>174</v>
      </c>
      <c r="B182" s="89" t="str">
        <f>_xlfn.XLOOKUP(D182,Planilha!O:O,Planilha!C:C)</f>
        <v>02.03.10.04.13</v>
      </c>
      <c r="C182" s="90" t="str">
        <f>_xlfn.XLOOKUP($D182,Planilha!$O:$O,Planilha!F:F)</f>
        <v>CABO DE COBRE NU # 50 MM2</v>
      </c>
      <c r="D182" s="91">
        <f>LARGE(Planilha!$O:$O,$A182)</f>
        <v>9864.6</v>
      </c>
      <c r="E182" s="92">
        <f t="shared" si="6"/>
        <v>7.0873461819616769E-4</v>
      </c>
      <c r="F182" s="93">
        <f t="shared" si="7"/>
        <v>0.90993462963840321</v>
      </c>
      <c r="I182" s="73" t="str">
        <v>GEOTÊXTIL NÃO TECIDO 100% POLIÉSTER, RESISTÊNCIA A TRAÇÃO DE 31 KN/M (RT-31), INSTALADO EM DRENO - FORNECIMENTO E INSTALAÇÃO. AF_07/2021</v>
      </c>
    </row>
    <row r="183" spans="1:9" ht="33.6" x14ac:dyDescent="0.3">
      <c r="A183" s="88">
        <f t="shared" si="8"/>
        <v>175</v>
      </c>
      <c r="B183" s="89" t="str">
        <f>_xlfn.XLOOKUP(D183,Planilha!O:O,Planilha!C:C)</f>
        <v>02.02.11.01.02</v>
      </c>
      <c r="C183" s="90" t="str">
        <f>_xlfn.XLOOKUP($D183,Planilha!$O:$O,Planilha!F:F)</f>
        <v>LOCAÇÃO DE C0NTAINER ALMOXARIFADO, INLCUSIVE TRANSPORTE DE IDA E VOLTA, INCLUSIVE INSTALAÇÕES</v>
      </c>
      <c r="D183" s="91">
        <f>LARGE(Planilha!$O:$O,$A183)</f>
        <v>9857.24</v>
      </c>
      <c r="E183" s="92">
        <f t="shared" si="6"/>
        <v>7.0820582972122462E-4</v>
      </c>
      <c r="F183" s="93">
        <f t="shared" si="7"/>
        <v>0.91064283546812441</v>
      </c>
      <c r="I183" s="73" t="str">
        <v>SALA SCANNER - BANCADA LATERAL MEDINDO 4150X700X700MM - COMPOSTO DE: 4,15 LL4092 METRO(S) LINEAR(ES) DE TAMPO EM LAMINADO MELAMÍNICO ESPESSURA DE 25MM "MACIÇO", MEDINDO 700MM DE PROFUNDIDADE E COM RESPALDO DE 60MM JUNTO A PAREDE. - 3,00 LL2322-E MODULO INFERIOR MEDINDO 1000X520X680MM PROVIDO DE DUAS PORTAS E UMA PRATELEIRA. - 1,00 LL2151-E PAINEL DE SUSTENTAÇÃO PARA BANCADA MEDINDO 25X450X680MM. - 1,03 LL2150-E METRO(S)LINEAR(ES)DE MODULO VAZADO COMPOSTO POR PAINEL DE FUNDO. - 0,05 LL2149 S ABS-E METRO(S) LINEAR(ES) DE PAINEL DE ACABAMENTO PARA FECHAMENTO FRONTAL. - 0,05 LL2149 S ABS-E METRO(S) LINEAR(ES) DE PAINEL DE ACABAMENTO PARA FECHAMENTO FRONTAL.</v>
      </c>
    </row>
    <row r="184" spans="1:9" ht="168" x14ac:dyDescent="0.3">
      <c r="A184" s="88">
        <f t="shared" si="8"/>
        <v>176</v>
      </c>
      <c r="B184" s="89" t="str">
        <f>_xlfn.XLOOKUP(D184,Planilha!O:O,Planilha!C:C)</f>
        <v>02.02.17.12</v>
      </c>
      <c r="C184" s="90" t="str">
        <f>_xlfn.XLOOKUP($D184,Planilha!$O:$O,Planilha!F:F)</f>
        <v>SALA DE FOTOGRAFIA - BANCADA LATERAL MEDINDO 2790X700X900MM - COMPOSTO DE: 2,79 LL4098BI3 METRO(S) LINEAR(ES) DE TAMPO EM GRANITO NATURAL POLIDO COM 30MM DE ESPESSURA, MEDINDO 700MM DE PROFUNDIDADE, COM RESPALDO DE 60MM JUNTO A PAREDE E ACABAMENTO BIZOTADO. - 3,00 LL2222-E MODULO INFERIOR MEDINDO 900X520X870MM PROVIDO DE DUAS PORTAS E UMA PRATELEIRA. - 0,05 LL2049 S ABS METRO(S) LINEAR(ES) DE PAINEL DE ACABAMENTO PARA FECHAMENTO FRONTAL. - 0,16 LL2049 ABS METRO(S) LINEAR(ES) DE PAINEL PARA ACABAMENTO LATERAL APARENTE.</v>
      </c>
      <c r="D184" s="91">
        <f>LARGE(Planilha!$O:$O,$A184)</f>
        <v>9813.7800000000007</v>
      </c>
      <c r="E184" s="92">
        <f t="shared" si="6"/>
        <v>7.0508339125369373E-4</v>
      </c>
      <c r="F184" s="93">
        <f t="shared" si="7"/>
        <v>0.91134791885937816</v>
      </c>
      <c r="I184" s="73" t="str">
        <v>SELANTE ENDURECEDOR DE CONCRETO ANTIPÓ</v>
      </c>
    </row>
    <row r="185" spans="1:9" x14ac:dyDescent="0.3">
      <c r="A185" s="88">
        <f t="shared" si="8"/>
        <v>177</v>
      </c>
      <c r="B185" s="89" t="str">
        <f>_xlfn.XLOOKUP(D185,Planilha!O:O,Planilha!C:C)</f>
        <v>02.03.06.15</v>
      </c>
      <c r="C185" s="90" t="str">
        <f>_xlfn.XLOOKUP($D185,Planilha!$O:$O,Planilha!F:F)</f>
        <v>PONTO PARA RECEPCAO SINAIS DE TV CIRCUITO DIRIGIDO</v>
      </c>
      <c r="D185" s="91">
        <f>LARGE(Planilha!$O:$O,$A185)</f>
        <v>9619.7999999999993</v>
      </c>
      <c r="E185" s="92">
        <f t="shared" si="6"/>
        <v>6.9114665370349467E-4</v>
      </c>
      <c r="F185" s="93">
        <f t="shared" si="7"/>
        <v>0.91203906551308167</v>
      </c>
      <c r="I185" s="73" t="str">
        <v>ELETRODUTO FERRO GALVANIZADO ROSCAVEL 1.1/2"" COM CONEXOES</v>
      </c>
    </row>
    <row r="186" spans="1:9" ht="33.6" x14ac:dyDescent="0.3">
      <c r="A186" s="88">
        <f t="shared" si="8"/>
        <v>178</v>
      </c>
      <c r="B186" s="89" t="str">
        <f>_xlfn.XLOOKUP(D186,Planilha!O:O,Planilha!C:C)</f>
        <v>02.04.01.01.02</v>
      </c>
      <c r="C186" s="90" t="str">
        <f>_xlfn.XLOOKUP($D186,Planilha!$O:$O,Planilha!F:F)</f>
        <v>TUBO PVC, SÉRIE R, ÁGUA PLUVIAL, DN 100 MM, FORNECIDO E INSTALADO EM RAMAL DE ENCAMINHAMENTO. AF_12/2014</v>
      </c>
      <c r="D186" s="91">
        <f>LARGE(Planilha!$O:$O,$A186)</f>
        <v>9469.2000000000007</v>
      </c>
      <c r="E186" s="92">
        <f t="shared" si="6"/>
        <v>6.8032660692001216E-4</v>
      </c>
      <c r="F186" s="93">
        <f t="shared" si="7"/>
        <v>0.91271939212000164</v>
      </c>
      <c r="I186" s="73" t="str">
        <v>BLOCO AUTÔNOMO PARA ILUMINAÇÃO DE EMERGÊNCIA, COM LEDS DE ACLARAMENTO, FLUXO LUMINOSO CONSTANTE DE 1500LUMENS , AUTONOMIA SUPERIOR A 2H NA FALTA DE ENERGIA, COM BATERIA SELADA - FLUXEON-1500/L SE IP 43 ACLARAMENTO, DJ - EMBUTIR FORRO</v>
      </c>
    </row>
    <row r="187" spans="1:9" ht="50.4" x14ac:dyDescent="0.3">
      <c r="A187" s="88">
        <f t="shared" si="8"/>
        <v>179</v>
      </c>
      <c r="B187" s="89" t="str">
        <f>_xlfn.XLOOKUP(D187,Planilha!O:O,Planilha!C:C)</f>
        <v>02.02.15.06.04</v>
      </c>
      <c r="C187" s="90" t="str">
        <f>_xlfn.XLOOKUP($D187,Planilha!$O:$O,Planilha!F:F)</f>
        <v>BRS04 - PAINEL DE SISTEMA LINEAR RB FIXADO SOBRE PORTA PAINEL RB AUTOTRAVE TODO EM ALUMÍNIO, COR RAL 7021 - 10,905X 2,96M</v>
      </c>
      <c r="D187" s="91">
        <f>LARGE(Planilha!$O:$O,$A187)</f>
        <v>9460</v>
      </c>
      <c r="E187" s="92">
        <f t="shared" si="6"/>
        <v>6.7966562132633314E-4</v>
      </c>
      <c r="F187" s="93">
        <f t="shared" si="7"/>
        <v>0.91339905774132801</v>
      </c>
      <c r="I187" s="73" t="str">
        <v>TELA ELETROSOLDADA NERVURADA Q113 30X10CM 3,8MM(2,11KG/M2)</v>
      </c>
    </row>
    <row r="188" spans="1:9" ht="50.4" x14ac:dyDescent="0.3">
      <c r="A188" s="88">
        <f t="shared" si="8"/>
        <v>180</v>
      </c>
      <c r="B188" s="89" t="str">
        <f>_xlfn.XLOOKUP(D188,Planilha!O:O,Planilha!C:C)</f>
        <v>02.04.01.01.08</v>
      </c>
      <c r="C188" s="90" t="str">
        <f>_xlfn.XLOOKUP($D188,Planilha!$O:$O,Planilha!F:F)</f>
        <v>JOELHO 90 GRAUS, PVC, SERIE R, ÁGUA PLUVIAL, DN 100 MM, JUNTA ELÁSTICA, FORNECIDO E INSTALADO EM CONDUTORES VERTICAIS DE ÁGUAS PLUVIAIS. AF_12/2014</v>
      </c>
      <c r="D188" s="91">
        <f>LARGE(Planilha!$O:$O,$A188)</f>
        <v>9337.7900000000009</v>
      </c>
      <c r="E188" s="92">
        <f t="shared" si="6"/>
        <v>6.7088528986943138E-4</v>
      </c>
      <c r="F188" s="93">
        <f t="shared" si="7"/>
        <v>0.91406994303119748</v>
      </c>
      <c r="I188" s="73" t="str">
        <v>JA05 - 7 MÓDULOS DE 0,74x0,53 DE JANELAS DE ALUMÍNIO LINHA 25 TIPO MAXIM-AR, COM VIDRO DE 6mm, COM CONTRAMARCO, ALIZAR, BATENTE E FERRAGENS, ACAB. PINTURA ELETROSTÁTICA COR RAL 7021 - 4,17 X,80M X2</v>
      </c>
    </row>
    <row r="189" spans="1:9" ht="67.2" x14ac:dyDescent="0.3">
      <c r="A189" s="88">
        <f t="shared" si="8"/>
        <v>181</v>
      </c>
      <c r="B189" s="89" t="str">
        <f>_xlfn.XLOOKUP(D189,Planilha!O:O,Planilha!C:C)</f>
        <v>02.02.15.02.06</v>
      </c>
      <c r="C189" s="90" t="str">
        <f>_xlfn.XLOOKUP($D189,Planilha!$O:$O,Planilha!F:F)</f>
        <v>JA06 - 10 MÓDULOS DE 0,74x0,53 DE JANELAS DE ALUMÍNIO LINHA 25 TIPO MAXIM-AR, COM VIDRO DE 6mm, COM CONTRAMARCO, ALIZAR, BATENTE E FERRAGENS, ACAB. PINTURA ELETROSTÁTICA COR RAL 7021 - 3,66X 1,24M X3</v>
      </c>
      <c r="D189" s="91">
        <f>LARGE(Planilha!$O:$O,$A189)</f>
        <v>9313.6299999999992</v>
      </c>
      <c r="E189" s="92">
        <f t="shared" si="6"/>
        <v>6.6914948422342239E-4</v>
      </c>
      <c r="F189" s="93">
        <f t="shared" si="7"/>
        <v>0.91473909251542096</v>
      </c>
      <c r="I189" s="73" t="str">
        <v>BARRA GALVANIZADA A FOGO DIAM. 3/8"</v>
      </c>
    </row>
    <row r="190" spans="1:9" ht="67.2" x14ac:dyDescent="0.3">
      <c r="A190" s="88">
        <f t="shared" si="8"/>
        <v>182</v>
      </c>
      <c r="B190" s="89" t="str">
        <f>_xlfn.XLOOKUP(D190,Planilha!O:O,Planilha!C:C)</f>
        <v>02.02.11.01.01</v>
      </c>
      <c r="C190" s="90" t="str">
        <f>_xlfn.XLOOKUP($D190,Planilha!$O:$O,Planilha!F:F)</f>
        <v>MOBILIZAÇÃO, CANTEIRO DE OBRAS E ISOLAMENTOS DAS ÁREAS, INLCUSIVE INSTALAÇÕES PROVISÓRIAS DE POONTGALETES DE MADEIRA, TELA LARANJA DE OBRA, PLACAS PROVISÓRIAS DE IDENTGIFICAÇÃO, ETC.</v>
      </c>
      <c r="D190" s="91">
        <f>LARGE(Planilha!$O:$O,$A190)</f>
        <v>9208.9599999999991</v>
      </c>
      <c r="E190" s="92">
        <f t="shared" si="6"/>
        <v>6.6162933617012142E-4</v>
      </c>
      <c r="F190" s="93">
        <f t="shared" si="7"/>
        <v>0.91540072185159105</v>
      </c>
      <c r="I190" s="73" t="str">
        <v>DV01 - FORNECIMENTO E INSTALAÇÃO DE DIVISORIA EM VIDRO TEMPERADO 10 mm INCOLOR COM MONTANTES EM ALUMINIO, PERFIL 55mm COR PRETA RAL 7021, EXCLUIDA A PORTA CEGA PISO-TETO COM ACABAMENTO MADEIRA BP NOGUEIRA CADIZ, FECHADURA IMAB VERT 2 CA.(4,92 X 2,60)M</v>
      </c>
    </row>
    <row r="191" spans="1:9" ht="33.6" x14ac:dyDescent="0.3">
      <c r="A191" s="88">
        <f t="shared" si="8"/>
        <v>183</v>
      </c>
      <c r="B191" s="89" t="str">
        <f>_xlfn.XLOOKUP(D191,Planilha!O:O,Planilha!C:C)</f>
        <v>02.03.02.03.37</v>
      </c>
      <c r="C191" s="90" t="str">
        <f>_xlfn.XLOOKUP($D191,Planilha!$O:$O,Planilha!F:F)</f>
        <v>NOBREAK APC SMC3000XLI-BR SMART-UPS 3,0 KVA (3000VA) 220V - T.E.-127V-1F+T - T.S.-127V-1F+T</v>
      </c>
      <c r="D191" s="91">
        <f>LARGE(Planilha!$O:$O,$A191)</f>
        <v>9040.7000000000007</v>
      </c>
      <c r="E191" s="92">
        <f t="shared" si="6"/>
        <v>6.4954048443181616E-4</v>
      </c>
      <c r="F191" s="93">
        <f t="shared" si="7"/>
        <v>0.91605026233602282</v>
      </c>
      <c r="I191" s="73" t="str">
        <v>LOCAÇÃO DE CONTAINER TIPO DEPÓSITO - ÁREA MÍNIMA DE 13,80 M²</v>
      </c>
    </row>
    <row r="192" spans="1:9" ht="50.4" x14ac:dyDescent="0.3">
      <c r="A192" s="88">
        <f t="shared" si="8"/>
        <v>184</v>
      </c>
      <c r="B192" s="89" t="str">
        <f>_xlfn.XLOOKUP(D192,Planilha!O:O,Planilha!C:C)</f>
        <v>02.01.05.08</v>
      </c>
      <c r="C192" s="90" t="str">
        <f>_xlfn.XLOOKUP($D192,Planilha!$O:$O,Planilha!F:F)</f>
        <v>GEOTÊXTIL NÃO TECIDO 100% POLIÉSTER, RESISTÊNCIA A TRAÇÃO DE 31 KN/M (RT-31), INSTALADO EM DRENO - FORNECIMENTO E INSTALAÇÃO. AF_07/2021</v>
      </c>
      <c r="D192" s="91">
        <f>LARGE(Planilha!$O:$O,$A192)</f>
        <v>8948.09</v>
      </c>
      <c r="E192" s="92">
        <f t="shared" si="6"/>
        <v>6.4288680227631598E-4</v>
      </c>
      <c r="F192" s="93">
        <f t="shared" si="7"/>
        <v>0.91669314913829913</v>
      </c>
      <c r="I192" s="73" t="str">
        <v>ELETROCALHA PERFURADA GALVANIZADA A FOGO, 100 X 50 MM, COM ACESSÓRIOS</v>
      </c>
    </row>
    <row r="193" spans="1:9" ht="201.6" x14ac:dyDescent="0.3">
      <c r="A193" s="88">
        <f t="shared" si="8"/>
        <v>185</v>
      </c>
      <c r="B193" s="89" t="str">
        <f>_xlfn.XLOOKUP(D193,Planilha!O:O,Planilha!C:C)</f>
        <v>02.02.17.16</v>
      </c>
      <c r="C193" s="90" t="str">
        <f>_xlfn.XLOOKUP($D193,Planilha!$O:$O,Planilha!F:F)</f>
        <v>SALA SCANNER - BANCADA LATERAL MEDINDO 4150X700X700MM - COMPOSTO DE: 4,15 LL4092 METRO(S) LINEAR(ES) DE TAMPO EM LAMINADO MELAMÍNICO ESPESSURA DE 25MM "MACIÇO", MEDINDO 700MM DE PROFUNDIDADE E COM RESPALDO DE 60MM JUNTO A PAREDE. - 3,00 LL2322-E MODULO INFERIOR MEDINDO 1000X520X680MM PROVIDO DE DUAS PORTAS E UMA PRATELEIRA. - 1,00 LL2151-E PAINEL DE SUSTENTAÇÃO PARA BANCADA MEDINDO 25X450X680MM. - 1,03 LL2150-E METRO(S)LINEAR(ES)DE MODULO VAZADO COMPOSTO POR PAINEL DE FUNDO. - 0,05 LL2149 S ABS-E METRO(S) LINEAR(ES) DE PAINEL DE ACABAMENTO PARA FECHAMENTO FRONTAL. - 0,05 LL2149 S ABS-E METRO(S) LINEAR(ES) DE PAINEL DE ACABAMENTO PARA FECHAMENTO FRONTAL.</v>
      </c>
      <c r="D193" s="91">
        <f>LARGE(Planilha!$O:$O,$A193)</f>
        <v>8908.82</v>
      </c>
      <c r="E193" s="92">
        <f t="shared" si="6"/>
        <v>6.4006539963894964E-4</v>
      </c>
      <c r="F193" s="93">
        <f t="shared" si="7"/>
        <v>0.91733321453793804</v>
      </c>
      <c r="I193" s="73"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
    </row>
    <row r="194" spans="1:9" x14ac:dyDescent="0.3">
      <c r="A194" s="88">
        <f t="shared" si="8"/>
        <v>186</v>
      </c>
      <c r="B194" s="89" t="str">
        <f>_xlfn.XLOOKUP(D194,Planilha!O:O,Planilha!C:C)</f>
        <v>02.01.07.03.04</v>
      </c>
      <c r="C194" s="90" t="str">
        <f>_xlfn.XLOOKUP($D194,Planilha!$O:$O,Planilha!F:F)</f>
        <v>SELANTE ENDURECEDOR DE CONCRETO ANTIPÓ</v>
      </c>
      <c r="D194" s="91">
        <f>LARGE(Planilha!$O:$O,$A194)</f>
        <v>8754.7199999999993</v>
      </c>
      <c r="E194" s="92">
        <f t="shared" si="6"/>
        <v>6.2899389094482822E-4</v>
      </c>
      <c r="F194" s="93">
        <f t="shared" si="7"/>
        <v>0.91796220842888288</v>
      </c>
      <c r="I194" s="73" t="str">
        <v>DV02A.  - FORNECIMENTO E INSTALAÇÃO DE DIVISORIA EM VIDRO TEMPERADO 10 mm INCOLOR COM MONTANTES EM ALUMINIO, PERFIL 55mm COR PRETA RAL 7021, EXCLUIDA A  PORTA CEGA PISO-TETO COM ACABAMENTO MADEIRA BP NOGUEIRA CADIZ, FECHADURA IMAB VERT 2 CA.( 4,58 X 2,60)MA</v>
      </c>
    </row>
    <row r="195" spans="1:9" ht="33.6" x14ac:dyDescent="0.3">
      <c r="A195" s="88">
        <f t="shared" si="8"/>
        <v>187</v>
      </c>
      <c r="B195" s="89" t="str">
        <f>_xlfn.XLOOKUP(D195,Planilha!O:O,Planilha!C:C)</f>
        <v>02.03.11.14.03</v>
      </c>
      <c r="C195" s="90" t="str">
        <f>_xlfn.XLOOKUP($D195,Planilha!$O:$O,Planilha!F:F)</f>
        <v>ELETRODUTO FERRO GALVANIZADO ROSCAVEL 1.1/2"" COM CONEXOES</v>
      </c>
      <c r="D195" s="91">
        <f>LARGE(Planilha!$O:$O,$A195)</f>
        <v>8739.15</v>
      </c>
      <c r="E195" s="92">
        <f t="shared" si="6"/>
        <v>6.2787524467378694E-4</v>
      </c>
      <c r="F195" s="93">
        <f t="shared" si="7"/>
        <v>0.91859008367355666</v>
      </c>
      <c r="I195" s="73" t="str">
        <v>CABO DE COBRE FLEXÍVEL ISOLADO, 4 MM², ANTI-CHAMA 450/750 V, PARA CIRCUITOS TERMINAIS - FORNECIMENTO E INSTALAÇÃO. AF_12/2015</v>
      </c>
    </row>
    <row r="196" spans="1:9" ht="84" x14ac:dyDescent="0.3">
      <c r="A196" s="88">
        <f t="shared" si="8"/>
        <v>188</v>
      </c>
      <c r="B196" s="89" t="str">
        <f>_xlfn.XLOOKUP(D196,Planilha!O:O,Planilha!C:C)</f>
        <v>02.03.02.02.33</v>
      </c>
      <c r="C196" s="90" t="str">
        <f>_xlfn.XLOOKUP($D196,Planilha!$O:$O,Planilha!F:F)</f>
        <v>BLOCO AUTÔNOMO PARA ILUMINAÇÃO DE EMERGÊNCIA, COM LEDS DE ACLARAMENTO, FLUXO LUMINOSO CONSTANTE DE 1500LUMENS , AUTONOMIA SUPERIOR A 2H NA FALTA DE ENERGIA, COM BATERIA SELADA - FLUXEON-1500/L SE IP 43 ACLARAMENTO, DJ - EMBUTIR FORRO</v>
      </c>
      <c r="D196" s="91">
        <f>LARGE(Planilha!$O:$O,$A196)</f>
        <v>8616.16</v>
      </c>
      <c r="E196" s="92">
        <f t="shared" si="6"/>
        <v>6.1903887313394278E-4</v>
      </c>
      <c r="F196" s="93">
        <f t="shared" si="7"/>
        <v>0.91920912254669063</v>
      </c>
      <c r="I196" s="73" t="str">
        <v>TRANSPORTE COM CAMINHÃO BASCULANTE DE 10 M³, EM VIA URBANA PAVIMENTADA, ADICIONAL PARA DMT EXCEDENTE A 30 KM (UNIDADE: M3XKM). AF_07/2020</v>
      </c>
    </row>
    <row r="197" spans="1:9" ht="33.6" x14ac:dyDescent="0.3">
      <c r="A197" s="88">
        <f t="shared" si="8"/>
        <v>189</v>
      </c>
      <c r="B197" s="89" t="str">
        <f>_xlfn.XLOOKUP(D197,Planilha!O:O,Planilha!C:C)</f>
        <v>02.02.05.01.03</v>
      </c>
      <c r="C197" s="90" t="str">
        <f>_xlfn.XLOOKUP($D197,Planilha!$O:$O,Planilha!F:F)</f>
        <v>TELA ELETROSOLDADA NERVURADA Q113 30X10CM 3,8MM(2,11KG/M2)</v>
      </c>
      <c r="D197" s="91">
        <f>LARGE(Planilha!$O:$O,$A197)</f>
        <v>8513.4</v>
      </c>
      <c r="E197" s="92">
        <f t="shared" si="6"/>
        <v>6.1165595143759029E-4</v>
      </c>
      <c r="F197" s="93">
        <f t="shared" si="7"/>
        <v>0.91982077849812827</v>
      </c>
      <c r="I197" s="73" t="str">
        <v>TUBO EM COBRE RÍGIDO, DN 35 MM, CLASSE A, SEM ISOLAMENTO, INSTALADO EM PRUMADA DE GÁS COMBUSTÍVEL - FORNECIMENTO E INSTALAÇÃO. AF_04/2022</v>
      </c>
    </row>
    <row r="198" spans="1:9" ht="50.4" x14ac:dyDescent="0.3">
      <c r="A198" s="88">
        <f t="shared" si="8"/>
        <v>190</v>
      </c>
      <c r="B198" s="89" t="str">
        <f>_xlfn.XLOOKUP(D198,Planilha!O:O,Planilha!C:C)</f>
        <v>02.03.09.06</v>
      </c>
      <c r="C198" s="90" t="str">
        <f>_xlfn.XLOOKUP($D198,Planilha!$O:$O,Planilha!F:F)</f>
        <v>ELETRODUTO DE AÇO GALVANIZADO, CLASSE LEVE, DN 20 MM (3/4), APARENTE, INSTALADO EM TETO - FORNECIMENTO E INSTALAÇÃO. AF_11/2016_P</v>
      </c>
      <c r="D198" s="91">
        <f>LARGE(Planilha!$O:$O,$A198)</f>
        <v>8484.9599999999991</v>
      </c>
      <c r="E198" s="92">
        <f t="shared" si="6"/>
        <v>6.0961264379800031E-4</v>
      </c>
      <c r="F198" s="93">
        <f t="shared" si="7"/>
        <v>0.92043039114192626</v>
      </c>
      <c r="I198" s="73" t="str">
        <v>SERVICO BOMBEAMENTO CONCRETO USINADO ATE PECAS ESTRUTURAIS</v>
      </c>
    </row>
    <row r="199" spans="1:9" ht="67.2" x14ac:dyDescent="0.3">
      <c r="A199" s="88">
        <f t="shared" si="8"/>
        <v>191</v>
      </c>
      <c r="B199" s="89" t="str">
        <f>_xlfn.XLOOKUP(D199,Planilha!O:O,Planilha!C:C)</f>
        <v>02.02.15.02.05</v>
      </c>
      <c r="C199" s="90" t="str">
        <f>_xlfn.XLOOKUP($D199,Planilha!$O:$O,Planilha!F:F)</f>
        <v>JA05 - 7 MÓDULOS DE 0,74x0,53 DE JANELAS DE ALUMÍNIO LINHA 25 TIPO MAXIM-AR, COM VIDRO DE 6mm, COM CONTRAMARCO, ALIZAR, BATENTE E FERRAGENS, ACAB. PINTURA ELETROSTÁTICA COR RAL 7021 - 4,17 X,80M X2</v>
      </c>
      <c r="D199" s="91">
        <f>LARGE(Planilha!$O:$O,$A199)</f>
        <v>8420.1299999999992</v>
      </c>
      <c r="E199" s="92">
        <f t="shared" si="6"/>
        <v>6.0495485075036967E-4</v>
      </c>
      <c r="F199" s="93">
        <f t="shared" si="7"/>
        <v>0.92103534599267667</v>
      </c>
      <c r="I199" s="73" t="str">
        <v>SALA PREPARO 1 -BANCADA LATERAL MEDINDO 2000X800X900MM - COMPOSTO DE: 2,00 LL4198BI3 85-E METRO(S) LINEAR(ES) DE TAMPO EM GRANITO NATURAL POLIDO COM 30MM DE ESPESSURA, MEDINDO 800MM DE PROFUNDIDADE, COM RESPALDO DE 60MM JUNTO A PAREDE E ACABAMENTO BIZOTADO. - 2,00 LL2222-E MODULO INFERIOR MEDINDO 900X520X870MM PROVIDO DE DUAS PORTAS E UMA PRATELEIRA. - 0,05 LL2049 S ABS METRO(S) LINEAR(ES) DE PAINEL DE ACABAMENTO PARA FECHAMENTO FRONTAL. - 0,26 LL2049 ABS METRO(S) LINEAR(ES) DE PAINEL PARA ACABAMENTO LATERAL APARENTE.</v>
      </c>
    </row>
    <row r="200" spans="1:9" x14ac:dyDescent="0.3">
      <c r="A200" s="88">
        <f t="shared" si="8"/>
        <v>192</v>
      </c>
      <c r="B200" s="89" t="str">
        <f>_xlfn.XLOOKUP(D200,Planilha!O:O,Planilha!C:C)</f>
        <v>02.03.10.03.10</v>
      </c>
      <c r="C200" s="90" t="str">
        <f>_xlfn.XLOOKUP($D200,Planilha!$O:$O,Planilha!F:F)</f>
        <v>BARRA GALVANIZADA A FOGO DIAM. 3/8"</v>
      </c>
      <c r="D200" s="91">
        <f>LARGE(Planilha!$O:$O,$A200)</f>
        <v>8321.2800000000007</v>
      </c>
      <c r="E200" s="92">
        <f t="shared" si="6"/>
        <v>5.978528479313309E-4</v>
      </c>
      <c r="F200" s="93">
        <f t="shared" si="7"/>
        <v>0.92163319884060801</v>
      </c>
      <c r="I200" s="73" t="str">
        <v>ILUM. - POLICARB. PRISMÁTICO</v>
      </c>
    </row>
    <row r="201" spans="1:9" ht="84" x14ac:dyDescent="0.3">
      <c r="A201" s="88">
        <f t="shared" si="8"/>
        <v>193</v>
      </c>
      <c r="B201" s="89" t="str">
        <f>_xlfn.XLOOKUP(D201,Planilha!O:O,Planilha!C:C)</f>
        <v>02.02.02.01</v>
      </c>
      <c r="C201" s="90" t="str">
        <f>_xlfn.XLOOKUP($D201,Planilha!$O:$O,Planilha!F:F)</f>
        <v>DV01 - FORNECIMENTO E INSTALAÇÃO DE DIVISORIA EM VIDRO TEMPERADO 10 mm INCOLOR COM MONTANTES EM ALUMINIO, PERFIL 55mm COR PRETA RAL 7021, EXCLUIDA A PORTA CEGA PISO-TETO COM ACABAMENTO MADEIRA BP NOGUEIRA CADIZ, FECHADURA IMAB VERT 2 CA.(4,92 X 2,60)M</v>
      </c>
      <c r="D201" s="91">
        <f>LARGE(Planilha!$O:$O,$A201)</f>
        <v>8088.64</v>
      </c>
      <c r="E201" s="92">
        <f t="shared" ref="E201:E264" si="9">D201/$D$933</f>
        <v>5.8113853396247691E-4</v>
      </c>
      <c r="F201" s="93">
        <f t="shared" ref="F201:F264" si="10">+E201+F200</f>
        <v>0.92221433737457048</v>
      </c>
      <c r="I201" s="73" t="str">
        <v>RDP.01 - RODAPÉ DE POLIESTIRENO, ESPESSURA DE 8 CM</v>
      </c>
    </row>
    <row r="202" spans="1:9" ht="33.6" x14ac:dyDescent="0.3">
      <c r="A202" s="88">
        <f t="shared" si="8"/>
        <v>194</v>
      </c>
      <c r="B202" s="89" t="str">
        <f>_xlfn.XLOOKUP(D202,Planilha!O:O,Planilha!C:C)</f>
        <v>01.02.06</v>
      </c>
      <c r="C202" s="90" t="str">
        <f>_xlfn.XLOOKUP($D202,Planilha!$O:$O,Planilha!F:F)</f>
        <v>LOCAÇÃO DE CONTAINER TIPO DEPÓSITO - ÁREA MÍNIMA DE 13,80 M²</v>
      </c>
      <c r="D202" s="91">
        <f>LARGE(Planilha!$O:$O,$A202)</f>
        <v>7996.08</v>
      </c>
      <c r="E202" s="92">
        <f t="shared" si="9"/>
        <v>5.7448844411998586E-4</v>
      </c>
      <c r="F202" s="93">
        <f t="shared" si="10"/>
        <v>0.92278882581869048</v>
      </c>
      <c r="I202" s="73" t="str">
        <v>CIM.01 - PISO CIMENTADO, TRAÇO 1:3 (CIMENTO E AREIA), ACABAMENTO LISO, ESPESSURA 4,0 CM, PREPARO MECÂNICO DA ARGAMASSA. AF_09/2020</v>
      </c>
    </row>
    <row r="203" spans="1:9" ht="33.6" x14ac:dyDescent="0.3">
      <c r="A203" s="88">
        <f t="shared" ref="A203:A266" si="11">+A202+1</f>
        <v>195</v>
      </c>
      <c r="B203" s="89" t="str">
        <f>_xlfn.XLOOKUP(D203,Planilha!O:O,Planilha!C:C)</f>
        <v>02.03.02.01.14</v>
      </c>
      <c r="C203" s="90" t="str">
        <f>_xlfn.XLOOKUP($D203,Planilha!$O:$O,Planilha!F:F)</f>
        <v>ELETROCALHA PERFURADA GALVANIZADA A FOGO, 100 X 50 MM, COM ACESSÓRIOS</v>
      </c>
      <c r="D203" s="91">
        <f>LARGE(Planilha!$O:$O,$A203)</f>
        <v>7780.41</v>
      </c>
      <c r="E203" s="92">
        <f t="shared" si="9"/>
        <v>5.5899336118642878E-4</v>
      </c>
      <c r="F203" s="93">
        <f t="shared" si="10"/>
        <v>0.92334781917987696</v>
      </c>
      <c r="I203" s="73" t="str">
        <v>SALA DE LAMINAÇÃO - ARMARIO MEDINDO 900X520X2000MM PROVIDA DE DUAS PORTAS E SEIS NIVEIS DE APOIO.</v>
      </c>
    </row>
    <row r="204" spans="1:9" ht="117.6" x14ac:dyDescent="0.3">
      <c r="A204" s="88">
        <f t="shared" si="11"/>
        <v>196</v>
      </c>
      <c r="B204" s="89" t="str">
        <f>_xlfn.XLOOKUP(D204,Planilha!O:O,Planilha!C:C)</f>
        <v>01.02.05</v>
      </c>
      <c r="C204" s="90" t="str">
        <f>_xlfn.XLOOKUP($D204,Planilha!$O:$O,Planilha!F:F)</f>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
      <c r="D204" s="91">
        <f>LARGE(Planilha!$O:$O,$A204)</f>
        <v>7721.12</v>
      </c>
      <c r="E204" s="92">
        <f t="shared" si="9"/>
        <v>5.5473359642020908E-4</v>
      </c>
      <c r="F204" s="93">
        <f t="shared" si="10"/>
        <v>0.92390255277629718</v>
      </c>
      <c r="I204" s="73" t="str">
        <v>DW.04 - PAREDE COM PLACAS DE GESSO ACARTONADO (DRYWALL), PARA USO INTERNO, ESPESSURA TOTAL 220MM COM DUAS FACES DUPLAS E ESTRUTURA METÁLICA COM GUIAS DUPLAS 70MM, COM VÃOS. TRATAMENTO ACÚSTICO E ENCHIMENTO EM LÃ DE VIDRO OU EQUIVALENTE TÉCNICO.</v>
      </c>
    </row>
    <row r="205" spans="1:9" ht="84" x14ac:dyDescent="0.3">
      <c r="A205" s="88">
        <f t="shared" si="11"/>
        <v>197</v>
      </c>
      <c r="B205" s="89" t="str">
        <f>_xlfn.XLOOKUP(D205,Planilha!O:O,Planilha!C:C)</f>
        <v>02.02.02.02</v>
      </c>
      <c r="C205" s="90" t="str">
        <f>_xlfn.XLOOKUP($D205,Planilha!$O:$O,Planilha!F:F)</f>
        <v>DV02A.  - FORNECIMENTO E INSTALAÇÃO DE DIVISORIA EM VIDRO TEMPERADO 10 mm INCOLOR COM MONTANTES EM ALUMINIO, PERFIL 55mm COR PRETA RAL 7021, EXCLUIDA A  PORTA CEGA PISO-TETO COM ACABAMENTO MADEIRA BP NOGUEIRA CADIZ, FECHADURA IMAB VERT 2 CA.( 4,58 X 2,60)MA</v>
      </c>
      <c r="D205" s="91">
        <f>LARGE(Planilha!$O:$O,$A205)</f>
        <v>7529.67</v>
      </c>
      <c r="E205" s="92">
        <f t="shared" si="9"/>
        <v>5.4097862990827182E-4</v>
      </c>
      <c r="F205" s="93">
        <f t="shared" si="10"/>
        <v>0.9244435314062055</v>
      </c>
      <c r="I205" s="73" t="str">
        <v>CAIXA D´ÁGUA EM POLIÉSTER REFORÇADO COM FIBRA DE VIDRO, 5000 LITROS - FORNECIMENTO E INSTALAÇÃO. AF_06/2021</v>
      </c>
    </row>
    <row r="206" spans="1:9" ht="50.4" x14ac:dyDescent="0.3">
      <c r="A206" s="88">
        <f t="shared" si="11"/>
        <v>198</v>
      </c>
      <c r="B206" s="89" t="str">
        <f>_xlfn.XLOOKUP(D206,Planilha!O:O,Planilha!C:C)</f>
        <v>02.03.11.15.02</v>
      </c>
      <c r="C206" s="90" t="str">
        <f>_xlfn.XLOOKUP($D206,Planilha!$O:$O,Planilha!F:F)</f>
        <v>CABO DE COBRE FLEXÍVEL ISOLADO, 4 MM², ANTI-CHAMA 450/750 V, PARA CIRCUITOS TERMINAIS - FORNECIMENTO E INSTALAÇÃO. AF_12/2015</v>
      </c>
      <c r="D206" s="91">
        <f>LARGE(Planilha!$O:$O,$A206)</f>
        <v>7425</v>
      </c>
      <c r="E206" s="92">
        <f t="shared" si="9"/>
        <v>5.3345848185497086E-4</v>
      </c>
      <c r="F206" s="93">
        <f t="shared" si="10"/>
        <v>0.92497698988806043</v>
      </c>
      <c r="I206" s="73" t="str">
        <v>BASE INERCIA - FABRICANTE VIBRA-STOP B.I.2 - (DIM. 1,50X0,50)M MSCC 100 - UNC 3/8"</v>
      </c>
    </row>
    <row r="207" spans="1:9" ht="50.4" x14ac:dyDescent="0.3">
      <c r="A207" s="88">
        <f t="shared" si="11"/>
        <v>199</v>
      </c>
      <c r="B207" s="89" t="str">
        <f>_xlfn.XLOOKUP(D207,Planilha!O:O,Planilha!C:C)</f>
        <v>02.07.01.02</v>
      </c>
      <c r="C207" s="90" t="str">
        <f>_xlfn.XLOOKUP($D207,Planilha!$O:$O,Planilha!F:F)</f>
        <v>TRANSPORTE COM CAMINHÃO BASCULANTE DE 10 M³, EM VIA URBANA PAVIMENTADA, ADICIONAL PARA DMT EXCEDENTE A 30 KM (UNIDADE: M3XKM). AF_07/2020</v>
      </c>
      <c r="D207" s="91">
        <f>LARGE(Planilha!$O:$O,$A207)</f>
        <v>7380</v>
      </c>
      <c r="E207" s="92">
        <f t="shared" si="9"/>
        <v>5.3022540014675888E-4</v>
      </c>
      <c r="F207" s="93">
        <f t="shared" si="10"/>
        <v>0.92550721528820723</v>
      </c>
      <c r="I207" s="73" t="str">
        <v>CURVA 90 GRAUS, EM AÇO, CONEXÃO SOLDADA, DN 20 (3/4"), INSTALADO EM RAMAIS E SUB-RAMAIS DE GÁS - FORNECIMENTO E INSTALAÇÃO. AF_10/2020</v>
      </c>
    </row>
    <row r="208" spans="1:9" ht="50.4" x14ac:dyDescent="0.3">
      <c r="A208" s="88">
        <f t="shared" si="11"/>
        <v>200</v>
      </c>
      <c r="B208" s="89" t="str">
        <f>_xlfn.XLOOKUP(D208,Planilha!O:O,Planilha!C:C)</f>
        <v>02.05.01.04</v>
      </c>
      <c r="C208" s="90" t="str">
        <f>_xlfn.XLOOKUP($D208,Planilha!$O:$O,Planilha!F:F)</f>
        <v>TUBO EM COBRE RÍGIDO, DN 35 MM, CLASSE A, SEM ISOLAMENTO, INSTALADO EM PRUMADA DE GÁS COMBUSTÍVEL - FORNECIMENTO E INSTALAÇÃO. AF_04/2022</v>
      </c>
      <c r="D208" s="91">
        <f>LARGE(Planilha!$O:$O,$A208)</f>
        <v>7304.44</v>
      </c>
      <c r="E208" s="92">
        <f t="shared" si="9"/>
        <v>5.2479669672737003E-4</v>
      </c>
      <c r="F208" s="93">
        <f t="shared" si="10"/>
        <v>0.92603201198493457</v>
      </c>
      <c r="I208" s="73" t="str">
        <v>MEDIDOR MULTIFUNÇÃO PARA MEDIÇÃO INDIRETA</v>
      </c>
    </row>
    <row r="209" spans="1:9" ht="33.6" x14ac:dyDescent="0.3">
      <c r="A209" s="88">
        <f t="shared" si="11"/>
        <v>201</v>
      </c>
      <c r="B209" s="89" t="str">
        <f>_xlfn.XLOOKUP(D209,Planilha!O:O,Planilha!C:C)</f>
        <v>02.01.03.06</v>
      </c>
      <c r="C209" s="90" t="str">
        <f>_xlfn.XLOOKUP($D209,Planilha!$O:$O,Planilha!F:F)</f>
        <v>SERVICO BOMBEAMENTO CONCRETO USINADO ATE PECAS ESTRUTURAIS</v>
      </c>
      <c r="D209" s="91">
        <f>LARGE(Planilha!$O:$O,$A209)</f>
        <v>7259.9</v>
      </c>
      <c r="E209" s="92">
        <f t="shared" si="9"/>
        <v>5.215966642988421E-4</v>
      </c>
      <c r="F209" s="93">
        <f t="shared" si="10"/>
        <v>0.92655360864923342</v>
      </c>
      <c r="I209" s="73" t="str">
        <v>TUBO DE PVC PARA REDE COLETORA DE ESGOTO DE PAREDE MACIÇA, DN 250 MM, JUNTA ELÁSTICA, INSTALADO EM LOCAL COM NÍVEL ALTO DE INTERFERÊNCIAS - FORNECIMENTO E ASSENTAMENTO. AF_06/2015</v>
      </c>
    </row>
    <row r="210" spans="1:9" ht="168" x14ac:dyDescent="0.3">
      <c r="A210" s="88">
        <f t="shared" si="11"/>
        <v>202</v>
      </c>
      <c r="B210" s="89" t="str">
        <f>_xlfn.XLOOKUP(D210,Planilha!O:O,Planilha!C:C)</f>
        <v>02.02.17.27</v>
      </c>
      <c r="C210" s="90" t="str">
        <f>_xlfn.XLOOKUP($D210,Planilha!$O:$O,Planilha!F:F)</f>
        <v>SALA PREPARO 1 -BANCADA LATERAL MEDINDO 2000X800X900MM - COMPOSTO DE: 2,00 LL4198BI3 85-E METRO(S) LINEAR(ES) DE TAMPO EM GRANITO NATURAL POLIDO COM 30MM DE ESPESSURA, MEDINDO 800MM DE PROFUNDIDADE, COM RESPALDO DE 60MM JUNTO A PAREDE E ACABAMENTO BIZOTADO. - 2,00 LL2222-E MODULO INFERIOR MEDINDO 900X520X870MM PROVIDO DE DUAS PORTAS E UMA PRATELEIRA. - 0,05 LL2049 S ABS METRO(S) LINEAR(ES) DE PAINEL DE ACABAMENTO PARA FECHAMENTO FRONTAL. - 0,26 LL2049 ABS METRO(S) LINEAR(ES) DE PAINEL PARA ACABAMENTO LATERAL APARENTE.</v>
      </c>
      <c r="D210" s="91">
        <f>LARGE(Planilha!$O:$O,$A210)</f>
        <v>7247.34</v>
      </c>
      <c r="E210" s="92">
        <f t="shared" si="9"/>
        <v>5.2069427527095006E-4</v>
      </c>
      <c r="F210" s="93">
        <f t="shared" si="10"/>
        <v>0.92707430292450432</v>
      </c>
      <c r="I210" s="73" t="str">
        <v>MOBILIZACAO E DESMOBILIZACAO DE CANTEIRO</v>
      </c>
    </row>
    <row r="211" spans="1:9" x14ac:dyDescent="0.3">
      <c r="A211" s="88">
        <f t="shared" si="11"/>
        <v>203</v>
      </c>
      <c r="B211" s="89" t="str">
        <f>_xlfn.XLOOKUP(D211,Planilha!O:O,Planilha!C:C)</f>
        <v>02.02.11.02.23</v>
      </c>
      <c r="C211" s="90" t="str">
        <f>_xlfn.XLOOKUP($D211,Planilha!$O:$O,Planilha!F:F)</f>
        <v>ILUM. - POLICARB. PRISMÁTICO</v>
      </c>
      <c r="D211" s="91">
        <f>LARGE(Planilha!$O:$O,$A211)</f>
        <v>7200</v>
      </c>
      <c r="E211" s="92">
        <f t="shared" si="9"/>
        <v>5.1729307331391109E-4</v>
      </c>
      <c r="F211" s="93">
        <f t="shared" si="10"/>
        <v>0.92759159599781826</v>
      </c>
      <c r="I211" s="73" t="str">
        <v>PV07 - FORNECIMENTO E INSTALAÇÃO DE PAINEL DE VIDRO TEMPERADO 8MM, COM JUNTA SECA, PERFIL DE ALUMINIO, PINTURA ELETROSTATICA: 4,700 X 2,500M</v>
      </c>
    </row>
    <row r="212" spans="1:9" x14ac:dyDescent="0.3">
      <c r="A212" s="88">
        <f t="shared" si="11"/>
        <v>204</v>
      </c>
      <c r="B212" s="89" t="str">
        <f>_xlfn.XLOOKUP(D212,Planilha!O:O,Planilha!C:C)</f>
        <v>02.02.07.08</v>
      </c>
      <c r="C212" s="90" t="str">
        <f>_xlfn.XLOOKUP($D212,Planilha!$O:$O,Planilha!F:F)</f>
        <v>RDP.01 - RODAPÉ DE POLIESTIRENO, ESPESSURA DE 8 CM</v>
      </c>
      <c r="D212" s="91">
        <f>LARGE(Planilha!$O:$O,$A212)</f>
        <v>7100.56</v>
      </c>
      <c r="E212" s="92">
        <f t="shared" si="9"/>
        <v>5.101486812013645E-4</v>
      </c>
      <c r="F212" s="93">
        <f t="shared" si="10"/>
        <v>0.92810174467901962</v>
      </c>
      <c r="I212" s="73" t="str">
        <v>PV06 - FORNECIMENTO E INSTALAÇÃO DE PAINEL DE VIDRO TEMPERADO 8MM, COM JUNTA SECA, PERFIL DE ALUMINIO, PINTURA ELETROSTATICA: 4,800 X 2,441M</v>
      </c>
    </row>
    <row r="213" spans="1:9" ht="50.4" x14ac:dyDescent="0.3">
      <c r="A213" s="88">
        <f t="shared" si="11"/>
        <v>205</v>
      </c>
      <c r="B213" s="89" t="str">
        <f>_xlfn.XLOOKUP(D213,Planilha!O:O,Planilha!C:C)</f>
        <v>02.02.07.04</v>
      </c>
      <c r="C213" s="90" t="str">
        <f>_xlfn.XLOOKUP($D213,Planilha!$O:$O,Planilha!F:F)</f>
        <v>CIM.01 - PISO CIMENTADO, TRAÇO 1:3 (CIMENTO E AREIA), ACABAMENTO LISO, ESPESSURA 4,0 CM, PREPARO MECÂNICO DA ARGAMASSA. AF_09/2020</v>
      </c>
      <c r="D213" s="91">
        <f>LARGE(Planilha!$O:$O,$A213)</f>
        <v>7043.41</v>
      </c>
      <c r="E213" s="92">
        <f t="shared" si="9"/>
        <v>5.060426674319353E-4</v>
      </c>
      <c r="F213" s="93">
        <f t="shared" si="10"/>
        <v>0.92860778734645155</v>
      </c>
      <c r="I213" s="73" t="str">
        <v>CONJUNTO 6236 PARA BANHEIRO, ACABAMENTO CROMADO LA FONTE</v>
      </c>
    </row>
    <row r="214" spans="1:9" ht="33.6" x14ac:dyDescent="0.3">
      <c r="A214" s="88">
        <f t="shared" si="11"/>
        <v>206</v>
      </c>
      <c r="B214" s="89" t="str">
        <f>_xlfn.XLOOKUP(D214,Planilha!O:O,Planilha!C:C)</f>
        <v>02.02.17.05</v>
      </c>
      <c r="C214" s="90" t="str">
        <f>_xlfn.XLOOKUP($D214,Planilha!$O:$O,Planilha!F:F)</f>
        <v>SALA DE LAMINAÇÃO - ARMARIO MEDINDO 900X520X2000MM PROVIDA DE DUAS PORTAS E SEIS NIVEIS DE APOIO.</v>
      </c>
      <c r="D214" s="91">
        <f>LARGE(Planilha!$O:$O,$A214)</f>
        <v>7041</v>
      </c>
      <c r="E214" s="92">
        <f t="shared" si="9"/>
        <v>5.0586951794489557E-4</v>
      </c>
      <c r="F214" s="93">
        <f t="shared" si="10"/>
        <v>0.9291136568643964</v>
      </c>
      <c r="I214" s="73" t="str">
        <v>BOMBA CENTRÍFUGA HORIZONTAL - MOD. UNI 300T, VAZÃO 12,2M³/ H, POTÊNCIA 0,5CV, MOTOR TRIFÁSICO 220V, ROTAÇÃO 3450RPM, AMT 6,0MCA, FABRICANTE ABS.</v>
      </c>
    </row>
    <row r="215" spans="1:9" ht="84" x14ac:dyDescent="0.3">
      <c r="A215" s="88">
        <f t="shared" si="11"/>
        <v>207</v>
      </c>
      <c r="B215" s="89" t="str">
        <f>_xlfn.XLOOKUP(D215,Planilha!O:O,Planilha!C:C)</f>
        <v>02.02.01.08</v>
      </c>
      <c r="C215" s="90" t="str">
        <f>_xlfn.XLOOKUP($D215,Planilha!$O:$O,Planilha!F:F)</f>
        <v>DW.04 - PAREDE COM PLACAS DE GESSO ACARTONADO (DRYWALL), PARA USO INTERNO, ESPESSURA TOTAL 220MM COM DUAS FACES DUPLAS E ESTRUTURA METÁLICA COM GUIAS DUPLAS 70MM, COM VÃOS. TRATAMENTO ACÚSTICO E ENCHIMENTO EM LÃ DE VIDRO OU EQUIVALENTE TÉCNICO.</v>
      </c>
      <c r="D215" s="91">
        <f>LARGE(Planilha!$O:$O,$A215)</f>
        <v>6895.54</v>
      </c>
      <c r="E215" s="92">
        <f t="shared" si="9"/>
        <v>4.9541876093875089E-4</v>
      </c>
      <c r="F215" s="93">
        <f t="shared" si="10"/>
        <v>0.92960907562533512</v>
      </c>
      <c r="I215" s="73" t="str">
        <v>ELETROCALHA PERFURADA GALVANIZADA A FOGO, 150X100MM, COM ACESSÓRIOS</v>
      </c>
    </row>
    <row r="216" spans="1:9" ht="33.6" x14ac:dyDescent="0.3">
      <c r="A216" s="88">
        <f t="shared" si="11"/>
        <v>208</v>
      </c>
      <c r="B216" s="89" t="str">
        <f>_xlfn.XLOOKUP(D216,Planilha!O:O,Planilha!C:C)</f>
        <v>02.04.02.06.02</v>
      </c>
      <c r="C216" s="90" t="str">
        <f>_xlfn.XLOOKUP($D216,Planilha!$O:$O,Planilha!F:F)</f>
        <v>CAIXA D´ÁGUA EM POLIÉSTER REFORÇADO COM FIBRA DE VIDRO, 5000 LITROS - FORNECIMENTO E INSTALAÇÃO. AF_06/2021</v>
      </c>
      <c r="D216" s="91">
        <f>LARGE(Planilha!$O:$O,$A216)</f>
        <v>6793.24</v>
      </c>
      <c r="E216" s="92">
        <f t="shared" si="9"/>
        <v>4.8806888852208238E-4</v>
      </c>
      <c r="F216" s="93">
        <f t="shared" si="10"/>
        <v>0.93009714451385717</v>
      </c>
      <c r="I216" s="73" t="str">
        <v xml:space="preserve">PV05 - FORNECIMENTO E INSTALAÇÃO DE PAINEL DE VIDRO TEMPERADO 8MM, COM JUNTA SECA, PERFIL DE ALUMINIO, PINTURA ELETROSTATICA: 4,335 X 2,480M </v>
      </c>
    </row>
    <row r="217" spans="1:9" ht="33.6" x14ac:dyDescent="0.3">
      <c r="A217" s="88">
        <f t="shared" si="11"/>
        <v>209</v>
      </c>
      <c r="B217" s="89" t="str">
        <f>_xlfn.XLOOKUP(D217,Planilha!O:O,Planilha!C:C)</f>
        <v>02.04.04.06.02</v>
      </c>
      <c r="C217" s="90" t="str">
        <f>_xlfn.XLOOKUP($D217,Planilha!$O:$O,Planilha!F:F)</f>
        <v>BASE INERCIA - FABRICANTE VIBRA-STOP B.I.2 - (DIM. 1,50X0,50)M MSCC 100 - UNC 3/8"</v>
      </c>
      <c r="D217" s="91">
        <f>LARGE(Planilha!$O:$O,$A217)</f>
        <v>6753.06</v>
      </c>
      <c r="E217" s="92">
        <f t="shared" si="9"/>
        <v>4.8518210578795009E-4</v>
      </c>
      <c r="F217" s="93">
        <f t="shared" si="10"/>
        <v>0.93058232661964513</v>
      </c>
      <c r="I217" s="73" t="str">
        <v>ELETRODUTO FERRO GALVANIZADO ROSCAVEL 1.1/4"" COM CONEXOES</v>
      </c>
    </row>
    <row r="218" spans="1:9" ht="50.4" x14ac:dyDescent="0.3">
      <c r="A218" s="88">
        <f t="shared" si="11"/>
        <v>210</v>
      </c>
      <c r="B218" s="89" t="str">
        <f>_xlfn.XLOOKUP(D218,Planilha!O:O,Planilha!C:C)</f>
        <v>02.03.02.01.28</v>
      </c>
      <c r="C218" s="90" t="str">
        <f>_xlfn.XLOOKUP($D218,Planilha!$O:$O,Planilha!F:F)</f>
        <v>CURVA 90 GRAUS, EM AÇO, CONEXÃO SOLDADA, DN 20 (3/4"), INSTALADO EM RAMAIS E SUB-RAMAIS DE GÁS - FORNECIMENTO E INSTALAÇÃO. AF_10/2020</v>
      </c>
      <c r="D218" s="91">
        <f>LARGE(Planilha!$O:$O,$A218)</f>
        <v>6750</v>
      </c>
      <c r="E218" s="92">
        <f t="shared" si="9"/>
        <v>4.8496225623179167E-4</v>
      </c>
      <c r="F218" s="93">
        <f t="shared" si="10"/>
        <v>0.93106728887587697</v>
      </c>
      <c r="I218" s="73" t="str">
        <v>BRS03 - PAINEL DE SISTEMA LINEAR RB FIXADO SOBRE PORTA PAINEL RB AUTOTRAVE TODO EM ALUMÍNIO, COR RAL 7021 - 5,405X 2,96M</v>
      </c>
    </row>
    <row r="219" spans="1:9" ht="33.6" x14ac:dyDescent="0.3">
      <c r="A219" s="88">
        <f t="shared" si="11"/>
        <v>211</v>
      </c>
      <c r="B219" s="89" t="str">
        <f>_xlfn.XLOOKUP(D219,Planilha!O:O,Planilha!C:C)</f>
        <v>02.03.03.03.26</v>
      </c>
      <c r="C219" s="90" t="str">
        <f>_xlfn.XLOOKUP($D219,Planilha!$O:$O,Planilha!F:F)</f>
        <v>ELETROCALHA PERFURADA GALVANIZADA A FOGO, 100 X 50 MM, COM ACESSÓRIOS</v>
      </c>
      <c r="D219" s="91">
        <f>LARGE(Planilha!$O:$O,$A219)</f>
        <v>6707.25</v>
      </c>
      <c r="E219" s="92">
        <f t="shared" si="9"/>
        <v>4.818908286089903E-4</v>
      </c>
      <c r="F219" s="93">
        <f t="shared" si="10"/>
        <v>0.93154917970448592</v>
      </c>
      <c r="I219" s="73" t="str">
        <v>CER.02 - CERÂMICA REF LIVERPOOL MATT BLACK 7X24CM, PORTOBELLO OU SIMILAR</v>
      </c>
    </row>
    <row r="220" spans="1:9" x14ac:dyDescent="0.3">
      <c r="A220" s="88">
        <f t="shared" si="11"/>
        <v>212</v>
      </c>
      <c r="B220" s="89" t="str">
        <f>_xlfn.XLOOKUP(D220,Planilha!O:O,Planilha!C:C)</f>
        <v>02.03.11.03.04</v>
      </c>
      <c r="C220" s="90" t="str">
        <f>_xlfn.XLOOKUP($D220,Planilha!$O:$O,Planilha!F:F)</f>
        <v>MEDIDOR MULTIFUNÇÃO PARA MEDIÇÃO INDIRETA</v>
      </c>
      <c r="D220" s="91">
        <f>LARGE(Planilha!$O:$O,$A220)</f>
        <v>6695.51</v>
      </c>
      <c r="E220" s="92">
        <f t="shared" si="9"/>
        <v>4.8104735351444793E-4</v>
      </c>
      <c r="F220" s="93">
        <f t="shared" si="10"/>
        <v>0.93203022705800032</v>
      </c>
      <c r="I220" s="73" t="str">
        <v>TUBO DE PVC PARA REDE COLETORA DE ESGOTO DE PAREDE MACIÇA, DN 300 MM, JUNTA ELÁSTICA, INSTALADO EM LOCAL COM NÍVEL ALTO DE INTERFERÊNCIAS - FORNECIMENTO E ASSENTAMENTO. AF_06/2015</v>
      </c>
    </row>
    <row r="221" spans="1:9" ht="67.2" x14ac:dyDescent="0.3">
      <c r="A221" s="88">
        <f t="shared" si="11"/>
        <v>213</v>
      </c>
      <c r="B221" s="89" t="str">
        <f>_xlfn.XLOOKUP(D221,Planilha!O:O,Planilha!C:C)</f>
        <v>02.04.01.02.02</v>
      </c>
      <c r="C221" s="90" t="str">
        <f>_xlfn.XLOOKUP($D221,Planilha!$O:$O,Planilha!F:F)</f>
        <v>TUBO DE PVC PARA REDE COLETORA DE ESGOTO DE PAREDE MACIÇA, DN 250 MM, JUNTA ELÁSTICA, INSTALADO EM LOCAL COM NÍVEL ALTO DE INTERFERÊNCIAS - FORNECIMENTO E ASSENTAMENTO. AF_06/2015</v>
      </c>
      <c r="D221" s="91">
        <f>LARGE(Planilha!$O:$O,$A221)</f>
        <v>6625.26</v>
      </c>
      <c r="E221" s="92">
        <f t="shared" si="9"/>
        <v>4.7600015373662816E-4</v>
      </c>
      <c r="F221" s="93">
        <f t="shared" si="10"/>
        <v>0.93250622721173693</v>
      </c>
      <c r="I221" s="73" t="str">
        <v>FOR.03 - FORRO EM FIBRA MINERAL COM PLACAS ACÚSTICAS REMOVÍVEIS DE 625MM X 625MM</v>
      </c>
    </row>
    <row r="222" spans="1:9" x14ac:dyDescent="0.3">
      <c r="A222" s="88">
        <f t="shared" si="11"/>
        <v>214</v>
      </c>
      <c r="B222" s="89" t="str">
        <f>_xlfn.XLOOKUP(D222,Planilha!O:O,Planilha!C:C)</f>
        <v>01.02.01</v>
      </c>
      <c r="C222" s="90" t="str">
        <f>_xlfn.XLOOKUP($D222,Planilha!$O:$O,Planilha!F:F)</f>
        <v>MOBILIZACAO E DESMOBILIZACAO DE CANTEIRO</v>
      </c>
      <c r="D222" s="91">
        <f>LARGE(Planilha!$O:$O,$A222)</f>
        <v>6583.72</v>
      </c>
      <c r="E222" s="92">
        <f t="shared" si="9"/>
        <v>4.7301566008864761E-4</v>
      </c>
      <c r="F222" s="93">
        <f t="shared" si="10"/>
        <v>0.93297924287182554</v>
      </c>
      <c r="I222" s="73" t="str">
        <v>TUBO, PPR, DN 110, CLASSE PN 25,  INSTALADO EM PRUMADA DE ÁGUA  FORNECIMENTO E INSTALAÇÃO. AF_06/2015</v>
      </c>
    </row>
    <row r="223" spans="1:9" ht="50.4" x14ac:dyDescent="0.3">
      <c r="A223" s="88">
        <f t="shared" si="11"/>
        <v>215</v>
      </c>
      <c r="B223" s="89" t="str">
        <f>_xlfn.XLOOKUP(D223,Planilha!O:O,Planilha!C:C)</f>
        <v>02.02.15.04.07</v>
      </c>
      <c r="C223" s="90" t="str">
        <f>_xlfn.XLOOKUP($D223,Planilha!$O:$O,Planilha!F:F)</f>
        <v>PV07 - FORNECIMENTO E INSTALAÇÃO DE PAINEL DE VIDRO TEMPERADO 8MM, COM JUNTA SECA, PERFIL DE ALUMINIO, PINTURA ELETROSTATICA: 4,700 X 2,500M</v>
      </c>
      <c r="D223" s="91">
        <f>LARGE(Planilha!$O:$O,$A223)</f>
        <v>6577.65</v>
      </c>
      <c r="E223" s="92">
        <f t="shared" si="9"/>
        <v>4.725795532893399E-4</v>
      </c>
      <c r="F223" s="93">
        <f t="shared" si="10"/>
        <v>0.93345182242511493</v>
      </c>
      <c r="I223" s="73" t="str">
        <v>CIMENTO PORTLAND CP-II-32,INCLUSIVE TRANSPORTE.FORNECIMENTO</v>
      </c>
    </row>
    <row r="224" spans="1:9" ht="50.4" x14ac:dyDescent="0.3">
      <c r="A224" s="88">
        <f t="shared" si="11"/>
        <v>216</v>
      </c>
      <c r="B224" s="89" t="str">
        <f>_xlfn.XLOOKUP(D224,Planilha!O:O,Planilha!C:C)</f>
        <v>02.02.15.04.06</v>
      </c>
      <c r="C224" s="90" t="str">
        <f>_xlfn.XLOOKUP($D224,Planilha!$O:$O,Planilha!F:F)</f>
        <v>PV06 - FORNECIMENTO E INSTALAÇÃO DE PAINEL DE VIDRO TEMPERADO 8MM, COM JUNTA SECA, PERFIL DE ALUMINIO, PINTURA ELETROSTATICA: 4,800 X 2,441M</v>
      </c>
      <c r="D224" s="91">
        <f>LARGE(Planilha!$O:$O,$A224)</f>
        <v>6560.86</v>
      </c>
      <c r="E224" s="92">
        <f t="shared" si="9"/>
        <v>4.7137325458087589E-4</v>
      </c>
      <c r="F224" s="93">
        <f t="shared" si="10"/>
        <v>0.93392319567969584</v>
      </c>
      <c r="I224" s="73" t="str">
        <v>PM01 - PORTA SIMPLES DE ABRIR EM MADEIRA COM REVESTIMENTO MELAMÍNICO NA COR BRANCA - 0,70X 2,07M</v>
      </c>
    </row>
    <row r="225" spans="1:9" ht="33.6" x14ac:dyDescent="0.3">
      <c r="A225" s="88">
        <f t="shared" si="11"/>
        <v>217</v>
      </c>
      <c r="B225" s="89" t="str">
        <f>_xlfn.XLOOKUP(D225,Planilha!O:O,Planilha!C:C)</f>
        <v>02.02.15.01.08</v>
      </c>
      <c r="C225" s="90" t="str">
        <f>_xlfn.XLOOKUP($D225,Planilha!$O:$O,Planilha!F:F)</f>
        <v>CONJUNTO 6236 PARA BANHEIRO, ACABAMENTO CROMADO LA FONTE</v>
      </c>
      <c r="D225" s="91">
        <f>LARGE(Planilha!$O:$O,$A225)</f>
        <v>6327.57</v>
      </c>
      <c r="E225" s="92">
        <f t="shared" si="9"/>
        <v>4.5461224054290338E-4</v>
      </c>
      <c r="F225" s="93">
        <f t="shared" si="10"/>
        <v>0.93437780792023872</v>
      </c>
      <c r="I225" s="73" t="str">
        <v>ELETRODUTO DE AÇO GALVANIZADO, CLASSE LEVE, DN 25 MM (1), APARENTE, INSTALADO EM TETO - FORNECIMENTO E INSTALAÇÃO. AF_11/2016_P</v>
      </c>
    </row>
    <row r="226" spans="1:9" ht="50.4" x14ac:dyDescent="0.3">
      <c r="A226" s="88">
        <f t="shared" si="11"/>
        <v>218</v>
      </c>
      <c r="B226" s="89" t="str">
        <f>_xlfn.XLOOKUP(D226,Planilha!O:O,Planilha!C:C)</f>
        <v>02.04.04.06.01</v>
      </c>
      <c r="C226" s="90" t="str">
        <f>_xlfn.XLOOKUP($D226,Planilha!$O:$O,Planilha!F:F)</f>
        <v>BOMBA CENTRÍFUGA HORIZONTAL - MOD. UNI 300T, VAZÃO 12,2M³/ H, POTÊNCIA 0,5CV, MOTOR TRIFÁSICO 220V, ROTAÇÃO 3450RPM, AMT 6,0MCA, FABRICANTE ABS.</v>
      </c>
      <c r="D226" s="91">
        <f>LARGE(Planilha!$O:$O,$A226)</f>
        <v>6259.42</v>
      </c>
      <c r="E226" s="92">
        <f t="shared" si="9"/>
        <v>4.4971591791146683E-4</v>
      </c>
      <c r="F226" s="93">
        <f t="shared" si="10"/>
        <v>0.93482752383815015</v>
      </c>
      <c r="I226" s="73" t="str">
        <v>PASSARELA PADRÃO ROLL-ON</v>
      </c>
    </row>
    <row r="227" spans="1:9" ht="33.6" x14ac:dyDescent="0.3">
      <c r="A227" s="88">
        <f t="shared" si="11"/>
        <v>219</v>
      </c>
      <c r="B227" s="89" t="str">
        <f>_xlfn.XLOOKUP(D227,Planilha!O:O,Planilha!C:C)</f>
        <v>02.03.02.01.15</v>
      </c>
      <c r="C227" s="90" t="str">
        <f>_xlfn.XLOOKUP($D227,Planilha!$O:$O,Planilha!F:F)</f>
        <v>ELETROCALHA PERFURADA GALVANIZADA A FOGO, 150X100MM, COM ACESSÓRIOS</v>
      </c>
      <c r="D227" s="91">
        <f>LARGE(Planilha!$O:$O,$A227)</f>
        <v>6063.12</v>
      </c>
      <c r="E227" s="92">
        <f t="shared" si="9"/>
        <v>4.3561249703764454E-4</v>
      </c>
      <c r="F227" s="93">
        <f t="shared" si="10"/>
        <v>0.93526313633518776</v>
      </c>
      <c r="I227" s="73" t="str">
        <v>FORNECIMENTO E INSTALAÇÃO DE TRELIÇA TB9, PARA SUPORTE DE BARRAS DE TRANSFERÊNCIA EM JUNTAS, OU SIMILAR</v>
      </c>
    </row>
    <row r="228" spans="1:9" ht="50.4" x14ac:dyDescent="0.3">
      <c r="A228" s="88">
        <f t="shared" si="11"/>
        <v>220</v>
      </c>
      <c r="B228" s="89" t="str">
        <f>_xlfn.XLOOKUP(D228,Planilha!O:O,Planilha!C:C)</f>
        <v>02.02.15.04.05</v>
      </c>
      <c r="C228" s="90" t="str">
        <f>_xlfn.XLOOKUP($D228,Planilha!$O:$O,Planilha!F:F)</f>
        <v xml:space="preserve">PV05 - FORNECIMENTO E INSTALAÇÃO DE PAINEL DE VIDRO TEMPERADO 8MM, COM JUNTA SECA, PERFIL DE ALUMINIO, PINTURA ELETROSTATICA: 4,335 X 2,480M </v>
      </c>
      <c r="D228" s="91">
        <f>LARGE(Planilha!$O:$O,$A228)</f>
        <v>6017.85</v>
      </c>
      <c r="E228" s="92">
        <f t="shared" si="9"/>
        <v>4.3236001683918333E-4</v>
      </c>
      <c r="F228" s="93">
        <f t="shared" si="10"/>
        <v>0.93569549635202698</v>
      </c>
      <c r="I228" s="73" t="str">
        <v>TARUGO DE COBRE</v>
      </c>
    </row>
    <row r="229" spans="1:9" ht="33.6" x14ac:dyDescent="0.3">
      <c r="A229" s="88">
        <f t="shared" si="11"/>
        <v>221</v>
      </c>
      <c r="B229" s="89" t="str">
        <f>_xlfn.XLOOKUP(D229,Planilha!O:O,Planilha!C:C)</f>
        <v>02.03.11.14.04</v>
      </c>
      <c r="C229" s="90" t="str">
        <f>_xlfn.XLOOKUP($D229,Planilha!$O:$O,Planilha!F:F)</f>
        <v>ELETRODUTO FERRO GALVANIZADO ROSCAVEL 1.1/4"" COM CONEXOES</v>
      </c>
      <c r="D229" s="91">
        <f>LARGE(Planilha!$O:$O,$A229)</f>
        <v>5989.68</v>
      </c>
      <c r="E229" s="92">
        <f t="shared" si="9"/>
        <v>4.3033610768984263E-4</v>
      </c>
      <c r="F229" s="93">
        <f t="shared" si="10"/>
        <v>0.93612583245971681</v>
      </c>
      <c r="I229" s="73" t="str">
        <v>SALA FRANTZ - BANCADA LATERAL MEDINDO 1540X800X900MM - COMPOSTO DE: 1,54 LL4198BI3 85-E METRO(S) LINEAR(ES) DE TAMPO EM GRANITO NATURAL POLIDO COM 30MM DE ESPESSURA, MEDINDO 800MM DE PROFUNDIDADE, COM RESPALDO DE 60MM JUNTO A PAREDE E ACABAMENTO BIZOTADO. - 1,00 LL2222-E MODULO INFERIOR MEDINDO 900X520X870MM PROVIDO DE DUAS PORTAS E UMA PRATELEIRA. - 1,00 LL2212_ESQ-E MODULO INFERIOR MEDINDO 450X520X870MM PROVIDO DE UMA PORTA A ESQUERDA E UMA PRATELEIRA. - 0,10 LL2049 S ABS METRO(S) LINEAR(ES) DE PAINEL DE ACABAMENTO PARA FECHAMENTO FRONTAL. - 0,10 LL2049 S ABS METRO(S) LINEAR(ES) DE PAINEL DE ACABAMENTO PARA FECHAMENTO FRONTAL.</v>
      </c>
    </row>
    <row r="230" spans="1:9" ht="33.6" x14ac:dyDescent="0.3">
      <c r="A230" s="88">
        <f t="shared" si="11"/>
        <v>222</v>
      </c>
      <c r="B230" s="89" t="str">
        <f>_xlfn.XLOOKUP(D230,Planilha!O:O,Planilha!C:C)</f>
        <v>02.02.15.06.03</v>
      </c>
      <c r="C230" s="90" t="str">
        <f>_xlfn.XLOOKUP($D230,Planilha!$O:$O,Planilha!F:F)</f>
        <v>BRS03 - PAINEL DE SISTEMA LINEAR RB FIXADO SOBRE PORTA PAINEL RB AUTOTRAVE TODO EM ALUMÍNIO, COR RAL 7021 - 5,405X 2,96M</v>
      </c>
      <c r="D230" s="91">
        <f>LARGE(Planilha!$O:$O,$A230)</f>
        <v>5980</v>
      </c>
      <c r="E230" s="92">
        <f t="shared" si="9"/>
        <v>4.2964063589127617E-4</v>
      </c>
      <c r="F230" s="93">
        <f t="shared" si="10"/>
        <v>0.93655547309560805</v>
      </c>
      <c r="I230" s="73" t="str">
        <v>TUBO EM COBRE RÍGIDO, DN 28 MM, CLASSE A, SEM ISOLAMENTO, INSTALADO EM PRUMADA DE GÁS COMBUSTÍVEL - FORNECIMENTO E INSTALAÇÃO. AF_04/2022</v>
      </c>
    </row>
    <row r="231" spans="1:9" ht="33.6" x14ac:dyDescent="0.3">
      <c r="A231" s="88">
        <f t="shared" si="11"/>
        <v>223</v>
      </c>
      <c r="B231" s="89" t="str">
        <f>_xlfn.XLOOKUP(D231,Planilha!O:O,Planilha!C:C)</f>
        <v>02.02.03.05</v>
      </c>
      <c r="C231" s="90" t="str">
        <f>_xlfn.XLOOKUP($D231,Planilha!$O:$O,Planilha!F:F)</f>
        <v>CER.02 - CERÂMICA REF LIVERPOOL MATT BLACK 7X24CM, PORTOBELLO OU SIMILAR</v>
      </c>
      <c r="D231" s="91">
        <f>LARGE(Planilha!$O:$O,$A231)</f>
        <v>5971.59</v>
      </c>
      <c r="E231" s="92">
        <f t="shared" si="9"/>
        <v>4.2903640884314146E-4</v>
      </c>
      <c r="F231" s="93">
        <f t="shared" si="10"/>
        <v>0.93698450950445122</v>
      </c>
      <c r="I231" s="73" t="str">
        <v>RDP.02 - RODAPÉ EM PRÉ-MOLDADO  H=10CM</v>
      </c>
    </row>
    <row r="232" spans="1:9" ht="67.2" x14ac:dyDescent="0.3">
      <c r="A232" s="88">
        <f t="shared" si="11"/>
        <v>224</v>
      </c>
      <c r="B232" s="89" t="str">
        <f>_xlfn.XLOOKUP(D232,Planilha!O:O,Planilha!C:C)</f>
        <v>02.04.01.02.03</v>
      </c>
      <c r="C232" s="90" t="str">
        <f>_xlfn.XLOOKUP($D232,Planilha!$O:$O,Planilha!F:F)</f>
        <v>TUBO DE PVC PARA REDE COLETORA DE ESGOTO DE PAREDE MACIÇA, DN 300 MM, JUNTA ELÁSTICA, INSTALADO EM LOCAL COM NÍVEL ALTO DE INTERFERÊNCIAS - FORNECIMENTO E ASSENTAMENTO. AF_06/2015</v>
      </c>
      <c r="D232" s="91">
        <f>LARGE(Planilha!$O:$O,$A232)</f>
        <v>5965.44</v>
      </c>
      <c r="E232" s="92">
        <f t="shared" si="9"/>
        <v>4.285945543430191E-4</v>
      </c>
      <c r="F232" s="93">
        <f t="shared" si="10"/>
        <v>0.93741310405879419</v>
      </c>
      <c r="I232" s="73" t="str">
        <v>ABRIGO PARA HIDRANTE, 90X60X17CM SOBREPOR, COM REGISTRO GLOBO ANGULAR 45 GRAUS 2 1/2", ADAPTADOR STORZ 2 1/2", MANGUEIRA DE INCÊNDIO 30M, REDUÇÃO 2 1/2" X 1 1/2" E ESGUICHO EM LATÃO 1 1/2" - FORNECIMENTO E INSTALAÇÃO. AF_10/2020</v>
      </c>
    </row>
    <row r="233" spans="1:9" ht="33.6" x14ac:dyDescent="0.3">
      <c r="A233" s="88">
        <f t="shared" si="11"/>
        <v>225</v>
      </c>
      <c r="B233" s="89" t="str">
        <f>_xlfn.XLOOKUP(D233,Planilha!O:O,Planilha!C:C)</f>
        <v>02.02.10.01</v>
      </c>
      <c r="C233" s="90" t="str">
        <f>_xlfn.XLOOKUP($D233,Planilha!$O:$O,Planilha!F:F)</f>
        <v>FOR.03 - FORRO EM FIBRA MINERAL COM PLACAS ACÚSTICAS REMOVÍVEIS DE 625MM X 625MM</v>
      </c>
      <c r="D233" s="91">
        <f>LARGE(Planilha!$O:$O,$A233)</f>
        <v>5938.98</v>
      </c>
      <c r="E233" s="92">
        <f t="shared" si="9"/>
        <v>4.2669350229859049E-4</v>
      </c>
      <c r="F233" s="93">
        <f t="shared" si="10"/>
        <v>0.93783979756109281</v>
      </c>
      <c r="I233" s="73" t="str">
        <v>TABICA METÁLICA 3X3CM PARA FORRO DE GESSO (FORNECIMENTO E MONTAGEM)</v>
      </c>
    </row>
    <row r="234" spans="1:9" ht="50.4" x14ac:dyDescent="0.3">
      <c r="A234" s="88">
        <f t="shared" si="11"/>
        <v>226</v>
      </c>
      <c r="B234" s="89" t="str">
        <f>_xlfn.XLOOKUP(D234,Planilha!O:O,Planilha!C:C)</f>
        <v>02.01.07.04.05</v>
      </c>
      <c r="C234" s="90" t="str">
        <f>_xlfn.XLOOKUP($D234,Planilha!$O:$O,Planilha!F:F)</f>
        <v>TRANSPORTE COM CAMINHÃO BASCULANTE DE 10 M³, EM VIA URBANA PAVIMENTADA, DMT ATÉ 30 KM (UNIDADE: M3XKM). AF_07/2020</v>
      </c>
      <c r="D234" s="91">
        <f>LARGE(Planilha!$O:$O,$A234)</f>
        <v>5930.21</v>
      </c>
      <c r="E234" s="92">
        <f t="shared" si="9"/>
        <v>4.2606341059679009E-4</v>
      </c>
      <c r="F234" s="93">
        <f t="shared" si="10"/>
        <v>0.93826586097168962</v>
      </c>
      <c r="I234" s="73" t="str">
        <v>DETECTOR ÓPTICO DE FUMAÇA COM BASE ENDEREÇÁVEL</v>
      </c>
    </row>
    <row r="235" spans="1:9" ht="33.6" x14ac:dyDescent="0.3">
      <c r="A235" s="88">
        <f t="shared" si="11"/>
        <v>227</v>
      </c>
      <c r="B235" s="89" t="str">
        <f>_xlfn.XLOOKUP(D235,Planilha!O:O,Planilha!C:C)</f>
        <v>02.04.01.04.01</v>
      </c>
      <c r="C235" s="90" t="str">
        <f>_xlfn.XLOOKUP($D235,Planilha!$O:$O,Planilha!F:F)</f>
        <v>TUBO, PPR, DN 110, CLASSE PN 25,  INSTALADO EM PRUMADA DE ÁGUA  FORNECIMENTO E INSTALAÇÃO. AF_06/2015</v>
      </c>
      <c r="D235" s="91">
        <f>LARGE(Planilha!$O:$O,$A235)</f>
        <v>5908.35</v>
      </c>
      <c r="E235" s="92">
        <f t="shared" si="9"/>
        <v>4.2449285134920094E-4</v>
      </c>
      <c r="F235" s="93">
        <f t="shared" si="10"/>
        <v>0.93869035382303878</v>
      </c>
      <c r="I235" s="73" t="str">
        <v>CAIXA DE PASSAGEM DE ALUMÍNIO PARA PISO 30X30X12CM, DA MARCA WETZEL MOD: CP-3030-12 OU SIMILAR.</v>
      </c>
    </row>
    <row r="236" spans="1:9" ht="33.6" x14ac:dyDescent="0.3">
      <c r="A236" s="88">
        <f t="shared" si="11"/>
        <v>228</v>
      </c>
      <c r="B236" s="89" t="str">
        <f>_xlfn.XLOOKUP(D236,Planilha!O:O,Planilha!C:C)</f>
        <v>02.01.06.06</v>
      </c>
      <c r="C236" s="90" t="str">
        <f>_xlfn.XLOOKUP($D236,Planilha!$O:$O,Planilha!F:F)</f>
        <v>CIMENTO PORTLAND CP-II-32,INCLUSIVE TRANSPORTE.FORNECIMENTO</v>
      </c>
      <c r="D236" s="91">
        <f>LARGE(Planilha!$O:$O,$A236)</f>
        <v>5850</v>
      </c>
      <c r="E236" s="92">
        <f t="shared" si="9"/>
        <v>4.2030062206755277E-4</v>
      </c>
      <c r="F236" s="93">
        <f t="shared" si="10"/>
        <v>0.93911065444510633</v>
      </c>
      <c r="I236" s="73" t="str">
        <v>CHP.01 - CHAPIM EM CONCRETO PRÉ-MOLDADO, LARGURA 25CM E ESPESSURA 2CM</v>
      </c>
    </row>
    <row r="237" spans="1:9" ht="33.6" x14ac:dyDescent="0.3">
      <c r="A237" s="88">
        <f t="shared" si="11"/>
        <v>229</v>
      </c>
      <c r="B237" s="89" t="str">
        <f>_xlfn.XLOOKUP(D237,Planilha!O:O,Planilha!C:C)</f>
        <v>02.02.15.01.01</v>
      </c>
      <c r="C237" s="90" t="str">
        <f>_xlfn.XLOOKUP($D237,Planilha!$O:$O,Planilha!F:F)</f>
        <v>PM01 - PORTA SIMPLES DE ABRIR EM MADEIRA COM REVESTIMENTO MELAMÍNICO NA COR BRANCA - 0,70X 2,07M</v>
      </c>
      <c r="D237" s="91">
        <f>LARGE(Planilha!$O:$O,$A237)</f>
        <v>5840.43</v>
      </c>
      <c r="E237" s="92">
        <f t="shared" si="9"/>
        <v>4.1961305335760636E-4</v>
      </c>
      <c r="F237" s="93">
        <f t="shared" si="10"/>
        <v>0.93953026749846391</v>
      </c>
      <c r="I237" s="73" t="str">
        <v>CABO DE COBRE FLEXÍVEL DE 10 MM², ISOLAMENTO 0,6/1 KV - ISOLAÇÃO HEPR 90°C - BAIXA EMISSÃO DE FUMAÇA E GASES</v>
      </c>
    </row>
    <row r="238" spans="1:9" ht="50.4" x14ac:dyDescent="0.3">
      <c r="A238" s="88">
        <f t="shared" si="11"/>
        <v>230</v>
      </c>
      <c r="B238" s="89" t="str">
        <f>_xlfn.XLOOKUP(D238,Planilha!O:O,Planilha!C:C)</f>
        <v>02.03.03.01.06</v>
      </c>
      <c r="C238" s="90" t="str">
        <f>_xlfn.XLOOKUP($D238,Planilha!$O:$O,Planilha!F:F)</f>
        <v>ELETRODUTO DE AÇO GALVANIZADO, CLASSE LEVE, DN 25 MM (1), APARENTE, INSTALADO EM TETO - FORNECIMENTO E INSTALAÇÃO. AF_11/2016_P</v>
      </c>
      <c r="D238" s="91">
        <f>LARGE(Planilha!$O:$O,$A238)</f>
        <v>5834.4</v>
      </c>
      <c r="E238" s="92">
        <f t="shared" si="9"/>
        <v>4.1917982040870592E-4</v>
      </c>
      <c r="F238" s="93">
        <f t="shared" si="10"/>
        <v>0.93994944731887264</v>
      </c>
      <c r="I238" s="73" t="str">
        <v>CPM.03.B - PAINEL EM CHAPA METÁLICA PERFURADA REDONDA EM AÇO INOX 304 - PERFURAÇÃO R8,00 EC11,00. ACABAMENTO EM PINTURA ELETROSTÁTICA COR RAL 7042 BRILHANTE. SUBESTRUTURA EM PERFIS DE AÇO INOX 304 E ACESSÓRIOS PARA FIXAÇÃO PINTADOS NA MESMA COR, PARAFUSOS SEM PINTURA.0,928 - 5,286m2</v>
      </c>
    </row>
    <row r="239" spans="1:9" x14ac:dyDescent="0.3">
      <c r="A239" s="88">
        <f t="shared" si="11"/>
        <v>231</v>
      </c>
      <c r="B239" s="89" t="str">
        <f>_xlfn.XLOOKUP(D239,Planilha!O:O,Planilha!C:C)</f>
        <v>02.02.11.02.20</v>
      </c>
      <c r="C239" s="90" t="str">
        <f>_xlfn.XLOOKUP($D239,Planilha!$O:$O,Planilha!F:F)</f>
        <v>PASSARELA PADRÃO ROLL-ON</v>
      </c>
      <c r="D239" s="91">
        <f>LARGE(Planilha!$O:$O,$A239)</f>
        <v>5833.98</v>
      </c>
      <c r="E239" s="92">
        <f t="shared" si="9"/>
        <v>4.191496449794293E-4</v>
      </c>
      <c r="F239" s="93">
        <f t="shared" si="10"/>
        <v>0.94036859696385211</v>
      </c>
      <c r="I239" s="73" t="str">
        <v>DESPESAS GERAIS DE MANUTENCAO CANTEIRO DE OBRAS</v>
      </c>
    </row>
    <row r="240" spans="1:9" ht="33.6" x14ac:dyDescent="0.3">
      <c r="A240" s="88">
        <f t="shared" si="11"/>
        <v>232</v>
      </c>
      <c r="B240" s="89" t="str">
        <f>_xlfn.XLOOKUP(D240,Planilha!O:O,Planilha!C:C)</f>
        <v>02.02.06.08</v>
      </c>
      <c r="C240" s="90" t="str">
        <f>_xlfn.XLOOKUP($D240,Planilha!$O:$O,Planilha!F:F)</f>
        <v>FORNECIMENTO E INSTALAÇÃO DE TRELIÇA TB9, PARA SUPORTE DE BARRAS DE TRANSFERÊNCIA EM JUNTAS, OU SIMILAR</v>
      </c>
      <c r="D240" s="91">
        <f>LARGE(Planilha!$O:$O,$A240)</f>
        <v>5821.52</v>
      </c>
      <c r="E240" s="92">
        <f t="shared" si="9"/>
        <v>4.1825444057755557E-4</v>
      </c>
      <c r="F240" s="93">
        <f t="shared" si="10"/>
        <v>0.94078685140442964</v>
      </c>
      <c r="I240" s="73" t="str">
        <v>FORNECIMENTO DE RACK TIPO ARMÁRIO 19" X 42U X 680MM C/ 05 PATCH PANEL 24 PORTAS CAT.6E - REV 02</v>
      </c>
    </row>
    <row r="241" spans="1:9" x14ac:dyDescent="0.3">
      <c r="A241" s="88">
        <f t="shared" si="11"/>
        <v>233</v>
      </c>
      <c r="B241" s="89" t="str">
        <f>_xlfn.XLOOKUP(D241,Planilha!O:O,Planilha!C:C)</f>
        <v>02.05.03.01</v>
      </c>
      <c r="C241" s="90" t="str">
        <f>_xlfn.XLOOKUP($D241,Planilha!$O:$O,Planilha!F:F)</f>
        <v>TARUGO DE COBRE</v>
      </c>
      <c r="D241" s="91">
        <f>LARGE(Planilha!$O:$O,$A241)</f>
        <v>5740.08</v>
      </c>
      <c r="E241" s="92">
        <f t="shared" si="9"/>
        <v>4.1240328114829371E-4</v>
      </c>
      <c r="F241" s="93">
        <f t="shared" si="10"/>
        <v>0.94119925468557797</v>
      </c>
      <c r="I241" s="73" t="str">
        <v>PM02 - PORTA SIMPLES DE ABRIR EM MADEIRA COM REVESTIMENTO MELAMÍNICO NA COR BRANCA - 0,80X 2,10M</v>
      </c>
    </row>
    <row r="242" spans="1:9" ht="201.6" x14ac:dyDescent="0.3">
      <c r="A242" s="88">
        <f t="shared" si="11"/>
        <v>234</v>
      </c>
      <c r="B242" s="89" t="str">
        <f>_xlfn.XLOOKUP(D242,Planilha!O:O,Planilha!C:C)</f>
        <v>02.02.17.18</v>
      </c>
      <c r="C242" s="90" t="str">
        <f>_xlfn.XLOOKUP($D242,Planilha!$O:$O,Planilha!F:F)</f>
        <v>SALA FRANTZ - BANCADA LATERAL MEDINDO 1540X800X900MM - COMPOSTO DE: 1,54 LL4198BI3 85-E METRO(S) LINEAR(ES) DE TAMPO EM GRANITO NATURAL POLIDO COM 30MM DE ESPESSURA, MEDINDO 800MM DE PROFUNDIDADE, COM RESPALDO DE 60MM JUNTO A PAREDE E ACABAMENTO BIZOTADO. - 1,00 LL2222-E MODULO INFERIOR MEDINDO 900X520X870MM PROVIDO DE DUAS PORTAS E UMA PRATELEIRA. - 1,00 LL2212_ESQ-E MODULO INFERIOR MEDINDO 450X520X870MM PROVIDO DE UMA PORTA A ESQUERDA E UMA PRATELEIRA. - 0,10 LL2049 S ABS METRO(S) LINEAR(ES) DE PAINEL DE ACABAMENTO PARA FECHAMENTO FRONTAL. - 0,10 LL2049 S ABS METRO(S) LINEAR(ES) DE PAINEL DE ACABAMENTO PARA FECHAMENTO FRONTAL.</v>
      </c>
      <c r="D242" s="91">
        <f>LARGE(Planilha!$O:$O,$A242)</f>
        <v>5728.42</v>
      </c>
      <c r="E242" s="92">
        <f t="shared" si="9"/>
        <v>4.1156555375456593E-4</v>
      </c>
      <c r="F242" s="93">
        <f t="shared" si="10"/>
        <v>0.94161082023933251</v>
      </c>
      <c r="I242" s="73" t="str">
        <v>CONJUNTO PARA JUNTA RETA INTERNA I</v>
      </c>
    </row>
    <row r="243" spans="1:9" ht="33.6" x14ac:dyDescent="0.3">
      <c r="A243" s="88">
        <f t="shared" si="11"/>
        <v>235</v>
      </c>
      <c r="B243" s="89" t="str">
        <f>_xlfn.XLOOKUP(D243,Planilha!O:O,Planilha!C:C)</f>
        <v>02.03.03.03.25</v>
      </c>
      <c r="C243" s="90" t="str">
        <f>_xlfn.XLOOKUP($D243,Planilha!$O:$O,Planilha!F:F)</f>
        <v>ELETROCALHA PERFURADA GALVANIZADA A FOGO, 150X100MM, COM ACESSÓRIOS</v>
      </c>
      <c r="D243" s="91">
        <f>LARGE(Planilha!$O:$O,$A243)</f>
        <v>5630.04</v>
      </c>
      <c r="E243" s="92">
        <f t="shared" si="9"/>
        <v>4.0449731867781279E-4</v>
      </c>
      <c r="F243" s="93">
        <f t="shared" si="10"/>
        <v>0.94201531755801038</v>
      </c>
      <c r="I243" s="73" t="str">
        <v>GRAUTE FGK=30 MPA; TRAÇO 1:0,9:1,2:0,6 (EM MASSA SECA DE CIMENTO/ AREIA GROSSA/ BRITA 0/ ADITIVO) - PREPARO MECÂNICO COM BETONEIRA 400 L. AF_09/2021</v>
      </c>
    </row>
    <row r="244" spans="1:9" ht="50.4" x14ac:dyDescent="0.3">
      <c r="A244" s="88">
        <f t="shared" si="11"/>
        <v>236</v>
      </c>
      <c r="B244" s="89" t="str">
        <f>_xlfn.XLOOKUP(D244,Planilha!O:O,Planilha!C:C)</f>
        <v>02.04.02.02.01</v>
      </c>
      <c r="C244" s="90" t="str">
        <f>_xlfn.XLOOKUP($D244,Planilha!$O:$O,Planilha!F:F)</f>
        <v>TUBO EM COBRE RÍGIDO, DN 28 MM, CLASSE A, SEM ISOLAMENTO, INSTALADO EM PRUMADA DE GÁS COMBUSTÍVEL - FORNECIMENTO E INSTALAÇÃO. AF_04/2022</v>
      </c>
      <c r="D244" s="91">
        <f>LARGE(Planilha!$O:$O,$A244)</f>
        <v>5530</v>
      </c>
      <c r="E244" s="92">
        <f t="shared" si="9"/>
        <v>3.9730981880915669E-4</v>
      </c>
      <c r="F244" s="93">
        <f t="shared" si="10"/>
        <v>0.94241262737681952</v>
      </c>
      <c r="I244" s="73" t="str">
        <v>CHAPISCO APLICADO EM ALVENARIAS E ESTRUTURAS DE CONCRETO INTERNAS, COM COLHER DE PEDREIRO.  ARGAMASSA TRAÇO 1:3 COM PREPARO MANUAL. AF_06/2014</v>
      </c>
    </row>
    <row r="245" spans="1:9" x14ac:dyDescent="0.3">
      <c r="A245" s="88">
        <f t="shared" si="11"/>
        <v>237</v>
      </c>
      <c r="B245" s="89" t="str">
        <f>_xlfn.XLOOKUP(D245,Planilha!O:O,Planilha!C:C)</f>
        <v>02.02.07.09</v>
      </c>
      <c r="C245" s="90" t="str">
        <f>_xlfn.XLOOKUP($D245,Planilha!$O:$O,Planilha!F:F)</f>
        <v>RDP.02 - RODAPÉ EM PRÉ-MOLDADO  H=10CM</v>
      </c>
      <c r="D245" s="91">
        <f>LARGE(Planilha!$O:$O,$A245)</f>
        <v>5430.6</v>
      </c>
      <c r="E245" s="92">
        <f t="shared" si="9"/>
        <v>3.9016830054701749E-4</v>
      </c>
      <c r="F245" s="93">
        <f t="shared" si="10"/>
        <v>0.94280279567736658</v>
      </c>
      <c r="I245" s="73" t="str">
        <v>DIVISÓRIA SANITÁRIA EM PAINEL LAMINADO MELAMÍNICO ESTRUTURAL COM PERFIS EM ALUMÍNIO, INCLUSIVE FERRAGEM COMPLETA PARA VÃO DE PORTA</v>
      </c>
    </row>
    <row r="246" spans="1:9" ht="84" x14ac:dyDescent="0.3">
      <c r="A246" s="88">
        <f t="shared" si="11"/>
        <v>238</v>
      </c>
      <c r="B246" s="89" t="str">
        <f>_xlfn.XLOOKUP(D246,Planilha!O:O,Planilha!C:C)</f>
        <v>02.04.04.03.02</v>
      </c>
      <c r="C246" s="90" t="str">
        <f>_xlfn.XLOOKUP($D246,Planilha!$O:$O,Planilha!F:F)</f>
        <v>ABRIGO PARA HIDRANTE, 90X60X17CM SOBREPOR, COM REGISTRO GLOBO ANGULAR 45 GRAUS 2 1/2", ADAPTADOR STORZ 2 1/2", MANGUEIRA DE INCÊNDIO 30M, REDUÇÃO 2 1/2" X 1 1/2" E ESGUICHO EM LATÃO 1 1/2" - FORNECIMENTO E INSTALAÇÃO. AF_10/2020</v>
      </c>
      <c r="D246" s="91">
        <f>LARGE(Planilha!$O:$O,$A246)</f>
        <v>5429.74</v>
      </c>
      <c r="E246" s="92">
        <f t="shared" si="9"/>
        <v>3.9010651276326049E-4</v>
      </c>
      <c r="F246" s="93">
        <f t="shared" si="10"/>
        <v>0.94319290219012986</v>
      </c>
      <c r="I246" s="73" t="str">
        <v>JA02 -  2 MÓDULOS DE 0,74x0,53 DE JANELAS DE ALUMÍNIO LINHA 25 TIPO MAXIM-AR, COM VIDRO DE 6mm, COM CONTRAMARCO, ALIZAR, BATENTE E FERRAGENS, ACAB. PINTURA ELETROSTÁTICA COR RAL 7021 - 0,80X 1,24M x4</v>
      </c>
    </row>
    <row r="247" spans="1:9" ht="33.6" x14ac:dyDescent="0.3">
      <c r="A247" s="88">
        <f t="shared" si="11"/>
        <v>239</v>
      </c>
      <c r="B247" s="89" t="str">
        <f>_xlfn.XLOOKUP(D247,Planilha!O:O,Planilha!C:C)</f>
        <v>02.02.10.03</v>
      </c>
      <c r="C247" s="90" t="str">
        <f>_xlfn.XLOOKUP($D247,Planilha!$O:$O,Planilha!F:F)</f>
        <v>TABICA METÁLICA 3X3CM PARA FORRO DE GESSO (FORNECIMENTO E MONTAGEM)</v>
      </c>
      <c r="D247" s="91">
        <f>LARGE(Planilha!$O:$O,$A247)</f>
        <v>5374.23</v>
      </c>
      <c r="E247" s="92">
        <f t="shared" si="9"/>
        <v>3.8611832686053058E-4</v>
      </c>
      <c r="F247" s="93">
        <f t="shared" si="10"/>
        <v>0.94357902051699039</v>
      </c>
      <c r="I247" s="73" t="str">
        <v>FRETE (MATERIAL MARKO)</v>
      </c>
    </row>
    <row r="248" spans="1:9" x14ac:dyDescent="0.3">
      <c r="A248" s="88">
        <f t="shared" si="11"/>
        <v>240</v>
      </c>
      <c r="B248" s="89" t="str">
        <f>_xlfn.XLOOKUP(D248,Planilha!O:O,Planilha!C:C)</f>
        <v>02.03.09.01</v>
      </c>
      <c r="C248" s="90" t="str">
        <f>_xlfn.XLOOKUP($D248,Planilha!$O:$O,Planilha!F:F)</f>
        <v>DETECTOR ÓPTICO DE FUMAÇA COM BASE ENDEREÇÁVEL</v>
      </c>
      <c r="D248" s="91">
        <f>LARGE(Planilha!$O:$O,$A248)</f>
        <v>5369.98</v>
      </c>
      <c r="E248" s="92">
        <f t="shared" si="9"/>
        <v>3.85812980254755E-4</v>
      </c>
      <c r="F248" s="93">
        <f t="shared" si="10"/>
        <v>0.94396483349724514</v>
      </c>
      <c r="I248" s="73" t="str">
        <v>ESCADA MARINHEIRO PERFIL 1.1/2"" ACO+BARRA CHATA VERT/HORIZ.</v>
      </c>
    </row>
    <row r="249" spans="1:9" ht="33.6" x14ac:dyDescent="0.3">
      <c r="A249" s="88">
        <f t="shared" si="11"/>
        <v>241</v>
      </c>
      <c r="B249" s="89" t="str">
        <f>_xlfn.XLOOKUP(D249,Planilha!O:O,Planilha!C:C)</f>
        <v>02.01.05.11</v>
      </c>
      <c r="C249" s="90" t="str">
        <f>_xlfn.XLOOKUP($D249,Planilha!$O:$O,Planilha!F:F)</f>
        <v>REATERRO MANUAL DE VALAS COM COMPACTAÇÃO MECANIZADA. AF_04/2016</v>
      </c>
      <c r="D249" s="91">
        <f>LARGE(Planilha!$O:$O,$A249)</f>
        <v>5323.82</v>
      </c>
      <c r="E249" s="92">
        <f t="shared" si="9"/>
        <v>3.8249655688473138E-4</v>
      </c>
      <c r="F249" s="93">
        <f t="shared" si="10"/>
        <v>0.94434733005412985</v>
      </c>
      <c r="I249" s="73" t="str">
        <v>ELETRODUTO RÍGIDO SOLDÁVEL, PVC, DN 25 MM (3/4"), APARENTE, INSTALADO EM TETO - FORNECIMENTO E INSTALAÇÃO. AF_11/2016</v>
      </c>
    </row>
    <row r="250" spans="1:9" ht="33.6" x14ac:dyDescent="0.3">
      <c r="A250" s="88">
        <f t="shared" si="11"/>
        <v>242</v>
      </c>
      <c r="B250" s="89" t="str">
        <f>_xlfn.XLOOKUP(D250,Planilha!O:O,Planilha!C:C)</f>
        <v>02.03.09.02</v>
      </c>
      <c r="C250" s="90" t="str">
        <f>_xlfn.XLOOKUP($D250,Planilha!$O:$O,Planilha!F:F)</f>
        <v>CAIXA DE PASSAGEM DE ALUMÍNIO PARA PISO 30X30X12CM, DA MARCA WETZEL MOD: CP-3030-12 OU SIMILAR.</v>
      </c>
      <c r="D250" s="91">
        <f>LARGE(Planilha!$O:$O,$A250)</f>
        <v>5292.98</v>
      </c>
      <c r="E250" s="92">
        <f t="shared" si="9"/>
        <v>3.8028081822070347E-4</v>
      </c>
      <c r="F250" s="93">
        <f t="shared" si="10"/>
        <v>0.94472761087235058</v>
      </c>
      <c r="I250" s="73" t="str">
        <v>FORNECIMENTO E INSTALAÇÃO DE CAIXA DE PASSAGEM EM ALUMÍNIO (30 X 30 X 10 CM)</v>
      </c>
    </row>
    <row r="251" spans="1:9" ht="33.6" x14ac:dyDescent="0.3">
      <c r="A251" s="88">
        <f t="shared" si="11"/>
        <v>243</v>
      </c>
      <c r="B251" s="89" t="str">
        <f>_xlfn.XLOOKUP(D251,Planilha!O:O,Planilha!C:C)</f>
        <v>02.02.08.03</v>
      </c>
      <c r="C251" s="90" t="str">
        <f>_xlfn.XLOOKUP($D251,Planilha!$O:$O,Planilha!F:F)</f>
        <v>CHP.01 - CHAPIM EM CONCRETO PRÉ-MOLDADO, LARGURA 25CM E ESPESSURA 2CM</v>
      </c>
      <c r="D251" s="91">
        <f>LARGE(Planilha!$O:$O,$A251)</f>
        <v>5286.83</v>
      </c>
      <c r="E251" s="92">
        <f t="shared" si="9"/>
        <v>3.7983896372058117E-4</v>
      </c>
      <c r="F251" s="93">
        <f t="shared" si="10"/>
        <v>0.9451074498360712</v>
      </c>
      <c r="I251" s="73" t="str">
        <v>TUBO PVC, SERIE NORMAL, ESGOTO PREDIAL, DN 100 MM, FORNECIDO E INSTALADO EM RAMAL DE DESCARGA OU RAMAL DE ESGOTO SANITÁRIO. AF_12/2014</v>
      </c>
    </row>
    <row r="252" spans="1:9" ht="33.6" x14ac:dyDescent="0.3">
      <c r="A252" s="88">
        <f t="shared" si="11"/>
        <v>244</v>
      </c>
      <c r="B252" s="89" t="str">
        <f>_xlfn.XLOOKUP(D252,Planilha!O:O,Planilha!C:C)</f>
        <v>02.03.11.15.04</v>
      </c>
      <c r="C252" s="90" t="str">
        <f>_xlfn.XLOOKUP($D252,Planilha!$O:$O,Planilha!F:F)</f>
        <v>CABO DE COBRE FLEXÍVEL DE 10 MM², ISOLAMENTO 0,6/1 KV - ISOLAÇÃO HEPR 90°C - BAIXA EMISSÃO DE FUMAÇA E GASES</v>
      </c>
      <c r="D252" s="91">
        <f>LARGE(Planilha!$O:$O,$A252)</f>
        <v>5254.4</v>
      </c>
      <c r="E252" s="92">
        <f t="shared" si="9"/>
        <v>3.7750898950286309E-4</v>
      </c>
      <c r="F252" s="93">
        <f t="shared" si="10"/>
        <v>0.94548495882557404</v>
      </c>
      <c r="I252" s="73" t="str">
        <v>MOLA HIDRÁULICA REF. TS-72 - DORMA</v>
      </c>
    </row>
    <row r="253" spans="1:9" ht="100.8" x14ac:dyDescent="0.3">
      <c r="A253" s="88">
        <f t="shared" si="11"/>
        <v>245</v>
      </c>
      <c r="B253" s="89" t="str">
        <f>_xlfn.XLOOKUP(D253,Planilha!O:O,Planilha!C:C)</f>
        <v>02.02.15.05.10</v>
      </c>
      <c r="C253" s="90" t="str">
        <f>_xlfn.XLOOKUP($D253,Planilha!$O:$O,Planilha!F:F)</f>
        <v>CPM.03.B - PAINEL EM CHAPA METÁLICA PERFURADA REDONDA EM AÇO INOX 304 - PERFURAÇÃO R8,00 EC11,00. ACABAMENTO EM PINTURA ELETROSTÁTICA COR RAL 7042 BRILHANTE. SUBESTRUTURA EM PERFIS DE AÇO INOX 304 E ACESSÓRIOS PARA FIXAÇÃO PINTADOS NA MESMA COR, PARAFUSOS SEM PINTURA.0,928 - 5,286m2</v>
      </c>
      <c r="D253" s="91">
        <f>LARGE(Planilha!$O:$O,$A253)</f>
        <v>5251.71</v>
      </c>
      <c r="E253" s="92">
        <f t="shared" si="9"/>
        <v>3.7731572306297221E-4</v>
      </c>
      <c r="F253" s="93">
        <f t="shared" si="10"/>
        <v>0.94586227454863703</v>
      </c>
      <c r="I253" s="73" t="str">
        <v>CURVA 90 GRAUS, EM AÇO, CONEXÃO SOLDADA, DN 25 (1"), INSTALADO EM RAMAIS E SUB-RAMAIS DE GÁS - FORNECIMENTO E INSTALAÇÃO. AF_10/2020</v>
      </c>
    </row>
    <row r="254" spans="1:9" x14ac:dyDescent="0.3">
      <c r="A254" s="88">
        <f t="shared" si="11"/>
        <v>246</v>
      </c>
      <c r="B254" s="89" t="str">
        <f>_xlfn.XLOOKUP(D254,Planilha!O:O,Planilha!C:C)</f>
        <v>01.02.11</v>
      </c>
      <c r="C254" s="90" t="str">
        <f>_xlfn.XLOOKUP($D254,Planilha!$O:$O,Planilha!F:F)</f>
        <v>DESPESAS GERAIS DE MANUTENCAO CANTEIRO DE OBRAS</v>
      </c>
      <c r="D254" s="91">
        <f>LARGE(Planilha!$O:$O,$A254)</f>
        <v>5232.96</v>
      </c>
      <c r="E254" s="92">
        <f t="shared" si="9"/>
        <v>3.759686056845506E-4</v>
      </c>
      <c r="F254" s="93">
        <f t="shared" si="10"/>
        <v>0.94623824315432159</v>
      </c>
      <c r="I254" s="73" t="str">
        <v>PCF 01 - PORTA DE ABRIR SIMPLES CORTA FOGO, COM FECHADURA INSTALADA E PINTURA ESMALTE SINTÉTICO FOSCA, COR CINZA (RAL 9010) LIVRE DE COV. - 0,90X2,10M</v>
      </c>
    </row>
    <row r="255" spans="1:9" ht="33.6" x14ac:dyDescent="0.3">
      <c r="A255" s="88">
        <f t="shared" si="11"/>
        <v>247</v>
      </c>
      <c r="B255" s="89" t="str">
        <f>_xlfn.XLOOKUP(D255,Planilha!O:O,Planilha!C:C)</f>
        <v>02.03.03.03.24</v>
      </c>
      <c r="C255" s="90" t="str">
        <f>_xlfn.XLOOKUP($D255,Planilha!$O:$O,Planilha!F:F)</f>
        <v>FORNECIMENTO DE RACK TIPO ARMÁRIO 19" X 42U X 680MM C/ 05 PATCH PANEL 24 PORTAS CAT.6E - REV 02</v>
      </c>
      <c r="D255" s="91">
        <f>LARGE(Planilha!$O:$O,$A255)</f>
        <v>5215.5</v>
      </c>
      <c r="E255" s="92">
        <f t="shared" si="9"/>
        <v>3.7471416998176435E-4</v>
      </c>
      <c r="F255" s="93">
        <f t="shared" si="10"/>
        <v>0.94661295732430339</v>
      </c>
      <c r="I255" s="73" t="str">
        <v>ELETRODUTO FLEXÍVEL CORRUGADO, PEAD, DN 63 (2"), PARA REDE ENTERRADA DE DISTRIBUIÇÃO DE ENERGIA ELÉTRICA - FORNECIMENTO E INSTALAÇÃO. AF_12/2021</v>
      </c>
    </row>
    <row r="256" spans="1:9" ht="33.6" x14ac:dyDescent="0.3">
      <c r="A256" s="88">
        <f t="shared" si="11"/>
        <v>248</v>
      </c>
      <c r="B256" s="89" t="str">
        <f>_xlfn.XLOOKUP(D256,Planilha!O:O,Planilha!C:C)</f>
        <v>02.02.15.01.02</v>
      </c>
      <c r="C256" s="90" t="str">
        <f>_xlfn.XLOOKUP($D256,Planilha!$O:$O,Planilha!F:F)</f>
        <v>PM02 - PORTA SIMPLES DE ABRIR EM MADEIRA COM REVESTIMENTO MELAMÍNICO NA COR BRANCA - 0,80X 2,10M</v>
      </c>
      <c r="D256" s="91">
        <f>LARGE(Planilha!$O:$O,$A256)</f>
        <v>5162.74</v>
      </c>
      <c r="E256" s="92">
        <f t="shared" si="9"/>
        <v>3.7092356129453629E-4</v>
      </c>
      <c r="F256" s="93">
        <f t="shared" si="10"/>
        <v>0.94698388088559793</v>
      </c>
      <c r="I256" s="73" t="str">
        <v>TUBO EM COBRE RÍGIDO, DN 15 MM, CLASSE A, SEM ISOLAMENTO, INSTALADO EM RAMAL DE DISTRIBUIÇÃO  FORNECIMENTO E INSTALAÇÃO. AF_12/2015</v>
      </c>
    </row>
    <row r="257" spans="1:9" x14ac:dyDescent="0.3">
      <c r="A257" s="88">
        <f t="shared" si="11"/>
        <v>249</v>
      </c>
      <c r="B257" s="89" t="str">
        <f>_xlfn.XLOOKUP(D257,Planilha!O:O,Planilha!C:C)</f>
        <v>02.03.02.01.25</v>
      </c>
      <c r="C257" s="90" t="str">
        <f>_xlfn.XLOOKUP($D257,Planilha!$O:$O,Planilha!F:F)</f>
        <v>CONJUNTO PARA JUNTA RETA INTERNA I</v>
      </c>
      <c r="D257" s="91">
        <f>LARGE(Planilha!$O:$O,$A257)</f>
        <v>5157.42</v>
      </c>
      <c r="E257" s="92">
        <f t="shared" si="9"/>
        <v>3.7054133919036547E-4</v>
      </c>
      <c r="F257" s="93">
        <f t="shared" si="10"/>
        <v>0.94735442222478827</v>
      </c>
      <c r="I257" s="73" t="str">
        <v>SALA DE CORTES -  BANCADA LATERAL MEDINDO 2000X800X900MM - COMPOSTO DE: 2,00 LL4192-E METRO(S) LINEAR(ES) DE TAMPO EM LAMINADO MELAMÍNICO ESPESSURA DE 25MM "MACIÇO", MEDINDO 800MM DE PROFUNDIDADE E COM RESPALDO DE 60MM JUNTO A PAREDE. - 1,00 LL2214-E MODULO INFERIOR MEDINDO 450X520X870MM PROVIDO DE QUATRO GAVETAS. - 0,86 LL2250U METRO(S) LINEAR(ES) DE MODULO VAZADO COMPOSTO POR PAINEL DE FUNDO. - 1,00 LL2211-E MODULO INFERIOR ABERTO MEDINDO 600X350X870MM PROVIDO DE DUAS PRATELEIRAS. - 0,08 LL2049 ABS METRO(S) LINEAR(ES) DE PAINEL PARA ACABAMENTO LATERAL APARENTE. - 0,08 LL2049 ABS METRO(S) LINEAR(ES) DE PAINEL PARA ACABAMENTO LATERAL APARENTE. - 0,26 LL2049 ABS METRO(S) LINEAR(ES) DE PAINEL PARA ACABAMENTO LATERAL APARENTE.</v>
      </c>
    </row>
    <row r="258" spans="1:9" ht="50.4" x14ac:dyDescent="0.3">
      <c r="A258" s="88">
        <f t="shared" si="11"/>
        <v>250</v>
      </c>
      <c r="B258" s="89" t="str">
        <f>_xlfn.XLOOKUP(D258,Planilha!O:O,Planilha!C:C)</f>
        <v>02.01.04.10</v>
      </c>
      <c r="C258" s="90" t="str">
        <f>_xlfn.XLOOKUP($D258,Planilha!$O:$O,Planilha!F:F)</f>
        <v>GRAUTE FGK=30 MPA; TRAÇO 1:0,9:1,2:0,6 (EM MASSA SECA DE CIMENTO/ AREIA GROSSA/ BRITA 0/ ADITIVO) - PREPARO MECÂNICO COM BETONEIRA 400 L. AF_09/2021</v>
      </c>
      <c r="D258" s="91">
        <f>LARGE(Planilha!$O:$O,$A258)</f>
        <v>5072.63</v>
      </c>
      <c r="E258" s="92">
        <f t="shared" si="9"/>
        <v>3.6444949478949234E-4</v>
      </c>
      <c r="F258" s="93">
        <f t="shared" si="10"/>
        <v>0.9477188717195778</v>
      </c>
      <c r="I258" s="73" t="str">
        <v>TUBO PVC, SERIE NORMAL, ESGOTO PREDIAL, DN 50 MM, FORNECIDO E INSTALADO EM RAMAL DE DESCARGA OU RAMAL DE ESGOTO SANITÁRIO. AF_12/2014</v>
      </c>
    </row>
    <row r="259" spans="1:9" ht="50.4" x14ac:dyDescent="0.3">
      <c r="A259" s="88">
        <f t="shared" si="11"/>
        <v>251</v>
      </c>
      <c r="B259" s="89" t="str">
        <f>_xlfn.XLOOKUP(D259,Planilha!O:O,Planilha!C:C)</f>
        <v>02.02.03.01</v>
      </c>
      <c r="C259" s="90" t="str">
        <f>_xlfn.XLOOKUP($D259,Planilha!$O:$O,Planilha!F:F)</f>
        <v>CHAPISCO APLICADO EM ALVENARIAS E ESTRUTURAS DE CONCRETO INTERNAS, COM COLHER DE PEDREIRO.  ARGAMASSA TRAÇO 1:3 COM PREPARO MANUAL. AF_06/2014</v>
      </c>
      <c r="D259" s="91">
        <f>LARGE(Planilha!$O:$O,$A259)</f>
        <v>5070.59</v>
      </c>
      <c r="E259" s="92">
        <f t="shared" si="9"/>
        <v>3.6430292841872005E-4</v>
      </c>
      <c r="F259" s="93">
        <f t="shared" si="10"/>
        <v>0.94808317464799652</v>
      </c>
      <c r="I259" s="73" t="str">
        <v>PM07 - PM07 - PORTA SIMPLES ABRIR EM MADEIRA COM REVESTIMENTO EM LAMINADO MELAMÍNICO - 0,80X 2,51M</v>
      </c>
    </row>
    <row r="260" spans="1:9" ht="50.4" x14ac:dyDescent="0.3">
      <c r="A260" s="88">
        <f t="shared" si="11"/>
        <v>252</v>
      </c>
      <c r="B260" s="89" t="str">
        <f>_xlfn.XLOOKUP(D260,Planilha!O:O,Planilha!C:C)</f>
        <v>02.02.02.04</v>
      </c>
      <c r="C260" s="90" t="str">
        <f>_xlfn.XLOOKUP($D260,Planilha!$O:$O,Planilha!F:F)</f>
        <v>DIVISÓRIA SANITÁRIA EM PAINEL LAMINADO MELAMÍNICO ESTRUTURAL COM PERFIS EM ALUMÍNIO, INCLUSIVE FERRAGEM COMPLETA PARA VÃO DE PORTA</v>
      </c>
      <c r="D260" s="91">
        <f>LARGE(Planilha!$O:$O,$A260)</f>
        <v>5039.16</v>
      </c>
      <c r="E260" s="92">
        <f t="shared" si="9"/>
        <v>3.6204480046118448E-4</v>
      </c>
      <c r="F260" s="93">
        <f t="shared" si="10"/>
        <v>0.94844521944845772</v>
      </c>
      <c r="I260" s="73" t="str">
        <v>CABO DE COBRE FLEXÍVEL DE 16 MM², ISOLAMENTO 0,6/1 KV - ISOLAÇÃO HEPR 90°C - BAIXA EMISSÃO DE FUMAÇA E GASES</v>
      </c>
    </row>
    <row r="261" spans="1:9" ht="67.2" x14ac:dyDescent="0.3">
      <c r="A261" s="88">
        <f t="shared" si="11"/>
        <v>253</v>
      </c>
      <c r="B261" s="89" t="str">
        <f>_xlfn.XLOOKUP(D261,Planilha!O:O,Planilha!C:C)</f>
        <v>02.02.15.02.02</v>
      </c>
      <c r="C261" s="90" t="str">
        <f>_xlfn.XLOOKUP($D261,Planilha!$O:$O,Planilha!F:F)</f>
        <v>JA02 -  2 MÓDULOS DE 0,74x0,53 DE JANELAS DE ALUMÍNIO LINHA 25 TIPO MAXIM-AR, COM VIDRO DE 6mm, COM CONTRAMARCO, ALIZAR, BATENTE E FERRAGENS, ACAB. PINTURA ELETROSTÁTICA COR RAL 7021 - 0,80X 1,24M x4</v>
      </c>
      <c r="D261" s="91">
        <f>LARGE(Planilha!$O:$O,$A261)</f>
        <v>5007.66</v>
      </c>
      <c r="E261" s="92">
        <f t="shared" si="9"/>
        <v>3.5978164326543608E-4</v>
      </c>
      <c r="F261" s="93">
        <f t="shared" si="10"/>
        <v>0.94880500109172317</v>
      </c>
      <c r="I261" s="73" t="str">
        <v>IMPERMEABILIZAÇÃO EM MANTA ASFÁLTICA COM ARMADURA, TIPO III-B, ESPESSURA DE 3 MM</v>
      </c>
    </row>
    <row r="262" spans="1:9" x14ac:dyDescent="0.3">
      <c r="A262" s="88">
        <f t="shared" si="11"/>
        <v>254</v>
      </c>
      <c r="B262" s="89" t="str">
        <f>_xlfn.XLOOKUP(D262,Planilha!O:O,Planilha!C:C)</f>
        <v>02.02.11.02.22</v>
      </c>
      <c r="C262" s="90" t="str">
        <f>_xlfn.XLOOKUP($D262,Planilha!$O:$O,Planilha!F:F)</f>
        <v>FRETE (MATERIAL MARKO)</v>
      </c>
      <c r="D262" s="91">
        <f>LARGE(Planilha!$O:$O,$A262)</f>
        <v>5000</v>
      </c>
      <c r="E262" s="92">
        <f t="shared" si="9"/>
        <v>3.5923130091243825E-4</v>
      </c>
      <c r="F262" s="93">
        <f t="shared" si="10"/>
        <v>0.94916423239263559</v>
      </c>
      <c r="I262" s="73" t="str">
        <v>REBOCO INTERNO 5MM PAREDES ARGAMASSA PREFABRICADA</v>
      </c>
    </row>
    <row r="263" spans="1:9" ht="33.6" x14ac:dyDescent="0.3">
      <c r="A263" s="88">
        <f t="shared" si="11"/>
        <v>255</v>
      </c>
      <c r="B263" s="89" t="str">
        <f>_xlfn.XLOOKUP(D263,Planilha!O:O,Planilha!C:C)</f>
        <v>02.01.07.04.15</v>
      </c>
      <c r="C263" s="90" t="str">
        <f>_xlfn.XLOOKUP($D263,Planilha!$O:$O,Planilha!F:F)</f>
        <v>ESCADA MARINHEIRO PERFIL 1.1/2"" ACO+BARRA CHATA VERT/HORIZ.</v>
      </c>
      <c r="D263" s="91">
        <f>LARGE(Planilha!$O:$O,$A263)</f>
        <v>4999.8</v>
      </c>
      <c r="E263" s="92">
        <f t="shared" si="9"/>
        <v>3.5921693166040175E-4</v>
      </c>
      <c r="F263" s="93">
        <f t="shared" si="10"/>
        <v>0.949523449324296</v>
      </c>
      <c r="I263" s="73" t="str">
        <v>TAPUME MÓVEL PARA FECHAMENTO DE ÁREAS</v>
      </c>
    </row>
    <row r="264" spans="1:9" ht="33.6" x14ac:dyDescent="0.3">
      <c r="A264" s="88">
        <f t="shared" si="11"/>
        <v>256</v>
      </c>
      <c r="B264" s="89" t="str">
        <f>_xlfn.XLOOKUP(D264,Planilha!O:O,Planilha!C:C)</f>
        <v>02.03.02.01.30</v>
      </c>
      <c r="C264" s="90" t="str">
        <f>_xlfn.XLOOKUP($D264,Planilha!$O:$O,Planilha!F:F)</f>
        <v>ELETRODUTO RÍGIDO SOLDÁVEL, PVC, DN 25 MM (3/4"), APARENTE, INSTALADO EM TETO - FORNECIMENTO E INSTALAÇÃO. AF_11/2016</v>
      </c>
      <c r="D264" s="91">
        <f>LARGE(Planilha!$O:$O,$A264)</f>
        <v>4991</v>
      </c>
      <c r="E264" s="92">
        <f t="shared" si="9"/>
        <v>3.5858468457079589E-4</v>
      </c>
      <c r="F264" s="93">
        <f t="shared" si="10"/>
        <v>0.94988203400886684</v>
      </c>
      <c r="I264" s="73" t="str">
        <v>DISPOSITIVO SUPRESSOR DE SURTO DPS CLASSE 2 40 KA, 350V, 1,4 KV</v>
      </c>
    </row>
    <row r="265" spans="1:9" ht="33.6" x14ac:dyDescent="0.3">
      <c r="A265" s="88">
        <f t="shared" si="11"/>
        <v>257</v>
      </c>
      <c r="B265" s="89" t="str">
        <f>_xlfn.XLOOKUP(D265,Planilha!O:O,Planilha!C:C)</f>
        <v>02.05.04.01</v>
      </c>
      <c r="C265" s="90" t="str">
        <f>_xlfn.XLOOKUP($D265,Planilha!$O:$O,Planilha!F:F)</f>
        <v>FORNECIMENTO E INSTALAÇÃO DE CAIXA DE PASSAGEM EM ALUMÍNIO (30 X 30 X 10 CM)</v>
      </c>
      <c r="D265" s="91">
        <f>LARGE(Planilha!$O:$O,$A265)</f>
        <v>4978.38</v>
      </c>
      <c r="E265" s="92">
        <f t="shared" ref="E265:E328" si="12">D265/$D$933</f>
        <v>3.5767798476729287E-4</v>
      </c>
      <c r="F265" s="93">
        <f t="shared" ref="F265:F328" si="13">+E265+F264</f>
        <v>0.95023971199363411</v>
      </c>
      <c r="I265" s="73" t="str">
        <v>ELETRODUTO FERRO GALVANIZADO ROSCAVEL 3/4"" COM CONEXOES</v>
      </c>
    </row>
    <row r="266" spans="1:9" ht="50.4" x14ac:dyDescent="0.3">
      <c r="A266" s="88">
        <f t="shared" si="11"/>
        <v>258</v>
      </c>
      <c r="B266" s="89" t="str">
        <f>_xlfn.XLOOKUP(D266,Planilha!O:O,Planilha!C:C)</f>
        <v>02.04.03.01.04</v>
      </c>
      <c r="C266" s="90" t="str">
        <f>_xlfn.XLOOKUP($D266,Planilha!$O:$O,Planilha!F:F)</f>
        <v>TUBO PVC, SERIE NORMAL, ESGOTO PREDIAL, DN 100 MM, FORNECIDO E INSTALADO EM RAMAL DE DESCARGA OU RAMAL DE ESGOTO SANITÁRIO. AF_12/2014</v>
      </c>
      <c r="D266" s="91">
        <f>LARGE(Planilha!$O:$O,$A266)</f>
        <v>4959</v>
      </c>
      <c r="E266" s="92">
        <f t="shared" si="12"/>
        <v>3.5628560424495628E-4</v>
      </c>
      <c r="F266" s="93">
        <f t="shared" si="13"/>
        <v>0.95059599759787905</v>
      </c>
      <c r="I266" s="73" t="str">
        <v>DV02.B - FORNECIMENTO E INSTALAÇÃO DE DIVISORIA EM VIDRO TEMPERADO 10 mm INCOLOR COM MONTANTES EM ALUMINIO, PERFIL 55mm COR PRETA RAL 7021.( 2,58 X 2,60)M</v>
      </c>
    </row>
    <row r="267" spans="1:9" x14ac:dyDescent="0.3">
      <c r="A267" s="88">
        <f t="shared" ref="A267:A330" si="14">+A266+1</f>
        <v>259</v>
      </c>
      <c r="B267" s="89" t="str">
        <f>_xlfn.XLOOKUP(D267,Planilha!O:O,Planilha!C:C)</f>
        <v>02.02.15.01.10</v>
      </c>
      <c r="C267" s="90" t="str">
        <f>_xlfn.XLOOKUP($D267,Planilha!$O:$O,Planilha!F:F)</f>
        <v>MOLA HIDRÁULICA REF. TS-72 - DORMA</v>
      </c>
      <c r="D267" s="91">
        <f>LARGE(Planilha!$O:$O,$A267)</f>
        <v>4866.3500000000004</v>
      </c>
      <c r="E267" s="92">
        <f t="shared" si="12"/>
        <v>3.4962904823904883E-4</v>
      </c>
      <c r="F267" s="93">
        <f t="shared" si="13"/>
        <v>0.95094562664611815</v>
      </c>
      <c r="I267" s="73" t="str">
        <v>PF02 - PORTA(S) DE ENROLAR PARA ACIONAMENTO ELÉTRICO ATRAVÉS DE ACIONADOR PROPRIO PARA ESTE TIPO DE PORTA, TENDO: FREIO ELÉTROMAGNÉTICO A DISCO, ACIONAMENTO MANUAL DE EMERGENCIA FEITO COM CORRENTE DE ELOS,PARA O CASO DE FALTA DE ENERGIA,COMANDO MAGNÉTICO COM CONTATORES ELÉTRICOS,MOTOR BLINDADO PARA 220/380 VOLTS MONOFÁSICO, EIXO ENROLADOR FEITO COM TUBO COM CUSTURA DE DIAMETRO DETERMINDADO PELA LARGURA DA PORTA E GUIAS CORREDIÇAS FEITAS COM PERFIL "U" DE CHAPA DOBRADA COM PROFUNDIDADE DETERMINADA PELA LARGURA DA PORTA 2,40X2,86M</v>
      </c>
    </row>
    <row r="268" spans="1:9" ht="50.4" x14ac:dyDescent="0.3">
      <c r="A268" s="88">
        <f t="shared" si="14"/>
        <v>260</v>
      </c>
      <c r="B268" s="89" t="str">
        <f>_xlfn.XLOOKUP(D268,Planilha!O:O,Planilha!C:C)</f>
        <v>02.03.03.01.05</v>
      </c>
      <c r="C268" s="90" t="str">
        <f>_xlfn.XLOOKUP($D268,Planilha!$O:$O,Planilha!F:F)</f>
        <v>CURVA 90 GRAUS, EM AÇO, CONEXÃO SOLDADA, DN 25 (1"), INSTALADO EM RAMAIS E SUB-RAMAIS DE GÁS - FORNECIMENTO E INSTALAÇÃO. AF_10/2020</v>
      </c>
      <c r="D268" s="91">
        <f>LARGE(Planilha!$O:$O,$A268)</f>
        <v>4808.25</v>
      </c>
      <c r="E268" s="92">
        <f t="shared" si="12"/>
        <v>3.4545478052244624E-4</v>
      </c>
      <c r="F268" s="93">
        <f t="shared" si="13"/>
        <v>0.95129108142664054</v>
      </c>
      <c r="I268" s="73" t="str">
        <v>SALA FOTOGRAFIA - ARMARIO MEDINDO 900X300X900MM PROVIDO DE DUAS PORTAS E TRES NIVEIS DE APOIO.</v>
      </c>
    </row>
    <row r="269" spans="1:9" ht="50.4" x14ac:dyDescent="0.3">
      <c r="A269" s="88">
        <f t="shared" si="14"/>
        <v>261</v>
      </c>
      <c r="B269" s="89" t="str">
        <f>_xlfn.XLOOKUP(D269,Planilha!O:O,Planilha!C:C)</f>
        <v>02.02.16.01</v>
      </c>
      <c r="C269" s="90" t="str">
        <f>_xlfn.XLOOKUP($D269,Planilha!$O:$O,Planilha!F:F)</f>
        <v>PCF 01 - PORTA DE ABRIR SIMPLES CORTA FOGO, COM FECHADURA INSTALADA E PINTURA ESMALTE SINTÉTICO FOSCA, COR CINZA (RAL 9010) LIVRE DE COV. - 0,90X2,10M</v>
      </c>
      <c r="D269" s="91">
        <f>LARGE(Planilha!$O:$O,$A269)</f>
        <v>4786.53</v>
      </c>
      <c r="E269" s="92">
        <f t="shared" si="12"/>
        <v>3.438942797512826E-4</v>
      </c>
      <c r="F269" s="93">
        <f t="shared" si="13"/>
        <v>0.95163497570639177</v>
      </c>
      <c r="I269" s="73" t="str">
        <v>SALA FRANTZ - ARMARIO SUPERIOR MEDINDO 900X300X900MM PROVIDO DE DUAS PORTAS E TRES NIVEIS DE APOIO.</v>
      </c>
    </row>
    <row r="270" spans="1:9" ht="50.4" x14ac:dyDescent="0.3">
      <c r="A270" s="88">
        <f t="shared" si="14"/>
        <v>262</v>
      </c>
      <c r="B270" s="89" t="str">
        <f>_xlfn.XLOOKUP(D270,Planilha!O:O,Planilha!C:C)</f>
        <v>02.03.11.14.09</v>
      </c>
      <c r="C270" s="90" t="str">
        <f>_xlfn.XLOOKUP($D270,Planilha!$O:$O,Planilha!F:F)</f>
        <v>ELETRODUTO FLEXÍVEL CORRUGADO, PEAD, DN 63 (2"), PARA REDE ENTERRADA DE DISTRIBUIÇÃO DE ENERGIA ELÉTRICA - FORNECIMENTO E INSTALAÇÃO. AF_12/2021</v>
      </c>
      <c r="D270" s="91">
        <f>LARGE(Planilha!$O:$O,$A270)</f>
        <v>4693.1899999999996</v>
      </c>
      <c r="E270" s="92">
        <f t="shared" si="12"/>
        <v>3.3718814982584919E-4</v>
      </c>
      <c r="F270" s="93">
        <f t="shared" si="13"/>
        <v>0.95197216385621763</v>
      </c>
      <c r="I270" s="73" t="str">
        <v>CALHA INTERNA MK</v>
      </c>
    </row>
    <row r="271" spans="1:9" ht="50.4" x14ac:dyDescent="0.3">
      <c r="A271" s="88">
        <f t="shared" si="14"/>
        <v>263</v>
      </c>
      <c r="B271" s="89" t="str">
        <f>_xlfn.XLOOKUP(D271,Planilha!O:O,Planilha!C:C)</f>
        <v>02.05.01.01</v>
      </c>
      <c r="C271" s="90" t="str">
        <f>_xlfn.XLOOKUP($D271,Planilha!$O:$O,Planilha!F:F)</f>
        <v>TUBO EM COBRE RÍGIDO, DN 15 MM, CLASSE A, SEM ISOLAMENTO, INSTALADO EM RAMAL DE DISTRIBUIÇÃO  FORNECIMENTO E INSTALAÇÃO. AF_12/2015</v>
      </c>
      <c r="D271" s="91">
        <f>LARGE(Planilha!$O:$O,$A271)</f>
        <v>4685.45</v>
      </c>
      <c r="E271" s="92">
        <f t="shared" si="12"/>
        <v>3.3663205977203678E-4</v>
      </c>
      <c r="F271" s="93">
        <f t="shared" si="13"/>
        <v>0.95230879591598971</v>
      </c>
      <c r="I271" s="73" t="str">
        <v>CUBA DE EMBUTIR QUADRADA (DECA LINHA REF L701 - GE17 - 41CM)  P/ INSTALAÇÃO EM BANCADAS, C/ SIFÃO CROMADO (DECA REF C1680) , VÁLVULA CROMADA (DECA C1602) E ENGATE CROMADO (DECA) OU SIMILARES</v>
      </c>
    </row>
    <row r="272" spans="1:9" ht="235.2" x14ac:dyDescent="0.3">
      <c r="A272" s="88">
        <f t="shared" si="14"/>
        <v>264</v>
      </c>
      <c r="B272" s="89" t="str">
        <f>_xlfn.XLOOKUP(D272,Planilha!O:O,Planilha!C:C)</f>
        <v>02.02.17.08</v>
      </c>
      <c r="C272" s="90" t="str">
        <f>_xlfn.XLOOKUP($D272,Planilha!$O:$O,Planilha!F:F)</f>
        <v>SALA DE CORTES -  BANCADA LATERAL MEDINDO 2000X800X900MM - COMPOSTO DE: 2,00 LL4192-E METRO(S) LINEAR(ES) DE TAMPO EM LAMINADO MELAMÍNICO ESPESSURA DE 25MM "MACIÇO", MEDINDO 800MM DE PROFUNDIDADE E COM RESPALDO DE 60MM JUNTO A PAREDE. - 1,00 LL2214-E MODULO INFERIOR MEDINDO 450X520X870MM PROVIDO DE QUATRO GAVETAS. - 0,86 LL2250U METRO(S) LINEAR(ES) DE MODULO VAZADO COMPOSTO POR PAINEL DE FUNDO. - 1,00 LL2211-E MODULO INFERIOR ABERTO MEDINDO 600X350X870MM PROVIDO DE DUAS PRATELEIRAS. - 0,08 LL2049 ABS METRO(S) LINEAR(ES) DE PAINEL PARA ACABAMENTO LATERAL APARENTE. - 0,08 LL2049 ABS METRO(S) LINEAR(ES) DE PAINEL PARA ACABAMENTO LATERAL APARENTE. - 0,26 LL2049 ABS METRO(S) LINEAR(ES) DE PAINEL PARA ACABAMENTO LATERAL APARENTE.</v>
      </c>
      <c r="D272" s="91">
        <f>LARGE(Planilha!$O:$O,$A272)</f>
        <v>4670.7</v>
      </c>
      <c r="E272" s="92">
        <f t="shared" si="12"/>
        <v>3.3557232743434506E-4</v>
      </c>
      <c r="F272" s="93">
        <f t="shared" si="13"/>
        <v>0.95264436824342402</v>
      </c>
      <c r="I272" s="73" t="str">
        <v>INSTALAÇÃO DE LUMINÁRIAS</v>
      </c>
    </row>
    <row r="273" spans="1:9" ht="50.4" x14ac:dyDescent="0.3">
      <c r="A273" s="88">
        <f t="shared" si="14"/>
        <v>265</v>
      </c>
      <c r="B273" s="89" t="str">
        <f>_xlfn.XLOOKUP(D273,Planilha!O:O,Planilha!C:C)</f>
        <v>02.03.09.14</v>
      </c>
      <c r="C273" s="90" t="str">
        <f>_xlfn.XLOOKUP($D273,Planilha!$O:$O,Planilha!F:F)</f>
        <v>ELETRODUTO DE AÇO GALVANIZADO, CLASSE LEVE, DN 20 MM (3/4), APARENTE, INSTALADO EM TETO - FORNECIMENTO E INSTALAÇÃO. AF_11/2016_P</v>
      </c>
      <c r="D273" s="91">
        <f>LARGE(Planilha!$O:$O,$A273)</f>
        <v>4628.16</v>
      </c>
      <c r="E273" s="92">
        <f t="shared" si="12"/>
        <v>3.3251598752618205E-4</v>
      </c>
      <c r="F273" s="93">
        <f t="shared" si="13"/>
        <v>0.95297688423095017</v>
      </c>
      <c r="I273" s="73" t="str">
        <v>LUVA DE CORRER - JUNTA ELÁSTICA INTEGRADA - JEI - 200 MM</v>
      </c>
    </row>
    <row r="274" spans="1:9" ht="50.4" x14ac:dyDescent="0.3">
      <c r="A274" s="88">
        <f t="shared" si="14"/>
        <v>266</v>
      </c>
      <c r="B274" s="89" t="str">
        <f>_xlfn.XLOOKUP(D274,Planilha!O:O,Planilha!C:C)</f>
        <v>02.04.03.01.02</v>
      </c>
      <c r="C274" s="90" t="str">
        <f>_xlfn.XLOOKUP($D274,Planilha!$O:$O,Planilha!F:F)</f>
        <v>TUBO PVC, SERIE NORMAL, ESGOTO PREDIAL, DN 50 MM, FORNECIDO E INSTALADO EM RAMAL DE DESCARGA OU RAMAL DE ESGOTO SANITÁRIO. AF_12/2014</v>
      </c>
      <c r="D274" s="91">
        <f>LARGE(Planilha!$O:$O,$A274)</f>
        <v>4591.1099999999997</v>
      </c>
      <c r="E274" s="92">
        <f t="shared" si="12"/>
        <v>3.2985408358642086E-4</v>
      </c>
      <c r="F274" s="93">
        <f t="shared" si="13"/>
        <v>0.95330673831453661</v>
      </c>
      <c r="I274" s="73" t="str">
        <v>TAMPÃO EM FERRO FUNDIDO DE 600 X 600 MM, CLASSE B 125 (RUPTURA &gt; 125 KN)</v>
      </c>
    </row>
    <row r="275" spans="1:9" ht="33.6" x14ac:dyDescent="0.3">
      <c r="A275" s="88">
        <f t="shared" si="14"/>
        <v>267</v>
      </c>
      <c r="B275" s="89" t="str">
        <f>_xlfn.XLOOKUP(D275,Planilha!O:O,Planilha!C:C)</f>
        <v>02.02.15.01.07</v>
      </c>
      <c r="C275" s="90" t="str">
        <f>_xlfn.XLOOKUP($D275,Planilha!$O:$O,Planilha!F:F)</f>
        <v>PM07 - PM07 - PORTA SIMPLES ABRIR EM MADEIRA COM REVESTIMENTO EM LAMINADO MELAMÍNICO - 0,80X 2,51M</v>
      </c>
      <c r="D275" s="91">
        <f>LARGE(Planilha!$O:$O,$A275)</f>
        <v>4537.2</v>
      </c>
      <c r="E275" s="92">
        <f t="shared" si="12"/>
        <v>3.2598085169998297E-4</v>
      </c>
      <c r="F275" s="93">
        <f t="shared" si="13"/>
        <v>0.9536327191662366</v>
      </c>
      <c r="I275" s="73" t="str">
        <v>CHP.02 - CHAPIM EM CONCRETO PRÉ-MOLDADO, LARGURA 13CM E ESPESSURA 2CM</v>
      </c>
    </row>
    <row r="276" spans="1:9" ht="33.6" x14ac:dyDescent="0.3">
      <c r="A276" s="88">
        <f t="shared" si="14"/>
        <v>268</v>
      </c>
      <c r="B276" s="89" t="str">
        <f>_xlfn.XLOOKUP(D276,Planilha!O:O,Planilha!C:C)</f>
        <v>02.03.11.15.05</v>
      </c>
      <c r="C276" s="90" t="str">
        <f>_xlfn.XLOOKUP($D276,Planilha!$O:$O,Planilha!F:F)</f>
        <v>CABO DE COBRE FLEXÍVEL DE 16 MM², ISOLAMENTO 0,6/1 KV - ISOLAÇÃO HEPR 90°C - BAIXA EMISSÃO DE FUMAÇA E GASES</v>
      </c>
      <c r="D276" s="91">
        <f>LARGE(Planilha!$O:$O,$A276)</f>
        <v>4475.5200000000004</v>
      </c>
      <c r="E276" s="92">
        <f t="shared" si="12"/>
        <v>3.2154937437192714E-4</v>
      </c>
      <c r="F276" s="93">
        <f t="shared" si="13"/>
        <v>0.9539542685406085</v>
      </c>
      <c r="I276" s="73" t="str">
        <v>TUBO PVC, SERIE NORMAL, ESGOTO PREDIAL, DN 40 MM, FORNECIDO E INSTALADO EM RAMAL DE DESCARGA OU RAMAL DE ESGOTO SANITÁRIO. AF_12/2014</v>
      </c>
    </row>
    <row r="277" spans="1:9" ht="33.6" x14ac:dyDescent="0.3">
      <c r="A277" s="88">
        <f t="shared" si="14"/>
        <v>269</v>
      </c>
      <c r="B277" s="89" t="str">
        <f>_xlfn.XLOOKUP(D277,Planilha!O:O,Planilha!C:C)</f>
        <v>02.01.07.04.13</v>
      </c>
      <c r="C277" s="90" t="str">
        <f>_xlfn.XLOOKUP($D277,Planilha!$O:$O,Planilha!F:F)</f>
        <v>IMPERMEABILIZAÇÃO EM MANTA ASFÁLTICA COM ARMADURA, TIPO III-B, ESPESSURA DE 3 MM</v>
      </c>
      <c r="D277" s="91">
        <f>LARGE(Planilha!$O:$O,$A277)</f>
        <v>4417.6899999999996</v>
      </c>
      <c r="E277" s="92">
        <f t="shared" si="12"/>
        <v>3.1739450514557384E-4</v>
      </c>
      <c r="F277" s="93">
        <f t="shared" si="13"/>
        <v>0.95427166304575406</v>
      </c>
      <c r="I277" s="73" t="str">
        <v>FORNECIMENTO E ASSENTAMENTO DE TUBO PEAD FLEXÍVEL CORRUGADO PERFURADO D = 4" (KANANET OU SIMILAR)</v>
      </c>
    </row>
    <row r="278" spans="1:9" x14ac:dyDescent="0.3">
      <c r="A278" s="88">
        <f t="shared" si="14"/>
        <v>270</v>
      </c>
      <c r="B278" s="89" t="str">
        <f>_xlfn.XLOOKUP(D278,Planilha!O:O,Planilha!C:C)</f>
        <v>02.02.03.03</v>
      </c>
      <c r="C278" s="90" t="str">
        <f>_xlfn.XLOOKUP($D278,Planilha!$O:$O,Planilha!F:F)</f>
        <v>REBOCO INTERNO 5MM PAREDES ARGAMASSA PREFABRICADA</v>
      </c>
      <c r="D278" s="91">
        <f>LARGE(Planilha!$O:$O,$A278)</f>
        <v>4403.84</v>
      </c>
      <c r="E278" s="92">
        <f t="shared" si="12"/>
        <v>3.1639943444204644E-4</v>
      </c>
      <c r="F278" s="93">
        <f t="shared" si="13"/>
        <v>0.95458806248019612</v>
      </c>
      <c r="I278" s="73" t="str">
        <v>PORTÃO DE ABRIR (1 FOLHA) COM FERROLHO HORIZONTAL E TRINCO FERROLHO DE CHÃO, ESTRUTURADO POR PERFIS METÁLICOS E VEDAÇÃO EM ALAMBRADO - 0,95X2,10M</v>
      </c>
    </row>
    <row r="279" spans="1:9" x14ac:dyDescent="0.3">
      <c r="A279" s="88">
        <f t="shared" si="14"/>
        <v>271</v>
      </c>
      <c r="B279" s="89" t="str">
        <f>_xlfn.XLOOKUP(D279,Planilha!O:O,Planilha!C:C)</f>
        <v>01.02.07</v>
      </c>
      <c r="C279" s="90" t="str">
        <f>_xlfn.XLOOKUP($D279,Planilha!$O:$O,Planilha!F:F)</f>
        <v>TAPUME MÓVEL PARA FECHAMENTO DE ÁREAS</v>
      </c>
      <c r="D279" s="91">
        <f>LARGE(Planilha!$O:$O,$A279)</f>
        <v>4378.3999999999996</v>
      </c>
      <c r="E279" s="92">
        <f t="shared" si="12"/>
        <v>3.1457166558300389E-4</v>
      </c>
      <c r="F279" s="93">
        <f t="shared" si="13"/>
        <v>0.95490263414577914</v>
      </c>
      <c r="I279" s="73" t="str">
        <v>PV04 - FORNECIMENTO E INSTALAÇÃO DE PAINEL DE VIDRO TEMPERADO 8MM, COM JUNTA SECA, PERFIL DE ALUMINIO, PINTURA ELETROSTATICA: 2,835 X 2,400M</v>
      </c>
    </row>
    <row r="280" spans="1:9" ht="33.6" x14ac:dyDescent="0.3">
      <c r="A280" s="88">
        <f t="shared" si="14"/>
        <v>272</v>
      </c>
      <c r="B280" s="89" t="str">
        <f>_xlfn.XLOOKUP(D280,Planilha!O:O,Planilha!C:C)</f>
        <v>02.03.11.04.03</v>
      </c>
      <c r="C280" s="90" t="str">
        <f>_xlfn.XLOOKUP($D280,Planilha!$O:$O,Planilha!F:F)</f>
        <v>DISPOSITIVO SUPRESSOR DE SURTO DPS CLASSE 2 40 KA, 350V, 1,4 KV</v>
      </c>
      <c r="D280" s="91">
        <f>LARGE(Planilha!$O:$O,$A280)</f>
        <v>4317.33</v>
      </c>
      <c r="E280" s="92">
        <f t="shared" si="12"/>
        <v>3.1018401447365938E-4</v>
      </c>
      <c r="F280" s="93">
        <f t="shared" si="13"/>
        <v>0.95521281816025283</v>
      </c>
      <c r="I280" s="73" t="str">
        <v>FRETE DOS EQUIPAMENTOS</v>
      </c>
    </row>
    <row r="281" spans="1:9" ht="33.6" x14ac:dyDescent="0.3">
      <c r="A281" s="88">
        <f t="shared" si="14"/>
        <v>273</v>
      </c>
      <c r="B281" s="89" t="str">
        <f>_xlfn.XLOOKUP(D281,Planilha!O:O,Planilha!C:C)</f>
        <v>02.03.11.04.03</v>
      </c>
      <c r="C281" s="90" t="str">
        <f>_xlfn.XLOOKUP($D281,Planilha!$O:$O,Planilha!F:F)</f>
        <v>DISPOSITIVO SUPRESSOR DE SURTO DPS CLASSE 2 40 KA, 350V, 1,4 KV</v>
      </c>
      <c r="D281" s="91">
        <f>LARGE(Planilha!$O:$O,$A281)</f>
        <v>4317.33</v>
      </c>
      <c r="E281" s="92">
        <f t="shared" si="12"/>
        <v>3.1018401447365938E-4</v>
      </c>
      <c r="F281" s="93">
        <f t="shared" si="13"/>
        <v>0.95552300217472652</v>
      </c>
      <c r="I281" s="73" t="str">
        <v>REGULARIZAÇÃO E COMPACTAÇÃO DE SUBLEITO DE SOLO  PREDOMINANTEMENTE ARGILOSO. AF_11/2019</v>
      </c>
    </row>
    <row r="282" spans="1:9" ht="33.6" x14ac:dyDescent="0.3">
      <c r="A282" s="88">
        <f t="shared" si="14"/>
        <v>274</v>
      </c>
      <c r="B282" s="89" t="str">
        <f>_xlfn.XLOOKUP(D282,Planilha!O:O,Planilha!C:C)</f>
        <v>02.03.11.04.03</v>
      </c>
      <c r="C282" s="90" t="str">
        <f>_xlfn.XLOOKUP($D282,Planilha!$O:$O,Planilha!F:F)</f>
        <v>DISPOSITIVO SUPRESSOR DE SURTO DPS CLASSE 2 40 KA, 350V, 1,4 KV</v>
      </c>
      <c r="D282" s="91">
        <f>LARGE(Planilha!$O:$O,$A282)</f>
        <v>4317.33</v>
      </c>
      <c r="E282" s="92">
        <f t="shared" si="12"/>
        <v>3.1018401447365938E-4</v>
      </c>
      <c r="F282" s="93">
        <f t="shared" si="13"/>
        <v>0.95583318618920021</v>
      </c>
      <c r="I282" s="73" t="str">
        <v>SALA DE LAMINAÇÃO - SISTEMA ACOPLADO DE SEGURANCA COM CHUVEIRO E LAVA OLHOS COM KIT EM ABS. 250MM DE DIÂMETRO, ACIONAMENTO ATRAVÉS DE HASTE EM AÇO INOXIDÁVEL. LAVA OLHOS TAMBÉM COM PIA EM ABS, DOIS CRIVOS COM ACIONAMENTO MANUAL ATRAVÉS DE ALAVANCA "EMPURRE". FIXAÇÃO DIRETA NO PISO. TUBULAÇÕES E CONEXÕES EM TUBO DE GALVANIZADO, PINTADO NA COR VERDE.</v>
      </c>
    </row>
    <row r="283" spans="1:9" ht="33.6" x14ac:dyDescent="0.3">
      <c r="A283" s="88">
        <f t="shared" si="14"/>
        <v>275</v>
      </c>
      <c r="B283" s="89" t="str">
        <f>_xlfn.XLOOKUP(D283,Planilha!O:O,Planilha!C:C)</f>
        <v>02.03.11.04.03</v>
      </c>
      <c r="C283" s="90" t="str">
        <f>_xlfn.XLOOKUP($D283,Planilha!$O:$O,Planilha!F:F)</f>
        <v>DISPOSITIVO SUPRESSOR DE SURTO DPS CLASSE 2 40 KA, 350V, 1,4 KV</v>
      </c>
      <c r="D283" s="91">
        <f>LARGE(Planilha!$O:$O,$A283)</f>
        <v>4317.33</v>
      </c>
      <c r="E283" s="92">
        <f t="shared" si="12"/>
        <v>3.1018401447365938E-4</v>
      </c>
      <c r="F283" s="93">
        <f t="shared" si="13"/>
        <v>0.9561433702036739</v>
      </c>
      <c r="I283" s="73" t="str">
        <v>REMOÇÃO DE JANELAS, DE FORMA MANUAL, SEM REAPROVEITAMENTO. AF_12/2017</v>
      </c>
    </row>
    <row r="284" spans="1:9" ht="33.6" x14ac:dyDescent="0.3">
      <c r="A284" s="88">
        <f t="shared" si="14"/>
        <v>276</v>
      </c>
      <c r="B284" s="89" t="str">
        <f>_xlfn.XLOOKUP(D284,Planilha!O:O,Planilha!C:C)</f>
        <v>02.03.11.04.03</v>
      </c>
      <c r="C284" s="90" t="str">
        <f>_xlfn.XLOOKUP($D284,Planilha!$O:$O,Planilha!F:F)</f>
        <v>DISPOSITIVO SUPRESSOR DE SURTO DPS CLASSE 2 40 KA, 350V, 1,4 KV</v>
      </c>
      <c r="D284" s="91">
        <f>LARGE(Planilha!$O:$O,$A284)</f>
        <v>4317.33</v>
      </c>
      <c r="E284" s="92">
        <f t="shared" si="12"/>
        <v>3.1018401447365938E-4</v>
      </c>
      <c r="F284" s="93">
        <f t="shared" si="13"/>
        <v>0.95645355421814759</v>
      </c>
      <c r="I284" s="73" t="str">
        <v>BASE INERCIA - FABRICANTE VIBRA-STOP  (DIM. 1,00X1,00)M - MSCC 200 - UNC 3/8"</v>
      </c>
    </row>
    <row r="285" spans="1:9" ht="33.6" x14ac:dyDescent="0.3">
      <c r="A285" s="88">
        <f t="shared" si="14"/>
        <v>277</v>
      </c>
      <c r="B285" s="89" t="str">
        <f>_xlfn.XLOOKUP(D285,Planilha!O:O,Planilha!C:C)</f>
        <v>02.03.11.04.03</v>
      </c>
      <c r="C285" s="90" t="str">
        <f>_xlfn.XLOOKUP($D285,Planilha!$O:$O,Planilha!F:F)</f>
        <v>DISPOSITIVO SUPRESSOR DE SURTO DPS CLASSE 2 40 KA, 350V, 1,4 KV</v>
      </c>
      <c r="D285" s="91">
        <f>LARGE(Planilha!$O:$O,$A285)</f>
        <v>4317.33</v>
      </c>
      <c r="E285" s="92">
        <f t="shared" si="12"/>
        <v>3.1018401447365938E-4</v>
      </c>
      <c r="F285" s="93">
        <f t="shared" si="13"/>
        <v>0.95676373823262129</v>
      </c>
      <c r="I285" s="73" t="str">
        <v>BOMBA CENTRIFUGA SUBMERSA,PARA AGUAS SERVIDAS,DE 0,5CV,110/2 20V.FORNECIMENTO E COLOCACAO</v>
      </c>
    </row>
    <row r="286" spans="1:9" ht="33.6" x14ac:dyDescent="0.3">
      <c r="A286" s="88">
        <f t="shared" si="14"/>
        <v>278</v>
      </c>
      <c r="B286" s="89" t="str">
        <f>_xlfn.XLOOKUP(D286,Planilha!O:O,Planilha!C:C)</f>
        <v>02.03.11.04.03</v>
      </c>
      <c r="C286" s="90" t="str">
        <f>_xlfn.XLOOKUP($D286,Planilha!$O:$O,Planilha!F:F)</f>
        <v>DISPOSITIVO SUPRESSOR DE SURTO DPS CLASSE 2 40 KA, 350V, 1,4 KV</v>
      </c>
      <c r="D286" s="91">
        <f>LARGE(Planilha!$O:$O,$A286)</f>
        <v>4317.33</v>
      </c>
      <c r="E286" s="92">
        <f t="shared" si="12"/>
        <v>3.1018401447365938E-4</v>
      </c>
      <c r="F286" s="93">
        <f t="shared" si="13"/>
        <v>0.95707392224709498</v>
      </c>
      <c r="I286" s="73" t="str">
        <v>JA04 - 6 MÓDULOS DE 0,74x0,53 DE JANELAS DE ALUMÍNIO LINHA 25 TIPO MAXIM-AR, COM VIDRO DE 6mm, COM CONTRAMARCO, ALIZAR, BATENTE E FERRAGENS, ACAB. PINTURA ELETROSTÁTICA COR RAL 7021 - 3,57X 0,80M</v>
      </c>
    </row>
    <row r="287" spans="1:9" ht="33.6" x14ac:dyDescent="0.3">
      <c r="A287" s="88">
        <f t="shared" si="14"/>
        <v>279</v>
      </c>
      <c r="B287" s="89" t="str">
        <f>_xlfn.XLOOKUP(D287,Planilha!O:O,Planilha!C:C)</f>
        <v>02.03.11.04.03</v>
      </c>
      <c r="C287" s="90" t="str">
        <f>_xlfn.XLOOKUP($D287,Planilha!$O:$O,Planilha!F:F)</f>
        <v>DISPOSITIVO SUPRESSOR DE SURTO DPS CLASSE 2 40 KA, 350V, 1,4 KV</v>
      </c>
      <c r="D287" s="91">
        <f>LARGE(Planilha!$O:$O,$A287)</f>
        <v>4317.33</v>
      </c>
      <c r="E287" s="92">
        <f t="shared" si="12"/>
        <v>3.1018401447365938E-4</v>
      </c>
      <c r="F287" s="93">
        <f t="shared" si="13"/>
        <v>0.95738410626156867</v>
      </c>
      <c r="I287" s="73" t="str">
        <v>COTOVELO 90 GRAUS, EM FERRO GALVANIZADO, CONEXÃO ROSQUEADA, DN 65 (2 1/2), INSTALADO EM RESERVAÇÃO DE ÁGUA DE EDIFICAÇÃO QUE POSSUA RESERVATÓRIO DE FIBRA/FIBROCIMENTO  FORNECIMENTO E INSTALAÇÃO. AF_06/2016</v>
      </c>
    </row>
    <row r="288" spans="1:9" ht="33.6" x14ac:dyDescent="0.3">
      <c r="A288" s="88">
        <f t="shared" si="14"/>
        <v>280</v>
      </c>
      <c r="B288" s="89" t="str">
        <f>_xlfn.XLOOKUP(D288,Planilha!O:O,Planilha!C:C)</f>
        <v>02.03.11.04.03</v>
      </c>
      <c r="C288" s="90" t="str">
        <f>_xlfn.XLOOKUP($D288,Planilha!$O:$O,Planilha!F:F)</f>
        <v>DISPOSITIVO SUPRESSOR DE SURTO DPS CLASSE 2 40 KA, 350V, 1,4 KV</v>
      </c>
      <c r="D288" s="91">
        <f>LARGE(Planilha!$O:$O,$A288)</f>
        <v>4317.33</v>
      </c>
      <c r="E288" s="92">
        <f t="shared" si="12"/>
        <v>3.1018401447365938E-4</v>
      </c>
      <c r="F288" s="93">
        <f t="shared" si="13"/>
        <v>0.95769429027604236</v>
      </c>
      <c r="I288" s="73" t="str">
        <v>BRS02 - PAINEL DE SISTEMA LINEAR RB FIXADO SOBRE PORTA PAINEL RB AUTOTRAVE TODO EM ALUMÍNIO, COR RAL 7021 - 0,885X 2,96M</v>
      </c>
    </row>
    <row r="289" spans="1:9" ht="33.6" x14ac:dyDescent="0.3">
      <c r="A289" s="88">
        <f t="shared" si="14"/>
        <v>281</v>
      </c>
      <c r="B289" s="89" t="str">
        <f>_xlfn.XLOOKUP(D289,Planilha!O:O,Planilha!C:C)</f>
        <v>02.03.11.14.02</v>
      </c>
      <c r="C289" s="90" t="str">
        <f>_xlfn.XLOOKUP($D289,Planilha!$O:$O,Planilha!F:F)</f>
        <v>ELETRODUTO FERRO GALVANIZADO ROSCAVEL 3/4"" COM CONEXOES</v>
      </c>
      <c r="D289" s="91">
        <f>LARGE(Planilha!$O:$O,$A289)</f>
        <v>4270.5600000000004</v>
      </c>
      <c r="E289" s="92">
        <f t="shared" si="12"/>
        <v>3.0682376488492451E-4</v>
      </c>
      <c r="F289" s="93">
        <f t="shared" si="13"/>
        <v>0.95800111404092725</v>
      </c>
      <c r="I289" s="73" t="str">
        <v xml:space="preserve">SALA DE CORTES - Armário medindo 900x520x2000mm provida de duas portas e seis níveis de apoio. - COMPOSTO DE: 2,00 MÃOS FRANCESA BRANCA MED. 200X250MM - </v>
      </c>
    </row>
    <row r="290" spans="1:9" ht="50.4" x14ac:dyDescent="0.3">
      <c r="A290" s="88">
        <f t="shared" si="14"/>
        <v>282</v>
      </c>
      <c r="B290" s="89" t="str">
        <f>_xlfn.XLOOKUP(D290,Planilha!O:O,Planilha!C:C)</f>
        <v>02.02.02.03</v>
      </c>
      <c r="C290" s="90" t="str">
        <f>_xlfn.XLOOKUP($D290,Planilha!$O:$O,Planilha!F:F)</f>
        <v>DV02.B - FORNECIMENTO E INSTALAÇÃO DE DIVISORIA EM VIDRO TEMPERADO 10 mm INCOLOR COM MONTANTES EM ALUMINIO, PERFIL 55mm COR PRETA RAL 7021.( 2,58 X 2,60)M</v>
      </c>
      <c r="D290" s="91">
        <f>LARGE(Planilha!$O:$O,$A290)</f>
        <v>4241.6000000000004</v>
      </c>
      <c r="E290" s="92">
        <f t="shared" si="12"/>
        <v>3.0474309719003966E-4</v>
      </c>
      <c r="F290" s="93">
        <f t="shared" si="13"/>
        <v>0.95830585713811733</v>
      </c>
      <c r="I290" s="73" t="str">
        <v>ESTRUTURA ILUM. ZENITAL</v>
      </c>
    </row>
    <row r="291" spans="1:9" ht="50.4" x14ac:dyDescent="0.3">
      <c r="A291" s="88">
        <f t="shared" si="14"/>
        <v>283</v>
      </c>
      <c r="B291" s="89" t="str">
        <f>_xlfn.XLOOKUP(D291,Planilha!O:O,Planilha!C:C)</f>
        <v>02.03.02.01.27</v>
      </c>
      <c r="C291" s="90" t="str">
        <f>_xlfn.XLOOKUP($D291,Planilha!$O:$O,Planilha!F:F)</f>
        <v>ELETRODUTO DE AÇO GALVANIZADO, CLASSE LEVE, DN 25 MM (1), APARENTE, INSTALADO EM TETO - FORNECIMENTO E INSTALAÇÃO. AF_11/2016_P</v>
      </c>
      <c r="D291" s="91">
        <f>LARGE(Planilha!$O:$O,$A291)</f>
        <v>4229.9399999999996</v>
      </c>
      <c r="E291" s="92">
        <f t="shared" si="12"/>
        <v>3.0390536979631178E-4</v>
      </c>
      <c r="F291" s="93">
        <f t="shared" si="13"/>
        <v>0.95860976250791363</v>
      </c>
      <c r="I291" s="73" t="str">
        <v>CABOS UTP 4 PARES CAT A</v>
      </c>
    </row>
    <row r="292" spans="1:9" ht="184.8" x14ac:dyDescent="0.3">
      <c r="A292" s="88">
        <f t="shared" si="14"/>
        <v>284</v>
      </c>
      <c r="B292" s="89" t="str">
        <f>_xlfn.XLOOKUP(D292,Planilha!O:O,Planilha!C:C)</f>
        <v>02.02.16.03</v>
      </c>
      <c r="C292" s="90" t="str">
        <f>_xlfn.XLOOKUP($D292,Planilha!$O:$O,Planilha!F:F)</f>
        <v>PF02 - PORTA(S) DE ENROLAR PARA ACIONAMENTO ELÉTRICO ATRAVÉS DE ACIONADOR PROPRIO PARA ESTE TIPO DE PORTA, TENDO: FREIO ELÉTROMAGNÉTICO A DISCO, ACIONAMENTO MANUAL DE EMERGENCIA FEITO COM CORRENTE DE ELOS,PARA O CASO DE FALTA DE ENERGIA,COMANDO MAGNÉTICO COM CONTATORES ELÉTRICOS,MOTOR BLINDADO PARA 220/380 VOLTS MONOFÁSICO, EIXO ENROLADOR FEITO COM TUBO COM CUSTURA DE DIAMETRO DETERMINDADO PELA LARGURA DA PORTA E GUIAS CORREDIÇAS FEITAS COM PERFIL "U" DE CHAPA DOBRADA COM PROFUNDIDADE DETERMINADA PELA LARGURA DA PORTA 2,40X2,86M</v>
      </c>
      <c r="D292" s="91">
        <f>LARGE(Planilha!$O:$O,$A292)</f>
        <v>4225.2</v>
      </c>
      <c r="E292" s="92">
        <f t="shared" si="12"/>
        <v>3.035648185230468E-4</v>
      </c>
      <c r="F292" s="93">
        <f t="shared" si="13"/>
        <v>0.95891332732643664</v>
      </c>
      <c r="I292" s="73" t="str">
        <v>DW.02 - PAREDE COM PLACAS DE GESSO ACARTONADO (DRYWALL), PARA USO INTERNO, ESPESSURA TOTAL 120MM COM DUAS FACES DUPLAS E ESTRUTURA METÁLICA COM GUIA SIMPLES 48MM, TRATAMENTO ACÚSTICO E ENCHIMENTO EM LÃ DE VIDRO OU EQUIVALENTE TÉCNICO.</v>
      </c>
    </row>
    <row r="293" spans="1:9" ht="33.6" x14ac:dyDescent="0.3">
      <c r="A293" s="88">
        <f t="shared" si="14"/>
        <v>285</v>
      </c>
      <c r="B293" s="89" t="str">
        <f>_xlfn.XLOOKUP(D293,Planilha!O:O,Planilha!C:C)</f>
        <v>02.02.17.13</v>
      </c>
      <c r="C293" s="90" t="str">
        <f>_xlfn.XLOOKUP($D293,Planilha!$O:$O,Planilha!F:F)</f>
        <v>SALA FOTOGRAFIA - ARMARIO MEDINDO 900X300X900MM PROVIDO DE DUAS PORTAS E TRES NIVEIS DE APOIO.</v>
      </c>
      <c r="D293" s="91">
        <f>LARGE(Planilha!$O:$O,$A293)</f>
        <v>4222.62</v>
      </c>
      <c r="E293" s="92">
        <f t="shared" si="12"/>
        <v>3.0337945517177597E-4</v>
      </c>
      <c r="F293" s="93">
        <f t="shared" si="13"/>
        <v>0.95921670678160842</v>
      </c>
      <c r="I293" s="73" t="str">
        <v>ELETRODUTO FLEXÍVEL CORRUGADO REFORÇADO, PVC, DN 32 MM (1"), PARA CIRCUITOS TERMINAIS, INSTALADO EM FORRO - FORNECIMENTO E INSTALAÇÃO. AF_12/2015</v>
      </c>
    </row>
    <row r="294" spans="1:9" ht="33.6" x14ac:dyDescent="0.3">
      <c r="A294" s="88">
        <f t="shared" si="14"/>
        <v>286</v>
      </c>
      <c r="B294" s="89" t="str">
        <f>_xlfn.XLOOKUP(D294,Planilha!O:O,Planilha!C:C)</f>
        <v>02.02.17.19</v>
      </c>
      <c r="C294" s="90" t="str">
        <f>_xlfn.XLOOKUP($D294,Planilha!$O:$O,Planilha!F:F)</f>
        <v>SALA FRANTZ - ARMARIO SUPERIOR MEDINDO 900X300X900MM PROVIDO DE DUAS PORTAS E TRES NIVEIS DE APOIO.</v>
      </c>
      <c r="D294" s="91">
        <f>LARGE(Planilha!$O:$O,$A294)</f>
        <v>4222.6099999999997</v>
      </c>
      <c r="E294" s="92">
        <f t="shared" si="12"/>
        <v>3.0337873670917417E-4</v>
      </c>
      <c r="F294" s="93">
        <f t="shared" si="13"/>
        <v>0.95952008551831758</v>
      </c>
      <c r="I294" s="73" t="str">
        <v>PA01 - PORTA SIMPLES DE ABRIR DE VENEZIANA EM ALUMÍNIO COM PINTURA ELETROSTÁTICA COR RAL 7021 - 0,90X 2,10M x2</v>
      </c>
    </row>
    <row r="295" spans="1:9" x14ac:dyDescent="0.3">
      <c r="A295" s="88">
        <f t="shared" si="14"/>
        <v>287</v>
      </c>
      <c r="B295" s="89" t="str">
        <f>_xlfn.XLOOKUP(D295,Planilha!O:O,Planilha!C:C)</f>
        <v>02.02.11.02.12</v>
      </c>
      <c r="C295" s="90" t="str">
        <f>_xlfn.XLOOKUP($D295,Planilha!$O:$O,Planilha!F:F)</f>
        <v>CALHA INTERNA MK</v>
      </c>
      <c r="D295" s="91">
        <f>LARGE(Planilha!$O:$O,$A295)</f>
        <v>4179.74</v>
      </c>
      <c r="E295" s="92">
        <f t="shared" si="12"/>
        <v>3.0029868753515094E-4</v>
      </c>
      <c r="F295" s="93">
        <f t="shared" si="13"/>
        <v>0.95982038420585269</v>
      </c>
      <c r="I295" s="73" t="str">
        <v>ELE.01 - ELEMENTO VAZADO EM CONCRETO, TIPO QUADRICULADO DE 39 X 39 X 10 CM</v>
      </c>
    </row>
    <row r="296" spans="1:9" ht="67.2" x14ac:dyDescent="0.3">
      <c r="A296" s="88">
        <f t="shared" si="14"/>
        <v>288</v>
      </c>
      <c r="B296" s="89" t="str">
        <f>_xlfn.XLOOKUP(D296,Planilha!O:O,Planilha!C:C)</f>
        <v>02.02.12.04</v>
      </c>
      <c r="C296" s="90" t="str">
        <f>_xlfn.XLOOKUP($D296,Planilha!$O:$O,Planilha!F:F)</f>
        <v>CUBA DE EMBUTIR QUADRADA (DECA LINHA REF L701 - GE17 - 41CM)  P/ INSTALAÇÃO EM BANCADAS, C/ SIFÃO CROMADO (DECA REF C1680) , VÁLVULA CROMADA (DECA C1602) E ENGATE CROMADO (DECA) OU SIMILARES</v>
      </c>
      <c r="D296" s="91">
        <f>LARGE(Planilha!$O:$O,$A296)</f>
        <v>4157.43</v>
      </c>
      <c r="E296" s="92">
        <f t="shared" si="12"/>
        <v>2.9869579747047965E-4</v>
      </c>
      <c r="F296" s="93">
        <f t="shared" si="13"/>
        <v>0.96011908000332313</v>
      </c>
      <c r="I296" s="73" t="str">
        <v>TUBO EM COBRE RÍGIDO, DN 22 MM, CLASSE A, SEM ISOLAMENTO, INSTALADO EM RAMAL DE DISTRIBUIÇÃO FORNECIMENTO E INSTALAÇÃO. AF_12/2015</v>
      </c>
    </row>
    <row r="297" spans="1:9" x14ac:dyDescent="0.3">
      <c r="A297" s="88">
        <f t="shared" si="14"/>
        <v>289</v>
      </c>
      <c r="B297" s="89" t="str">
        <f>_xlfn.XLOOKUP(D297,Planilha!O:O,Planilha!C:C)</f>
        <v>02.03.01.07</v>
      </c>
      <c r="C297" s="90" t="str">
        <f>_xlfn.XLOOKUP($D297,Planilha!$O:$O,Planilha!F:F)</f>
        <v>INSTALAÇÃO DE LUMINÁRIAS</v>
      </c>
      <c r="D297" s="91">
        <f>LARGE(Planilha!$O:$O,$A297)</f>
        <v>4121.58</v>
      </c>
      <c r="E297" s="92">
        <f t="shared" si="12"/>
        <v>2.9612010904293747E-4</v>
      </c>
      <c r="F297" s="93">
        <f t="shared" si="13"/>
        <v>0.96041520011236603</v>
      </c>
      <c r="I297" s="73" t="str">
        <v>ELETRODUTO FERRO GALVANIZADO ROSCAVEL 2"" COM CONEXOES</v>
      </c>
    </row>
    <row r="298" spans="1:9" x14ac:dyDescent="0.3">
      <c r="A298" s="88">
        <f t="shared" si="14"/>
        <v>290</v>
      </c>
      <c r="B298" s="89" t="str">
        <f>_xlfn.XLOOKUP(D298,Planilha!O:O,Planilha!C:C)</f>
        <v>02.04.01.02.04</v>
      </c>
      <c r="C298" s="90" t="str">
        <f>_xlfn.XLOOKUP($D298,Planilha!$O:$O,Planilha!F:F)</f>
        <v>LUVA DE CORRER - JUNTA ELÁSTICA INTEGRADA - JEI - 200 MM</v>
      </c>
      <c r="D298" s="91">
        <f>LARGE(Planilha!$O:$O,$A298)</f>
        <v>3947.51</v>
      </c>
      <c r="E298" s="92">
        <f t="shared" si="12"/>
        <v>2.8361383053297182E-4</v>
      </c>
      <c r="F298" s="93">
        <f t="shared" si="13"/>
        <v>0.96069881394289902</v>
      </c>
      <c r="I298" s="73" t="str">
        <v>PV03 - FORNECIMENTO E INSTALAÇÃO DE PAINEL DE VIDRO TEMPERADO 8MM, COM JUNTA SECA, PERFIL DE ALUMINIO, PINTURA ELETROSTATICA: 2,426 X 2,400M</v>
      </c>
    </row>
    <row r="299" spans="1:9" ht="33.6" x14ac:dyDescent="0.3">
      <c r="A299" s="88">
        <f t="shared" si="14"/>
        <v>291</v>
      </c>
      <c r="B299" s="89" t="str">
        <f>_xlfn.XLOOKUP(D299,Planilha!O:O,Planilha!C:C)</f>
        <v>02.04.01.05.05</v>
      </c>
      <c r="C299" s="90" t="str">
        <f>_xlfn.XLOOKUP($D299,Planilha!$O:$O,Planilha!F:F)</f>
        <v>TAMPÃO EM FERRO FUNDIDO DE 600 X 600 MM, CLASSE B 125 (RUPTURA &gt; 125 KN)</v>
      </c>
      <c r="D299" s="91">
        <f>LARGE(Planilha!$O:$O,$A299)</f>
        <v>3881.92</v>
      </c>
      <c r="E299" s="92">
        <f t="shared" si="12"/>
        <v>2.7890143432760249E-4</v>
      </c>
      <c r="F299" s="93">
        <f t="shared" si="13"/>
        <v>0.96097771537722665</v>
      </c>
      <c r="I299" s="73" t="str">
        <v>PA02 - PORTA DUPLA DE ABRIR DE VENEZIANA DE ALUMÍNIO COM PINTURA ELETROSTÁTICA COR RAL 7021 - 1,74X 2,07M</v>
      </c>
    </row>
    <row r="300" spans="1:9" ht="33.6" x14ac:dyDescent="0.3">
      <c r="A300" s="88">
        <f t="shared" si="14"/>
        <v>292</v>
      </c>
      <c r="B300" s="89" t="str">
        <f>_xlfn.XLOOKUP(D300,Planilha!O:O,Planilha!C:C)</f>
        <v>02.04.01.05.05</v>
      </c>
      <c r="C300" s="90" t="str">
        <f>_xlfn.XLOOKUP($D300,Planilha!$O:$O,Planilha!F:F)</f>
        <v>TAMPÃO EM FERRO FUNDIDO DE 600 X 600 MM, CLASSE B 125 (RUPTURA &gt; 125 KN)</v>
      </c>
      <c r="D300" s="91">
        <f>LARGE(Planilha!$O:$O,$A300)</f>
        <v>3881.92</v>
      </c>
      <c r="E300" s="92">
        <f t="shared" si="12"/>
        <v>2.7890143432760249E-4</v>
      </c>
      <c r="F300" s="93">
        <f t="shared" si="13"/>
        <v>0.96125661681155428</v>
      </c>
      <c r="I300" s="73" t="str">
        <v>PM03 - PORTA SIMPLES DE ABRIR EM MADEIRA PARA PCD COM BARRA DE APOIO E CHAPA DE PROTEÇÃO - 0,90X 2,10M</v>
      </c>
    </row>
    <row r="301" spans="1:9" ht="33.6" x14ac:dyDescent="0.3">
      <c r="A301" s="88">
        <f t="shared" si="14"/>
        <v>293</v>
      </c>
      <c r="B301" s="89" t="str">
        <f>_xlfn.XLOOKUP(D301,Planilha!O:O,Planilha!C:C)</f>
        <v>02.02.08.04</v>
      </c>
      <c r="C301" s="90" t="str">
        <f>_xlfn.XLOOKUP($D301,Planilha!$O:$O,Planilha!F:F)</f>
        <v>CHP.02 - CHAPIM EM CONCRETO PRÉ-MOLDADO, LARGURA 13CM E ESPESSURA 2CM</v>
      </c>
      <c r="D301" s="91">
        <f>LARGE(Planilha!$O:$O,$A301)</f>
        <v>3872.39</v>
      </c>
      <c r="E301" s="92">
        <f t="shared" si="12"/>
        <v>2.7821673946806335E-4</v>
      </c>
      <c r="F301" s="93">
        <f t="shared" si="13"/>
        <v>0.96153483355102232</v>
      </c>
      <c r="I301" s="73" t="str">
        <v>CABO COBRE NU 7 FIOS 1AWG - 35MM2</v>
      </c>
    </row>
    <row r="302" spans="1:9" ht="50.4" x14ac:dyDescent="0.3">
      <c r="A302" s="88">
        <f t="shared" si="14"/>
        <v>294</v>
      </c>
      <c r="B302" s="89" t="str">
        <f>_xlfn.XLOOKUP(D302,Planilha!O:O,Planilha!C:C)</f>
        <v>02.04.03.01.01</v>
      </c>
      <c r="C302" s="90" t="str">
        <f>_xlfn.XLOOKUP($D302,Planilha!$O:$O,Planilha!F:F)</f>
        <v>TUBO PVC, SERIE NORMAL, ESGOTO PREDIAL, DN 40 MM, FORNECIDO E INSTALADO EM RAMAL DE DESCARGA OU RAMAL DE ESGOTO SANITÁRIO. AF_12/2014</v>
      </c>
      <c r="D302" s="91">
        <f>LARGE(Planilha!$O:$O,$A302)</f>
        <v>3822.72</v>
      </c>
      <c r="E302" s="92">
        <f t="shared" si="12"/>
        <v>2.7464813572479919E-4</v>
      </c>
      <c r="F302" s="93">
        <f t="shared" si="13"/>
        <v>0.96180948168674707</v>
      </c>
      <c r="I302" s="73" t="str">
        <v>ANEL BORRACHA PARA PVC 50MM</v>
      </c>
    </row>
    <row r="303" spans="1:9" ht="33.6" x14ac:dyDescent="0.3">
      <c r="A303" s="88">
        <f t="shared" si="14"/>
        <v>295</v>
      </c>
      <c r="B303" s="89" t="str">
        <f>_xlfn.XLOOKUP(D303,Planilha!O:O,Planilha!C:C)</f>
        <v>02.03.04.03</v>
      </c>
      <c r="C303" s="90" t="str">
        <f>_xlfn.XLOOKUP($D303,Planilha!$O:$O,Planilha!F:F)</f>
        <v>FORNECIMENTO E ASSENTAMENTO DE TUBO PEAD FLEXÍVEL CORRUGADO PERFURADO D = 4" (KANANET OU SIMILAR)</v>
      </c>
      <c r="D303" s="91">
        <f>LARGE(Planilha!$O:$O,$A303)</f>
        <v>3821.4</v>
      </c>
      <c r="E303" s="92">
        <f t="shared" si="12"/>
        <v>2.7455329866135831E-4</v>
      </c>
      <c r="F303" s="93">
        <f t="shared" si="13"/>
        <v>0.9620840349854084</v>
      </c>
      <c r="I303" s="73" t="str">
        <v>PV01 - FORNECIMENTO E INSTALAÇÃO DE PAINEL DE VIDRO TEMPERADO 8MM, COM JUNTA SECA, PERFIL DE ALUMINIO, PINTURA ELETROSTATICA: 2,250 X 2,441M</v>
      </c>
    </row>
    <row r="304" spans="1:9" ht="50.4" x14ac:dyDescent="0.3">
      <c r="A304" s="88">
        <f t="shared" si="14"/>
        <v>296</v>
      </c>
      <c r="B304" s="89" t="str">
        <f>_xlfn.XLOOKUP(D304,Planilha!O:O,Planilha!C:C)</f>
        <v>02.02.16.04</v>
      </c>
      <c r="C304" s="90" t="str">
        <f>_xlfn.XLOOKUP($D304,Planilha!$O:$O,Planilha!F:F)</f>
        <v>PORTÃO DE ABRIR (1 FOLHA) COM FERROLHO HORIZONTAL E TRINCO FERROLHO DE CHÃO, ESTRUTURADO POR PERFIS METÁLICOS E VEDAÇÃO EM ALAMBRADO - 0,95X2,10M</v>
      </c>
      <c r="D304" s="91">
        <f>LARGE(Planilha!$O:$O,$A304)</f>
        <v>3821.06</v>
      </c>
      <c r="E304" s="92">
        <f t="shared" si="12"/>
        <v>2.7452887093289623E-4</v>
      </c>
      <c r="F304" s="93">
        <f t="shared" si="13"/>
        <v>0.96235856385634133</v>
      </c>
      <c r="I304" s="73" t="str">
        <v>CPM.05.B - PAINEL EM CHAPA METÁLICA PERFURADA REDONDA EM AÇO INOX 304 - PERFURAÇÃO R8,00 EC11,00. ACABAMENTO EM PINTURA ELETROSTÁTICA COR RAL 7042 BRILHANTE. SUBESTRUTURA EM PERFIS DE AÇO INOX 304 E ACESSÓRIOS PARA FIXAÇÃO PINTADOS NA MESMA COR, PARAFUSOS SEM PINTURA.0,421 - 5,286m2</v>
      </c>
    </row>
    <row r="305" spans="1:9" ht="50.4" x14ac:dyDescent="0.3">
      <c r="A305" s="88">
        <f t="shared" si="14"/>
        <v>297</v>
      </c>
      <c r="B305" s="89" t="str">
        <f>_xlfn.XLOOKUP(D305,Planilha!O:O,Planilha!C:C)</f>
        <v>02.02.15.04.04</v>
      </c>
      <c r="C305" s="90" t="str">
        <f>_xlfn.XLOOKUP($D305,Planilha!$O:$O,Planilha!F:F)</f>
        <v>PV04 - FORNECIMENTO E INSTALAÇÃO DE PAINEL DE VIDRO TEMPERADO 8MM, COM JUNTA SECA, PERFIL DE ALUMINIO, PINTURA ELETROSTATICA: 2,835 X 2,400M</v>
      </c>
      <c r="D305" s="91">
        <f>LARGE(Planilha!$O:$O,$A305)</f>
        <v>3806.64</v>
      </c>
      <c r="E305" s="92">
        <f t="shared" si="12"/>
        <v>2.7349284786106479E-4</v>
      </c>
      <c r="F305" s="93">
        <f t="shared" si="13"/>
        <v>0.96263205670420238</v>
      </c>
      <c r="I305" s="73" t="str">
        <v>CAIXA PARA ATÉ 80 DISJUNTORES E BARRAMENTO</v>
      </c>
    </row>
    <row r="306" spans="1:9" x14ac:dyDescent="0.3">
      <c r="A306" s="88">
        <f t="shared" si="14"/>
        <v>298</v>
      </c>
      <c r="B306" s="89" t="str">
        <f>_xlfn.XLOOKUP(D306,Planilha!O:O,Planilha!C:C)</f>
        <v>02.06.01.01.02</v>
      </c>
      <c r="C306" s="90" t="str">
        <f>_xlfn.XLOOKUP($D306,Planilha!$O:$O,Planilha!F:F)</f>
        <v>FRETE DOS EQUIPAMENTOS</v>
      </c>
      <c r="D306" s="91">
        <f>LARGE(Planilha!$O:$O,$A306)</f>
        <v>3790</v>
      </c>
      <c r="E306" s="92">
        <f t="shared" si="12"/>
        <v>2.7229732609162821E-4</v>
      </c>
      <c r="F306" s="93">
        <f t="shared" si="13"/>
        <v>0.96290435403029395</v>
      </c>
      <c r="I306" s="73" t="str">
        <v>CONDULETE ALUMINIO ""T"" 2"" COM TAMPA</v>
      </c>
    </row>
    <row r="307" spans="1:9" ht="33.6" x14ac:dyDescent="0.3">
      <c r="A307" s="88">
        <f t="shared" si="14"/>
        <v>299</v>
      </c>
      <c r="B307" s="89" t="str">
        <f>_xlfn.XLOOKUP(D307,Planilha!O:O,Planilha!C:C)</f>
        <v>02.02.06.01</v>
      </c>
      <c r="C307" s="90" t="str">
        <f>_xlfn.XLOOKUP($D307,Planilha!$O:$O,Planilha!F:F)</f>
        <v>REGULARIZAÇÃO E COMPACTAÇÃO DE SUBLEITO DE SOLO  PREDOMINANTEMENTE ARGILOSO. AF_11/2019</v>
      </c>
      <c r="D307" s="91">
        <f>LARGE(Planilha!$O:$O,$A307)</f>
        <v>3747.13</v>
      </c>
      <c r="E307" s="92">
        <f t="shared" si="12"/>
        <v>2.6921727691760498E-4</v>
      </c>
      <c r="F307" s="93">
        <f t="shared" si="13"/>
        <v>0.9631735713072116</v>
      </c>
      <c r="I307" s="73" t="str">
        <v>DETECTOR DE FUMACA FOTOELETRICO - ENDERECAVEL - CL-180</v>
      </c>
    </row>
    <row r="308" spans="1:9" ht="117.6" x14ac:dyDescent="0.3">
      <c r="A308" s="88">
        <f t="shared" si="14"/>
        <v>300</v>
      </c>
      <c r="B308" s="89" t="str">
        <f>_xlfn.XLOOKUP(D308,Planilha!O:O,Planilha!C:C)</f>
        <v>02.02.17.03</v>
      </c>
      <c r="C308" s="90" t="str">
        <f>_xlfn.XLOOKUP($D308,Planilha!$O:$O,Planilha!F:F)</f>
        <v>SALA DE LAMINAÇÃO - SISTEMA ACOPLADO DE SEGURANCA COM CHUVEIRO E LAVA OLHOS COM KIT EM ABS. 250MM DE DIÂMETRO, ACIONAMENTO ATRAVÉS DE HASTE EM AÇO INOXIDÁVEL. LAVA OLHOS TAMBÉM COM PIA EM ABS, DOIS CRIVOS COM ACIONAMENTO MANUAL ATRAVÉS DE ALAVANCA "EMPURRE". FIXAÇÃO DIRETA NO PISO. TUBULAÇÕES E CONEXÕES EM TUBO DE GALVANIZADO, PINTADO NA COR VERDE.</v>
      </c>
      <c r="D308" s="91">
        <f>LARGE(Planilha!$O:$O,$A308)</f>
        <v>3669.11</v>
      </c>
      <c r="E308" s="92">
        <f t="shared" si="12"/>
        <v>2.6361183169816728E-4</v>
      </c>
      <c r="F308" s="93">
        <f t="shared" si="13"/>
        <v>0.9634371831389098</v>
      </c>
      <c r="I308" s="73" t="str">
        <v>ALARME SONORO BITONAL 220 V PARA PAINEL DE COMANDO</v>
      </c>
    </row>
    <row r="309" spans="1:9" ht="117.6" x14ac:dyDescent="0.3">
      <c r="A309" s="88">
        <f t="shared" si="14"/>
        <v>301</v>
      </c>
      <c r="B309" s="89" t="str">
        <f>_xlfn.XLOOKUP(D309,Planilha!O:O,Planilha!C:C)</f>
        <v>02.02.17.03</v>
      </c>
      <c r="C309" s="90" t="str">
        <f>_xlfn.XLOOKUP($D309,Planilha!$O:$O,Planilha!F:F)</f>
        <v>SALA DE LAMINAÇÃO - SISTEMA ACOPLADO DE SEGURANCA COM CHUVEIRO E LAVA OLHOS COM KIT EM ABS. 250MM DE DIÂMETRO, ACIONAMENTO ATRAVÉS DE HASTE EM AÇO INOXIDÁVEL. LAVA OLHOS TAMBÉM COM PIA EM ABS, DOIS CRIVOS COM ACIONAMENTO MANUAL ATRAVÉS DE ALAVANCA "EMPURRE". FIXAÇÃO DIRETA NO PISO. TUBULAÇÕES E CONEXÕES EM TUBO DE GALVANIZADO, PINTADO NA COR VERDE.</v>
      </c>
      <c r="D309" s="91">
        <f>LARGE(Planilha!$O:$O,$A309)</f>
        <v>3669.11</v>
      </c>
      <c r="E309" s="92">
        <f t="shared" si="12"/>
        <v>2.6361183169816728E-4</v>
      </c>
      <c r="F309" s="93">
        <f t="shared" si="13"/>
        <v>0.96370079497060801</v>
      </c>
      <c r="I309" s="73" t="str">
        <v>BORRACHA ELASTOMÉRICA - ESP: 9MM 1.1/4" (9X42)</v>
      </c>
    </row>
    <row r="310" spans="1:9" ht="33.6" x14ac:dyDescent="0.3">
      <c r="A310" s="88">
        <f t="shared" si="14"/>
        <v>302</v>
      </c>
      <c r="B310" s="89" t="str">
        <f>_xlfn.XLOOKUP(D310,Planilha!O:O,Planilha!C:C)</f>
        <v>01.05.04</v>
      </c>
      <c r="C310" s="90" t="str">
        <f>_xlfn.XLOOKUP($D310,Planilha!$O:$O,Planilha!F:F)</f>
        <v>REMOÇÃO DE JANELAS, DE FORMA MANUAL, SEM REAPROVEITAMENTO. AF_12/2017</v>
      </c>
      <c r="D310" s="91">
        <f>LARGE(Planilha!$O:$O,$A310)</f>
        <v>3633.6</v>
      </c>
      <c r="E310" s="92">
        <f t="shared" si="12"/>
        <v>2.6106057099908712E-4</v>
      </c>
      <c r="F310" s="93">
        <f t="shared" si="13"/>
        <v>0.96396185554160707</v>
      </c>
      <c r="I310" s="73" t="str">
        <v>BOMBA CENTRÍFUGA HORIZONTAL - MOD. C750 N, VAZÃO 4,30M³/ H, POTÊNCIA 0,75CV, MOTOR TRIFÁSICO 380V, ROTAÇÃO 3450RPM, AMT 20,0MCA, FABRICANTE KSB.</v>
      </c>
    </row>
    <row r="311" spans="1:9" ht="33.6" x14ac:dyDescent="0.3">
      <c r="A311" s="88">
        <f t="shared" si="14"/>
        <v>303</v>
      </c>
      <c r="B311" s="89" t="str">
        <f>_xlfn.XLOOKUP(D311,Planilha!O:O,Planilha!C:C)</f>
        <v>02.04.02.05.04</v>
      </c>
      <c r="C311" s="90" t="str">
        <f>_xlfn.XLOOKUP($D311,Planilha!$O:$O,Planilha!F:F)</f>
        <v>BASE INERCIA - FABRICANTE VIBRA-STOP  (DIM. 1,00X1,00)M - MSCC 200 - UNC 3/8"</v>
      </c>
      <c r="D311" s="91">
        <f>LARGE(Planilha!$O:$O,$A311)</f>
        <v>3632.63</v>
      </c>
      <c r="E311" s="92">
        <f t="shared" si="12"/>
        <v>2.6099088012671013E-4</v>
      </c>
      <c r="F311" s="93">
        <f t="shared" si="13"/>
        <v>0.96422284642173373</v>
      </c>
      <c r="I311" s="73" t="str">
        <v>CONDULETE DE ALUMÍNIO, TIPO L, PARA ELETRODUTO DE AÇO GALVANIZADO DN 20 MM (3/4''), APARENTE - FORNECIMENTO E INSTALAÇÃO. AF_11/2016_P</v>
      </c>
    </row>
    <row r="312" spans="1:9" ht="33.6" x14ac:dyDescent="0.3">
      <c r="A312" s="88">
        <f t="shared" si="14"/>
        <v>304</v>
      </c>
      <c r="B312" s="89" t="str">
        <f>_xlfn.XLOOKUP(D312,Planilha!O:O,Planilha!C:C)</f>
        <v>02.04.01.04.08</v>
      </c>
      <c r="C312" s="90" t="str">
        <f>_xlfn.XLOOKUP($D312,Planilha!$O:$O,Planilha!F:F)</f>
        <v>BOMBA CENTRIFUGA SUBMERSA,PARA AGUAS SERVIDAS,DE 0,5CV,110/2 20V.FORNECIMENTO E COLOCACAO</v>
      </c>
      <c r="D312" s="91">
        <f>LARGE(Planilha!$O:$O,$A312)</f>
        <v>3613.64</v>
      </c>
      <c r="E312" s="92">
        <f t="shared" si="12"/>
        <v>2.5962651964584469E-4</v>
      </c>
      <c r="F312" s="93">
        <f t="shared" si="13"/>
        <v>0.96448247294137956</v>
      </c>
      <c r="I312" s="73" t="str">
        <v>PCF02 - PORTA DE ABRIR DUPLA CORTA FOGO, COM FECHADURA INSTALADA E PINTURA ESMALTE SINTÉTICO FOSCA, COR CINZA (RAL 9010) LIVRE DE COV - 1,20X2,10M</v>
      </c>
    </row>
    <row r="313" spans="1:9" ht="67.2" x14ac:dyDescent="0.3">
      <c r="A313" s="88">
        <f t="shared" si="14"/>
        <v>305</v>
      </c>
      <c r="B313" s="89" t="str">
        <f>_xlfn.XLOOKUP(D313,Planilha!O:O,Planilha!C:C)</f>
        <v>02.02.15.02.04</v>
      </c>
      <c r="C313" s="90" t="str">
        <f>_xlfn.XLOOKUP($D313,Planilha!$O:$O,Planilha!F:F)</f>
        <v>JA04 - 6 MÓDULOS DE 0,74x0,53 DE JANELAS DE ALUMÍNIO LINHA 25 TIPO MAXIM-AR, COM VIDRO DE 6mm, COM CONTRAMARCO, ALIZAR, BATENTE E FERRAGENS, ACAB. PINTURA ELETROSTÁTICA COR RAL 7021 - 3,57X 0,80M</v>
      </c>
      <c r="D313" s="91">
        <f>LARGE(Planilha!$O:$O,$A313)</f>
        <v>3604.3</v>
      </c>
      <c r="E313" s="92">
        <f t="shared" si="12"/>
        <v>2.5895547557574025E-4</v>
      </c>
      <c r="F313" s="93">
        <f t="shared" si="13"/>
        <v>0.96474142841695532</v>
      </c>
      <c r="I313" s="73" t="str">
        <v>RDP.03 - RODAPÉ EM PRÉ-MOLDADO  H=30CM</v>
      </c>
    </row>
    <row r="314" spans="1:9" ht="67.2" x14ac:dyDescent="0.3">
      <c r="A314" s="88">
        <f t="shared" si="14"/>
        <v>306</v>
      </c>
      <c r="B314" s="89" t="str">
        <f>_xlfn.XLOOKUP(D314,Planilha!O:O,Planilha!C:C)</f>
        <v>02.04.04.01.03</v>
      </c>
      <c r="C314" s="90" t="str">
        <f>_xlfn.XLOOKUP($D314,Planilha!$O:$O,Planilha!F:F)</f>
        <v>COTOVELO 90 GRAUS, EM FERRO GALVANIZADO, CONEXÃO ROSQUEADA, DN 65 (2 1/2), INSTALADO EM RESERVAÇÃO DE ÁGUA DE EDIFICAÇÃO QUE POSSUA RESERVATÓRIO DE FIBRA/FIBROCIMENTO  FORNECIMENTO E INSTALAÇÃO. AF_06/2016</v>
      </c>
      <c r="D314" s="91">
        <f>LARGE(Planilha!$O:$O,$A314)</f>
        <v>3600.48</v>
      </c>
      <c r="E314" s="92">
        <f t="shared" si="12"/>
        <v>2.5868102286184314E-4</v>
      </c>
      <c r="F314" s="93">
        <f t="shared" si="13"/>
        <v>0.96500010943981718</v>
      </c>
      <c r="I314" s="73" t="str">
        <v>TORNEIRA P/LAVATORIO MESA DECAMATIC 1173 CONFORTO FECH.AUTOM</v>
      </c>
    </row>
    <row r="315" spans="1:9" ht="33.6" x14ac:dyDescent="0.3">
      <c r="A315" s="88">
        <f t="shared" si="14"/>
        <v>307</v>
      </c>
      <c r="B315" s="89" t="str">
        <f>_xlfn.XLOOKUP(D315,Planilha!O:O,Planilha!C:C)</f>
        <v>02.02.15.06.02</v>
      </c>
      <c r="C315" s="90" t="str">
        <f>_xlfn.XLOOKUP($D315,Planilha!$O:$O,Planilha!F:F)</f>
        <v>BRS02 - PAINEL DE SISTEMA LINEAR RB FIXADO SOBRE PORTA PAINEL RB AUTOTRAVE TODO EM ALUMÍNIO, COR RAL 7021 - 0,885X 2,96M</v>
      </c>
      <c r="D315" s="91">
        <f>LARGE(Planilha!$O:$O,$A315)</f>
        <v>3600</v>
      </c>
      <c r="E315" s="92">
        <f t="shared" si="12"/>
        <v>2.5864653665695554E-4</v>
      </c>
      <c r="F315" s="93">
        <f t="shared" si="13"/>
        <v>0.96525875597647415</v>
      </c>
      <c r="I315" s="73" t="str">
        <v>FORNECIMENTO E INSTALAÇÃO DE SIFÃO CROMADO PARA PIA</v>
      </c>
    </row>
    <row r="316" spans="1:9" ht="50.4" x14ac:dyDescent="0.3">
      <c r="A316" s="88">
        <f t="shared" si="14"/>
        <v>308</v>
      </c>
      <c r="B316" s="89" t="str">
        <f>_xlfn.XLOOKUP(D316,Planilha!O:O,Planilha!C:C)</f>
        <v>02.02.17.11</v>
      </c>
      <c r="C316" s="90" t="str">
        <f>_xlfn.XLOOKUP($D316,Planilha!$O:$O,Planilha!F:F)</f>
        <v xml:space="preserve">SALA DE CORTES - Armário medindo 900x520x2000mm provida de duas portas e seis níveis de apoio. - COMPOSTO DE: 2,00 MÃOS FRANCESA BRANCA MED. 200X250MM - </v>
      </c>
      <c r="D316" s="91">
        <f>LARGE(Planilha!$O:$O,$A316)</f>
        <v>3520.52</v>
      </c>
      <c r="E316" s="92">
        <f t="shared" si="12"/>
        <v>2.5293619589765145E-4</v>
      </c>
      <c r="F316" s="93">
        <f t="shared" si="13"/>
        <v>0.96551169217237176</v>
      </c>
      <c r="I316" s="73" t="str">
        <v>LUVA SIMPLES, PVC, SÉRIE NORMAL, ESGOTO PREDIAL, DN 150 MM, JUNTA ELÁSTICA, FORNECIDO E INSTALADO EM SUBCOLETOR AÉREO DE ESGOTO SANITÁRIO. AF_12/2014</v>
      </c>
    </row>
    <row r="317" spans="1:9" x14ac:dyDescent="0.3">
      <c r="A317" s="88">
        <f t="shared" si="14"/>
        <v>309</v>
      </c>
      <c r="B317" s="89" t="str">
        <f>_xlfn.XLOOKUP(D317,Planilha!O:O,Planilha!C:C)</f>
        <v>02.02.11.02.15</v>
      </c>
      <c r="C317" s="90" t="str">
        <f>_xlfn.XLOOKUP($D317,Planilha!$O:$O,Planilha!F:F)</f>
        <v>ESTRUTURA ILUM. ZENITAL</v>
      </c>
      <c r="D317" s="91">
        <f>LARGE(Planilha!$O:$O,$A317)</f>
        <v>3491.9</v>
      </c>
      <c r="E317" s="92">
        <f t="shared" si="12"/>
        <v>2.5087995593122862E-4</v>
      </c>
      <c r="F317" s="93">
        <f t="shared" si="13"/>
        <v>0.96576257212830297</v>
      </c>
      <c r="I317" s="73" t="str">
        <v>CPM.06.A - PAINEL EM CHAPA METÁLICA PERFURADA REDONDA EM AÇO INOX 304 - PERFURAÇÃO R8,00 EC11,00. ACABAMENTO EM PINTURA ELETROSTÁTICA COR RAL 7042 BRILHANTE. SUBESTRUTURA EM PERFIS DE AÇO INOX 304 E ACESSÓRIOS PARA FIXAÇÃO PINTADOS NA MESMA COR, PARAFUSOS SEM PINTURA.0,598 - 5,286m2</v>
      </c>
    </row>
    <row r="318" spans="1:9" x14ac:dyDescent="0.3">
      <c r="A318" s="88">
        <f t="shared" si="14"/>
        <v>310</v>
      </c>
      <c r="B318" s="89" t="str">
        <f>_xlfn.XLOOKUP(D318,Planilha!O:O,Planilha!C:C)</f>
        <v>02.03.06.16</v>
      </c>
      <c r="C318" s="90" t="str">
        <f>_xlfn.XLOOKUP($D318,Planilha!$O:$O,Planilha!F:F)</f>
        <v>CABOS UTP 4 PARES CAT A</v>
      </c>
      <c r="D318" s="91">
        <f>LARGE(Planilha!$O:$O,$A318)</f>
        <v>3461.2</v>
      </c>
      <c r="E318" s="92">
        <f t="shared" si="12"/>
        <v>2.4867427574362623E-4</v>
      </c>
      <c r="F318" s="93">
        <f t="shared" si="13"/>
        <v>0.96601124640404656</v>
      </c>
      <c r="I318" s="73" t="str">
        <v>CAIXA RETANGULAR 4" X 4" BAIXA (0,30 M DO PISO), PVC, INSTALADA EM PAREDE - FORNECIMENTO E INSTALAÇÃO. AF_12/2015</v>
      </c>
    </row>
    <row r="319" spans="1:9" x14ac:dyDescent="0.3">
      <c r="A319" s="88">
        <f t="shared" si="14"/>
        <v>311</v>
      </c>
      <c r="B319" s="89" t="str">
        <f>_xlfn.XLOOKUP(D319,Planilha!O:O,Planilha!C:C)</f>
        <v>02.03.06.16</v>
      </c>
      <c r="C319" s="90" t="str">
        <f>_xlfn.XLOOKUP($D319,Planilha!$O:$O,Planilha!F:F)</f>
        <v>CABOS UTP 4 PARES CAT A</v>
      </c>
      <c r="D319" s="91">
        <f>LARGE(Planilha!$O:$O,$A319)</f>
        <v>3461.2</v>
      </c>
      <c r="E319" s="92">
        <f t="shared" si="12"/>
        <v>2.4867427574362623E-4</v>
      </c>
      <c r="F319" s="93">
        <f t="shared" si="13"/>
        <v>0.96625992067979016</v>
      </c>
      <c r="I319" s="73" t="str">
        <v>PLANO DE EMERGENDIA E SEGURANÇA</v>
      </c>
    </row>
    <row r="320" spans="1:9" ht="84" x14ac:dyDescent="0.3">
      <c r="A320" s="88">
        <f t="shared" si="14"/>
        <v>312</v>
      </c>
      <c r="B320" s="89" t="str">
        <f>_xlfn.XLOOKUP(D320,Planilha!O:O,Planilha!C:C)</f>
        <v>02.02.01.06</v>
      </c>
      <c r="C320" s="90" t="str">
        <f>_xlfn.XLOOKUP($D320,Planilha!$O:$O,Planilha!F:F)</f>
        <v>DW.02 - PAREDE COM PLACAS DE GESSO ACARTONADO (DRYWALL), PARA USO INTERNO, ESPESSURA TOTAL 120MM COM DUAS FACES DUPLAS E ESTRUTURA METÁLICA COM GUIA SIMPLES 48MM, TRATAMENTO ACÚSTICO E ENCHIMENTO EM LÃ DE VIDRO OU EQUIVALENTE TÉCNICO.</v>
      </c>
      <c r="D320" s="91">
        <f>LARGE(Planilha!$O:$O,$A320)</f>
        <v>3450.52</v>
      </c>
      <c r="E320" s="92">
        <f t="shared" si="12"/>
        <v>2.479069576848773E-4</v>
      </c>
      <c r="F320" s="93">
        <f t="shared" si="13"/>
        <v>0.966507827637475</v>
      </c>
      <c r="I320" s="73" t="str">
        <v>PORTA WC 0,60X1,80M COMPENSADO C/LAMINADO/FERRAGENS W.C.</v>
      </c>
    </row>
    <row r="321" spans="1:9" ht="50.4" x14ac:dyDescent="0.3">
      <c r="A321" s="88">
        <f t="shared" si="14"/>
        <v>313</v>
      </c>
      <c r="B321" s="89" t="str">
        <f>_xlfn.XLOOKUP(D321,Planilha!O:O,Planilha!C:C)</f>
        <v>02.03.03.01.03</v>
      </c>
      <c r="C321" s="90" t="str">
        <f>_xlfn.XLOOKUP($D321,Planilha!$O:$O,Planilha!F:F)</f>
        <v>ELETRODUTO FLEXÍVEL CORRUGADO REFORÇADO, PVC, DN 32 MM (1"), PARA CIRCUITOS TERMINAIS, INSTALADO EM FORRO - FORNECIMENTO E INSTALAÇÃO. AF_12/2015</v>
      </c>
      <c r="D321" s="91">
        <f>LARGE(Planilha!$O:$O,$A321)</f>
        <v>3439.2</v>
      </c>
      <c r="E321" s="92">
        <f t="shared" si="12"/>
        <v>2.470936580196115E-4</v>
      </c>
      <c r="F321" s="93">
        <f t="shared" si="13"/>
        <v>0.96675492129549456</v>
      </c>
      <c r="I321" s="73" t="str">
        <v>TUBO, PVC, SOLDÁVEL, DN 32 MM, INSTALADO EM RESERVAÇÃO DE ÁGUA DE EDIFICAÇÃO QUE POSSUA RESERVATÓRIO DE FIBRA/FIBROCIMENTO   FORNECIMENTO E INSTALAÇÃO. AF_06/2016</v>
      </c>
    </row>
    <row r="322" spans="1:9" ht="33.6" x14ac:dyDescent="0.3">
      <c r="A322" s="88">
        <f t="shared" si="14"/>
        <v>314</v>
      </c>
      <c r="B322" s="89" t="str">
        <f>_xlfn.XLOOKUP(D322,Planilha!O:O,Planilha!C:C)</f>
        <v>02.02.15.03.01</v>
      </c>
      <c r="C322" s="90" t="str">
        <f>_xlfn.XLOOKUP($D322,Planilha!$O:$O,Planilha!F:F)</f>
        <v>PA01 - PORTA SIMPLES DE ABRIR DE VENEZIANA EM ALUMÍNIO COM PINTURA ELETROSTÁTICA COR RAL 7021 - 0,90X 2,10M x2</v>
      </c>
      <c r="D322" s="91">
        <f>LARGE(Planilha!$O:$O,$A322)</f>
        <v>3397.65</v>
      </c>
      <c r="E322" s="92">
        <f t="shared" si="12"/>
        <v>2.4410844590902917E-4</v>
      </c>
      <c r="F322" s="93">
        <f t="shared" si="13"/>
        <v>0.96699902974140362</v>
      </c>
      <c r="I322" s="73" t="str">
        <v>CER.04 - REVESTIMENTO CERÂMICO PARA PISO COM PLACAS TIPO PORCELANATO DE DIMENSÕES 60X60 CM APLICADA EM AMBIENTES DE ÁREA ENTRE 5 M² E 10 M². AF_06/2014</v>
      </c>
    </row>
    <row r="323" spans="1:9" ht="33.6" x14ac:dyDescent="0.3">
      <c r="A323" s="88">
        <f t="shared" si="14"/>
        <v>315</v>
      </c>
      <c r="B323" s="89" t="str">
        <f>_xlfn.XLOOKUP(D323,Planilha!O:O,Planilha!C:C)</f>
        <v>02.04.02.05.03</v>
      </c>
      <c r="C323" s="90" t="str">
        <f>_xlfn.XLOOKUP($D323,Planilha!$O:$O,Planilha!F:F)</f>
        <v>BASE INERCIA - FABRICANTE VIBRA-STOP B.I.2 - (DIM. 1,50X0,50)M MSCC 100 - UNC 3/8"</v>
      </c>
      <c r="D323" s="91">
        <f>LARGE(Planilha!$O:$O,$A323)</f>
        <v>3376.53</v>
      </c>
      <c r="E323" s="92">
        <f t="shared" si="12"/>
        <v>2.4259105289397504E-4</v>
      </c>
      <c r="F323" s="93">
        <f t="shared" si="13"/>
        <v>0.96724162079429754</v>
      </c>
      <c r="I323" s="73" t="str">
        <v>JA01 - 1 MÓDULO DE 1,18x0,7 DE JANELAS DE ALUMÍNIO LINHA 25 TIPO MAXIM-AR, COM VIDRO DE 6mm, COM CONTRAMARCO, ALIZAR, BATENTE E FERRAGENS, ACAB. PINTURA ELETROSTÁTICA COR RAL 7021 - 1,24X 0,80m X2</v>
      </c>
    </row>
    <row r="324" spans="1:9" ht="33.6" x14ac:dyDescent="0.3">
      <c r="A324" s="88">
        <f t="shared" si="14"/>
        <v>316</v>
      </c>
      <c r="B324" s="89" t="str">
        <f>_xlfn.XLOOKUP(D324,Planilha!O:O,Planilha!C:C)</f>
        <v>02.02.01.09</v>
      </c>
      <c r="C324" s="90" t="str">
        <f>_xlfn.XLOOKUP($D324,Planilha!$O:$O,Planilha!F:F)</f>
        <v>ELE.01 - ELEMENTO VAZADO EM CONCRETO, TIPO QUADRICULADO DE 39 X 39 X 10 CM</v>
      </c>
      <c r="D324" s="91">
        <f>LARGE(Planilha!$O:$O,$A324)</f>
        <v>3369.04</v>
      </c>
      <c r="E324" s="92">
        <f t="shared" si="12"/>
        <v>2.420529244052082E-4</v>
      </c>
      <c r="F324" s="93">
        <f t="shared" si="13"/>
        <v>0.9674836737187027</v>
      </c>
      <c r="I324" s="73" t="str">
        <v>ADEQUAÇÃO NO PAINEL EXISTENTE PARA INSTALAÇÃO DO DISJUNTOR</v>
      </c>
    </row>
    <row r="325" spans="1:9" ht="33.6" x14ac:dyDescent="0.3">
      <c r="A325" s="88">
        <f t="shared" si="14"/>
        <v>317</v>
      </c>
      <c r="B325" s="89" t="str">
        <f>_xlfn.XLOOKUP(D325,Planilha!O:O,Planilha!C:C)</f>
        <v>02.01.07.04.09</v>
      </c>
      <c r="C325" s="90" t="str">
        <f>_xlfn.XLOOKUP($D325,Planilha!$O:$O,Planilha!F:F)</f>
        <v>ARMAÇÃO DE BLOCO, VIGA BALDRAME OU SAPATA UTILIZANDO AÇO CA-50 DE 12,5 MM - MONTAGEM. AF_06/2017</v>
      </c>
      <c r="D325" s="91">
        <f>LARGE(Planilha!$O:$O,$A325)</f>
        <v>3343.25</v>
      </c>
      <c r="E325" s="92">
        <f t="shared" si="12"/>
        <v>2.4020000935510183E-4</v>
      </c>
      <c r="F325" s="93">
        <f t="shared" si="13"/>
        <v>0.96772387372805779</v>
      </c>
      <c r="I325" s="73" t="str">
        <v>REMOÇÃO DE PORTAS, DE FORMA MANUAL, SEM REAPROVEITAMENTO. AF_12/2017</v>
      </c>
    </row>
    <row r="326" spans="1:9" ht="50.4" x14ac:dyDescent="0.3">
      <c r="A326" s="88">
        <f t="shared" si="14"/>
        <v>318</v>
      </c>
      <c r="B326" s="89" t="str">
        <f>_xlfn.XLOOKUP(D326,Planilha!O:O,Planilha!C:C)</f>
        <v>02.05.01.02</v>
      </c>
      <c r="C326" s="90" t="str">
        <f>_xlfn.XLOOKUP($D326,Planilha!$O:$O,Planilha!F:F)</f>
        <v>TUBO EM COBRE RÍGIDO, DN 22 MM, CLASSE A, SEM ISOLAMENTO, INSTALADO EM RAMAL DE DISTRIBUIÇÃO FORNECIMENTO E INSTALAÇÃO. AF_12/2015</v>
      </c>
      <c r="D326" s="91">
        <f>LARGE(Planilha!$O:$O,$A326)</f>
        <v>3295.95</v>
      </c>
      <c r="E326" s="92">
        <f t="shared" si="12"/>
        <v>2.3680168124847015E-4</v>
      </c>
      <c r="F326" s="93">
        <f t="shared" si="13"/>
        <v>0.9679606754093063</v>
      </c>
      <c r="I326" s="73" t="str">
        <v>JA03 - 4 MÓDULOS DE 0,74x0,53 DE JANELAS DE ALUMÍNIO LINHA 25 TIPO MAXIM-AR, COM VIDRO DE 6mm, COM CONTRAMARCO, ALIZAR, BATENTE E FERRAGENS, ACAB. PINTURA ELETROSTÁTICA COR RAL 7021 - 2,38X 0,80M</v>
      </c>
    </row>
    <row r="327" spans="1:9" x14ac:dyDescent="0.3">
      <c r="A327" s="88">
        <f t="shared" si="14"/>
        <v>319</v>
      </c>
      <c r="B327" s="89" t="str">
        <f>_xlfn.XLOOKUP(D327,Planilha!O:O,Planilha!C:C)</f>
        <v>02.03.11.14.05</v>
      </c>
      <c r="C327" s="90" t="str">
        <f>_xlfn.XLOOKUP($D327,Planilha!$O:$O,Planilha!F:F)</f>
        <v>ELETRODUTO FERRO GALVANIZADO ROSCAVEL 2"" COM CONEXOES</v>
      </c>
      <c r="D327" s="91">
        <f>LARGE(Planilha!$O:$O,$A327)</f>
        <v>3274.59</v>
      </c>
      <c r="E327" s="92">
        <f t="shared" si="12"/>
        <v>2.3526704513097225E-4</v>
      </c>
      <c r="F327" s="93">
        <f t="shared" si="13"/>
        <v>0.9681959424544373</v>
      </c>
      <c r="I327" s="73" t="str">
        <v>MODULO DE SUPERVISÃO ENDEREÇAVEL BSKY IM5EI</v>
      </c>
    </row>
    <row r="328" spans="1:9" ht="50.4" x14ac:dyDescent="0.3">
      <c r="A328" s="88">
        <f t="shared" si="14"/>
        <v>320</v>
      </c>
      <c r="B328" s="89" t="str">
        <f>_xlfn.XLOOKUP(D328,Planilha!O:O,Planilha!C:C)</f>
        <v>02.02.15.04.03</v>
      </c>
      <c r="C328" s="90" t="str">
        <f>_xlfn.XLOOKUP($D328,Planilha!$O:$O,Planilha!F:F)</f>
        <v>PV03 - FORNECIMENTO E INSTALAÇÃO DE PAINEL DE VIDRO TEMPERADO 8MM, COM JUNTA SECA, PERFIL DE ALUMINIO, PINTURA ELETROSTATICA: 2,426 X 2,400M</v>
      </c>
      <c r="D328" s="91">
        <f>LARGE(Planilha!$O:$O,$A328)</f>
        <v>3258.04</v>
      </c>
      <c r="E328" s="92">
        <f t="shared" si="12"/>
        <v>2.3407798952495206E-4</v>
      </c>
      <c r="F328" s="93">
        <f t="shared" si="13"/>
        <v>0.9684300204439622</v>
      </c>
      <c r="I328" s="73" t="str">
        <v>QUADRO DE DISTRIBUIÇÃO DE EMBUTIR, EM CHAPA DE AÇO, PARA ATÉ 70 DISJUNTORES, COM BARRAMENTO, PADRÃO DIN, EXCLUSIVE DISJUNTORES</v>
      </c>
    </row>
    <row r="329" spans="1:9" ht="33.6" x14ac:dyDescent="0.3">
      <c r="A329" s="88">
        <f t="shared" si="14"/>
        <v>321</v>
      </c>
      <c r="B329" s="89" t="str">
        <f>_xlfn.XLOOKUP(D329,Planilha!O:O,Planilha!C:C)</f>
        <v>02.02.15.03.02</v>
      </c>
      <c r="C329" s="90" t="str">
        <f>_xlfn.XLOOKUP($D329,Planilha!$O:$O,Planilha!F:F)</f>
        <v>PA02 - PORTA DUPLA DE ABRIR DE VENEZIANA DE ALUMÍNIO COM PINTURA ELETROSTÁTICA COR RAL 7021 - 1,74X 2,07M</v>
      </c>
      <c r="D329" s="91">
        <f>LARGE(Planilha!$O:$O,$A329)</f>
        <v>3237.48</v>
      </c>
      <c r="E329" s="92">
        <f t="shared" ref="E329:E392" si="15">D329/$D$933</f>
        <v>2.3260083041560012E-4</v>
      </c>
      <c r="F329" s="93">
        <f t="shared" ref="F329:F392" si="16">+E329+F328</f>
        <v>0.96866262127437786</v>
      </c>
      <c r="I329" s="73" t="str">
        <v>FECHO, 40CM X 3/4", ACABAMENTO CR (CROMADO),  LA FONTE, REF. 400 (OU SIMILAR)</v>
      </c>
    </row>
    <row r="330" spans="1:9" ht="33.6" x14ac:dyDescent="0.3">
      <c r="A330" s="88">
        <f t="shared" si="14"/>
        <v>322</v>
      </c>
      <c r="B330" s="89" t="str">
        <f>_xlfn.XLOOKUP(D330,Planilha!O:O,Planilha!C:C)</f>
        <v>02.02.15.01.03</v>
      </c>
      <c r="C330" s="90" t="str">
        <f>_xlfn.XLOOKUP($D330,Planilha!$O:$O,Planilha!F:F)</f>
        <v>PM03 - PORTA SIMPLES DE ABRIR EM MADEIRA PARA PCD COM BARRA DE APOIO E CHAPA DE PROTEÇÃO - 0,90X 2,10M</v>
      </c>
      <c r="D330" s="91">
        <f>LARGE(Planilha!$O:$O,$A330)</f>
        <v>3207.34</v>
      </c>
      <c r="E330" s="92">
        <f t="shared" si="15"/>
        <v>2.3043538413369995E-4</v>
      </c>
      <c r="F330" s="93">
        <f t="shared" si="16"/>
        <v>0.96889305665851155</v>
      </c>
      <c r="I330" s="73" t="str">
        <v>BÓIA ELÉTRICA PARA RESERVATÓRIO SUPERIOR, MARCA AQUAMATIC OU SIMILAR, CAPACIDADE 30 A - FORNECIMENTO E INSTALAÇÃO</v>
      </c>
    </row>
    <row r="331" spans="1:9" x14ac:dyDescent="0.3">
      <c r="A331" s="88">
        <f t="shared" ref="A331:A394" si="17">+A330+1</f>
        <v>323</v>
      </c>
      <c r="B331" s="89" t="str">
        <f>_xlfn.XLOOKUP(D331,Planilha!O:O,Planilha!C:C)</f>
        <v>02.03.10.02.07</v>
      </c>
      <c r="C331" s="90" t="str">
        <f>_xlfn.XLOOKUP($D331,Planilha!$O:$O,Planilha!F:F)</f>
        <v>CABO COBRE NU 7 FIOS 1AWG - 35MM2</v>
      </c>
      <c r="D331" s="91">
        <f>LARGE(Planilha!$O:$O,$A331)</f>
        <v>3198.6</v>
      </c>
      <c r="E331" s="92">
        <f t="shared" si="15"/>
        <v>2.2980744781970499E-4</v>
      </c>
      <c r="F331" s="93">
        <f t="shared" si="16"/>
        <v>0.96912286410633131</v>
      </c>
      <c r="I331" s="73" t="str">
        <v>CENTRAL DE ALARME DE INCENDIO INTELBRAS CIE 1125 ENDERECAVEL</v>
      </c>
    </row>
    <row r="332" spans="1:9" ht="50.4" x14ac:dyDescent="0.3">
      <c r="A332" s="88">
        <f t="shared" si="17"/>
        <v>324</v>
      </c>
      <c r="B332" s="89" t="str">
        <f>_xlfn.XLOOKUP(D332,Planilha!O:O,Planilha!C:C)</f>
        <v>02.05.02.01</v>
      </c>
      <c r="C332" s="90" t="str">
        <f>_xlfn.XLOOKUP($D332,Planilha!$O:$O,Planilha!F:F)</f>
        <v>BOMBA CENTRÍFUGA HORIZONTAL - MOD. UNI 300T, VAZÃO 12,2M³/ H, POTÊNCIA 0,5CV, MOTOR TRIFÁSICO 220V, ROTAÇÃO 3450RPM, AMT 6,0MCA, FABRICANTE ABS.</v>
      </c>
      <c r="D332" s="91">
        <f>LARGE(Planilha!$O:$O,$A332)</f>
        <v>3129.71</v>
      </c>
      <c r="E332" s="92">
        <f t="shared" si="15"/>
        <v>2.2485795895573342E-4</v>
      </c>
      <c r="F332" s="93">
        <f t="shared" si="16"/>
        <v>0.96934772206528708</v>
      </c>
      <c r="I332" s="73" t="str">
        <v>CABO PP CORDPLAST 3 CONDUTORES 450/750V 1,50MM2</v>
      </c>
    </row>
    <row r="333" spans="1:9" x14ac:dyDescent="0.3">
      <c r="A333" s="88">
        <f t="shared" si="17"/>
        <v>325</v>
      </c>
      <c r="B333" s="89" t="str">
        <f>_xlfn.XLOOKUP(D333,Planilha!O:O,Planilha!C:C)</f>
        <v>02.04.03.01.06</v>
      </c>
      <c r="C333" s="90" t="str">
        <f>_xlfn.XLOOKUP($D333,Planilha!$O:$O,Planilha!F:F)</f>
        <v>ANEL BORRACHA PARA PVC 50MM</v>
      </c>
      <c r="D333" s="91">
        <f>LARGE(Planilha!$O:$O,$A333)</f>
        <v>3123.2</v>
      </c>
      <c r="E333" s="92">
        <f t="shared" si="15"/>
        <v>2.2439023980194543E-4</v>
      </c>
      <c r="F333" s="93">
        <f t="shared" si="16"/>
        <v>0.969572112305089</v>
      </c>
      <c r="I333" s="73" t="str">
        <v>REGULARIZACAO MANUAL DE SOLO COM NIVELAMENTO E APILOAMENTO</v>
      </c>
    </row>
    <row r="334" spans="1:9" ht="50.4" x14ac:dyDescent="0.3">
      <c r="A334" s="88">
        <f t="shared" si="17"/>
        <v>326</v>
      </c>
      <c r="B334" s="89" t="str">
        <f>_xlfn.XLOOKUP(D334,Planilha!O:O,Planilha!C:C)</f>
        <v>02.02.15.04.01</v>
      </c>
      <c r="C334" s="90" t="str">
        <f>_xlfn.XLOOKUP($D334,Planilha!$O:$O,Planilha!F:F)</f>
        <v>PV01 - FORNECIMENTO E INSTALAÇÃO DE PAINEL DE VIDRO TEMPERADO 8MM, COM JUNTA SECA, PERFIL DE ALUMINIO, PINTURA ELETROSTATICA: 2,250 X 2,441M</v>
      </c>
      <c r="D334" s="91">
        <f>LARGE(Planilha!$O:$O,$A334)</f>
        <v>3073.3</v>
      </c>
      <c r="E334" s="92">
        <f t="shared" si="15"/>
        <v>2.2080511141883932E-4</v>
      </c>
      <c r="F334" s="93">
        <f t="shared" si="16"/>
        <v>0.96979291741650786</v>
      </c>
      <c r="I334" s="73" t="str">
        <v>PINTURA COM TINTA ALQUÍDICA DE ACABAMENTO (ESMALTE SINTÉTICO ACETINADO) APLICADA A ROLO OU PINCEL SOBRE SUPERFÍCIES METÁLICAS (EXCETO PERFIL) EXECUTADO EM OBRA (02 DEMÃOS). AF_01/2020</v>
      </c>
    </row>
    <row r="335" spans="1:9" ht="50.4" x14ac:dyDescent="0.3">
      <c r="A335" s="88">
        <f t="shared" si="17"/>
        <v>327</v>
      </c>
      <c r="B335" s="89" t="str">
        <f>_xlfn.XLOOKUP(D335,Planilha!O:O,Planilha!C:C)</f>
        <v>02.02.15.04.01</v>
      </c>
      <c r="C335" s="90" t="str">
        <f>_xlfn.XLOOKUP($D335,Planilha!$O:$O,Planilha!F:F)</f>
        <v>PV01 - FORNECIMENTO E INSTALAÇÃO DE PAINEL DE VIDRO TEMPERADO 8MM, COM JUNTA SECA, PERFIL DE ALUMINIO, PINTURA ELETROSTATICA: 2,250 X 2,441M</v>
      </c>
      <c r="D335" s="91">
        <f>LARGE(Planilha!$O:$O,$A335)</f>
        <v>3073.3</v>
      </c>
      <c r="E335" s="92">
        <f t="shared" si="15"/>
        <v>2.2080511141883932E-4</v>
      </c>
      <c r="F335" s="93">
        <f t="shared" si="16"/>
        <v>0.97001372252792673</v>
      </c>
      <c r="I335" s="73" t="str">
        <v>DISPENSER PARA SABONETE LÍQUIDO REF. 70090, MELHORAMENTOS OU SIMILAR</v>
      </c>
    </row>
    <row r="336" spans="1:9" ht="50.4" x14ac:dyDescent="0.3">
      <c r="A336" s="88">
        <f t="shared" si="17"/>
        <v>328</v>
      </c>
      <c r="B336" s="89" t="str">
        <f>_xlfn.XLOOKUP(D336,Planilha!O:O,Planilha!C:C)</f>
        <v>02.03.03.03.35</v>
      </c>
      <c r="C336" s="90" t="str">
        <f>_xlfn.XLOOKUP($D336,Planilha!$O:$O,Planilha!F:F)</f>
        <v>ELETRODUTO FLEXÍVEL CORRUGADO REFORÇADO, PVC, DN 32 MM (1"), PARA CIRCUITOS TERMINAIS, INSTALADO EM FORRO - FORNECIMENTO E INSTALAÇÃO. AF_12/2015</v>
      </c>
      <c r="D336" s="91">
        <f>LARGE(Planilha!$O:$O,$A336)</f>
        <v>3009.3</v>
      </c>
      <c r="E336" s="92">
        <f t="shared" si="15"/>
        <v>2.1620695076716011E-4</v>
      </c>
      <c r="F336" s="93">
        <f t="shared" si="16"/>
        <v>0.97022992947869391</v>
      </c>
      <c r="I336" s="73" t="str">
        <v>JUNTA DE ENCONTRO, SEÇÃO TRANSVERSAL DIM. 20MM, INCLUSIVE TARUGO E PREENCHIMENTO COM MASTIQUE MBT OU SIMILAR.</v>
      </c>
    </row>
    <row r="337" spans="1:9" ht="100.8" x14ac:dyDescent="0.3">
      <c r="A337" s="88">
        <f t="shared" si="17"/>
        <v>329</v>
      </c>
      <c r="B337" s="89" t="str">
        <f>_xlfn.XLOOKUP(D337,Planilha!O:O,Planilha!C:C)</f>
        <v>02.02.15.05.13</v>
      </c>
      <c r="C337" s="90" t="str">
        <f>_xlfn.XLOOKUP($D337,Planilha!$O:$O,Planilha!F:F)</f>
        <v>CPM.05.B - PAINEL EM CHAPA METÁLICA PERFURADA REDONDA EM AÇO INOX 304 - PERFURAÇÃO R8,00 EC11,00. ACABAMENTO EM PINTURA ELETROSTÁTICA COR RAL 7042 BRILHANTE. SUBESTRUTURA EM PERFIS DE AÇO INOX 304 E ACESSÓRIOS PARA FIXAÇÃO PINTADOS NA MESMA COR, PARAFUSOS SEM PINTURA.0,421 - 5,286m2</v>
      </c>
      <c r="D337" s="91">
        <f>LARGE(Planilha!$O:$O,$A337)</f>
        <v>2905.53</v>
      </c>
      <c r="E337" s="92">
        <f t="shared" si="15"/>
        <v>2.0875146434802335E-4</v>
      </c>
      <c r="F337" s="93">
        <f t="shared" si="16"/>
        <v>0.97043868094304198</v>
      </c>
      <c r="I337" s="73" t="str">
        <v xml:space="preserve">FORMA PLANA PARA SAPATAS, EM MADEIRA MACIÇA, 02 USOS, INCLUSIVE ESCORAMENTO </v>
      </c>
    </row>
    <row r="338" spans="1:9" x14ac:dyDescent="0.3">
      <c r="A338" s="88">
        <f t="shared" si="17"/>
        <v>330</v>
      </c>
      <c r="B338" s="89" t="str">
        <f>_xlfn.XLOOKUP(D338,Planilha!O:O,Planilha!C:C)</f>
        <v>02.03.11.07.10</v>
      </c>
      <c r="C338" s="90" t="str">
        <f>_xlfn.XLOOKUP($D338,Planilha!$O:$O,Planilha!F:F)</f>
        <v>CAIXA PARA ATÉ 80 DISJUNTORES E BARRAMENTO</v>
      </c>
      <c r="D338" s="91">
        <f>LARGE(Planilha!$O:$O,$A338)</f>
        <v>2901.6</v>
      </c>
      <c r="E338" s="92">
        <f t="shared" si="15"/>
        <v>2.0846910854550616E-4</v>
      </c>
      <c r="F338" s="93">
        <f t="shared" si="16"/>
        <v>0.97064715005158753</v>
      </c>
      <c r="I338" s="73" t="str">
        <v>TORNEIRA CROMADA DE MESA PARA LAVATÓRIO COM SENSOR DE PRESENCA. AF_01/2020</v>
      </c>
    </row>
    <row r="339" spans="1:9" x14ac:dyDescent="0.3">
      <c r="A339" s="88">
        <f t="shared" si="17"/>
        <v>331</v>
      </c>
      <c r="B339" s="89" t="str">
        <f>_xlfn.XLOOKUP(D339,Planilha!O:O,Planilha!C:C)</f>
        <v>02.03.06.08</v>
      </c>
      <c r="C339" s="90" t="str">
        <f>_xlfn.XLOOKUP($D339,Planilha!$O:$O,Planilha!F:F)</f>
        <v>CONDULETE ALUMINIO ""T"" 2"" COM TAMPA</v>
      </c>
      <c r="D339" s="91">
        <f>LARGE(Planilha!$O:$O,$A339)</f>
        <v>2900.66</v>
      </c>
      <c r="E339" s="92">
        <f t="shared" si="15"/>
        <v>2.0840157306093463E-4</v>
      </c>
      <c r="F339" s="93">
        <f t="shared" si="16"/>
        <v>0.97085555162464843</v>
      </c>
      <c r="I339" s="73" t="str">
        <v>PM05 - PORTA SIMPLES DE ABRIR EM MADEIRA COM REVESTIMENTO MELAMÍNICO NA COR BRANCA COM VISOR 0,30x1,34m - 0,90X 2,10M</v>
      </c>
    </row>
    <row r="340" spans="1:9" x14ac:dyDescent="0.3">
      <c r="A340" s="88">
        <f t="shared" si="17"/>
        <v>332</v>
      </c>
      <c r="B340" s="89" t="str">
        <f>_xlfn.XLOOKUP(D340,Planilha!O:O,Planilha!C:C)</f>
        <v>02.03.09.35</v>
      </c>
      <c r="C340" s="90" t="str">
        <f>_xlfn.XLOOKUP($D340,Planilha!$O:$O,Planilha!F:F)</f>
        <v>DETECTOR DE FUMACA FOTOELETRICO - ENDERECAVEL - CL-180</v>
      </c>
      <c r="D340" s="91">
        <f>LARGE(Planilha!$O:$O,$A340)</f>
        <v>2885.26</v>
      </c>
      <c r="E340" s="92">
        <f t="shared" si="15"/>
        <v>2.0729514065412433E-4</v>
      </c>
      <c r="F340" s="93">
        <f t="shared" si="16"/>
        <v>0.97106284676530252</v>
      </c>
      <c r="I340" s="73" t="str">
        <v>BORNE TERMINAL SAK 2,5 MM2</v>
      </c>
    </row>
    <row r="341" spans="1:9" x14ac:dyDescent="0.3">
      <c r="A341" s="88">
        <f t="shared" si="17"/>
        <v>333</v>
      </c>
      <c r="B341" s="89" t="str">
        <f>_xlfn.XLOOKUP(D341,Planilha!O:O,Planilha!C:C)</f>
        <v>02.03.09.16</v>
      </c>
      <c r="C341" s="90" t="str">
        <f>_xlfn.XLOOKUP($D341,Planilha!$O:$O,Planilha!F:F)</f>
        <v>ALARME SONORO BITONAL 220 V PARA PAINEL DE COMANDO</v>
      </c>
      <c r="D341" s="91">
        <f>LARGE(Planilha!$O:$O,$A341)</f>
        <v>2844.18</v>
      </c>
      <c r="E341" s="92">
        <f t="shared" si="15"/>
        <v>2.0434369628582772E-4</v>
      </c>
      <c r="F341" s="93">
        <f t="shared" si="16"/>
        <v>0.97126719046158838</v>
      </c>
      <c r="I341" s="73" t="str">
        <v>ANEL BORRACHA TUBO PVC 150MM</v>
      </c>
    </row>
    <row r="342" spans="1:9" x14ac:dyDescent="0.3">
      <c r="A342" s="88">
        <f t="shared" si="17"/>
        <v>334</v>
      </c>
      <c r="B342" s="89" t="str">
        <f>_xlfn.XLOOKUP(D342,Planilha!O:O,Planilha!C:C)</f>
        <v>02.01.07.04.10</v>
      </c>
      <c r="C342" s="90" t="str">
        <f>_xlfn.XLOOKUP($D342,Planilha!$O:$O,Planilha!F:F)</f>
        <v>CONCRETO USINADO, FCK = 35 MPA - PARA BOMBEAMENTO</v>
      </c>
      <c r="D342" s="91">
        <f>LARGE(Planilha!$O:$O,$A342)</f>
        <v>2794.89</v>
      </c>
      <c r="E342" s="92">
        <f t="shared" si="15"/>
        <v>2.008023941214329E-4</v>
      </c>
      <c r="F342" s="93">
        <f t="shared" si="16"/>
        <v>0.97146799285570984</v>
      </c>
      <c r="I342" s="73" t="str">
        <v>REFLETOR 100W LED LINEAR BLINDADO A PROVA D'AGUA</v>
      </c>
    </row>
    <row r="343" spans="1:9" x14ac:dyDescent="0.3">
      <c r="A343" s="88">
        <f t="shared" si="17"/>
        <v>335</v>
      </c>
      <c r="B343" s="89" t="str">
        <f>_xlfn.XLOOKUP(D343,Planilha!O:O,Planilha!C:C)</f>
        <v>02.04.03.03.01</v>
      </c>
      <c r="C343" s="90" t="str">
        <f>_xlfn.XLOOKUP($D343,Planilha!$O:$O,Planilha!F:F)</f>
        <v>BORRACHA ELASTOMÉRICA - ESP: 9MM 1.1/4" (9X42)</v>
      </c>
      <c r="D343" s="91">
        <f>LARGE(Planilha!$O:$O,$A343)</f>
        <v>2788.1</v>
      </c>
      <c r="E343" s="92">
        <f t="shared" si="15"/>
        <v>2.0031455801479382E-4</v>
      </c>
      <c r="F343" s="93">
        <f t="shared" si="16"/>
        <v>0.97166830741372467</v>
      </c>
      <c r="I343" s="73" t="str">
        <v>LUVA SIMPLES, PVC, SERIE R, ÁGUA PLUVIAL, DN 100 MM, JUNTA ELÁSTICA, FORNECIDO E INSTALADO EM CONDUTORES VERTICAIS DE ÁGUAS PLUVIAIS. AF_12/2014</v>
      </c>
    </row>
    <row r="344" spans="1:9" ht="50.4" x14ac:dyDescent="0.3">
      <c r="A344" s="88">
        <f t="shared" si="17"/>
        <v>336</v>
      </c>
      <c r="B344" s="89" t="str">
        <f>_xlfn.XLOOKUP(D344,Planilha!O:O,Planilha!C:C)</f>
        <v>02.04.02.05.01</v>
      </c>
      <c r="C344" s="90" t="str">
        <f>_xlfn.XLOOKUP($D344,Planilha!$O:$O,Planilha!F:F)</f>
        <v>BOMBA CENTRÍFUGA HORIZONTAL - MOD. C750 N, VAZÃO 4,30M³/ H, POTÊNCIA 0,75CV, MOTOR TRIFÁSICO 380V, ROTAÇÃO 3450RPM, AMT 20,0MCA, FABRICANTE KSB.</v>
      </c>
      <c r="D344" s="91">
        <f>LARGE(Planilha!$O:$O,$A344)</f>
        <v>2761.86</v>
      </c>
      <c r="E344" s="92">
        <f t="shared" si="15"/>
        <v>1.9842931214760536E-4</v>
      </c>
      <c r="F344" s="93">
        <f t="shared" si="16"/>
        <v>0.97186673672587232</v>
      </c>
      <c r="I344" s="73" t="str">
        <v>DUCHA HIGIÊNICA CROMADA</v>
      </c>
    </row>
    <row r="345" spans="1:9" ht="50.4" x14ac:dyDescent="0.3">
      <c r="A345" s="88">
        <f t="shared" si="17"/>
        <v>337</v>
      </c>
      <c r="B345" s="89" t="str">
        <f>_xlfn.XLOOKUP(D345,Planilha!O:O,Planilha!C:C)</f>
        <v>02.03.02.01.05</v>
      </c>
      <c r="C345" s="90" t="str">
        <f>_xlfn.XLOOKUP($D345,Planilha!$O:$O,Planilha!F:F)</f>
        <v>CONDULETE DE ALUMÍNIO, TIPO L, PARA ELETRODUTO DE AÇO GALVANIZADO DN 20 MM (3/4''), APARENTE - FORNECIMENTO E INSTALAÇÃO. AF_11/2016_P</v>
      </c>
      <c r="D345" s="91">
        <f>LARGE(Planilha!$O:$O,$A345)</f>
        <v>2749.12</v>
      </c>
      <c r="E345" s="92">
        <f t="shared" si="15"/>
        <v>1.9751399079288046E-4</v>
      </c>
      <c r="F345" s="93">
        <f t="shared" si="16"/>
        <v>0.97206425071666525</v>
      </c>
      <c r="I345" s="73" t="str">
        <v>TUBO EM COBRE RÍGIDO, DN 28 MM, CLASSE A, SEM ISOLAMENTO, INSTALADO EM RAMAL DE DISTRIBUIÇÃO FORNECIMENTO E INSTALAÇÃO. AF_12/2015</v>
      </c>
    </row>
    <row r="346" spans="1:9" ht="50.4" x14ac:dyDescent="0.3">
      <c r="A346" s="88">
        <f t="shared" si="17"/>
        <v>338</v>
      </c>
      <c r="B346" s="89" t="str">
        <f>_xlfn.XLOOKUP(D346,Planilha!O:O,Planilha!C:C)</f>
        <v>02.02.16.02</v>
      </c>
      <c r="C346" s="90" t="str">
        <f>_xlfn.XLOOKUP($D346,Planilha!$O:$O,Planilha!F:F)</f>
        <v>PCF02 - PORTA DE ABRIR DUPLA CORTA FOGO, COM FECHADURA INSTALADA E PINTURA ESMALTE SINTÉTICO FOSCA, COR CINZA (RAL 9010) LIVRE DE COV - 1,20X2,10M</v>
      </c>
      <c r="D346" s="91">
        <f>LARGE(Planilha!$O:$O,$A346)</f>
        <v>2747.7</v>
      </c>
      <c r="E346" s="92">
        <f t="shared" si="15"/>
        <v>1.974119691034213E-4</v>
      </c>
      <c r="F346" s="93">
        <f t="shared" si="16"/>
        <v>0.97226166268576864</v>
      </c>
      <c r="I346" s="73" t="str">
        <v>ELETRODUTO RÍGIDO SOLDÁVEL, PVC, DN 32 MM (1"), APARENTE, INSTALADO EM TETO - FORNECIMENTO E INSTALAÇÃO. AF_11/2016</v>
      </c>
    </row>
    <row r="347" spans="1:9" x14ac:dyDescent="0.3">
      <c r="A347" s="88">
        <f t="shared" si="17"/>
        <v>339</v>
      </c>
      <c r="B347" s="89" t="str">
        <f>_xlfn.XLOOKUP(D347,Planilha!O:O,Planilha!C:C)</f>
        <v>02.02.07.10</v>
      </c>
      <c r="C347" s="90" t="str">
        <f>_xlfn.XLOOKUP($D347,Planilha!$O:$O,Planilha!F:F)</f>
        <v>RDP.03 - RODAPÉ EM PRÉ-MOLDADO  H=30CM</v>
      </c>
      <c r="D347" s="91">
        <f>LARGE(Planilha!$O:$O,$A347)</f>
        <v>2746.86</v>
      </c>
      <c r="E347" s="92">
        <f t="shared" si="15"/>
        <v>1.9735161824486805E-4</v>
      </c>
      <c r="F347" s="93">
        <f t="shared" si="16"/>
        <v>0.97245901430401349</v>
      </c>
      <c r="I347" s="73" t="str">
        <v>PM04 - PORTA SIMPLES DE ABRIR EM MADEIRA COM REVESTIMENTO MELAMÍNICO NA COR BRANCA - 0,90X 2,10M</v>
      </c>
    </row>
    <row r="348" spans="1:9" ht="33.6" x14ac:dyDescent="0.3">
      <c r="A348" s="88">
        <f t="shared" si="17"/>
        <v>340</v>
      </c>
      <c r="B348" s="89" t="str">
        <f>_xlfn.XLOOKUP(D348,Planilha!O:O,Planilha!C:C)</f>
        <v>02.02.14.07</v>
      </c>
      <c r="C348" s="90" t="str">
        <f>_xlfn.XLOOKUP($D348,Planilha!$O:$O,Planilha!F:F)</f>
        <v>TORNEIRA P/LAVATORIO MESA DECAMATIC 1173 CONFORTO FECH.AUTOM</v>
      </c>
      <c r="D348" s="91">
        <f>LARGE(Planilha!$O:$O,$A348)</f>
        <v>2733.52</v>
      </c>
      <c r="E348" s="92">
        <f t="shared" si="15"/>
        <v>1.9639318913403363E-4</v>
      </c>
      <c r="F348" s="93">
        <f t="shared" si="16"/>
        <v>0.97265540749314749</v>
      </c>
      <c r="I348" s="73" t="str">
        <v>ENCHIMENTO DE AREIA PARA DRENO, LANÇAMENTO MANUAL. AF_07/2021</v>
      </c>
    </row>
    <row r="349" spans="1:9" x14ac:dyDescent="0.3">
      <c r="A349" s="88">
        <f t="shared" si="17"/>
        <v>341</v>
      </c>
      <c r="B349" s="89" t="str">
        <f>_xlfn.XLOOKUP(D349,Planilha!O:O,Planilha!C:C)</f>
        <v>02.04.03.05.02</v>
      </c>
      <c r="C349" s="90" t="str">
        <f>_xlfn.XLOOKUP($D349,Planilha!$O:$O,Planilha!F:F)</f>
        <v>FORNECIMENTO E INSTALAÇÃO DE SIFÃO CROMADO PARA PIA</v>
      </c>
      <c r="D349" s="91">
        <f>LARGE(Planilha!$O:$O,$A349)</f>
        <v>2648.59</v>
      </c>
      <c r="E349" s="92">
        <f t="shared" si="15"/>
        <v>1.9029128625673499E-4</v>
      </c>
      <c r="F349" s="93">
        <f t="shared" si="16"/>
        <v>0.97284569877940419</v>
      </c>
      <c r="I349" s="73" t="str">
        <v>EXTINTOR DE INCÊNDIO TIPO PÓ QUÍMICO 2-A:20-B:C, CAPACIDADE 6 KG</v>
      </c>
    </row>
    <row r="350" spans="1:9" ht="50.4" x14ac:dyDescent="0.3">
      <c r="A350" s="88">
        <f t="shared" si="17"/>
        <v>342</v>
      </c>
      <c r="B350" s="89" t="str">
        <f>_xlfn.XLOOKUP(D350,Planilha!O:O,Planilha!C:C)</f>
        <v>02.04.01.01.22</v>
      </c>
      <c r="C350" s="90" t="str">
        <f>_xlfn.XLOOKUP($D350,Planilha!$O:$O,Planilha!F:F)</f>
        <v>LUVA SIMPLES, PVC, SÉRIE NORMAL, ESGOTO PREDIAL, DN 150 MM, JUNTA ELÁSTICA, FORNECIDO E INSTALADO EM SUBCOLETOR AÉREO DE ESGOTO SANITÁRIO. AF_12/2014</v>
      </c>
      <c r="D350" s="91">
        <f>LARGE(Planilha!$O:$O,$A350)</f>
        <v>2623.28</v>
      </c>
      <c r="E350" s="92">
        <f t="shared" si="15"/>
        <v>1.8847285741151621E-4</v>
      </c>
      <c r="F350" s="93">
        <f t="shared" si="16"/>
        <v>0.97303417163681571</v>
      </c>
      <c r="I350" s="73" t="str">
        <v>EXTINTOR MANUAL DE GÁS CARBÔNICO 5 BC - CAPACIDADE DE 6 KG</v>
      </c>
    </row>
    <row r="351" spans="1:9" ht="100.8" x14ac:dyDescent="0.3">
      <c r="A351" s="88">
        <f t="shared" si="17"/>
        <v>343</v>
      </c>
      <c r="B351" s="89" t="str">
        <f>_xlfn.XLOOKUP(D351,Planilha!O:O,Planilha!C:C)</f>
        <v>02.02.15.05.14</v>
      </c>
      <c r="C351" s="90" t="str">
        <f>_xlfn.XLOOKUP($D351,Planilha!$O:$O,Planilha!F:F)</f>
        <v>CPM.06.A - PAINEL EM CHAPA METÁLICA PERFURADA REDONDA EM AÇO INOX 304 - PERFURAÇÃO R8,00 EC11,00. ACABAMENTO EM PINTURA ELETROSTÁTICA COR RAL 7042 BRILHANTE. SUBESTRUTURA EM PERFIS DE AÇO INOX 304 E ACESSÓRIOS PARA FIXAÇÃO PINTADOS NA MESMA COR, PARAFUSOS SEM PINTURA.0,598 - 5,286m2</v>
      </c>
      <c r="D351" s="91">
        <f>LARGE(Planilha!$O:$O,$A351)</f>
        <v>2594.7800000000002</v>
      </c>
      <c r="E351" s="92">
        <f t="shared" si="15"/>
        <v>1.8642523899631532E-4</v>
      </c>
      <c r="F351" s="93">
        <f t="shared" si="16"/>
        <v>0.97322059687581208</v>
      </c>
      <c r="I351" s="73" t="str">
        <v>TUBO PVC, SERIE NORMAL, ESGOTO PREDIAL, DN 75 MM, FORNECIDO E INSTALADO EM RAMAL DE DESCARGA OU RAMAL DE ESGOTO SANITÁRIO. AF_12/2014</v>
      </c>
    </row>
    <row r="352" spans="1:9" ht="100.8" x14ac:dyDescent="0.3">
      <c r="A352" s="88">
        <f t="shared" si="17"/>
        <v>344</v>
      </c>
      <c r="B352" s="89" t="str">
        <f>_xlfn.XLOOKUP(D352,Planilha!O:O,Planilha!C:C)</f>
        <v>02.02.15.05.14</v>
      </c>
      <c r="C352" s="90" t="str">
        <f>_xlfn.XLOOKUP($D352,Planilha!$O:$O,Planilha!F:F)</f>
        <v>CPM.06.A - PAINEL EM CHAPA METÁLICA PERFURADA REDONDA EM AÇO INOX 304 - PERFURAÇÃO R8,00 EC11,00. ACABAMENTO EM PINTURA ELETROSTÁTICA COR RAL 7042 BRILHANTE. SUBESTRUTURA EM PERFIS DE AÇO INOX 304 E ACESSÓRIOS PARA FIXAÇÃO PINTADOS NA MESMA COR, PARAFUSOS SEM PINTURA.0,598 - 5,286m2</v>
      </c>
      <c r="D352" s="91">
        <f>LARGE(Planilha!$O:$O,$A352)</f>
        <v>2594.7800000000002</v>
      </c>
      <c r="E352" s="92">
        <f t="shared" si="15"/>
        <v>1.8642523899631532E-4</v>
      </c>
      <c r="F352" s="93">
        <f t="shared" si="16"/>
        <v>0.97340702211480845</v>
      </c>
      <c r="I352" s="73" t="str">
        <v>CONDULETE TIPO ""E"" - 3/4""</v>
      </c>
    </row>
    <row r="353" spans="1:9" ht="100.8" x14ac:dyDescent="0.3">
      <c r="A353" s="88">
        <f t="shared" si="17"/>
        <v>345</v>
      </c>
      <c r="B353" s="89" t="str">
        <f>_xlfn.XLOOKUP(D353,Planilha!O:O,Planilha!C:C)</f>
        <v>02.02.15.05.14</v>
      </c>
      <c r="C353" s="90" t="str">
        <f>_xlfn.XLOOKUP($D353,Planilha!$O:$O,Planilha!F:F)</f>
        <v>CPM.06.A - PAINEL EM CHAPA METÁLICA PERFURADA REDONDA EM AÇO INOX 304 - PERFURAÇÃO R8,00 EC11,00. ACABAMENTO EM PINTURA ELETROSTÁTICA COR RAL 7042 BRILHANTE. SUBESTRUTURA EM PERFIS DE AÇO INOX 304 E ACESSÓRIOS PARA FIXAÇÃO PINTADOS NA MESMA COR, PARAFUSOS SEM PINTURA.0,598 - 5,286m2</v>
      </c>
      <c r="D353" s="91">
        <f>LARGE(Planilha!$O:$O,$A353)</f>
        <v>2594.7800000000002</v>
      </c>
      <c r="E353" s="92">
        <f t="shared" si="15"/>
        <v>1.8642523899631532E-4</v>
      </c>
      <c r="F353" s="93">
        <f t="shared" si="16"/>
        <v>0.97359344735380482</v>
      </c>
      <c r="I353" s="73" t="str">
        <v>CABO DE COBRE FLEXÍVEL DE 6 MM², ISOLAMENTO 0,6/1 KV - ISOLAÇÃO HEPR 90°C - BAIXA EMISSÃO DE FUMAÇA E GASES</v>
      </c>
    </row>
    <row r="354" spans="1:9" ht="100.8" x14ac:dyDescent="0.3">
      <c r="A354" s="88">
        <f t="shared" si="17"/>
        <v>346</v>
      </c>
      <c r="B354" s="89" t="str">
        <f>_xlfn.XLOOKUP(D354,Planilha!O:O,Planilha!C:C)</f>
        <v>02.02.15.05.14</v>
      </c>
      <c r="C354" s="90" t="str">
        <f>_xlfn.XLOOKUP($D354,Planilha!$O:$O,Planilha!F:F)</f>
        <v>CPM.06.A - PAINEL EM CHAPA METÁLICA PERFURADA REDONDA EM AÇO INOX 304 - PERFURAÇÃO R8,00 EC11,00. ACABAMENTO EM PINTURA ELETROSTÁTICA COR RAL 7042 BRILHANTE. SUBESTRUTURA EM PERFIS DE AÇO INOX 304 E ACESSÓRIOS PARA FIXAÇÃO PINTADOS NA MESMA COR, PARAFUSOS SEM PINTURA.0,598 - 5,286m2</v>
      </c>
      <c r="D354" s="91">
        <f>LARGE(Planilha!$O:$O,$A354)</f>
        <v>2594.7800000000002</v>
      </c>
      <c r="E354" s="92">
        <f t="shared" si="15"/>
        <v>1.8642523899631532E-4</v>
      </c>
      <c r="F354" s="93">
        <f t="shared" si="16"/>
        <v>0.97377987259280119</v>
      </c>
      <c r="I354" s="73" t="str">
        <v>JOELHO 45 GRAUS, PVC, SERIE R, ÁGUA PLUVIAL, DN 150 MM, JUNTA ELÁSTICA, FORNECIDO E INSTALADO EM CONDUTORES VERTICAIS DE ÁGUAS PLUVIAIS. AF_12/2014</v>
      </c>
    </row>
    <row r="355" spans="1:9" ht="50.4" x14ac:dyDescent="0.3">
      <c r="A355" s="88">
        <f t="shared" si="17"/>
        <v>347</v>
      </c>
      <c r="B355" s="89" t="str">
        <f>_xlfn.XLOOKUP(D355,Planilha!O:O,Planilha!C:C)</f>
        <v>02.03.02.01.02</v>
      </c>
      <c r="C355" s="90" t="str">
        <f>_xlfn.XLOOKUP($D355,Planilha!$O:$O,Planilha!F:F)</f>
        <v>CAIXA RETANGULAR 4" X 4" BAIXA (0,30 M DO PISO), PVC, INSTALADA EM PAREDE - FORNECIMENTO E INSTALAÇÃO. AF_12/2015</v>
      </c>
      <c r="D355" s="91">
        <f>LARGE(Planilha!$O:$O,$A355)</f>
        <v>2565.4</v>
      </c>
      <c r="E355" s="92">
        <f t="shared" si="15"/>
        <v>1.8431439587215384E-4</v>
      </c>
      <c r="F355" s="93">
        <f t="shared" si="16"/>
        <v>0.97396418698867337</v>
      </c>
      <c r="I355" s="73" t="str">
        <v>VASO SANITÁRIO SIFONADO COM CAIXA ACOPLADA LOUÇA BRANCA - PADRÃO MÉDIO, INCLUSO ENGATE FLEXÍVEL EM METAL CROMADO, 1/2  X 40CM - FORNECIMENTO E INSTALAÇÃO. AF_01/2020</v>
      </c>
    </row>
    <row r="356" spans="1:9" ht="50.4" x14ac:dyDescent="0.3">
      <c r="A356" s="88">
        <f t="shared" si="17"/>
        <v>348</v>
      </c>
      <c r="B356" s="89" t="str">
        <f>_xlfn.XLOOKUP(D356,Planilha!O:O,Planilha!C:C)</f>
        <v>02.03.02.01.29</v>
      </c>
      <c r="C356" s="90" t="str">
        <f>_xlfn.XLOOKUP($D356,Planilha!$O:$O,Planilha!F:F)</f>
        <v>CURVA 90 GRAUS, EM AÇO, CONEXÃO SOLDADA, DN 25 (1"), INSTALADO EM RAMAIS E SUB-RAMAIS DE GÁS - FORNECIMENTO E INSTALAÇÃO. AF_10/2020</v>
      </c>
      <c r="D356" s="91">
        <f>LARGE(Planilha!$O:$O,$A356)</f>
        <v>2564.4</v>
      </c>
      <c r="E356" s="92">
        <f t="shared" si="15"/>
        <v>1.8424254961197135E-4</v>
      </c>
      <c r="F356" s="93">
        <f t="shared" si="16"/>
        <v>0.9741484295382854</v>
      </c>
      <c r="I356" s="73" t="str">
        <v>BAN.13 - BANCADA DE GRANITO CINZA ANDORINHA ESP. 3CM COM ÁREA MOLHADA E SECA 2,25X0,70M, SAIA ESP. 2CM H=5CM, FRONTISPÍCIO ESP 2CM H =40CM COM FURAÇÃO PARA CUBA E TORNEIRA</v>
      </c>
    </row>
    <row r="357" spans="1:9" x14ac:dyDescent="0.3">
      <c r="A357" s="88">
        <f t="shared" si="17"/>
        <v>349</v>
      </c>
      <c r="B357" s="89" t="str">
        <f>_xlfn.XLOOKUP(D357,Planilha!O:O,Planilha!C:C)</f>
        <v>02.02.11.01.04</v>
      </c>
      <c r="C357" s="90" t="str">
        <f>_xlfn.XLOOKUP($D357,Planilha!$O:$O,Planilha!F:F)</f>
        <v>PLANO DE EMERGENDIA E SEGURANÇA</v>
      </c>
      <c r="D357" s="91">
        <f>LARGE(Planilha!$O:$O,$A357)</f>
        <v>2558.92</v>
      </c>
      <c r="E357" s="92">
        <f t="shared" si="15"/>
        <v>1.8384883210617131E-4</v>
      </c>
      <c r="F357" s="93">
        <f t="shared" si="16"/>
        <v>0.9743322783703916</v>
      </c>
      <c r="I357" s="73" t="str">
        <v>QUADRO DE DISTRIBUIÇÃO DE EMBUTIR, EM CHAPA DE AÇO, PARA ATÉ 56 DISJUNTORES, COM BARRAMENTO, PADRÃO DIN, EXCLUSIVE DISJUNTORES</v>
      </c>
    </row>
    <row r="358" spans="1:9" ht="33.6" x14ac:dyDescent="0.3">
      <c r="A358" s="88">
        <f t="shared" si="17"/>
        <v>350</v>
      </c>
      <c r="B358" s="89" t="str">
        <f>_xlfn.XLOOKUP(D358,Planilha!O:O,Planilha!C:C)</f>
        <v>02.02.02.05</v>
      </c>
      <c r="C358" s="90" t="str">
        <f>_xlfn.XLOOKUP($D358,Planilha!$O:$O,Planilha!F:F)</f>
        <v>PORTA WC 0,60X1,80M COMPENSADO C/LAMINADO/FERRAGENS W.C.</v>
      </c>
      <c r="D358" s="91">
        <f>LARGE(Planilha!$O:$O,$A358)</f>
        <v>2550.2800000000002</v>
      </c>
      <c r="E358" s="92">
        <f t="shared" si="15"/>
        <v>1.8322808041819463E-4</v>
      </c>
      <c r="F358" s="93">
        <f t="shared" si="16"/>
        <v>0.97451550645080975</v>
      </c>
      <c r="I358" s="73" t="str">
        <v>JOELHO 45 FERRO FUNDIDO 150MM</v>
      </c>
    </row>
    <row r="359" spans="1:9" ht="50.4" x14ac:dyDescent="0.3">
      <c r="A359" s="88">
        <f t="shared" si="17"/>
        <v>351</v>
      </c>
      <c r="B359" s="89" t="str">
        <f>_xlfn.XLOOKUP(D359,Planilha!O:O,Planilha!C:C)</f>
        <v>02.04.02.01.02</v>
      </c>
      <c r="C359" s="90" t="str">
        <f>_xlfn.XLOOKUP($D359,Planilha!$O:$O,Planilha!F:F)</f>
        <v>TUBO, PVC, SOLDÁVEL, DN 32 MM, INSTALADO EM RESERVAÇÃO DE ÁGUA DE EDIFICAÇÃO QUE POSSUA RESERVATÓRIO DE FIBRA/FIBROCIMENTO   FORNECIMENTO E INSTALAÇÃO. AF_06/2016</v>
      </c>
      <c r="D359" s="91">
        <f>LARGE(Planilha!$O:$O,$A359)</f>
        <v>2522.08</v>
      </c>
      <c r="E359" s="92">
        <f t="shared" si="15"/>
        <v>1.8120201588104845E-4</v>
      </c>
      <c r="F359" s="93">
        <f t="shared" si="16"/>
        <v>0.97469670846669076</v>
      </c>
      <c r="I359" s="73" t="str">
        <v>SAIDA LATERAL SIMPLES PARA ELETRODUTO 3/4""</v>
      </c>
    </row>
    <row r="360" spans="1:9" ht="50.4" x14ac:dyDescent="0.3">
      <c r="A360" s="88">
        <f t="shared" si="17"/>
        <v>352</v>
      </c>
      <c r="B360" s="89" t="str">
        <f>_xlfn.XLOOKUP(D360,Planilha!O:O,Planilha!C:C)</f>
        <v>02.02.07.05</v>
      </c>
      <c r="C360" s="90" t="str">
        <f>_xlfn.XLOOKUP($D360,Planilha!$O:$O,Planilha!F:F)</f>
        <v>CER.04 - REVESTIMENTO CERÂMICO PARA PISO COM PLACAS TIPO PORCELANATO DE DIMENSÕES 60X60 CM APLICADA EM AMBIENTES DE ÁREA ENTRE 5 M² E 10 M². AF_06/2014</v>
      </c>
      <c r="D360" s="91">
        <f>LARGE(Planilha!$O:$O,$A360)</f>
        <v>2506.65</v>
      </c>
      <c r="E360" s="92">
        <f t="shared" si="15"/>
        <v>1.8009342808643269E-4</v>
      </c>
      <c r="F360" s="93">
        <f t="shared" si="16"/>
        <v>0.97487680189477721</v>
      </c>
      <c r="I360" s="73" t="str">
        <v>CPM.06.D - PAINEL EM CHAPA METÁLICA PERFURADA REDONDA EM AÇO INOX 304 - PERFURAÇÃO R8,00 EC11,00. ACABAMENTO EM PINTURA ELETROSTÁTICA COR RAL 7042 BRILHANTE. SUBESTRUTURA EM PERFIS DE AÇO INOX 304 E ACESSÓRIOS PARA FIXAÇÃO PINTADOS NA MESMA COR, PARAFUSOS SEM PINTURA.0,598 - 5,286m2</v>
      </c>
    </row>
    <row r="361" spans="1:9" ht="67.2" x14ac:dyDescent="0.3">
      <c r="A361" s="88">
        <f t="shared" si="17"/>
        <v>353</v>
      </c>
      <c r="B361" s="89" t="str">
        <f>_xlfn.XLOOKUP(D361,Planilha!O:O,Planilha!C:C)</f>
        <v>02.02.15.02.01</v>
      </c>
      <c r="C361" s="90" t="str">
        <f>_xlfn.XLOOKUP($D361,Planilha!$O:$O,Planilha!F:F)</f>
        <v>JA01 - 1 MÓDULO DE 1,18x0,7 DE JANELAS DE ALUMÍNIO LINHA 25 TIPO MAXIM-AR, COM VIDRO DE 6mm, COM CONTRAMARCO, ALIZAR, BATENTE E FERRAGENS, ACAB. PINTURA ELETROSTÁTICA COR RAL 7021 - 1,24X 0,80m X2</v>
      </c>
      <c r="D361" s="91">
        <f>LARGE(Planilha!$O:$O,$A361)</f>
        <v>2503.83</v>
      </c>
      <c r="E361" s="92">
        <f t="shared" si="15"/>
        <v>1.7989082163271804E-4</v>
      </c>
      <c r="F361" s="93">
        <f t="shared" si="16"/>
        <v>0.97505669271640993</v>
      </c>
      <c r="I361" s="73" t="str">
        <v>REDUÇÃO EXCÊNTRICA, PVC, SERIE R, ÁGUA PLUVIAL, DN 150 X 100 MM, JUNTA ELÁSTICA, FORNECIDO E INSTALADO EM CONDUTORES VERTICAIS DE ÁGUAS PLUVIAIS. AF_12/2014</v>
      </c>
    </row>
    <row r="362" spans="1:9" ht="33.6" x14ac:dyDescent="0.3">
      <c r="A362" s="88">
        <f t="shared" si="17"/>
        <v>354</v>
      </c>
      <c r="B362" s="89" t="str">
        <f>_xlfn.XLOOKUP(D362,Planilha!O:O,Planilha!C:C)</f>
        <v>02.03.11.01.02</v>
      </c>
      <c r="C362" s="90" t="str">
        <f>_xlfn.XLOOKUP($D362,Planilha!$O:$O,Planilha!F:F)</f>
        <v>ADEQUAÇÃO NO PAINEL EXISTENTE PARA INSTALAÇÃO DO DISJUNTOR</v>
      </c>
      <c r="D362" s="91">
        <f>LARGE(Planilha!$O:$O,$A362)</f>
        <v>2500</v>
      </c>
      <c r="E362" s="92">
        <f t="shared" si="15"/>
        <v>1.7961565045621913E-4</v>
      </c>
      <c r="F362" s="93">
        <f t="shared" si="16"/>
        <v>0.97523630836686614</v>
      </c>
      <c r="I362" s="73" t="str">
        <v>ESPELHO CRISTAL 4MM COM MOLDURA DE ALUMINIO</v>
      </c>
    </row>
    <row r="363" spans="1:9" x14ac:dyDescent="0.3">
      <c r="A363" s="88">
        <f t="shared" si="17"/>
        <v>355</v>
      </c>
      <c r="B363" s="89" t="str">
        <f>_xlfn.XLOOKUP(D363,Planilha!O:O,Planilha!C:C)</f>
        <v>02.03.03.01.13</v>
      </c>
      <c r="C363" s="90" t="str">
        <f>_xlfn.XLOOKUP($D363,Planilha!$O:$O,Planilha!F:F)</f>
        <v>CABOS UTP 4 PARES CAT A</v>
      </c>
      <c r="D363" s="91">
        <f>LARGE(Planilha!$O:$O,$A363)</f>
        <v>2443.1999999999998</v>
      </c>
      <c r="E363" s="92">
        <f t="shared" si="15"/>
        <v>1.7553478287785383E-4</v>
      </c>
      <c r="F363" s="93">
        <f t="shared" si="16"/>
        <v>0.97541184314974405</v>
      </c>
      <c r="I363" s="73" t="str">
        <v>CPM.01.B' - PAINEL EM CHAPA METÁLICA PERFURADA REDONDA EM AÇO INOX 304 - PERFURAÇÃO R8,00 EC11,00. ACABAMENTO EM PINTURA ELETROSTÁTICA COR RAL 7042 BRILHANTE. SUBESTRUTURA EM PERFIS DE AÇO INOX 304 E ACESSÓRIOS PARA FIXAÇÃO PINTADOS NA MESMA COR, PARAFUSOS SEM PINTURA.0,249 - 5,286m2</v>
      </c>
    </row>
    <row r="364" spans="1:9" ht="33.6" x14ac:dyDescent="0.3">
      <c r="A364" s="88">
        <f t="shared" si="17"/>
        <v>356</v>
      </c>
      <c r="B364" s="89" t="str">
        <f>_xlfn.XLOOKUP(D364,Planilha!O:O,Planilha!C:C)</f>
        <v>01.05.05</v>
      </c>
      <c r="C364" s="90" t="str">
        <f>_xlfn.XLOOKUP($D364,Planilha!$O:$O,Planilha!F:F)</f>
        <v>REMOÇÃO DE PORTAS, DE FORMA MANUAL, SEM REAPROVEITAMENTO. AF_12/2017</v>
      </c>
      <c r="D364" s="91">
        <f>LARGE(Planilha!$O:$O,$A364)</f>
        <v>2432.09</v>
      </c>
      <c r="E364" s="92">
        <f t="shared" si="15"/>
        <v>1.7473657092722641E-4</v>
      </c>
      <c r="F364" s="93">
        <f t="shared" si="16"/>
        <v>0.97558657972067131</v>
      </c>
      <c r="I364" s="73" t="str">
        <v>ÁLVULA DE ESFERA BRUTA, BRONZE, ROSCÁVEL, 3'', INSTALADO EM RESERVAÇÃO DE ÁGUA DE EDIFICAÇÃO QUE POSSUA RESERVATÓRIO DE FIBRA/FIBROCIMENTO - FORNECIMENTO E INSTALAÇÃO. AF_06/2016</v>
      </c>
    </row>
    <row r="365" spans="1:9" ht="67.2" x14ac:dyDescent="0.3">
      <c r="A365" s="88">
        <f t="shared" si="17"/>
        <v>357</v>
      </c>
      <c r="B365" s="89" t="str">
        <f>_xlfn.XLOOKUP(D365,Planilha!O:O,Planilha!C:C)</f>
        <v>02.02.15.02.03</v>
      </c>
      <c r="C365" s="90" t="str">
        <f>_xlfn.XLOOKUP($D365,Planilha!$O:$O,Planilha!F:F)</f>
        <v>JA03 - 4 MÓDULOS DE 0,74x0,53 DE JANELAS DE ALUMÍNIO LINHA 25 TIPO MAXIM-AR, COM VIDRO DE 6mm, COM CONTRAMARCO, ALIZAR, BATENTE E FERRAGENS, ACAB. PINTURA ELETROSTÁTICA COR RAL 7021 - 2,38X 0,80M</v>
      </c>
      <c r="D365" s="91">
        <f>LARGE(Planilha!$O:$O,$A365)</f>
        <v>2402.87</v>
      </c>
      <c r="E365" s="92">
        <f t="shared" si="15"/>
        <v>1.726372232046941E-4</v>
      </c>
      <c r="F365" s="93">
        <f t="shared" si="16"/>
        <v>0.97575921694387602</v>
      </c>
      <c r="I365" s="73" t="str">
        <v>CPM.06.P - PAINEL EM CHAPA METÁLICA PERFURADA REDONDA EM AÇO INOX 304 - PERFURAÇÃO R8,00 EC11,00. ACABAMENTO EM PINTURA ELETROSTÁTICA COR RAL 7042 BRILHANTE. SUBESTRUTURA EM PERFIS DE AÇO INOX 304 E ACESSÓRIOS PARA FIXAÇÃO PINTADOS NA MESMA COR, PARAFUSOS SEM PINTURA.0,578 - 5,286m2</v>
      </c>
    </row>
    <row r="366" spans="1:9" x14ac:dyDescent="0.3">
      <c r="A366" s="88">
        <f t="shared" si="17"/>
        <v>358</v>
      </c>
      <c r="B366" s="89" t="str">
        <f>_xlfn.XLOOKUP(D366,Planilha!O:O,Planilha!C:C)</f>
        <v>02.03.09.21</v>
      </c>
      <c r="C366" s="90" t="str">
        <f>_xlfn.XLOOKUP($D366,Planilha!$O:$O,Planilha!F:F)</f>
        <v>MODULO DE SUPERVISÃO ENDEREÇAVEL BSKY IM5EI</v>
      </c>
      <c r="D366" s="91">
        <f>LARGE(Planilha!$O:$O,$A366)</f>
        <v>2397.65</v>
      </c>
      <c r="E366" s="92">
        <f t="shared" si="15"/>
        <v>1.7226218572654153E-4</v>
      </c>
      <c r="F366" s="93">
        <f t="shared" si="16"/>
        <v>0.97593147912960254</v>
      </c>
      <c r="I366" s="73" t="str">
        <v xml:space="preserve">LUMINÁRIA DE SOBREPOR HERMÉTICA REF. WT118C SMARTLED </v>
      </c>
    </row>
    <row r="367" spans="1:9" ht="50.4" x14ac:dyDescent="0.3">
      <c r="A367" s="88">
        <f t="shared" si="17"/>
        <v>359</v>
      </c>
      <c r="B367" s="89" t="str">
        <f>_xlfn.XLOOKUP(D367,Planilha!O:O,Planilha!C:C)</f>
        <v>02.03.11.03.14</v>
      </c>
      <c r="C367" s="90" t="str">
        <f>_xlfn.XLOOKUP($D367,Planilha!$O:$O,Planilha!F:F)</f>
        <v>QUADRO DE DISTRIBUIÇÃO DE EMBUTIR, EM CHAPA DE AÇO, PARA ATÉ 70 DISJUNTORES, COM BARRAMENTO, PADRÃO DIN, EXCLUSIVE DISJUNTORES</v>
      </c>
      <c r="D367" s="91">
        <f>LARGE(Planilha!$O:$O,$A367)</f>
        <v>2391.21</v>
      </c>
      <c r="E367" s="92">
        <f t="shared" si="15"/>
        <v>1.717994958109663E-4</v>
      </c>
      <c r="F367" s="93">
        <f t="shared" si="16"/>
        <v>0.97610327862541346</v>
      </c>
      <c r="I367" s="73" t="str">
        <v>VÁLVULA DE RETENÇÃO HORIZONTAL, DE BRONZE, ROSCÁVEL, 2 1/2" - FORNECIMENTO E INSTALAÇÃO. AF_08/2021</v>
      </c>
    </row>
    <row r="368" spans="1:9" ht="50.4" x14ac:dyDescent="0.3">
      <c r="A368" s="88">
        <f t="shared" si="17"/>
        <v>360</v>
      </c>
      <c r="B368" s="89" t="str">
        <f>_xlfn.XLOOKUP(D368,Planilha!O:O,Planilha!C:C)</f>
        <v>02.03.11.03.14</v>
      </c>
      <c r="C368" s="90" t="str">
        <f>_xlfn.XLOOKUP($D368,Planilha!$O:$O,Planilha!F:F)</f>
        <v>QUADRO DE DISTRIBUIÇÃO DE EMBUTIR, EM CHAPA DE AÇO, PARA ATÉ 70 DISJUNTORES, COM BARRAMENTO, PADRÃO DIN, EXCLUSIVE DISJUNTORES</v>
      </c>
      <c r="D368" s="91">
        <f>LARGE(Planilha!$O:$O,$A368)</f>
        <v>2391.21</v>
      </c>
      <c r="E368" s="92">
        <f t="shared" si="15"/>
        <v>1.717994958109663E-4</v>
      </c>
      <c r="F368" s="93">
        <f t="shared" si="16"/>
        <v>0.97627507812122438</v>
      </c>
      <c r="I368" s="73" t="str">
        <v>FILTRO DE SEPARAÇÃO DE FOLHAS</v>
      </c>
    </row>
    <row r="369" spans="1:9" ht="50.4" x14ac:dyDescent="0.3">
      <c r="A369" s="88">
        <f t="shared" si="17"/>
        <v>361</v>
      </c>
      <c r="B369" s="89" t="str">
        <f>_xlfn.XLOOKUP(D369,Planilha!O:O,Planilha!C:C)</f>
        <v>02.03.11.03.14</v>
      </c>
      <c r="C369" s="90" t="str">
        <f>_xlfn.XLOOKUP($D369,Planilha!$O:$O,Planilha!F:F)</f>
        <v>QUADRO DE DISTRIBUIÇÃO DE EMBUTIR, EM CHAPA DE AÇO, PARA ATÉ 70 DISJUNTORES, COM BARRAMENTO, PADRÃO DIN, EXCLUSIVE DISJUNTORES</v>
      </c>
      <c r="D369" s="91">
        <f>LARGE(Planilha!$O:$O,$A369)</f>
        <v>2391.21</v>
      </c>
      <c r="E369" s="92">
        <f t="shared" si="15"/>
        <v>1.717994958109663E-4</v>
      </c>
      <c r="F369" s="93">
        <f t="shared" si="16"/>
        <v>0.9764468776170353</v>
      </c>
      <c r="I369" s="73" t="str">
        <v>CURVA 90 GALVANIZADA 4""</v>
      </c>
    </row>
    <row r="370" spans="1:9" ht="33.6" x14ac:dyDescent="0.3">
      <c r="A370" s="88">
        <f t="shared" si="17"/>
        <v>362</v>
      </c>
      <c r="B370" s="89" t="str">
        <f>_xlfn.XLOOKUP(D370,Planilha!O:O,Planilha!C:C)</f>
        <v>02.02.15.01.11</v>
      </c>
      <c r="C370" s="90" t="str">
        <f>_xlfn.XLOOKUP($D370,Planilha!$O:$O,Planilha!F:F)</f>
        <v>FECHO, 40CM X 3/4", ACABAMENTO CR (CROMADO),  LA FONTE, REF. 400 (OU SIMILAR)</v>
      </c>
      <c r="D370" s="91">
        <f>LARGE(Planilha!$O:$O,$A370)</f>
        <v>2352.2399999999998</v>
      </c>
      <c r="E370" s="92">
        <f t="shared" si="15"/>
        <v>1.6899964705165474E-4</v>
      </c>
      <c r="F370" s="93">
        <f t="shared" si="16"/>
        <v>0.97661587726408694</v>
      </c>
      <c r="I370" s="73" t="str">
        <v>CAIXA SIFONADA, PVC, DN 150 X 185 X 75 MM, JUNTA ELÁSTICA, FORNECIDA E INSTALADA EM RAMAL DE DESCARGA OU EM RAMAL DE ESGOTO SANITÁRIO. AF_12/2014</v>
      </c>
    </row>
    <row r="371" spans="1:9" ht="33.6" x14ac:dyDescent="0.3">
      <c r="A371" s="88">
        <f t="shared" si="17"/>
        <v>363</v>
      </c>
      <c r="B371" s="89" t="str">
        <f>_xlfn.XLOOKUP(D371,Planilha!O:O,Planilha!C:C)</f>
        <v>02.02.15.01.11</v>
      </c>
      <c r="C371" s="90" t="str">
        <f>_xlfn.XLOOKUP($D371,Planilha!$O:$O,Planilha!F:F)</f>
        <v>FECHO, 40CM X 3/4", ACABAMENTO CR (CROMADO),  LA FONTE, REF. 400 (OU SIMILAR)</v>
      </c>
      <c r="D371" s="91">
        <f>LARGE(Planilha!$O:$O,$A371)</f>
        <v>2352.2399999999998</v>
      </c>
      <c r="E371" s="92">
        <f t="shared" si="15"/>
        <v>1.6899964705165474E-4</v>
      </c>
      <c r="F371" s="93">
        <f t="shared" si="16"/>
        <v>0.97678487691113858</v>
      </c>
      <c r="I371" s="73" t="str">
        <v>ALÇAPÃO/TAMPA EM CHAPA DE FERRO COM PORTA CADEADO</v>
      </c>
    </row>
    <row r="372" spans="1:9" ht="33.6" x14ac:dyDescent="0.3">
      <c r="A372" s="88">
        <f t="shared" si="17"/>
        <v>364</v>
      </c>
      <c r="B372" s="89" t="str">
        <f>_xlfn.XLOOKUP(D372,Planilha!O:O,Planilha!C:C)</f>
        <v>02.03.11.14.22</v>
      </c>
      <c r="C372" s="90" t="str">
        <f>_xlfn.XLOOKUP($D372,Planilha!$O:$O,Planilha!F:F)</f>
        <v>BÓIA ELÉTRICA PARA RESERVATÓRIO SUPERIOR, MARCA AQUAMATIC OU SIMILAR, CAPACIDADE 30 A - FORNECIMENTO E INSTALAÇÃO</v>
      </c>
      <c r="D372" s="91">
        <f>LARGE(Planilha!$O:$O,$A372)</f>
        <v>2315.52</v>
      </c>
      <c r="E372" s="92">
        <f t="shared" si="15"/>
        <v>1.6636145237775382E-4</v>
      </c>
      <c r="F372" s="93">
        <f t="shared" si="16"/>
        <v>0.97695123836351638</v>
      </c>
      <c r="I372" s="73" t="str">
        <v>VÁLVULA DE RETENÇÃO, DE BRONZE, PÉ COM CRIVOS, ROSCÁVEL, 3" - FORNECIMENTO E INSTALAÇÃO. AF_08/2021</v>
      </c>
    </row>
    <row r="373" spans="1:9" ht="50.4" x14ac:dyDescent="0.3">
      <c r="A373" s="88">
        <f t="shared" si="17"/>
        <v>365</v>
      </c>
      <c r="B373" s="89" t="str">
        <f>_xlfn.XLOOKUP(D373,Planilha!O:O,Planilha!C:C)</f>
        <v>02.03.06.05</v>
      </c>
      <c r="C373" s="90" t="str">
        <f>_xlfn.XLOOKUP($D373,Planilha!$O:$O,Planilha!F:F)</f>
        <v>CONDULETE DE ALUMÍNIO, TIPO L, PARA ELETRODUTO DE AÇO GALVANIZADO DN 20 MM (3/4''), APARENTE - FORNECIMENTO E INSTALAÇÃO. AF_11/2016_P</v>
      </c>
      <c r="D373" s="91">
        <f>LARGE(Planilha!$O:$O,$A373)</f>
        <v>2311.7600000000002</v>
      </c>
      <c r="E373" s="92">
        <f t="shared" si="15"/>
        <v>1.6609131043946766E-4</v>
      </c>
      <c r="F373" s="93">
        <f t="shared" si="16"/>
        <v>0.97711732967395581</v>
      </c>
      <c r="I373" s="73" t="str">
        <v>ASSENTO SANITARIO COM ABERTURA FRONTAL PARA BACIA VOGUE PLUS</v>
      </c>
    </row>
    <row r="374" spans="1:9" x14ac:dyDescent="0.3">
      <c r="A374" s="88">
        <f t="shared" si="17"/>
        <v>366</v>
      </c>
      <c r="B374" s="89" t="str">
        <f>_xlfn.XLOOKUP(D374,Planilha!O:O,Planilha!C:C)</f>
        <v>02.03.03.03.36</v>
      </c>
      <c r="C374" s="90" t="str">
        <f>_xlfn.XLOOKUP($D374,Planilha!$O:$O,Planilha!F:F)</f>
        <v>CONDULETE ALUMINIO ""T"" 2"" COM TAMPA</v>
      </c>
      <c r="D374" s="91">
        <f>LARGE(Planilha!$O:$O,$A374)</f>
        <v>2279.09</v>
      </c>
      <c r="E374" s="92">
        <f t="shared" si="15"/>
        <v>1.6374409311930579E-4</v>
      </c>
      <c r="F374" s="93">
        <f t="shared" si="16"/>
        <v>0.97728107376707507</v>
      </c>
      <c r="I374" s="73" t="str">
        <v>ESTRUTURA DE LINHA DE VIDA</v>
      </c>
    </row>
    <row r="375" spans="1:9" ht="33.6" x14ac:dyDescent="0.3">
      <c r="A375" s="88">
        <f t="shared" si="17"/>
        <v>367</v>
      </c>
      <c r="B375" s="89" t="str">
        <f>_xlfn.XLOOKUP(D375,Planilha!O:O,Planilha!C:C)</f>
        <v>02.03.09.29</v>
      </c>
      <c r="C375" s="90" t="str">
        <f>_xlfn.XLOOKUP($D375,Planilha!$O:$O,Planilha!F:F)</f>
        <v>CENTRAL DE ALARME DE INCENDIO INTELBRAS CIE 1125 ENDERECAVEL</v>
      </c>
      <c r="D375" s="91">
        <f>LARGE(Planilha!$O:$O,$A375)</f>
        <v>2227.2199999999998</v>
      </c>
      <c r="E375" s="92">
        <f t="shared" si="15"/>
        <v>1.6001742760364014E-4</v>
      </c>
      <c r="F375" s="93">
        <f t="shared" si="16"/>
        <v>0.9774410911946787</v>
      </c>
      <c r="I375" s="73" t="str">
        <v>TUBO DE AÇO GALVANIZADO COM COSTURA, CLASSE MÉDIA, CONEXÃO RANHURADA, DN 80 (3"), INSTALADO EM PRUMADAS - FORNECIMENTO E INSTALAÇÃO. AF_10/2020</v>
      </c>
    </row>
    <row r="376" spans="1:9" ht="33.6" x14ac:dyDescent="0.3">
      <c r="A376" s="88">
        <f t="shared" si="17"/>
        <v>368</v>
      </c>
      <c r="B376" s="89" t="str">
        <f>_xlfn.XLOOKUP(D376,Planilha!O:O,Planilha!C:C)</f>
        <v>02.01.05.07</v>
      </c>
      <c r="C376" s="90" t="str">
        <f>_xlfn.XLOOKUP($D376,Planilha!$O:$O,Planilha!F:F)</f>
        <v>LANÇAMENTO E ADENSAMENTO DE CONCRETO OU MASSA EM ESTRUTURA</v>
      </c>
      <c r="D376" s="91">
        <f>LARGE(Planilha!$O:$O,$A376)</f>
        <v>2213.38</v>
      </c>
      <c r="E376" s="92">
        <f t="shared" si="15"/>
        <v>1.5902307536271452E-4</v>
      </c>
      <c r="F376" s="93">
        <f t="shared" si="16"/>
        <v>0.97760011427004145</v>
      </c>
      <c r="I376" s="73" t="str">
        <v>DW.03 - PAREDE COM PLACAS DE GESSO ACARTONADO (DRYWALL), PARA USO INTERNO, ESPESSURA TOTAL 140MM COM DUAS FACES DUPLAS E ESTRUTURA METÁLICA COM GUIA SIMPLES 90MM, TRATAMENTO ACÚSTICO E ENCHIMENTO EM LÃ DE VIDRO OU EQUIVALENTE TÉCNICO.</v>
      </c>
    </row>
    <row r="377" spans="1:9" x14ac:dyDescent="0.3">
      <c r="A377" s="88">
        <f t="shared" si="17"/>
        <v>369</v>
      </c>
      <c r="B377" s="89" t="str">
        <f>_xlfn.XLOOKUP(D377,Planilha!O:O,Planilha!C:C)</f>
        <v>02.03.02.03.34</v>
      </c>
      <c r="C377" s="90" t="str">
        <f>_xlfn.XLOOKUP($D377,Planilha!$O:$O,Planilha!F:F)</f>
        <v>CABO PP CORDPLAST 3 CONDUTORES 450/750V 1,50MM2</v>
      </c>
      <c r="D377" s="91">
        <f>LARGE(Planilha!$O:$O,$A377)</f>
        <v>2194.1999999999998</v>
      </c>
      <c r="E377" s="92">
        <f t="shared" si="15"/>
        <v>1.5764506409241439E-4</v>
      </c>
      <c r="F377" s="93">
        <f t="shared" si="16"/>
        <v>0.97775775933413389</v>
      </c>
      <c r="I377" s="73" t="str">
        <v>COTOVELO 90 GRAUS, EM FERRO GALVANIZADO, CONEXÃO ROSQUEADA, DN 80 (3), INSTALADO EM RESERVAÇÃO DE ÁGUA DE EDIFICAÇÃO QUE POSSUA RESERVATÓRIO DE FIBRA/FIBROCIMENTO  FORNECIMENTO E INSTALAÇÃO. AF_06/2016</v>
      </c>
    </row>
    <row r="378" spans="1:9" ht="33.6" x14ac:dyDescent="0.3">
      <c r="A378" s="88">
        <f t="shared" si="17"/>
        <v>370</v>
      </c>
      <c r="B378" s="89" t="str">
        <f>_xlfn.XLOOKUP(D378,Planilha!O:O,Planilha!C:C)</f>
        <v>02.02.05.01.01</v>
      </c>
      <c r="C378" s="90" t="str">
        <f>_xlfn.XLOOKUP($D378,Planilha!$O:$O,Planilha!F:F)</f>
        <v>REGULARIZACAO MANUAL DE SOLO COM NIVELAMENTO E APILOAMENTO</v>
      </c>
      <c r="D378" s="91">
        <f>LARGE(Planilha!$O:$O,$A378)</f>
        <v>2186.02</v>
      </c>
      <c r="E378" s="92">
        <f t="shared" si="15"/>
        <v>1.5705736168412164E-4</v>
      </c>
      <c r="F378" s="93">
        <f t="shared" si="16"/>
        <v>0.97791481669581803</v>
      </c>
      <c r="I378" s="73" t="str">
        <v>PLACA DE RESP.TECNICA-MADEIRA/CHAPA GALVANIZADA 26(3,0X1,5 M)</v>
      </c>
    </row>
    <row r="379" spans="1:9" ht="67.2" x14ac:dyDescent="0.3">
      <c r="A379" s="88">
        <f t="shared" si="17"/>
        <v>371</v>
      </c>
      <c r="B379" s="89" t="str">
        <f>_xlfn.XLOOKUP(D379,Planilha!O:O,Planilha!C:C)</f>
        <v>02.02.04.05</v>
      </c>
      <c r="C379" s="90" t="str">
        <f>_xlfn.XLOOKUP($D379,Planilha!$O:$O,Planilha!F:F)</f>
        <v>PINTURA COM TINTA ALQUÍDICA DE ACABAMENTO (ESMALTE SINTÉTICO ACETINADO) APLICADA A ROLO OU PINCEL SOBRE SUPERFÍCIES METÁLICAS (EXCETO PERFIL) EXECUTADO EM OBRA (02 DEMÃOS). AF_01/2020</v>
      </c>
      <c r="D379" s="91">
        <f>LARGE(Planilha!$O:$O,$A379)</f>
        <v>2153.6999999999998</v>
      </c>
      <c r="E379" s="92">
        <f t="shared" si="15"/>
        <v>1.5473529055502365E-4</v>
      </c>
      <c r="F379" s="93">
        <f t="shared" si="16"/>
        <v>0.97806955198637302</v>
      </c>
      <c r="I379" s="73" t="str">
        <v>CPM.02.A" - PAINEL EM CHAPA METÁLICA PERFURADA REDONDA EM AÇO INOX 304 - PERFURAÇÃO R8,00 EC11,00. ACABAMENTO EM PINTURA ELETROSTÁTICA COR RAL 7042 BRILHANTE. SUBESTRUTURA EM PERFIS DE AÇO INOX 304 E ACESSÓRIOS PARA FIXAÇÃO PINTADOS NA MESMA COR, PARAFUSOS SEM PINTURA.0,17 - 5,286m2</v>
      </c>
    </row>
    <row r="380" spans="1:9" ht="33.6" x14ac:dyDescent="0.3">
      <c r="A380" s="88">
        <f t="shared" si="17"/>
        <v>372</v>
      </c>
      <c r="B380" s="89" t="str">
        <f>_xlfn.XLOOKUP(D380,Planilha!O:O,Planilha!C:C)</f>
        <v>02.02.14.05</v>
      </c>
      <c r="C380" s="90" t="str">
        <f>_xlfn.XLOOKUP($D380,Planilha!$O:$O,Planilha!F:F)</f>
        <v>DISPENSER PARA SABONETE LÍQUIDO REF. 70090, MELHORAMENTOS OU SIMILAR</v>
      </c>
      <c r="D380" s="91">
        <f>LARGE(Planilha!$O:$O,$A380)</f>
        <v>2150.37</v>
      </c>
      <c r="E380" s="92">
        <f t="shared" si="15"/>
        <v>1.5449604250861596E-4</v>
      </c>
      <c r="F380" s="93">
        <f t="shared" si="16"/>
        <v>0.97822404802888163</v>
      </c>
      <c r="I380" s="73" t="str">
        <v>TOMADA ALTA DE EMBUTIR (1 MÓDULO), 2P+T 10 A, SEM SUPORTE E SEM PLACA - FORNECIMENTO E INSTALAÇÃO. AF_12/2015</v>
      </c>
    </row>
    <row r="381" spans="1:9" ht="33.6" x14ac:dyDescent="0.3">
      <c r="A381" s="88">
        <f t="shared" si="17"/>
        <v>373</v>
      </c>
      <c r="B381" s="89" t="str">
        <f>_xlfn.XLOOKUP(D381,Planilha!O:O,Planilha!C:C)</f>
        <v>02.02.06.05</v>
      </c>
      <c r="C381" s="90" t="str">
        <f>_xlfn.XLOOKUP($D381,Planilha!$O:$O,Planilha!F:F)</f>
        <v>JUNTA DE ENCONTRO, SEÇÃO TRANSVERSAL DIM. 20MM, INCLUSIVE TARUGO E PREENCHIMENTO COM MASTIQUE MBT OU SIMILAR.</v>
      </c>
      <c r="D381" s="91">
        <f>LARGE(Planilha!$O:$O,$A381)</f>
        <v>2145.0500000000002</v>
      </c>
      <c r="E381" s="92">
        <f t="shared" si="15"/>
        <v>1.5411382040444514E-4</v>
      </c>
      <c r="F381" s="93">
        <f t="shared" si="16"/>
        <v>0.97837816184928605</v>
      </c>
      <c r="I381" s="73" t="str">
        <v>BAN.15 - BANCADA DE GRANITO CINZA ANDORINHA ESP. 3CM 0,90X0,55M, SAIA ESP. 2CM H=5CM, FRONTISPÍCIO ESP 2CM H =10CM COM FURAÇÃO PARA CUBA E TORNEIRA</v>
      </c>
    </row>
    <row r="382" spans="1:9" ht="33.6" x14ac:dyDescent="0.3">
      <c r="A382" s="88">
        <f t="shared" si="17"/>
        <v>374</v>
      </c>
      <c r="B382" s="89" t="str">
        <f>_xlfn.XLOOKUP(D382,Planilha!O:O,Planilha!C:C)</f>
        <v>02.01.07.04.08</v>
      </c>
      <c r="C382" s="90" t="str">
        <f>_xlfn.XLOOKUP($D382,Planilha!$O:$O,Planilha!F:F)</f>
        <v xml:space="preserve">FORMA PLANA PARA SAPATAS, EM MADEIRA MACIÇA, 02 USOS, INCLUSIVE ESCORAMENTO </v>
      </c>
      <c r="D382" s="91">
        <f>LARGE(Planilha!$O:$O,$A382)</f>
        <v>2114.9299999999998</v>
      </c>
      <c r="E382" s="92">
        <f t="shared" si="15"/>
        <v>1.5194981104774859E-4</v>
      </c>
      <c r="F382" s="93">
        <f t="shared" si="16"/>
        <v>0.97853011166033377</v>
      </c>
      <c r="I382" s="73" t="str">
        <v>JOELHO 87 FERRO FUNDIDO 100MM</v>
      </c>
    </row>
    <row r="383" spans="1:9" ht="33.6" x14ac:dyDescent="0.3">
      <c r="A383" s="88">
        <f t="shared" si="17"/>
        <v>375</v>
      </c>
      <c r="B383" s="89" t="str">
        <f>_xlfn.XLOOKUP(D383,Planilha!O:O,Planilha!C:C)</f>
        <v>02.02.14.21</v>
      </c>
      <c r="C383" s="90" t="str">
        <f>_xlfn.XLOOKUP($D383,Planilha!$O:$O,Planilha!F:F)</f>
        <v>TORNEIRA CROMADA DE MESA PARA LAVATÓRIO COM SENSOR DE PRESENCA. AF_01/2020</v>
      </c>
      <c r="D383" s="91">
        <f>LARGE(Planilha!$O:$O,$A383)</f>
        <v>2101.84</v>
      </c>
      <c r="E383" s="92">
        <f t="shared" si="15"/>
        <v>1.5100934350195986E-4</v>
      </c>
      <c r="F383" s="93">
        <f t="shared" si="16"/>
        <v>0.97868112100383575</v>
      </c>
      <c r="I383" s="73" t="str">
        <v>TE 90 FERRO GALVANIZADO DIAM. 2.1/2""</v>
      </c>
    </row>
    <row r="384" spans="1:9" ht="33.6" x14ac:dyDescent="0.3">
      <c r="A384" s="88">
        <f t="shared" si="17"/>
        <v>376</v>
      </c>
      <c r="B384" s="89" t="str">
        <f>_xlfn.XLOOKUP(D384,Planilha!O:O,Planilha!C:C)</f>
        <v>02.02.15.01.05</v>
      </c>
      <c r="C384" s="90" t="str">
        <f>_xlfn.XLOOKUP($D384,Planilha!$O:$O,Planilha!F:F)</f>
        <v>PM05 - PORTA SIMPLES DE ABRIR EM MADEIRA COM REVESTIMENTO MELAMÍNICO NA COR BRANCA COM VISOR 0,30x1,34m - 0,90X 2,10M</v>
      </c>
      <c r="D384" s="91">
        <f>LARGE(Planilha!$O:$O,$A384)</f>
        <v>2078.71</v>
      </c>
      <c r="E384" s="92">
        <f t="shared" si="15"/>
        <v>1.493475395039389E-4</v>
      </c>
      <c r="F384" s="93">
        <f t="shared" si="16"/>
        <v>0.97883046854333966</v>
      </c>
      <c r="I384" s="73" t="str">
        <v>SIFÃO DE METAL CROMADO DE 1´ X 1 1/2´</v>
      </c>
    </row>
    <row r="385" spans="1:9" x14ac:dyDescent="0.3">
      <c r="A385" s="88">
        <f t="shared" si="17"/>
        <v>377</v>
      </c>
      <c r="B385" s="89" t="str">
        <f>_xlfn.XLOOKUP(D385,Planilha!O:O,Planilha!C:C)</f>
        <v>02.03.11.14.14</v>
      </c>
      <c r="C385" s="90" t="str">
        <f>_xlfn.XLOOKUP($D385,Planilha!$O:$O,Planilha!F:F)</f>
        <v>BORNE TERMINAL SAK 2,5 MM2</v>
      </c>
      <c r="D385" s="91">
        <f>LARGE(Planilha!$O:$O,$A385)</f>
        <v>2077.5</v>
      </c>
      <c r="E385" s="92">
        <f t="shared" si="15"/>
        <v>1.492606055291181E-4</v>
      </c>
      <c r="F385" s="93">
        <f t="shared" si="16"/>
        <v>0.97897972914886877</v>
      </c>
      <c r="I385" s="73" t="str">
        <v>TUBO, PVC, SOLDÁVEL, DN 50 MM, INSTALADO EM RESERVAÇÃO DE ÁGUA DE EDIFICAÇÃO QUE POSSUA RESERVATÓRIO DE FIBRA/FIBROCIMENTO   FORNECIMENTO E INSTALAÇÃO. AF_06/2016</v>
      </c>
    </row>
    <row r="386" spans="1:9" x14ac:dyDescent="0.3">
      <c r="A386" s="88">
        <f t="shared" si="17"/>
        <v>378</v>
      </c>
      <c r="B386" s="89" t="str">
        <f>_xlfn.XLOOKUP(D386,Planilha!O:O,Planilha!C:C)</f>
        <v>02.04.01.01.06</v>
      </c>
      <c r="C386" s="90" t="str">
        <f>_xlfn.XLOOKUP($D386,Planilha!$O:$O,Planilha!F:F)</f>
        <v>ANEL BORRACHA TUBO PVC 150MM</v>
      </c>
      <c r="D386" s="91">
        <f>LARGE(Planilha!$O:$O,$A386)</f>
        <v>2065.62</v>
      </c>
      <c r="E386" s="92">
        <f t="shared" si="15"/>
        <v>1.4840707195815014E-4</v>
      </c>
      <c r="F386" s="93">
        <f t="shared" si="16"/>
        <v>0.97912813622082695</v>
      </c>
      <c r="I386" s="73" t="str">
        <v>ESPELHO DE CRISTAL 4MM, COM MOLDURA DE ALUMÍNIO, ACABAMENTO EM LAMINADO, DIM. 50 X 70CM</v>
      </c>
    </row>
    <row r="387" spans="1:9" x14ac:dyDescent="0.3">
      <c r="A387" s="88">
        <f t="shared" si="17"/>
        <v>379</v>
      </c>
      <c r="B387" s="89" t="str">
        <f>_xlfn.XLOOKUP(D387,Planilha!O:O,Planilha!C:C)</f>
        <v>02.03.09.34</v>
      </c>
      <c r="C387" s="90" t="str">
        <f>_xlfn.XLOOKUP($D387,Planilha!$O:$O,Planilha!F:F)</f>
        <v>REFLETOR 100W LED LINEAR BLINDADO A PROVA D'AGUA</v>
      </c>
      <c r="D387" s="91">
        <f>LARGE(Planilha!$O:$O,$A387)</f>
        <v>2035.25</v>
      </c>
      <c r="E387" s="92">
        <f t="shared" si="15"/>
        <v>1.4622510103640799E-4</v>
      </c>
      <c r="F387" s="93">
        <f t="shared" si="16"/>
        <v>0.97927436132186341</v>
      </c>
      <c r="I387" s="73" t="str">
        <v>ALVENARIA DE VEDAÇÃO DE BLOCOS  VAZADOS DE CONCRETO APARENTE DE 19X19X39 CM (ESPESSURA 19 CM) E ARGAMASSA DE ASSENTAMENTO COM PREPARO EM BETONEIRA. AF_12/2021</v>
      </c>
    </row>
    <row r="388" spans="1:9" ht="50.4" x14ac:dyDescent="0.3">
      <c r="A388" s="88">
        <f t="shared" si="17"/>
        <v>380</v>
      </c>
      <c r="B388" s="89" t="str">
        <f>_xlfn.XLOOKUP(D388,Planilha!O:O,Planilha!C:C)</f>
        <v>02.04.01.01.21</v>
      </c>
      <c r="C388" s="90" t="str">
        <f>_xlfn.XLOOKUP($D388,Planilha!$O:$O,Planilha!F:F)</f>
        <v>LUVA SIMPLES, PVC, SERIE R, ÁGUA PLUVIAL, DN 100 MM, JUNTA ELÁSTICA, FORNECIDO E INSTALADO EM CONDUTORES VERTICAIS DE ÁGUAS PLUVIAIS. AF_12/2014</v>
      </c>
      <c r="D388" s="91">
        <f>LARGE(Planilha!$O:$O,$A388)</f>
        <v>2023.32</v>
      </c>
      <c r="E388" s="92">
        <f t="shared" si="15"/>
        <v>1.453679751524309E-4</v>
      </c>
      <c r="F388" s="93">
        <f t="shared" si="16"/>
        <v>0.97941972929701582</v>
      </c>
      <c r="I388" s="73" t="str">
        <v>CPM.02.B' - PAINEL EM CHAPA METÁLICA PERFURADA REDONDA EM AÇO INOX 304 - PERFURAÇÃO R8,00 EC11,00. ACABAMENTO EM PINTURA ELETROSTÁTICA COR RAL 7042 BRILHANTE. SUBESTRUTURA EM PERFIS DE AÇO INOX 304 E ACESSÓRIOS PARA FIXAÇÃO PINTADOS NA MESMA COR, PARAFUSOS SEM PINTURA.0,149 - 5,286m2</v>
      </c>
    </row>
    <row r="389" spans="1:9" x14ac:dyDescent="0.3">
      <c r="A389" s="88">
        <f t="shared" si="17"/>
        <v>381</v>
      </c>
      <c r="B389" s="89" t="str">
        <f>_xlfn.XLOOKUP(D389,Planilha!O:O,Planilha!C:C)</f>
        <v>02.02.14.08</v>
      </c>
      <c r="C389" s="90" t="str">
        <f>_xlfn.XLOOKUP($D389,Planilha!$O:$O,Planilha!F:F)</f>
        <v>DUCHA HIGIÊNICA CROMADA</v>
      </c>
      <c r="D389" s="91">
        <f>LARGE(Planilha!$O:$O,$A389)</f>
        <v>2009.96</v>
      </c>
      <c r="E389" s="92">
        <f t="shared" si="15"/>
        <v>1.4440810911639287E-4</v>
      </c>
      <c r="F389" s="93">
        <f t="shared" si="16"/>
        <v>0.97956413740613224</v>
      </c>
      <c r="I389" s="73" t="str">
        <v>CURVA 90 ELETRODUTO FERRO GALVANIZADO 1""</v>
      </c>
    </row>
    <row r="390" spans="1:9" ht="50.4" x14ac:dyDescent="0.3">
      <c r="A390" s="88">
        <f t="shared" si="17"/>
        <v>382</v>
      </c>
      <c r="B390" s="89" t="str">
        <f>_xlfn.XLOOKUP(D390,Planilha!O:O,Planilha!C:C)</f>
        <v>02.05.01.03</v>
      </c>
      <c r="C390" s="90" t="str">
        <f>_xlfn.XLOOKUP($D390,Planilha!$O:$O,Planilha!F:F)</f>
        <v>TUBO EM COBRE RÍGIDO, DN 28 MM, CLASSE A, SEM ISOLAMENTO, INSTALADO EM RAMAL DE DISTRIBUIÇÃO FORNECIMENTO E INSTALAÇÃO. AF_12/2015</v>
      </c>
      <c r="D390" s="91">
        <f>LARGE(Planilha!$O:$O,$A390)</f>
        <v>2007.36</v>
      </c>
      <c r="E390" s="92">
        <f t="shared" si="15"/>
        <v>1.4422130883991842E-4</v>
      </c>
      <c r="F390" s="93">
        <f t="shared" si="16"/>
        <v>0.97970835871497219</v>
      </c>
      <c r="I390" s="73" t="str">
        <v>CAIXA D´ÁGUA EM POLIÉSTER REFORÇADO COM FIBRA DE VIDRO, 1000 LITROS - FORNECIMENTO E INSTALAÇÃO. AF_06/2021</v>
      </c>
    </row>
    <row r="391" spans="1:9" ht="33.6" x14ac:dyDescent="0.3">
      <c r="A391" s="88">
        <f t="shared" si="17"/>
        <v>383</v>
      </c>
      <c r="B391" s="89" t="str">
        <f>_xlfn.XLOOKUP(D391,Planilha!O:O,Planilha!C:C)</f>
        <v>02.03.02.01.31</v>
      </c>
      <c r="C391" s="90" t="str">
        <f>_xlfn.XLOOKUP($D391,Planilha!$O:$O,Planilha!F:F)</f>
        <v>ELETRODUTO RÍGIDO SOLDÁVEL, PVC, DN 32 MM (1"), APARENTE, INSTALADO EM TETO - FORNECIMENTO E INSTALAÇÃO. AF_11/2016</v>
      </c>
      <c r="D391" s="91">
        <f>LARGE(Planilha!$O:$O,$A391)</f>
        <v>1993.66</v>
      </c>
      <c r="E391" s="92">
        <f t="shared" si="15"/>
        <v>1.4323701507541834E-4</v>
      </c>
      <c r="F391" s="93">
        <f t="shared" si="16"/>
        <v>0.97985159573004765</v>
      </c>
      <c r="I391" s="73" t="str">
        <v>ARRASAMENTO MECANICO DE ESTACA DE CONCRETO ARMADO, DIAMETROS DE 41 CM A 60 CM. AF_05/2021</v>
      </c>
    </row>
    <row r="392" spans="1:9" ht="33.6" x14ac:dyDescent="0.3">
      <c r="A392" s="88">
        <f t="shared" si="17"/>
        <v>384</v>
      </c>
      <c r="B392" s="89" t="str">
        <f>_xlfn.XLOOKUP(D392,Planilha!O:O,Planilha!C:C)</f>
        <v>02.02.15.01.04</v>
      </c>
      <c r="C392" s="90" t="str">
        <f>_xlfn.XLOOKUP($D392,Planilha!$O:$O,Planilha!F:F)</f>
        <v>PM04 - PORTA SIMPLES DE ABRIR EM MADEIRA COM REVESTIMENTO MELAMÍNICO NA COR BRANCA - 0,90X 2,10M</v>
      </c>
      <c r="D392" s="91">
        <f>LARGE(Planilha!$O:$O,$A392)</f>
        <v>1987.43</v>
      </c>
      <c r="E392" s="92">
        <f t="shared" si="15"/>
        <v>1.4278941287448145E-4</v>
      </c>
      <c r="F392" s="93">
        <f t="shared" si="16"/>
        <v>0.97999438514292214</v>
      </c>
      <c r="I392" s="73" t="str">
        <v xml:space="preserve">ENGASTE TRILHOS TR37 A TIRANTES </v>
      </c>
    </row>
    <row r="393" spans="1:9" ht="33.6" x14ac:dyDescent="0.3">
      <c r="A393" s="88">
        <f t="shared" si="17"/>
        <v>385</v>
      </c>
      <c r="B393" s="89" t="str">
        <f>_xlfn.XLOOKUP(D393,Planilha!O:O,Planilha!C:C)</f>
        <v>02.01.05.09</v>
      </c>
      <c r="C393" s="90" t="str">
        <f>_xlfn.XLOOKUP($D393,Planilha!$O:$O,Planilha!F:F)</f>
        <v>ENCHIMENTO DE AREIA PARA DRENO, LANÇAMENTO MANUAL. AF_07/2021</v>
      </c>
      <c r="D393" s="91">
        <f>LARGE(Planilha!$O:$O,$A393)</f>
        <v>1965.64</v>
      </c>
      <c r="E393" s="92">
        <f t="shared" ref="E393:E456" si="18">D393/$D$933</f>
        <v>1.4122388286510502E-4</v>
      </c>
      <c r="F393" s="93">
        <f t="shared" ref="F393:F456" si="19">+E393+F392</f>
        <v>0.98013560902578722</v>
      </c>
      <c r="I393" s="73" t="str">
        <v>CUBA ACO INOX ESCOVADO RETANGULAR 50X40X20CM SQUARE 540 SINK</v>
      </c>
    </row>
    <row r="394" spans="1:9" ht="33.6" x14ac:dyDescent="0.3">
      <c r="A394" s="88">
        <f t="shared" si="17"/>
        <v>386</v>
      </c>
      <c r="B394" s="89" t="str">
        <f>_xlfn.XLOOKUP(D394,Planilha!O:O,Planilha!C:C)</f>
        <v>02.04.04.05.03</v>
      </c>
      <c r="C394" s="90" t="str">
        <f>_xlfn.XLOOKUP($D394,Planilha!$O:$O,Planilha!F:F)</f>
        <v>EXTINTOR DE INCÊNDIO TIPO PÓ QUÍMICO 2-A:20-B:C, CAPACIDADE 6 KG</v>
      </c>
      <c r="D394" s="91">
        <f>LARGE(Planilha!$O:$O,$A394)</f>
        <v>1954.08</v>
      </c>
      <c r="E394" s="92">
        <f t="shared" si="18"/>
        <v>1.4039334009739547E-4</v>
      </c>
      <c r="F394" s="93">
        <f t="shared" si="19"/>
        <v>0.98027600236588464</v>
      </c>
      <c r="I394" s="73" t="str">
        <v>CONECTOR DE LATÃO, COBRE OU BRONZE, JUNTAS SOLDADAS, 35MM X 1 1/4"</v>
      </c>
    </row>
    <row r="395" spans="1:9" ht="33.6" x14ac:dyDescent="0.3">
      <c r="A395" s="88">
        <f t="shared" ref="A395:A458" si="20">+A394+1</f>
        <v>387</v>
      </c>
      <c r="B395" s="89" t="str">
        <f>_xlfn.XLOOKUP(D395,Planilha!O:O,Planilha!C:C)</f>
        <v>02.04.04.05.01</v>
      </c>
      <c r="C395" s="90" t="str">
        <f>_xlfn.XLOOKUP($D395,Planilha!$O:$O,Planilha!F:F)</f>
        <v>EXTINTOR MANUAL DE GÁS CARBÔNICO 5 BC - CAPACIDADE DE 6 KG</v>
      </c>
      <c r="D395" s="91">
        <f>LARGE(Planilha!$O:$O,$A395)</f>
        <v>1952.49</v>
      </c>
      <c r="E395" s="92">
        <f t="shared" si="18"/>
        <v>1.4027910454370531E-4</v>
      </c>
      <c r="F395" s="93">
        <f t="shared" si="19"/>
        <v>0.98041628147042836</v>
      </c>
      <c r="I395" s="73" t="str">
        <v>JUNTA DE DILATAÇÃO OU VEDAÇÃO COM MASTIQUE DE SILICONE, 1,0 X 0,5 CM - INCLUSIVE GUIA DE APOIO EM POLIETILENO</v>
      </c>
    </row>
    <row r="396" spans="1:9" ht="50.4" x14ac:dyDescent="0.3">
      <c r="A396" s="88">
        <f t="shared" si="20"/>
        <v>388</v>
      </c>
      <c r="B396" s="89" t="str">
        <f>_xlfn.XLOOKUP(D396,Planilha!O:O,Planilha!C:C)</f>
        <v>02.04.03.01.03</v>
      </c>
      <c r="C396" s="90" t="str">
        <f>_xlfn.XLOOKUP($D396,Planilha!$O:$O,Planilha!F:F)</f>
        <v>TUBO PVC, SERIE NORMAL, ESGOTO PREDIAL, DN 75 MM, FORNECIDO E INSTALADO EM RAMAL DE DESCARGA OU RAMAL DE ESGOTO SANITÁRIO. AF_12/2014</v>
      </c>
      <c r="D396" s="91">
        <f>LARGE(Planilha!$O:$O,$A396)</f>
        <v>1937.32</v>
      </c>
      <c r="E396" s="92">
        <f t="shared" si="18"/>
        <v>1.3918919677673698E-4</v>
      </c>
      <c r="F396" s="93">
        <f t="shared" si="19"/>
        <v>0.98055547066720505</v>
      </c>
      <c r="I396" s="73" t="str">
        <v>CPM.06.I - PAINEL EM CHAPA METÁLICA PERFURADA REDONDA EM AÇO INOX 304 - PERFURAÇÃO R8,00 EC11,00. ACABAMENTO EM PINTURA ELETROSTÁTICA COR RAL 7042 BRILHANTE. SUBESTRUTURA EM PERFIS DE AÇO INOX 304 E ACESSÓRIOS PARA FIXAÇÃO PINTADOS NA MESMA COR, PARAFUSOS SEM PINTURA.0,293 - 5,286m2</v>
      </c>
    </row>
    <row r="397" spans="1:9" x14ac:dyDescent="0.3">
      <c r="A397" s="88">
        <f t="shared" si="20"/>
        <v>389</v>
      </c>
      <c r="B397" s="89" t="str">
        <f>_xlfn.XLOOKUP(D397,Planilha!O:O,Planilha!C:C)</f>
        <v>02.03.02.01.12</v>
      </c>
      <c r="C397" s="90" t="str">
        <f>_xlfn.XLOOKUP($D397,Planilha!$O:$O,Planilha!F:F)</f>
        <v>CONDULETE TIPO ""E"" - 3/4""</v>
      </c>
      <c r="D397" s="91">
        <f>LARGE(Planilha!$O:$O,$A397)</f>
        <v>1935.92</v>
      </c>
      <c r="E397" s="92">
        <f t="shared" si="18"/>
        <v>1.3908861201248149E-4</v>
      </c>
      <c r="F397" s="93">
        <f t="shared" si="19"/>
        <v>0.98069455927921756</v>
      </c>
      <c r="I397" s="73" t="str">
        <v>CABO DE COBRE FLEXÍVEL ISOLADO, 2,5 MM², ANTI-CHAMA 0,6/1,0 KV, PARA CIRCUITOS TERMINAIS - FORNECIMENTO E INSTALAÇÃO. AF_12/2015</v>
      </c>
    </row>
    <row r="398" spans="1:9" ht="50.4" x14ac:dyDescent="0.3">
      <c r="A398" s="88">
        <f t="shared" si="20"/>
        <v>390</v>
      </c>
      <c r="B398" s="89" t="str">
        <f>_xlfn.XLOOKUP(D398,Planilha!O:O,Planilha!C:C)</f>
        <v>02.03.09.23</v>
      </c>
      <c r="C398" s="90" t="str">
        <f>_xlfn.XLOOKUP($D398,Planilha!$O:$O,Planilha!F:F)</f>
        <v>ELETRODUTO DE AÇO GALVANIZADO, CLASSE LEVE, DN 20 MM (3/4), APARENTE, INSTALADO EM TETO - FORNECIMENTO E INSTALAÇÃO. AF_11/2016_P</v>
      </c>
      <c r="D398" s="91">
        <f>LARGE(Planilha!$O:$O,$A398)</f>
        <v>1928.4</v>
      </c>
      <c r="E398" s="92">
        <f t="shared" si="18"/>
        <v>1.3854832813590918E-4</v>
      </c>
      <c r="F398" s="93">
        <f t="shared" si="19"/>
        <v>0.98083310760735343</v>
      </c>
      <c r="I398" s="73" t="str">
        <v>TUBO, PVC, SOLDÁVEL, DN  25 MM, INSTALADO EM RESERVAÇÃO DE ÁGUA DE EDIFICAÇÃO QUE POSSUA RESERVATÓRIO DE FIBRA/FIBROCIMENTO   FORNECIMENTO E INSTALAÇÃO. AF_06/2016</v>
      </c>
    </row>
    <row r="399" spans="1:9" ht="33.6" x14ac:dyDescent="0.3">
      <c r="A399" s="88">
        <f t="shared" si="20"/>
        <v>391</v>
      </c>
      <c r="B399" s="89" t="str">
        <f>_xlfn.XLOOKUP(D399,Planilha!O:O,Planilha!C:C)</f>
        <v>02.03.11.15.03</v>
      </c>
      <c r="C399" s="90" t="str">
        <f>_xlfn.XLOOKUP($D399,Planilha!$O:$O,Planilha!F:F)</f>
        <v>CABO DE COBRE FLEXÍVEL DE 6 MM², ISOLAMENTO 0,6/1 KV - ISOLAÇÃO HEPR 90°C - BAIXA EMISSÃO DE FUMAÇA E GASES</v>
      </c>
      <c r="D399" s="91">
        <f>LARGE(Planilha!$O:$O,$A399)</f>
        <v>1920.24</v>
      </c>
      <c r="E399" s="92">
        <f t="shared" si="18"/>
        <v>1.379620626528201E-4</v>
      </c>
      <c r="F399" s="93">
        <f t="shared" si="19"/>
        <v>0.98097106967000625</v>
      </c>
      <c r="I399" s="73" t="str">
        <v>SINALIZADOR SONORO EM LED VEICULAR</v>
      </c>
    </row>
    <row r="400" spans="1:9" ht="50.4" x14ac:dyDescent="0.3">
      <c r="A400" s="88">
        <f t="shared" si="20"/>
        <v>392</v>
      </c>
      <c r="B400" s="89" t="str">
        <f>_xlfn.XLOOKUP(D400,Planilha!O:O,Planilha!C:C)</f>
        <v>02.01.07.04.01</v>
      </c>
      <c r="C400" s="90" t="str">
        <f>_xlfn.XLOOKUP($D400,Planilha!$O:$O,Planilha!F:F)</f>
        <v>ESCAVAÇÃO HORIZONTAL, INCLUINDO CARGA E DESCARGA EM SOLO DE 1A CATEGORIA COM TRATOR DE ESTEIRAS (100HP/LÂMINA: 2,19M3). AF_07/2020</v>
      </c>
      <c r="D400" s="91">
        <f>LARGE(Planilha!$O:$O,$A400)</f>
        <v>1866.9</v>
      </c>
      <c r="E400" s="92">
        <f t="shared" si="18"/>
        <v>1.341297831346862E-4</v>
      </c>
      <c r="F400" s="93">
        <f t="shared" si="19"/>
        <v>0.9811051994531409</v>
      </c>
      <c r="I400" s="73" t="str">
        <v>PERFILADO LISO (38X38)MM EM CHAPA DE AÇO GALVANIZADO #18, COM TRATAMENTO PRÉ-ZINCADO, INCLUSIVE TAMPA DE ENCAIXE, FIXAÇÃO SUPERIOR, CONEXÕES E ACESSÓRIOS</v>
      </c>
    </row>
    <row r="401" spans="1:9" ht="50.4" x14ac:dyDescent="0.3">
      <c r="A401" s="88">
        <f t="shared" si="20"/>
        <v>393</v>
      </c>
      <c r="B401" s="89" t="str">
        <f>_xlfn.XLOOKUP(D401,Planilha!O:O,Planilha!C:C)</f>
        <v>02.04.01.01.12</v>
      </c>
      <c r="C401" s="90" t="str">
        <f>_xlfn.XLOOKUP($D401,Planilha!$O:$O,Planilha!F:F)</f>
        <v>JOELHO 45 GRAUS, PVC, SERIE R, ÁGUA PLUVIAL, DN 150 MM, JUNTA ELÁSTICA, FORNECIDO E INSTALADO EM CONDUTORES VERTICAIS DE ÁGUAS PLUVIAIS. AF_12/2014</v>
      </c>
      <c r="D401" s="91">
        <f>LARGE(Planilha!$O:$O,$A401)</f>
        <v>1866.41</v>
      </c>
      <c r="E401" s="92">
        <f t="shared" si="18"/>
        <v>1.3409457846719677E-4</v>
      </c>
      <c r="F401" s="93">
        <f t="shared" si="19"/>
        <v>0.98123929403160814</v>
      </c>
      <c r="I401" s="73" t="str">
        <v>DISPOSITIVO DIFERENCIAL RESIDUAL DE 25 A X 30 MA - 4 POLOS</v>
      </c>
    </row>
    <row r="402" spans="1:9" ht="67.2" x14ac:dyDescent="0.3">
      <c r="A402" s="88">
        <f t="shared" si="20"/>
        <v>394</v>
      </c>
      <c r="B402" s="89" t="str">
        <f>_xlfn.XLOOKUP(D402,Planilha!O:O,Planilha!C:C)</f>
        <v>02.02.12.01</v>
      </c>
      <c r="C402" s="90" t="str">
        <f>_xlfn.XLOOKUP($D402,Planilha!$O:$O,Planilha!F:F)</f>
        <v>VASO SANITÁRIO SIFONADO COM CAIXA ACOPLADA LOUÇA BRANCA - PADRÃO MÉDIO, INCLUSO ENGATE FLEXÍVEL EM METAL CROMADO, 1/2  X 40CM - FORNECIMENTO E INSTALAÇÃO. AF_01/2020</v>
      </c>
      <c r="D402" s="91">
        <f>LARGE(Planilha!$O:$O,$A402)</f>
        <v>1847.52</v>
      </c>
      <c r="E402" s="92">
        <f t="shared" si="18"/>
        <v>1.3273740261234959E-4</v>
      </c>
      <c r="F402" s="93">
        <f t="shared" si="19"/>
        <v>0.98137203143422047</v>
      </c>
      <c r="I402" s="73" t="str">
        <v>TYLON MK 1.4 - VENTILADOR</v>
      </c>
    </row>
    <row r="403" spans="1:9" ht="67.2" x14ac:dyDescent="0.3">
      <c r="A403" s="88">
        <f t="shared" si="20"/>
        <v>395</v>
      </c>
      <c r="B403" s="89" t="str">
        <f>_xlfn.XLOOKUP(D403,Planilha!O:O,Planilha!C:C)</f>
        <v>02.02.13.03</v>
      </c>
      <c r="C403" s="90" t="str">
        <f>_xlfn.XLOOKUP($D403,Planilha!$O:$O,Planilha!F:F)</f>
        <v>BAN.13 - BANCADA DE GRANITO CINZA ANDORINHA ESP. 3CM COM ÁREA MOLHADA E SECA 2,25X0,70M, SAIA ESP. 2CM H=5CM, FRONTISPÍCIO ESP 2CM H =40CM COM FURAÇÃO PARA CUBA E TORNEIRA</v>
      </c>
      <c r="D403" s="91">
        <f>LARGE(Planilha!$O:$O,$A403)</f>
        <v>1841.8</v>
      </c>
      <c r="E403" s="92">
        <f t="shared" si="18"/>
        <v>1.3232644200410575E-4</v>
      </c>
      <c r="F403" s="93">
        <f t="shared" si="19"/>
        <v>0.98150435787622459</v>
      </c>
      <c r="I403" s="73" t="str">
        <v>JOELHO 90 GRAUS, PVC, SERIE NORMAL, ESGOTO PREDIAL, DN 50 MM, JUNTA ELÁSTICA, FORNECIDO E INSTALADO EM RAMAL DE DESCARGA OU RAMAL DE ESGOTO SANITÁRIO. AF_12/2014</v>
      </c>
    </row>
    <row r="404" spans="1:9" ht="50.4" x14ac:dyDescent="0.3">
      <c r="A404" s="88">
        <f t="shared" si="20"/>
        <v>396</v>
      </c>
      <c r="B404" s="89" t="str">
        <f>_xlfn.XLOOKUP(D404,Planilha!O:O,Planilha!C:C)</f>
        <v>02.03.11.05.13</v>
      </c>
      <c r="C404" s="90" t="str">
        <f>_xlfn.XLOOKUP($D404,Planilha!$O:$O,Planilha!F:F)</f>
        <v>QUADRO DE DISTRIBUIÇÃO DE EMBUTIR, EM CHAPA DE AÇO, PARA ATÉ 56 DISJUNTORES, COM BARRAMENTO, PADRÃO DIN, EXCLUSIVE DISJUNTORES</v>
      </c>
      <c r="D404" s="91">
        <f>LARGE(Planilha!$O:$O,$A404)</f>
        <v>1830.17</v>
      </c>
      <c r="E404" s="92">
        <f t="shared" si="18"/>
        <v>1.3149086999818344E-4</v>
      </c>
      <c r="F404" s="93">
        <f t="shared" si="19"/>
        <v>0.98163584874622278</v>
      </c>
      <c r="I404" s="73" t="str">
        <v>ELETRODUTO FLEXIVEL PVC TIGREFLEX REFORCADO LARANJA 25MM</v>
      </c>
    </row>
    <row r="405" spans="1:9" ht="50.4" x14ac:dyDescent="0.3">
      <c r="A405" s="88">
        <f t="shared" si="20"/>
        <v>397</v>
      </c>
      <c r="B405" s="89" t="str">
        <f>_xlfn.XLOOKUP(D405,Planilha!O:O,Planilha!C:C)</f>
        <v>02.03.11.05.13</v>
      </c>
      <c r="C405" s="90" t="str">
        <f>_xlfn.XLOOKUP($D405,Planilha!$O:$O,Planilha!F:F)</f>
        <v>QUADRO DE DISTRIBUIÇÃO DE EMBUTIR, EM CHAPA DE AÇO, PARA ATÉ 56 DISJUNTORES, COM BARRAMENTO, PADRÃO DIN, EXCLUSIVE DISJUNTORES</v>
      </c>
      <c r="D405" s="91">
        <f>LARGE(Planilha!$O:$O,$A405)</f>
        <v>1830.17</v>
      </c>
      <c r="E405" s="92">
        <f t="shared" si="18"/>
        <v>1.3149086999818344E-4</v>
      </c>
      <c r="F405" s="93">
        <f t="shared" si="19"/>
        <v>0.98176733961622098</v>
      </c>
      <c r="I405" s="73" t="str">
        <v>JUNÇÃO SIMPLES, PVC, SERIE R, ÁGUA PLUVIAL, DN 150 X 150 MM, JUNTA ELÁSTICA, FORNECIDO E INSTALADO EM CONDUTORES VERTICAIS DE ÁGUAS PLUVIAIS. AF_12/2014</v>
      </c>
    </row>
    <row r="406" spans="1:9" x14ac:dyDescent="0.3">
      <c r="A406" s="88">
        <f t="shared" si="20"/>
        <v>398</v>
      </c>
      <c r="B406" s="89" t="str">
        <f>_xlfn.XLOOKUP(D406,Planilha!O:O,Planilha!C:C)</f>
        <v>02.04.01.03.02</v>
      </c>
      <c r="C406" s="90" t="str">
        <f>_xlfn.XLOOKUP($D406,Planilha!$O:$O,Planilha!F:F)</f>
        <v>JOELHO 45 FERRO FUNDIDO 150MM</v>
      </c>
      <c r="D406" s="91">
        <f>LARGE(Planilha!$O:$O,$A406)</f>
        <v>1820.14</v>
      </c>
      <c r="E406" s="92">
        <f t="shared" si="18"/>
        <v>1.3077025200855307E-4</v>
      </c>
      <c r="F406" s="93">
        <f t="shared" si="19"/>
        <v>0.98189810986822956</v>
      </c>
      <c r="I406" s="73" t="str">
        <v>VÁLVULA DE RETENÇÃO HORIZONTAL, DE BRONZE, ROSCÁVEL, 3" - FORNECIMENTO E INSTALAÇÃO. AF_08/2021</v>
      </c>
    </row>
    <row r="407" spans="1:9" x14ac:dyDescent="0.3">
      <c r="A407" s="88">
        <f t="shared" si="20"/>
        <v>399</v>
      </c>
      <c r="B407" s="89" t="str">
        <f>_xlfn.XLOOKUP(D407,Planilha!O:O,Planilha!C:C)</f>
        <v>02.03.02.01.21</v>
      </c>
      <c r="C407" s="90" t="str">
        <f>_xlfn.XLOOKUP($D407,Planilha!$O:$O,Planilha!F:F)</f>
        <v>SAIDA LATERAL SIMPLES PARA ELETRODUTO 3/4""</v>
      </c>
      <c r="D407" s="91">
        <f>LARGE(Planilha!$O:$O,$A407)</f>
        <v>1797.45</v>
      </c>
      <c r="E407" s="92">
        <f t="shared" si="18"/>
        <v>1.2914006036501244E-4</v>
      </c>
      <c r="F407" s="93">
        <f t="shared" si="19"/>
        <v>0.98202724992859458</v>
      </c>
      <c r="I407" s="73" t="str">
        <v>LUVA SIMPLES, PVC, SERIE NORMAL, ESGOTO PREDIAL, DN 50 MM, JUNTA ELÁSTICA, FORNECIDO E INSTALADO EM RAMAL DE DESCARGA OU RAMAL DE ESGOTO SANITÁRIO. AF_12/2014</v>
      </c>
    </row>
    <row r="408" spans="1:9" ht="50.4" x14ac:dyDescent="0.3">
      <c r="A408" s="88">
        <f t="shared" si="20"/>
        <v>400</v>
      </c>
      <c r="B408" s="89" t="str">
        <f>_xlfn.XLOOKUP(D408,Planilha!O:O,Planilha!C:C)</f>
        <v>02.01.07.05.01</v>
      </c>
      <c r="C408" s="90" t="str">
        <f>_xlfn.XLOOKUP($D408,Planilha!$O:$O,Planilha!F:F)</f>
        <v>ESCAVAÇÃO MANUAL PARA BLOCO DE COROAMENTO OU SAPATA (INCLUINDO ESCAVAÇÃO PARA COLOCAÇÃO DE FÔRMAS). AF_06/2017</v>
      </c>
      <c r="D408" s="91">
        <f>LARGE(Planilha!$O:$O,$A408)</f>
        <v>1793.24</v>
      </c>
      <c r="E408" s="92">
        <f t="shared" si="18"/>
        <v>1.2883758760964416E-4</v>
      </c>
      <c r="F408" s="93">
        <f t="shared" si="19"/>
        <v>0.9821560875162042</v>
      </c>
      <c r="I408" s="73" t="str">
        <v>CONDULETE DE ALUMÍNIO, TIPO C, PARA ELETRODUTO DE AÇO GALVANIZADO DN 25 MM (1''), APARENTE - FORNECIMENTO E INSTALAÇÃO. AF_11/2016_P</v>
      </c>
    </row>
    <row r="409" spans="1:9" ht="100.8" x14ac:dyDescent="0.3">
      <c r="A409" s="88">
        <f t="shared" si="20"/>
        <v>401</v>
      </c>
      <c r="B409" s="89" t="str">
        <f>_xlfn.XLOOKUP(D409,Planilha!O:O,Planilha!C:C)</f>
        <v>02.02.15.05.17</v>
      </c>
      <c r="C409" s="90" t="str">
        <f>_xlfn.XLOOKUP($D409,Planilha!$O:$O,Planilha!F:F)</f>
        <v>CPM.06.D - PAINEL EM CHAPA METÁLICA PERFURADA REDONDA EM AÇO INOX 304 - PERFURAÇÃO R8,00 EC11,00. ACABAMENTO EM PINTURA ELETROSTÁTICA COR RAL 7042 BRILHANTE. SUBESTRUTURA EM PERFIS DE AÇO INOX 304 E ACESSÓRIOS PARA FIXAÇÃO PINTADOS NA MESMA COR, PARAFUSOS SEM PINTURA.0,598 - 5,286m2</v>
      </c>
      <c r="D409" s="91">
        <f>LARGE(Planilha!$O:$O,$A409)</f>
        <v>1771.29</v>
      </c>
      <c r="E409" s="92">
        <f t="shared" si="18"/>
        <v>1.2726056219863855E-4</v>
      </c>
      <c r="F409" s="93">
        <f t="shared" si="19"/>
        <v>0.98228334807840278</v>
      </c>
      <c r="I409" s="73" t="str">
        <v>ARMAÇÃO DE PILAR OU VIGA DE UMA ESTRUTURA CONVENCIONAL DE CONCRETO ARMADO EM UM EDIFÍCIO DE MÚLTIPLOS PAVIMENTOS UTILIZANDO AÇO CA-60 DE 5,0 MM - MONTAGEM. AF_12/2015</v>
      </c>
    </row>
    <row r="410" spans="1:9" ht="50.4" x14ac:dyDescent="0.3">
      <c r="A410" s="88">
        <f t="shared" si="20"/>
        <v>402</v>
      </c>
      <c r="B410" s="89" t="str">
        <f>_xlfn.XLOOKUP(D410,Planilha!O:O,Planilha!C:C)</f>
        <v>02.04.01.01.24</v>
      </c>
      <c r="C410" s="90" t="str">
        <f>_xlfn.XLOOKUP($D410,Planilha!$O:$O,Planilha!F:F)</f>
        <v>REDUÇÃO EXCÊNTRICA, PVC, SERIE R, ÁGUA PLUVIAL, DN 150 X 100 MM, JUNTA ELÁSTICA, FORNECIDO E INSTALADO EM CONDUTORES VERTICAIS DE ÁGUAS PLUVIAIS. AF_12/2014</v>
      </c>
      <c r="D410" s="91">
        <f>LARGE(Planilha!$O:$O,$A410)</f>
        <v>1756.44</v>
      </c>
      <c r="E410" s="92">
        <f t="shared" si="18"/>
        <v>1.2619364523492861E-4</v>
      </c>
      <c r="F410" s="93">
        <f t="shared" si="19"/>
        <v>0.9824095417236377</v>
      </c>
      <c r="I410" s="73" t="str">
        <v>HASTE DE ATERRAMENTO 5/8  PARA SPDA - FORNECIMENTO E INSTALAÇÃO. AF_12/2017</v>
      </c>
    </row>
    <row r="411" spans="1:9" x14ac:dyDescent="0.3">
      <c r="A411" s="88">
        <f t="shared" si="20"/>
        <v>403</v>
      </c>
      <c r="B411" s="89" t="str">
        <f>_xlfn.XLOOKUP(D411,Planilha!O:O,Planilha!C:C)</f>
        <v>02.02.14.18</v>
      </c>
      <c r="C411" s="90" t="str">
        <f>_xlfn.XLOOKUP($D411,Planilha!$O:$O,Planilha!F:F)</f>
        <v>ESPELHO CRISTAL 4MM COM MOLDURA DE ALUMINIO</v>
      </c>
      <c r="D411" s="91">
        <f>LARGE(Planilha!$O:$O,$A411)</f>
        <v>1752.8</v>
      </c>
      <c r="E411" s="92">
        <f t="shared" si="18"/>
        <v>1.2593212484786435E-4</v>
      </c>
      <c r="F411" s="93">
        <f t="shared" si="19"/>
        <v>0.98253547384848561</v>
      </c>
      <c r="I411" s="73" t="str">
        <v>BÓIA FLYGHT</v>
      </c>
    </row>
    <row r="412" spans="1:9" ht="100.8" x14ac:dyDescent="0.3">
      <c r="A412" s="88">
        <f t="shared" si="20"/>
        <v>404</v>
      </c>
      <c r="B412" s="89" t="str">
        <f>_xlfn.XLOOKUP(D412,Planilha!O:O,Planilha!C:C)</f>
        <v>02.02.15.05.03</v>
      </c>
      <c r="C412" s="90" t="str">
        <f>_xlfn.XLOOKUP($D412,Planilha!$O:$O,Planilha!F:F)</f>
        <v>CPM.01.B' - PAINEL EM CHAPA METÁLICA PERFURADA REDONDA EM AÇO INOX 304 - PERFURAÇÃO R8,00 EC11,00. ACABAMENTO EM PINTURA ELETROSTÁTICA COR RAL 7042 BRILHANTE. SUBESTRUTURA EM PERFIS DE AÇO INOX 304 E ACESSÓRIOS PARA FIXAÇÃO PINTADOS NA MESMA COR, PARAFUSOS SEM PINTURA.0,249 - 5,286m2</v>
      </c>
      <c r="D412" s="91">
        <f>LARGE(Planilha!$O:$O,$A412)</f>
        <v>1724.67</v>
      </c>
      <c r="E412" s="92">
        <f t="shared" si="18"/>
        <v>1.2391108954893097E-4</v>
      </c>
      <c r="F412" s="93">
        <f t="shared" si="19"/>
        <v>0.98265938493803451</v>
      </c>
      <c r="I412" s="73" t="str">
        <v>CABO DE COBRE DE 6 MM², ISOLAMENTO 750 V - ISOLAÇÃO EM PVC 70°C</v>
      </c>
    </row>
    <row r="413" spans="1:9" ht="100.8" x14ac:dyDescent="0.3">
      <c r="A413" s="88">
        <f t="shared" si="20"/>
        <v>405</v>
      </c>
      <c r="B413" s="89" t="str">
        <f>_xlfn.XLOOKUP(D413,Planilha!O:O,Planilha!C:C)</f>
        <v>02.02.15.05.03</v>
      </c>
      <c r="C413" s="90" t="str">
        <f>_xlfn.XLOOKUP($D413,Planilha!$O:$O,Planilha!F:F)</f>
        <v>CPM.01.B' - PAINEL EM CHAPA METÁLICA PERFURADA REDONDA EM AÇO INOX 304 - PERFURAÇÃO R8,00 EC11,00. ACABAMENTO EM PINTURA ELETROSTÁTICA COR RAL 7042 BRILHANTE. SUBESTRUTURA EM PERFIS DE AÇO INOX 304 E ACESSÓRIOS PARA FIXAÇÃO PINTADOS NA MESMA COR, PARAFUSOS SEM PINTURA.0,249 - 5,286m2</v>
      </c>
      <c r="D413" s="91">
        <f>LARGE(Planilha!$O:$O,$A413)</f>
        <v>1724.67</v>
      </c>
      <c r="E413" s="92">
        <f t="shared" si="18"/>
        <v>1.2391108954893097E-4</v>
      </c>
      <c r="F413" s="93">
        <f t="shared" si="19"/>
        <v>0.98278329602758341</v>
      </c>
      <c r="I413" s="73" t="str">
        <v>GRELHA EM FERRO FUNDIDO COM CAIXILHO 20X20CM</v>
      </c>
    </row>
    <row r="414" spans="1:9" ht="100.8" x14ac:dyDescent="0.3">
      <c r="A414" s="88">
        <f t="shared" si="20"/>
        <v>406</v>
      </c>
      <c r="B414" s="89" t="str">
        <f>_xlfn.XLOOKUP(D414,Planilha!O:O,Planilha!C:C)</f>
        <v>02.02.15.05.03</v>
      </c>
      <c r="C414" s="90" t="str">
        <f>_xlfn.XLOOKUP($D414,Planilha!$O:$O,Planilha!F:F)</f>
        <v>CPM.01.B' - PAINEL EM CHAPA METÁLICA PERFURADA REDONDA EM AÇO INOX 304 - PERFURAÇÃO R8,00 EC11,00. ACABAMENTO EM PINTURA ELETROSTÁTICA COR RAL 7042 BRILHANTE. SUBESTRUTURA EM PERFIS DE AÇO INOX 304 E ACESSÓRIOS PARA FIXAÇÃO PINTADOS NA MESMA COR, PARAFUSOS SEM PINTURA.0,249 - 5,286m2</v>
      </c>
      <c r="D414" s="91">
        <f>LARGE(Planilha!$O:$O,$A414)</f>
        <v>1724.67</v>
      </c>
      <c r="E414" s="92">
        <f t="shared" si="18"/>
        <v>1.2391108954893097E-4</v>
      </c>
      <c r="F414" s="93">
        <f t="shared" si="19"/>
        <v>0.98290720711713231</v>
      </c>
      <c r="I414" s="73" t="str">
        <v>NIPLE DUPLO GALVANIZADO 3""</v>
      </c>
    </row>
    <row r="415" spans="1:9" ht="67.2" x14ac:dyDescent="0.3">
      <c r="A415" s="88">
        <f t="shared" si="20"/>
        <v>407</v>
      </c>
      <c r="B415" s="89" t="str">
        <f>_xlfn.XLOOKUP(D415,Planilha!O:O,Planilha!C:C)</f>
        <v>02.04.02.03.11</v>
      </c>
      <c r="C415" s="90" t="str">
        <f>_xlfn.XLOOKUP($D415,Planilha!$O:$O,Planilha!F:F)</f>
        <v>ÁLVULA DE ESFERA BRUTA, BRONZE, ROSCÁVEL, 3'', INSTALADO EM RESERVAÇÃO DE ÁGUA DE EDIFICAÇÃO QUE POSSUA RESERVATÓRIO DE FIBRA/FIBROCIMENTO - FORNECIMENTO E INSTALAÇÃO. AF_06/2016</v>
      </c>
      <c r="D415" s="91">
        <f>LARGE(Planilha!$O:$O,$A415)</f>
        <v>1713.1</v>
      </c>
      <c r="E415" s="92">
        <f t="shared" si="18"/>
        <v>1.2307982831861959E-4</v>
      </c>
      <c r="F415" s="93">
        <f t="shared" si="19"/>
        <v>0.98303028694545092</v>
      </c>
      <c r="I415" s="73" t="str">
        <v>REGISTRO DE GAVETA BRUTO, LATÃO, ROSCÁVEL, 3/4", COM ACABAMENTO E CANOPLA CROMADOS - FORNECIMENTO E INSTALAÇÃO. AF_08/2021</v>
      </c>
    </row>
    <row r="416" spans="1:9" ht="100.8" x14ac:dyDescent="0.3">
      <c r="A416" s="88">
        <f t="shared" si="20"/>
        <v>408</v>
      </c>
      <c r="B416" s="89" t="str">
        <f>_xlfn.XLOOKUP(D416,Planilha!O:O,Planilha!C:C)</f>
        <v>02.02.15.05.29</v>
      </c>
      <c r="C416" s="90" t="str">
        <f>_xlfn.XLOOKUP($D416,Planilha!$O:$O,Planilha!F:F)</f>
        <v>CPM.06.P - PAINEL EM CHAPA METÁLICA PERFURADA REDONDA EM AÇO INOX 304 - PERFURAÇÃO R8,00 EC11,00. ACABAMENTO EM PINTURA ELETROSTÁTICA COR RAL 7042 BRILHANTE. SUBESTRUTURA EM PERFIS DE AÇO INOX 304 E ACESSÓRIOS PARA FIXAÇÃO PINTADOS NA MESMA COR, PARAFUSOS SEM PINTURA.0,578 - 5,286m2</v>
      </c>
      <c r="D416" s="91">
        <f>LARGE(Planilha!$O:$O,$A416)</f>
        <v>1709.14</v>
      </c>
      <c r="E416" s="92">
        <f t="shared" si="18"/>
        <v>1.2279531712829696E-4</v>
      </c>
      <c r="F416" s="93">
        <f t="shared" si="19"/>
        <v>0.98315308226257925</v>
      </c>
      <c r="I416" s="73" t="str">
        <v>EMENDA EM ESTACA TRILHO TR-32 A TR-68 KGF/M</v>
      </c>
    </row>
    <row r="417" spans="1:9" x14ac:dyDescent="0.3">
      <c r="A417" s="88">
        <f t="shared" si="20"/>
        <v>409</v>
      </c>
      <c r="B417" s="89" t="str">
        <f>_xlfn.XLOOKUP(D417,Planilha!O:O,Planilha!C:C)</f>
        <v>02.03.01.05</v>
      </c>
      <c r="C417" s="90" t="str">
        <f>_xlfn.XLOOKUP($D417,Planilha!$O:$O,Planilha!F:F)</f>
        <v xml:space="preserve">LUMINÁRIA DE SOBREPOR HERMÉTICA REF. WT118C SMARTLED </v>
      </c>
      <c r="D417" s="91">
        <f>LARGE(Planilha!$O:$O,$A417)</f>
        <v>1672.15</v>
      </c>
      <c r="E417" s="92">
        <f t="shared" si="18"/>
        <v>1.2013772396414673E-4</v>
      </c>
      <c r="F417" s="93">
        <f t="shared" si="19"/>
        <v>0.98327321998654338</v>
      </c>
      <c r="I417" s="73" t="str">
        <v>NIPLE DUPLO GALVANIZADO 2.1/2""</v>
      </c>
    </row>
    <row r="418" spans="1:9" ht="50.4" x14ac:dyDescent="0.3">
      <c r="A418" s="88">
        <f t="shared" si="20"/>
        <v>410</v>
      </c>
      <c r="B418" s="89" t="str">
        <f>_xlfn.XLOOKUP(D418,Planilha!O:O,Planilha!C:C)</f>
        <v>02.04.02.02.02</v>
      </c>
      <c r="C418" s="90" t="str">
        <f>_xlfn.XLOOKUP($D418,Planilha!$O:$O,Planilha!F:F)</f>
        <v>TUBO EM COBRE RÍGIDO, DN 35 MM, CLASSE A, SEM ISOLAMENTO, INSTALADO EM PRUMADA DE GÁS COMBUSTÍVEL - FORNECIMENTO E INSTALAÇÃO. AF_04/2022</v>
      </c>
      <c r="D418" s="91">
        <f>LARGE(Planilha!$O:$O,$A418)</f>
        <v>1660.1</v>
      </c>
      <c r="E418" s="92">
        <f t="shared" si="18"/>
        <v>1.1927197652894774E-4</v>
      </c>
      <c r="F418" s="93">
        <f t="shared" si="19"/>
        <v>0.98339249196307232</v>
      </c>
      <c r="I418" s="73" t="str">
        <v>ANEL BORRACHA TUBO PVC 100MM</v>
      </c>
    </row>
    <row r="419" spans="1:9" ht="33.6" x14ac:dyDescent="0.3">
      <c r="A419" s="88">
        <f t="shared" si="20"/>
        <v>411</v>
      </c>
      <c r="B419" s="89" t="str">
        <f>_xlfn.XLOOKUP(D419,Planilha!O:O,Planilha!C:C)</f>
        <v>02.04.04.02.01</v>
      </c>
      <c r="C419" s="90" t="str">
        <f>_xlfn.XLOOKUP($D419,Planilha!$O:$O,Planilha!F:F)</f>
        <v>VÁLVULA DE RETENÇÃO HORIZONTAL, DE BRONZE, ROSCÁVEL, 2 1/2" - FORNECIMENTO E INSTALAÇÃO. AF_08/2021</v>
      </c>
      <c r="D419" s="91">
        <f>LARGE(Planilha!$O:$O,$A419)</f>
        <v>1650.9</v>
      </c>
      <c r="E419" s="92">
        <f t="shared" si="18"/>
        <v>1.1861099093526888E-4</v>
      </c>
      <c r="F419" s="93">
        <f t="shared" si="19"/>
        <v>0.98351110295400757</v>
      </c>
      <c r="I419" s="73" t="str">
        <v>RDP.04 - RODAPÉ EM PORCELANATO ESMALTADO POLIDO PARA ÁREA INTERNA E AMBIENTE COM TRÁFEGO MÉDIO, GRUPO DE ABSORÇÃO BIA, ASSENTADO COM ARGAMASSA COLANTE INDUSTRIALIZADA, REJUNTADO</v>
      </c>
    </row>
    <row r="420" spans="1:9" x14ac:dyDescent="0.3">
      <c r="A420" s="88">
        <f t="shared" si="20"/>
        <v>412</v>
      </c>
      <c r="B420" s="89" t="str">
        <f>_xlfn.XLOOKUP(D420,Planilha!O:O,Planilha!C:C)</f>
        <v>02.04.01.05.07</v>
      </c>
      <c r="C420" s="90" t="str">
        <f>_xlfn.XLOOKUP($D420,Planilha!$O:$O,Planilha!F:F)</f>
        <v>FILTRO DE SEPARAÇÃO DE FOLHAS</v>
      </c>
      <c r="D420" s="91">
        <f>LARGE(Planilha!$O:$O,$A420)</f>
        <v>1613.35</v>
      </c>
      <c r="E420" s="92">
        <f t="shared" si="18"/>
        <v>1.1591316386541645E-4</v>
      </c>
      <c r="F420" s="93">
        <f t="shared" si="19"/>
        <v>0.98362701611787295</v>
      </c>
      <c r="I420" s="73" t="str">
        <v>DISPENSER PARA PAPEL HIGIÊNICO INTERFOLHADO REF.: 70080, MELHORAMENTOS OU SIMILAR</v>
      </c>
    </row>
    <row r="421" spans="1:9" x14ac:dyDescent="0.3">
      <c r="A421" s="88">
        <f t="shared" si="20"/>
        <v>413</v>
      </c>
      <c r="B421" s="89" t="str">
        <f>_xlfn.XLOOKUP(D421,Planilha!O:O,Planilha!C:C)</f>
        <v>02.03.04.02</v>
      </c>
      <c r="C421" s="90" t="str">
        <f>_xlfn.XLOOKUP($D421,Planilha!$O:$O,Planilha!F:F)</f>
        <v>CURVA 90 GALVANIZADA 4""</v>
      </c>
      <c r="D421" s="91">
        <f>LARGE(Planilha!$O:$O,$A421)</f>
        <v>1573.46</v>
      </c>
      <c r="E421" s="92">
        <f t="shared" si="18"/>
        <v>1.1304721654673702E-4</v>
      </c>
      <c r="F421" s="93">
        <f t="shared" si="19"/>
        <v>0.98374006333441966</v>
      </c>
      <c r="I421" s="73" t="str">
        <v>CONDULETE DE ALUMÍNIO, TIPO L, PARA ELETRODUTO DE AÇO GALVANIZADO DN 25 MM (1''), APARENTE - FORNECIMENTO E INSTALAÇÃO. AF_11/2016_P</v>
      </c>
    </row>
    <row r="422" spans="1:9" ht="50.4" x14ac:dyDescent="0.3">
      <c r="A422" s="88">
        <f t="shared" si="20"/>
        <v>414</v>
      </c>
      <c r="B422" s="89" t="str">
        <f>_xlfn.XLOOKUP(D422,Planilha!O:O,Planilha!C:C)</f>
        <v>02.04.03.06.02</v>
      </c>
      <c r="C422" s="90" t="str">
        <f>_xlfn.XLOOKUP($D422,Planilha!$O:$O,Planilha!F:F)</f>
        <v>CAIXA SIFONADA, PVC, DN 150 X 185 X 75 MM, JUNTA ELÁSTICA, FORNECIDA E INSTALADA EM RAMAL DE DESCARGA OU EM RAMAL DE ESGOTO SANITÁRIO. AF_12/2014</v>
      </c>
      <c r="D422" s="91">
        <f>LARGE(Planilha!$O:$O,$A422)</f>
        <v>1573</v>
      </c>
      <c r="E422" s="92">
        <f t="shared" si="18"/>
        <v>1.1301416726705307E-4</v>
      </c>
      <c r="F422" s="93">
        <f t="shared" si="19"/>
        <v>0.98385307750168671</v>
      </c>
      <c r="I422" s="73" t="str">
        <v>QUADRO DE DISTRIBUIÇÃO DE ENERGIA EM CHAPA DE AÇO GALVANIZADO, DE EMBUTIR, COM BARRAMENTO TRIFÁSICO, PARA 40 DISJUNTORES DIN 100A - FORNECIMENTO E INSTALAÇÃO. AF_10/2020</v>
      </c>
    </row>
    <row r="423" spans="1:9" x14ac:dyDescent="0.3">
      <c r="A423" s="88">
        <f t="shared" si="20"/>
        <v>415</v>
      </c>
      <c r="B423" s="89" t="str">
        <f>_xlfn.XLOOKUP(D423,Planilha!O:O,Planilha!C:C)</f>
        <v>02.01.07.04.14</v>
      </c>
      <c r="C423" s="90" t="str">
        <f>_xlfn.XLOOKUP($D423,Planilha!$O:$O,Planilha!F:F)</f>
        <v>ALÇAPÃO/TAMPA EM CHAPA DE FERRO COM PORTA CADEADO</v>
      </c>
      <c r="D423" s="91">
        <f>LARGE(Planilha!$O:$O,$A423)</f>
        <v>1569.75</v>
      </c>
      <c r="E423" s="92">
        <f t="shared" si="18"/>
        <v>1.1278066692145999E-4</v>
      </c>
      <c r="F423" s="93">
        <f t="shared" si="19"/>
        <v>0.98396585816860815</v>
      </c>
      <c r="I423" s="73" t="str">
        <v>SIFÃO DO TIPO GARRAFA EM METAL CROMADO 1 X 1.1/2 - FORNECIMENTO E INSTALAÇÃO. AF_01/2020</v>
      </c>
    </row>
    <row r="424" spans="1:9" ht="33.6" x14ac:dyDescent="0.3">
      <c r="A424" s="88">
        <f t="shared" si="20"/>
        <v>416</v>
      </c>
      <c r="B424" s="89" t="str">
        <f>_xlfn.XLOOKUP(D424,Planilha!O:O,Planilha!C:C)</f>
        <v>02.04.04.02.03</v>
      </c>
      <c r="C424" s="90" t="str">
        <f>_xlfn.XLOOKUP($D424,Planilha!$O:$O,Planilha!F:F)</f>
        <v>VÁLVULA DE RETENÇÃO, DE BRONZE, PÉ COM CRIVOS, ROSCÁVEL, 3" - FORNECIMENTO E INSTALAÇÃO. AF_08/2021</v>
      </c>
      <c r="D424" s="91">
        <f>LARGE(Planilha!$O:$O,$A424)</f>
        <v>1553.64</v>
      </c>
      <c r="E424" s="92">
        <f t="shared" si="18"/>
        <v>1.1162322366992012E-4</v>
      </c>
      <c r="F424" s="93">
        <f t="shared" si="19"/>
        <v>0.98407748139227802</v>
      </c>
      <c r="I424" s="73" t="str">
        <v>CONDULETE DE ALUMÍNIO, TIPO T, PARA ELETRODUTO DE AÇO GALVANIZADO DN 20 MM (3/4''), APARENTE - FORNECIMENTO E INSTALAÇÃO. AF_11/2016_P</v>
      </c>
    </row>
    <row r="425" spans="1:9" ht="33.6" x14ac:dyDescent="0.3">
      <c r="A425" s="88">
        <f t="shared" si="20"/>
        <v>417</v>
      </c>
      <c r="B425" s="89" t="str">
        <f>_xlfn.XLOOKUP(D425,Planilha!O:O,Planilha!C:C)</f>
        <v>02.02.12.02</v>
      </c>
      <c r="C425" s="90" t="str">
        <f>_xlfn.XLOOKUP($D425,Planilha!$O:$O,Planilha!F:F)</f>
        <v>ASSENTO SANITARIO COM ABERTURA FRONTAL PARA BACIA VOGUE PLUS</v>
      </c>
      <c r="D425" s="91">
        <f>LARGE(Planilha!$O:$O,$A425)</f>
        <v>1527.07</v>
      </c>
      <c r="E425" s="92">
        <f t="shared" si="18"/>
        <v>1.0971426853687141E-4</v>
      </c>
      <c r="F425" s="93">
        <f t="shared" si="19"/>
        <v>0.98418719566081492</v>
      </c>
      <c r="I425" s="73" t="str">
        <v>TERMINAL DE PRESSÃO/COMPRESSÃO PARA CABO DE 240 MM²</v>
      </c>
    </row>
    <row r="426" spans="1:9" x14ac:dyDescent="0.3">
      <c r="A426" s="88">
        <f t="shared" si="20"/>
        <v>418</v>
      </c>
      <c r="B426" s="89" t="str">
        <f>_xlfn.XLOOKUP(D426,Planilha!O:O,Planilha!C:C)</f>
        <v>02.02.11.02.21</v>
      </c>
      <c r="C426" s="90" t="str">
        <f>_xlfn.XLOOKUP($D426,Planilha!$O:$O,Planilha!F:F)</f>
        <v>ESTRUTURA DE LINHA DE VIDA</v>
      </c>
      <c r="D426" s="91">
        <f>LARGE(Planilha!$O:$O,$A426)</f>
        <v>1508.83</v>
      </c>
      <c r="E426" s="92">
        <f t="shared" si="18"/>
        <v>1.0840379275114283E-4</v>
      </c>
      <c r="F426" s="93">
        <f t="shared" si="19"/>
        <v>0.98429559945356604</v>
      </c>
      <c r="I426" s="73" t="str">
        <v>SPOT BASIC EMBUTIR REF. GD221B WB /3000K, PHILIPS OU SIMILAR</v>
      </c>
    </row>
    <row r="427" spans="1:9" ht="50.4" x14ac:dyDescent="0.3">
      <c r="A427" s="88">
        <f t="shared" si="20"/>
        <v>419</v>
      </c>
      <c r="B427" s="89" t="str">
        <f>_xlfn.XLOOKUP(D427,Planilha!O:O,Planilha!C:C)</f>
        <v>02.04.04.01.02</v>
      </c>
      <c r="C427" s="90" t="str">
        <f>_xlfn.XLOOKUP($D427,Planilha!$O:$O,Planilha!F:F)</f>
        <v>TUBO DE AÇO GALVANIZADO COM COSTURA, CLASSE MÉDIA, CONEXÃO RANHURADA, DN 80 (3"), INSTALADO EM PRUMADAS - FORNECIMENTO E INSTALAÇÃO. AF_10/2020</v>
      </c>
      <c r="D427" s="91">
        <f>LARGE(Planilha!$O:$O,$A427)</f>
        <v>1505.7</v>
      </c>
      <c r="E427" s="92">
        <f t="shared" si="18"/>
        <v>1.0817891395677165E-4</v>
      </c>
      <c r="F427" s="93">
        <f t="shared" si="19"/>
        <v>0.9844037783675228</v>
      </c>
      <c r="I427" s="73" t="str">
        <v>DISJUNTOR TRIPOLAR 250A</v>
      </c>
    </row>
    <row r="428" spans="1:9" ht="33.6" x14ac:dyDescent="0.3">
      <c r="A428" s="88">
        <f t="shared" si="20"/>
        <v>420</v>
      </c>
      <c r="B428" s="89" t="str">
        <f>_xlfn.XLOOKUP(D428,Planilha!O:O,Planilha!C:C)</f>
        <v>02.03.03.03.33</v>
      </c>
      <c r="C428" s="90" t="str">
        <f>_xlfn.XLOOKUP($D428,Planilha!$O:$O,Planilha!F:F)</f>
        <v>ELETRODUTO GALVANIZADO CONFORME NBR13057 -  2´ COM ACESSÓRIOS</v>
      </c>
      <c r="D428" s="91">
        <f>LARGE(Planilha!$O:$O,$A428)</f>
        <v>1492.2</v>
      </c>
      <c r="E428" s="92">
        <f t="shared" si="18"/>
        <v>1.0720898944430808E-4</v>
      </c>
      <c r="F428" s="93">
        <f t="shared" si="19"/>
        <v>0.98451098735696707</v>
      </c>
      <c r="I428" s="73" t="str">
        <v>FORNECIMENTO E ASSENTAMENTO DE UNIÃO DE FERRO GALVANIZADO ASSENTO BRONZE DE     3"</v>
      </c>
    </row>
    <row r="429" spans="1:9" ht="84" x14ac:dyDescent="0.3">
      <c r="A429" s="88">
        <f t="shared" si="20"/>
        <v>421</v>
      </c>
      <c r="B429" s="89" t="str">
        <f>_xlfn.XLOOKUP(D429,Planilha!O:O,Planilha!C:C)</f>
        <v>02.02.01.07</v>
      </c>
      <c r="C429" s="90" t="str">
        <f>_xlfn.XLOOKUP($D429,Planilha!$O:$O,Planilha!F:F)</f>
        <v>DW.03 - PAREDE COM PLACAS DE GESSO ACARTONADO (DRYWALL), PARA USO INTERNO, ESPESSURA TOTAL 140MM COM DUAS FACES DUPLAS E ESTRUTURA METÁLICA COM GUIA SIMPLES 90MM, TRATAMENTO ACÚSTICO E ENCHIMENTO EM LÃ DE VIDRO OU EQUIVALENTE TÉCNICO.</v>
      </c>
      <c r="D429" s="91">
        <f>LARGE(Planilha!$O:$O,$A429)</f>
        <v>1490.3</v>
      </c>
      <c r="E429" s="92">
        <f t="shared" si="18"/>
        <v>1.0707248154996135E-4</v>
      </c>
      <c r="F429" s="93">
        <f t="shared" si="19"/>
        <v>0.98461805983851702</v>
      </c>
      <c r="I429" s="73" t="str">
        <v>TUBO, PVC, SOLDÁVEL, DN 60 MM, INSTALADO EM RESERVAÇÃO DE ÁGUA DE EDIFICAÇÃO QUE POSSUA RESERVATÓRIO DE FIBRA/FIBROCIMENTO   FORNECIMENTO E INSTALAÇÃO. AF_06/2016</v>
      </c>
    </row>
    <row r="430" spans="1:9" ht="67.2" x14ac:dyDescent="0.3">
      <c r="A430" s="88">
        <f t="shared" si="20"/>
        <v>422</v>
      </c>
      <c r="B430" s="89" t="str">
        <f>_xlfn.XLOOKUP(D430,Planilha!O:O,Planilha!C:C)</f>
        <v>02.04.04.01.04</v>
      </c>
      <c r="C430" s="90" t="str">
        <f>_xlfn.XLOOKUP($D430,Planilha!$O:$O,Planilha!F:F)</f>
        <v>COTOVELO 90 GRAUS, EM FERRO GALVANIZADO, CONEXÃO ROSQUEADA, DN 80 (3), INSTALADO EM RESERVAÇÃO DE ÁGUA DE EDIFICAÇÃO QUE POSSUA RESERVATÓRIO DE FIBRA/FIBROCIMENTO  FORNECIMENTO E INSTALAÇÃO. AF_06/2016</v>
      </c>
      <c r="D430" s="91">
        <f>LARGE(Planilha!$O:$O,$A430)</f>
        <v>1486.24</v>
      </c>
      <c r="E430" s="92">
        <f t="shared" si="18"/>
        <v>1.0678078573362045E-4</v>
      </c>
      <c r="F430" s="93">
        <f t="shared" si="19"/>
        <v>0.9847248406242507</v>
      </c>
      <c r="I430" s="73" t="str">
        <v>VÁLVULA DE ESFERA BRUTA, BRONZE, ROSCÁVEL, 1 1/2'' - FORNECIMENTO E INSTALAÇÃO. AF_08/2021</v>
      </c>
    </row>
    <row r="431" spans="1:9" ht="33.6" x14ac:dyDescent="0.3">
      <c r="A431" s="88">
        <f t="shared" si="20"/>
        <v>423</v>
      </c>
      <c r="B431" s="89" t="str">
        <f>_xlfn.XLOOKUP(D431,Planilha!O:O,Planilha!C:C)</f>
        <v>01.02.12</v>
      </c>
      <c r="C431" s="90" t="str">
        <f>_xlfn.XLOOKUP($D431,Planilha!$O:$O,Planilha!F:F)</f>
        <v>PLACA DE RESP.TECNICA-MADEIRA/CHAPA GALVANIZADA 26(3,0X1,5 M)</v>
      </c>
      <c r="D431" s="91">
        <f>LARGE(Planilha!$O:$O,$A431)</f>
        <v>1465.2</v>
      </c>
      <c r="E431" s="92">
        <f t="shared" si="18"/>
        <v>1.0526914041938091E-4</v>
      </c>
      <c r="F431" s="93">
        <f t="shared" si="19"/>
        <v>0.98483010976467011</v>
      </c>
      <c r="I431" s="73" t="str">
        <v>JOELHO 90 GRAUS, PVC, SERIE R, ÁGUA PLUVIAL, DN 75 MM, JUNTA ELÁSTICA, FORNECIDO E INSTALADO EM CONDUTORES VERTICAIS DE ÁGUAS PLUVIAIS. AF_12/2014</v>
      </c>
    </row>
    <row r="432" spans="1:9" ht="100.8" x14ac:dyDescent="0.3">
      <c r="A432" s="88">
        <f t="shared" si="20"/>
        <v>424</v>
      </c>
      <c r="B432" s="89" t="str">
        <f>_xlfn.XLOOKUP(D432,Planilha!O:O,Planilha!C:C)</f>
        <v>02.02.15.05.05</v>
      </c>
      <c r="C432" s="90" t="str">
        <f>_xlfn.XLOOKUP($D432,Planilha!$O:$O,Planilha!F:F)</f>
        <v>CPM.02.A" - PAINEL EM CHAPA METÁLICA PERFURADA REDONDA EM AÇO INOX 304 - PERFURAÇÃO R8,00 EC11,00. ACABAMENTO EM PINTURA ELETROSTÁTICA COR RAL 7042 BRILHANTE. SUBESTRUTURA EM PERFIS DE AÇO INOX 304 E ACESSÓRIOS PARA FIXAÇÃO PINTADOS NA MESMA COR, PARAFUSOS SEM PINTURA.0,17 - 5,286m2</v>
      </c>
      <c r="D432" s="91">
        <f>LARGE(Planilha!$O:$O,$A432)</f>
        <v>1460.53</v>
      </c>
      <c r="E432" s="92">
        <f t="shared" si="18"/>
        <v>1.0493361838432868E-4</v>
      </c>
      <c r="F432" s="93">
        <f t="shared" si="19"/>
        <v>0.98493504338305449</v>
      </c>
      <c r="I432" s="73" t="str">
        <v>ANCORAGEM ATIVA PARA CABO COM 4 CORDOALHAS DE DIÂMETRO NOMINAL DE 12,7 MM. AF_08/2022</v>
      </c>
    </row>
    <row r="433" spans="1:9" ht="50.4" x14ac:dyDescent="0.3">
      <c r="A433" s="88">
        <f t="shared" si="20"/>
        <v>425</v>
      </c>
      <c r="B433" s="89" t="str">
        <f>_xlfn.XLOOKUP(D433,Planilha!O:O,Planilha!C:C)</f>
        <v>02.03.07.02</v>
      </c>
      <c r="C433" s="90" t="str">
        <f>_xlfn.XLOOKUP($D433,Planilha!$O:$O,Planilha!F:F)</f>
        <v>ELETRODUTO DE AÇO GALVANIZADO, CLASSE LEVE, DN 25 MM (1), APARENTE, INSTALADO EM TETO - FORNECIMENTO E INSTALAÇÃO. AF_11/2016_P</v>
      </c>
      <c r="D433" s="91">
        <f>LARGE(Planilha!$O:$O,$A433)</f>
        <v>1458.6</v>
      </c>
      <c r="E433" s="92">
        <f t="shared" si="18"/>
        <v>1.0479495510217648E-4</v>
      </c>
      <c r="F433" s="93">
        <f t="shared" si="19"/>
        <v>0.98503983833815667</v>
      </c>
      <c r="I433" s="73" t="str">
        <v>ANEL BORRACHA TUBO PVC 75MM</v>
      </c>
    </row>
    <row r="434" spans="1:9" ht="33.6" x14ac:dyDescent="0.3">
      <c r="A434" s="88">
        <f t="shared" si="20"/>
        <v>426</v>
      </c>
      <c r="B434" s="89" t="str">
        <f>_xlfn.XLOOKUP(D434,Planilha!O:O,Planilha!C:C)</f>
        <v>02.03.02.01.10</v>
      </c>
      <c r="C434" s="90" t="str">
        <f>_xlfn.XLOOKUP($D434,Planilha!$O:$O,Planilha!F:F)</f>
        <v>TOMADA ALTA DE EMBUTIR (1 MÓDULO), 2P+T 10 A, SEM SUPORTE E SEM PLACA - FORNECIMENTO E INSTALAÇÃO. AF_12/2015</v>
      </c>
      <c r="D434" s="91">
        <f>LARGE(Planilha!$O:$O,$A434)</f>
        <v>1454.72</v>
      </c>
      <c r="E434" s="92">
        <f t="shared" si="18"/>
        <v>1.0451619161266844E-4</v>
      </c>
      <c r="F434" s="93">
        <f t="shared" si="19"/>
        <v>0.98514435452976934</v>
      </c>
      <c r="I434" s="73" t="str">
        <v>BORNE TERMINAL SAK 4 MM2</v>
      </c>
    </row>
    <row r="435" spans="1:9" ht="50.4" x14ac:dyDescent="0.3">
      <c r="A435" s="88">
        <f t="shared" si="20"/>
        <v>427</v>
      </c>
      <c r="B435" s="89" t="str">
        <f>_xlfn.XLOOKUP(D435,Planilha!O:O,Planilha!C:C)</f>
        <v>02.02.13.01</v>
      </c>
      <c r="C435" s="90" t="str">
        <f>_xlfn.XLOOKUP($D435,Planilha!$O:$O,Planilha!F:F)</f>
        <v>BAN.15 - BANCADA DE GRANITO CINZA ANDORINHA ESP. 3CM 0,90X0,55M, SAIA ESP. 2CM H=5CM, FRONTISPÍCIO ESP 2CM H =10CM COM FURAÇÃO PARA CUBA E TORNEIRA</v>
      </c>
      <c r="D435" s="91">
        <f>LARGE(Planilha!$O:$O,$A435)</f>
        <v>1452.18</v>
      </c>
      <c r="E435" s="92">
        <f t="shared" si="18"/>
        <v>1.0433370211180493E-4</v>
      </c>
      <c r="F435" s="93">
        <f t="shared" si="19"/>
        <v>0.98524868823188116</v>
      </c>
      <c r="I435" s="73" t="str">
        <v>VÁLVULA DE RETENÇÃO HORIZONTAL, DE BRONZE, ROSCÁVEL, 1 1/2"  - FORNECIMENTO E INSTALAÇÃO. AF_08/2021</v>
      </c>
    </row>
    <row r="436" spans="1:9" x14ac:dyDescent="0.3">
      <c r="A436" s="88">
        <f t="shared" si="20"/>
        <v>428</v>
      </c>
      <c r="B436" s="89" t="str">
        <f>_xlfn.XLOOKUP(D436,Planilha!O:O,Planilha!C:C)</f>
        <v>02.04.01.03.01</v>
      </c>
      <c r="C436" s="90" t="str">
        <f>_xlfn.XLOOKUP($D436,Planilha!$O:$O,Planilha!F:F)</f>
        <v>JOELHO 87 FERRO FUNDIDO 100MM</v>
      </c>
      <c r="D436" s="91">
        <f>LARGE(Planilha!$O:$O,$A436)</f>
        <v>1443.18</v>
      </c>
      <c r="E436" s="92">
        <f t="shared" si="18"/>
        <v>1.0368708577016254E-4</v>
      </c>
      <c r="F436" s="93">
        <f t="shared" si="19"/>
        <v>0.9853523753176513</v>
      </c>
      <c r="I436" s="73" t="str">
        <v>DW.01 - PAREDE COM PLACAS DE GESSO ACARTONADO (DRYWALL), PARA USO INTERNO, ESPESSURA TOTAL 95MM COM DUAS FACES SIMPLES E ESTRUTURA METÁLICA COM GUIA SIMPLES 70MM.</v>
      </c>
    </row>
    <row r="437" spans="1:9" ht="33.6" x14ac:dyDescent="0.3">
      <c r="A437" s="88">
        <f t="shared" si="20"/>
        <v>429</v>
      </c>
      <c r="B437" s="89" t="str">
        <f>_xlfn.XLOOKUP(D437,Planilha!O:O,Planilha!C:C)</f>
        <v>02.03.03.04.41</v>
      </c>
      <c r="C437" s="90" t="str">
        <f>_xlfn.XLOOKUP($D437,Planilha!$O:$O,Planilha!F:F)</f>
        <v>FORNECIMENTO E ASSENTAMENTO DE TUBO PEAD FLEXÍVEL CORRUGADO PERFURADO D = 4" (KANANET OU SIMILAR)</v>
      </c>
      <c r="D437" s="91">
        <f>LARGE(Planilha!$O:$O,$A437)</f>
        <v>1389.6</v>
      </c>
      <c r="E437" s="92">
        <f t="shared" si="18"/>
        <v>9.9837563149584839E-5</v>
      </c>
      <c r="F437" s="93">
        <f t="shared" si="19"/>
        <v>0.98545221288080087</v>
      </c>
      <c r="I437" s="73" t="str">
        <v>EXTINTOR MANUAL DE ÁGUA PRESSURIZADA - CAPACIDADE DE 10 LITROS</v>
      </c>
    </row>
    <row r="438" spans="1:9" x14ac:dyDescent="0.3">
      <c r="A438" s="88">
        <f t="shared" si="20"/>
        <v>430</v>
      </c>
      <c r="B438" s="89" t="str">
        <f>_xlfn.XLOOKUP(D438,Planilha!O:O,Planilha!C:C)</f>
        <v>02.04.04.01.05</v>
      </c>
      <c r="C438" s="90" t="str">
        <f>_xlfn.XLOOKUP($D438,Planilha!$O:$O,Planilha!F:F)</f>
        <v>TE 90 FERRO GALVANIZADO DIAM. 2.1/2""</v>
      </c>
      <c r="D438" s="91">
        <f>LARGE(Planilha!$O:$O,$A438)</f>
        <v>1380</v>
      </c>
      <c r="E438" s="92">
        <f t="shared" si="18"/>
        <v>9.9147839051832954E-5</v>
      </c>
      <c r="F438" s="93">
        <f t="shared" si="19"/>
        <v>0.98555136071985272</v>
      </c>
      <c r="I438" s="73" t="str">
        <v>LUVA SIMPLES, PVC, SERIE NORMAL, ESGOTO PREDIAL, DN 100 MM, JUNTA ELÁSTICA, FORNECIDO E INSTALADO EM SUBCOLETOR AÉREO DE ESGOTO SANITÁRIO. AF_12/2014</v>
      </c>
    </row>
    <row r="439" spans="1:9" ht="50.4" x14ac:dyDescent="0.3">
      <c r="A439" s="88">
        <f t="shared" si="20"/>
        <v>431</v>
      </c>
      <c r="B439" s="89" t="str">
        <f>_xlfn.XLOOKUP(D439,Planilha!O:O,Planilha!C:C)</f>
        <v>02.03.09.07</v>
      </c>
      <c r="C439" s="90" t="str">
        <f>_xlfn.XLOOKUP($D439,Planilha!$O:$O,Planilha!F:F)</f>
        <v>CURVA 90 GRAUS, EM AÇO, CONEXÃO SOLDADA, DN 20 (3/4"), INSTALADO EM RAMAIS E SUB-RAMAIS DE GÁS - FORNECIMENTO E INSTALAÇÃO. AF_10/2020</v>
      </c>
      <c r="D439" s="91">
        <f>LARGE(Planilha!$O:$O,$A439)</f>
        <v>1375</v>
      </c>
      <c r="E439" s="92">
        <f t="shared" si="18"/>
        <v>9.8788607750920516E-5</v>
      </c>
      <c r="F439" s="93">
        <f t="shared" si="19"/>
        <v>0.98565014932760364</v>
      </c>
      <c r="I439" s="73" t="str">
        <v>TAMPÃO EM FERRO FUNDIDO DE 800 X 800 MM, CLASSE B 125 (RUPTURA &gt; 125 KN)</v>
      </c>
    </row>
    <row r="440" spans="1:9" x14ac:dyDescent="0.3">
      <c r="A440" s="88">
        <f t="shared" si="20"/>
        <v>432</v>
      </c>
      <c r="B440" s="89" t="str">
        <f>_xlfn.XLOOKUP(D440,Planilha!O:O,Planilha!C:C)</f>
        <v>02.02.14.19</v>
      </c>
      <c r="C440" s="90" t="str">
        <f>_xlfn.XLOOKUP($D440,Planilha!$O:$O,Planilha!F:F)</f>
        <v>SIFÃO DE METAL CROMADO DE 1´ X 1 1/2´</v>
      </c>
      <c r="D440" s="91">
        <f>LARGE(Planilha!$O:$O,$A440)</f>
        <v>1366.4</v>
      </c>
      <c r="E440" s="92">
        <f t="shared" si="18"/>
        <v>9.8170729913351132E-5</v>
      </c>
      <c r="F440" s="93">
        <f t="shared" si="19"/>
        <v>0.985748320057517</v>
      </c>
      <c r="I440" s="73" t="str">
        <v>TE REDUCAO COBRE 22X15MM</v>
      </c>
    </row>
    <row r="441" spans="1:9" ht="50.4" x14ac:dyDescent="0.3">
      <c r="A441" s="88">
        <f t="shared" si="20"/>
        <v>433</v>
      </c>
      <c r="B441" s="89" t="str">
        <f>_xlfn.XLOOKUP(D441,Planilha!O:O,Planilha!C:C)</f>
        <v>02.04.02.01.04</v>
      </c>
      <c r="C441" s="90" t="str">
        <f>_xlfn.XLOOKUP($D441,Planilha!$O:$O,Planilha!F:F)</f>
        <v>TUBO, PVC, SOLDÁVEL, DN 50 MM, INSTALADO EM RESERVAÇÃO DE ÁGUA DE EDIFICAÇÃO QUE POSSUA RESERVATÓRIO DE FIBRA/FIBROCIMENTO   FORNECIMENTO E INSTALAÇÃO. AF_06/2016</v>
      </c>
      <c r="D441" s="91">
        <f>LARGE(Planilha!$O:$O,$A441)</f>
        <v>1316.12</v>
      </c>
      <c r="E441" s="92">
        <f t="shared" si="18"/>
        <v>9.4558299951375639E-5</v>
      </c>
      <c r="F441" s="93">
        <f t="shared" si="19"/>
        <v>0.98584287835746842</v>
      </c>
      <c r="I441" s="73" t="str">
        <v>SALA FRANTZ - ARMARIO SUPERIOR MEDINDO 450X300X900MM PROVIDO DE UMA PORTA A ESQUERDA E TRES NIVEIS DE
APOIO.</v>
      </c>
    </row>
    <row r="442" spans="1:9" ht="33.6" x14ac:dyDescent="0.3">
      <c r="A442" s="88">
        <f t="shared" si="20"/>
        <v>434</v>
      </c>
      <c r="B442" s="89" t="str">
        <f>_xlfn.XLOOKUP(D442,Planilha!O:O,Planilha!C:C)</f>
        <v>02.02.14.17</v>
      </c>
      <c r="C442" s="90" t="str">
        <f>_xlfn.XLOOKUP($D442,Planilha!$O:$O,Planilha!F:F)</f>
        <v>ESPELHO DE CRISTAL 4MM, COM MOLDURA DE ALUMÍNIO, ACABAMENTO EM LAMINADO, DIM. 50 X 70CM</v>
      </c>
      <c r="D442" s="91">
        <f>LARGE(Planilha!$O:$O,$A442)</f>
        <v>1314.28</v>
      </c>
      <c r="E442" s="92">
        <f t="shared" si="18"/>
        <v>9.4426102832639871E-5</v>
      </c>
      <c r="F442" s="93">
        <f t="shared" si="19"/>
        <v>0.98593730446030103</v>
      </c>
      <c r="I442" s="73" t="str">
        <v>DISJUNTOR BIPOLAR TIPO DIN, CORRENTE NOMINAL DE 16A - FORNECIMENTO E INSTALAÇÃO. AF_10/2020</v>
      </c>
    </row>
    <row r="443" spans="1:9" ht="50.4" x14ac:dyDescent="0.3">
      <c r="A443" s="88">
        <f t="shared" si="20"/>
        <v>435</v>
      </c>
      <c r="B443" s="89" t="str">
        <f>_xlfn.XLOOKUP(D443,Planilha!O:O,Planilha!C:C)</f>
        <v>02.01.07.05.10</v>
      </c>
      <c r="C443" s="90" t="str">
        <f>_xlfn.XLOOKUP($D443,Planilha!$O:$O,Planilha!F:F)</f>
        <v>ALVENARIA DE VEDAÇÃO DE BLOCOS  VAZADOS DE CONCRETO APARENTE DE 19X19X39 CM (ESPESSURA 19 CM) E ARGAMASSA DE ASSENTAMENTO COM PREPARO EM BETONEIRA. AF_12/2021</v>
      </c>
      <c r="D443" s="91">
        <f>LARGE(Planilha!$O:$O,$A443)</f>
        <v>1307</v>
      </c>
      <c r="E443" s="92">
        <f t="shared" si="18"/>
        <v>9.3903062058511364E-5</v>
      </c>
      <c r="F443" s="93">
        <f t="shared" si="19"/>
        <v>0.98603120752235951</v>
      </c>
      <c r="I443" s="73" t="str">
        <v>CONDULETE DE ALUMÍNIO, TIPO T, PARA ELETRODUTO DE AÇO GALVANIZADO DN 25 MM (1''), APARENTE - FORNECIMENTO E INSTALAÇÃO. AF_11/2016_P</v>
      </c>
    </row>
    <row r="444" spans="1:9" ht="100.8" x14ac:dyDescent="0.3">
      <c r="A444" s="88">
        <f t="shared" si="20"/>
        <v>436</v>
      </c>
      <c r="B444" s="89" t="str">
        <f>_xlfn.XLOOKUP(D444,Planilha!O:O,Planilha!C:C)</f>
        <v>02.02.15.05.08</v>
      </c>
      <c r="C444" s="90" t="str">
        <f>_xlfn.XLOOKUP($D444,Planilha!$O:$O,Planilha!F:F)</f>
        <v>CPM.02.B' - PAINEL EM CHAPA METÁLICA PERFURADA REDONDA EM AÇO INOX 304 - PERFURAÇÃO R8,00 EC11,00. ACABAMENTO EM PINTURA ELETROSTÁTICA COR RAL 7042 BRILHANTE. SUBESTRUTURA EM PERFIS DE AÇO INOX 304 E ACESSÓRIOS PARA FIXAÇÃO PINTADOS NA MESMA COR, PARAFUSOS SEM PINTURA.0,149 - 5,286m2</v>
      </c>
      <c r="D444" s="91">
        <f>LARGE(Planilha!$O:$O,$A444)</f>
        <v>1274.08</v>
      </c>
      <c r="E444" s="92">
        <f t="shared" si="18"/>
        <v>9.1537883173303859E-5</v>
      </c>
      <c r="F444" s="93">
        <f t="shared" si="19"/>
        <v>0.9861227454055328</v>
      </c>
      <c r="I444" s="73" t="str">
        <v>UNIAO PVC SOLDAVEL 110MM</v>
      </c>
    </row>
    <row r="445" spans="1:9" x14ac:dyDescent="0.3">
      <c r="A445" s="88">
        <f t="shared" si="20"/>
        <v>437</v>
      </c>
      <c r="B445" s="89" t="str">
        <f>_xlfn.XLOOKUP(D445,Planilha!O:O,Planilha!C:C)</f>
        <v>02.03.11.14.06</v>
      </c>
      <c r="C445" s="90" t="str">
        <f>_xlfn.XLOOKUP($D445,Planilha!$O:$O,Planilha!F:F)</f>
        <v>CURVA 90 ELETRODUTO FERRO GALVANIZADO 1""</v>
      </c>
      <c r="D445" s="91">
        <f>LARGE(Planilha!$O:$O,$A445)</f>
        <v>1260.22</v>
      </c>
      <c r="E445" s="92">
        <f t="shared" si="18"/>
        <v>9.0542094007174591E-5</v>
      </c>
      <c r="F445" s="93">
        <f t="shared" si="19"/>
        <v>0.98621328749953996</v>
      </c>
      <c r="I445" s="73" t="str">
        <v>REMOÇÃO DE LOUÇAS, DE FORMA MANUAL, SEM REAPROVEITAMENTO. AF_12/2017</v>
      </c>
    </row>
    <row r="446" spans="1:9" ht="33.6" x14ac:dyDescent="0.3">
      <c r="A446" s="88">
        <f t="shared" si="20"/>
        <v>438</v>
      </c>
      <c r="B446" s="89" t="str">
        <f>_xlfn.XLOOKUP(D446,Planilha!O:O,Planilha!C:C)</f>
        <v>02.04.02.06.01</v>
      </c>
      <c r="C446" s="90" t="str">
        <f>_xlfn.XLOOKUP($D446,Planilha!$O:$O,Planilha!F:F)</f>
        <v>CAIXA D´ÁGUA EM POLIÉSTER REFORÇADO COM FIBRA DE VIDRO, 1000 LITROS - FORNECIMENTO E INSTALAÇÃO. AF_06/2021</v>
      </c>
      <c r="D446" s="91">
        <f>LARGE(Planilha!$O:$O,$A446)</f>
        <v>1259.06</v>
      </c>
      <c r="E446" s="92">
        <f t="shared" si="18"/>
        <v>9.0458752345362896E-5</v>
      </c>
      <c r="F446" s="93">
        <f t="shared" si="19"/>
        <v>0.98630374625188533</v>
      </c>
      <c r="I446" s="73" t="str">
        <v>TAMPAO FERRO FUNDIDO Ø 60CM</v>
      </c>
    </row>
    <row r="447" spans="1:9" ht="33.6" x14ac:dyDescent="0.3">
      <c r="A447" s="88">
        <f t="shared" si="20"/>
        <v>439</v>
      </c>
      <c r="B447" s="89" t="str">
        <f>_xlfn.XLOOKUP(D447,Planilha!O:O,Planilha!C:C)</f>
        <v>02.01.03.07</v>
      </c>
      <c r="C447" s="90" t="str">
        <f>_xlfn.XLOOKUP($D447,Planilha!$O:$O,Planilha!F:F)</f>
        <v>ARRASAMENTO MECANICO DE ESTACA DE CONCRETO ARMADO, DIAMETROS DE 41 CM A 60 CM. AF_05/2021</v>
      </c>
      <c r="D447" s="91">
        <f>LARGE(Planilha!$O:$O,$A447)</f>
        <v>1253.3800000000001</v>
      </c>
      <c r="E447" s="92">
        <f t="shared" si="18"/>
        <v>9.0050665587526385E-5</v>
      </c>
      <c r="F447" s="93">
        <f t="shared" si="19"/>
        <v>0.98639379691747286</v>
      </c>
      <c r="I447" s="73" t="str">
        <v>CHUMBADOR TIRANTE ACO CA-50 5/8""</v>
      </c>
    </row>
    <row r="448" spans="1:9" x14ac:dyDescent="0.3">
      <c r="A448" s="88">
        <f t="shared" si="20"/>
        <v>440</v>
      </c>
      <c r="B448" s="89" t="str">
        <f>_xlfn.XLOOKUP(D448,Planilha!O:O,Planilha!C:C)</f>
        <v>02.01.06.04</v>
      </c>
      <c r="C448" s="90" t="str">
        <f>_xlfn.XLOOKUP($D448,Planilha!$O:$O,Planilha!F:F)</f>
        <v xml:space="preserve">ENGASTE TRILHOS TR37 A TIRANTES </v>
      </c>
      <c r="D448" s="91">
        <f>LARGE(Planilha!$O:$O,$A448)</f>
        <v>1247.2</v>
      </c>
      <c r="E448" s="92">
        <f t="shared" si="18"/>
        <v>8.9606655699598603E-5</v>
      </c>
      <c r="F448" s="93">
        <f t="shared" si="19"/>
        <v>0.98648340357317243</v>
      </c>
      <c r="I448" s="73" t="str">
        <v>BAN.14 - BANCADA DE GRANITO CINZA ANDORINHA ESP. 3CM 1,10X0,50M, SAIA ESP. 2CM H=5CM, FRONTISPÍCIO ESP 2CM H =10CM COM FURAÇÃO PARA CUBA E TORNEIRA</v>
      </c>
    </row>
    <row r="449" spans="1:9" ht="33.6" x14ac:dyDescent="0.3">
      <c r="A449" s="88">
        <f t="shared" si="20"/>
        <v>441</v>
      </c>
      <c r="B449" s="89" t="str">
        <f>_xlfn.XLOOKUP(D449,Planilha!O:O,Planilha!C:C)</f>
        <v>02.02.12.05</v>
      </c>
      <c r="C449" s="90" t="str">
        <f>_xlfn.XLOOKUP($D449,Planilha!$O:$O,Planilha!F:F)</f>
        <v>CUBA ACO INOX ESCOVADO RETANGULAR 50X40X20CM SQUARE 540 SINK</v>
      </c>
      <c r="D449" s="91">
        <f>LARGE(Planilha!$O:$O,$A449)</f>
        <v>1245.67</v>
      </c>
      <c r="E449" s="92">
        <f t="shared" si="18"/>
        <v>8.9496730921519393E-5</v>
      </c>
      <c r="F449" s="93">
        <f t="shared" si="19"/>
        <v>0.98657290030409395</v>
      </c>
      <c r="I449" s="73" t="str">
        <v>ELETRODUTO DE AÇO GALVANIZADO MÉDIO, INCLUSIVE CONEXÕES, SUPORTES E FIXAÇÃO DN 100 (4")</v>
      </c>
    </row>
    <row r="450" spans="1:9" ht="33.6" x14ac:dyDescent="0.3">
      <c r="A450" s="88">
        <f t="shared" si="20"/>
        <v>442</v>
      </c>
      <c r="B450" s="89" t="str">
        <f>_xlfn.XLOOKUP(D450,Planilha!O:O,Planilha!C:C)</f>
        <v>02.04.02.02.10</v>
      </c>
      <c r="C450" s="90" t="str">
        <f>_xlfn.XLOOKUP($D450,Planilha!$O:$O,Planilha!F:F)</f>
        <v>CONECTOR DE LATÃO, COBRE OU BRONZE, JUNTAS SOLDADAS, 35MM X 1 1/4"</v>
      </c>
      <c r="D450" s="91">
        <f>LARGE(Planilha!$O:$O,$A450)</f>
        <v>1244.6099999999999</v>
      </c>
      <c r="E450" s="92">
        <f t="shared" si="18"/>
        <v>8.9420573885725949E-5</v>
      </c>
      <c r="F450" s="93">
        <f t="shared" si="19"/>
        <v>0.98666232087797967</v>
      </c>
      <c r="I450" s="73" t="str">
        <v>CAIXA RETANGULAR 4" X 2" BAIXA (0,30 M DO PISO), PVC, INSTALADA EM PAREDE - FORNECIMENTO E INSTALAÇÃO. AF_12/2015</v>
      </c>
    </row>
    <row r="451" spans="1:9" ht="33.6" x14ac:dyDescent="0.3">
      <c r="A451" s="88">
        <f t="shared" si="20"/>
        <v>443</v>
      </c>
      <c r="B451" s="89" t="str">
        <f>_xlfn.XLOOKUP(D451,Planilha!O:O,Planilha!C:C)</f>
        <v>02.02.06.07</v>
      </c>
      <c r="C451" s="90" t="str">
        <f>_xlfn.XLOOKUP($D451,Planilha!$O:$O,Planilha!F:F)</f>
        <v>JUNTA DE DILATAÇÃO OU VEDAÇÃO COM MASTIQUE DE SILICONE, 1,0 X 0,5 CM - INCLUSIVE GUIA DE APOIO EM POLIETILENO</v>
      </c>
      <c r="D451" s="91">
        <f>LARGE(Planilha!$O:$O,$A451)</f>
        <v>1239.24</v>
      </c>
      <c r="E451" s="92">
        <f t="shared" si="18"/>
        <v>8.9034759468545997E-5</v>
      </c>
      <c r="F451" s="93">
        <f t="shared" si="19"/>
        <v>0.9867513556374482</v>
      </c>
      <c r="I451" s="73" t="str">
        <v>JOELHO 45 GRAUS, PVC, SERIE R, ÁGUA PLUVIAL, DN 100 MM, JUNTA ELÁSTICA, FORNECIDO E INSTALADO EM CONDUTORES VERTICAIS DE ÁGUAS PLUVIAIS. AF_12/2014</v>
      </c>
    </row>
    <row r="452" spans="1:9" ht="33.6" x14ac:dyDescent="0.3">
      <c r="A452" s="88">
        <f t="shared" si="20"/>
        <v>444</v>
      </c>
      <c r="B452" s="89" t="str">
        <f>_xlfn.XLOOKUP(D452,Planilha!O:O,Planilha!C:C)</f>
        <v>02.01.07.04.03</v>
      </c>
      <c r="C452" s="90" t="str">
        <f>_xlfn.XLOOKUP($D452,Planilha!$O:$O,Planilha!F:F)</f>
        <v>REATERRO MANUAL DE VALAS COM COMPACTAÇÃO MECANIZADA. AF_04/2016</v>
      </c>
      <c r="D452" s="91">
        <f>LARGE(Planilha!$O:$O,$A452)</f>
        <v>1217.72</v>
      </c>
      <c r="E452" s="92">
        <f t="shared" si="18"/>
        <v>8.7488627949418863E-5</v>
      </c>
      <c r="F452" s="93">
        <f t="shared" si="19"/>
        <v>0.98683884426539759</v>
      </c>
      <c r="I452" s="73" t="str">
        <v>INTERRUPTOR COM 1 TECLA SIMPLES E PLACA</v>
      </c>
    </row>
    <row r="453" spans="1:9" ht="100.8" x14ac:dyDescent="0.3">
      <c r="A453" s="88">
        <f t="shared" si="20"/>
        <v>445</v>
      </c>
      <c r="B453" s="89" t="str">
        <f>_xlfn.XLOOKUP(D453,Planilha!O:O,Planilha!C:C)</f>
        <v>02.02.15.05.22</v>
      </c>
      <c r="C453" s="90" t="str">
        <f>_xlfn.XLOOKUP($D453,Planilha!$O:$O,Planilha!F:F)</f>
        <v>CPM.06.I - PAINEL EM CHAPA METÁLICA PERFURADA REDONDA EM AÇO INOX 304 - PERFURAÇÃO R8,00 EC11,00. ACABAMENTO EM PINTURA ELETROSTÁTICA COR RAL 7042 BRILHANTE. SUBESTRUTURA EM PERFIS DE AÇO INOX 304 E ACESSÓRIOS PARA FIXAÇÃO PINTADOS NA MESMA COR, PARAFUSOS SEM PINTURA.0,293 - 5,286m2</v>
      </c>
      <c r="D453" s="91">
        <f>LARGE(Planilha!$O:$O,$A453)</f>
        <v>1211.93</v>
      </c>
      <c r="E453" s="92">
        <f t="shared" si="18"/>
        <v>8.707263810296227E-5</v>
      </c>
      <c r="F453" s="93">
        <f t="shared" si="19"/>
        <v>0.98692591690350051</v>
      </c>
      <c r="I453" s="73" t="str">
        <v>RELÉ TÉRMICO 3RU11-16 (1,8 - 2,8A)</v>
      </c>
    </row>
    <row r="454" spans="1:9" ht="100.8" x14ac:dyDescent="0.3">
      <c r="A454" s="88">
        <f t="shared" si="20"/>
        <v>446</v>
      </c>
      <c r="B454" s="89" t="str">
        <f>_xlfn.XLOOKUP(D454,Planilha!O:O,Planilha!C:C)</f>
        <v>02.02.15.05.22</v>
      </c>
      <c r="C454" s="90" t="str">
        <f>_xlfn.XLOOKUP($D454,Planilha!$O:$O,Planilha!F:F)</f>
        <v>CPM.06.I - PAINEL EM CHAPA METÁLICA PERFURADA REDONDA EM AÇO INOX 304 - PERFURAÇÃO R8,00 EC11,00. ACABAMENTO EM PINTURA ELETROSTÁTICA COR RAL 7042 BRILHANTE. SUBESTRUTURA EM PERFIS DE AÇO INOX 304 E ACESSÓRIOS PARA FIXAÇÃO PINTADOS NA MESMA COR, PARAFUSOS SEM PINTURA.0,293 - 5,286m2</v>
      </c>
      <c r="D454" s="91">
        <f>LARGE(Planilha!$O:$O,$A454)</f>
        <v>1211.93</v>
      </c>
      <c r="E454" s="92">
        <f t="shared" si="18"/>
        <v>8.707263810296227E-5</v>
      </c>
      <c r="F454" s="93">
        <f t="shared" si="19"/>
        <v>0.98701298954160344</v>
      </c>
      <c r="I454" s="73" t="str">
        <v>TUBO, PVC, SOLDÁVEL, DN 40 MM, INSTALADO EM RESERVAÇÃO DE ÁGUA DE EDIFICAÇÃO QUE POSSUA RESERVATÓRIO DE FIBRA/FIBROCIMENTO   FORNECIMENTO E INSTALAÇÃO. AF_06/2016</v>
      </c>
    </row>
    <row r="455" spans="1:9" ht="100.8" x14ac:dyDescent="0.3">
      <c r="A455" s="88">
        <f t="shared" si="20"/>
        <v>447</v>
      </c>
      <c r="B455" s="89" t="str">
        <f>_xlfn.XLOOKUP(D455,Planilha!O:O,Planilha!C:C)</f>
        <v>02.02.15.05.22</v>
      </c>
      <c r="C455" s="90" t="str">
        <f>_xlfn.XLOOKUP($D455,Planilha!$O:$O,Planilha!F:F)</f>
        <v>CPM.06.I - PAINEL EM CHAPA METÁLICA PERFURADA REDONDA EM AÇO INOX 304 - PERFURAÇÃO R8,00 EC11,00. ACABAMENTO EM PINTURA ELETROSTÁTICA COR RAL 7042 BRILHANTE. SUBESTRUTURA EM PERFIS DE AÇO INOX 304 E ACESSÓRIOS PARA FIXAÇÃO PINTADOS NA MESMA COR, PARAFUSOS SEM PINTURA.0,293 - 5,286m2</v>
      </c>
      <c r="D455" s="91">
        <f>LARGE(Planilha!$O:$O,$A455)</f>
        <v>1211.93</v>
      </c>
      <c r="E455" s="92">
        <f t="shared" si="18"/>
        <v>8.707263810296227E-5</v>
      </c>
      <c r="F455" s="93">
        <f t="shared" si="19"/>
        <v>0.98710006217970636</v>
      </c>
      <c r="I455" s="73" t="str">
        <v>VÁLVULA DE ESFERA BRUTA, BRONZE, ROSCÁVEL, 1 1/4'' - FORNECIMENTO E INSTALAÇÃO. AF_08/2021</v>
      </c>
    </row>
    <row r="456" spans="1:9" ht="100.8" x14ac:dyDescent="0.3">
      <c r="A456" s="88">
        <f t="shared" si="20"/>
        <v>448</v>
      </c>
      <c r="B456" s="89" t="str">
        <f>_xlfn.XLOOKUP(D456,Planilha!O:O,Planilha!C:C)</f>
        <v>02.02.15.05.22</v>
      </c>
      <c r="C456" s="90" t="str">
        <f>_xlfn.XLOOKUP($D456,Planilha!$O:$O,Planilha!F:F)</f>
        <v>CPM.06.I - PAINEL EM CHAPA METÁLICA PERFURADA REDONDA EM AÇO INOX 304 - PERFURAÇÃO R8,00 EC11,00. ACABAMENTO EM PINTURA ELETROSTÁTICA COR RAL 7042 BRILHANTE. SUBESTRUTURA EM PERFIS DE AÇO INOX 304 E ACESSÓRIOS PARA FIXAÇÃO PINTADOS NA MESMA COR, PARAFUSOS SEM PINTURA.0,293 - 5,286m2</v>
      </c>
      <c r="D456" s="91">
        <f>LARGE(Planilha!$O:$O,$A456)</f>
        <v>1211.93</v>
      </c>
      <c r="E456" s="92">
        <f t="shared" si="18"/>
        <v>8.707263810296227E-5</v>
      </c>
      <c r="F456" s="93">
        <f t="shared" si="19"/>
        <v>0.98718713481780929</v>
      </c>
      <c r="I456" s="73" t="str">
        <v>COTOVELO EM COBRE, DN 28 MM, 90 GRAUS, SEM ANEL DE SOLDA, INSTALADO EM PRUMADA DE HIDRÁULICA PREDIAL - FORNECIMENTO E INSTALAÇÃO. AF_04/2022</v>
      </c>
    </row>
    <row r="457" spans="1:9" ht="33.6" x14ac:dyDescent="0.3">
      <c r="A457" s="88">
        <f t="shared" si="20"/>
        <v>449</v>
      </c>
      <c r="B457" s="89" t="str">
        <f>_xlfn.XLOOKUP(D457,Planilha!O:O,Planilha!C:C)</f>
        <v>02.01.07.05.09</v>
      </c>
      <c r="C457" s="90" t="str">
        <f>_xlfn.XLOOKUP($D457,Planilha!$O:$O,Planilha!F:F)</f>
        <v>ARMAÇÃO DE BLOCO, VIGA BALDRAME OU SAPATA UTILIZANDO AÇO CA-50 DE 8 MM - MONTAGEM. AF_06/2017</v>
      </c>
      <c r="D457" s="91">
        <f>LARGE(Planilha!$O:$O,$A457)</f>
        <v>1201.82</v>
      </c>
      <c r="E457" s="92">
        <f t="shared" ref="E457:E520" si="21">D457/$D$933</f>
        <v>8.6346272412517311E-5</v>
      </c>
      <c r="F457" s="93">
        <f t="shared" ref="F457:F520" si="22">+E457+F456</f>
        <v>0.98727348109022184</v>
      </c>
      <c r="I457" s="73" t="str">
        <v>DISPENSER PAPEL HIGIÊNICO EM ABS PARA ROLÃO 300 / 600 M, COM VISOR</v>
      </c>
    </row>
    <row r="458" spans="1:9" ht="50.4" x14ac:dyDescent="0.3">
      <c r="A458" s="88">
        <f t="shared" si="20"/>
        <v>450</v>
      </c>
      <c r="B458" s="89" t="str">
        <f>_xlfn.XLOOKUP(D458,Planilha!O:O,Planilha!C:C)</f>
        <v>02.03.09.37</v>
      </c>
      <c r="C458" s="90" t="str">
        <f>_xlfn.XLOOKUP($D458,Planilha!$O:$O,Planilha!F:F)</f>
        <v>CABO DE COBRE FLEXÍVEL ISOLADO, 2,5 MM², ANTI-CHAMA 0,6/1,0 KV, PARA CIRCUITOS TERMINAIS - FORNECIMENTO E INSTALAÇÃO. AF_12/2015</v>
      </c>
      <c r="D458" s="91">
        <f>LARGE(Planilha!$O:$O,$A458)</f>
        <v>1200</v>
      </c>
      <c r="E458" s="92">
        <f t="shared" si="21"/>
        <v>8.6215512218985177E-5</v>
      </c>
      <c r="F458" s="93">
        <f t="shared" si="22"/>
        <v>0.98735969660244083</v>
      </c>
      <c r="I458" s="73" t="str">
        <v>CONTATORA 3RT10-26</v>
      </c>
    </row>
    <row r="459" spans="1:9" ht="50.4" x14ac:dyDescent="0.3">
      <c r="A459" s="88">
        <f t="shared" ref="A459:A522" si="23">+A458+1</f>
        <v>451</v>
      </c>
      <c r="B459" s="89" t="str">
        <f>_xlfn.XLOOKUP(D459,Planilha!O:O,Planilha!C:C)</f>
        <v>02.04.02.01.01</v>
      </c>
      <c r="C459" s="90" t="str">
        <f>_xlfn.XLOOKUP($D459,Planilha!$O:$O,Planilha!F:F)</f>
        <v>TUBO, PVC, SOLDÁVEL, DN  25 MM, INSTALADO EM RESERVAÇÃO DE ÁGUA DE EDIFICAÇÃO QUE POSSUA RESERVATÓRIO DE FIBRA/FIBROCIMENTO   FORNECIMENTO E INSTALAÇÃO. AF_06/2016</v>
      </c>
      <c r="D459" s="91">
        <f>LARGE(Planilha!$O:$O,$A459)</f>
        <v>1190.51</v>
      </c>
      <c r="E459" s="92">
        <f t="shared" si="21"/>
        <v>8.5533691209853374E-5</v>
      </c>
      <c r="F459" s="93">
        <f t="shared" si="22"/>
        <v>0.98744523029365072</v>
      </c>
      <c r="I459" s="73" t="str">
        <v>QUADRO DE DISTRIBUIÇÃO DE ENERGIA EM CHAPA DE AÇO GALVANIZADO, DE EMBUTIR, COM BARRAMENTO TRIFÁSICO, PARA 30 DISJUNTORES DIN 150A - FORNECIMENTO E INSTALAÇÃO. AF_10/2020</v>
      </c>
    </row>
    <row r="460" spans="1:9" x14ac:dyDescent="0.3">
      <c r="A460" s="88">
        <f t="shared" si="23"/>
        <v>452</v>
      </c>
      <c r="B460" s="89" t="str">
        <f>_xlfn.XLOOKUP(D460,Planilha!O:O,Planilha!C:C)</f>
        <v>02.03.09.12</v>
      </c>
      <c r="C460" s="90" t="str">
        <f>_xlfn.XLOOKUP($D460,Planilha!$O:$O,Planilha!F:F)</f>
        <v>SINALIZADOR SONORO EM LED VEICULAR</v>
      </c>
      <c r="D460" s="91">
        <f>LARGE(Planilha!$O:$O,$A460)</f>
        <v>1188.3</v>
      </c>
      <c r="E460" s="92">
        <f t="shared" si="21"/>
        <v>8.5374910974850079E-5</v>
      </c>
      <c r="F460" s="93">
        <f t="shared" si="22"/>
        <v>0.98753060520462554</v>
      </c>
      <c r="I460" s="73" t="str">
        <v>JUNTA SERRADA, DIMENSÕES 6X60MM, COM PREENCHIMENTO DE MASTIQUE DE POLIURETANO MBT, BASF OU SIMILAR, PARA PAVIMENTOS EM CONCRETO</v>
      </c>
    </row>
    <row r="461" spans="1:9" ht="50.4" x14ac:dyDescent="0.3">
      <c r="A461" s="88">
        <f t="shared" si="23"/>
        <v>453</v>
      </c>
      <c r="B461" s="89" t="str">
        <f>_xlfn.XLOOKUP(D461,Planilha!O:O,Planilha!C:C)</f>
        <v>02.03.03.03.32</v>
      </c>
      <c r="C461" s="90" t="str">
        <f>_xlfn.XLOOKUP($D461,Planilha!$O:$O,Planilha!F:F)</f>
        <v>PERFILADO LISO (38X38)MM EM CHAPA DE AÇO GALVANIZADO #18, COM TRATAMENTO PRÉ-ZINCADO, INCLUSIVE TAMPA DE ENCAIXE, FIXAÇÃO SUPERIOR, CONEXÕES E ACESSÓRIOS</v>
      </c>
      <c r="D461" s="91">
        <f>LARGE(Planilha!$O:$O,$A461)</f>
        <v>1185.48</v>
      </c>
      <c r="E461" s="92">
        <f t="shared" si="21"/>
        <v>8.5172304521135457E-5</v>
      </c>
      <c r="F461" s="93">
        <f t="shared" si="22"/>
        <v>0.98761577750914664</v>
      </c>
      <c r="I461" s="73" t="str">
        <v>INTERRUPTOR COM 1 TECLA PARALELO E PLACA</v>
      </c>
    </row>
    <row r="462" spans="1:9" x14ac:dyDescent="0.3">
      <c r="A462" s="88">
        <f t="shared" si="23"/>
        <v>454</v>
      </c>
      <c r="B462" s="89" t="str">
        <f>_xlfn.XLOOKUP(D462,Planilha!O:O,Planilha!C:C)</f>
        <v>02.03.11.04.08</v>
      </c>
      <c r="C462" s="90" t="str">
        <f>_xlfn.XLOOKUP($D462,Planilha!$O:$O,Planilha!F:F)</f>
        <v>DISPOSITIVO DIFERENCIAL RESIDUAL DE 25 A X 30 MA - 4 POLOS</v>
      </c>
      <c r="D462" s="91">
        <f>LARGE(Planilha!$O:$O,$A462)</f>
        <v>1173.8399999999999</v>
      </c>
      <c r="E462" s="92">
        <f t="shared" si="21"/>
        <v>8.4336014052611302E-5</v>
      </c>
      <c r="F462" s="93">
        <f t="shared" si="22"/>
        <v>0.98770011352319931</v>
      </c>
      <c r="I462" s="73" t="str">
        <v xml:space="preserve"> SALA DE LAMINAÇÃO - BANCADA LATERAL MEDINDO 2400X900X900MM - Composto de:  2,40 LL4298BI3 Metro(s) linear(es) de tampo em granito natural polido com 30mm de espessura, medindo 900mm de profundidade, com respaldo de 60mm junto a parede e acabamento bizotado. - 1,00 LL2038-E Modulo inferior de cuba medindo 900x700x870mm provida de duas portas. - 1,00 LL2222-E Modulo inferior medindo 900x700x870mm provido de duas portas e uma prateleira. - 1,00 LL2212_ESQ-E Modulo inferior medindo 550x700x870mm provido de uma porta a esquerda e uma prateleira. - 0,05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 - 1,00 LL9012 Válvula americana sifonada em polipropileno medindo 3 1/2" de diâmetro com conexões também em polipropileno para bancada.</v>
      </c>
    </row>
    <row r="463" spans="1:9" x14ac:dyDescent="0.3">
      <c r="A463" s="88">
        <f t="shared" si="23"/>
        <v>455</v>
      </c>
      <c r="B463" s="89" t="str">
        <f>_xlfn.XLOOKUP(D463,Planilha!O:O,Planilha!C:C)</f>
        <v>02.02.11.02.14</v>
      </c>
      <c r="C463" s="90" t="str">
        <f>_xlfn.XLOOKUP($D463,Planilha!$O:$O,Planilha!F:F)</f>
        <v>TYLON MK 1.4 - VENTILADOR</v>
      </c>
      <c r="D463" s="91">
        <f>LARGE(Planilha!$O:$O,$A463)</f>
        <v>1162.22</v>
      </c>
      <c r="E463" s="92">
        <f t="shared" si="21"/>
        <v>8.3501160509290794E-5</v>
      </c>
      <c r="F463" s="93">
        <f t="shared" si="22"/>
        <v>0.98778361468370857</v>
      </c>
      <c r="I463" s="73" t="str">
        <v>COTOVELO EM COBRE, DN 15 MM, 90 GRAUS, SEM ANEL DE SOLDA, INSTALADO EM RAMAL DE DISTRIBUIÇÃO  FORNECIMENTO E INSTALAÇÃO. AF_12/2015</v>
      </c>
    </row>
    <row r="464" spans="1:9" ht="50.4" x14ac:dyDescent="0.3">
      <c r="A464" s="88">
        <f t="shared" si="23"/>
        <v>456</v>
      </c>
      <c r="B464" s="89" t="str">
        <f>_xlfn.XLOOKUP(D464,Planilha!O:O,Planilha!C:C)</f>
        <v>02.04.03.01.11</v>
      </c>
      <c r="C464" s="90" t="str">
        <f>_xlfn.XLOOKUP($D464,Planilha!$O:$O,Planilha!F:F)</f>
        <v>JOELHO 90 GRAUS, PVC, SERIE NORMAL, ESGOTO PREDIAL, DN 50 MM, JUNTA ELÁSTICA, FORNECIDO E INSTALADO EM RAMAL DE DESCARGA OU RAMAL DE ESGOTO SANITÁRIO. AF_12/2014</v>
      </c>
      <c r="D464" s="91">
        <f>LARGE(Planilha!$O:$O,$A464)</f>
        <v>1161.72</v>
      </c>
      <c r="E464" s="92">
        <f t="shared" si="21"/>
        <v>8.346523737919955E-5</v>
      </c>
      <c r="F464" s="93">
        <f t="shared" si="22"/>
        <v>0.9878670799210878</v>
      </c>
      <c r="I464" s="73" t="str">
        <v>ADAPTADOR COM FLANGES LIVRES, PVC, SOLDÁVEL LONGO, DN 85 MM X 3 , INSTALADO EM RESERVAÇÃO DE ÁGUA DE EDIFICAÇÃO QUE POSSUA RESERVATÓRIO DE FIBRA/FIBROCIMENTO   FORNECIMENTO E INSTALAÇÃO. AF_06/2016</v>
      </c>
    </row>
    <row r="465" spans="1:9" x14ac:dyDescent="0.3">
      <c r="A465" s="88">
        <f t="shared" si="23"/>
        <v>457</v>
      </c>
      <c r="B465" s="89" t="str">
        <f>_xlfn.XLOOKUP(D465,Planilha!O:O,Planilha!C:C)</f>
        <v>02.03.11.14.08</v>
      </c>
      <c r="C465" s="90" t="str">
        <f>_xlfn.XLOOKUP($D465,Planilha!$O:$O,Planilha!F:F)</f>
        <v>ELETRODUTO FLEXIVEL PVC TIGREFLEX REFORCADO LARANJA 25MM</v>
      </c>
      <c r="D465" s="91">
        <f>LARGE(Planilha!$O:$O,$A465)</f>
        <v>1157.73</v>
      </c>
      <c r="E465" s="92">
        <f t="shared" si="21"/>
        <v>8.317857080107143E-5</v>
      </c>
      <c r="F465" s="93">
        <f t="shared" si="22"/>
        <v>0.98795025849188889</v>
      </c>
      <c r="I465" s="73" t="str">
        <v>TE 90 FERRO GALVANIZADO DIAM. 3""</v>
      </c>
    </row>
    <row r="466" spans="1:9" ht="50.4" x14ac:dyDescent="0.3">
      <c r="A466" s="88">
        <f t="shared" si="23"/>
        <v>458</v>
      </c>
      <c r="B466" s="89" t="str">
        <f>_xlfn.XLOOKUP(D466,Planilha!O:O,Planilha!C:C)</f>
        <v>02.04.01.01.17</v>
      </c>
      <c r="C466" s="90" t="str">
        <f>_xlfn.XLOOKUP($D466,Planilha!$O:$O,Planilha!F:F)</f>
        <v>JUNÇÃO SIMPLES, PVC, SERIE R, ÁGUA PLUVIAL, DN 150 X 150 MM, JUNTA ELÁSTICA, FORNECIDO E INSTALADO EM CONDUTORES VERTICAIS DE ÁGUAS PLUVIAIS. AF_12/2014</v>
      </c>
      <c r="D466" s="91">
        <f>LARGE(Planilha!$O:$O,$A466)</f>
        <v>1144.68</v>
      </c>
      <c r="E466" s="92">
        <f t="shared" si="21"/>
        <v>8.2240977105689964E-5</v>
      </c>
      <c r="F466" s="93">
        <f t="shared" si="22"/>
        <v>0.98803249946899463</v>
      </c>
      <c r="I466" s="73" t="str">
        <v>JOELHO 90 GRAUS, PVC, SERIE NORMAL, ESGOTO PREDIAL, DN 40 MM, JUNTA SOLDÁVEL, FORNECIDO E INSTALADO EM RAMAL DE DESCARGA OU RAMAL DE ESGOTO SANITÁRIO. AF_12/2014</v>
      </c>
    </row>
    <row r="467" spans="1:9" ht="33.6" x14ac:dyDescent="0.3">
      <c r="A467" s="88">
        <f t="shared" si="23"/>
        <v>459</v>
      </c>
      <c r="B467" s="89" t="str">
        <f>_xlfn.XLOOKUP(D467,Planilha!O:O,Planilha!C:C)</f>
        <v>02.04.04.02.02</v>
      </c>
      <c r="C467" s="90" t="str">
        <f>_xlfn.XLOOKUP($D467,Planilha!$O:$O,Planilha!F:F)</f>
        <v>VÁLVULA DE RETENÇÃO HORIZONTAL, DE BRONZE, ROSCÁVEL, 3" - FORNECIMENTO E INSTALAÇÃO. AF_08/2021</v>
      </c>
      <c r="D467" s="91">
        <f>LARGE(Planilha!$O:$O,$A467)</f>
        <v>1135.71</v>
      </c>
      <c r="E467" s="92">
        <f t="shared" si="21"/>
        <v>8.1596516151853052E-5</v>
      </c>
      <c r="F467" s="93">
        <f t="shared" si="22"/>
        <v>0.98811409598514643</v>
      </c>
      <c r="I467" s="73" t="str">
        <v>ANÉIS DE CONCRETO ARMADO Ø1.20M</v>
      </c>
    </row>
    <row r="468" spans="1:9" ht="50.4" x14ac:dyDescent="0.3">
      <c r="A468" s="88">
        <f t="shared" si="23"/>
        <v>460</v>
      </c>
      <c r="B468" s="89" t="str">
        <f>_xlfn.XLOOKUP(D468,Planilha!O:O,Planilha!C:C)</f>
        <v>02.04.03.01.28</v>
      </c>
      <c r="C468" s="90" t="str">
        <f>_xlfn.XLOOKUP($D468,Planilha!$O:$O,Planilha!F:F)</f>
        <v>LUVA SIMPLES, PVC, SERIE NORMAL, ESGOTO PREDIAL, DN 50 MM, JUNTA ELÁSTICA, FORNECIDO E INSTALADO EM RAMAL DE DESCARGA OU RAMAL DE ESGOTO SANITÁRIO. AF_12/2014</v>
      </c>
      <c r="D468" s="91">
        <f>LARGE(Planilha!$O:$O,$A468)</f>
        <v>1134.3</v>
      </c>
      <c r="E468" s="92">
        <f t="shared" si="21"/>
        <v>8.1495212924995742E-5</v>
      </c>
      <c r="F468" s="93">
        <f t="shared" si="22"/>
        <v>0.98819559119807143</v>
      </c>
      <c r="I468" s="73" t="str">
        <v>LUMINÁRIA DE EMBUTIR GREEN SPACE DN393B</v>
      </c>
    </row>
    <row r="469" spans="1:9" ht="50.4" x14ac:dyDescent="0.3">
      <c r="A469" s="88">
        <f t="shared" si="23"/>
        <v>461</v>
      </c>
      <c r="B469" s="89" t="str">
        <f>_xlfn.XLOOKUP(D469,Planilha!O:O,Planilha!C:C)</f>
        <v>02.03.06.06</v>
      </c>
      <c r="C469" s="90" t="str">
        <f>_xlfn.XLOOKUP($D469,Planilha!$O:$O,Planilha!F:F)</f>
        <v>CONDULETE DE ALUMÍNIO, TIPO C, PARA ELETRODUTO DE AÇO GALVANIZADO DN 25 MM (1''), APARENTE - FORNECIMENTO E INSTALAÇÃO. AF_11/2016_P</v>
      </c>
      <c r="D469" s="91">
        <f>LARGE(Planilha!$O:$O,$A469)</f>
        <v>1110.99</v>
      </c>
      <c r="E469" s="92">
        <f t="shared" si="21"/>
        <v>7.9820476600141952E-5</v>
      </c>
      <c r="F469" s="93">
        <f t="shared" si="22"/>
        <v>0.98827541167467159</v>
      </c>
      <c r="I469" s="73" t="str">
        <v>JOELHO 90 GRAUS, PVC, SOLDÁVEL, DN 60MM, INSTALADO EM PRUMADA DE ÁGUA - FORNECIMENTO E INSTALAÇÃO. AF_12/2014</v>
      </c>
    </row>
    <row r="470" spans="1:9" ht="50.4" x14ac:dyDescent="0.3">
      <c r="A470" s="88">
        <f t="shared" si="23"/>
        <v>462</v>
      </c>
      <c r="B470" s="89" t="str">
        <f>_xlfn.XLOOKUP(D470,Planilha!O:O,Planilha!C:C)</f>
        <v>02.03.06.06</v>
      </c>
      <c r="C470" s="90" t="str">
        <f>_xlfn.XLOOKUP($D470,Planilha!$O:$O,Planilha!F:F)</f>
        <v>CONDULETE DE ALUMÍNIO, TIPO C, PARA ELETRODUTO DE AÇO GALVANIZADO DN 25 MM (1''), APARENTE - FORNECIMENTO E INSTALAÇÃO. AF_11/2016_P</v>
      </c>
      <c r="D470" s="91">
        <f>LARGE(Planilha!$O:$O,$A470)</f>
        <v>1110.99</v>
      </c>
      <c r="E470" s="92">
        <f t="shared" si="21"/>
        <v>7.9820476600141952E-5</v>
      </c>
      <c r="F470" s="93">
        <f t="shared" si="22"/>
        <v>0.98835523215127175</v>
      </c>
      <c r="I470" s="73" t="str">
        <v>TERMINAL DE PRESSÃO/COMPRESSÃO PARA CABO DE 25 MM²</v>
      </c>
    </row>
    <row r="471" spans="1:9" ht="67.2" x14ac:dyDescent="0.3">
      <c r="A471" s="88">
        <f t="shared" si="23"/>
        <v>463</v>
      </c>
      <c r="B471" s="89" t="str">
        <f>_xlfn.XLOOKUP(D471,Planilha!O:O,Planilha!C:C)</f>
        <v>02.01.07.03.05</v>
      </c>
      <c r="C471" s="90" t="str">
        <f>_xlfn.XLOOKUP($D471,Planilha!$O:$O,Planilha!F:F)</f>
        <v>ARMAÇÃO DE PILAR OU VIGA DE UMA ESTRUTURA CONVENCIONAL DE CONCRETO ARMADO EM UM EDIFÍCIO DE MÚLTIPLOS PAVIMENTOS UTILIZANDO AÇO CA-60 DE 5,0 MM - MONTAGEM. AF_12/2015</v>
      </c>
      <c r="D471" s="91">
        <f>LARGE(Planilha!$O:$O,$A471)</f>
        <v>1095.9000000000001</v>
      </c>
      <c r="E471" s="92">
        <f t="shared" si="21"/>
        <v>7.8736316533988229E-5</v>
      </c>
      <c r="F471" s="93">
        <f t="shared" si="22"/>
        <v>0.98843396846780573</v>
      </c>
      <c r="I471" s="73" t="str">
        <v>CHAVE DE 3 POSIÇÕES AUTOMÁTICO/MANUAL</v>
      </c>
    </row>
    <row r="472" spans="1:9" ht="33.6" x14ac:dyDescent="0.3">
      <c r="A472" s="88">
        <f t="shared" si="23"/>
        <v>464</v>
      </c>
      <c r="B472" s="89" t="str">
        <f>_xlfn.XLOOKUP(D472,Planilha!O:O,Planilha!C:C)</f>
        <v>02.03.10.04.11</v>
      </c>
      <c r="C472" s="90" t="str">
        <f>_xlfn.XLOOKUP($D472,Planilha!$O:$O,Planilha!F:F)</f>
        <v>HASTE DE ATERRAMENTO 5/8  PARA SPDA - FORNECIMENTO E INSTALAÇÃO. AF_12/2017</v>
      </c>
      <c r="D472" s="91">
        <f>LARGE(Planilha!$O:$O,$A472)</f>
        <v>1092</v>
      </c>
      <c r="E472" s="92">
        <f t="shared" si="21"/>
        <v>7.8456116119276516E-5</v>
      </c>
      <c r="F472" s="93">
        <f t="shared" si="22"/>
        <v>0.98851242458392496</v>
      </c>
      <c r="I472" s="73" t="str">
        <v>TE REDUCAO COBRE 28X15MM</v>
      </c>
    </row>
    <row r="473" spans="1:9" x14ac:dyDescent="0.3">
      <c r="A473" s="88">
        <f t="shared" si="23"/>
        <v>465</v>
      </c>
      <c r="B473" s="89" t="str">
        <f>_xlfn.XLOOKUP(D473,Planilha!O:O,Planilha!C:C)</f>
        <v>02.04.01.04.06</v>
      </c>
      <c r="C473" s="90" t="str">
        <f>_xlfn.XLOOKUP($D473,Planilha!$O:$O,Planilha!F:F)</f>
        <v>BÓIA FLYGHT</v>
      </c>
      <c r="D473" s="91">
        <f>LARGE(Planilha!$O:$O,$A473)</f>
        <v>1075.9100000000001</v>
      </c>
      <c r="E473" s="92">
        <f t="shared" si="21"/>
        <v>7.7300109792940292E-5</v>
      </c>
      <c r="F473" s="93">
        <f t="shared" si="22"/>
        <v>0.98858972469371786</v>
      </c>
      <c r="I473" s="73" t="str">
        <v>CHAVE ROTATIVA Ø 30,5 LIGA/DESLIGA</v>
      </c>
    </row>
    <row r="474" spans="1:9" ht="33.6" x14ac:dyDescent="0.3">
      <c r="A474" s="88">
        <f t="shared" si="23"/>
        <v>466</v>
      </c>
      <c r="B474" s="89" t="str">
        <f>_xlfn.XLOOKUP(D474,Planilha!O:O,Planilha!C:C)</f>
        <v>02.03.02.03.36</v>
      </c>
      <c r="C474" s="90" t="str">
        <f>_xlfn.XLOOKUP($D474,Planilha!$O:$O,Planilha!F:F)</f>
        <v>CABO DE COBRE DE 6 MM², ISOLAMENTO 750 V - ISOLAÇÃO EM PVC 70°C</v>
      </c>
      <c r="D474" s="91">
        <f>LARGE(Planilha!$O:$O,$A474)</f>
        <v>1074.1500000000001</v>
      </c>
      <c r="E474" s="92">
        <f t="shared" si="21"/>
        <v>7.7173660375019114E-5</v>
      </c>
      <c r="F474" s="93">
        <f t="shared" si="22"/>
        <v>0.98866689835409294</v>
      </c>
      <c r="I474" s="73" t="str">
        <v>CAIXA DE PASSAGEM Nº 2 PADRÃO TELEBRÁS DIM. (20 X 20 X 12) CM EM CHAPA DE AÇO GALVANIZADO</v>
      </c>
    </row>
    <row r="475" spans="1:9" x14ac:dyDescent="0.3">
      <c r="A475" s="88">
        <f t="shared" si="23"/>
        <v>467</v>
      </c>
      <c r="B475" s="89" t="str">
        <f>_xlfn.XLOOKUP(D475,Planilha!O:O,Planilha!C:C)</f>
        <v>02.04.01.05.04</v>
      </c>
      <c r="C475" s="90" t="str">
        <f>_xlfn.XLOOKUP($D475,Planilha!$O:$O,Planilha!F:F)</f>
        <v>GRELHA EM FERRO FUNDIDO COM CAIXILHO 20X20CM</v>
      </c>
      <c r="D475" s="91">
        <f>LARGE(Planilha!$O:$O,$A475)</f>
        <v>1065.47</v>
      </c>
      <c r="E475" s="92">
        <f t="shared" si="21"/>
        <v>7.6550034836635113E-5</v>
      </c>
      <c r="F475" s="93">
        <f t="shared" si="22"/>
        <v>0.98874344838892958</v>
      </c>
      <c r="I475" s="73" t="str">
        <v>PRATELEIRAS - METRO(S) LINEAR(ES) DE PRATELEIRA REVESTIDA EM LAMINADO MELAMINICO COM 300MM DE
PROFUNDIDADE. - COMPOSTO DE: 2,00 MÃO FRANCESA BRANCA MED. 200X250MM - LAB. LINEA INDUSTRIA E COMERCIO DE MOVEIS PARA LABORATÓRIOS LTDA. - RUA ANGELO PERISSINOTTO ,166/186 BELA VISTA - CEP: 13.145-006 - PAULINIA - SP - BRASIL - FONE/FAX: (19) 3874-9898SITE: WWW.LABLINEA.COM.BR E-MAIL: LABLINEA@LABLINEA.COM.BR</v>
      </c>
    </row>
    <row r="476" spans="1:9" x14ac:dyDescent="0.3">
      <c r="A476" s="88">
        <f t="shared" si="23"/>
        <v>468</v>
      </c>
      <c r="B476" s="89" t="str">
        <f>_xlfn.XLOOKUP(D476,Planilha!O:O,Planilha!C:C)</f>
        <v>02.04.04.01.09</v>
      </c>
      <c r="C476" s="90" t="str">
        <f>_xlfn.XLOOKUP($D476,Planilha!$O:$O,Planilha!F:F)</f>
        <v>NIPLE DUPLO GALVANIZADO 3""</v>
      </c>
      <c r="D476" s="91">
        <f>LARGE(Planilha!$O:$O,$A476)</f>
        <v>1047.96</v>
      </c>
      <c r="E476" s="92">
        <f t="shared" si="21"/>
        <v>7.5292006820839761E-5</v>
      </c>
      <c r="F476" s="93">
        <f t="shared" si="22"/>
        <v>0.98881874039575046</v>
      </c>
      <c r="I476" s="73" t="str">
        <v>ELETRODUTO METALICO FLEXIVEL REVESTIDO EXTERNAMENTE COM PVC PRETO, DIAMETRO EXTERNO DE 25 MM (3/4"), TIPO SEALTUBO</v>
      </c>
    </row>
    <row r="477" spans="1:9" ht="50.4" x14ac:dyDescent="0.3">
      <c r="A477" s="88">
        <f t="shared" si="23"/>
        <v>469</v>
      </c>
      <c r="B477" s="89" t="str">
        <f>_xlfn.XLOOKUP(D477,Planilha!O:O,Planilha!C:C)</f>
        <v>02.04.02.03.02</v>
      </c>
      <c r="C477" s="90" t="str">
        <f>_xlfn.XLOOKUP($D477,Planilha!$O:$O,Planilha!F:F)</f>
        <v>REGISTRO DE GAVETA BRUTO, LATÃO, ROSCÁVEL, 3/4", COM ACABAMENTO E CANOPLA CROMADOS - FORNECIMENTO E INSTALAÇÃO. AF_08/2021</v>
      </c>
      <c r="D477" s="91">
        <f>LARGE(Planilha!$O:$O,$A477)</f>
        <v>1033.3699999999999</v>
      </c>
      <c r="E477" s="92">
        <f t="shared" si="21"/>
        <v>7.4243769884777255E-5</v>
      </c>
      <c r="F477" s="93">
        <f t="shared" si="22"/>
        <v>0.9888929841656352</v>
      </c>
      <c r="I477" s="73" t="str">
        <v>COTOVELO EM COBRE, DN 35 MM, 90 GRAUS, SEM ANEL DE SOLDA, INSTALADO EM PRUMADA DE HIDRÁULICA PREDIAL - FORNECIMENTO E INSTALAÇÃO. AF_04/2022</v>
      </c>
    </row>
    <row r="478" spans="1:9" x14ac:dyDescent="0.3">
      <c r="A478" s="88">
        <f t="shared" si="23"/>
        <v>470</v>
      </c>
      <c r="B478" s="89" t="str">
        <f>_xlfn.XLOOKUP(D478,Planilha!O:O,Planilha!C:C)</f>
        <v>02.01.05.03</v>
      </c>
      <c r="C478" s="90" t="str">
        <f>_xlfn.XLOOKUP($D478,Planilha!$O:$O,Planilha!F:F)</f>
        <v>EMENDA EM ESTACA TRILHO TR-32 A TR-68 KGF/M</v>
      </c>
      <c r="D478" s="91">
        <f>LARGE(Planilha!$O:$O,$A478)</f>
        <v>1025.0999999999999</v>
      </c>
      <c r="E478" s="92">
        <f t="shared" si="21"/>
        <v>7.364960131306809E-5</v>
      </c>
      <c r="F478" s="93">
        <f t="shared" si="22"/>
        <v>0.98896663376694827</v>
      </c>
      <c r="I478" s="73" t="str">
        <v>CONECTOR DE LATÃO, COBRE OU BRONZE, JUNTAS SOLDADAS, 28MM X 1"</v>
      </c>
    </row>
    <row r="479" spans="1:9" x14ac:dyDescent="0.3">
      <c r="A479" s="88">
        <f t="shared" si="23"/>
        <v>471</v>
      </c>
      <c r="B479" s="89" t="str">
        <f>_xlfn.XLOOKUP(D479,Planilha!O:O,Planilha!C:C)</f>
        <v>02.04.04.01.08</v>
      </c>
      <c r="C479" s="90" t="str">
        <f>_xlfn.XLOOKUP($D479,Planilha!$O:$O,Planilha!F:F)</f>
        <v>NIPLE DUPLO GALVANIZADO 2.1/2""</v>
      </c>
      <c r="D479" s="91">
        <f>LARGE(Planilha!$O:$O,$A479)</f>
        <v>1003.8</v>
      </c>
      <c r="E479" s="92">
        <f t="shared" si="21"/>
        <v>7.2119275971181107E-5</v>
      </c>
      <c r="F479" s="93">
        <f t="shared" si="22"/>
        <v>0.98903875304291944</v>
      </c>
      <c r="I479" s="73" t="str">
        <v>BARRA DE APOIO RETA, EM ACO INOX POLIDO, COMPRIMENTO 80 CM,  FIXADA NA PAREDE - FORNECIMENTO E INSTALAÇÃO. AF_01/2020</v>
      </c>
    </row>
    <row r="480" spans="1:9" x14ac:dyDescent="0.3">
      <c r="A480" s="88">
        <f t="shared" si="23"/>
        <v>472</v>
      </c>
      <c r="B480" s="89" t="str">
        <f>_xlfn.XLOOKUP(D480,Planilha!O:O,Planilha!C:C)</f>
        <v>02.04.01.01.05</v>
      </c>
      <c r="C480" s="90" t="str">
        <f>_xlfn.XLOOKUP($D480,Planilha!$O:$O,Planilha!F:F)</f>
        <v>ANEL BORRACHA TUBO PVC 100MM</v>
      </c>
      <c r="D480" s="91">
        <f>LARGE(Planilha!$O:$O,$A480)</f>
        <v>986.45</v>
      </c>
      <c r="E480" s="92">
        <f t="shared" si="21"/>
        <v>7.0872743357014949E-5</v>
      </c>
      <c r="F480" s="93">
        <f t="shared" si="22"/>
        <v>0.98910962578627648</v>
      </c>
      <c r="I480" s="73" t="str">
        <v>CONTATORA 3RT10-15</v>
      </c>
    </row>
    <row r="481" spans="1:9" ht="67.2" x14ac:dyDescent="0.3">
      <c r="A481" s="88">
        <f t="shared" si="23"/>
        <v>473</v>
      </c>
      <c r="B481" s="89" t="str">
        <f>_xlfn.XLOOKUP(D481,Planilha!O:O,Planilha!C:C)</f>
        <v>02.02.07.11</v>
      </c>
      <c r="C481" s="90" t="str">
        <f>_xlfn.XLOOKUP($D481,Planilha!$O:$O,Planilha!F:F)</f>
        <v>RDP.04 - RODAPÉ EM PORCELANATO ESMALTADO POLIDO PARA ÁREA INTERNA E AMBIENTE COM TRÁFEGO MÉDIO, GRUPO DE ABSORÇÃO BIA, ASSENTADO COM ARGAMASSA COLANTE INDUSTRIALIZADA, REJUNTADO</v>
      </c>
      <c r="D481" s="91">
        <f>LARGE(Planilha!$O:$O,$A481)</f>
        <v>971.3</v>
      </c>
      <c r="E481" s="92">
        <f t="shared" si="21"/>
        <v>6.9784272515250256E-5</v>
      </c>
      <c r="F481" s="93">
        <f t="shared" si="22"/>
        <v>0.98917941005879173</v>
      </c>
      <c r="I481" s="73" t="str">
        <v>QUADRO DE DISTRIBUIÇÃO DE ENERGIA EM CHAPA DE AÇO GALVANIZADO, DE EMBUTIR, COM BARRAMENTO TRIFÁSICO, PARA 24 DISJUNTORES DIN 100A - FORNECIMENTO E INSTALAÇÃO. AF_10/2020</v>
      </c>
    </row>
    <row r="482" spans="1:9" ht="33.6" x14ac:dyDescent="0.3">
      <c r="A482" s="88">
        <f t="shared" si="23"/>
        <v>474</v>
      </c>
      <c r="B482" s="89" t="str">
        <f>_xlfn.XLOOKUP(D482,Planilha!O:O,Planilha!C:C)</f>
        <v>02.02.14.02</v>
      </c>
      <c r="C482" s="90" t="str">
        <f>_xlfn.XLOOKUP($D482,Planilha!$O:$O,Planilha!F:F)</f>
        <v>DISPENSER PARA PAPEL HIGIÊNICO INTERFOLHADO REF.: 70080, MELHORAMENTOS OU SIMILAR</v>
      </c>
      <c r="D482" s="91">
        <f>LARGE(Planilha!$O:$O,$A482)</f>
        <v>971.08</v>
      </c>
      <c r="E482" s="92">
        <f t="shared" si="21"/>
        <v>6.9768466338010105E-5</v>
      </c>
      <c r="F482" s="93">
        <f t="shared" si="22"/>
        <v>0.98924917852512972</v>
      </c>
      <c r="I482" s="73" t="str">
        <v>REGISTRO DE GAVETA BRUTO, LATÃO, ROSCÁVEL, 3" - FORNECIMENTO E INSTALAÇÃO. AF_08/2021</v>
      </c>
    </row>
    <row r="483" spans="1:9" x14ac:dyDescent="0.3">
      <c r="A483" s="88">
        <f t="shared" si="23"/>
        <v>475</v>
      </c>
      <c r="B483" s="89" t="str">
        <f>_xlfn.XLOOKUP(D483,Planilha!O:O,Planilha!C:C)</f>
        <v>02.03.11.12.13</v>
      </c>
      <c r="C483" s="90" t="str">
        <f>_xlfn.XLOOKUP($D483,Planilha!$O:$O,Planilha!F:F)</f>
        <v>ALARME SONORO BITONAL 220 V PARA PAINEL DE COMANDO</v>
      </c>
      <c r="D483" s="91">
        <f>LARGE(Planilha!$O:$O,$A483)</f>
        <v>948.06</v>
      </c>
      <c r="E483" s="92">
        <f t="shared" si="21"/>
        <v>6.811456542860924E-5</v>
      </c>
      <c r="F483" s="93">
        <f t="shared" si="22"/>
        <v>0.98931729309055838</v>
      </c>
      <c r="I483" s="73" t="str">
        <v>FORNECIMENTO E ASSENTAMENTO DE UNIÃO DE FERRO GALVANIZADO ASSENTO BRONZE DE 2 1/2"</v>
      </c>
    </row>
    <row r="484" spans="1:9" ht="50.4" x14ac:dyDescent="0.3">
      <c r="A484" s="88">
        <f t="shared" si="23"/>
        <v>476</v>
      </c>
      <c r="B484" s="89" t="str">
        <f>_xlfn.XLOOKUP(D484,Planilha!O:O,Planilha!C:C)</f>
        <v>02.03.02.01.07</v>
      </c>
      <c r="C484" s="90" t="str">
        <f>_xlfn.XLOOKUP($D484,Planilha!$O:$O,Planilha!F:F)</f>
        <v>CONDULETE DE ALUMÍNIO, TIPO L, PARA ELETRODUTO DE AÇO GALVANIZADO DN 25 MM (1''), APARENTE - FORNECIMENTO E INSTALAÇÃO. AF_11/2016_P</v>
      </c>
      <c r="D484" s="91">
        <f>LARGE(Planilha!$O:$O,$A484)</f>
        <v>944.24</v>
      </c>
      <c r="E484" s="92">
        <f t="shared" si="21"/>
        <v>6.7840112714712144E-5</v>
      </c>
      <c r="F484" s="93">
        <f t="shared" si="22"/>
        <v>0.98938513320327304</v>
      </c>
      <c r="I484" s="73" t="str">
        <v>RELÉ DE TEMPO 7PU05</v>
      </c>
    </row>
    <row r="485" spans="1:9" ht="67.2" x14ac:dyDescent="0.3">
      <c r="A485" s="88">
        <f t="shared" si="23"/>
        <v>477</v>
      </c>
      <c r="B485" s="89" t="str">
        <f>_xlfn.XLOOKUP(D485,Planilha!O:O,Planilha!C:C)</f>
        <v>02.03.11.08.09</v>
      </c>
      <c r="C485" s="90" t="str">
        <f>_xlfn.XLOOKUP($D485,Planilha!$O:$O,Planilha!F:F)</f>
        <v>QUADRO DE DISTRIBUIÇÃO DE ENERGIA EM CHAPA DE AÇO GALVANIZADO, DE EMBUTIR, COM BARRAMENTO TRIFÁSICO, PARA 40 DISJUNTORES DIN 100A - FORNECIMENTO E INSTALAÇÃO. AF_10/2020</v>
      </c>
      <c r="D485" s="91">
        <f>LARGE(Planilha!$O:$O,$A485)</f>
        <v>938.07</v>
      </c>
      <c r="E485" s="92">
        <f t="shared" si="21"/>
        <v>6.7396821289386193E-5</v>
      </c>
      <c r="F485" s="93">
        <f t="shared" si="22"/>
        <v>0.98945253002456246</v>
      </c>
      <c r="I485" s="73" t="str">
        <v>CONDULETE EM ALUMÍNIO TIPO "C" DE 2"</v>
      </c>
    </row>
    <row r="486" spans="1:9" ht="33.6" x14ac:dyDescent="0.3">
      <c r="A486" s="88">
        <f t="shared" si="23"/>
        <v>478</v>
      </c>
      <c r="B486" s="89" t="str">
        <f>_xlfn.XLOOKUP(D486,Planilha!O:O,Planilha!C:C)</f>
        <v>02.04.03.05.01</v>
      </c>
      <c r="C486" s="90" t="str">
        <f>_xlfn.XLOOKUP($D486,Planilha!$O:$O,Planilha!F:F)</f>
        <v>SIFÃO DO TIPO GARRAFA EM METAL CROMADO 1 X 1.1/2 - FORNECIMENTO E INSTALAÇÃO. AF_01/2020</v>
      </c>
      <c r="D486" s="91">
        <f>LARGE(Planilha!$O:$O,$A486)</f>
        <v>935.16</v>
      </c>
      <c r="E486" s="92">
        <f t="shared" si="21"/>
        <v>6.7187748672255151E-5</v>
      </c>
      <c r="F486" s="93">
        <f t="shared" si="22"/>
        <v>0.98951971777323466</v>
      </c>
      <c r="I486" s="73" t="str">
        <v>ELETRODUTO GALVANIZADO CONFORME NBR13057 -  4´ COM ACESSÓRIOS</v>
      </c>
    </row>
    <row r="487" spans="1:9" ht="50.4" x14ac:dyDescent="0.3">
      <c r="A487" s="88">
        <f t="shared" si="23"/>
        <v>479</v>
      </c>
      <c r="B487" s="89" t="str">
        <f>_xlfn.XLOOKUP(D487,Planilha!O:O,Planilha!C:C)</f>
        <v>02.03.09.05</v>
      </c>
      <c r="C487" s="90" t="str">
        <f>_xlfn.XLOOKUP($D487,Planilha!$O:$O,Planilha!F:F)</f>
        <v>CONDULETE DE ALUMÍNIO, TIPO T, PARA ELETRODUTO DE AÇO GALVANIZADO DN 20 MM (3/4''), APARENTE - FORNECIMENTO E INSTALAÇÃO. AF_11/2016_P</v>
      </c>
      <c r="D487" s="91">
        <f>LARGE(Planilha!$O:$O,$A487)</f>
        <v>933.02</v>
      </c>
      <c r="E487" s="92">
        <f t="shared" si="21"/>
        <v>6.7033997675464629E-5</v>
      </c>
      <c r="F487" s="93">
        <f t="shared" si="22"/>
        <v>0.98958675177091016</v>
      </c>
      <c r="I487" s="73" t="str">
        <v>JOELHO 90 GRAUS COM BUCHA DE LATÃO, PVC, SOLDÁVEL, DN 25MM, X 3/4 INSTALADO EM RAMAL OU SUB-RAMAL DE ÁGUA - FORNECIMENTO E INSTALAÇÃO. AF_12/2014</v>
      </c>
    </row>
    <row r="488" spans="1:9" x14ac:dyDescent="0.3">
      <c r="A488" s="88">
        <f t="shared" si="23"/>
        <v>480</v>
      </c>
      <c r="B488" s="89" t="str">
        <f>_xlfn.XLOOKUP(D488,Planilha!O:O,Planilha!C:C)</f>
        <v>02.03.11.15.17</v>
      </c>
      <c r="C488" s="90" t="str">
        <f>_xlfn.XLOOKUP($D488,Planilha!$O:$O,Planilha!F:F)</f>
        <v>TERMINAL DE PRESSÃO/COMPRESSÃO PARA CABO DE 240 MM²</v>
      </c>
      <c r="D488" s="91">
        <f>LARGE(Planilha!$O:$O,$A488)</f>
        <v>930.4</v>
      </c>
      <c r="E488" s="92">
        <f t="shared" si="21"/>
        <v>6.684576047378651E-5</v>
      </c>
      <c r="F488" s="93">
        <f t="shared" si="22"/>
        <v>0.98965359753138393</v>
      </c>
      <c r="I488" s="73" t="str">
        <v>CHAVE SECCIONADORA TRIPOLAR, ABERTURA SOB CARGA, COM FUSÍVEIS NH00 - 125A/500V</v>
      </c>
    </row>
    <row r="489" spans="1:9" x14ac:dyDescent="0.3">
      <c r="A489" s="88">
        <f t="shared" si="23"/>
        <v>481</v>
      </c>
      <c r="B489" s="89" t="str">
        <f>_xlfn.XLOOKUP(D489,Planilha!O:O,Planilha!C:C)</f>
        <v>02.03.01.04</v>
      </c>
      <c r="C489" s="90" t="str">
        <f>_xlfn.XLOOKUP($D489,Planilha!$O:$O,Planilha!F:F)</f>
        <v>SPOT BASIC EMBUTIR REF. GD221B WB /3000K, PHILIPS OU SIMILAR</v>
      </c>
      <c r="D489" s="91">
        <f>LARGE(Planilha!$O:$O,$A489)</f>
        <v>920.69</v>
      </c>
      <c r="E489" s="92">
        <f t="shared" si="21"/>
        <v>6.6148133287414557E-5</v>
      </c>
      <c r="F489" s="93">
        <f t="shared" si="22"/>
        <v>0.98971974566467136</v>
      </c>
      <c r="I489" s="73" t="str">
        <v>TE, PVC, SERIE NORMAL, ESGOTO PREDIAL, DN 50 X 50 MM, JUNTA ELÁSTICA, FORNECIDO E INSTALADO EM RAMAL DE DESCARGA OU RAMAL DE ESGOTO SANITÁRIO. AF_12/2014</v>
      </c>
    </row>
    <row r="490" spans="1:9" x14ac:dyDescent="0.3">
      <c r="A490" s="88">
        <f t="shared" si="23"/>
        <v>482</v>
      </c>
      <c r="B490" s="89" t="str">
        <f>_xlfn.XLOOKUP(D490,Planilha!O:O,Planilha!C:C)</f>
        <v>02.03.11.01.01</v>
      </c>
      <c r="C490" s="90" t="str">
        <f>_xlfn.XLOOKUP($D490,Planilha!$O:$O,Planilha!F:F)</f>
        <v>DISJUNTOR TRIPOLAR 250A</v>
      </c>
      <c r="D490" s="91">
        <f>LARGE(Planilha!$O:$O,$A490)</f>
        <v>917.82</v>
      </c>
      <c r="E490" s="92">
        <f t="shared" si="21"/>
        <v>6.5941934520690823E-5</v>
      </c>
      <c r="F490" s="93">
        <f t="shared" si="22"/>
        <v>0.98978568759919205</v>
      </c>
      <c r="I490" s="73" t="str">
        <v>JOELHO 90 GRAUS, PVC, SOLDÁVEL, DN 25MM, INSTALADO EM PRUMADA DE ÁGUA - FORNECIMENTO E INSTALAÇÃO. AF_12/2014</v>
      </c>
    </row>
    <row r="491" spans="1:9" x14ac:dyDescent="0.3">
      <c r="A491" s="88">
        <f t="shared" si="23"/>
        <v>483</v>
      </c>
      <c r="B491" s="89" t="str">
        <f>_xlfn.XLOOKUP(D491,Planilha!O:O,Planilha!C:C)</f>
        <v>02.03.11.01.01</v>
      </c>
      <c r="C491" s="90" t="str">
        <f>_xlfn.XLOOKUP($D491,Planilha!$O:$O,Planilha!F:F)</f>
        <v>DISJUNTOR TRIPOLAR 250A</v>
      </c>
      <c r="D491" s="91">
        <f>LARGE(Planilha!$O:$O,$A491)</f>
        <v>917.82</v>
      </c>
      <c r="E491" s="92">
        <f t="shared" si="21"/>
        <v>6.5941934520690823E-5</v>
      </c>
      <c r="F491" s="93">
        <f t="shared" si="22"/>
        <v>0.98985162953371275</v>
      </c>
      <c r="I491" s="73" t="str">
        <v>TÊ, PVC, SERIE R, ÁGUA PLUVIAL, DN 100 X 100 MM, JUNTA ELÁSTICA, FORNECIDO E INSTALADO EM CONDUTORES VERTICAIS DE ÁGUAS PLUVIAIS. AF_12/2014</v>
      </c>
    </row>
    <row r="492" spans="1:9" x14ac:dyDescent="0.3">
      <c r="A492" s="88">
        <f t="shared" si="23"/>
        <v>484</v>
      </c>
      <c r="B492" s="89" t="str">
        <f>_xlfn.XLOOKUP(D492,Planilha!O:O,Planilha!C:C)</f>
        <v>02.03.07.10</v>
      </c>
      <c r="C492" s="90" t="str">
        <f>_xlfn.XLOOKUP($D492,Planilha!$O:$O,Planilha!F:F)</f>
        <v>CABOS UTP 4 PARES CAT A</v>
      </c>
      <c r="D492" s="91">
        <f>LARGE(Planilha!$O:$O,$A492)</f>
        <v>916.2</v>
      </c>
      <c r="E492" s="92">
        <f t="shared" si="21"/>
        <v>6.5825543579195193E-5</v>
      </c>
      <c r="F492" s="93">
        <f t="shared" si="22"/>
        <v>0.9899174550772919</v>
      </c>
      <c r="I492" s="73" t="str">
        <v>SAIDA HORIZONTAL PARA ELETRODUTO 3/4""</v>
      </c>
    </row>
    <row r="493" spans="1:9" ht="33.6" x14ac:dyDescent="0.3">
      <c r="A493" s="88">
        <f t="shared" si="23"/>
        <v>485</v>
      </c>
      <c r="B493" s="89" t="str">
        <f>_xlfn.XLOOKUP(D493,Planilha!O:O,Planilha!C:C)</f>
        <v>02.04.04.01.11</v>
      </c>
      <c r="C493" s="90" t="str">
        <f>_xlfn.XLOOKUP($D493,Planilha!$O:$O,Planilha!F:F)</f>
        <v>FORNECIMENTO E ASSENTAMENTO DE UNIÃO DE FERRO GALVANIZADO ASSENTO BRONZE DE     3"</v>
      </c>
      <c r="D493" s="91">
        <f>LARGE(Planilha!$O:$O,$A493)</f>
        <v>910.82</v>
      </c>
      <c r="E493" s="92">
        <f t="shared" si="21"/>
        <v>6.5439010699413409E-5</v>
      </c>
      <c r="F493" s="93">
        <f t="shared" si="22"/>
        <v>0.98998289408799134</v>
      </c>
      <c r="I493" s="73" t="str">
        <v>MASTRO DE PARA-RAIOS 1.1/2""X3,0M</v>
      </c>
    </row>
    <row r="494" spans="1:9" x14ac:dyDescent="0.3">
      <c r="A494" s="88">
        <f t="shared" si="23"/>
        <v>486</v>
      </c>
      <c r="B494" s="89" t="str">
        <f>_xlfn.XLOOKUP(D494,Planilha!O:O,Planilha!C:C)</f>
        <v>02.03.11.05.11</v>
      </c>
      <c r="C494" s="90" t="str">
        <f>_xlfn.XLOOKUP($D494,Planilha!$O:$O,Planilha!F:F)</f>
        <v>DISPOSITIVO DIFERENCIAL RESIDUAL DE 25 A X 30 MA - 4 POLOS</v>
      </c>
      <c r="D494" s="91">
        <f>LARGE(Planilha!$O:$O,$A494)</f>
        <v>880.38</v>
      </c>
      <c r="E494" s="92">
        <f t="shared" si="21"/>
        <v>6.3252010539458476E-5</v>
      </c>
      <c r="F494" s="93">
        <f t="shared" si="22"/>
        <v>0.99004614609853081</v>
      </c>
      <c r="I494" s="73" t="str">
        <v>TÊ DE REDUÇÃO, PVC, SOLDÁVEL, DN 75 MM X 50 MM, INSTALADO EM RESERVAÇÃO DE ÁGUA DE EDIFICAÇÃO QUE POSSUA RESERVATÓRIO DE FIBRA/FIBROCIMENTO   FORNECIMENTO E INSTALAÇÃO. AF_06/2016</v>
      </c>
    </row>
    <row r="495" spans="1:9" x14ac:dyDescent="0.3">
      <c r="A495" s="88">
        <f t="shared" si="23"/>
        <v>487</v>
      </c>
      <c r="B495" s="89" t="str">
        <f>_xlfn.XLOOKUP(D495,Planilha!O:O,Planilha!C:C)</f>
        <v>02.03.11.05.11</v>
      </c>
      <c r="C495" s="90" t="str">
        <f>_xlfn.XLOOKUP($D495,Planilha!$O:$O,Planilha!F:F)</f>
        <v>DISPOSITIVO DIFERENCIAL RESIDUAL DE 25 A X 30 MA - 4 POLOS</v>
      </c>
      <c r="D495" s="91">
        <f>LARGE(Planilha!$O:$O,$A495)</f>
        <v>880.38</v>
      </c>
      <c r="E495" s="92">
        <f t="shared" si="21"/>
        <v>6.3252010539458476E-5</v>
      </c>
      <c r="F495" s="93">
        <f t="shared" si="22"/>
        <v>0.99010939810907028</v>
      </c>
      <c r="I495" s="73" t="str">
        <v>CPM.06.M - PAINEL EM CHAPA METÁLICA PERFURADA REDONDA EM AÇO INOX 304 - PERFURAÇÃO R8,00 EC11,00. ACABAMENTO EM PINTURA ELETROSTÁTICA COR RAL 7042 BRILHANTE. SUBESTRUTURA EM PERFIS DE AÇO INOX 304 E ACESSÓRIOS PARA FIXAÇÃO PINTADOS NA MESMA COR, PARAFUSOS SEM PINTURA.0,132 - 5,286m2</v>
      </c>
    </row>
    <row r="496" spans="1:9" ht="50.4" x14ac:dyDescent="0.3">
      <c r="A496" s="88">
        <f t="shared" si="23"/>
        <v>488</v>
      </c>
      <c r="B496" s="89" t="str">
        <f>_xlfn.XLOOKUP(D496,Planilha!O:O,Planilha!C:C)</f>
        <v>02.04.02.01.05</v>
      </c>
      <c r="C496" s="90" t="str">
        <f>_xlfn.XLOOKUP($D496,Planilha!$O:$O,Planilha!F:F)</f>
        <v>TUBO, PVC, SOLDÁVEL, DN 60 MM, INSTALADO EM RESERVAÇÃO DE ÁGUA DE EDIFICAÇÃO QUE POSSUA RESERVATÓRIO DE FIBRA/FIBROCIMENTO   FORNECIMENTO E INSTALAÇÃO. AF_06/2016</v>
      </c>
      <c r="D496" s="91">
        <f>LARGE(Planilha!$O:$O,$A496)</f>
        <v>860.86</v>
      </c>
      <c r="E496" s="92">
        <f t="shared" si="21"/>
        <v>6.1849571540696318E-5</v>
      </c>
      <c r="F496" s="93">
        <f t="shared" si="22"/>
        <v>0.99017124768061093</v>
      </c>
      <c r="I496" s="73" t="str">
        <v>LUVA DE EMENDA PARA ELETRODUTO, AÇO GALVANIZADO, DN 25 MM (1''), APARENTE, INSTALADA EM PAREDE - FORNECIMENTO E INSTALAÇÃO. AF_11/2016_P</v>
      </c>
    </row>
    <row r="497" spans="1:9" ht="33.6" x14ac:dyDescent="0.3">
      <c r="A497" s="88">
        <f t="shared" si="23"/>
        <v>489</v>
      </c>
      <c r="B497" s="89" t="str">
        <f>_xlfn.XLOOKUP(D497,Planilha!O:O,Planilha!C:C)</f>
        <v>02.04.02.03.09</v>
      </c>
      <c r="C497" s="90" t="str">
        <f>_xlfn.XLOOKUP($D497,Planilha!$O:$O,Planilha!F:F)</f>
        <v>VÁLVULA DE ESFERA BRUTA, BRONZE, ROSCÁVEL, 1 1/2'' - FORNECIMENTO E INSTALAÇÃO. AF_08/2021</v>
      </c>
      <c r="D497" s="91">
        <f>LARGE(Planilha!$O:$O,$A497)</f>
        <v>857.08</v>
      </c>
      <c r="E497" s="92">
        <f t="shared" si="21"/>
        <v>6.1577992677206518E-5</v>
      </c>
      <c r="F497" s="93">
        <f t="shared" si="22"/>
        <v>0.99023282567328819</v>
      </c>
      <c r="I497" s="73" t="str">
        <v>JOELHO 90 GRAUS, PVC, SOLDÁVEL, DN 85MM, INSTALADO EM PRUMADA DE ÁGUA - FORNECIMENTO E INSTALAÇÃO. AF_12/2014</v>
      </c>
    </row>
    <row r="498" spans="1:9" ht="50.4" x14ac:dyDescent="0.3">
      <c r="A498" s="88">
        <f t="shared" si="23"/>
        <v>490</v>
      </c>
      <c r="B498" s="89" t="str">
        <f>_xlfn.XLOOKUP(D498,Planilha!O:O,Planilha!C:C)</f>
        <v>02.04.01.01.07</v>
      </c>
      <c r="C498" s="90" t="str">
        <f>_xlfn.XLOOKUP($D498,Planilha!$O:$O,Planilha!F:F)</f>
        <v>JOELHO 90 GRAUS, PVC, SERIE R, ÁGUA PLUVIAL, DN 75 MM, JUNTA ELÁSTICA, FORNECIDO E INSTALADO EM CONDUTORES VERTICAIS DE ÁGUAS PLUVIAIS. AF_12/2014</v>
      </c>
      <c r="D498" s="91">
        <f>LARGE(Planilha!$O:$O,$A498)</f>
        <v>848.98</v>
      </c>
      <c r="E498" s="92">
        <f t="shared" si="21"/>
        <v>6.0996037969728365E-5</v>
      </c>
      <c r="F498" s="93">
        <f t="shared" si="22"/>
        <v>0.9902938217112579</v>
      </c>
      <c r="I498" s="73" t="str">
        <v>CPM.06.B - PAINEL EM CHAPA METÁLICA PERFURADA REDONDA EM AÇO INOX 304 - PERFURAÇÃO R8,00 EC11,00. ACABAMENTO EM PINTURA ELETROSTÁTICA COR RAL 7042 BRILHANTE. SUBESTRUTURA EM PERFIS DE AÇO INOX 304 E ACESSÓRIOS PARA FIXAÇÃO PINTADOS NA MESMA COR, PARAFUSOS SEM PINTURA.0,132 - 5,286m2</v>
      </c>
    </row>
    <row r="499" spans="1:9" ht="33.6" x14ac:dyDescent="0.3">
      <c r="A499" s="88">
        <f t="shared" si="23"/>
        <v>491</v>
      </c>
      <c r="B499" s="89" t="str">
        <f>_xlfn.XLOOKUP(D499,Planilha!O:O,Planilha!C:C)</f>
        <v>02.01.06.03</v>
      </c>
      <c r="C499" s="90" t="str">
        <f>_xlfn.XLOOKUP($D499,Planilha!$O:$O,Planilha!F:F)</f>
        <v>ANCORAGEM ATIVA PARA CABO COM 4 CORDOALHAS DE DIÂMETRO NOMINAL DE 12,7 MM. AF_08/2022</v>
      </c>
      <c r="D499" s="91">
        <f>LARGE(Planilha!$O:$O,$A499)</f>
        <v>835.6</v>
      </c>
      <c r="E499" s="92">
        <f t="shared" si="21"/>
        <v>6.0034735008486686E-5</v>
      </c>
      <c r="F499" s="93">
        <f t="shared" si="22"/>
        <v>0.99035385644626639</v>
      </c>
      <c r="I499" s="73" t="str">
        <v>JOELHO 87° 30´ EM FERRO FUNDIDO, LINHA PREDIAL TRADICIONAL, DN= 100 MM</v>
      </c>
    </row>
    <row r="500" spans="1:9" x14ac:dyDescent="0.3">
      <c r="A500" s="88">
        <f t="shared" si="23"/>
        <v>492</v>
      </c>
      <c r="B500" s="89" t="str">
        <f>_xlfn.XLOOKUP(D500,Planilha!O:O,Planilha!C:C)</f>
        <v>02.04.03.01.07</v>
      </c>
      <c r="C500" s="90" t="str">
        <f>_xlfn.XLOOKUP($D500,Planilha!$O:$O,Planilha!F:F)</f>
        <v>ANEL BORRACHA TUBO PVC 75MM</v>
      </c>
      <c r="D500" s="91">
        <f>LARGE(Planilha!$O:$O,$A500)</f>
        <v>831.2</v>
      </c>
      <c r="E500" s="92">
        <f t="shared" si="21"/>
        <v>5.9718611463683736E-5</v>
      </c>
      <c r="F500" s="93">
        <f t="shared" si="22"/>
        <v>0.99041357505773009</v>
      </c>
      <c r="I500" s="73" t="str">
        <v>TORNEIRA DE ESFERA 3/4"</v>
      </c>
    </row>
    <row r="501" spans="1:9" x14ac:dyDescent="0.3">
      <c r="A501" s="88">
        <f t="shared" si="23"/>
        <v>493</v>
      </c>
      <c r="B501" s="89" t="str">
        <f>_xlfn.XLOOKUP(D501,Planilha!O:O,Planilha!C:C)</f>
        <v>02.03.11.14.15</v>
      </c>
      <c r="C501" s="90" t="str">
        <f>_xlfn.XLOOKUP($D501,Planilha!$O:$O,Planilha!F:F)</f>
        <v>BORNE TERMINAL SAK 4 MM2</v>
      </c>
      <c r="D501" s="91">
        <f>LARGE(Planilha!$O:$O,$A501)</f>
        <v>831.16</v>
      </c>
      <c r="E501" s="92">
        <f t="shared" si="21"/>
        <v>5.9715737613276434E-5</v>
      </c>
      <c r="F501" s="93">
        <f t="shared" si="22"/>
        <v>0.99047329079534341</v>
      </c>
      <c r="I501" s="73" t="str">
        <v>DISPENSER PARA PROTETOR DE ASSENTO REF. 70610, MELHORAMENTOS OU SIMILAR</v>
      </c>
    </row>
    <row r="502" spans="1:9" ht="33.6" x14ac:dyDescent="0.3">
      <c r="A502" s="88">
        <f t="shared" si="23"/>
        <v>494</v>
      </c>
      <c r="B502" s="89" t="str">
        <f>_xlfn.XLOOKUP(D502,Planilha!O:O,Planilha!C:C)</f>
        <v>02.04.02.03.12</v>
      </c>
      <c r="C502" s="90" t="str">
        <f>_xlfn.XLOOKUP($D502,Planilha!$O:$O,Planilha!F:F)</f>
        <v>VÁLVULA DE RETENÇÃO HORIZONTAL, DE BRONZE, ROSCÁVEL, 1 1/2"  - FORNECIMENTO E INSTALAÇÃO. AF_08/2021</v>
      </c>
      <c r="D502" s="91">
        <f>LARGE(Planilha!$O:$O,$A502)</f>
        <v>829.52</v>
      </c>
      <c r="E502" s="92">
        <f t="shared" si="21"/>
        <v>5.9597909746577156E-5</v>
      </c>
      <c r="F502" s="93">
        <f t="shared" si="22"/>
        <v>0.99053288870508993</v>
      </c>
      <c r="I502" s="73" t="str">
        <v>JOELHO 90 GRAUS, PVC, SOLDÁVEL, DN 32MM, INSTALADO EM RAMAL DE DISTRIBUIÇÃO DE ÁGUA - FORNECIMENTO E INSTALAÇÃO. AF_12/2014</v>
      </c>
    </row>
    <row r="503" spans="1:9" ht="33.6" x14ac:dyDescent="0.3">
      <c r="A503" s="88">
        <f t="shared" si="23"/>
        <v>495</v>
      </c>
      <c r="B503" s="89" t="str">
        <f>_xlfn.XLOOKUP(D503,Planilha!O:O,Planilha!C:C)</f>
        <v>02.01.04.04</v>
      </c>
      <c r="C503" s="90" t="str">
        <f>_xlfn.XLOOKUP($D503,Planilha!$O:$O,Planilha!F:F)</f>
        <v>ARMAÇÃO DE BLOCO, VIGA BALDRAME OU SAPATA UTILIZANDO AÇO CA-50 DE 8 MM - MONTAGEM. AF_06/2017</v>
      </c>
      <c r="D503" s="91">
        <f>LARGE(Planilha!$O:$O,$A503)</f>
        <v>828.18</v>
      </c>
      <c r="E503" s="92">
        <f t="shared" si="21"/>
        <v>5.9501635757932619E-5</v>
      </c>
      <c r="F503" s="93">
        <f t="shared" si="22"/>
        <v>0.99059239034084789</v>
      </c>
      <c r="I503" s="73" t="str">
        <v>CAIXA DE PASSAGEM EM ALUMÍNIO FUNDIDO À PROVA DE TEMPO, 200 X 200 MM</v>
      </c>
    </row>
    <row r="504" spans="1:9" ht="50.4" x14ac:dyDescent="0.3">
      <c r="A504" s="88">
        <f t="shared" si="23"/>
        <v>496</v>
      </c>
      <c r="B504" s="89" t="str">
        <f>_xlfn.XLOOKUP(D504,Planilha!O:O,Planilha!C:C)</f>
        <v>02.02.01.05</v>
      </c>
      <c r="C504" s="90" t="str">
        <f>_xlfn.XLOOKUP($D504,Planilha!$O:$O,Planilha!F:F)</f>
        <v>DW.01 - PAREDE COM PLACAS DE GESSO ACARTONADO (DRYWALL), PARA USO INTERNO, ESPESSURA TOTAL 95MM COM DUAS FACES SIMPLES E ESTRUTURA METÁLICA COM GUIA SIMPLES 70MM.</v>
      </c>
      <c r="D504" s="91">
        <f>LARGE(Planilha!$O:$O,$A504)</f>
        <v>824.08</v>
      </c>
      <c r="E504" s="92">
        <f t="shared" si="21"/>
        <v>5.920706609118443E-5</v>
      </c>
      <c r="F504" s="93">
        <f t="shared" si="22"/>
        <v>0.99065159740693909</v>
      </c>
      <c r="I504" s="73" t="str">
        <v>TERMINAL DE PRESSÃO/COMPRESSÃO PARA CABO DE 6 ATÉ 10 MM²</v>
      </c>
    </row>
    <row r="505" spans="1:9" ht="33.6" x14ac:dyDescent="0.3">
      <c r="A505" s="88">
        <f t="shared" si="23"/>
        <v>497</v>
      </c>
      <c r="B505" s="89" t="str">
        <f>_xlfn.XLOOKUP(D505,Planilha!O:O,Planilha!C:C)</f>
        <v>02.04.04.05.02</v>
      </c>
      <c r="C505" s="90" t="str">
        <f>_xlfn.XLOOKUP($D505,Planilha!$O:$O,Planilha!F:F)</f>
        <v>EXTINTOR MANUAL DE ÁGUA PRESSURIZADA - CAPACIDADE DE 10 LITROS</v>
      </c>
      <c r="D505" s="91">
        <f>LARGE(Planilha!$O:$O,$A505)</f>
        <v>817.96</v>
      </c>
      <c r="E505" s="92">
        <f t="shared" si="21"/>
        <v>5.8767366978867604E-5</v>
      </c>
      <c r="F505" s="93">
        <f t="shared" si="22"/>
        <v>0.99071036477391794</v>
      </c>
      <c r="I505" s="73" t="str">
        <v>RELÉ DE TEMPO 7PU20</v>
      </c>
    </row>
    <row r="506" spans="1:9" ht="50.4" x14ac:dyDescent="0.3">
      <c r="A506" s="88">
        <f t="shared" si="23"/>
        <v>498</v>
      </c>
      <c r="B506" s="89" t="str">
        <f>_xlfn.XLOOKUP(D506,Planilha!O:O,Planilha!C:C)</f>
        <v>02.04.03.07.01</v>
      </c>
      <c r="C506" s="90" t="str">
        <f>_xlfn.XLOOKUP($D506,Planilha!$O:$O,Planilha!F:F)</f>
        <v>ESCAVAÇÃO MANUAL PARA BLOCO DE COROAMENTO OU SAPATA (INCLUINDO ESCAVAÇÃO PARA COLOCAÇÃO DE FÔRMAS). AF_06/2017</v>
      </c>
      <c r="D506" s="91">
        <f>LARGE(Planilha!$O:$O,$A506)</f>
        <v>812.11</v>
      </c>
      <c r="E506" s="92">
        <f t="shared" si="21"/>
        <v>5.8347066356800048E-5</v>
      </c>
      <c r="F506" s="93">
        <f t="shared" si="22"/>
        <v>0.99076871184027471</v>
      </c>
      <c r="I506" s="73" t="str">
        <v>ACIONADOR MANUAL DE ALARME CONTRA INCENDIO</v>
      </c>
    </row>
    <row r="507" spans="1:9" ht="50.4" x14ac:dyDescent="0.3">
      <c r="A507" s="88">
        <f t="shared" si="23"/>
        <v>499</v>
      </c>
      <c r="B507" s="89" t="str">
        <f>_xlfn.XLOOKUP(D507,Planilha!O:O,Planilha!C:C)</f>
        <v>02.04.03.01.30</v>
      </c>
      <c r="C507" s="90" t="str">
        <f>_xlfn.XLOOKUP($D507,Planilha!$O:$O,Planilha!F:F)</f>
        <v>LUVA SIMPLES, PVC, SERIE NORMAL, ESGOTO PREDIAL, DN 100 MM, JUNTA ELÁSTICA, FORNECIDO E INSTALADO EM SUBCOLETOR AÉREO DE ESGOTO SANITÁRIO. AF_12/2014</v>
      </c>
      <c r="D507" s="91">
        <f>LARGE(Planilha!$O:$O,$A507)</f>
        <v>811.27</v>
      </c>
      <c r="E507" s="92">
        <f t="shared" si="21"/>
        <v>5.8286715498246755E-5</v>
      </c>
      <c r="F507" s="93">
        <f t="shared" si="22"/>
        <v>0.99082699855577294</v>
      </c>
      <c r="I507" s="73" t="str">
        <v>DISJUNTOR TRIPOLAR TIPO NEMA, CORRENTE NOMINAL DE 60 ATÉ 100A - FORNECIMENTO E INSTALAÇÃO. AF_10/2020</v>
      </c>
    </row>
    <row r="508" spans="1:9" ht="33.6" x14ac:dyDescent="0.3">
      <c r="A508" s="88">
        <f t="shared" si="23"/>
        <v>500</v>
      </c>
      <c r="B508" s="89" t="str">
        <f>_xlfn.XLOOKUP(D508,Planilha!O:O,Planilha!C:C)</f>
        <v>02.04.01.05.06</v>
      </c>
      <c r="C508" s="90" t="str">
        <f>_xlfn.XLOOKUP($D508,Planilha!$O:$O,Planilha!F:F)</f>
        <v>TAMPÃO EM FERRO FUNDIDO DE 800 X 800 MM, CLASSE B 125 (RUPTURA &gt; 125 KN)</v>
      </c>
      <c r="D508" s="91">
        <f>LARGE(Planilha!$O:$O,$A508)</f>
        <v>804.53</v>
      </c>
      <c r="E508" s="92">
        <f t="shared" si="21"/>
        <v>5.7802471704616786E-5</v>
      </c>
      <c r="F508" s="93">
        <f t="shared" si="22"/>
        <v>0.99088480102747756</v>
      </c>
      <c r="I508" s="73" t="str">
        <v>REGISTRO DE GAVETA BRUTO, LATÃO, ROSCÁVEL, 2 1/2" - FORNECIMENTO E INSTALAÇÃO. AF_08/2021</v>
      </c>
    </row>
    <row r="509" spans="1:9" x14ac:dyDescent="0.3">
      <c r="A509" s="88">
        <f t="shared" si="23"/>
        <v>501</v>
      </c>
      <c r="B509" s="89" t="str">
        <f>_xlfn.XLOOKUP(D509,Planilha!O:O,Planilha!C:C)</f>
        <v>02.05.01.15</v>
      </c>
      <c r="C509" s="90" t="str">
        <f>_xlfn.XLOOKUP($D509,Planilha!$O:$O,Planilha!F:F)</f>
        <v>TE REDUCAO COBRE 22X15MM</v>
      </c>
      <c r="D509" s="91">
        <f>LARGE(Planilha!$O:$O,$A509)</f>
        <v>787.6</v>
      </c>
      <c r="E509" s="92">
        <f t="shared" si="21"/>
        <v>5.6586114519727275E-5</v>
      </c>
      <c r="F509" s="93">
        <f t="shared" si="22"/>
        <v>0.99094138714199731</v>
      </c>
      <c r="I509" s="73" t="str">
        <v>TUBO DE PVC PARA REDE COLETORA DE ESGOTO DE PAREDE MACIÇA, DN 200 MM, JUNTA ELÁSTICA - FORNECIMENTO E ASSENTAMENTO. AF_01/2021</v>
      </c>
    </row>
    <row r="510" spans="1:9" ht="50.4" x14ac:dyDescent="0.3">
      <c r="A510" s="88">
        <f t="shared" si="23"/>
        <v>502</v>
      </c>
      <c r="B510" s="89" t="str">
        <f>_xlfn.XLOOKUP(D510,Planilha!O:O,Planilha!C:C)</f>
        <v>02.02.17.20</v>
      </c>
      <c r="C510" s="90" t="str">
        <f>_xlfn.XLOOKUP($D510,Planilha!$O:$O,Planilha!F:F)</f>
        <v>SALA FRANTZ - ARMARIO SUPERIOR MEDINDO 450X300X900MM PROVIDO DE UMA PORTA A ESQUERDA E TRES NIVEIS DE
APOIO.</v>
      </c>
      <c r="D510" s="91">
        <f>LARGE(Planilha!$O:$O,$A510)</f>
        <v>785.37</v>
      </c>
      <c r="E510" s="92">
        <f t="shared" si="21"/>
        <v>5.6425897359520325E-5</v>
      </c>
      <c r="F510" s="93">
        <f t="shared" si="22"/>
        <v>0.99099781303935686</v>
      </c>
      <c r="I510" s="73" t="str">
        <v>KIT CAVALETE PARA MEDIÇÃO DE ÁGUA - ENTRADA PRINCIPAL, EM AÇO GALVANIZADO DN 25 (1 )   FORNECIMENTO E INSTALAÇÃO (EXCLUSIVE HIDRÔMETRO). AF_11/2016</v>
      </c>
    </row>
    <row r="511" spans="1:9" ht="33.6" x14ac:dyDescent="0.3">
      <c r="A511" s="88">
        <f t="shared" si="23"/>
        <v>503</v>
      </c>
      <c r="B511" s="89" t="str">
        <f>_xlfn.XLOOKUP(D511,Planilha!O:O,Planilha!C:C)</f>
        <v>02.03.11.07.05</v>
      </c>
      <c r="C511" s="90" t="str">
        <f>_xlfn.XLOOKUP($D511,Planilha!$O:$O,Planilha!F:F)</f>
        <v>DISJUNTOR BIPOLAR TIPO DIN, CORRENTE NOMINAL DE 16A - FORNECIMENTO E INSTALAÇÃO. AF_10/2020</v>
      </c>
      <c r="D511" s="91">
        <f>LARGE(Planilha!$O:$O,$A511)</f>
        <v>775.95</v>
      </c>
      <c r="E511" s="92">
        <f t="shared" si="21"/>
        <v>5.5749105588601296E-5</v>
      </c>
      <c r="F511" s="93">
        <f t="shared" si="22"/>
        <v>0.99105356214494544</v>
      </c>
      <c r="I511" s="73" t="str">
        <v>SAIDA HORIZONTAL PARA ELETRODUTO 1""</v>
      </c>
    </row>
    <row r="512" spans="1:9" ht="50.4" x14ac:dyDescent="0.3">
      <c r="A512" s="88">
        <f t="shared" si="23"/>
        <v>504</v>
      </c>
      <c r="B512" s="89" t="str">
        <f>_xlfn.XLOOKUP(D512,Planilha!O:O,Planilha!C:C)</f>
        <v>02.03.09.26</v>
      </c>
      <c r="C512" s="90" t="str">
        <f>_xlfn.XLOOKUP($D512,Planilha!$O:$O,Planilha!F:F)</f>
        <v>CONDULETE DE ALUMÍNIO, TIPO T, PARA ELETRODUTO DE AÇO GALVANIZADO DN 25 MM (1''), APARENTE - FORNECIMENTO E INSTALAÇÃO. AF_11/2016_P</v>
      </c>
      <c r="D512" s="91">
        <f>LARGE(Planilha!$O:$O,$A512)</f>
        <v>775.5</v>
      </c>
      <c r="E512" s="92">
        <f t="shared" si="21"/>
        <v>5.5716774771519171E-5</v>
      </c>
      <c r="F512" s="93">
        <f t="shared" si="22"/>
        <v>0.99110927891971701</v>
      </c>
      <c r="I512" s="73" t="str">
        <v>CABIDE EM AÇO INOX, DECA 2060 C40, ACABAMENTO CROMADO OU SIMILAR</v>
      </c>
    </row>
    <row r="513" spans="1:9" x14ac:dyDescent="0.3">
      <c r="A513" s="88">
        <f t="shared" si="23"/>
        <v>505</v>
      </c>
      <c r="B513" s="89" t="str">
        <f>_xlfn.XLOOKUP(D513,Planilha!O:O,Planilha!C:C)</f>
        <v>02.04.01.04.03</v>
      </c>
      <c r="C513" s="90" t="str">
        <f>_xlfn.XLOOKUP($D513,Planilha!$O:$O,Planilha!F:F)</f>
        <v>UNIAO PVC SOLDAVEL 110MM</v>
      </c>
      <c r="D513" s="91">
        <f>LARGE(Planilha!$O:$O,$A513)</f>
        <v>771.81</v>
      </c>
      <c r="E513" s="92">
        <f t="shared" si="21"/>
        <v>5.5451662071445792E-5</v>
      </c>
      <c r="F513" s="93">
        <f t="shared" si="22"/>
        <v>0.99116473058178844</v>
      </c>
      <c r="I513" s="73" t="str">
        <v>CREA- ART DE EXECUÇÃO</v>
      </c>
    </row>
    <row r="514" spans="1:9" ht="50.4" x14ac:dyDescent="0.3">
      <c r="A514" s="88">
        <f t="shared" si="23"/>
        <v>506</v>
      </c>
      <c r="B514" s="89" t="str">
        <f>_xlfn.XLOOKUP(D514,Planilha!O:O,Planilha!C:C)</f>
        <v>02.03.09.30</v>
      </c>
      <c r="C514" s="90" t="str">
        <f>_xlfn.XLOOKUP($D514,Planilha!$O:$O,Planilha!F:F)</f>
        <v>ELETRODUTO DE AÇO GALVANIZADO, CLASSE LEVE, DN 20 MM (3/4), APARENTE, INSTALADO EM TETO - FORNECIMENTO E INSTALAÇÃO. AF_11/2016_P</v>
      </c>
      <c r="D514" s="91">
        <f>LARGE(Planilha!$O:$O,$A514)</f>
        <v>771.36</v>
      </c>
      <c r="E514" s="92">
        <f t="shared" si="21"/>
        <v>5.5419331254363673E-5</v>
      </c>
      <c r="F514" s="93">
        <f t="shared" si="22"/>
        <v>0.99122014991304286</v>
      </c>
      <c r="I514" s="73" t="str">
        <v>DISJUNTOR BIPOLAR DR 40 A  - DISPOSITIVO RESIDUAL DIFERENCIAL, TIPO AC, 30MA, REF.5SM1 314-OMB, SIEMENS OU SIMILAR</v>
      </c>
    </row>
    <row r="515" spans="1:9" ht="33.6" x14ac:dyDescent="0.3">
      <c r="A515" s="88">
        <f t="shared" si="23"/>
        <v>507</v>
      </c>
      <c r="B515" s="89" t="str">
        <f>_xlfn.XLOOKUP(D515,Planilha!O:O,Planilha!C:C)</f>
        <v>01.05.06</v>
      </c>
      <c r="C515" s="90" t="str">
        <f>_xlfn.XLOOKUP($D515,Planilha!$O:$O,Planilha!F:F)</f>
        <v>REMOÇÃO DE LOUÇAS, DE FORMA MANUAL, SEM REAPROVEITAMENTO. AF_12/2017</v>
      </c>
      <c r="D515" s="91">
        <f>LARGE(Planilha!$O:$O,$A515)</f>
        <v>771.2</v>
      </c>
      <c r="E515" s="92">
        <f t="shared" si="21"/>
        <v>5.5407835852734479E-5</v>
      </c>
      <c r="F515" s="93">
        <f t="shared" si="22"/>
        <v>0.99127555774889564</v>
      </c>
      <c r="I515" s="73" t="str">
        <v>DISPENSER PARA SAQUINHOS MELBAG REF.: 70780, MELHORAMENTOS OU SIMILAR</v>
      </c>
    </row>
    <row r="516" spans="1:9" x14ac:dyDescent="0.3">
      <c r="A516" s="88">
        <f t="shared" si="23"/>
        <v>508</v>
      </c>
      <c r="B516" s="89" t="str">
        <f>_xlfn.XLOOKUP(D516,Planilha!O:O,Planilha!C:C)</f>
        <v>02.04.01.04.07</v>
      </c>
      <c r="C516" s="90" t="str">
        <f>_xlfn.XLOOKUP($D516,Planilha!$O:$O,Planilha!F:F)</f>
        <v>TAMPAO FERRO FUNDIDO Ø 60CM</v>
      </c>
      <c r="D516" s="91">
        <f>LARGE(Planilha!$O:$O,$A516)</f>
        <v>769</v>
      </c>
      <c r="E516" s="92">
        <f t="shared" si="21"/>
        <v>5.5249774080333001E-5</v>
      </c>
      <c r="F516" s="93">
        <f t="shared" si="22"/>
        <v>0.99133080752297598</v>
      </c>
      <c r="I516" s="73" t="str">
        <v>CAP DE PVC RÍGIDO SOLDAVEL P/ ESGOTO, DIÂM =100MM</v>
      </c>
    </row>
    <row r="517" spans="1:9" x14ac:dyDescent="0.3">
      <c r="A517" s="88">
        <f t="shared" si="23"/>
        <v>509</v>
      </c>
      <c r="B517" s="89" t="str">
        <f>_xlfn.XLOOKUP(D517,Planilha!O:O,Planilha!C:C)</f>
        <v>02.01.06.07</v>
      </c>
      <c r="C517" s="90" t="str">
        <f>_xlfn.XLOOKUP($D517,Planilha!$O:$O,Planilha!F:F)</f>
        <v>CHUMBADOR TIRANTE ACO CA-50 5/8""</v>
      </c>
      <c r="D517" s="91">
        <f>LARGE(Planilha!$O:$O,$A517)</f>
        <v>767.2</v>
      </c>
      <c r="E517" s="92">
        <f t="shared" si="21"/>
        <v>5.5120450812004528E-5</v>
      </c>
      <c r="F517" s="93">
        <f t="shared" si="22"/>
        <v>0.99138592797378799</v>
      </c>
      <c r="I517" s="73" t="str">
        <v>LUVA SIMPLES, PVC, SERIE NORMAL, ESGOTO PREDIAL, DN 75 MM, JUNTA ELÁSTICA, FORNECIDO E INSTALADO EM RAMAL DE DESCARGA OU RAMAL DE ESGOTO SANITÁRIO. AF_12/2014</v>
      </c>
    </row>
    <row r="518" spans="1:9" ht="50.4" x14ac:dyDescent="0.3">
      <c r="A518" s="88">
        <f t="shared" si="23"/>
        <v>510</v>
      </c>
      <c r="B518" s="89" t="str">
        <f>_xlfn.XLOOKUP(D518,Planilha!O:O,Planilha!C:C)</f>
        <v>02.01.07.04.06</v>
      </c>
      <c r="C518" s="90" t="str">
        <f>_xlfn.XLOOKUP($D518,Planilha!$O:$O,Planilha!F:F)</f>
        <v>TRANSPORTE COM CAMINHÃO BASCULANTE DE 10 M³, EM VIA URBANA PAVIMENTADA, ADICIONAL PARA DMT EXCEDENTE A 30 KM (UNIDADE: M3XKM). AF_07/2020</v>
      </c>
      <c r="D518" s="91">
        <f>LARGE(Planilha!$O:$O,$A518)</f>
        <v>759.81</v>
      </c>
      <c r="E518" s="92">
        <f t="shared" si="21"/>
        <v>5.4589506949255939E-5</v>
      </c>
      <c r="F518" s="93">
        <f t="shared" si="22"/>
        <v>0.99144051748073725</v>
      </c>
      <c r="I518" s="73" t="str">
        <v>CHAVE SECCIONADORA TRIPOLAR, ABERTURA SOB CARGA, COM FUSÍVEIS NH - 100A/250V - FORNECIMENTO E INSTALACAO</v>
      </c>
    </row>
    <row r="519" spans="1:9" ht="50.4" x14ac:dyDescent="0.3">
      <c r="A519" s="88">
        <f t="shared" si="23"/>
        <v>511</v>
      </c>
      <c r="B519" s="89" t="str">
        <f>_xlfn.XLOOKUP(D519,Planilha!O:O,Planilha!C:C)</f>
        <v>02.02.13.02</v>
      </c>
      <c r="C519" s="90" t="str">
        <f>_xlfn.XLOOKUP($D519,Planilha!$O:$O,Planilha!F:F)</f>
        <v>BAN.14 - BANCADA DE GRANITO CINZA ANDORINHA ESP. 3CM 1,10X0,50M, SAIA ESP. 2CM H=5CM, FRONTISPÍCIO ESP 2CM H =10CM COM FURAÇÃO PARA CUBA E TORNEIRA</v>
      </c>
      <c r="D519" s="91">
        <f>LARGE(Planilha!$O:$O,$A519)</f>
        <v>758.07</v>
      </c>
      <c r="E519" s="92">
        <f t="shared" si="21"/>
        <v>5.4464494456538416E-5</v>
      </c>
      <c r="F519" s="93">
        <f t="shared" si="22"/>
        <v>0.99149498197519381</v>
      </c>
      <c r="I519" s="73" t="str">
        <v>CONDULETE ALUMINIO ""L"" 2"" COM TAMPA</v>
      </c>
    </row>
    <row r="520" spans="1:9" ht="50.4" x14ac:dyDescent="0.3">
      <c r="A520" s="88">
        <f t="shared" si="23"/>
        <v>512</v>
      </c>
      <c r="B520" s="89" t="str">
        <f>_xlfn.XLOOKUP(D520,Planilha!O:O,Planilha!C:C)</f>
        <v>02.03.09.18</v>
      </c>
      <c r="C520" s="90" t="str">
        <f>_xlfn.XLOOKUP($D520,Planilha!$O:$O,Planilha!F:F)</f>
        <v>CURVA 90 GRAUS, EM AÇO, CONEXÃO SOLDADA, DN 20 (3/4"), INSTALADO EM RAMAIS E SUB-RAMAIS DE GÁS - FORNECIMENTO E INSTALAÇÃO. AF_10/2020</v>
      </c>
      <c r="D520" s="91">
        <f>LARGE(Planilha!$O:$O,$A520)</f>
        <v>750</v>
      </c>
      <c r="E520" s="92">
        <f t="shared" si="21"/>
        <v>5.3884695136865741E-5</v>
      </c>
      <c r="F520" s="93">
        <f t="shared" si="22"/>
        <v>0.99154886667033071</v>
      </c>
      <c r="I520" s="73" t="str">
        <v>CAIXA DE PASSAGEM CHAPA TAMPA PARAFUSADA DE 40X40X15 CM</v>
      </c>
    </row>
    <row r="521" spans="1:9" ht="33.6" x14ac:dyDescent="0.3">
      <c r="A521" s="88">
        <f t="shared" si="23"/>
        <v>513</v>
      </c>
      <c r="B521" s="89" t="str">
        <f>_xlfn.XLOOKUP(D521,Planilha!O:O,Planilha!C:C)</f>
        <v>02.03.04.01</v>
      </c>
      <c r="C521" s="90" t="str">
        <f>_xlfn.XLOOKUP($D521,Planilha!$O:$O,Planilha!F:F)</f>
        <v>ELETRODUTO DE AÇO GALVANIZADO MÉDIO, INCLUSIVE CONEXÕES, SUPORTES E FIXAÇÃO DN 100 (4")</v>
      </c>
      <c r="D521" s="91">
        <f>LARGE(Planilha!$O:$O,$A521)</f>
        <v>745.32</v>
      </c>
      <c r="E521" s="92">
        <f t="shared" ref="E521:E584" si="24">D521/$D$933</f>
        <v>5.3548454639211697E-5</v>
      </c>
      <c r="F521" s="93">
        <f t="shared" ref="F521:F584" si="25">+E521+F520</f>
        <v>0.99160241512496994</v>
      </c>
      <c r="I521" s="73" t="str">
        <v>CHUVEIRO ELETRICO/ DUCHA FASHION BRANCA - LORENZETTI</v>
      </c>
    </row>
    <row r="522" spans="1:9" ht="50.4" x14ac:dyDescent="0.3">
      <c r="A522" s="88">
        <f t="shared" si="23"/>
        <v>514</v>
      </c>
      <c r="B522" s="89" t="str">
        <f>_xlfn.XLOOKUP(D522,Planilha!O:O,Planilha!C:C)</f>
        <v>02.03.11.14.12</v>
      </c>
      <c r="C522" s="90" t="str">
        <f>_xlfn.XLOOKUP($D522,Planilha!$O:$O,Planilha!F:F)</f>
        <v>CAIXA RETANGULAR 4" X 2" BAIXA (0,30 M DO PISO), PVC, INSTALADA EM PAREDE - FORNECIMENTO E INSTALAÇÃO. AF_12/2015</v>
      </c>
      <c r="D522" s="91">
        <f>LARGE(Planilha!$O:$O,$A522)</f>
        <v>738.45</v>
      </c>
      <c r="E522" s="92">
        <f t="shared" si="24"/>
        <v>5.3054870831758006E-5</v>
      </c>
      <c r="F522" s="93">
        <f t="shared" si="25"/>
        <v>0.99165546999580167</v>
      </c>
      <c r="I522" s="73" t="str">
        <v>CAIXA DE TOMADA EM ALUMÍNIO PARA PISO 4´ X 4´</v>
      </c>
    </row>
    <row r="523" spans="1:9" ht="50.4" x14ac:dyDescent="0.3">
      <c r="A523" s="88">
        <f t="shared" ref="A523:A586" si="26">+A522+1</f>
        <v>515</v>
      </c>
      <c r="B523" s="89" t="str">
        <f>_xlfn.XLOOKUP(D523,Planilha!O:O,Planilha!C:C)</f>
        <v>02.04.01.01.11</v>
      </c>
      <c r="C523" s="90" t="str">
        <f>_xlfn.XLOOKUP($D523,Planilha!$O:$O,Planilha!F:F)</f>
        <v>JOELHO 45 GRAUS, PVC, SERIE R, ÁGUA PLUVIAL, DN 100 MM, JUNTA ELÁSTICA, FORNECIDO E INSTALADO EM CONDUTORES VERTICAIS DE ÁGUAS PLUVIAIS. AF_12/2014</v>
      </c>
      <c r="D523" s="91">
        <f>LARGE(Planilha!$O:$O,$A523)</f>
        <v>737.52</v>
      </c>
      <c r="E523" s="92">
        <f t="shared" si="24"/>
        <v>5.2988053809788292E-5</v>
      </c>
      <c r="F523" s="93">
        <f t="shared" si="25"/>
        <v>0.9917084580496115</v>
      </c>
      <c r="I523" s="73" t="str">
        <v>TERMINAL DE PRESSÃO/COMPRESSÃO PARA CABO DE 35 MM²</v>
      </c>
    </row>
    <row r="524" spans="1:9" x14ac:dyDescent="0.3">
      <c r="A524" s="88">
        <f t="shared" si="26"/>
        <v>516</v>
      </c>
      <c r="B524" s="89" t="str">
        <f>_xlfn.XLOOKUP(D524,Planilha!O:O,Planilha!C:C)</f>
        <v>02.03.02.01.08</v>
      </c>
      <c r="C524" s="90" t="str">
        <f>_xlfn.XLOOKUP($D524,Planilha!$O:$O,Planilha!F:F)</f>
        <v>INTERRUPTOR COM 1 TECLA SIMPLES E PLACA</v>
      </c>
      <c r="D524" s="91">
        <f>LARGE(Planilha!$O:$O,$A524)</f>
        <v>736.56</v>
      </c>
      <c r="E524" s="92">
        <f t="shared" si="24"/>
        <v>5.2919081400013099E-5</v>
      </c>
      <c r="F524" s="93">
        <f t="shared" si="25"/>
        <v>0.99176137713101153</v>
      </c>
      <c r="I524" s="73" t="str">
        <v>SAIDA LATERAL DUPLA  3/4"</v>
      </c>
    </row>
    <row r="525" spans="1:9" x14ac:dyDescent="0.3">
      <c r="A525" s="88">
        <f t="shared" si="26"/>
        <v>517</v>
      </c>
      <c r="B525" s="89" t="str">
        <f>_xlfn.XLOOKUP(D525,Planilha!O:O,Planilha!C:C)</f>
        <v>02.03.11.11.05</v>
      </c>
      <c r="C525" s="90" t="str">
        <f>_xlfn.XLOOKUP($D525,Planilha!$O:$O,Planilha!F:F)</f>
        <v>RELÉ TÉRMICO 3RU11-16 (1,8 - 2,8A)</v>
      </c>
      <c r="D525" s="91">
        <f>LARGE(Planilha!$O:$O,$A525)</f>
        <v>718.06</v>
      </c>
      <c r="E525" s="92">
        <f t="shared" si="24"/>
        <v>5.1589925586637076E-5</v>
      </c>
      <c r="F525" s="93">
        <f t="shared" si="25"/>
        <v>0.99181296705659816</v>
      </c>
      <c r="I525" s="73" t="str">
        <v>REDUÇÃO EXCÊNTRICA - PVC RÍGIDO - JUNTA ELÁSTICA INTEGRADA - JEI 200 X 150 MM</v>
      </c>
    </row>
    <row r="526" spans="1:9" x14ac:dyDescent="0.3">
      <c r="A526" s="88">
        <f t="shared" si="26"/>
        <v>518</v>
      </c>
      <c r="B526" s="89" t="str">
        <f>_xlfn.XLOOKUP(D526,Planilha!O:O,Planilha!C:C)</f>
        <v>02.03.11.11.05</v>
      </c>
      <c r="C526" s="90" t="str">
        <f>_xlfn.XLOOKUP($D526,Planilha!$O:$O,Planilha!F:F)</f>
        <v>RELÉ TÉRMICO 3RU11-16 (1,8 - 2,8A)</v>
      </c>
      <c r="D526" s="91">
        <f>LARGE(Planilha!$O:$O,$A526)</f>
        <v>718.06</v>
      </c>
      <c r="E526" s="92">
        <f t="shared" si="24"/>
        <v>5.1589925586637076E-5</v>
      </c>
      <c r="F526" s="93">
        <f t="shared" si="25"/>
        <v>0.99186455698218479</v>
      </c>
      <c r="I526" s="73" t="str">
        <v>EXECUÇÃO DE PROTEÇÃO DA CABEÇA DO TIRANTE COM USO DE FÔRMAS EM CHAPA COMPENSADA PLASTIFICADA DE MADEIRA E CONCRETO FCK =15 MPA. AF_07/2016</v>
      </c>
    </row>
    <row r="527" spans="1:9" ht="50.4" x14ac:dyDescent="0.3">
      <c r="A527" s="88">
        <f t="shared" si="26"/>
        <v>519</v>
      </c>
      <c r="B527" s="89" t="str">
        <f>_xlfn.XLOOKUP(D527,Planilha!O:O,Planilha!C:C)</f>
        <v>02.02.14.15</v>
      </c>
      <c r="C527" s="90" t="str">
        <f>_xlfn.XLOOKUP($D527,Planilha!$O:$O,Planilha!F:F)</f>
        <v>REGISTRO DE GAVETA BRUTO, LATÃO, ROSCÁVEL, 3/4", COM ACABAMENTO E CANOPLA CROMADOS - FORNECIMENTO E INSTALAÇÃO. AF_08/2021</v>
      </c>
      <c r="D527" s="91">
        <f>LARGE(Planilha!$O:$O,$A527)</f>
        <v>715.41</v>
      </c>
      <c r="E527" s="92">
        <f t="shared" si="24"/>
        <v>5.1399532997153487E-5</v>
      </c>
      <c r="F527" s="93">
        <f t="shared" si="25"/>
        <v>0.99191595651518194</v>
      </c>
      <c r="I527" s="73" t="str">
        <v>TRANSFORMADOR DE CORRENTE RELAÇÃO 400:5 A</v>
      </c>
    </row>
    <row r="528" spans="1:9" ht="67.2" x14ac:dyDescent="0.3">
      <c r="A528" s="88">
        <f t="shared" si="26"/>
        <v>520</v>
      </c>
      <c r="B528" s="89" t="str">
        <f>_xlfn.XLOOKUP(D528,Planilha!O:O,Planilha!C:C)</f>
        <v>02.01.07.04.04</v>
      </c>
      <c r="C528" s="90" t="str">
        <f>_xlfn.XLOOKUP($D528,Planilha!$O:$O,Planilha!F:F)</f>
        <v>CARGA, MANOBRA E DESCARGA DE ENTULHO EM CAMINHÃO BASCULANTE 6 M³ - CARGA COM ESCAVADEIRA HIDRÁULICA  (CAÇAMBA DE 0,80 M³ / 111 HP) E DESCARGA LIVRE (UNIDADE: M3). AF_07/2020</v>
      </c>
      <c r="D528" s="91">
        <f>LARGE(Planilha!$O:$O,$A528)</f>
        <v>711.62</v>
      </c>
      <c r="E528" s="92">
        <f t="shared" si="24"/>
        <v>5.1127235671061862E-5</v>
      </c>
      <c r="F528" s="93">
        <f t="shared" si="25"/>
        <v>0.99196708375085296</v>
      </c>
      <c r="I528" s="73" t="str">
        <v>DISJUNTOR TRIPOLAR TIPO DIN, CORRENTE NOMINAL DE 20A - FORNECIMENTO E INSTALAÇÃO. AF_10/2020</v>
      </c>
    </row>
    <row r="529" spans="1:9" ht="50.4" x14ac:dyDescent="0.3">
      <c r="A529" s="88">
        <f t="shared" si="26"/>
        <v>521</v>
      </c>
      <c r="B529" s="89" t="str">
        <f>_xlfn.XLOOKUP(D529,Planilha!O:O,Planilha!C:C)</f>
        <v>02.04.02.01.03</v>
      </c>
      <c r="C529" s="90" t="str">
        <f>_xlfn.XLOOKUP($D529,Planilha!$O:$O,Planilha!F:F)</f>
        <v>TUBO, PVC, SOLDÁVEL, DN 40 MM, INSTALADO EM RESERVAÇÃO DE ÁGUA DE EDIFICAÇÃO QUE POSSUA RESERVATÓRIO DE FIBRA/FIBROCIMENTO   FORNECIMENTO E INSTALAÇÃO. AF_06/2016</v>
      </c>
      <c r="D529" s="91">
        <f>LARGE(Planilha!$O:$O,$A529)</f>
        <v>707.85</v>
      </c>
      <c r="E529" s="92">
        <f t="shared" si="24"/>
        <v>5.0856375270173886E-5</v>
      </c>
      <c r="F529" s="93">
        <f t="shared" si="25"/>
        <v>0.9920179401261231</v>
      </c>
      <c r="I529" s="73" t="str">
        <v>BARRA DE APOIO LATERAL ARTICULADA, COM TRAVA, EM ACO INOX POLIDO, FIXADA NA PAREDE - FORNECIMENTO E INSTALAÇÃO. AF_01/2020</v>
      </c>
    </row>
    <row r="530" spans="1:9" ht="33.6" x14ac:dyDescent="0.3">
      <c r="A530" s="88">
        <f t="shared" si="26"/>
        <v>522</v>
      </c>
      <c r="B530" s="89" t="str">
        <f>_xlfn.XLOOKUP(D530,Planilha!O:O,Planilha!C:C)</f>
        <v>02.04.02.03.08</v>
      </c>
      <c r="C530" s="90" t="str">
        <f>_xlfn.XLOOKUP($D530,Planilha!$O:$O,Planilha!F:F)</f>
        <v>VÁLVULA DE ESFERA BRUTA, BRONZE, ROSCÁVEL, 1 1/4'' - FORNECIMENTO E INSTALAÇÃO. AF_08/2021</v>
      </c>
      <c r="D530" s="91">
        <f>LARGE(Planilha!$O:$O,$A530)</f>
        <v>702.94</v>
      </c>
      <c r="E530" s="92">
        <f t="shared" si="24"/>
        <v>5.0503610132677875E-5</v>
      </c>
      <c r="F530" s="93">
        <f t="shared" si="25"/>
        <v>0.9920684437362558</v>
      </c>
      <c r="I530" s="73" t="str">
        <v>DISJUNTOR TERMOMAGNÉTICO TRIPOLAR , CORRENTE NOMINAL DE 125A - FORNECIMENTO E INSTALAÇÃO. AF_10/2020</v>
      </c>
    </row>
    <row r="531" spans="1:9" ht="50.4" x14ac:dyDescent="0.3">
      <c r="A531" s="88">
        <f t="shared" si="26"/>
        <v>523</v>
      </c>
      <c r="B531" s="89" t="str">
        <f>_xlfn.XLOOKUP(D531,Planilha!O:O,Planilha!C:C)</f>
        <v>02.04.02.02.03</v>
      </c>
      <c r="C531" s="90" t="str">
        <f>_xlfn.XLOOKUP($D531,Planilha!$O:$O,Planilha!F:F)</f>
        <v>COTOVELO EM COBRE, DN 28 MM, 90 GRAUS, SEM ANEL DE SOLDA, INSTALADO EM PRUMADA DE HIDRÁULICA PREDIAL - FORNECIMENTO E INSTALAÇÃO. AF_04/2022</v>
      </c>
      <c r="D531" s="91">
        <f>LARGE(Planilha!$O:$O,$A531)</f>
        <v>702.02</v>
      </c>
      <c r="E531" s="92">
        <f t="shared" si="24"/>
        <v>5.0437511573309977E-5</v>
      </c>
      <c r="F531" s="93">
        <f t="shared" si="25"/>
        <v>0.9921188812478291</v>
      </c>
      <c r="I531" s="73" t="str">
        <v>JUNÇÃO SIMPLES, PVC, SERIE R, ÁGUA PLUVIAL, DN 100 X 100 MM, JUNTA ELÁSTICA, FORNECIDO E INSTALADO EM CONDUTORES VERTICAIS DE ÁGUAS PLUVIAIS. AF_12/2014</v>
      </c>
    </row>
    <row r="532" spans="1:9" ht="33.6" x14ac:dyDescent="0.3">
      <c r="A532" s="88">
        <f t="shared" si="26"/>
        <v>524</v>
      </c>
      <c r="B532" s="89" t="str">
        <f>_xlfn.XLOOKUP(D532,Planilha!O:O,Planilha!C:C)</f>
        <v>02.02.14.06</v>
      </c>
      <c r="C532" s="90" t="str">
        <f>_xlfn.XLOOKUP($D532,Planilha!$O:$O,Planilha!F:F)</f>
        <v>DISPENSER PAPEL HIGIÊNICO EM ABS PARA ROLÃO 300 / 600 M, COM VISOR</v>
      </c>
      <c r="D532" s="91">
        <f>LARGE(Planilha!$O:$O,$A532)</f>
        <v>697.14</v>
      </c>
      <c r="E532" s="92">
        <f t="shared" si="24"/>
        <v>5.0086901823619438E-5</v>
      </c>
      <c r="F532" s="93">
        <f t="shared" si="25"/>
        <v>0.99216896814965272</v>
      </c>
      <c r="I532" s="73" t="str">
        <v>TERMINAL DE PRESSÃO/COMPRESSÃO PARA CABO DE 50 MM²</v>
      </c>
    </row>
    <row r="533" spans="1:9" x14ac:dyDescent="0.3">
      <c r="A533" s="88">
        <f t="shared" si="26"/>
        <v>525</v>
      </c>
      <c r="B533" s="89" t="str">
        <f>_xlfn.XLOOKUP(D533,Planilha!O:O,Planilha!C:C)</f>
        <v>02.03.11.12.06</v>
      </c>
      <c r="C533" s="90" t="str">
        <f>_xlfn.XLOOKUP($D533,Planilha!$O:$O,Planilha!F:F)</f>
        <v>CONTATORA 3RT10-26</v>
      </c>
      <c r="D533" s="91">
        <f>LARGE(Planilha!$O:$O,$A533)</f>
        <v>694.74</v>
      </c>
      <c r="E533" s="92">
        <f t="shared" si="24"/>
        <v>4.991447079918147E-5</v>
      </c>
      <c r="F533" s="93">
        <f t="shared" si="25"/>
        <v>0.99221888262045188</v>
      </c>
      <c r="I533" s="73" t="str">
        <v>VÁLVULA DE RETENÇÃO, DE BRONZE, PÉ COM CRIVOS, ROSCÁVEL, 1 1/4" - FORNECIMENTO E INSTALAÇÃO. AF_08/2021</v>
      </c>
    </row>
    <row r="534" spans="1:9" ht="67.2" x14ac:dyDescent="0.3">
      <c r="A534" s="88">
        <f t="shared" si="26"/>
        <v>526</v>
      </c>
      <c r="B534" s="89" t="str">
        <f>_xlfn.XLOOKUP(D534,Planilha!O:O,Planilha!C:C)</f>
        <v>02.03.11.10.08</v>
      </c>
      <c r="C534" s="90" t="str">
        <f>_xlfn.XLOOKUP($D534,Planilha!$O:$O,Planilha!F:F)</f>
        <v>QUADRO DE DISTRIBUIÇÃO DE ENERGIA EM CHAPA DE AÇO GALVANIZADO, DE EMBUTIR, COM BARRAMENTO TRIFÁSICO, PARA 30 DISJUNTORES DIN 150A - FORNECIMENTO E INSTALAÇÃO. AF_10/2020</v>
      </c>
      <c r="D534" s="91">
        <f>LARGE(Planilha!$O:$O,$A534)</f>
        <v>693.16</v>
      </c>
      <c r="E534" s="92">
        <f t="shared" si="24"/>
        <v>4.9800953708093141E-5</v>
      </c>
      <c r="F534" s="93">
        <f t="shared" si="25"/>
        <v>0.99226868357415998</v>
      </c>
      <c r="I534" s="73" t="str">
        <v>FLEXÍVEL PARA PIA - 1/2"</v>
      </c>
    </row>
    <row r="535" spans="1:9" ht="50.4" x14ac:dyDescent="0.3">
      <c r="A535" s="88">
        <f t="shared" si="26"/>
        <v>527</v>
      </c>
      <c r="B535" s="89" t="str">
        <f>_xlfn.XLOOKUP(D535,Planilha!O:O,Planilha!C:C)</f>
        <v>02.04.01.01.25</v>
      </c>
      <c r="C535" s="90" t="str">
        <f>_xlfn.XLOOKUP($D535,Planilha!$O:$O,Planilha!F:F)</f>
        <v>REDUÇÃO EXCÊNTRICA, PVC, SERIE R, ÁGUA PLUVIAL, DN 150 X 100 MM, JUNTA ELÁSTICA, FORNECIDO E INSTALADO EM CONDUTORES VERTICAIS DE ÁGUAS PLUVIAIS. AF_12/2014</v>
      </c>
      <c r="D535" s="91">
        <f>LARGE(Planilha!$O:$O,$A535)</f>
        <v>683.06</v>
      </c>
      <c r="E535" s="92">
        <f t="shared" si="24"/>
        <v>4.9075306480250013E-5</v>
      </c>
      <c r="F535" s="93">
        <f t="shared" si="25"/>
        <v>0.99231775888064022</v>
      </c>
      <c r="I535" s="73" t="str">
        <v>CPM.06.E - PAINEL EM CHAPA METÁLICA PERFURADA REDONDA EM AÇO INOX 304 - PERFURAÇÃO R8,00 EC11,00. ACABAMENTO EM PINTURA ELETROSTÁTICA COR RAL 7042 BRILHANTE. SUBESTRUTURA EM PERFIS DE AÇO INOX 304 E ACESSÓRIOS PARA FIXAÇÃO PINTADOS NA MESMA COR, PARAFUSOS SEM PINTURA.0,132 - 5,286m2</v>
      </c>
    </row>
    <row r="536" spans="1:9" ht="50.4" x14ac:dyDescent="0.3">
      <c r="A536" s="88">
        <f t="shared" si="26"/>
        <v>528</v>
      </c>
      <c r="B536" s="89" t="str">
        <f>_xlfn.XLOOKUP(D536,Planilha!O:O,Planilha!C:C)</f>
        <v>02.02.06.06</v>
      </c>
      <c r="C536" s="90" t="str">
        <f>_xlfn.XLOOKUP($D536,Planilha!$O:$O,Planilha!F:F)</f>
        <v>JUNTA SERRADA, DIMENSÕES 6X60MM, COM PREENCHIMENTO DE MASTIQUE DE POLIURETANO MBT, BASF OU SIMILAR, PARA PAVIMENTOS EM CONCRETO</v>
      </c>
      <c r="D536" s="91">
        <f>LARGE(Planilha!$O:$O,$A536)</f>
        <v>678.9</v>
      </c>
      <c r="E536" s="92">
        <f t="shared" si="24"/>
        <v>4.8776426037890867E-5</v>
      </c>
      <c r="F536" s="93">
        <f t="shared" si="25"/>
        <v>0.99236653530667807</v>
      </c>
      <c r="I536" s="73" t="str">
        <v>JUNÇÃO SIMPLES EM PVC RÍGIDO SOLDÁVEL, PARA ESGOTO PRIMÁRIO, DIÂM = 100 X 75MM</v>
      </c>
    </row>
    <row r="537" spans="1:9" x14ac:dyDescent="0.3">
      <c r="A537" s="88">
        <f t="shared" si="26"/>
        <v>529</v>
      </c>
      <c r="B537" s="89" t="str">
        <f>_xlfn.XLOOKUP(D537,Planilha!O:O,Planilha!C:C)</f>
        <v>02.03.02.01.09</v>
      </c>
      <c r="C537" s="90" t="str">
        <f>_xlfn.XLOOKUP($D537,Planilha!$O:$O,Planilha!F:F)</f>
        <v>INTERRUPTOR COM 1 TECLA PARALELO E PLACA</v>
      </c>
      <c r="D537" s="91">
        <f>LARGE(Planilha!$O:$O,$A537)</f>
        <v>676.6</v>
      </c>
      <c r="E537" s="92">
        <f t="shared" si="24"/>
        <v>4.8611179639471144E-5</v>
      </c>
      <c r="F537" s="93">
        <f t="shared" si="25"/>
        <v>0.99241514648631757</v>
      </c>
      <c r="I537" s="73" t="str">
        <v>JOELHO 90 GRAUS, PPR, DN 110 MM, CLASSE PN 25, INSTALADO EM PRUMADA DE ÁGUA  FORNECIMENTO E INSTALAÇÃO . AF_06/2015</v>
      </c>
    </row>
    <row r="538" spans="1:9" ht="319.2" x14ac:dyDescent="0.3">
      <c r="A538" s="88">
        <f t="shared" si="26"/>
        <v>530</v>
      </c>
      <c r="B538" s="89" t="str">
        <f>_xlfn.XLOOKUP(D538,Planilha!O:O,Planilha!C:C)</f>
        <v>02.02.14.01</v>
      </c>
      <c r="C538" s="90" t="str">
        <f>_xlfn.XLOOKUP($D538,Planilha!$O:$O,Planilha!F:F)</f>
        <v xml:space="preserve"> SALA DE LAMINAÇÃO - BANCADA LATERAL MEDINDO 2400X900X900MM - Composto de:  2,40 LL4298BI3 Metro(s) linear(es) de tampo em granito natural polido com 30mm de espessura, medindo 900mm de profundidade, com respaldo de 60mm junto a parede e acabamento bizotado. - 1,00 LL2038-E Modulo inferior de cuba medindo 900x700x870mm provida de duas portas. - 1,00 LL2222-E Modulo inferior medindo 900x700x870mm provido de duas portas e uma prateleira. - 1,00 LL2212_ESQ-E Modulo inferior medindo 550x700x870mm provido de uma porta a esquerda e uma prateleira. - 0,05 LL2049 S ABS Metro(s) linear(es) de painel de acabamento para fechamento frontal. - Utilidades: - 1,00 LL9033 Cuba em aço inoxidável AISI 304 polido medindo 500x400x400mm. - 1,00 LN7158G ÁGUA FRIA Conjunto formado por nuca giratória com bico escalonado reto e registro de bloqueio 3/8" em latão com acabamento em epóxi com batoque verde para água fria. - 1,00 LL9012 Válvula americana sifonada em polipropileno medindo 3 1/2" de diâmetro com conexões também em polipropileno para bancada. - 1,00 LL9012 Válvula americana sifonada em polipropileno medindo 3 1/2" de diâmetro com conexões também em polipropileno para bancada.</v>
      </c>
      <c r="D538" s="91">
        <f>LARGE(Planilha!$O:$O,$A538)</f>
        <v>675.7</v>
      </c>
      <c r="E538" s="92">
        <f t="shared" si="24"/>
        <v>4.8546518005306908E-5</v>
      </c>
      <c r="F538" s="93">
        <f t="shared" si="25"/>
        <v>0.99246369300432291</v>
      </c>
      <c r="I538" s="73" t="str">
        <v>LAVATORIO SUSPENSO LOUCA BRANCA LINHA IZY L-15.17 - DECA</v>
      </c>
    </row>
    <row r="539" spans="1:9" ht="50.4" x14ac:dyDescent="0.3">
      <c r="A539" s="88">
        <f t="shared" si="26"/>
        <v>531</v>
      </c>
      <c r="B539" s="89" t="str">
        <f>_xlfn.XLOOKUP(D539,Planilha!O:O,Planilha!C:C)</f>
        <v>02.05.01.09</v>
      </c>
      <c r="C539" s="90" t="str">
        <f>_xlfn.XLOOKUP($D539,Planilha!$O:$O,Planilha!F:F)</f>
        <v>COTOVELO EM COBRE, DN 15 MM, 90 GRAUS, SEM ANEL DE SOLDA, INSTALADO EM RAMAL DE DISTRIBUIÇÃO  FORNECIMENTO E INSTALAÇÃO. AF_12/2015</v>
      </c>
      <c r="D539" s="91">
        <f>LARGE(Planilha!$O:$O,$A539)</f>
        <v>670.4</v>
      </c>
      <c r="E539" s="92">
        <f t="shared" si="24"/>
        <v>4.8165732826339722E-5</v>
      </c>
      <c r="F539" s="93">
        <f t="shared" si="25"/>
        <v>0.9925118587371492</v>
      </c>
      <c r="I539" s="73" t="str">
        <v>BORNE TERMINAL SAK 6 MM2</v>
      </c>
    </row>
    <row r="540" spans="1:9" ht="67.2" x14ac:dyDescent="0.3">
      <c r="A540" s="88">
        <f t="shared" si="26"/>
        <v>532</v>
      </c>
      <c r="B540" s="89" t="str">
        <f>_xlfn.XLOOKUP(D540,Planilha!O:O,Planilha!C:C)</f>
        <v>02.04.02.01.36</v>
      </c>
      <c r="C540" s="90" t="str">
        <f>_xlfn.XLOOKUP($D540,Planilha!$O:$O,Planilha!F:F)</f>
        <v>ADAPTADOR COM FLANGES LIVRES, PVC, SOLDÁVEL LONGO, DN 85 MM X 3 , INSTALADO EM RESERVAÇÃO DE ÁGUA DE EDIFICAÇÃO QUE POSSUA RESERVATÓRIO DE FIBRA/FIBROCIMENTO   FORNECIMENTO E INSTALAÇÃO. AF_06/2016</v>
      </c>
      <c r="D540" s="91">
        <f>LARGE(Planilha!$O:$O,$A540)</f>
        <v>668.04</v>
      </c>
      <c r="E540" s="92">
        <f t="shared" si="24"/>
        <v>4.7996175652309049E-5</v>
      </c>
      <c r="F540" s="93">
        <f t="shared" si="25"/>
        <v>0.99255985491280152</v>
      </c>
      <c r="I540" s="73" t="str">
        <v>CORTE DE TRILHOS DE ACO TR-37KGF/M COM ELETRODOS ELETRICOS</v>
      </c>
    </row>
    <row r="541" spans="1:9" x14ac:dyDescent="0.3">
      <c r="A541" s="88">
        <f t="shared" si="26"/>
        <v>533</v>
      </c>
      <c r="B541" s="89" t="str">
        <f>_xlfn.XLOOKUP(D541,Planilha!O:O,Planilha!C:C)</f>
        <v>02.04.04.01.06</v>
      </c>
      <c r="C541" s="90" t="str">
        <f>_xlfn.XLOOKUP($D541,Planilha!$O:$O,Planilha!F:F)</f>
        <v>TE 90 FERRO GALVANIZADO DIAM. 3""</v>
      </c>
      <c r="D541" s="91">
        <f>LARGE(Planilha!$O:$O,$A541)</f>
        <v>662.55</v>
      </c>
      <c r="E541" s="92">
        <f t="shared" si="24"/>
        <v>4.760173968390719E-5</v>
      </c>
      <c r="F541" s="93">
        <f t="shared" si="25"/>
        <v>0.9926074566524854</v>
      </c>
      <c r="I541" s="73" t="str">
        <v>TUBO PVC, SÉRIE R, ÁGUA PLUVIAL, DN 75 MM, FORNECIDO E INSTALADO EM CONDUTORES VERTICAIS DE ÁGUAS PLUVIAIS. AF_12/2014</v>
      </c>
    </row>
    <row r="542" spans="1:9" ht="50.4" x14ac:dyDescent="0.3">
      <c r="A542" s="88">
        <f t="shared" si="26"/>
        <v>534</v>
      </c>
      <c r="B542" s="89" t="str">
        <f>_xlfn.XLOOKUP(D542,Planilha!O:O,Planilha!C:C)</f>
        <v>02.04.03.01.10</v>
      </c>
      <c r="C542" s="90" t="str">
        <f>_xlfn.XLOOKUP($D542,Planilha!$O:$O,Planilha!F:F)</f>
        <v>JOELHO 90 GRAUS, PVC, SERIE NORMAL, ESGOTO PREDIAL, DN 40 MM, JUNTA SOLDÁVEL, FORNECIDO E INSTALADO EM RAMAL DE DESCARGA OU RAMAL DE ESGOTO SANITÁRIO. AF_12/2014</v>
      </c>
      <c r="D542" s="91">
        <f>LARGE(Planilha!$O:$O,$A542)</f>
        <v>660.48</v>
      </c>
      <c r="E542" s="92">
        <f t="shared" si="24"/>
        <v>4.7453017925329448E-5</v>
      </c>
      <c r="F542" s="93">
        <f t="shared" si="25"/>
        <v>0.9926549096704107</v>
      </c>
      <c r="I542" s="73" t="str">
        <v>DISJUNTOR BIPOLAR TIPO DIN, CORRENTE NOMINAL DE 20A - FORNECIMENTO E INSTALAÇÃO. AF_10/2020</v>
      </c>
    </row>
    <row r="543" spans="1:9" x14ac:dyDescent="0.3">
      <c r="A543" s="88">
        <f t="shared" si="26"/>
        <v>535</v>
      </c>
      <c r="B543" s="89" t="str">
        <f>_xlfn.XLOOKUP(D543,Planilha!O:O,Planilha!C:C)</f>
        <v>02.04.01.04.04</v>
      </c>
      <c r="C543" s="90" t="str">
        <f>_xlfn.XLOOKUP($D543,Planilha!$O:$O,Planilha!F:F)</f>
        <v>ANÉIS DE CONCRETO ARMADO Ø1.20M</v>
      </c>
      <c r="D543" s="91">
        <f>LARGE(Planilha!$O:$O,$A543)</f>
        <v>659.61</v>
      </c>
      <c r="E543" s="92">
        <f t="shared" si="24"/>
        <v>4.7390511678970684E-5</v>
      </c>
      <c r="F543" s="93">
        <f t="shared" si="25"/>
        <v>0.99270230018208971</v>
      </c>
      <c r="I543" s="73" t="str">
        <v>SAIDA VERTICAL PARA ELETRODUTO D=1"</v>
      </c>
    </row>
    <row r="544" spans="1:9" x14ac:dyDescent="0.3">
      <c r="A544" s="88">
        <f t="shared" si="26"/>
        <v>536</v>
      </c>
      <c r="B544" s="89" t="str">
        <f>_xlfn.XLOOKUP(D544,Planilha!O:O,Planilha!C:C)</f>
        <v>02.01.07.05.11</v>
      </c>
      <c r="C544" s="90" t="str">
        <f>_xlfn.XLOOKUP($D544,Planilha!$O:$O,Planilha!F:F)</f>
        <v>CONCRETO USINADO, FCK = 35 MPA - PARA BOMBEAMENTO</v>
      </c>
      <c r="D544" s="91">
        <f>LARGE(Planilha!$O:$O,$A544)</f>
        <v>648.80999999999995</v>
      </c>
      <c r="E544" s="92">
        <f t="shared" si="24"/>
        <v>4.6614572068999808E-5</v>
      </c>
      <c r="F544" s="93">
        <f t="shared" si="25"/>
        <v>0.99274891475415872</v>
      </c>
      <c r="I544" s="73" t="str">
        <v>VÁLVULA DE ESFERA BRUTA, BRONZE, ROSCÁVEL, 2'' - FORNECIMENTO E INSTALAÇÃO. AF_08/2021</v>
      </c>
    </row>
    <row r="545" spans="1:9" x14ac:dyDescent="0.3">
      <c r="A545" s="88">
        <f t="shared" si="26"/>
        <v>537</v>
      </c>
      <c r="B545" s="89" t="str">
        <f>_xlfn.XLOOKUP(D545,Planilha!O:O,Planilha!C:C)</f>
        <v>02.03.01.02</v>
      </c>
      <c r="C545" s="90" t="str">
        <f>_xlfn.XLOOKUP($D545,Planilha!$O:$O,Planilha!F:F)</f>
        <v>LUMINÁRIA DE EMBUTIR GREEN SPACE DN393B</v>
      </c>
      <c r="D545" s="91">
        <f>LARGE(Planilha!$O:$O,$A545)</f>
        <v>644.66999999999996</v>
      </c>
      <c r="E545" s="92">
        <f t="shared" si="24"/>
        <v>4.631712855184431E-5</v>
      </c>
      <c r="F545" s="93">
        <f t="shared" si="25"/>
        <v>0.99279523188271057</v>
      </c>
      <c r="I545" s="73" t="str">
        <v>DISJUNTOR TRIPOLAR 80A CURVA C</v>
      </c>
    </row>
    <row r="546" spans="1:9" ht="33.6" x14ac:dyDescent="0.3">
      <c r="A546" s="88">
        <f t="shared" si="26"/>
        <v>538</v>
      </c>
      <c r="B546" s="89" t="str">
        <f>_xlfn.XLOOKUP(D546,Planilha!O:O,Planilha!C:C)</f>
        <v>02.04.02.01.11</v>
      </c>
      <c r="C546" s="90" t="str">
        <f>_xlfn.XLOOKUP($D546,Planilha!$O:$O,Planilha!F:F)</f>
        <v>JOELHO 90 GRAUS, PVC, SOLDÁVEL, DN 60MM, INSTALADO EM PRUMADA DE ÁGUA - FORNECIMENTO E INSTALAÇÃO. AF_12/2014</v>
      </c>
      <c r="D546" s="91">
        <f>LARGE(Planilha!$O:$O,$A546)</f>
        <v>641.76</v>
      </c>
      <c r="E546" s="92">
        <f t="shared" si="24"/>
        <v>4.6108055934713275E-5</v>
      </c>
      <c r="F546" s="93">
        <f t="shared" si="25"/>
        <v>0.99284133993864532</v>
      </c>
      <c r="I546" s="73" t="str">
        <v>CHAVE ROTATIVA MANUAL/AUTOMÁTICO Ø 30,5</v>
      </c>
    </row>
    <row r="547" spans="1:9" x14ac:dyDescent="0.3">
      <c r="A547" s="88">
        <f t="shared" si="26"/>
        <v>539</v>
      </c>
      <c r="B547" s="89" t="str">
        <f>_xlfn.XLOOKUP(D547,Planilha!O:O,Planilha!C:C)</f>
        <v>02.03.11.15.13</v>
      </c>
      <c r="C547" s="90" t="str">
        <f>_xlfn.XLOOKUP($D547,Planilha!$O:$O,Planilha!F:F)</f>
        <v>TERMINAL DE PRESSÃO/COMPRESSÃO PARA CABO DE 25 MM²</v>
      </c>
      <c r="D547" s="91">
        <f>LARGE(Planilha!$O:$O,$A547)</f>
        <v>632.52</v>
      </c>
      <c r="E547" s="92">
        <f t="shared" si="24"/>
        <v>4.5444196490627087E-5</v>
      </c>
      <c r="F547" s="93">
        <f t="shared" si="25"/>
        <v>0.99288678413513598</v>
      </c>
      <c r="I547" s="73" t="str">
        <v>CPM.06.C - PAINEL EM CHAPA METÁLICA PERFURADA REDONDA EM AÇO INOX 304 - PERFURAÇÃO R8,00 EC11,00. ACABAMENTO EM PINTURA ELETROSTÁTICA COR RAL 7042 BRILHANTE. SUBESTRUTURA EM PERFIS DE AÇO INOX 304 E ACESSÓRIOS PARA FIXAÇÃO PINTADOS NA MESMA COR, PARAFUSOS SEM PINTURA.0,132 - 5,286m2</v>
      </c>
    </row>
    <row r="548" spans="1:9" x14ac:dyDescent="0.3">
      <c r="A548" s="88">
        <f t="shared" si="26"/>
        <v>540</v>
      </c>
      <c r="B548" s="89" t="str">
        <f>_xlfn.XLOOKUP(D548,Planilha!O:O,Planilha!C:C)</f>
        <v>02.03.11.13.12</v>
      </c>
      <c r="C548" s="90" t="str">
        <f>_xlfn.XLOOKUP($D548,Planilha!$O:$O,Planilha!F:F)</f>
        <v>CHAVE DE 3 POSIÇÕES AUTOMÁTICO/MANUAL</v>
      </c>
      <c r="D548" s="91">
        <f>LARGE(Planilha!$O:$O,$A548)</f>
        <v>627.37</v>
      </c>
      <c r="E548" s="92">
        <f t="shared" si="24"/>
        <v>4.5074188250687278E-5</v>
      </c>
      <c r="F548" s="93">
        <f t="shared" si="25"/>
        <v>0.99293185832338671</v>
      </c>
      <c r="I548" s="73" t="str">
        <v>CAIXA SIFONADA PVC 100X150X50MM</v>
      </c>
    </row>
    <row r="549" spans="1:9" ht="50.4" x14ac:dyDescent="0.3">
      <c r="A549" s="88">
        <f t="shared" si="26"/>
        <v>541</v>
      </c>
      <c r="B549" s="89" t="str">
        <f>_xlfn.XLOOKUP(D549,Planilha!O:O,Planilha!C:C)</f>
        <v>02.03.09.32</v>
      </c>
      <c r="C549" s="90" t="str">
        <f>_xlfn.XLOOKUP($D549,Planilha!$O:$O,Planilha!F:F)</f>
        <v>CURVA 90 GRAUS, EM AÇO, CONEXÃO SOLDADA, DN 20 (3/4"), INSTALADO EM RAMAIS E SUB-RAMAIS DE GÁS - FORNECIMENTO E INSTALAÇÃO. AF_10/2020</v>
      </c>
      <c r="D549" s="91">
        <f>LARGE(Planilha!$O:$O,$A549)</f>
        <v>625</v>
      </c>
      <c r="E549" s="92">
        <f t="shared" si="24"/>
        <v>4.4903912614054782E-5</v>
      </c>
      <c r="F549" s="93">
        <f t="shared" si="25"/>
        <v>0.99297676223600073</v>
      </c>
      <c r="I549" s="73" t="str">
        <v>FRETE TRANSPORTE PAINEIS</v>
      </c>
    </row>
    <row r="550" spans="1:9" ht="50.4" x14ac:dyDescent="0.3">
      <c r="A550" s="88">
        <f t="shared" si="26"/>
        <v>542</v>
      </c>
      <c r="B550" s="89" t="str">
        <f>_xlfn.XLOOKUP(D550,Planilha!O:O,Planilha!C:C)</f>
        <v>02.04.03.07.11</v>
      </c>
      <c r="C550" s="90" t="str">
        <f>_xlfn.XLOOKUP($D550,Planilha!$O:$O,Planilha!F:F)</f>
        <v>GRAUTE FGK=30 MPA; TRAÇO 1:0,9:1,2:0,6 (EM MASSA SECA DE CIMENTO/ AREIA GROSSA/ BRITA 0/ ADITIVO) - PREPARO MECÂNICO COM BETONEIRA 400 L. AF_09/2021</v>
      </c>
      <c r="D550" s="91">
        <f>LARGE(Planilha!$O:$O,$A550)</f>
        <v>622.54999999999995</v>
      </c>
      <c r="E550" s="92">
        <f t="shared" si="24"/>
        <v>4.4727889276607681E-5</v>
      </c>
      <c r="F550" s="93">
        <f t="shared" si="25"/>
        <v>0.9930214901252773</v>
      </c>
      <c r="I550" s="73" t="str">
        <v>RELÉ BIESTÁVEL P2Q COEL OU SIEMENS</v>
      </c>
    </row>
    <row r="551" spans="1:9" x14ac:dyDescent="0.3">
      <c r="A551" s="88">
        <f t="shared" si="26"/>
        <v>543</v>
      </c>
      <c r="B551" s="89" t="str">
        <f>_xlfn.XLOOKUP(D551,Planilha!O:O,Planilha!C:C)</f>
        <v>02.05.01.16</v>
      </c>
      <c r="C551" s="90" t="str">
        <f>_xlfn.XLOOKUP($D551,Planilha!$O:$O,Planilha!F:F)</f>
        <v>TE REDUCAO COBRE 28X15MM</v>
      </c>
      <c r="D551" s="91">
        <f>LARGE(Planilha!$O:$O,$A551)</f>
        <v>621.46</v>
      </c>
      <c r="E551" s="92">
        <f t="shared" si="24"/>
        <v>4.464957685300878E-5</v>
      </c>
      <c r="F551" s="93">
        <f t="shared" si="25"/>
        <v>0.99306613970213031</v>
      </c>
      <c r="I551" s="73" t="str">
        <v>CAIXA DE PASSAGEM CHAPA TAMPA PARAFUSADA DE 20X20X10 CM</v>
      </c>
    </row>
    <row r="552" spans="1:9" x14ac:dyDescent="0.3">
      <c r="A552" s="88">
        <f t="shared" si="26"/>
        <v>544</v>
      </c>
      <c r="B552" s="89" t="str">
        <f>_xlfn.XLOOKUP(D552,Planilha!O:O,Planilha!C:C)</f>
        <v>02.03.11.12.08</v>
      </c>
      <c r="C552" s="90" t="str">
        <f>_xlfn.XLOOKUP($D552,Planilha!$O:$O,Planilha!F:F)</f>
        <v>CHAVE ROTATIVA Ø 30,5 LIGA/DESLIGA</v>
      </c>
      <c r="D552" s="91">
        <f>LARGE(Planilha!$O:$O,$A552)</f>
        <v>620.54</v>
      </c>
      <c r="E552" s="92">
        <f t="shared" si="24"/>
        <v>4.4583478293640882E-5</v>
      </c>
      <c r="F552" s="93">
        <f t="shared" si="25"/>
        <v>0.99311072318042393</v>
      </c>
      <c r="I552" s="73" t="str">
        <v>PLACA DE 4´ X 4´</v>
      </c>
    </row>
    <row r="553" spans="1:9" ht="33.6" x14ac:dyDescent="0.3">
      <c r="A553" s="88">
        <f t="shared" si="26"/>
        <v>545</v>
      </c>
      <c r="B553" s="89" t="str">
        <f>_xlfn.XLOOKUP(D553,Planilha!O:O,Planilha!C:C)</f>
        <v>02.03.03.03.38</v>
      </c>
      <c r="C553" s="90" t="str">
        <f>_xlfn.XLOOKUP($D553,Planilha!$O:$O,Planilha!F:F)</f>
        <v>CAIXA DE PASSAGEM Nº 2 PADRÃO TELEBRÁS DIM. (20 X 20 X 12) CM EM CHAPA DE AÇO GALVANIZADO</v>
      </c>
      <c r="D553" s="91">
        <f>LARGE(Planilha!$O:$O,$A553)</f>
        <v>617.55999999999995</v>
      </c>
      <c r="E553" s="92">
        <f t="shared" si="24"/>
        <v>4.4369376438297073E-5</v>
      </c>
      <c r="F553" s="93">
        <f t="shared" si="25"/>
        <v>0.99315509255686218</v>
      </c>
      <c r="I553" s="73" t="str">
        <v>CPM.06.H - PAINEL EM CHAPA METÁLICA PERFURADA REDONDA EM AÇO INOX 304 - PERFURAÇÃO R8,00 EC11,00. ACABAMENTO EM PINTURA ELETROSTÁTICA COR RAL 7042 BRILHANTE. SUBESTRUTURA EM PERFIS DE AÇO INOX 304 E ACESSÓRIOS PARA FIXAÇÃO PINTADOS NA MESMA COR, PARAFUSOS SEM PINTURA.0,132 - 5,286m2</v>
      </c>
    </row>
    <row r="554" spans="1:9" ht="134.4" x14ac:dyDescent="0.3">
      <c r="A554" s="88">
        <f t="shared" si="26"/>
        <v>546</v>
      </c>
      <c r="B554" s="89" t="str">
        <f>_xlfn.XLOOKUP(D554,Planilha!O:O,Planilha!C:C)</f>
        <v>02.02.17.09</v>
      </c>
      <c r="C554" s="90" t="str">
        <f>_xlfn.XLOOKUP($D554,Planilha!$O:$O,Planilha!F:F)</f>
        <v>PRATELEIRAS - METRO(S) LINEAR(ES) DE PRATELEIRA REVESTIDA EM LAMINADO MELAMINICO COM 300MM DE
PROFUNDIDADE. - COMPOSTO DE: 2,00 MÃO FRANCESA BRANCA MED. 200X250MM - LAB. LINEA INDUSTRIA E COMERCIO DE MOVEIS PARA LABORATÓRIOS LTDA. - RUA ANGELO PERISSINOTTO ,166/186 BELA VISTA - CEP: 13.145-006 - PAULINIA - SP - BRASIL - FONE/FAX: (19) 3874-9898SITE: WWW.LABLINEA.COM.BR E-MAIL: LABLINEA@LABLINEA.COM.BR</v>
      </c>
      <c r="D554" s="91">
        <f>LARGE(Planilha!$O:$O,$A554)</f>
        <v>617.36</v>
      </c>
      <c r="E554" s="92">
        <f t="shared" si="24"/>
        <v>4.4355007186260577E-5</v>
      </c>
      <c r="F554" s="93">
        <f t="shared" si="25"/>
        <v>0.99319944756404843</v>
      </c>
      <c r="I554" s="73" t="str">
        <v>JOELHO 90 GRAUS, PVC, SOLDÁVEL, DN 50MM, INSTALADO EM PRUMADA DE ÁGUA - FORNECIMENTO E INSTALAÇÃO. AF_12/2014</v>
      </c>
    </row>
    <row r="555" spans="1:9" ht="134.4" x14ac:dyDescent="0.3">
      <c r="A555" s="88">
        <f t="shared" si="26"/>
        <v>547</v>
      </c>
      <c r="B555" s="89" t="str">
        <f>_xlfn.XLOOKUP(D555,Planilha!O:O,Planilha!C:C)</f>
        <v>02.02.17.09</v>
      </c>
      <c r="C555" s="90" t="str">
        <f>_xlfn.XLOOKUP($D555,Planilha!$O:$O,Planilha!F:F)</f>
        <v>PRATELEIRAS - METRO(S) LINEAR(ES) DE PRATELEIRA REVESTIDA EM LAMINADO MELAMINICO COM 300MM DE
PROFUNDIDADE. - COMPOSTO DE: 2,00 MÃO FRANCESA BRANCA MED. 200X250MM - LAB. LINEA INDUSTRIA E COMERCIO DE MOVEIS PARA LABORATÓRIOS LTDA. - RUA ANGELO PERISSINOTTO ,166/186 BELA VISTA - CEP: 13.145-006 - PAULINIA - SP - BRASIL - FONE/FAX: (19) 3874-9898SITE: WWW.LABLINEA.COM.BR E-MAIL: LABLINEA@LABLINEA.COM.BR</v>
      </c>
      <c r="D555" s="91">
        <f>LARGE(Planilha!$O:$O,$A555)</f>
        <v>617.36</v>
      </c>
      <c r="E555" s="92">
        <f t="shared" si="24"/>
        <v>4.4355007186260577E-5</v>
      </c>
      <c r="F555" s="93">
        <f t="shared" si="25"/>
        <v>0.99324380257123468</v>
      </c>
      <c r="I555" s="73" t="str">
        <v>JUNÇÃO SIMPLES EM PVC RÍGIDO SOLDÁVEL, PARA ESGOTO PRIMÁRIO, DIÂM = 100 X 50MM</v>
      </c>
    </row>
    <row r="556" spans="1:9" x14ac:dyDescent="0.3">
      <c r="A556" s="88">
        <f t="shared" si="26"/>
        <v>548</v>
      </c>
      <c r="B556" s="89" t="str">
        <f>_xlfn.XLOOKUP(D556,Planilha!O:O,Planilha!C:C)</f>
        <v>02.04.03.01.08</v>
      </c>
      <c r="C556" s="90" t="str">
        <f>_xlfn.XLOOKUP($D556,Planilha!$O:$O,Planilha!F:F)</f>
        <v>ANEL BORRACHA TUBO PVC 100MM</v>
      </c>
      <c r="D556" s="91">
        <f>LARGE(Planilha!$O:$O,$A556)</f>
        <v>610.4</v>
      </c>
      <c r="E556" s="92">
        <f t="shared" si="24"/>
        <v>4.3854957215390458E-5</v>
      </c>
      <c r="F556" s="93">
        <f t="shared" si="25"/>
        <v>0.99328765752845005</v>
      </c>
      <c r="I556" s="73" t="str">
        <v>CAIXA PARA 1 DISJUNTOR TRIFÁSICO ATÉ 100A E BARRAMENTOS</v>
      </c>
    </row>
    <row r="557" spans="1:9" ht="33.6" x14ac:dyDescent="0.3">
      <c r="A557" s="88">
        <f t="shared" si="26"/>
        <v>549</v>
      </c>
      <c r="B557" s="89" t="str">
        <f>_xlfn.XLOOKUP(D557,Planilha!O:O,Planilha!C:C)</f>
        <v>02.03.09.04</v>
      </c>
      <c r="C557" s="90" t="str">
        <f>_xlfn.XLOOKUP($D557,Planilha!$O:$O,Planilha!F:F)</f>
        <v>ELETRODUTO METALICO FLEXIVEL REVESTIDO EXTERNAMENTE COM PVC PRETO, DIAMETRO EXTERNO DE 25 MM (3/4"), TIPO SEALTUBO</v>
      </c>
      <c r="D557" s="91">
        <f>LARGE(Planilha!$O:$O,$A557)</f>
        <v>609.95000000000005</v>
      </c>
      <c r="E557" s="92">
        <f t="shared" si="24"/>
        <v>4.3822626398308347E-5</v>
      </c>
      <c r="F557" s="93">
        <f t="shared" si="25"/>
        <v>0.9933314801548484</v>
      </c>
      <c r="I557" s="73" t="str">
        <v>NIPLE, EM FERRO GALVANIZADO, CONEXÃO ROSQUEADA, DN 15 (1/2"), INSTALADO EM RAMAIS E SUB-RAMAIS DE GÁS - FORNECIMENTO E INSTALAÇÃO. AF_10/2020</v>
      </c>
    </row>
    <row r="558" spans="1:9" ht="50.4" x14ac:dyDescent="0.3">
      <c r="A558" s="88">
        <f t="shared" si="26"/>
        <v>550</v>
      </c>
      <c r="B558" s="89" t="str">
        <f>_xlfn.XLOOKUP(D558,Planilha!O:O,Planilha!C:C)</f>
        <v>02.05.01.11</v>
      </c>
      <c r="C558" s="90" t="str">
        <f>_xlfn.XLOOKUP($D558,Planilha!$O:$O,Planilha!F:F)</f>
        <v>COTOVELO EM COBRE, DN 35 MM, 90 GRAUS, SEM ANEL DE SOLDA, INSTALADO EM PRUMADA DE HIDRÁULICA PREDIAL - FORNECIMENTO E INSTALAÇÃO. AF_04/2022</v>
      </c>
      <c r="D558" s="91">
        <f>LARGE(Planilha!$O:$O,$A558)</f>
        <v>608.63</v>
      </c>
      <c r="E558" s="92">
        <f t="shared" si="24"/>
        <v>4.3727789334867457E-5</v>
      </c>
      <c r="F558" s="93">
        <f t="shared" si="25"/>
        <v>0.99337520794418321</v>
      </c>
      <c r="I558" s="73" t="str">
        <v>CPM.06.O - PAINEL EM CHAPA METÁLICA PERFURADA REDONDA EM AÇO INOX 304 - PERFURAÇÃO R8,00 EC11,00. ACABAMENTO EM PINTURA ELETROSTÁTICA COR RAL 7042 BRILHANTE. SUBESTRUTURA EM PERFIS DE AÇO INOX 304 E ACESSÓRIOS PARA FIXAÇÃO PINTADOS NA MESMA COR, PARAFUSOS SEM PINTURA.0,122 - 5,286m2</v>
      </c>
    </row>
    <row r="559" spans="1:9" ht="50.4" x14ac:dyDescent="0.3">
      <c r="A559" s="88">
        <f t="shared" si="26"/>
        <v>551</v>
      </c>
      <c r="B559" s="89" t="str">
        <f>_xlfn.XLOOKUP(D559,Planilha!O:O,Planilha!C:C)</f>
        <v>02.03.03.01.02</v>
      </c>
      <c r="C559" s="90" t="str">
        <f>_xlfn.XLOOKUP($D559,Planilha!$O:$O,Planilha!F:F)</f>
        <v>CAIXA RETANGULAR 4" X 4" BAIXA (0,30 M DO PISO), PVC, INSTALADA EM PAREDE - FORNECIMENTO E INSTALAÇÃO. AF_12/2015</v>
      </c>
      <c r="D559" s="91">
        <f>LARGE(Planilha!$O:$O,$A559)</f>
        <v>606</v>
      </c>
      <c r="E559" s="92">
        <f t="shared" si="24"/>
        <v>4.3538833670587515E-5</v>
      </c>
      <c r="F559" s="93">
        <f t="shared" si="25"/>
        <v>0.9934187467778538</v>
      </c>
      <c r="I559" s="73" t="str">
        <v>CONTRAVENTAGEM COM CABO PARA MASTRO DE DIÂMETRO 2´</v>
      </c>
    </row>
    <row r="560" spans="1:9" ht="33.6" x14ac:dyDescent="0.3">
      <c r="A560" s="88">
        <f t="shared" si="26"/>
        <v>552</v>
      </c>
      <c r="B560" s="89" t="str">
        <f>_xlfn.XLOOKUP(D560,Planilha!O:O,Planilha!C:C)</f>
        <v>02.04.02.02.09</v>
      </c>
      <c r="C560" s="90" t="str">
        <f>_xlfn.XLOOKUP($D560,Planilha!$O:$O,Planilha!F:F)</f>
        <v>CONECTOR DE LATÃO, COBRE OU BRONZE, JUNTAS SOLDADAS, 28MM X 1"</v>
      </c>
      <c r="D560" s="91">
        <f>LARGE(Planilha!$O:$O,$A560)</f>
        <v>602.64</v>
      </c>
      <c r="E560" s="92">
        <f t="shared" si="24"/>
        <v>4.3297430236374355E-5</v>
      </c>
      <c r="F560" s="93">
        <f t="shared" si="25"/>
        <v>0.99346204420809014</v>
      </c>
      <c r="I560" s="73" t="str">
        <v>CHAVE SECCIONADORA TRIPOLAR 63A, MANOBRA C/ CARGA ACIONAMENTO POR ALAVANCA P/ QUADRO DE DIST DE ENERGIA</v>
      </c>
    </row>
    <row r="561" spans="1:9" ht="50.4" x14ac:dyDescent="0.3">
      <c r="A561" s="88">
        <f t="shared" si="26"/>
        <v>553</v>
      </c>
      <c r="B561" s="89" t="str">
        <f>_xlfn.XLOOKUP(D561,Planilha!O:O,Planilha!C:C)</f>
        <v>02.02.14.09</v>
      </c>
      <c r="C561" s="90" t="str">
        <f>_xlfn.XLOOKUP($D561,Planilha!$O:$O,Planilha!F:F)</f>
        <v>BARRA DE APOIO RETA, EM ACO INOX POLIDO, COMPRIMENTO 80 CM,  FIXADA NA PAREDE - FORNECIMENTO E INSTALAÇÃO. AF_01/2020</v>
      </c>
      <c r="D561" s="91">
        <f>LARGE(Planilha!$O:$O,$A561)</f>
        <v>595.34</v>
      </c>
      <c r="E561" s="92">
        <f t="shared" si="24"/>
        <v>4.27729525370422E-5</v>
      </c>
      <c r="F561" s="93">
        <f t="shared" si="25"/>
        <v>0.99350481716062722</v>
      </c>
      <c r="I561" s="73" t="str">
        <v>LUVA EM COBRE, DN 35 MM, SEM ANEL DE SOLDA, INSTALADO EM PRUMADA DE HIDRÁULICA PREDIAL - FORNECIMENTO E INSTALAÇÃO. AF_04/2022</v>
      </c>
    </row>
    <row r="562" spans="1:9" x14ac:dyDescent="0.3">
      <c r="A562" s="88">
        <f t="shared" si="26"/>
        <v>554</v>
      </c>
      <c r="B562" s="89" t="str">
        <f>_xlfn.XLOOKUP(D562,Planilha!O:O,Planilha!C:C)</f>
        <v>02.03.11.11.03</v>
      </c>
      <c r="C562" s="90" t="str">
        <f>_xlfn.XLOOKUP($D562,Planilha!$O:$O,Planilha!F:F)</f>
        <v>CONTATORA 3RT10-15</v>
      </c>
      <c r="D562" s="91">
        <f>LARGE(Planilha!$O:$O,$A562)</f>
        <v>593.32000000000005</v>
      </c>
      <c r="E562" s="92">
        <f t="shared" si="24"/>
        <v>4.2627823091473577E-5</v>
      </c>
      <c r="F562" s="93">
        <f t="shared" si="25"/>
        <v>0.99354744498371872</v>
      </c>
      <c r="I562" s="73" t="str">
        <v>PORCA SEXTAVADA 1/4", BICROMATIZADA</v>
      </c>
    </row>
    <row r="563" spans="1:9" ht="67.2" x14ac:dyDescent="0.3">
      <c r="A563" s="88">
        <f t="shared" si="26"/>
        <v>555</v>
      </c>
      <c r="B563" s="89" t="str">
        <f>_xlfn.XLOOKUP(D563,Planilha!O:O,Planilha!C:C)</f>
        <v>02.03.11.11.12</v>
      </c>
      <c r="C563" s="90" t="str">
        <f>_xlfn.XLOOKUP($D563,Planilha!$O:$O,Planilha!F:F)</f>
        <v>QUADRO DE DISTRIBUIÇÃO DE ENERGIA EM CHAPA DE AÇO GALVANIZADO, DE EMBUTIR, COM BARRAMENTO TRIFÁSICO, PARA 24 DISJUNTORES DIN 100A - FORNECIMENTO E INSTALAÇÃO. AF_10/2020</v>
      </c>
      <c r="D563" s="91">
        <f>LARGE(Planilha!$O:$O,$A563)</f>
        <v>593.30999999999995</v>
      </c>
      <c r="E563" s="92">
        <f t="shared" si="24"/>
        <v>4.2627104628871746E-5</v>
      </c>
      <c r="F563" s="93">
        <f t="shared" si="25"/>
        <v>0.9935900720883476</v>
      </c>
      <c r="I563" s="73" t="str">
        <v>JOELHO 45 GRAUS, PVC, SERIE NORMAL, ESGOTO PREDIAL, DN 40 MM, JUNTA SOLDÁVEL, FORNECIDO E INSTALADO EM RAMAL DE DESCARGA OU RAMAL DE ESGOTO SANITÁRIO. AF_12/2014</v>
      </c>
    </row>
    <row r="564" spans="1:9" ht="67.2" x14ac:dyDescent="0.3">
      <c r="A564" s="88">
        <f t="shared" si="26"/>
        <v>556</v>
      </c>
      <c r="B564" s="89" t="str">
        <f>_xlfn.XLOOKUP(D564,Planilha!O:O,Planilha!C:C)</f>
        <v>02.03.11.11.12</v>
      </c>
      <c r="C564" s="90" t="str">
        <f>_xlfn.XLOOKUP($D564,Planilha!$O:$O,Planilha!F:F)</f>
        <v>QUADRO DE DISTRIBUIÇÃO DE ENERGIA EM CHAPA DE AÇO GALVANIZADO, DE EMBUTIR, COM BARRAMENTO TRIFÁSICO, PARA 24 DISJUNTORES DIN 100A - FORNECIMENTO E INSTALAÇÃO. AF_10/2020</v>
      </c>
      <c r="D564" s="91">
        <f>LARGE(Planilha!$O:$O,$A564)</f>
        <v>593.30999999999995</v>
      </c>
      <c r="E564" s="92">
        <f t="shared" si="24"/>
        <v>4.2627104628871746E-5</v>
      </c>
      <c r="F564" s="93">
        <f t="shared" si="25"/>
        <v>0.99363269919297648</v>
      </c>
      <c r="I564" s="73" t="str">
        <v>VÁLVULA EM METAL CROMADO 1.1/2 X 1.1/2 PARA TANQUE OU LAVATÓRIO, COM OU SEM LADRÃO - FORNECIMENTO E INSTALAÇÃO. AF_01/2020</v>
      </c>
    </row>
    <row r="565" spans="1:9" ht="67.2" x14ac:dyDescent="0.3">
      <c r="A565" s="88">
        <f t="shared" si="26"/>
        <v>557</v>
      </c>
      <c r="B565" s="89" t="str">
        <f>_xlfn.XLOOKUP(D565,Planilha!O:O,Planilha!C:C)</f>
        <v>02.03.11.11.12</v>
      </c>
      <c r="C565" s="90" t="str">
        <f>_xlfn.XLOOKUP($D565,Planilha!$O:$O,Planilha!F:F)</f>
        <v>QUADRO DE DISTRIBUIÇÃO DE ENERGIA EM CHAPA DE AÇO GALVANIZADO, DE EMBUTIR, COM BARRAMENTO TRIFÁSICO, PARA 24 DISJUNTORES DIN 100A - FORNECIMENTO E INSTALAÇÃO. AF_10/2020</v>
      </c>
      <c r="D565" s="91">
        <f>LARGE(Planilha!$O:$O,$A565)</f>
        <v>593.30999999999995</v>
      </c>
      <c r="E565" s="92">
        <f t="shared" si="24"/>
        <v>4.2627104628871746E-5</v>
      </c>
      <c r="F565" s="93">
        <f t="shared" si="25"/>
        <v>0.99367532629760535</v>
      </c>
      <c r="I565" s="73" t="str">
        <v>DISJUNTOR MONOPOLAR TIPO DIN, CORRENTE NOMINAL DE 16A - FORNECIMENTO E INSTALAÇÃO. AF_10/2020</v>
      </c>
    </row>
    <row r="566" spans="1:9" ht="33.6" x14ac:dyDescent="0.3">
      <c r="A566" s="88">
        <f t="shared" si="26"/>
        <v>558</v>
      </c>
      <c r="B566" s="89" t="str">
        <f>_xlfn.XLOOKUP(D566,Planilha!O:O,Planilha!C:C)</f>
        <v>02.01.07.04.11</v>
      </c>
      <c r="C566" s="90" t="str">
        <f>_xlfn.XLOOKUP($D566,Planilha!$O:$O,Planilha!F:F)</f>
        <v>LANÇAMENTO E ADENSAMENTO DE CONCRETO OU MASSA EM ESTRUTURA</v>
      </c>
      <c r="D566" s="91">
        <f>LARGE(Planilha!$O:$O,$A566)</f>
        <v>592.70000000000005</v>
      </c>
      <c r="E566" s="92">
        <f t="shared" si="24"/>
        <v>4.2583278410160434E-5</v>
      </c>
      <c r="F566" s="93">
        <f t="shared" si="25"/>
        <v>0.99371790957601547</v>
      </c>
      <c r="I566" s="73" t="str">
        <v>DISPOSITIVO DIFERENCIAL RESIDUAL DE 40 A X 30 MA - 4 POLOS</v>
      </c>
    </row>
    <row r="567" spans="1:9" x14ac:dyDescent="0.3">
      <c r="A567" s="88">
        <f t="shared" si="26"/>
        <v>559</v>
      </c>
      <c r="B567" s="89" t="str">
        <f>_xlfn.XLOOKUP(D567,Planilha!O:O,Planilha!C:C)</f>
        <v>02.03.11.13.05</v>
      </c>
      <c r="C567" s="90" t="str">
        <f>_xlfn.XLOOKUP($D567,Planilha!$O:$O,Planilha!F:F)</f>
        <v>DISPOSITIVO DIFERENCIAL RESIDUAL DE 25 A X 30 MA - 4 POLOS</v>
      </c>
      <c r="D567" s="91">
        <f>LARGE(Planilha!$O:$O,$A567)</f>
        <v>586.91999999999996</v>
      </c>
      <c r="E567" s="92">
        <f t="shared" si="24"/>
        <v>4.2168007026305651E-5</v>
      </c>
      <c r="F567" s="93">
        <f t="shared" si="25"/>
        <v>0.99376007758304175</v>
      </c>
      <c r="I567" s="73" t="str">
        <v>CORRENTE</v>
      </c>
    </row>
    <row r="568" spans="1:9" ht="50.4" x14ac:dyDescent="0.3">
      <c r="A568" s="88">
        <f t="shared" si="26"/>
        <v>560</v>
      </c>
      <c r="B568" s="89" t="str">
        <f>_xlfn.XLOOKUP(D568,Planilha!O:O,Planilha!C:C)</f>
        <v>02.03.09.10</v>
      </c>
      <c r="C568" s="90" t="str">
        <f>_xlfn.XLOOKUP($D568,Planilha!$O:$O,Planilha!F:F)</f>
        <v>ELETRODUTO DE AÇO GALVANIZADO, CLASSE LEVE, DN 20 MM (3/4), APARENTE, INSTALADO EM TETO - FORNECIMENTO E INSTALAÇÃO. AF_11/2016_P</v>
      </c>
      <c r="D568" s="91">
        <f>LARGE(Planilha!$O:$O,$A568)</f>
        <v>578.52</v>
      </c>
      <c r="E568" s="92">
        <f t="shared" si="24"/>
        <v>4.1564498440772757E-5</v>
      </c>
      <c r="F568" s="93">
        <f t="shared" si="25"/>
        <v>0.99380164208148247</v>
      </c>
      <c r="I568" s="73" t="str">
        <v>REGISTRO DE GAVETA BRUTO, LATÃO, ROSCÁVEL, 1", COM ACABAMENTO E CANOPLA CROMADOS - FORNECIMENTO E INSTALAÇÃO. AF_08/2021</v>
      </c>
    </row>
    <row r="569" spans="1:9" ht="33.6" x14ac:dyDescent="0.3">
      <c r="A569" s="88">
        <f t="shared" si="26"/>
        <v>561</v>
      </c>
      <c r="B569" s="89" t="str">
        <f>_xlfn.XLOOKUP(D569,Planilha!O:O,Planilha!C:C)</f>
        <v>02.04.04.02.05</v>
      </c>
      <c r="C569" s="90" t="str">
        <f>_xlfn.XLOOKUP($D569,Planilha!$O:$O,Planilha!F:F)</f>
        <v>REGISTRO DE GAVETA BRUTO, LATÃO, ROSCÁVEL, 3" - FORNECIMENTO E INSTALAÇÃO. AF_08/2021</v>
      </c>
      <c r="D569" s="91">
        <f>LARGE(Planilha!$O:$O,$A569)</f>
        <v>575.72</v>
      </c>
      <c r="E569" s="92">
        <f t="shared" si="24"/>
        <v>4.136332891226179E-5</v>
      </c>
      <c r="F569" s="93">
        <f t="shared" si="25"/>
        <v>0.99384300541039472</v>
      </c>
      <c r="I569" s="73" t="str">
        <v>ARMAÇÃO DE PILAR OU VIGA DE UMA ESTRUTURA CONVENCIONAL DE CONCRETO ARMADO EM UMA EDIFICAÇÃO TÉRREA OU SOBRADO UTILIZANDO AÇO CA-50 DE 20,0 MM - MONTAGEM. AF_12/2015</v>
      </c>
    </row>
    <row r="570" spans="1:9" ht="33.6" x14ac:dyDescent="0.3">
      <c r="A570" s="88">
        <f t="shared" si="26"/>
        <v>562</v>
      </c>
      <c r="B570" s="89" t="str">
        <f>_xlfn.XLOOKUP(D570,Planilha!O:O,Planilha!C:C)</f>
        <v>02.04.04.01.10</v>
      </c>
      <c r="C570" s="90" t="str">
        <f>_xlfn.XLOOKUP($D570,Planilha!$O:$O,Planilha!F:F)</f>
        <v>FORNECIMENTO E ASSENTAMENTO DE UNIÃO DE FERRO GALVANIZADO ASSENTO BRONZE DE 2 1/2"</v>
      </c>
      <c r="D570" s="91">
        <f>LARGE(Planilha!$O:$O,$A570)</f>
        <v>575.04</v>
      </c>
      <c r="E570" s="92">
        <f t="shared" si="24"/>
        <v>4.1314473455337697E-5</v>
      </c>
      <c r="F570" s="93">
        <f t="shared" si="25"/>
        <v>0.99388431988385006</v>
      </c>
      <c r="I570" s="73" t="str">
        <v>CAIXA DE PASSAGEM PVC 20 X 20CM, SISTEMA "X", COM TAMPA</v>
      </c>
    </row>
    <row r="571" spans="1:9" x14ac:dyDescent="0.3">
      <c r="A571" s="88">
        <f t="shared" si="26"/>
        <v>563</v>
      </c>
      <c r="B571" s="89" t="str">
        <f>_xlfn.XLOOKUP(D571,Planilha!O:O,Planilha!C:C)</f>
        <v>02.03.11.12.14</v>
      </c>
      <c r="C571" s="90" t="str">
        <f>_xlfn.XLOOKUP($D571,Planilha!$O:$O,Planilha!F:F)</f>
        <v>RELÉ DE TEMPO 7PU05</v>
      </c>
      <c r="D571" s="91">
        <f>LARGE(Planilha!$O:$O,$A571)</f>
        <v>572.32000000000005</v>
      </c>
      <c r="E571" s="92">
        <f t="shared" si="24"/>
        <v>4.1119051627641334E-5</v>
      </c>
      <c r="F571" s="93">
        <f t="shared" si="25"/>
        <v>0.99392543893547769</v>
      </c>
      <c r="I571" s="73" t="str">
        <v>JOELHO 45 GRAUS, PVC, SERIE NORMAL, ESGOTO PREDIAL, DN 75 MM, JUNTA ELÁSTICA, FORNECIDO E INSTALADO EM RAMAL DE DESCARGA OU RAMAL DE ESGOTO SANITÁRIO. AF_12/2014</v>
      </c>
    </row>
    <row r="572" spans="1:9" x14ac:dyDescent="0.3">
      <c r="A572" s="88">
        <f t="shared" si="26"/>
        <v>564</v>
      </c>
      <c r="B572" s="89" t="str">
        <f>_xlfn.XLOOKUP(D572,Planilha!O:O,Planilha!C:C)</f>
        <v>02.03.06.10</v>
      </c>
      <c r="C572" s="90" t="str">
        <f>_xlfn.XLOOKUP($D572,Planilha!$O:$O,Planilha!F:F)</f>
        <v>CONDULETE EM ALUMÍNIO TIPO "C" DE 2"</v>
      </c>
      <c r="D572" s="91">
        <f>LARGE(Planilha!$O:$O,$A572)</f>
        <v>569.67999999999995</v>
      </c>
      <c r="E572" s="92">
        <f t="shared" si="24"/>
        <v>4.0929377500759561E-5</v>
      </c>
      <c r="F572" s="93">
        <f t="shared" si="25"/>
        <v>0.99396636831297847</v>
      </c>
      <c r="I572" s="73" t="str">
        <v>MANÔMETRO PARA AUTOMATIZAÇÃO DO SISTEMA DE INCÊNDIO, ESCALA 0 A 100MCA, FABRICANTE DOX.</v>
      </c>
    </row>
    <row r="573" spans="1:9" ht="50.4" x14ac:dyDescent="0.3">
      <c r="A573" s="88">
        <f t="shared" si="26"/>
        <v>565</v>
      </c>
      <c r="B573" s="89" t="str">
        <f>_xlfn.XLOOKUP(D573,Planilha!O:O,Planilha!C:C)</f>
        <v>02.04.03.07.04</v>
      </c>
      <c r="C573" s="90" t="str">
        <f>_xlfn.XLOOKUP($D573,Planilha!$O:$O,Planilha!F:F)</f>
        <v>TRANSPORTE COM CAMINHÃO BASCULANTE DE 10 M³, EM VIA URBANA PAVIMENTADA, DMT ATÉ 30 KM (UNIDADE: M3XKM). AF_07/2020</v>
      </c>
      <c r="D573" s="91">
        <f>LARGE(Planilha!$O:$O,$A573)</f>
        <v>566.35</v>
      </c>
      <c r="E573" s="92">
        <f t="shared" si="24"/>
        <v>4.0690129454351886E-5</v>
      </c>
      <c r="F573" s="93">
        <f t="shared" si="25"/>
        <v>0.99400705844243287</v>
      </c>
      <c r="I573" s="73" t="str">
        <v>CONECTOR COBRE 35MMX1.1/4""</v>
      </c>
    </row>
    <row r="574" spans="1:9" ht="33.6" x14ac:dyDescent="0.3">
      <c r="A574" s="88">
        <f t="shared" si="26"/>
        <v>566</v>
      </c>
      <c r="B574" s="89" t="str">
        <f>_xlfn.XLOOKUP(D574,Planilha!O:O,Planilha!C:C)</f>
        <v>02.04.03.07.09</v>
      </c>
      <c r="C574" s="90" t="str">
        <f>_xlfn.XLOOKUP($D574,Planilha!$O:$O,Planilha!F:F)</f>
        <v>ARMAÇÃO DE BLOCO, VIGA BALDRAME OU SAPATA UTILIZANDO AÇO CA-50 DE 8 MM - MONTAGEM. AF_06/2017</v>
      </c>
      <c r="D574" s="91">
        <f>LARGE(Planilha!$O:$O,$A574)</f>
        <v>566.24</v>
      </c>
      <c r="E574" s="92">
        <f t="shared" si="24"/>
        <v>4.0682226365731811E-5</v>
      </c>
      <c r="F574" s="93">
        <f t="shared" si="25"/>
        <v>0.99404774066879864</v>
      </c>
      <c r="I574" s="73" t="str">
        <v>FORNECIMENTO E INSTALAÇÃO DE PARAFUSO CABEÇA LENTILHA 1/4" X 1/2" (REF. VL 1.68 VALEMAM OU SIMILAR)</v>
      </c>
    </row>
    <row r="575" spans="1:9" ht="33.6" x14ac:dyDescent="0.3">
      <c r="A575" s="88">
        <f t="shared" si="26"/>
        <v>567</v>
      </c>
      <c r="B575" s="89" t="str">
        <f>_xlfn.XLOOKUP(D575,Planilha!O:O,Planilha!C:C)</f>
        <v>02.03.03.03.34</v>
      </c>
      <c r="C575" s="90" t="str">
        <f>_xlfn.XLOOKUP($D575,Planilha!$O:$O,Planilha!F:F)</f>
        <v>ELETRODUTO GALVANIZADO CONFORME NBR13057 -  4´ COM ACESSÓRIOS</v>
      </c>
      <c r="D575" s="91">
        <f>LARGE(Planilha!$O:$O,$A575)</f>
        <v>562.53</v>
      </c>
      <c r="E575" s="92">
        <f t="shared" si="24"/>
        <v>4.0415676740454777E-5</v>
      </c>
      <c r="F575" s="93">
        <f t="shared" si="25"/>
        <v>0.99408815634553904</v>
      </c>
      <c r="I575" s="73" t="str">
        <v>VÁLVULA DE ESFERA BRUTA, BRONZE, ROSCÁVEL, 1'' - FORNECIMENTO E INSTALAÇÃO. AF_08/2021</v>
      </c>
    </row>
    <row r="576" spans="1:9" ht="50.4" x14ac:dyDescent="0.3">
      <c r="A576" s="88">
        <f t="shared" si="26"/>
        <v>568</v>
      </c>
      <c r="B576" s="89" t="str">
        <f>_xlfn.XLOOKUP(D576,Planilha!O:O,Planilha!C:C)</f>
        <v>02.04.02.01.13</v>
      </c>
      <c r="C576" s="90" t="str">
        <f>_xlfn.XLOOKUP($D576,Planilha!$O:$O,Planilha!F:F)</f>
        <v>JOELHO 90 GRAUS COM BUCHA DE LATÃO, PVC, SOLDÁVEL, DN 25MM, X 3/4 INSTALADO EM RAMAL OU SUB-RAMAL DE ÁGUA - FORNECIMENTO E INSTALAÇÃO. AF_12/2014</v>
      </c>
      <c r="D576" s="91">
        <f>LARGE(Planilha!$O:$O,$A576)</f>
        <v>561.4</v>
      </c>
      <c r="E576" s="92">
        <f t="shared" si="24"/>
        <v>4.0334490466448566E-5</v>
      </c>
      <c r="F576" s="93">
        <f t="shared" si="25"/>
        <v>0.99412849083600552</v>
      </c>
      <c r="I576" s="73" t="str">
        <v>PLACA DE 4´ X 2´</v>
      </c>
    </row>
    <row r="577" spans="1:9" ht="33.6" x14ac:dyDescent="0.3">
      <c r="A577" s="88">
        <f t="shared" si="26"/>
        <v>569</v>
      </c>
      <c r="B577" s="89" t="str">
        <f>_xlfn.XLOOKUP(D577,Planilha!O:O,Planilha!C:C)</f>
        <v>02.03.11.05.01</v>
      </c>
      <c r="C577" s="90" t="str">
        <f>_xlfn.XLOOKUP($D577,Planilha!$O:$O,Planilha!F:F)</f>
        <v>CHAVE SECCIONADORA TRIPOLAR, ABERTURA SOB CARGA, COM FUSÍVEIS NH00 - 125A/500V</v>
      </c>
      <c r="D577" s="91">
        <f>LARGE(Planilha!$O:$O,$A577)</f>
        <v>559.08000000000004</v>
      </c>
      <c r="E577" s="92">
        <f t="shared" si="24"/>
        <v>4.0167807142825202E-5</v>
      </c>
      <c r="F577" s="93">
        <f t="shared" si="25"/>
        <v>0.9941686586431483</v>
      </c>
      <c r="I577" s="73" t="str">
        <v>ADAPTADOR COM FLANGES LIVRES, PVC, SOLDÁVEL LONGO, DN 40 MM X 1 1/4 , INSTALADO EM RESERVAÇÃO DE ÁGUA DE EDIFICAÇÃO QUE POSSUA RESERVATÓRIO DE FIBRA/FIBROCIMENTO   FORNECIMENTO E INSTALAÇÃO. AF_06/2016</v>
      </c>
    </row>
    <row r="578" spans="1:9" ht="50.4" x14ac:dyDescent="0.3">
      <c r="A578" s="88">
        <f t="shared" si="26"/>
        <v>570</v>
      </c>
      <c r="B578" s="89" t="str">
        <f>_xlfn.XLOOKUP(D578,Planilha!O:O,Planilha!C:C)</f>
        <v>02.04.02.02.04</v>
      </c>
      <c r="C578" s="90" t="str">
        <f>_xlfn.XLOOKUP($D578,Planilha!$O:$O,Planilha!F:F)</f>
        <v>COTOVELO EM COBRE, DN 35 MM, 90 GRAUS, SEM ANEL DE SOLDA, INSTALADO EM PRUMADA DE HIDRÁULICA PREDIAL - FORNECIMENTO E INSTALAÇÃO. AF_04/2022</v>
      </c>
      <c r="D578" s="91">
        <f>LARGE(Planilha!$O:$O,$A578)</f>
        <v>553.29999999999995</v>
      </c>
      <c r="E578" s="92">
        <f t="shared" si="24"/>
        <v>3.9752535758970413E-5</v>
      </c>
      <c r="F578" s="93">
        <f t="shared" si="25"/>
        <v>0.99420841117890724</v>
      </c>
      <c r="I578" s="73" t="str">
        <v>CAP DE PVC RÍGIDO C/ ANÉIS P/ ESGOTO, DIÂM. =150MM</v>
      </c>
    </row>
    <row r="579" spans="1:9" ht="50.4" x14ac:dyDescent="0.3">
      <c r="A579" s="88">
        <f t="shared" si="26"/>
        <v>571</v>
      </c>
      <c r="B579" s="89" t="str">
        <f>_xlfn.XLOOKUP(D579,Planilha!O:O,Planilha!C:C)</f>
        <v>02.04.03.01.25</v>
      </c>
      <c r="C579" s="90" t="str">
        <f>_xlfn.XLOOKUP($D579,Planilha!$O:$O,Planilha!F:F)</f>
        <v>TE, PVC, SERIE NORMAL, ESGOTO PREDIAL, DN 50 X 50 MM, JUNTA ELÁSTICA, FORNECIDO E INSTALADO EM RAMAL DE DESCARGA OU RAMAL DE ESGOTO SANITÁRIO. AF_12/2014</v>
      </c>
      <c r="D579" s="91">
        <f>LARGE(Planilha!$O:$O,$A579)</f>
        <v>552.71</v>
      </c>
      <c r="E579" s="92">
        <f t="shared" si="24"/>
        <v>3.9710146465462755E-5</v>
      </c>
      <c r="F579" s="93">
        <f t="shared" si="25"/>
        <v>0.99424812132537266</v>
      </c>
      <c r="I579" s="73" t="str">
        <v>ADAPTADOR CURTO COM BOLSA E ROSCA PARA REGISTRO, PVC, SOLDÁVEL, DN 25MM X 3/4, INSTALADO EM RAMAL DE DISTRIBUIÇÃO DE ÁGUA - FORNECIMENTO E INSTALAÇÃO. AF_12/2014</v>
      </c>
    </row>
    <row r="580" spans="1:9" ht="33.6" x14ac:dyDescent="0.3">
      <c r="A580" s="88">
        <f t="shared" si="26"/>
        <v>572</v>
      </c>
      <c r="B580" s="89" t="str">
        <f>_xlfn.XLOOKUP(D580,Planilha!O:O,Planilha!C:C)</f>
        <v>02.04.02.01.07</v>
      </c>
      <c r="C580" s="90" t="str">
        <f>_xlfn.XLOOKUP($D580,Planilha!$O:$O,Planilha!F:F)</f>
        <v>JOELHO 90 GRAUS, PVC, SOLDÁVEL, DN 25MM, INSTALADO EM PRUMADA DE ÁGUA - FORNECIMENTO E INSTALAÇÃO. AF_12/2014</v>
      </c>
      <c r="D580" s="91">
        <f>LARGE(Planilha!$O:$O,$A580)</f>
        <v>552.52</v>
      </c>
      <c r="E580" s="92">
        <f t="shared" si="24"/>
        <v>3.9696495676028076E-5</v>
      </c>
      <c r="F580" s="93">
        <f t="shared" si="25"/>
        <v>0.99428781782104869</v>
      </c>
      <c r="I580" s="73" t="str">
        <v>CAPTOR TIPO FRANKLIN PARA SPDA - FORNECIMENTO E INSTALAÇÃO. AF_12/2017</v>
      </c>
    </row>
    <row r="581" spans="1:9" ht="50.4" x14ac:dyDescent="0.3">
      <c r="A581" s="88">
        <f t="shared" si="26"/>
        <v>573</v>
      </c>
      <c r="B581" s="89" t="str">
        <f>_xlfn.XLOOKUP(D581,Planilha!O:O,Planilha!C:C)</f>
        <v>02.04.01.01.19</v>
      </c>
      <c r="C581" s="90" t="str">
        <f>_xlfn.XLOOKUP($D581,Planilha!$O:$O,Planilha!F:F)</f>
        <v>TÊ, PVC, SERIE R, ÁGUA PLUVIAL, DN 100 X 100 MM, JUNTA ELÁSTICA, FORNECIDO E INSTALADO EM CONDUTORES VERTICAIS DE ÁGUAS PLUVIAIS. AF_12/2014</v>
      </c>
      <c r="D581" s="91">
        <f>LARGE(Planilha!$O:$O,$A581)</f>
        <v>538.02</v>
      </c>
      <c r="E581" s="92">
        <f t="shared" si="24"/>
        <v>3.8654724903382004E-5</v>
      </c>
      <c r="F581" s="93">
        <f t="shared" si="25"/>
        <v>0.99432647254595208</v>
      </c>
      <c r="I581" s="73" t="str">
        <v>CONECTOR SPLIT-BOLT PARA CABO DE 50 MM², LATÃO, SIMPLES</v>
      </c>
    </row>
    <row r="582" spans="1:9" x14ac:dyDescent="0.3">
      <c r="A582" s="88">
        <f t="shared" si="26"/>
        <v>574</v>
      </c>
      <c r="B582" s="89" t="str">
        <f>_xlfn.XLOOKUP(D582,Planilha!O:O,Planilha!C:C)</f>
        <v>02.03.02.01.18</v>
      </c>
      <c r="C582" s="90" t="str">
        <f>_xlfn.XLOOKUP($D582,Planilha!$O:$O,Planilha!F:F)</f>
        <v>SAIDA HORIZONTAL PARA ELETRODUTO 3/4""</v>
      </c>
      <c r="D582" s="91">
        <f>LARGE(Planilha!$O:$O,$A582)</f>
        <v>537.03</v>
      </c>
      <c r="E582" s="92">
        <f t="shared" si="24"/>
        <v>3.858359710580134E-5</v>
      </c>
      <c r="F582" s="93">
        <f t="shared" si="25"/>
        <v>0.99436505614305792</v>
      </c>
      <c r="I582" s="73" t="str">
        <v>DISJUNTOR TRIPOLAR TIPO DIN, CORRENTE NOMINAL DE 16A - FORNECIMENTO E INSTALAÇÃO. AF_10/2020</v>
      </c>
    </row>
    <row r="583" spans="1:9" x14ac:dyDescent="0.3">
      <c r="A583" s="88">
        <f t="shared" si="26"/>
        <v>575</v>
      </c>
      <c r="B583" s="89" t="str">
        <f>_xlfn.XLOOKUP(D583,Planilha!O:O,Planilha!C:C)</f>
        <v>02.03.10.01.02</v>
      </c>
      <c r="C583" s="90" t="str">
        <f>_xlfn.XLOOKUP($D583,Planilha!$O:$O,Planilha!F:F)</f>
        <v>MASTRO DE PARA-RAIOS 1.1/2""X3,0M</v>
      </c>
      <c r="D583" s="91">
        <f>LARGE(Planilha!$O:$O,$A583)</f>
        <v>533</v>
      </c>
      <c r="E583" s="92">
        <f t="shared" si="24"/>
        <v>3.8294056677265918E-5</v>
      </c>
      <c r="F583" s="93">
        <f t="shared" si="25"/>
        <v>0.99440335019973514</v>
      </c>
      <c r="I583" s="73" t="str">
        <v>CONECTOR SPLIT-BOLT PARA CABO DE 35 MM², LATÃO, COM RABICHO</v>
      </c>
    </row>
    <row r="584" spans="1:9" ht="67.2" x14ac:dyDescent="0.3">
      <c r="A584" s="88">
        <f t="shared" si="26"/>
        <v>576</v>
      </c>
      <c r="B584" s="89" t="str">
        <f>_xlfn.XLOOKUP(D584,Planilha!O:O,Planilha!C:C)</f>
        <v>02.04.03.01.26</v>
      </c>
      <c r="C584" s="90" t="str">
        <f>_xlfn.XLOOKUP($D584,Planilha!$O:$O,Planilha!F:F)</f>
        <v>TÊ DE REDUÇÃO, PVC, SOLDÁVEL, DN 75 MM X 50 MM, INSTALADO EM RESERVAÇÃO DE ÁGUA DE EDIFICAÇÃO QUE POSSUA RESERVATÓRIO DE FIBRA/FIBROCIMENTO   FORNECIMENTO E INSTALAÇÃO. AF_06/2016</v>
      </c>
      <c r="D584" s="91">
        <f>LARGE(Planilha!$O:$O,$A584)</f>
        <v>529.54999999999995</v>
      </c>
      <c r="E584" s="92">
        <f t="shared" si="24"/>
        <v>3.804618707963633E-5</v>
      </c>
      <c r="F584" s="93">
        <f t="shared" si="25"/>
        <v>0.99444139638681472</v>
      </c>
      <c r="I584" s="73" t="str">
        <v>BOTÃO DE COMANDO DUPLO COM SINALEIRA - SIEMENS OU SIMILAR</v>
      </c>
    </row>
    <row r="585" spans="1:9" ht="100.8" x14ac:dyDescent="0.3">
      <c r="A585" s="88">
        <f t="shared" si="26"/>
        <v>577</v>
      </c>
      <c r="B585" s="89" t="str">
        <f>_xlfn.XLOOKUP(D585,Planilha!O:O,Planilha!C:C)</f>
        <v>02.02.15.05.26</v>
      </c>
      <c r="C585" s="90" t="str">
        <f>_xlfn.XLOOKUP($D585,Planilha!$O:$O,Planilha!F:F)</f>
        <v>CPM.06.M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585" s="91">
        <f>LARGE(Planilha!$O:$O,$A585)</f>
        <v>528.28</v>
      </c>
      <c r="E585" s="92">
        <f t="shared" ref="E585:E648" si="27">D585/$D$933</f>
        <v>3.7954942329204572E-5</v>
      </c>
      <c r="F585" s="93">
        <f t="shared" ref="F585:F648" si="28">+E585+F584</f>
        <v>0.99447935132914389</v>
      </c>
      <c r="I585" s="73" t="str">
        <v>ADAPTADOR COM FLANGES LIVRES, PVC, SOLDÁVEL LONGO, DN 60 MM X 2 , INSTALADO EM RESERVAÇÃO DE ÁGUA DE EDIFICAÇÃO QUE POSSUA RESERVATÓRIO DE FIBRA/FIBROCIMENTO   FORNECIMENTO E INSTALAÇÃO. AF_06/2016</v>
      </c>
    </row>
    <row r="586" spans="1:9" ht="100.8" x14ac:dyDescent="0.3">
      <c r="A586" s="88">
        <f t="shared" si="26"/>
        <v>578</v>
      </c>
      <c r="B586" s="89" t="str">
        <f>_xlfn.XLOOKUP(D586,Planilha!O:O,Planilha!C:C)</f>
        <v>02.02.15.05.26</v>
      </c>
      <c r="C586" s="90" t="str">
        <f>_xlfn.XLOOKUP($D586,Planilha!$O:$O,Planilha!F:F)</f>
        <v>CPM.06.M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586" s="91">
        <f>LARGE(Planilha!$O:$O,$A586)</f>
        <v>528.28</v>
      </c>
      <c r="E586" s="92">
        <f t="shared" si="27"/>
        <v>3.7954942329204572E-5</v>
      </c>
      <c r="F586" s="93">
        <f t="shared" si="28"/>
        <v>0.99451730627147306</v>
      </c>
      <c r="I586" s="73" t="str">
        <v>REGISTRO OU VÁLVULA GLOBO ANGULAR EM LATÃO, PARA HIDRANTES EM INSTALAÇÃO PREDIAL DE INCÊNDIO, 45 GRAUS, 2 1/2" - FORNECIMENTO E INSTALAÇÃO. AF_08/2021</v>
      </c>
    </row>
    <row r="587" spans="1:9" ht="50.4" x14ac:dyDescent="0.3">
      <c r="A587" s="88">
        <f t="shared" ref="A587:A650" si="29">+A586+1</f>
        <v>579</v>
      </c>
      <c r="B587" s="89" t="str">
        <f>_xlfn.XLOOKUP(D587,Planilha!O:O,Planilha!C:C)</f>
        <v>02.03.03.01.04</v>
      </c>
      <c r="C587" s="90" t="str">
        <f>_xlfn.XLOOKUP($D587,Planilha!$O:$O,Planilha!F:F)</f>
        <v>LUVA DE EMENDA PARA ELETRODUTO, AÇO GALVANIZADO, DN 25 MM (1''), APARENTE, INSTALADA EM PAREDE - FORNECIMENTO E INSTALAÇÃO. AF_11/2016_P</v>
      </c>
      <c r="D587" s="91">
        <f>LARGE(Planilha!$O:$O,$A587)</f>
        <v>524.1</v>
      </c>
      <c r="E587" s="92">
        <f t="shared" si="27"/>
        <v>3.765462496164178E-5</v>
      </c>
      <c r="F587" s="93">
        <f t="shared" si="28"/>
        <v>0.99455496089643469</v>
      </c>
      <c r="I587" s="73" t="str">
        <v>JOELHO 45 GRAUS, PVC, SERIE NORMAL, ESGOTO PREDIAL, DN 50 MM, JUNTA ELÁSTICA, FORNECIDO E INSTALADO EM RAMAL DE DESCARGA OU RAMAL DE ESGOTO SANITÁRIO. AF_12/2014</v>
      </c>
    </row>
    <row r="588" spans="1:9" ht="33.6" x14ac:dyDescent="0.3">
      <c r="A588" s="88">
        <f t="shared" si="29"/>
        <v>580</v>
      </c>
      <c r="B588" s="89" t="str">
        <f>_xlfn.XLOOKUP(D588,Planilha!O:O,Planilha!C:C)</f>
        <v>02.04.02.01.12</v>
      </c>
      <c r="C588" s="90" t="str">
        <f>_xlfn.XLOOKUP($D588,Planilha!$O:$O,Planilha!F:F)</f>
        <v>JOELHO 90 GRAUS, PVC, SOLDÁVEL, DN 85MM, INSTALADO EM PRUMADA DE ÁGUA - FORNECIMENTO E INSTALAÇÃO. AF_12/2014</v>
      </c>
      <c r="D588" s="91">
        <f>LARGE(Planilha!$O:$O,$A588)</f>
        <v>521.67999999999995</v>
      </c>
      <c r="E588" s="92">
        <f t="shared" si="27"/>
        <v>3.7480757012000157E-5</v>
      </c>
      <c r="F588" s="93">
        <f t="shared" si="28"/>
        <v>0.99459244165344673</v>
      </c>
      <c r="I588" s="73" t="str">
        <v>CONECTOR RETO DE ALUMINIO PARA ELETRODUTO DE 3/4", PARA ADAPTAR ENTRADA DE ELETRODUTO METALICO FLEXIVEL EM QUADROS - FORNECIMENTO E INSTALAÇÃO</v>
      </c>
    </row>
    <row r="589" spans="1:9" ht="33.6" x14ac:dyDescent="0.3">
      <c r="A589" s="88">
        <f t="shared" si="29"/>
        <v>581</v>
      </c>
      <c r="B589" s="89" t="str">
        <f>_xlfn.XLOOKUP(D589,Planilha!O:O,Planilha!C:C)</f>
        <v>02.03.11.04.05</v>
      </c>
      <c r="C589" s="90" t="str">
        <f>_xlfn.XLOOKUP($D589,Planilha!$O:$O,Planilha!F:F)</f>
        <v>DISJUNTOR BIPOLAR TIPO DIN, CORRENTE NOMINAL DE 16A - FORNECIMENTO E INSTALAÇÃO. AF_10/2020</v>
      </c>
      <c r="D589" s="91">
        <f>LARGE(Planilha!$O:$O,$A589)</f>
        <v>517.29999999999995</v>
      </c>
      <c r="E589" s="92">
        <f t="shared" si="27"/>
        <v>3.7166070392400862E-5</v>
      </c>
      <c r="F589" s="93">
        <f t="shared" si="28"/>
        <v>0.99462960772383913</v>
      </c>
      <c r="I589" s="73" t="str">
        <v>COTOVELO EM COBRE, DN 22 MM, 90 GRAUS, SEM ANEL DE SOLDA, INSTALADO EM RAMAL DE DISTRIBUIÇÃO DE HIDRÁULICA PREDIAL - FORNECIMENTO E INSTALAÇÃO. AF_04/2022</v>
      </c>
    </row>
    <row r="590" spans="1:9" ht="33.6" x14ac:dyDescent="0.3">
      <c r="A590" s="88">
        <f t="shared" si="29"/>
        <v>582</v>
      </c>
      <c r="B590" s="89" t="str">
        <f>_xlfn.XLOOKUP(D590,Planilha!O:O,Planilha!C:C)</f>
        <v>02.03.11.04.05</v>
      </c>
      <c r="C590" s="90" t="str">
        <f>_xlfn.XLOOKUP($D590,Planilha!$O:$O,Planilha!F:F)</f>
        <v>DISJUNTOR BIPOLAR TIPO DIN, CORRENTE NOMINAL DE 16A - FORNECIMENTO E INSTALAÇÃO. AF_10/2020</v>
      </c>
      <c r="D590" s="91">
        <f>LARGE(Planilha!$O:$O,$A590)</f>
        <v>517.29999999999995</v>
      </c>
      <c r="E590" s="92">
        <f t="shared" si="27"/>
        <v>3.7166070392400862E-5</v>
      </c>
      <c r="F590" s="93">
        <f t="shared" si="28"/>
        <v>0.99466677379423152</v>
      </c>
      <c r="I590" s="73" t="str">
        <v>CONJUNTO PARA JUNTA INTERNA "L"</v>
      </c>
    </row>
    <row r="591" spans="1:9" ht="33.6" x14ac:dyDescent="0.3">
      <c r="A591" s="88">
        <f t="shared" si="29"/>
        <v>583</v>
      </c>
      <c r="B591" s="89" t="str">
        <f>_xlfn.XLOOKUP(D591,Planilha!O:O,Planilha!C:C)</f>
        <v>02.03.11.04.05</v>
      </c>
      <c r="C591" s="90" t="str">
        <f>_xlfn.XLOOKUP($D591,Planilha!$O:$O,Planilha!F:F)</f>
        <v>DISJUNTOR BIPOLAR TIPO DIN, CORRENTE NOMINAL DE 16A - FORNECIMENTO E INSTALAÇÃO. AF_10/2020</v>
      </c>
      <c r="D591" s="91">
        <f>LARGE(Planilha!$O:$O,$A591)</f>
        <v>517.29999999999995</v>
      </c>
      <c r="E591" s="92">
        <f t="shared" si="27"/>
        <v>3.7166070392400862E-5</v>
      </c>
      <c r="F591" s="93">
        <f t="shared" si="28"/>
        <v>0.99470393986462391</v>
      </c>
      <c r="I591" s="73" t="str">
        <v>REDUÇÃO EXCÊNTRICA, PVC, SERIE R, ÁGUA PLUVIAL, DN 100 X 75 MM, JUNTA ELÁSTICA, FORNECIDO E INSTALADO EM CONDUTORES VERTICAIS DE ÁGUAS PLUVIAIS. AF_12/2014</v>
      </c>
    </row>
    <row r="592" spans="1:9" ht="33.6" x14ac:dyDescent="0.3">
      <c r="A592" s="88">
        <f t="shared" si="29"/>
        <v>584</v>
      </c>
      <c r="B592" s="89" t="str">
        <f>_xlfn.XLOOKUP(D592,Planilha!O:O,Planilha!C:C)</f>
        <v>02.01.07.04.07</v>
      </c>
      <c r="C592" s="90" t="str">
        <f>_xlfn.XLOOKUP($D592,Planilha!$O:$O,Planilha!F:F)</f>
        <v>LASTRO DE CONCRETO MAGRO, APLICADO EM BLOCOS DE COROAMENTO OU SAPATAS. AF_08/2017</v>
      </c>
      <c r="D592" s="91">
        <f>LARGE(Planilha!$O:$O,$A592)</f>
        <v>516.82000000000005</v>
      </c>
      <c r="E592" s="92">
        <f t="shared" si="27"/>
        <v>3.7131584187513272E-5</v>
      </c>
      <c r="F592" s="93">
        <f t="shared" si="28"/>
        <v>0.99474107144881141</v>
      </c>
      <c r="I592" s="73" t="str">
        <v>CAIXA DE PASSAGEM Nº 3 PADRÃO TELEBRÁS DIM. (40 X 40 X 12) CM EM CHAPA DE AÇO GALVANIZADO</v>
      </c>
    </row>
    <row r="593" spans="1:9" ht="100.8" x14ac:dyDescent="0.3">
      <c r="A593" s="88">
        <f t="shared" si="29"/>
        <v>585</v>
      </c>
      <c r="B593" s="89" t="str">
        <f>_xlfn.XLOOKUP(D593,Planilha!O:O,Planilha!C:C)</f>
        <v>02.02.15.05.15</v>
      </c>
      <c r="C593" s="90" t="str">
        <f>_xlfn.XLOOKUP($D593,Planilha!$O:$O,Planilha!F:F)</f>
        <v>CPM.06.B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593" s="91">
        <f>LARGE(Planilha!$O:$O,$A593)</f>
        <v>512.74</v>
      </c>
      <c r="E593" s="92">
        <f t="shared" si="27"/>
        <v>3.6838451445968717E-5</v>
      </c>
      <c r="F593" s="93">
        <f t="shared" si="28"/>
        <v>0.99477790990025738</v>
      </c>
      <c r="I593" s="73" t="str">
        <v>ELETRODUTO DE AÇO GALVANIZADO, CLASSE LEVE, DN 20 MM (3/4), APARENTE, INSTALADO EM PAREDE - FORNECIMENTO E INSTALAÇÃO. AF_11/2016_P</v>
      </c>
    </row>
    <row r="594" spans="1:9" ht="100.8" x14ac:dyDescent="0.3">
      <c r="A594" s="88">
        <f t="shared" si="29"/>
        <v>586</v>
      </c>
      <c r="B594" s="89" t="str">
        <f>_xlfn.XLOOKUP(D594,Planilha!O:O,Planilha!C:C)</f>
        <v>02.02.15.05.15</v>
      </c>
      <c r="C594" s="90" t="str">
        <f>_xlfn.XLOOKUP($D594,Planilha!$O:$O,Planilha!F:F)</f>
        <v>CPM.06.B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594" s="91">
        <f>LARGE(Planilha!$O:$O,$A594)</f>
        <v>512.74</v>
      </c>
      <c r="E594" s="92">
        <f t="shared" si="27"/>
        <v>3.6838451445968717E-5</v>
      </c>
      <c r="F594" s="93">
        <f t="shared" si="28"/>
        <v>0.99481474835170336</v>
      </c>
      <c r="I594" s="73" t="str">
        <v>TORNEIRA CROMADA 1/2 OU 3/4 PARA TANQUE, PADRÃO MÉDIO - FORNECIMENTO E INSTALAÇÃO. AF_01/2020</v>
      </c>
    </row>
    <row r="595" spans="1:9" ht="33.6" x14ac:dyDescent="0.3">
      <c r="A595" s="88">
        <f t="shared" si="29"/>
        <v>587</v>
      </c>
      <c r="B595" s="89" t="str">
        <f>_xlfn.XLOOKUP(D595,Planilha!O:O,Planilha!C:C)</f>
        <v>02.04.03.04.02</v>
      </c>
      <c r="C595" s="90" t="str">
        <f>_xlfn.XLOOKUP($D595,Planilha!$O:$O,Planilha!F:F)</f>
        <v>JOELHO 87° 30´ EM FERRO FUNDIDO, LINHA PREDIAL TRADICIONAL, DN= 100 MM</v>
      </c>
      <c r="D595" s="91">
        <f>LARGE(Planilha!$O:$O,$A595)</f>
        <v>511.34</v>
      </c>
      <c r="E595" s="92">
        <f t="shared" si="27"/>
        <v>3.6737866681713231E-5</v>
      </c>
      <c r="F595" s="93">
        <f t="shared" si="28"/>
        <v>0.99485148621838504</v>
      </c>
      <c r="I595" s="73" t="str">
        <v>GRM.01 - PLANTIO DE GRAMA SÃO CARLOS EM PLACAS</v>
      </c>
    </row>
    <row r="596" spans="1:9" x14ac:dyDescent="0.3">
      <c r="A596" s="88">
        <f t="shared" si="29"/>
        <v>588</v>
      </c>
      <c r="B596" s="89" t="str">
        <f>_xlfn.XLOOKUP(D596,Planilha!O:O,Planilha!C:C)</f>
        <v>02.04.02.04.07</v>
      </c>
      <c r="C596" s="90" t="str">
        <f>_xlfn.XLOOKUP($D596,Planilha!$O:$O,Planilha!F:F)</f>
        <v>TORNEIRA DE ESFERA 3/4"</v>
      </c>
      <c r="D596" s="91">
        <f>LARGE(Planilha!$O:$O,$A596)</f>
        <v>509.95</v>
      </c>
      <c r="E596" s="92">
        <f t="shared" si="27"/>
        <v>3.6638000380059574E-5</v>
      </c>
      <c r="F596" s="93">
        <f t="shared" si="28"/>
        <v>0.99488812421876505</v>
      </c>
      <c r="I596" s="73" t="str">
        <v>JOELHO 90 GRAUS, PVC, SERIE NORMAL, ESGOTO PREDIAL, DN 100 MM, JUNTA ELÁSTICA, FORNECIDO E INSTALADO EM RAMAL DE DESCARGA OU RAMAL DE ESGOTO SANITÁRIO. AF_12/2014</v>
      </c>
    </row>
    <row r="597" spans="1:9" ht="50.4" x14ac:dyDescent="0.3">
      <c r="A597" s="88">
        <f t="shared" si="29"/>
        <v>589</v>
      </c>
      <c r="B597" s="89" t="str">
        <f>_xlfn.XLOOKUP(D597,Planilha!O:O,Planilha!C:C)</f>
        <v>02.03.09.19</v>
      </c>
      <c r="C597" s="90" t="str">
        <f>_xlfn.XLOOKUP($D597,Planilha!$O:$O,Planilha!F:F)</f>
        <v>CONDULETE DE ALUMÍNIO, TIPO T, PARA ELETRODUTO DE AÇO GALVANIZADO DN 20 MM (3/4''), APARENTE - FORNECIMENTO E INSTALAÇÃO. AF_11/2016_P</v>
      </c>
      <c r="D597" s="91">
        <f>LARGE(Planilha!$O:$O,$A597)</f>
        <v>508.92</v>
      </c>
      <c r="E597" s="92">
        <f t="shared" si="27"/>
        <v>3.6563998732071615E-5</v>
      </c>
      <c r="F597" s="93">
        <f t="shared" si="28"/>
        <v>0.99492468821749713</v>
      </c>
      <c r="I597" s="73" t="str">
        <v>REGISTRO DE PRESSÃO BRUTO, LATÃO, ROSCÁVEL, 3/4", COM ACABAMENTO E CANOPLA CROMADOS - FORNECIMENTO E INSTALAÇÃO. AF_08/2021</v>
      </c>
    </row>
    <row r="598" spans="1:9" ht="33.6" x14ac:dyDescent="0.3">
      <c r="A598" s="88">
        <f t="shared" si="29"/>
        <v>590</v>
      </c>
      <c r="B598" s="89" t="str">
        <f>_xlfn.XLOOKUP(D598,Planilha!O:O,Planilha!C:C)</f>
        <v>02.02.14.03</v>
      </c>
      <c r="C598" s="90" t="str">
        <f>_xlfn.XLOOKUP($D598,Planilha!$O:$O,Planilha!F:F)</f>
        <v>DISPENSER PARA PROTETOR DE ASSENTO REF. 70610, MELHORAMENTOS OU SIMILAR</v>
      </c>
      <c r="D598" s="91">
        <f>LARGE(Planilha!$O:$O,$A598)</f>
        <v>507.56</v>
      </c>
      <c r="E598" s="92">
        <f t="shared" si="27"/>
        <v>3.646628781822343E-5</v>
      </c>
      <c r="F598" s="93">
        <f t="shared" si="28"/>
        <v>0.9949611545053153</v>
      </c>
      <c r="I598" s="73" t="str">
        <v>FORNECIMENTO E ASSENTAMENTO DE UNIÃO DE FERRO GALVANIZADO ASSENTO BRONZE DE 1 1/2"</v>
      </c>
    </row>
    <row r="599" spans="1:9" ht="50.4" x14ac:dyDescent="0.3">
      <c r="A599" s="88">
        <f t="shared" si="29"/>
        <v>591</v>
      </c>
      <c r="B599" s="89" t="str">
        <f>_xlfn.XLOOKUP(D599,Planilha!O:O,Planilha!C:C)</f>
        <v>02.04.02.01.08</v>
      </c>
      <c r="C599" s="90" t="str">
        <f>_xlfn.XLOOKUP($D599,Planilha!$O:$O,Planilha!F:F)</f>
        <v>JOELHO 90 GRAUS, PVC, SOLDÁVEL, DN 32MM, INSTALADO EM RAMAL DE DISTRIBUIÇÃO DE ÁGUA - FORNECIMENTO E INSTALAÇÃO. AF_12/2014</v>
      </c>
      <c r="D599" s="91">
        <f>LARGE(Planilha!$O:$O,$A599)</f>
        <v>505.3</v>
      </c>
      <c r="E599" s="92">
        <f t="shared" si="27"/>
        <v>3.6303915270211009E-5</v>
      </c>
      <c r="F599" s="93">
        <f t="shared" si="28"/>
        <v>0.99499745842058551</v>
      </c>
      <c r="I599" s="73" t="str">
        <v>JOELHO 90 GRAUS, PVC, SOLDÁVEL, DN 40MM, INSTALADO EM PRUMADA DE ÁGUA - FORNECIMENTO E INSTALAÇÃO. AF_12/2014</v>
      </c>
    </row>
    <row r="600" spans="1:9" ht="33.6" x14ac:dyDescent="0.3">
      <c r="A600" s="88">
        <f t="shared" si="29"/>
        <v>592</v>
      </c>
      <c r="B600" s="89" t="str">
        <f>_xlfn.XLOOKUP(D600,Planilha!O:O,Planilha!C:C)</f>
        <v>02.03.09.22</v>
      </c>
      <c r="C600" s="90" t="str">
        <f>_xlfn.XLOOKUP($D600,Planilha!$O:$O,Planilha!F:F)</f>
        <v>CAIXA DE PASSAGEM EM ALUMÍNIO FUNDIDO À PROVA DE TEMPO, 200 X 200 MM</v>
      </c>
      <c r="D600" s="91">
        <f>LARGE(Planilha!$O:$O,$A600)</f>
        <v>488.25</v>
      </c>
      <c r="E600" s="92">
        <f t="shared" si="27"/>
        <v>3.5078936534099599E-5</v>
      </c>
      <c r="F600" s="93">
        <f t="shared" si="28"/>
        <v>0.99503253735711961</v>
      </c>
      <c r="I600" s="73" t="str">
        <v>FLEXÍVEL PARA LAVATÓRIO - 1/2"</v>
      </c>
    </row>
    <row r="601" spans="1:9" x14ac:dyDescent="0.3">
      <c r="A601" s="88">
        <f t="shared" si="29"/>
        <v>593</v>
      </c>
      <c r="B601" s="89" t="str">
        <f>_xlfn.XLOOKUP(D601,Planilha!O:O,Planilha!C:C)</f>
        <v>02.03.11.15.11</v>
      </c>
      <c r="C601" s="90" t="str">
        <f>_xlfn.XLOOKUP($D601,Planilha!$O:$O,Planilha!F:F)</f>
        <v>TERMINAL DE PRESSÃO/COMPRESSÃO PARA CABO DE 6 ATÉ 10 MM²</v>
      </c>
      <c r="D601" s="91">
        <f>LARGE(Planilha!$O:$O,$A601)</f>
        <v>480</v>
      </c>
      <c r="E601" s="92">
        <f t="shared" si="27"/>
        <v>3.4486204887594075E-5</v>
      </c>
      <c r="F601" s="93">
        <f t="shared" si="28"/>
        <v>0.99506702356200716</v>
      </c>
      <c r="I601" s="73" t="str">
        <v>FORNECIMENTO E ASSENTAMENTO DE TE DE REDUÇÃO DE FERRO GALVANIZADO DE 3" X 2 1/2"</v>
      </c>
    </row>
    <row r="602" spans="1:9" x14ac:dyDescent="0.3">
      <c r="A602" s="88">
        <f t="shared" si="29"/>
        <v>594</v>
      </c>
      <c r="B602" s="89" t="str">
        <f>_xlfn.XLOOKUP(D602,Planilha!O:O,Planilha!C:C)</f>
        <v>02.03.11.13.14</v>
      </c>
      <c r="C602" s="90" t="str">
        <f>_xlfn.XLOOKUP($D602,Planilha!$O:$O,Planilha!F:F)</f>
        <v>RELÉ DE TEMPO 7PU20</v>
      </c>
      <c r="D602" s="91">
        <f>LARGE(Planilha!$O:$O,$A602)</f>
        <v>478.39</v>
      </c>
      <c r="E602" s="92">
        <f t="shared" si="27"/>
        <v>3.4370532408700268E-5</v>
      </c>
      <c r="F602" s="93">
        <f t="shared" si="28"/>
        <v>0.99510139409441589</v>
      </c>
      <c r="I602" s="73" t="str">
        <v>ELETRODUTO DE AÇO GALVANIZADO, CLASSE LEVE, DN 25 MM (1), APARENTE, INSTALADO EM PAREDE - FORNECIMENTO E INSTALAÇÃO. AF_11/2016_P</v>
      </c>
    </row>
    <row r="603" spans="1:9" x14ac:dyDescent="0.3">
      <c r="A603" s="88">
        <f t="shared" si="29"/>
        <v>595</v>
      </c>
      <c r="B603" s="89" t="str">
        <f>_xlfn.XLOOKUP(D603,Planilha!O:O,Planilha!C:C)</f>
        <v>02.03.09.08</v>
      </c>
      <c r="C603" s="90" t="str">
        <f>_xlfn.XLOOKUP($D603,Planilha!$O:$O,Planilha!F:F)</f>
        <v>ACIONADOR MANUAL DE ALARME CONTRA INCENDIO</v>
      </c>
      <c r="D603" s="91">
        <f>LARGE(Planilha!$O:$O,$A603)</f>
        <v>476.82</v>
      </c>
      <c r="E603" s="92">
        <f t="shared" si="27"/>
        <v>3.4257733780213763E-5</v>
      </c>
      <c r="F603" s="93">
        <f t="shared" si="28"/>
        <v>0.99513565182819608</v>
      </c>
      <c r="I603" s="73" t="str">
        <v>TORNEIRA DE BÓIA P/CAIXA D'AGUA D= 3/4" (DECA OU SIMILAR)</v>
      </c>
    </row>
    <row r="604" spans="1:9" ht="33.6" x14ac:dyDescent="0.3">
      <c r="A604" s="88">
        <f t="shared" si="29"/>
        <v>596</v>
      </c>
      <c r="B604" s="89" t="str">
        <f>_xlfn.XLOOKUP(D604,Planilha!O:O,Planilha!C:C)</f>
        <v>02.03.11.03.07</v>
      </c>
      <c r="C604" s="90" t="str">
        <f>_xlfn.XLOOKUP($D604,Planilha!$O:$O,Planilha!F:F)</f>
        <v>DISJUNTOR TRIPOLAR TIPO NEMA, CORRENTE NOMINAL DE 60 ATÉ 100A - FORNECIMENTO E INSTALAÇÃO. AF_10/2020</v>
      </c>
      <c r="D604" s="91">
        <f>LARGE(Planilha!$O:$O,$A604)</f>
        <v>475.77</v>
      </c>
      <c r="E604" s="92">
        <f t="shared" si="27"/>
        <v>3.418229520702215E-5</v>
      </c>
      <c r="F604" s="93">
        <f t="shared" si="28"/>
        <v>0.9951698341234031</v>
      </c>
      <c r="I604" s="73" t="str">
        <v>JUNÇÃO SIMPLES, PVC, SERIE R, ÁGUA PLUVIAL, DN 150 X 100 MM, JUNTA ELÁSTICA, FORNECIDO E INSTALADO EM CONDUTORES VERTICAIS DE ÁGUAS PLUVIAIS. AF_12/2014</v>
      </c>
    </row>
    <row r="605" spans="1:9" ht="33.6" x14ac:dyDescent="0.3">
      <c r="A605" s="88">
        <f t="shared" si="29"/>
        <v>597</v>
      </c>
      <c r="B605" s="89" t="str">
        <f>_xlfn.XLOOKUP(D605,Planilha!O:O,Planilha!C:C)</f>
        <v>02.03.11.03.07</v>
      </c>
      <c r="C605" s="90" t="str">
        <f>_xlfn.XLOOKUP($D605,Planilha!$O:$O,Planilha!F:F)</f>
        <v>DISJUNTOR TRIPOLAR TIPO NEMA, CORRENTE NOMINAL DE 60 ATÉ 100A - FORNECIMENTO E INSTALAÇÃO. AF_10/2020</v>
      </c>
      <c r="D605" s="91">
        <f>LARGE(Planilha!$O:$O,$A605)</f>
        <v>475.77</v>
      </c>
      <c r="E605" s="92">
        <f t="shared" si="27"/>
        <v>3.418229520702215E-5</v>
      </c>
      <c r="F605" s="93">
        <f t="shared" si="28"/>
        <v>0.99520401641861012</v>
      </c>
      <c r="I605" s="73" t="str">
        <v>TE, PVC, SOLDÁVEL, DN 60MM, INSTALADO EM PRUMADA DE ÁGUA - FORNECIMENTO E INSTALAÇÃO. AF_12/2014</v>
      </c>
    </row>
    <row r="606" spans="1:9" x14ac:dyDescent="0.3">
      <c r="A606" s="88">
        <f t="shared" si="29"/>
        <v>598</v>
      </c>
      <c r="B606" s="89" t="str">
        <f>_xlfn.XLOOKUP(D606,Planilha!O:O,Planilha!C:C)</f>
        <v>02.03.11.11.11</v>
      </c>
      <c r="C606" s="90" t="str">
        <f>_xlfn.XLOOKUP($D606,Planilha!$O:$O,Planilha!F:F)</f>
        <v>ALARME SONORO BITONAL 220 V PARA PAINEL DE COMANDO</v>
      </c>
      <c r="D606" s="91">
        <f>LARGE(Planilha!$O:$O,$A606)</f>
        <v>474.03</v>
      </c>
      <c r="E606" s="92">
        <f t="shared" si="27"/>
        <v>3.405728271430462E-5</v>
      </c>
      <c r="F606" s="93">
        <f t="shared" si="28"/>
        <v>0.99523807370132444</v>
      </c>
      <c r="I606" s="73" t="str">
        <v>JOELHO 45 GRAUS, PVC, SERIE NORMAL, ESGOTO PREDIAL, DN 100 MM, JUNTA ELÁSTICA, FORNECIDO E INSTALADO EM PRUMADA DE ESGOTO SANITÁRIO OU VENTILAÇÃO. AF_12/2014</v>
      </c>
    </row>
    <row r="607" spans="1:9" ht="33.6" x14ac:dyDescent="0.3">
      <c r="A607" s="88">
        <f t="shared" si="29"/>
        <v>599</v>
      </c>
      <c r="B607" s="89" t="str">
        <f>_xlfn.XLOOKUP(D607,Planilha!O:O,Planilha!C:C)</f>
        <v>02.04.04.02.04</v>
      </c>
      <c r="C607" s="90" t="str">
        <f>_xlfn.XLOOKUP($D607,Planilha!$O:$O,Planilha!F:F)</f>
        <v>REGISTRO DE GAVETA BRUTO, LATÃO, ROSCÁVEL, 2 1/2" - FORNECIMENTO E INSTALAÇÃO. AF_08/2021</v>
      </c>
      <c r="D607" s="91">
        <f>LARGE(Planilha!$O:$O,$A607)</f>
        <v>473.24</v>
      </c>
      <c r="E607" s="92">
        <f t="shared" si="27"/>
        <v>3.4000524168760459E-5</v>
      </c>
      <c r="F607" s="93">
        <f t="shared" si="28"/>
        <v>0.99527207422549324</v>
      </c>
      <c r="I607" s="73" t="str">
        <v>JUNÇÃO SIMPLES EM PVC RÍGIDO SOLDÁVEL, PARA ESGOTO PRIMÁRIO, DIÂM = 75 X 50MM</v>
      </c>
    </row>
    <row r="608" spans="1:9" ht="50.4" x14ac:dyDescent="0.3">
      <c r="A608" s="88">
        <f t="shared" si="29"/>
        <v>600</v>
      </c>
      <c r="B608" s="89" t="str">
        <f>_xlfn.XLOOKUP(D608,Planilha!O:O,Planilha!C:C)</f>
        <v>02.04.01.02.01</v>
      </c>
      <c r="C608" s="90" t="str">
        <f>_xlfn.XLOOKUP($D608,Planilha!$O:$O,Planilha!F:F)</f>
        <v>TUBO DE PVC PARA REDE COLETORA DE ESGOTO DE PAREDE MACIÇA, DN 200 MM, JUNTA ELÁSTICA - FORNECIMENTO E ASSENTAMENTO. AF_01/2021</v>
      </c>
      <c r="D608" s="91">
        <f>LARGE(Planilha!$O:$O,$A608)</f>
        <v>472.23</v>
      </c>
      <c r="E608" s="92">
        <f t="shared" si="27"/>
        <v>3.3927959445976147E-5</v>
      </c>
      <c r="F608" s="93">
        <f t="shared" si="28"/>
        <v>0.99530600218493925</v>
      </c>
      <c r="I608" s="73" t="str">
        <v>TÊ DE REDUÇÃO, PVC, SOLDÁVEL, DN 40 MM X 32 MM, INSTALADO EM RESERVAÇÃO DE ÁGUA DE EDIFICAÇÃO QUE POSSUA RESERVATÓRIO DE FIBRA/FIBROCIMENTO   FORNECIMENTO E INSTALAÇÃO. AF_06/2016</v>
      </c>
    </row>
    <row r="609" spans="1:9" ht="50.4" x14ac:dyDescent="0.3">
      <c r="A609" s="88">
        <f t="shared" si="29"/>
        <v>601</v>
      </c>
      <c r="B609" s="89" t="str">
        <f>_xlfn.XLOOKUP(D609,Planilha!O:O,Planilha!C:C)</f>
        <v>02.04.02.03.01</v>
      </c>
      <c r="C609" s="90" t="str">
        <f>_xlfn.XLOOKUP($D609,Planilha!$O:$O,Planilha!F:F)</f>
        <v>KIT CAVALETE PARA MEDIÇÃO DE ÁGUA - ENTRADA PRINCIPAL, EM AÇO GALVANIZADO DN 25 (1 )   FORNECIMENTO E INSTALAÇÃO (EXCLUSIVE HIDRÔMETRO). AF_11/2016</v>
      </c>
      <c r="D609" s="91">
        <f>LARGE(Planilha!$O:$O,$A609)</f>
        <v>468.93</v>
      </c>
      <c r="E609" s="92">
        <f t="shared" si="27"/>
        <v>3.3690866787373937E-5</v>
      </c>
      <c r="F609" s="93">
        <f t="shared" si="28"/>
        <v>0.99533969305172665</v>
      </c>
      <c r="I609" s="73" t="str">
        <v>CONECTOR RETO DE ALUMINIO PARA ELETRODUTO DE 1", PARA ADAPTAR ENTRADA DE ELETRODUTO METALICO FLEXIVEL EM QUADROS - FORNECIMENTO E INSTALAÇÃO</v>
      </c>
    </row>
    <row r="610" spans="1:9" x14ac:dyDescent="0.3">
      <c r="A610" s="88">
        <f t="shared" si="29"/>
        <v>602</v>
      </c>
      <c r="B610" s="89" t="str">
        <f>_xlfn.XLOOKUP(D610,Planilha!O:O,Planilha!C:C)</f>
        <v>02.03.06.01</v>
      </c>
      <c r="C610" s="90" t="str">
        <f>_xlfn.XLOOKUP($D610,Planilha!$O:$O,Planilha!F:F)</f>
        <v>SAIDA HORIZONTAL PARA ELETRODUTO 1""</v>
      </c>
      <c r="D610" s="91">
        <f>LARGE(Planilha!$O:$O,$A610)</f>
        <v>468.18</v>
      </c>
      <c r="E610" s="92">
        <f t="shared" si="27"/>
        <v>3.3636982092237071E-5</v>
      </c>
      <c r="F610" s="93">
        <f t="shared" si="28"/>
        <v>0.99537333003381889</v>
      </c>
      <c r="I610" s="73" t="str">
        <v>GRELHA HEMISFÉRICA EM FERRO FUNDIDO DE 6"</v>
      </c>
    </row>
    <row r="611" spans="1:9" ht="33.6" x14ac:dyDescent="0.3">
      <c r="A611" s="88">
        <f t="shared" si="29"/>
        <v>603</v>
      </c>
      <c r="B611" s="89" t="str">
        <f>_xlfn.XLOOKUP(D611,Planilha!O:O,Planilha!C:C)</f>
        <v>02.02.14.16</v>
      </c>
      <c r="C611" s="90" t="str">
        <f>_xlfn.XLOOKUP($D611,Planilha!$O:$O,Planilha!F:F)</f>
        <v>CABIDE EM AÇO INOX, DECA 2060 C40, ACABAMENTO CROMADO OU SIMILAR</v>
      </c>
      <c r="D611" s="91">
        <f>LARGE(Planilha!$O:$O,$A611)</f>
        <v>467.68</v>
      </c>
      <c r="E611" s="92">
        <f t="shared" si="27"/>
        <v>3.3601058962145827E-5</v>
      </c>
      <c r="F611" s="93">
        <f t="shared" si="28"/>
        <v>0.995406931092781</v>
      </c>
      <c r="I611" s="73" t="str">
        <v>CAIXA DE PASSAGEM COM TAMPA APARAFUSADA 20 X 20 X 10 CM</v>
      </c>
    </row>
    <row r="612" spans="1:9" x14ac:dyDescent="0.3">
      <c r="A612" s="88">
        <f t="shared" si="29"/>
        <v>604</v>
      </c>
      <c r="B612" s="89" t="str">
        <f>_xlfn.XLOOKUP(D612,Planilha!O:O,Planilha!C:C)</f>
        <v>02.02.11.01.03</v>
      </c>
      <c r="C612" s="90" t="str">
        <f>_xlfn.XLOOKUP($D612,Planilha!$O:$O,Planilha!F:F)</f>
        <v>CREA- ART DE EXECUÇÃO</v>
      </c>
      <c r="D612" s="91">
        <f>LARGE(Planilha!$O:$O,$A612)</f>
        <v>464.77</v>
      </c>
      <c r="E612" s="92">
        <f t="shared" si="27"/>
        <v>3.3391986345014785E-5</v>
      </c>
      <c r="F612" s="93">
        <f t="shared" si="28"/>
        <v>0.995440323079126</v>
      </c>
      <c r="I612" s="73" t="str">
        <v>CURVA ELETRODUTO GALVANIZADO 2""</v>
      </c>
    </row>
    <row r="613" spans="1:9" ht="33.6" x14ac:dyDescent="0.3">
      <c r="A613" s="88">
        <f t="shared" si="29"/>
        <v>605</v>
      </c>
      <c r="B613" s="89" t="str">
        <f>_xlfn.XLOOKUP(D613,Planilha!O:O,Planilha!C:C)</f>
        <v>02.03.11.08.06</v>
      </c>
      <c r="C613" s="90" t="str">
        <f>_xlfn.XLOOKUP($D613,Planilha!$O:$O,Planilha!F:F)</f>
        <v>DISJUNTOR BIPOLAR DR 40 A  - DISPOSITIVO RESIDUAL DIFERENCIAL, TIPO AC, 30MA, REF.5SM1 314-OMB, SIEMENS OU SIMILAR</v>
      </c>
      <c r="D613" s="91">
        <f>LARGE(Planilha!$O:$O,$A613)</f>
        <v>463.2</v>
      </c>
      <c r="E613" s="92">
        <f t="shared" si="27"/>
        <v>3.327918771652828E-5</v>
      </c>
      <c r="F613" s="93">
        <f t="shared" si="28"/>
        <v>0.99547360226684256</v>
      </c>
      <c r="I613" s="73" t="str">
        <v>BLC.02 - ALVENARIA DE VEDAÇÃO DE BLOCOS VAZADOS DE CONCRETO APARENTE DE 19X14X39 CM (ESPESSURA 14 CM) E ARGAMASSA DE ASSENTAMENTO COM PREPARO EM BETONEIRA.</v>
      </c>
    </row>
    <row r="614" spans="1:9" ht="33.6" x14ac:dyDescent="0.3">
      <c r="A614" s="88">
        <f t="shared" si="29"/>
        <v>606</v>
      </c>
      <c r="B614" s="89" t="str">
        <f>_xlfn.XLOOKUP(D614,Planilha!O:O,Planilha!C:C)</f>
        <v>02.02.14.04</v>
      </c>
      <c r="C614" s="90" t="str">
        <f>_xlfn.XLOOKUP($D614,Planilha!$O:$O,Planilha!F:F)</f>
        <v>DISPENSER PARA SAQUINHOS MELBAG REF.: 70780, MELHORAMENTOS OU SIMILAR</v>
      </c>
      <c r="D614" s="91">
        <f>LARGE(Planilha!$O:$O,$A614)</f>
        <v>458.73</v>
      </c>
      <c r="E614" s="92">
        <f t="shared" si="27"/>
        <v>3.2958034933512563E-5</v>
      </c>
      <c r="F614" s="93">
        <f t="shared" si="28"/>
        <v>0.99550656030177609</v>
      </c>
      <c r="I614" s="73" t="str">
        <v>FORNECIMENTO E INSTALAÇÃO DE SAÍDA HORIZONTAL PARA ELETRODUTO 1" (REF. VL 33 VALEMAM OU SIMILAR)</v>
      </c>
    </row>
    <row r="615" spans="1:9" x14ac:dyDescent="0.3">
      <c r="A615" s="88">
        <f t="shared" si="29"/>
        <v>607</v>
      </c>
      <c r="B615" s="89" t="str">
        <f>_xlfn.XLOOKUP(D615,Planilha!O:O,Planilha!C:C)</f>
        <v>02.03.11.14.11</v>
      </c>
      <c r="C615" s="90" t="str">
        <f>_xlfn.XLOOKUP($D615,Planilha!$O:$O,Planilha!F:F)</f>
        <v>CAP DE PVC RÍGIDO SOLDAVEL P/ ESGOTO, DIÂM =100MM</v>
      </c>
      <c r="D615" s="91">
        <f>LARGE(Planilha!$O:$O,$A615)</f>
        <v>457.2</v>
      </c>
      <c r="E615" s="92">
        <f t="shared" si="27"/>
        <v>3.2848110155433353E-5</v>
      </c>
      <c r="F615" s="93">
        <f t="shared" si="28"/>
        <v>0.99553940841193156</v>
      </c>
      <c r="I615" s="73" t="str">
        <v>LÂMPADA DE SINALIZAÇÃO 220V, COR VERMELHA</v>
      </c>
    </row>
    <row r="616" spans="1:9" ht="50.4" x14ac:dyDescent="0.3">
      <c r="A616" s="88">
        <f t="shared" si="29"/>
        <v>608</v>
      </c>
      <c r="B616" s="89" t="str">
        <f>_xlfn.XLOOKUP(D616,Planilha!O:O,Planilha!C:C)</f>
        <v>02.04.03.01.29</v>
      </c>
      <c r="C616" s="90" t="str">
        <f>_xlfn.XLOOKUP($D616,Planilha!$O:$O,Planilha!F:F)</f>
        <v>LUVA SIMPLES, PVC, SERIE NORMAL, ESGOTO PREDIAL, DN 75 MM, JUNTA ELÁSTICA, FORNECIDO E INSTALADO EM RAMAL DE DESCARGA OU RAMAL DE ESGOTO SANITÁRIO. AF_12/2014</v>
      </c>
      <c r="D616" s="91">
        <f>LARGE(Planilha!$O:$O,$A616)</f>
        <v>456.72</v>
      </c>
      <c r="E616" s="92">
        <f t="shared" si="27"/>
        <v>3.2813623950545764E-5</v>
      </c>
      <c r="F616" s="93">
        <f t="shared" si="28"/>
        <v>0.99557222203588214</v>
      </c>
      <c r="I616" s="73" t="str">
        <v>TÊ DE REDUÇÃO, PVC, SOLDÁVEL, DN 110 MM X 60 MM, INSTALADO EM RESERVAÇÃO DE ÁGUA DE EDIFICAÇÃO QUE POSSUA RESERVATÓRIO DE FIBRA/FIBROCIMENTO   FORNECIMENTO E INSTALAÇÃO. AF_06/2016</v>
      </c>
    </row>
    <row r="617" spans="1:9" ht="33.6" x14ac:dyDescent="0.3">
      <c r="A617" s="88">
        <f t="shared" si="29"/>
        <v>609</v>
      </c>
      <c r="B617" s="89" t="str">
        <f>_xlfn.XLOOKUP(D617,Planilha!O:O,Planilha!C:C)</f>
        <v>02.03.10.04.14</v>
      </c>
      <c r="C617" s="90" t="str">
        <f>_xlfn.XLOOKUP($D617,Planilha!$O:$O,Planilha!F:F)</f>
        <v>FORNECIMENTO E INSTALAÇÃO DE CAIXA DE PASSAGEM EM ALUMÍNIO (30 X 30 X 10 CM)</v>
      </c>
      <c r="D617" s="91">
        <f>LARGE(Planilha!$O:$O,$A617)</f>
        <v>452.58</v>
      </c>
      <c r="E617" s="92">
        <f t="shared" si="27"/>
        <v>3.251618043339026E-5</v>
      </c>
      <c r="F617" s="93">
        <f t="shared" si="28"/>
        <v>0.99560473821631557</v>
      </c>
      <c r="I617" s="73" t="str">
        <v>CHAVE SECCIONADORA TRIPOLAR 40A, MANOBRA C/ CARGA ACIONAMENTO POR ALAVANCA P/ QUADRO DE DIST DE ENERGIA</v>
      </c>
    </row>
    <row r="618" spans="1:9" ht="33.6" x14ac:dyDescent="0.3">
      <c r="A618" s="88">
        <f t="shared" si="29"/>
        <v>610</v>
      </c>
      <c r="B618" s="89" t="str">
        <f>_xlfn.XLOOKUP(D618,Planilha!O:O,Planilha!C:C)</f>
        <v>02.03.11.04.01</v>
      </c>
      <c r="C618" s="90" t="str">
        <f>_xlfn.XLOOKUP($D618,Planilha!$O:$O,Planilha!F:F)</f>
        <v>CHAVE SECCIONADORA TRIPOLAR, ABERTURA SOB CARGA, COM FUSÍVEIS NH - 100A/250V - FORNECIMENTO E INSTALACAO</v>
      </c>
      <c r="D618" s="91">
        <f>LARGE(Planilha!$O:$O,$A618)</f>
        <v>441.68</v>
      </c>
      <c r="E618" s="92">
        <f t="shared" si="27"/>
        <v>3.1733056197401146E-5</v>
      </c>
      <c r="F618" s="93">
        <f t="shared" si="28"/>
        <v>0.99563647127251298</v>
      </c>
      <c r="I618" s="73" t="str">
        <v>TERMINAL DE PRESSÃO/COMPRESSÃO PARA CABO DE 16 MM²</v>
      </c>
    </row>
    <row r="619" spans="1:9" ht="33.6" x14ac:dyDescent="0.3">
      <c r="A619" s="88">
        <f t="shared" si="29"/>
        <v>611</v>
      </c>
      <c r="B619" s="89" t="str">
        <f>_xlfn.XLOOKUP(D619,Planilha!O:O,Planilha!C:C)</f>
        <v>02.03.11.04.01</v>
      </c>
      <c r="C619" s="90" t="str">
        <f>_xlfn.XLOOKUP($D619,Planilha!$O:$O,Planilha!F:F)</f>
        <v>CHAVE SECCIONADORA TRIPOLAR, ABERTURA SOB CARGA, COM FUSÍVEIS NH - 100A/250V - FORNECIMENTO E INSTALACAO</v>
      </c>
      <c r="D619" s="91">
        <f>LARGE(Planilha!$O:$O,$A619)</f>
        <v>441.68</v>
      </c>
      <c r="E619" s="92">
        <f t="shared" si="27"/>
        <v>3.1733056197401146E-5</v>
      </c>
      <c r="F619" s="93">
        <f t="shared" si="28"/>
        <v>0.99566820432871039</v>
      </c>
      <c r="I619" s="73" t="str">
        <v>LUVA SIMPLES, PVC, SERIE R, ÁGUA PLUVIAL, DN 75 MM, JUNTA ELÁSTICA, FORNECIDO E INSTALADO EM CONDUTORES VERTICAIS DE ÁGUAS PLUVIAIS. AF_12/2014</v>
      </c>
    </row>
    <row r="620" spans="1:9" ht="33.6" x14ac:dyDescent="0.3">
      <c r="A620" s="88">
        <f t="shared" si="29"/>
        <v>612</v>
      </c>
      <c r="B620" s="89" t="str">
        <f>_xlfn.XLOOKUP(D620,Planilha!O:O,Planilha!C:C)</f>
        <v>02.03.11.04.01</v>
      </c>
      <c r="C620" s="90" t="str">
        <f>_xlfn.XLOOKUP($D620,Planilha!$O:$O,Planilha!F:F)</f>
        <v>CHAVE SECCIONADORA TRIPOLAR, ABERTURA SOB CARGA, COM FUSÍVEIS NH - 100A/250V - FORNECIMENTO E INSTALACAO</v>
      </c>
      <c r="D620" s="91">
        <f>LARGE(Planilha!$O:$O,$A620)</f>
        <v>441.68</v>
      </c>
      <c r="E620" s="92">
        <f t="shared" si="27"/>
        <v>3.1733056197401146E-5</v>
      </c>
      <c r="F620" s="93">
        <f t="shared" si="28"/>
        <v>0.99569993738490781</v>
      </c>
      <c r="I620" s="73" t="str">
        <v>ISOLADOR GALVANIZADO PARA MASTRO DE DIÂMETRO 2´, REFORÇADO COM 2 DESCIDAS</v>
      </c>
    </row>
    <row r="621" spans="1:9" x14ac:dyDescent="0.3">
      <c r="A621" s="88">
        <f t="shared" si="29"/>
        <v>613</v>
      </c>
      <c r="B621" s="89" t="str">
        <f>_xlfn.XLOOKUP(D621,Planilha!O:O,Planilha!C:C)</f>
        <v>02.03.06.09</v>
      </c>
      <c r="C621" s="90" t="str">
        <f>_xlfn.XLOOKUP($D621,Planilha!$O:$O,Planilha!F:F)</f>
        <v>CONDULETE ALUMINIO ""L"" 2"" COM TAMPA</v>
      </c>
      <c r="D621" s="91">
        <f>LARGE(Planilha!$O:$O,$A621)</f>
        <v>441.24</v>
      </c>
      <c r="E621" s="92">
        <f t="shared" si="27"/>
        <v>3.1701443842920852E-5</v>
      </c>
      <c r="F621" s="93">
        <f t="shared" si="28"/>
        <v>0.99573163882875071</v>
      </c>
      <c r="I621" s="73" t="str">
        <v>CURVA 90 GRAUS, CPVC, SOLDÁVEL, DN 28 MM, INSTALADO EM RESERVAÇÃO DE ÁGUA DE EDIFICAÇÃO QUE POSSUA RESERVATÓRIO DE FIBRA/FIBROCIMENTO  FORNECIMENTO E INSTALAÇÃO. AF_06/2016</v>
      </c>
    </row>
    <row r="622" spans="1:9" x14ac:dyDescent="0.3">
      <c r="A622" s="88">
        <f t="shared" si="29"/>
        <v>614</v>
      </c>
      <c r="B622" s="89" t="str">
        <f>_xlfn.XLOOKUP(D622,Planilha!O:O,Planilha!C:C)</f>
        <v>02.03.11.14.21</v>
      </c>
      <c r="C622" s="90" t="str">
        <f>_xlfn.XLOOKUP($D622,Planilha!$O:$O,Planilha!F:F)</f>
        <v>CAIXA DE PASSAGEM CHAPA TAMPA PARAFUSADA DE 40X40X15 CM</v>
      </c>
      <c r="D622" s="91">
        <f>LARGE(Planilha!$O:$O,$A622)</f>
        <v>440.58</v>
      </c>
      <c r="E622" s="92">
        <f t="shared" si="27"/>
        <v>3.1654025311200407E-5</v>
      </c>
      <c r="F622" s="93">
        <f t="shared" si="28"/>
        <v>0.99576329285406195</v>
      </c>
      <c r="I622" s="73" t="str">
        <v>DISJUNTOR BIPOLAR TIPO DIN, CORRENTE NOMINAL DE 40A - FORNECIMENTO E INSTALAÇÃO. AF_10/2020</v>
      </c>
    </row>
    <row r="623" spans="1:9" x14ac:dyDescent="0.3">
      <c r="A623" s="88">
        <f t="shared" si="29"/>
        <v>615</v>
      </c>
      <c r="B623" s="89" t="str">
        <f>_xlfn.XLOOKUP(D623,Planilha!O:O,Planilha!C:C)</f>
        <v>02.02.14.12</v>
      </c>
      <c r="C623" s="90" t="str">
        <f>_xlfn.XLOOKUP($D623,Planilha!$O:$O,Planilha!F:F)</f>
        <v>CHUVEIRO ELETRICO/ DUCHA FASHION BRANCA - LORENZETTI</v>
      </c>
      <c r="D623" s="91">
        <f>LARGE(Planilha!$O:$O,$A623)</f>
        <v>437.82</v>
      </c>
      <c r="E623" s="92">
        <f t="shared" si="27"/>
        <v>3.1455729633096742E-5</v>
      </c>
      <c r="F623" s="93">
        <f t="shared" si="28"/>
        <v>0.9957947485836951</v>
      </c>
      <c r="I623" s="73" t="str">
        <v>ELETRODUTO FLEXÍVEL CORRUGADO REFORÇADO, PVC, DN 25 MM (3/4"), PARA CIRCUITOS TERMINAIS, INSTALADO EM FORRO - FORNECIMENTO E INSTALAÇÃO. AF_12/2015</v>
      </c>
    </row>
    <row r="624" spans="1:9" x14ac:dyDescent="0.3">
      <c r="A624" s="88">
        <f t="shared" si="29"/>
        <v>616</v>
      </c>
      <c r="B624" s="89" t="str">
        <f>_xlfn.XLOOKUP(D624,Planilha!O:O,Planilha!C:C)</f>
        <v>02.03.03.03.37</v>
      </c>
      <c r="C624" s="90" t="str">
        <f>_xlfn.XLOOKUP($D624,Planilha!$O:$O,Planilha!F:F)</f>
        <v>CAIXA DE TOMADA EM ALUMÍNIO PARA PISO 4´ X 4´</v>
      </c>
      <c r="D624" s="91">
        <f>LARGE(Planilha!$O:$O,$A624)</f>
        <v>437.15</v>
      </c>
      <c r="E624" s="92">
        <f t="shared" si="27"/>
        <v>3.1407592638774473E-5</v>
      </c>
      <c r="F624" s="93">
        <f t="shared" si="28"/>
        <v>0.99582615617633385</v>
      </c>
      <c r="I624" s="73" t="str">
        <v>FORNECIMENTO E ASSENTAMENTO DE UNIÃO DE FERRO GALVANIZADO ASSENTO BRONZE DE 1 1/4"</v>
      </c>
    </row>
    <row r="625" spans="1:9" x14ac:dyDescent="0.3">
      <c r="A625" s="88">
        <f t="shared" si="29"/>
        <v>617</v>
      </c>
      <c r="B625" s="89" t="str">
        <f>_xlfn.XLOOKUP(D625,Planilha!O:O,Planilha!C:C)</f>
        <v>02.03.10.02.09</v>
      </c>
      <c r="C625" s="90" t="str">
        <f>_xlfn.XLOOKUP($D625,Planilha!$O:$O,Planilha!F:F)</f>
        <v>TERMINAL DE PRESSÃO/COMPRESSÃO PARA CABO DE 35 MM²</v>
      </c>
      <c r="D625" s="91">
        <f>LARGE(Planilha!$O:$O,$A625)</f>
        <v>430.8</v>
      </c>
      <c r="E625" s="92">
        <f t="shared" si="27"/>
        <v>3.095136888661568E-5</v>
      </c>
      <c r="F625" s="93">
        <f t="shared" si="28"/>
        <v>0.9958571075452205</v>
      </c>
      <c r="I625" s="73" t="str">
        <v>BARRA DE APOIO LATERAL PARA LAVATÓRIO, PARA PESSOAS COM MOBILIDADE REDUZIDA, EM TUBO DE AÇO INOXIDÁVEL DE 1.1/4", COMPRIMENTO 25 A 30 CM</v>
      </c>
    </row>
    <row r="626" spans="1:9" x14ac:dyDescent="0.3">
      <c r="A626" s="88">
        <f t="shared" si="29"/>
        <v>618</v>
      </c>
      <c r="B626" s="89" t="str">
        <f>_xlfn.XLOOKUP(D626,Planilha!O:O,Planilha!C:C)</f>
        <v>02.03.02.01.23</v>
      </c>
      <c r="C626" s="90" t="str">
        <f>_xlfn.XLOOKUP($D626,Planilha!$O:$O,Planilha!F:F)</f>
        <v>SAIDA LATERAL DUPLA  3/4"</v>
      </c>
      <c r="D626" s="91">
        <f>LARGE(Planilha!$O:$O,$A626)</f>
        <v>428.8</v>
      </c>
      <c r="E626" s="92">
        <f t="shared" si="27"/>
        <v>3.0807676366250705E-5</v>
      </c>
      <c r="F626" s="93">
        <f t="shared" si="28"/>
        <v>0.99588791522158671</v>
      </c>
      <c r="I626" s="73" t="str">
        <v>TE, PVC, SOLDÁVEL, DN 25MM, INSTALADO EM RAMAL DE DISTRIBUIÇÃO DE ÁGUA - FORNECIMENTO E INSTALAÇÃO. AF_12/2014</v>
      </c>
    </row>
    <row r="627" spans="1:9" ht="33.6" x14ac:dyDescent="0.3">
      <c r="A627" s="88">
        <f t="shared" si="29"/>
        <v>619</v>
      </c>
      <c r="B627" s="89" t="str">
        <f>_xlfn.XLOOKUP(D627,Planilha!O:O,Planilha!C:C)</f>
        <v>02.04.01.02.07</v>
      </c>
      <c r="C627" s="90" t="str">
        <f>_xlfn.XLOOKUP($D627,Planilha!$O:$O,Planilha!F:F)</f>
        <v>REDUÇÃO EXCÊNTRICA - PVC RÍGIDO - JUNTA ELÁSTICA INTEGRADA - JEI 200 X 150 MM</v>
      </c>
      <c r="D627" s="91">
        <f>LARGE(Planilha!$O:$O,$A627)</f>
        <v>424.1</v>
      </c>
      <c r="E627" s="92">
        <f t="shared" si="27"/>
        <v>3.0469998943393014E-5</v>
      </c>
      <c r="F627" s="93">
        <f t="shared" si="28"/>
        <v>0.99591838522053011</v>
      </c>
      <c r="I627" s="73" t="str">
        <v>TE DE REDUCAO 90 PVC SOLDAVEL 60 X 50MM</v>
      </c>
    </row>
    <row r="628" spans="1:9" ht="50.4" x14ac:dyDescent="0.3">
      <c r="A628" s="88">
        <f t="shared" si="29"/>
        <v>620</v>
      </c>
      <c r="B628" s="89" t="str">
        <f>_xlfn.XLOOKUP(D628,Planilha!O:O,Planilha!C:C)</f>
        <v>02.01.06.05</v>
      </c>
      <c r="C628" s="90" t="str">
        <f>_xlfn.XLOOKUP($D628,Planilha!$O:$O,Planilha!F:F)</f>
        <v>EXECUÇÃO DE PROTEÇÃO DA CABEÇA DO TIRANTE COM USO DE FÔRMAS EM CHAPA COMPENSADA PLASTIFICADA DE MADEIRA E CONCRETO FCK =15 MPA. AF_07/2016</v>
      </c>
      <c r="D628" s="91">
        <f>LARGE(Planilha!$O:$O,$A628)</f>
        <v>416.72</v>
      </c>
      <c r="E628" s="92">
        <f t="shared" si="27"/>
        <v>2.9939773543246255E-5</v>
      </c>
      <c r="F628" s="93">
        <f t="shared" si="28"/>
        <v>0.99594832499407338</v>
      </c>
      <c r="I628" s="73" t="str">
        <v>TERMINAL DE PRESSÃO/COMPRESSÃO PARA CABO DE 120 MM²</v>
      </c>
    </row>
    <row r="629" spans="1:9" x14ac:dyDescent="0.3">
      <c r="A629" s="88">
        <f t="shared" si="29"/>
        <v>621</v>
      </c>
      <c r="B629" s="89" t="str">
        <f>_xlfn.XLOOKUP(D629,Planilha!O:O,Planilha!C:C)</f>
        <v>02.03.11.03.05</v>
      </c>
      <c r="C629" s="90" t="str">
        <f>_xlfn.XLOOKUP($D629,Planilha!$O:$O,Planilha!F:F)</f>
        <v>TRANSFORMADOR DE CORRENTE RELAÇÃO 400:5 A</v>
      </c>
      <c r="D629" s="91">
        <f>LARGE(Planilha!$O:$O,$A629)</f>
        <v>414.63</v>
      </c>
      <c r="E629" s="92">
        <f t="shared" si="27"/>
        <v>2.9789614859464855E-5</v>
      </c>
      <c r="F629" s="93">
        <f t="shared" si="28"/>
        <v>0.99597811460893282</v>
      </c>
      <c r="I629" s="73" t="str">
        <v>ADAPTADOR COM FLANGES LIVRES, PVC, SOLDÁVEL LONGO, DN 50 MM X 1 1/2 , INSTALADO EM RESERVAÇÃO DE ÁGUA DE EDIFICAÇÃO QUE POSSUA RESERVATÓRIO DE FIBRA/FIBROCIMENTO   FORNECIMENTO E INSTALAÇÃO. AF_06/2016</v>
      </c>
    </row>
    <row r="630" spans="1:9" ht="33.6" x14ac:dyDescent="0.3">
      <c r="A630" s="88">
        <f t="shared" si="29"/>
        <v>622</v>
      </c>
      <c r="B630" s="89" t="str">
        <f>_xlfn.XLOOKUP(D630,Planilha!O:O,Planilha!C:C)</f>
        <v>02.03.11.07.08</v>
      </c>
      <c r="C630" s="90" t="str">
        <f>_xlfn.XLOOKUP($D630,Planilha!$O:$O,Planilha!F:F)</f>
        <v>DISJUNTOR TRIPOLAR TIPO DIN, CORRENTE NOMINAL DE 20A - FORNECIMENTO E INSTALAÇÃO. AF_10/2020</v>
      </c>
      <c r="D630" s="91">
        <f>LARGE(Planilha!$O:$O,$A630)</f>
        <v>413.76</v>
      </c>
      <c r="E630" s="92">
        <f t="shared" si="27"/>
        <v>2.972710861310609E-5</v>
      </c>
      <c r="F630" s="93">
        <f t="shared" si="28"/>
        <v>0.99600784171754597</v>
      </c>
      <c r="I630" s="73" t="str">
        <v>LUVA EM COBRE, DN 15 MM, SEM ANEL DE SOLDA, INSTALADO EM RAMAL DE DISTRIBUIÇÃO DE HIDRÁULICA PREDIAL - FORNECIMENTO E INSTALAÇÃO. AF_04/2022</v>
      </c>
    </row>
    <row r="631" spans="1:9" ht="50.4" x14ac:dyDescent="0.3">
      <c r="A631" s="88">
        <f t="shared" si="29"/>
        <v>623</v>
      </c>
      <c r="B631" s="89" t="str">
        <f>_xlfn.XLOOKUP(D631,Planilha!O:O,Planilha!C:C)</f>
        <v>02.02.14.11</v>
      </c>
      <c r="C631" s="90" t="str">
        <f>_xlfn.XLOOKUP($D631,Planilha!$O:$O,Planilha!F:F)</f>
        <v>BARRA DE APOIO LATERAL ARTICULADA, COM TRAVA, EM ACO INOX POLIDO, FIXADA NA PAREDE - FORNECIMENTO E INSTALAÇÃO. AF_01/2020</v>
      </c>
      <c r="D631" s="91">
        <f>LARGE(Planilha!$O:$O,$A631)</f>
        <v>407.68</v>
      </c>
      <c r="E631" s="92">
        <f t="shared" si="27"/>
        <v>2.9290283351196567E-5</v>
      </c>
      <c r="F631" s="93">
        <f t="shared" si="28"/>
        <v>0.99603713200089716</v>
      </c>
      <c r="I631" s="73" t="str">
        <v>BUCHA DE REDUÇÃO, PPR, 40 X 25, CLASSE PN 25, INSTALADO EM RAMAL DE DISTRIBUIÇÃO DE ÁGUA  FORNECIMENTO E INSTALAÇÃO . AF_06/2015</v>
      </c>
    </row>
    <row r="632" spans="1:9" ht="33.6" x14ac:dyDescent="0.3">
      <c r="A632" s="88">
        <f t="shared" si="29"/>
        <v>624</v>
      </c>
      <c r="B632" s="89" t="str">
        <f>_xlfn.XLOOKUP(D632,Planilha!O:O,Planilha!C:C)</f>
        <v>02.03.11.03.08</v>
      </c>
      <c r="C632" s="90" t="str">
        <f>_xlfn.XLOOKUP($D632,Planilha!$O:$O,Planilha!F:F)</f>
        <v>DISJUNTOR TERMOMAGNÉTICO TRIPOLAR , CORRENTE NOMINAL DE 125A - FORNECIMENTO E INSTALAÇÃO. AF_10/2020</v>
      </c>
      <c r="D632" s="91">
        <f>LARGE(Planilha!$O:$O,$A632)</f>
        <v>405.7</v>
      </c>
      <c r="E632" s="92">
        <f t="shared" si="27"/>
        <v>2.9148027756035239E-5</v>
      </c>
      <c r="F632" s="93">
        <f t="shared" si="28"/>
        <v>0.99606628002865316</v>
      </c>
      <c r="I632" s="73" t="str">
        <v>ADAPTADOR CURTO COM BOLSA E ROSCA PARA REGISTRO, PVC, SOLDÁVEL, DN 50MM X 1.1/2, INSTALADO EM PRUMADA DE ÁGUA - FORNECIMENTO E INSTALAÇÃO. AF_12/2014</v>
      </c>
    </row>
    <row r="633" spans="1:9" ht="50.4" x14ac:dyDescent="0.3">
      <c r="A633" s="88">
        <f t="shared" si="29"/>
        <v>625</v>
      </c>
      <c r="B633" s="89" t="str">
        <f>_xlfn.XLOOKUP(D633,Planilha!O:O,Planilha!C:C)</f>
        <v>02.04.03.01.20</v>
      </c>
      <c r="C633" s="90" t="str">
        <f>_xlfn.XLOOKUP($D633,Planilha!$O:$O,Planilha!F:F)</f>
        <v>JUNÇÃO SIMPLES, PVC, SERIE R, ÁGUA PLUVIAL, DN 100 X 100 MM, JUNTA ELÁSTICA, FORNECIDO E INSTALADO EM CONDUTORES VERTICAIS DE ÁGUAS PLUVIAIS. AF_12/2014</v>
      </c>
      <c r="D633" s="91">
        <f>LARGE(Planilha!$O:$O,$A633)</f>
        <v>403.04</v>
      </c>
      <c r="E633" s="92">
        <f t="shared" si="27"/>
        <v>2.8956916703949825E-5</v>
      </c>
      <c r="F633" s="93">
        <f t="shared" si="28"/>
        <v>0.99609523694535707</v>
      </c>
      <c r="I633" s="73" t="str">
        <v>BOTOEIRA LIGA-DESLIGA PARA BOMBA DE INCÊNDIO MODELO BLD-1, MARCA VERIN  OU SIMILAR</v>
      </c>
    </row>
    <row r="634" spans="1:9" x14ac:dyDescent="0.3">
      <c r="A634" s="88">
        <f t="shared" si="29"/>
        <v>626</v>
      </c>
      <c r="B634" s="89" t="str">
        <f>_xlfn.XLOOKUP(D634,Planilha!O:O,Planilha!C:C)</f>
        <v>02.03.11.15.15</v>
      </c>
      <c r="C634" s="90" t="str">
        <f>_xlfn.XLOOKUP($D634,Planilha!$O:$O,Planilha!F:F)</f>
        <v>TERMINAL DE PRESSÃO/COMPRESSÃO PARA CABO DE 50 MM²</v>
      </c>
      <c r="D634" s="91">
        <f>LARGE(Planilha!$O:$O,$A634)</f>
        <v>397.44</v>
      </c>
      <c r="E634" s="92">
        <f t="shared" si="27"/>
        <v>2.8554577646927891E-5</v>
      </c>
      <c r="F634" s="93">
        <f t="shared" si="28"/>
        <v>0.99612379152300401</v>
      </c>
      <c r="I634" s="73" t="str">
        <v>JOELHO DE REDUÇÃO 90º DE PVC RÍGIDO SOLDÁVEL, MARROM  DIÂM = 25 X 20MM</v>
      </c>
    </row>
    <row r="635" spans="1:9" ht="33.6" x14ac:dyDescent="0.3">
      <c r="A635" s="88">
        <f t="shared" si="29"/>
        <v>627</v>
      </c>
      <c r="B635" s="89" t="str">
        <f>_xlfn.XLOOKUP(D635,Planilha!O:O,Planilha!C:C)</f>
        <v>02.04.02.03.13</v>
      </c>
      <c r="C635" s="90" t="str">
        <f>_xlfn.XLOOKUP($D635,Planilha!$O:$O,Planilha!F:F)</f>
        <v>VÁLVULA DE RETENÇÃO, DE BRONZE, PÉ COM CRIVOS, ROSCÁVEL, 1 1/4" - FORNECIMENTO E INSTALAÇÃO. AF_08/2021</v>
      </c>
      <c r="D635" s="91">
        <f>LARGE(Planilha!$O:$O,$A635)</f>
        <v>396.76</v>
      </c>
      <c r="E635" s="92">
        <f t="shared" si="27"/>
        <v>2.8505722190003799E-5</v>
      </c>
      <c r="F635" s="93">
        <f t="shared" si="28"/>
        <v>0.99615229724519405</v>
      </c>
      <c r="I635" s="73" t="str">
        <v>TE EM COBRE, DN 35 MM, SEM ANEL DE SOLDA, INSTALADO EM PRUMADA DE HIDRÁULICA PREDIAL - FORNECIMENTO E INSTALAÇÃO. AF_04/2022</v>
      </c>
    </row>
    <row r="636" spans="1:9" x14ac:dyDescent="0.3">
      <c r="A636" s="88">
        <f t="shared" si="29"/>
        <v>628</v>
      </c>
      <c r="B636" s="89" t="str">
        <f>_xlfn.XLOOKUP(D636,Planilha!O:O,Planilha!C:C)</f>
        <v>02.04.02.04.02</v>
      </c>
      <c r="C636" s="90" t="str">
        <f>_xlfn.XLOOKUP($D636,Planilha!$O:$O,Planilha!F:F)</f>
        <v>FLEXÍVEL PARA PIA - 1/2"</v>
      </c>
      <c r="D636" s="91">
        <f>LARGE(Planilha!$O:$O,$A636)</f>
        <v>390.53</v>
      </c>
      <c r="E636" s="92">
        <f t="shared" si="27"/>
        <v>2.8058119989066902E-5</v>
      </c>
      <c r="F636" s="93">
        <f t="shared" si="28"/>
        <v>0.99618035536518312</v>
      </c>
      <c r="I636" s="73" t="str">
        <v>SIFÃO DE METAL CROMADO DE 1 1/2´ X 2´</v>
      </c>
    </row>
    <row r="637" spans="1:9" ht="33.6" x14ac:dyDescent="0.3">
      <c r="A637" s="88">
        <f t="shared" si="29"/>
        <v>629</v>
      </c>
      <c r="B637" s="89" t="str">
        <f>_xlfn.XLOOKUP(D637,Planilha!O:O,Planilha!C:C)</f>
        <v>02.01.07.05.07</v>
      </c>
      <c r="C637" s="90" t="str">
        <f>_xlfn.XLOOKUP($D637,Planilha!$O:$O,Planilha!F:F)</f>
        <v>LASTRO DE CONCRETO MAGRO, APLICADO EM BLOCOS DE COROAMENTO OU SAPATAS. AF_08/2017</v>
      </c>
      <c r="D637" s="91">
        <f>LARGE(Planilha!$O:$O,$A637)</f>
        <v>390.06</v>
      </c>
      <c r="E637" s="92">
        <f t="shared" si="27"/>
        <v>2.8024352246781132E-5</v>
      </c>
      <c r="F637" s="93">
        <f t="shared" si="28"/>
        <v>0.99620837971742993</v>
      </c>
      <c r="I637" s="73" t="str">
        <v>BUCHA DE REDUÇÃO DE COBRE, JUNTAS SOLDADAS, DIÂM = 28MM X 15MM</v>
      </c>
    </row>
    <row r="638" spans="1:9" ht="100.8" x14ac:dyDescent="0.3">
      <c r="A638" s="88">
        <f t="shared" si="29"/>
        <v>630</v>
      </c>
      <c r="B638" s="89" t="str">
        <f>_xlfn.XLOOKUP(D638,Planilha!O:O,Planilha!C:C)</f>
        <v>02.02.15.05.18</v>
      </c>
      <c r="C638" s="90" t="str">
        <f>_xlfn.XLOOKUP($D638,Planilha!$O:$O,Planilha!F:F)</f>
        <v>CPM.06.E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638" s="91">
        <f>LARGE(Planilha!$O:$O,$A638)</f>
        <v>388.44</v>
      </c>
      <c r="E638" s="92">
        <f t="shared" si="27"/>
        <v>2.7907961305285502E-5</v>
      </c>
      <c r="F638" s="93">
        <f t="shared" si="28"/>
        <v>0.99623628767873518</v>
      </c>
      <c r="I638" s="73" t="str">
        <v>CABO DE COBRE PP CORDPLAST 2 X 1,5 MM2, 450/750V</v>
      </c>
    </row>
    <row r="639" spans="1:9" ht="33.6" x14ac:dyDescent="0.3">
      <c r="A639" s="88">
        <f t="shared" si="29"/>
        <v>631</v>
      </c>
      <c r="B639" s="89" t="str">
        <f>_xlfn.XLOOKUP(D639,Planilha!O:O,Planilha!C:C)</f>
        <v>02.04.03.01.23</v>
      </c>
      <c r="C639" s="90" t="str">
        <f>_xlfn.XLOOKUP($D639,Planilha!$O:$O,Planilha!F:F)</f>
        <v>JUNÇÃO SIMPLES EM PVC RÍGIDO SOLDÁVEL, PARA ESGOTO PRIMÁRIO, DIÂM = 100 X 75MM</v>
      </c>
      <c r="D639" s="91">
        <f>LARGE(Planilha!$O:$O,$A639)</f>
        <v>388.08</v>
      </c>
      <c r="E639" s="92">
        <f t="shared" si="27"/>
        <v>2.7882096651619808E-5</v>
      </c>
      <c r="F639" s="93">
        <f t="shared" si="28"/>
        <v>0.99626416977538679</v>
      </c>
      <c r="I639" s="73" t="str">
        <v>JOELHO 87° 30´ EM FERRO FUNDIDO, LINHA PREDIAL TRADICIONAL, DN= 50 MM</v>
      </c>
    </row>
    <row r="640" spans="1:9" ht="33.6" x14ac:dyDescent="0.3">
      <c r="A640" s="88">
        <f t="shared" si="29"/>
        <v>632</v>
      </c>
      <c r="B640" s="89" t="str">
        <f>_xlfn.XLOOKUP(D640,Planilha!O:O,Planilha!C:C)</f>
        <v>02.04.01.04.02</v>
      </c>
      <c r="C640" s="90" t="str">
        <f>_xlfn.XLOOKUP($D640,Planilha!$O:$O,Planilha!F:F)</f>
        <v>JOELHO 90 GRAUS, PPR, DN 110 MM, CLASSE PN 25, INSTALADO EM PRUMADA DE ÁGUA  FORNECIMENTO E INSTALAÇÃO . AF_06/2015</v>
      </c>
      <c r="D640" s="91">
        <f>LARGE(Planilha!$O:$O,$A640)</f>
        <v>387.43</v>
      </c>
      <c r="E640" s="92">
        <f t="shared" si="27"/>
        <v>2.783539658250119E-5</v>
      </c>
      <c r="F640" s="93">
        <f t="shared" si="28"/>
        <v>0.99629200517196925</v>
      </c>
      <c r="I640" s="73" t="str">
        <v>JUNÇÃO SIMPLES, PVC, SERIE R, ÁGUA PLUVIAL, DN 75 X 75 MM, JUNTA ELÁSTICA, FORNECIDO E INSTALADO EM CONDUTORES VERTICAIS DE ÁGUAS PLUVIAIS. AF_12/2014</v>
      </c>
    </row>
    <row r="641" spans="1:9" x14ac:dyDescent="0.3">
      <c r="A641" s="88">
        <f t="shared" si="29"/>
        <v>633</v>
      </c>
      <c r="B641" s="89" t="str">
        <f>_xlfn.XLOOKUP(D641,Planilha!O:O,Planilha!C:C)</f>
        <v>02.02.12.03</v>
      </c>
      <c r="C641" s="90" t="str">
        <f>_xlfn.XLOOKUP($D641,Planilha!$O:$O,Planilha!F:F)</f>
        <v>LAVATORIO SUSPENSO LOUCA BRANCA LINHA IZY L-15.17 - DECA</v>
      </c>
      <c r="D641" s="91">
        <f>LARGE(Planilha!$O:$O,$A641)</f>
        <v>384.07</v>
      </c>
      <c r="E641" s="92">
        <f t="shared" si="27"/>
        <v>2.7593993148288033E-5</v>
      </c>
      <c r="F641" s="93">
        <f t="shared" si="28"/>
        <v>0.99631959916511759</v>
      </c>
      <c r="I641" s="73" t="str">
        <v>BASE PARA MASTRO DE DIÂMETRO 2´</v>
      </c>
    </row>
    <row r="642" spans="1:9" x14ac:dyDescent="0.3">
      <c r="A642" s="88">
        <f t="shared" si="29"/>
        <v>634</v>
      </c>
      <c r="B642" s="89" t="str">
        <f>_xlfn.XLOOKUP(D642,Planilha!O:O,Planilha!C:C)</f>
        <v>02.03.11.14.16</v>
      </c>
      <c r="C642" s="90" t="str">
        <f>_xlfn.XLOOKUP($D642,Planilha!$O:$O,Planilha!F:F)</f>
        <v>BORNE TERMINAL SAK 6 MM2</v>
      </c>
      <c r="D642" s="91">
        <f>LARGE(Planilha!$O:$O,$A642)</f>
        <v>383.04</v>
      </c>
      <c r="E642" s="92">
        <f t="shared" si="27"/>
        <v>2.7519991500300071E-5</v>
      </c>
      <c r="F642" s="93">
        <f t="shared" si="28"/>
        <v>0.99634711915661789</v>
      </c>
      <c r="I642" s="73" t="str">
        <v>CONECTOR OLHAL CABO/HASTE DE 5/8´</v>
      </c>
    </row>
    <row r="643" spans="1:9" ht="33.6" x14ac:dyDescent="0.3">
      <c r="A643" s="88">
        <f t="shared" si="29"/>
        <v>635</v>
      </c>
      <c r="B643" s="89" t="str">
        <f>_xlfn.XLOOKUP(D643,Planilha!O:O,Planilha!C:C)</f>
        <v>02.01.05.04</v>
      </c>
      <c r="C643" s="90" t="str">
        <f>_xlfn.XLOOKUP($D643,Planilha!$O:$O,Planilha!F:F)</f>
        <v>CORTE DE TRILHOS DE ACO TR-37KGF/M COM ELETRODOS ELETRICOS</v>
      </c>
      <c r="D643" s="91">
        <f>LARGE(Planilha!$O:$O,$A643)</f>
        <v>381.48</v>
      </c>
      <c r="E643" s="92">
        <f t="shared" si="27"/>
        <v>2.740791133441539E-5</v>
      </c>
      <c r="F643" s="93">
        <f t="shared" si="28"/>
        <v>0.99637452706795226</v>
      </c>
      <c r="I643" s="73" t="str">
        <v>LUVA DE CORRER EM PVC RÍGIDO SOLDÁVEL, PARA ESGOTO SECUNDÁRIO, DIÂM = 40MM</v>
      </c>
    </row>
    <row r="644" spans="1:9" ht="50.4" x14ac:dyDescent="0.3">
      <c r="A644" s="88">
        <f t="shared" si="29"/>
        <v>636</v>
      </c>
      <c r="B644" s="89" t="str">
        <f>_xlfn.XLOOKUP(D644,Planilha!O:O,Planilha!C:C)</f>
        <v>02.01.07.05.04</v>
      </c>
      <c r="C644" s="90" t="str">
        <f>_xlfn.XLOOKUP($D644,Planilha!$O:$O,Planilha!F:F)</f>
        <v>TRANSPORTE COM CAMINHÃO BASCULANTE DE 10 M³, EM VIA URBANA PAVIMENTADA, DMT ATÉ 30 KM (UNIDADE: M3XKM). AF_07/2020</v>
      </c>
      <c r="D644" s="91">
        <f>LARGE(Planilha!$O:$O,$A644)</f>
        <v>381.02</v>
      </c>
      <c r="E644" s="92">
        <f t="shared" si="27"/>
        <v>2.7374862054731444E-5</v>
      </c>
      <c r="F644" s="93">
        <f t="shared" si="28"/>
        <v>0.99640190193000699</v>
      </c>
      <c r="I644" s="73" t="str">
        <v>TE REDUCAO COBRE 35X22MM</v>
      </c>
    </row>
    <row r="645" spans="1:9" ht="50.4" x14ac:dyDescent="0.3">
      <c r="A645" s="88">
        <f t="shared" si="29"/>
        <v>637</v>
      </c>
      <c r="B645" s="89" t="str">
        <f>_xlfn.XLOOKUP(D645,Planilha!O:O,Planilha!C:C)</f>
        <v>02.04.01.01.01</v>
      </c>
      <c r="C645" s="90" t="str">
        <f>_xlfn.XLOOKUP($D645,Planilha!$O:$O,Planilha!F:F)</f>
        <v>TUBO PVC, SÉRIE R, ÁGUA PLUVIAL, DN 75 MM, FORNECIDO E INSTALADO EM CONDUTORES VERTICAIS DE ÁGUAS PLUVIAIS. AF_12/2014</v>
      </c>
      <c r="D645" s="91">
        <f>LARGE(Planilha!$O:$O,$A645)</f>
        <v>380.51</v>
      </c>
      <c r="E645" s="92">
        <f t="shared" si="27"/>
        <v>2.7338220462038377E-5</v>
      </c>
      <c r="F645" s="93">
        <f t="shared" si="28"/>
        <v>0.99642924015046908</v>
      </c>
      <c r="I645" s="73" t="str">
        <v>CURVA EM COBRE, DN 35 MM, 45 GRAUS, SEM ANEL DE SOLDA, BOLSA X BOLSA, INSTALADO EM PRUMADA DE HIDRÁULICA PREDIAL -  FORNECIMENTO E INSTALAÇÃO. AF_04/2022</v>
      </c>
    </row>
    <row r="646" spans="1:9" ht="33.6" x14ac:dyDescent="0.3">
      <c r="A646" s="88">
        <f t="shared" si="29"/>
        <v>638</v>
      </c>
      <c r="B646" s="89" t="str">
        <f>_xlfn.XLOOKUP(D646,Planilha!O:O,Planilha!C:C)</f>
        <v>02.03.11.05.06</v>
      </c>
      <c r="C646" s="90" t="str">
        <f>_xlfn.XLOOKUP($D646,Planilha!$O:$O,Planilha!F:F)</f>
        <v>DISJUNTOR BIPOLAR TIPO DIN, CORRENTE NOMINAL DE 20A - FORNECIMENTO E INSTALAÇÃO. AF_10/2020</v>
      </c>
      <c r="D646" s="91">
        <f>LARGE(Planilha!$O:$O,$A646)</f>
        <v>378.63</v>
      </c>
      <c r="E646" s="92">
        <f t="shared" si="27"/>
        <v>2.72031494928953E-5</v>
      </c>
      <c r="F646" s="93">
        <f t="shared" si="28"/>
        <v>0.99645644329996197</v>
      </c>
      <c r="I646" s="73" t="str">
        <v>CAIXA DE PASSAGEM PARA ELETRICIDADE EM ALUMINIO, DIM: 50 X 50 X 15 CM</v>
      </c>
    </row>
    <row r="647" spans="1:9" x14ac:dyDescent="0.3">
      <c r="A647" s="88">
        <f t="shared" si="29"/>
        <v>639</v>
      </c>
      <c r="B647" s="89" t="str">
        <f>_xlfn.XLOOKUP(D647,Planilha!O:O,Planilha!C:C)</f>
        <v>02.03.11.14.01</v>
      </c>
      <c r="C647" s="90" t="str">
        <f>_xlfn.XLOOKUP($D647,Planilha!$O:$O,Planilha!F:F)</f>
        <v>SAIDA VERTICAL PARA ELETRODUTO D=1"</v>
      </c>
      <c r="D647" s="91">
        <f>LARGE(Planilha!$O:$O,$A647)</f>
        <v>370.37</v>
      </c>
      <c r="E647" s="92">
        <f t="shared" si="27"/>
        <v>2.6609699383787953E-5</v>
      </c>
      <c r="F647" s="93">
        <f t="shared" si="28"/>
        <v>0.99648305299934581</v>
      </c>
      <c r="I647" s="73" t="str">
        <v>CONECTOR RETO BITOLA 3/4" FERRO GALV OU ALUMINIO PARA ADAPTACAO DE ENTRADAS</v>
      </c>
    </row>
    <row r="648" spans="1:9" ht="33.6" x14ac:dyDescent="0.3">
      <c r="A648" s="88">
        <f t="shared" si="29"/>
        <v>640</v>
      </c>
      <c r="B648" s="89" t="str">
        <f>_xlfn.XLOOKUP(D648,Planilha!O:O,Planilha!C:C)</f>
        <v>02.04.02.03.10</v>
      </c>
      <c r="C648" s="90" t="str">
        <f>_xlfn.XLOOKUP($D648,Planilha!$O:$O,Planilha!F:F)</f>
        <v>VÁLVULA DE ESFERA BRUTA, BRONZE, ROSCÁVEL, 2'' - FORNECIMENTO E INSTALAÇÃO. AF_08/2021</v>
      </c>
      <c r="D648" s="91">
        <f>LARGE(Planilha!$O:$O,$A648)</f>
        <v>367.68</v>
      </c>
      <c r="E648" s="92">
        <f t="shared" si="27"/>
        <v>2.6416432943897061E-5</v>
      </c>
      <c r="F648" s="93">
        <f t="shared" si="28"/>
        <v>0.99650946943228969</v>
      </c>
      <c r="I648" s="73" t="str">
        <v>CAIXA DE PASSAGEM EM ALUMÍNIO PARA PISO 4" X 2" - FORNECIMENTO E ASSENTAMENTO</v>
      </c>
    </row>
    <row r="649" spans="1:9" x14ac:dyDescent="0.3">
      <c r="A649" s="88">
        <f t="shared" si="29"/>
        <v>641</v>
      </c>
      <c r="B649" s="89" t="str">
        <f>_xlfn.XLOOKUP(D649,Planilha!O:O,Planilha!C:C)</f>
        <v>02.03.11.02.01</v>
      </c>
      <c r="C649" s="90" t="str">
        <f>_xlfn.XLOOKUP($D649,Planilha!$O:$O,Planilha!F:F)</f>
        <v>DISJUNTOR TRIPOLAR 80A CURVA C</v>
      </c>
      <c r="D649" s="91">
        <f>LARGE(Planilha!$O:$O,$A649)</f>
        <v>365.66</v>
      </c>
      <c r="E649" s="92">
        <f t="shared" ref="E649:E712" si="30">D649/$D$933</f>
        <v>2.6271303498328438E-5</v>
      </c>
      <c r="F649" s="93">
        <f t="shared" ref="F649:F712" si="31">+E649+F648</f>
        <v>0.99653574073578799</v>
      </c>
      <c r="I649" s="73" t="str">
        <v>GRELHA HEMISFÉRICA EM FERRO FUNDIDO DE 4"</v>
      </c>
    </row>
    <row r="650" spans="1:9" ht="33.6" x14ac:dyDescent="0.3">
      <c r="A650" s="88">
        <f t="shared" si="29"/>
        <v>642</v>
      </c>
      <c r="B650" s="89" t="str">
        <f>_xlfn.XLOOKUP(D650,Planilha!O:O,Planilha!C:C)</f>
        <v>02.01.07.05.02</v>
      </c>
      <c r="C650" s="90" t="str">
        <f>_xlfn.XLOOKUP($D650,Planilha!$O:$O,Planilha!F:F)</f>
        <v>REATERRO MANUAL DE VALAS COM COMPACTAÇÃO MECANIZADA. AF_04/2016</v>
      </c>
      <c r="D650" s="91">
        <f>LARGE(Planilha!$O:$O,$A650)</f>
        <v>364.33</v>
      </c>
      <c r="E650" s="92">
        <f t="shared" si="30"/>
        <v>2.6175747972285724E-5</v>
      </c>
      <c r="F650" s="93">
        <f t="shared" si="31"/>
        <v>0.99656191648376025</v>
      </c>
      <c r="I650" s="73" t="str">
        <v>TAMPÃO DE ENGATE RÁPIDO EM LATÃO, DN= 2 1/2´, COM CORRENTE</v>
      </c>
    </row>
    <row r="651" spans="1:9" ht="50.4" x14ac:dyDescent="0.3">
      <c r="A651" s="88">
        <f t="shared" ref="A651:A714" si="32">+A650+1</f>
        <v>643</v>
      </c>
      <c r="B651" s="89" t="str">
        <f>_xlfn.XLOOKUP(D651,Planilha!O:O,Planilha!C:C)</f>
        <v>02.03.06.04</v>
      </c>
      <c r="C651" s="90" t="str">
        <f>_xlfn.XLOOKUP($D651,Planilha!$O:$O,Planilha!F:F)</f>
        <v>CONDULETE DE ALUMÍNIO, TIPO T, PARA ELETRODUTO DE AÇO GALVANIZADO DN 25 MM (1''), APARENTE - FORNECIMENTO E INSTALAÇÃO. AF_11/2016_P</v>
      </c>
      <c r="D651" s="91">
        <f>LARGE(Planilha!$O:$O,$A651)</f>
        <v>361.9</v>
      </c>
      <c r="E651" s="92">
        <f t="shared" si="30"/>
        <v>2.6001161560042278E-5</v>
      </c>
      <c r="F651" s="93">
        <f t="shared" si="31"/>
        <v>0.99658791764532029</v>
      </c>
      <c r="I651" s="73" t="str">
        <v>BUCHA DE REDUÇÃO EM COBRE, DN 22 MM X 15 MM, SEM ANEL DE SOLDA, PONTA X BOLSA, INSTALADO EM RAMAL E SUB-RAMAL  FORNECIMENTO E INSTALAÇÃO. AF_01/2016</v>
      </c>
    </row>
    <row r="652" spans="1:9" x14ac:dyDescent="0.3">
      <c r="A652" s="88">
        <f t="shared" si="32"/>
        <v>644</v>
      </c>
      <c r="B652" s="89" t="str">
        <f>_xlfn.XLOOKUP(D652,Planilha!O:O,Planilha!C:C)</f>
        <v>02.03.11.13.09</v>
      </c>
      <c r="C652" s="90" t="str">
        <f>_xlfn.XLOOKUP($D652,Planilha!$O:$O,Planilha!F:F)</f>
        <v>RELÉ TÉRMICO 3RU11-16 (1,8 - 2,8A)</v>
      </c>
      <c r="D652" s="91">
        <f>LARGE(Planilha!$O:$O,$A652)</f>
        <v>359.03</v>
      </c>
      <c r="E652" s="92">
        <f t="shared" si="30"/>
        <v>2.5794962793318538E-5</v>
      </c>
      <c r="F652" s="93">
        <f t="shared" si="31"/>
        <v>0.9966137126081136</v>
      </c>
      <c r="I652" s="73" t="str">
        <v xml:space="preserve">CHAVE COMUTADORA Ø 30,5 </v>
      </c>
    </row>
    <row r="653" spans="1:9" x14ac:dyDescent="0.3">
      <c r="A653" s="88">
        <f t="shared" si="32"/>
        <v>645</v>
      </c>
      <c r="B653" s="89" t="str">
        <f>_xlfn.XLOOKUP(D653,Planilha!O:O,Planilha!C:C)</f>
        <v>02.03.11.11.06</v>
      </c>
      <c r="C653" s="90" t="str">
        <f>_xlfn.XLOOKUP($D653,Planilha!$O:$O,Planilha!F:F)</f>
        <v>CHAVE ROTATIVA MANUAL/AUTOMÁTICO Ø 30,5</v>
      </c>
      <c r="D653" s="91">
        <f>LARGE(Planilha!$O:$O,$A653)</f>
        <v>357.48</v>
      </c>
      <c r="E653" s="92">
        <f t="shared" si="30"/>
        <v>2.5683601090035688E-5</v>
      </c>
      <c r="F653" s="93">
        <f t="shared" si="31"/>
        <v>0.99663939620920361</v>
      </c>
      <c r="I653" s="73" t="str">
        <v>TÊ, PVC, SERIE R, ÁGUA PLUVIAL, DN 75 X 75 MM, JUNTA ELÁSTICA, FORNECIDO E INSTALADO EM CONDUTORES VERTICAIS DE ÁGUAS PLUVIAIS. AF_12/2014</v>
      </c>
    </row>
    <row r="654" spans="1:9" ht="100.8" x14ac:dyDescent="0.3">
      <c r="A654" s="88">
        <f t="shared" si="32"/>
        <v>646</v>
      </c>
      <c r="B654" s="89" t="str">
        <f>_xlfn.XLOOKUP(D654,Planilha!O:O,Planilha!C:C)</f>
        <v>02.02.15.05.16</v>
      </c>
      <c r="C654" s="90" t="str">
        <f>_xlfn.XLOOKUP($D654,Planilha!$O:$O,Planilha!F:F)</f>
        <v>CPM.06.C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654" s="91">
        <f>LARGE(Planilha!$O:$O,$A654)</f>
        <v>357.36</v>
      </c>
      <c r="E654" s="92">
        <f t="shared" si="30"/>
        <v>2.5674979538813789E-5</v>
      </c>
      <c r="F654" s="93">
        <f t="shared" si="31"/>
        <v>0.99666507118874237</v>
      </c>
      <c r="I654" s="73" t="str">
        <v>FORMA EM MADEIRA COMUM PARA FUNDAÇÃO</v>
      </c>
    </row>
    <row r="655" spans="1:9" ht="100.8" x14ac:dyDescent="0.3">
      <c r="A655" s="88">
        <f t="shared" si="32"/>
        <v>647</v>
      </c>
      <c r="B655" s="89" t="str">
        <f>_xlfn.XLOOKUP(D655,Planilha!O:O,Planilha!C:C)</f>
        <v>02.02.15.05.16</v>
      </c>
      <c r="C655" s="90" t="str">
        <f>_xlfn.XLOOKUP($D655,Planilha!$O:$O,Planilha!F:F)</f>
        <v>CPM.06.C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655" s="91">
        <f>LARGE(Planilha!$O:$O,$A655)</f>
        <v>357.36</v>
      </c>
      <c r="E655" s="92">
        <f t="shared" si="30"/>
        <v>2.5674979538813789E-5</v>
      </c>
      <c r="F655" s="93">
        <f t="shared" si="31"/>
        <v>0.99669074616828113</v>
      </c>
      <c r="I655" s="73" t="str">
        <v>TE, PVC, SERIE NORMAL, ESGOTO PREDIAL, DN 40 X 40 MM, JUNTA SOLDÁVEL, FORNECIDO E INSTALADO EM RAMAL DE DESCARGA OU RAMAL DE ESGOTO SANITÁRIO. AF_12/2014</v>
      </c>
    </row>
    <row r="656" spans="1:9" ht="100.8" x14ac:dyDescent="0.3">
      <c r="A656" s="88">
        <f t="shared" si="32"/>
        <v>648</v>
      </c>
      <c r="B656" s="89" t="str">
        <f>_xlfn.XLOOKUP(D656,Planilha!O:O,Planilha!C:C)</f>
        <v>02.02.15.05.16</v>
      </c>
      <c r="C656" s="90" t="str">
        <f>_xlfn.XLOOKUP($D656,Planilha!$O:$O,Planilha!F:F)</f>
        <v>CPM.06.C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656" s="91">
        <f>LARGE(Planilha!$O:$O,$A656)</f>
        <v>357.36</v>
      </c>
      <c r="E656" s="92">
        <f t="shared" si="30"/>
        <v>2.5674979538813789E-5</v>
      </c>
      <c r="F656" s="93">
        <f t="shared" si="31"/>
        <v>0.99671642114781989</v>
      </c>
      <c r="I656" s="73" t="str">
        <v>BUCHA DE ALUMINIO PARA ELETRODUTO 1""</v>
      </c>
    </row>
    <row r="657" spans="1:9" x14ac:dyDescent="0.3">
      <c r="A657" s="88">
        <f t="shared" si="32"/>
        <v>649</v>
      </c>
      <c r="B657" s="89" t="str">
        <f>_xlfn.XLOOKUP(D657,Planilha!O:O,Planilha!C:C)</f>
        <v>02.04.03.06.01</v>
      </c>
      <c r="C657" s="90" t="str">
        <f>_xlfn.XLOOKUP($D657,Planilha!$O:$O,Planilha!F:F)</f>
        <v>CAIXA SIFONADA PVC 100X150X50MM</v>
      </c>
      <c r="D657" s="91">
        <f>LARGE(Planilha!$O:$O,$A657)</f>
        <v>354.41</v>
      </c>
      <c r="E657" s="92">
        <f t="shared" si="30"/>
        <v>2.5463033071275451E-5</v>
      </c>
      <c r="F657" s="93">
        <f t="shared" si="31"/>
        <v>0.99674188418089116</v>
      </c>
      <c r="I657" s="73" t="str">
        <v>JUNÇÃO SIMPLES, PVC, SERIE R, ÁGUA PLUVIAL, DN 100 X 75 MM, JUNTA ELÁSTICA, FORNECIDO E INSTALADO EM CONDUTORES VERTICAIS DE ÁGUAS PLUVIAIS. AF_12/2014</v>
      </c>
    </row>
    <row r="658" spans="1:9" x14ac:dyDescent="0.3">
      <c r="A658" s="88">
        <f t="shared" si="32"/>
        <v>650</v>
      </c>
      <c r="B658" s="89" t="str">
        <f>_xlfn.XLOOKUP(D658,Planilha!O:O,Planilha!C:C)</f>
        <v>02.02.11.01.09</v>
      </c>
      <c r="C658" s="90" t="str">
        <f>_xlfn.XLOOKUP($D658,Planilha!$O:$O,Planilha!F:F)</f>
        <v>FRETE TRANSPORTE PAINEIS</v>
      </c>
      <c r="D658" s="91">
        <f>LARGE(Planilha!$O:$O,$A658)</f>
        <v>350.99</v>
      </c>
      <c r="E658" s="92">
        <f t="shared" si="30"/>
        <v>2.5217318861451341E-5</v>
      </c>
      <c r="F658" s="93">
        <f t="shared" si="31"/>
        <v>0.99676710149975256</v>
      </c>
      <c r="I658" s="73" t="str">
        <v>LUVA EM COBRE, DN 22 MM, SEM ANEL DE SOLDA, INSTALADO EM RAMAL DE DISTRIBUIÇÃO DE HIDRÁULICA PREDIAL - FORNECIMENTO E INSTALAÇÃO. AF_04/2022</v>
      </c>
    </row>
    <row r="659" spans="1:9" x14ac:dyDescent="0.3">
      <c r="A659" s="88">
        <f t="shared" si="32"/>
        <v>651</v>
      </c>
      <c r="B659" s="89" t="str">
        <f>_xlfn.XLOOKUP(D659,Planilha!O:O,Planilha!C:C)</f>
        <v>02.03.02.01.13</v>
      </c>
      <c r="C659" s="90" t="str">
        <f>_xlfn.XLOOKUP($D659,Planilha!$O:$O,Planilha!F:F)</f>
        <v>CAIXA DE TOMADA EM ALUMÍNIO PARA PISO 4´ X 4´</v>
      </c>
      <c r="D659" s="91">
        <f>LARGE(Planilha!$O:$O,$A659)</f>
        <v>349.72</v>
      </c>
      <c r="E659" s="92">
        <f t="shared" si="30"/>
        <v>2.5126074111019584E-5</v>
      </c>
      <c r="F659" s="93">
        <f t="shared" si="31"/>
        <v>0.99679222757386354</v>
      </c>
      <c r="I659" s="73" t="str">
        <v>TE REDUCAO COBRE 38X15MM</v>
      </c>
    </row>
    <row r="660" spans="1:9" x14ac:dyDescent="0.3">
      <c r="A660" s="88">
        <f t="shared" si="32"/>
        <v>652</v>
      </c>
      <c r="B660" s="89" t="str">
        <f>_xlfn.XLOOKUP(D660,Planilha!O:O,Planilha!C:C)</f>
        <v>02.03.11.13.11</v>
      </c>
      <c r="C660" s="90" t="str">
        <f>_xlfn.XLOOKUP($D660,Planilha!$O:$O,Planilha!F:F)</f>
        <v>RELÉ BIESTÁVEL P2Q COEL OU SIEMENS</v>
      </c>
      <c r="D660" s="91">
        <f>LARGE(Planilha!$O:$O,$A660)</f>
        <v>349.03</v>
      </c>
      <c r="E660" s="92">
        <f t="shared" si="30"/>
        <v>2.5076500191493664E-5</v>
      </c>
      <c r="F660" s="93">
        <f t="shared" si="31"/>
        <v>0.996817304074055</v>
      </c>
      <c r="I660" s="73" t="str">
        <v>TE, PVC, SOLDÁVEL, DN 50MM, INSTALADO EM PRUMADA DE ÁGUA - FORNECIMENTO E INSTALAÇÃO. AF_12/2014</v>
      </c>
    </row>
    <row r="661" spans="1:9" x14ac:dyDescent="0.3">
      <c r="A661" s="88">
        <f t="shared" si="32"/>
        <v>653</v>
      </c>
      <c r="B661" s="89" t="str">
        <f>_xlfn.XLOOKUP(D661,Planilha!O:O,Planilha!C:C)</f>
        <v>02.03.09.38</v>
      </c>
      <c r="C661" s="90" t="str">
        <f>_xlfn.XLOOKUP($D661,Planilha!$O:$O,Planilha!F:F)</f>
        <v>CAIXA DE PASSAGEM CHAPA TAMPA PARAFUSADA DE 20X20X10 CM</v>
      </c>
      <c r="D661" s="91">
        <f>LARGE(Planilha!$O:$O,$A661)</f>
        <v>348.1</v>
      </c>
      <c r="E661" s="92">
        <f t="shared" si="30"/>
        <v>2.5009683169523953E-5</v>
      </c>
      <c r="F661" s="93">
        <f t="shared" si="31"/>
        <v>0.99684231375722454</v>
      </c>
      <c r="I661" s="73" t="str">
        <v>CAIXA DE LIGAÇÃO/PASSAGEM EM PVC RÍGIDO PARA ELETRODUTO, DIMENSÕES 4"X4", EMBUTIDA EM PAREDE DE GESSO ACARTONADO (DRY-WALL) - FORNECIMENTO E INSTALAÇÃO</v>
      </c>
    </row>
    <row r="662" spans="1:9" x14ac:dyDescent="0.3">
      <c r="A662" s="88">
        <f t="shared" si="32"/>
        <v>654</v>
      </c>
      <c r="B662" s="89" t="str">
        <f>_xlfn.XLOOKUP(D662,Planilha!O:O,Planilha!C:C)</f>
        <v>02.03.03.01.01</v>
      </c>
      <c r="C662" s="90" t="str">
        <f>_xlfn.XLOOKUP($D662,Planilha!$O:$O,Planilha!F:F)</f>
        <v>PLACA DE 4´ X 4´</v>
      </c>
      <c r="D662" s="91">
        <f>LARGE(Planilha!$O:$O,$A662)</f>
        <v>345</v>
      </c>
      <c r="E662" s="92">
        <f t="shared" si="30"/>
        <v>2.4786959762958239E-5</v>
      </c>
      <c r="F662" s="93">
        <f t="shared" si="31"/>
        <v>0.99686710071698748</v>
      </c>
      <c r="I662" s="73" t="str">
        <v>BUCHA DE REDUÇÃO, PPR, 32 X 25, CLASSE PN 25, INSTALADO EM PRUMADA DE ÁGUA  FORNECIMENTO E INSTALAÇÃO . AF_06/2015</v>
      </c>
    </row>
    <row r="663" spans="1:9" ht="50.4" x14ac:dyDescent="0.3">
      <c r="A663" s="88">
        <f t="shared" si="32"/>
        <v>655</v>
      </c>
      <c r="B663" s="89" t="str">
        <f>_xlfn.XLOOKUP(D663,Planilha!O:O,Planilha!C:C)</f>
        <v>02.03.07.04</v>
      </c>
      <c r="C663" s="90" t="str">
        <f>_xlfn.XLOOKUP($D663,Planilha!$O:$O,Planilha!F:F)</f>
        <v>ELETRODUTO FLEXÍVEL CORRUGADO REFORÇADO, PVC, DN 32 MM (1"), PARA CIRCUITOS TERMINAIS, INSTALADO EM FORRO - FORNECIMENTO E INSTALAÇÃO. AF_12/2015</v>
      </c>
      <c r="D663" s="91">
        <f>LARGE(Planilha!$O:$O,$A663)</f>
        <v>343.92</v>
      </c>
      <c r="E663" s="92">
        <f t="shared" si="30"/>
        <v>2.4709365801961154E-5</v>
      </c>
      <c r="F663" s="93">
        <f t="shared" si="31"/>
        <v>0.99689181008278949</v>
      </c>
      <c r="I663" s="73" t="str">
        <v>CAIXA DE PASSAGEM CHAPA TAMPA PARAFUSADA DE 30X30X12 CM</v>
      </c>
    </row>
    <row r="664" spans="1:9" ht="100.8" x14ac:dyDescent="0.3">
      <c r="A664" s="88">
        <f t="shared" si="32"/>
        <v>656</v>
      </c>
      <c r="B664" s="89" t="str">
        <f>_xlfn.XLOOKUP(D664,Planilha!O:O,Planilha!C:C)</f>
        <v>02.02.15.05.21</v>
      </c>
      <c r="C664" s="90" t="str">
        <f>_xlfn.XLOOKUP($D664,Planilha!$O:$O,Planilha!F:F)</f>
        <v>CPM.06.H - PAINEL EM CHAPA METÁLICA PERFURADA REDONDA EM AÇO INOX 304 - PERFURAÇÃO R8,00 EC11,00. ACABAMENTO EM PINTURA ELETROSTÁTICA COR RAL 7042 BRILHANTE. SUBESTRUTURA EM PERFIS DE AÇO INOX 304 E ACESSÓRIOS PARA FIXAÇÃO PINTADOS NA MESMA COR, PARAFUSOS SEM PINTURA.0,132 - 5,286m2</v>
      </c>
      <c r="D664" s="91">
        <f>LARGE(Planilha!$O:$O,$A664)</f>
        <v>341.83</v>
      </c>
      <c r="E664" s="92">
        <f t="shared" si="30"/>
        <v>2.4559207118179754E-5</v>
      </c>
      <c r="F664" s="93">
        <f t="shared" si="31"/>
        <v>0.99691636928990768</v>
      </c>
      <c r="I664" s="73" t="str">
        <v>FUSÍVEL DIAZED RETARDADO DE 35 A ATÉ 63 A</v>
      </c>
    </row>
    <row r="665" spans="1:9" ht="33.6" x14ac:dyDescent="0.3">
      <c r="A665" s="88">
        <f t="shared" si="32"/>
        <v>657</v>
      </c>
      <c r="B665" s="89" t="str">
        <f>_xlfn.XLOOKUP(D665,Planilha!O:O,Planilha!C:C)</f>
        <v>02.04.02.01.10</v>
      </c>
      <c r="C665" s="90" t="str">
        <f>_xlfn.XLOOKUP($D665,Planilha!$O:$O,Planilha!F:F)</f>
        <v>JOELHO 90 GRAUS, PVC, SOLDÁVEL, DN 50MM, INSTALADO EM PRUMADA DE ÁGUA - FORNECIMENTO E INSTALAÇÃO. AF_12/2014</v>
      </c>
      <c r="D665" s="91">
        <f>LARGE(Planilha!$O:$O,$A665)</f>
        <v>340.48</v>
      </c>
      <c r="E665" s="92">
        <f t="shared" si="30"/>
        <v>2.4462214666933396E-5</v>
      </c>
      <c r="F665" s="93">
        <f t="shared" si="31"/>
        <v>0.99694083150457458</v>
      </c>
      <c r="I665" s="73" t="str">
        <v>DISJUNTOR TRIPOLAR TIPO DIN, CORRENTE NOMINAL DE 50A - FORNECIMENTO E INSTALAÇÃO. AF_10/2020</v>
      </c>
    </row>
    <row r="666" spans="1:9" ht="33.6" x14ac:dyDescent="0.3">
      <c r="A666" s="88">
        <f t="shared" si="32"/>
        <v>658</v>
      </c>
      <c r="B666" s="89" t="str">
        <f>_xlfn.XLOOKUP(D666,Planilha!O:O,Planilha!C:C)</f>
        <v>02.04.03.01.22</v>
      </c>
      <c r="C666" s="90" t="str">
        <f>_xlfn.XLOOKUP($D666,Planilha!$O:$O,Planilha!F:F)</f>
        <v>JUNÇÃO SIMPLES EM PVC RÍGIDO SOLDÁVEL, PARA ESGOTO PRIMÁRIO, DIÂM = 100 X 50MM</v>
      </c>
      <c r="D666" s="91">
        <f>LARGE(Planilha!$O:$O,$A666)</f>
        <v>339.71</v>
      </c>
      <c r="E666" s="92">
        <f t="shared" si="30"/>
        <v>2.4406893046592879E-5</v>
      </c>
      <c r="F666" s="93">
        <f t="shared" si="31"/>
        <v>0.99696523839762119</v>
      </c>
      <c r="I666" s="73" t="str">
        <v>BOTÃO DE COMANDO DUPLO SEM SINALIZADOR</v>
      </c>
    </row>
    <row r="667" spans="1:9" x14ac:dyDescent="0.3">
      <c r="A667" s="88">
        <f t="shared" si="32"/>
        <v>659</v>
      </c>
      <c r="B667" s="89" t="str">
        <f>_xlfn.XLOOKUP(D667,Planilha!O:O,Planilha!C:C)</f>
        <v>02.03.01.06</v>
      </c>
      <c r="C667" s="90" t="str">
        <f>_xlfn.XLOOKUP($D667,Planilha!$O:$O,Planilha!F:F)</f>
        <v xml:space="preserve">LUMINÁRIA DE SOBREPOR HERMÉTICA REF. WT118C SMARTLED </v>
      </c>
      <c r="D667" s="91">
        <f>LARGE(Planilha!$O:$O,$A667)</f>
        <v>334.43</v>
      </c>
      <c r="E667" s="92">
        <f t="shared" si="30"/>
        <v>2.4027544792829344E-5</v>
      </c>
      <c r="F667" s="93">
        <f t="shared" si="31"/>
        <v>0.99698926594241399</v>
      </c>
      <c r="I667" s="73" t="str">
        <v>TE EM COBRE, DN 28 MM, SEM ANEL DE SOLDA, INSTALADO EM PRUMADA  FORNECIMENTO E INSTALAÇÃO. AF_12/2015</v>
      </c>
    </row>
    <row r="668" spans="1:9" x14ac:dyDescent="0.3">
      <c r="A668" s="88">
        <f t="shared" si="32"/>
        <v>660</v>
      </c>
      <c r="B668" s="89" t="str">
        <f>_xlfn.XLOOKUP(D668,Planilha!O:O,Planilha!C:C)</f>
        <v>02.03.11.02.02</v>
      </c>
      <c r="C668" s="90" t="str">
        <f>_xlfn.XLOOKUP($D668,Planilha!$O:$O,Planilha!F:F)</f>
        <v>CAIXA PARA 1 DISJUNTOR TRIFÁSICO ATÉ 100A E BARRAMENTOS</v>
      </c>
      <c r="D668" s="91">
        <f>LARGE(Planilha!$O:$O,$A668)</f>
        <v>331.99</v>
      </c>
      <c r="E668" s="92">
        <f t="shared" si="30"/>
        <v>2.3852239917984074E-5</v>
      </c>
      <c r="F668" s="93">
        <f t="shared" si="31"/>
        <v>0.99701311818233196</v>
      </c>
      <c r="I668" s="73" t="str">
        <v>VEDAÇÃO PARA SAÍDA DE VASO SANITÁRIO EM  PVC RÍGIDO SOLDÁVEL, PARA ESGOTO PRIMÁRIO, DIÂM = 100MM</v>
      </c>
    </row>
    <row r="669" spans="1:9" ht="50.4" x14ac:dyDescent="0.3">
      <c r="A669" s="88">
        <f t="shared" si="32"/>
        <v>661</v>
      </c>
      <c r="B669" s="89" t="str">
        <f>_xlfn.XLOOKUP(D669,Planilha!O:O,Planilha!C:C)</f>
        <v>02.04.02.04.08</v>
      </c>
      <c r="C669" s="90" t="str">
        <f>_xlfn.XLOOKUP($D669,Planilha!$O:$O,Planilha!F:F)</f>
        <v>NIPLE, EM FERRO GALVANIZADO, CONEXÃO ROSQUEADA, DN 15 (1/2"), INSTALADO EM RAMAIS E SUB-RAMAIS DE GÁS - FORNECIMENTO E INSTALAÇÃO. AF_10/2020</v>
      </c>
      <c r="D669" s="91">
        <f>LARGE(Planilha!$O:$O,$A669)</f>
        <v>329.58</v>
      </c>
      <c r="E669" s="92">
        <f t="shared" si="30"/>
        <v>2.3679090430944279E-5</v>
      </c>
      <c r="F669" s="93">
        <f t="shared" si="31"/>
        <v>0.99703679727276295</v>
      </c>
      <c r="I669" s="73" t="str">
        <v>ADAPTADOR CURTO COM BOLSA E ROSCA PARA REGISTRO, PVC, SOLDÁVEL, DN 60 MM X 2 , INSTALADO EM RESERVAÇÃO DE ÁGUA DE EDIFICAÇÃO QUE POSSUA RESERVATÓRIO DE FIBRA/FIBROCIMENTO   FORNECIMENTO E INSTALAÇÃO. AF_06/2016</v>
      </c>
    </row>
    <row r="670" spans="1:9" ht="100.8" x14ac:dyDescent="0.3">
      <c r="A670" s="88">
        <f t="shared" si="32"/>
        <v>662</v>
      </c>
      <c r="B670" s="89" t="str">
        <f>_xlfn.XLOOKUP(D670,Planilha!O:O,Planilha!C:C)</f>
        <v>02.02.15.05.28</v>
      </c>
      <c r="C670" s="90" t="str">
        <f>_xlfn.XLOOKUP($D670,Planilha!$O:$O,Planilha!F:F)</f>
        <v>CPM.06.O - PAINEL EM CHAPA METÁLICA PERFURADA REDONDA EM AÇO INOX 304 - PERFURAÇÃO R8,00 EC11,00. ACABAMENTO EM PINTURA ELETROSTÁTICA COR RAL 7042 BRILHANTE. SUBESTRUTURA EM PERFIS DE AÇO INOX 304 E ACESSÓRIOS PARA FIXAÇÃO PINTADOS NA MESMA COR, PARAFUSOS SEM PINTURA.0,122 - 5,286m2</v>
      </c>
      <c r="D670" s="91">
        <f>LARGE(Planilha!$O:$O,$A670)</f>
        <v>326.29000000000002</v>
      </c>
      <c r="E670" s="92">
        <f t="shared" si="30"/>
        <v>2.3442716234943896E-5</v>
      </c>
      <c r="F670" s="93">
        <f t="shared" si="31"/>
        <v>0.99706023998899784</v>
      </c>
      <c r="I670" s="73" t="str">
        <v>LUVA COM BUCHA DE LATÃO, PVC, SOLDÁVEL, DN 25MM X 3/4, INSTALADO EM PRUMADA DE ÁGUA - FORNECIMENTO E INSTALAÇÃO. AF_12/2014</v>
      </c>
    </row>
    <row r="671" spans="1:9" x14ac:dyDescent="0.3">
      <c r="A671" s="88">
        <f t="shared" si="32"/>
        <v>663</v>
      </c>
      <c r="B671" s="89" t="str">
        <f>_xlfn.XLOOKUP(D671,Planilha!O:O,Planilha!C:C)</f>
        <v>02.03.10.01.04</v>
      </c>
      <c r="C671" s="90" t="str">
        <f>_xlfn.XLOOKUP($D671,Planilha!$O:$O,Planilha!F:F)</f>
        <v>CONTRAVENTAGEM COM CABO PARA MASTRO DE DIÂMETRO 2´</v>
      </c>
      <c r="D671" s="91">
        <f>LARGE(Planilha!$O:$O,$A671)</f>
        <v>325.12</v>
      </c>
      <c r="E671" s="92">
        <f t="shared" si="30"/>
        <v>2.3358656110530387E-5</v>
      </c>
      <c r="F671" s="93">
        <f t="shared" si="31"/>
        <v>0.99708359864510843</v>
      </c>
      <c r="I671" s="73" t="str">
        <v>DISJUNTOR TRIPOLAR IN=40A</v>
      </c>
    </row>
    <row r="672" spans="1:9" ht="33.6" x14ac:dyDescent="0.3">
      <c r="A672" s="88">
        <f t="shared" si="32"/>
        <v>664</v>
      </c>
      <c r="B672" s="89" t="str">
        <f>_xlfn.XLOOKUP(D672,Planilha!O:O,Planilha!C:C)</f>
        <v>02.03.11.06.01</v>
      </c>
      <c r="C672" s="90" t="str">
        <f>_xlfn.XLOOKUP($D672,Planilha!$O:$O,Planilha!F:F)</f>
        <v>CHAVE SECCIONADORA TRIPOLAR 63A, MANOBRA C/ CARGA ACIONAMENTO POR ALAVANCA P/ QUADRO DE DIST DE ENERGIA</v>
      </c>
      <c r="D672" s="91">
        <f>LARGE(Planilha!$O:$O,$A672)</f>
        <v>324.39999999999998</v>
      </c>
      <c r="E672" s="92">
        <f t="shared" si="30"/>
        <v>2.3306926803198992E-5</v>
      </c>
      <c r="F672" s="93">
        <f t="shared" si="31"/>
        <v>0.99710690557191162</v>
      </c>
      <c r="I672" s="73" t="str">
        <v>TE, PVC, SOLDÁVEL, DN 75MM, INSTALADO EM PRUMADA DE ÁGUA - FORNECIMENTO E INSTALAÇÃO. AF_12/2014</v>
      </c>
    </row>
    <row r="673" spans="1:9" ht="33.6" x14ac:dyDescent="0.3">
      <c r="A673" s="88">
        <f t="shared" si="32"/>
        <v>665</v>
      </c>
      <c r="B673" s="89" t="str">
        <f>_xlfn.XLOOKUP(D673,Planilha!O:O,Planilha!C:C)</f>
        <v>02.03.11.06.01</v>
      </c>
      <c r="C673" s="90" t="str">
        <f>_xlfn.XLOOKUP($D673,Planilha!$O:$O,Planilha!F:F)</f>
        <v>CHAVE SECCIONADORA TRIPOLAR 63A, MANOBRA C/ CARGA ACIONAMENTO POR ALAVANCA P/ QUADRO DE DIST DE ENERGIA</v>
      </c>
      <c r="D673" s="91">
        <f>LARGE(Planilha!$O:$O,$A673)</f>
        <v>324.39999999999998</v>
      </c>
      <c r="E673" s="92">
        <f t="shared" si="30"/>
        <v>2.3306926803198992E-5</v>
      </c>
      <c r="F673" s="93">
        <f t="shared" si="31"/>
        <v>0.99713021249871481</v>
      </c>
      <c r="I673" s="73" t="str">
        <v>TUBO, PVC, SOLDÁVEL, DN 85 MM, INSTALADO EM RESERVAÇÃO DE ÁGUA DE EDIFICAÇÃO QUE POSSUA RESERVATÓRIO DE FIBRA/FIBROCIMENTO   FORNECIMENTO E INSTALAÇÃO. AF_06/2016</v>
      </c>
    </row>
    <row r="674" spans="1:9" ht="50.4" x14ac:dyDescent="0.3">
      <c r="A674" s="88">
        <f t="shared" si="32"/>
        <v>666</v>
      </c>
      <c r="B674" s="89" t="str">
        <f>_xlfn.XLOOKUP(D674,Planilha!O:O,Planilha!C:C)</f>
        <v>02.05.01.08</v>
      </c>
      <c r="C674" s="90" t="str">
        <f>_xlfn.XLOOKUP($D674,Planilha!$O:$O,Planilha!F:F)</f>
        <v>LUVA EM COBRE, DN 35 MM, SEM ANEL DE SOLDA, INSTALADO EM PRUMADA DE HIDRÁULICA PREDIAL - FORNECIMENTO E INSTALAÇÃO. AF_04/2022</v>
      </c>
      <c r="D674" s="91">
        <f>LARGE(Planilha!$O:$O,$A674)</f>
        <v>323.45999999999998</v>
      </c>
      <c r="E674" s="92">
        <f t="shared" si="30"/>
        <v>2.3239391318627454E-5</v>
      </c>
      <c r="F674" s="93">
        <f t="shared" si="31"/>
        <v>0.99715345189003346</v>
      </c>
      <c r="I674" s="73" t="str">
        <v>TORNEIRA CROMADA PARA TANQUE/JARDIM, 1/2", REF.1153 C39, DECA OU SIMILAR</v>
      </c>
    </row>
    <row r="675" spans="1:9" x14ac:dyDescent="0.3">
      <c r="A675" s="88">
        <f t="shared" si="32"/>
        <v>667</v>
      </c>
      <c r="B675" s="89" t="str">
        <f>_xlfn.XLOOKUP(D675,Planilha!O:O,Planilha!C:C)</f>
        <v>02.03.03.01.11</v>
      </c>
      <c r="C675" s="90" t="str">
        <f>_xlfn.XLOOKUP($D675,Planilha!$O:$O,Planilha!F:F)</f>
        <v>PORCA SEXTAVADA 1/4", BICROMATIZADA</v>
      </c>
      <c r="D675" s="91">
        <f>LARGE(Planilha!$O:$O,$A675)</f>
        <v>322.8</v>
      </c>
      <c r="E675" s="92">
        <f t="shared" si="30"/>
        <v>2.3191972786907016E-5</v>
      </c>
      <c r="F675" s="93">
        <f t="shared" si="31"/>
        <v>0.99717664386282034</v>
      </c>
      <c r="I675" s="73" t="str">
        <v>ADAPTADOR CURTO COM BOLSA E ROSCA PARA REGISTRO, PVC, SOLDÁVEL, DN 32MM X 1, INSTALADO EM RAMAL OU SUB-RAMAL DE ÁGUA - FORNECIMENTO E INSTALAÇÃO. AF_12/2014</v>
      </c>
    </row>
    <row r="676" spans="1:9" ht="50.4" x14ac:dyDescent="0.3">
      <c r="A676" s="88">
        <f t="shared" si="32"/>
        <v>668</v>
      </c>
      <c r="B676" s="89" t="str">
        <f>_xlfn.XLOOKUP(D676,Planilha!O:O,Planilha!C:C)</f>
        <v>02.04.03.01.13</v>
      </c>
      <c r="C676" s="90" t="str">
        <f>_xlfn.XLOOKUP($D676,Planilha!$O:$O,Planilha!F:F)</f>
        <v>JOELHO 45 GRAUS, PVC, SERIE NORMAL, ESGOTO PREDIAL, DN 40 MM, JUNTA SOLDÁVEL, FORNECIDO E INSTALADO EM RAMAL DE DESCARGA OU RAMAL DE ESGOTO SANITÁRIO. AF_12/2014</v>
      </c>
      <c r="D676" s="91">
        <f>LARGE(Planilha!$O:$O,$A676)</f>
        <v>322</v>
      </c>
      <c r="E676" s="92">
        <f t="shared" si="30"/>
        <v>2.3134495778761024E-5</v>
      </c>
      <c r="F676" s="93">
        <f t="shared" si="31"/>
        <v>0.99719977835859908</v>
      </c>
      <c r="I676" s="73" t="str">
        <v>FORNECIMENTO E INSTALAÇÃO DE FONTE DE ALIMENTAÇÃO  12V / 10A (OU SIMILAR)</v>
      </c>
    </row>
    <row r="677" spans="1:9" ht="50.4" x14ac:dyDescent="0.3">
      <c r="A677" s="88">
        <f t="shared" si="32"/>
        <v>669</v>
      </c>
      <c r="B677" s="89" t="str">
        <f>_xlfn.XLOOKUP(D677,Planilha!O:O,Planilha!C:C)</f>
        <v>02.03.09.25</v>
      </c>
      <c r="C677" s="90" t="str">
        <f>_xlfn.XLOOKUP($D677,Planilha!$O:$O,Planilha!F:F)</f>
        <v>CURVA 90 GRAUS, EM AÇO, CONEXÃO SOLDADA, DN 20 (3/4"), INSTALADO EM RAMAIS E SUB-RAMAIS DE GÁS - FORNECIMENTO E INSTALAÇÃO. AF_10/2020</v>
      </c>
      <c r="D677" s="91">
        <f>LARGE(Planilha!$O:$O,$A677)</f>
        <v>312.5</v>
      </c>
      <c r="E677" s="92">
        <f t="shared" si="30"/>
        <v>2.2451956307027391E-5</v>
      </c>
      <c r="F677" s="93">
        <f t="shared" si="31"/>
        <v>0.99722223031490609</v>
      </c>
      <c r="I677" s="73" t="str">
        <v>DISJUNTOR TRIPOLAR TIPO DIN, CORRENTE NOMINAL DE 32A - FORNECIMENTO E INSTALAÇÃO. AF_10/2020</v>
      </c>
    </row>
    <row r="678" spans="1:9" ht="50.4" x14ac:dyDescent="0.3">
      <c r="A678" s="88">
        <f t="shared" si="32"/>
        <v>670</v>
      </c>
      <c r="B678" s="89" t="str">
        <f>_xlfn.XLOOKUP(D678,Planilha!O:O,Planilha!C:C)</f>
        <v>02.02.14.13</v>
      </c>
      <c r="C678" s="90" t="str">
        <f>_xlfn.XLOOKUP($D678,Planilha!$O:$O,Planilha!F:F)</f>
        <v>VÁLVULA EM METAL CROMADO 1.1/2 X 1.1/2 PARA TANQUE OU LAVATÓRIO, COM OU SEM LADRÃO - FORNECIMENTO E INSTALAÇÃO. AF_01/2020</v>
      </c>
      <c r="D678" s="91">
        <f>LARGE(Planilha!$O:$O,$A678)</f>
        <v>311.8</v>
      </c>
      <c r="E678" s="92">
        <f t="shared" si="30"/>
        <v>2.2401663924899651E-5</v>
      </c>
      <c r="F678" s="93">
        <f t="shared" si="31"/>
        <v>0.99724463197883095</v>
      </c>
      <c r="I678" s="73" t="str">
        <v>JOELHO 45 GRAUS, PVC, SERIE R, ÁGUA PLUVIAL, DN 75 MM, JUNTA ELÁSTICA, FORNECIDO E INSTALADO EM CONDUTORES VERTICAIS DE ÁGUAS PLUVIAIS. AF_12/2014</v>
      </c>
    </row>
    <row r="679" spans="1:9" x14ac:dyDescent="0.3">
      <c r="A679" s="88">
        <f t="shared" si="32"/>
        <v>671</v>
      </c>
      <c r="B679" s="89" t="str">
        <f>_xlfn.XLOOKUP(D679,Planilha!O:O,Planilha!C:C)</f>
        <v>02.03.11.11.07</v>
      </c>
      <c r="C679" s="90" t="str">
        <f>_xlfn.XLOOKUP($D679,Planilha!$O:$O,Planilha!F:F)</f>
        <v>CHAVE ROTATIVA Ø 30,5 LIGA/DESLIGA</v>
      </c>
      <c r="D679" s="91">
        <f>LARGE(Planilha!$O:$O,$A679)</f>
        <v>310.27</v>
      </c>
      <c r="E679" s="92">
        <f t="shared" si="30"/>
        <v>2.2291739146820441E-5</v>
      </c>
      <c r="F679" s="93">
        <f t="shared" si="31"/>
        <v>0.99726692371797776</v>
      </c>
      <c r="I679" s="73" t="str">
        <v>BOTÃO Ø 22MM LIGA A BOMBA</v>
      </c>
    </row>
    <row r="680" spans="1:9" ht="33.6" x14ac:dyDescent="0.3">
      <c r="A680" s="88">
        <f t="shared" si="32"/>
        <v>672</v>
      </c>
      <c r="B680" s="89" t="str">
        <f>_xlfn.XLOOKUP(D680,Planilha!O:O,Planilha!C:C)</f>
        <v>02.03.11.05.04</v>
      </c>
      <c r="C680" s="90" t="str">
        <f>_xlfn.XLOOKUP($D680,Planilha!$O:$O,Planilha!F:F)</f>
        <v>DISJUNTOR MONOPOLAR TIPO DIN, CORRENTE NOMINAL DE 16A - FORNECIMENTO E INSTALAÇÃO. AF_10/2020</v>
      </c>
      <c r="D680" s="91">
        <f>LARGE(Planilha!$O:$O,$A680)</f>
        <v>309.14999999999998</v>
      </c>
      <c r="E680" s="92">
        <f t="shared" si="30"/>
        <v>2.2211271335416054E-5</v>
      </c>
      <c r="F680" s="93">
        <f t="shared" si="31"/>
        <v>0.99728913498931315</v>
      </c>
      <c r="I680" s="73" t="str">
        <v>UNIÃO, PVC, SOLDÁVEL, DN 50MM, INSTALADO EM PRUMADA DE ÁGUA - FORNECIMENTO E INSTALAÇÃO. AF_12/2014</v>
      </c>
    </row>
    <row r="681" spans="1:9" x14ac:dyDescent="0.3">
      <c r="A681" s="88">
        <f t="shared" si="32"/>
        <v>673</v>
      </c>
      <c r="B681" s="89" t="str">
        <f>_xlfn.XLOOKUP(D681,Planilha!O:O,Planilha!C:C)</f>
        <v>02.03.08.18</v>
      </c>
      <c r="C681" s="90" t="str">
        <f>_xlfn.XLOOKUP($D681,Planilha!$O:$O,Planilha!F:F)</f>
        <v>CABOS UTP 4 PARES CAT A</v>
      </c>
      <c r="D681" s="91">
        <f>LARGE(Planilha!$O:$O,$A681)</f>
        <v>305.39999999999998</v>
      </c>
      <c r="E681" s="92">
        <f t="shared" si="30"/>
        <v>2.1941847859731729E-5</v>
      </c>
      <c r="F681" s="93">
        <f t="shared" si="31"/>
        <v>0.99731107683717291</v>
      </c>
      <c r="I681" s="73" t="str">
        <v>DISJUNTOR TRIPOLAR TIPO DIN, CORRENTE NOMINAL DE 25A - FORNECIMENTO E INSTALAÇÃO. AF_10/2020</v>
      </c>
    </row>
    <row r="682" spans="1:9" x14ac:dyDescent="0.3">
      <c r="A682" s="88">
        <f t="shared" si="32"/>
        <v>674</v>
      </c>
      <c r="B682" s="89" t="str">
        <f>_xlfn.XLOOKUP(D682,Planilha!O:O,Planilha!C:C)</f>
        <v>02.03.11.05.12</v>
      </c>
      <c r="C682" s="90" t="str">
        <f>_xlfn.XLOOKUP($D682,Planilha!$O:$O,Planilha!F:F)</f>
        <v>DISPOSITIVO DIFERENCIAL RESIDUAL DE 40 A X 30 MA - 4 POLOS</v>
      </c>
      <c r="D682" s="91">
        <f>LARGE(Planilha!$O:$O,$A682)</f>
        <v>297.14999999999998</v>
      </c>
      <c r="E682" s="92">
        <f t="shared" si="30"/>
        <v>2.1349116213226205E-5</v>
      </c>
      <c r="F682" s="93">
        <f t="shared" si="31"/>
        <v>0.99733242595338611</v>
      </c>
      <c r="I682" s="73" t="str">
        <v>TERMINAL DE VENTILAÇÃO EM PVC RÍGIDO SOLDÁVEL, PARA ESGOTO PRIMÁRIO, DIÂM = 50MM</v>
      </c>
    </row>
    <row r="683" spans="1:9" x14ac:dyDescent="0.3">
      <c r="A683" s="88">
        <f t="shared" si="32"/>
        <v>675</v>
      </c>
      <c r="B683" s="89" t="str">
        <f>_xlfn.XLOOKUP(D683,Planilha!O:O,Planilha!C:C)</f>
        <v>02.03.11.05.12</v>
      </c>
      <c r="C683" s="90" t="str">
        <f>_xlfn.XLOOKUP($D683,Planilha!$O:$O,Planilha!F:F)</f>
        <v>DISPOSITIVO DIFERENCIAL RESIDUAL DE 40 A X 30 MA - 4 POLOS</v>
      </c>
      <c r="D683" s="91">
        <f>LARGE(Planilha!$O:$O,$A683)</f>
        <v>297.14999999999998</v>
      </c>
      <c r="E683" s="92">
        <f t="shared" si="30"/>
        <v>2.1349116213226205E-5</v>
      </c>
      <c r="F683" s="93">
        <f t="shared" si="31"/>
        <v>0.99735377506959932</v>
      </c>
      <c r="I683" s="73" t="str">
        <v>TÊ DE REDUÇÃO, PVC, SOLDÁVEL, DN 50MM X 25MM, INSTALADO EM PRUMADA DE ÁGUA - FORNECIMENTO E INSTALAÇÃO. AF_12/2014</v>
      </c>
    </row>
    <row r="684" spans="1:9" x14ac:dyDescent="0.3">
      <c r="A684" s="88">
        <f t="shared" si="32"/>
        <v>676</v>
      </c>
      <c r="B684" s="89" t="str">
        <f>_xlfn.XLOOKUP(D684,Planilha!O:O,Planilha!C:C)</f>
        <v>02.03.11.13.08</v>
      </c>
      <c r="C684" s="90" t="str">
        <f>_xlfn.XLOOKUP($D684,Planilha!$O:$O,Planilha!F:F)</f>
        <v>CONTATORA 3RT10-15</v>
      </c>
      <c r="D684" s="91">
        <f>LARGE(Planilha!$O:$O,$A684)</f>
        <v>296.66000000000003</v>
      </c>
      <c r="E684" s="92">
        <f t="shared" si="30"/>
        <v>2.1313911545736788E-5</v>
      </c>
      <c r="F684" s="93">
        <f t="shared" si="31"/>
        <v>0.99737508898114502</v>
      </c>
      <c r="I684" s="73" t="str">
        <v>LUVA DE ALUMÍNIO Ø3/4"</v>
      </c>
    </row>
    <row r="685" spans="1:9" x14ac:dyDescent="0.3">
      <c r="A685" s="88">
        <f t="shared" si="32"/>
        <v>677</v>
      </c>
      <c r="B685" s="89" t="str">
        <f>_xlfn.XLOOKUP(D685,Planilha!O:O,Planilha!C:C)</f>
        <v>02.04.01.04.05</v>
      </c>
      <c r="C685" s="90" t="str">
        <f>_xlfn.XLOOKUP($D685,Planilha!$O:$O,Planilha!F:F)</f>
        <v>CORRENTE</v>
      </c>
      <c r="D685" s="91">
        <f>LARGE(Planilha!$O:$O,$A685)</f>
        <v>295.35000000000002</v>
      </c>
      <c r="E685" s="92">
        <f t="shared" si="30"/>
        <v>2.1219792944897729E-5</v>
      </c>
      <c r="F685" s="93">
        <f t="shared" si="31"/>
        <v>0.99739630877408991</v>
      </c>
      <c r="I685" s="73" t="str">
        <v>TE EM COBRE, DN 22 MM, SEM ANEL DE SOLDA, INSTALADO EM RAMAL DE DISTRIBUIÇÃO DE HIDRÁULICA PREDIAL - FORNECIMENTO E INSTALAÇÃO. AF_04/2022</v>
      </c>
    </row>
    <row r="686" spans="1:9" x14ac:dyDescent="0.3">
      <c r="A686" s="88">
        <f t="shared" si="32"/>
        <v>678</v>
      </c>
      <c r="B686" s="89" t="str">
        <f>_xlfn.XLOOKUP(D686,Planilha!O:O,Planilha!C:C)</f>
        <v>02.03.11.06.08</v>
      </c>
      <c r="C686" s="90" t="str">
        <f>_xlfn.XLOOKUP($D686,Planilha!$O:$O,Planilha!F:F)</f>
        <v>DISPOSITIVO DIFERENCIAL RESIDUAL DE 25 A X 30 MA - 4 POLOS</v>
      </c>
      <c r="D686" s="91">
        <f>LARGE(Planilha!$O:$O,$A686)</f>
        <v>293.45999999999998</v>
      </c>
      <c r="E686" s="92">
        <f t="shared" si="30"/>
        <v>2.1084003513152825E-5</v>
      </c>
      <c r="F686" s="93">
        <f t="shared" si="31"/>
        <v>0.99741739277760311</v>
      </c>
      <c r="I686" s="73" t="str">
        <v>LUVA EM COBRE, DN 28 MM, SEM ANEL DE SOLDA, INSTALADO EM RAMAL DE DISTRIBUIÇÃO DE HIDRÁULICA PREDIAL - FORNECIMENTO E INSTALAÇÃO. AF_04/2022</v>
      </c>
    </row>
    <row r="687" spans="1:9" x14ac:dyDescent="0.3">
      <c r="A687" s="88">
        <f t="shared" si="32"/>
        <v>679</v>
      </c>
      <c r="B687" s="89" t="str">
        <f>_xlfn.XLOOKUP(D687,Planilha!O:O,Planilha!C:C)</f>
        <v>02.03.11.06.08</v>
      </c>
      <c r="C687" s="90" t="str">
        <f>_xlfn.XLOOKUP($D687,Planilha!$O:$O,Planilha!F:F)</f>
        <v>DISPOSITIVO DIFERENCIAL RESIDUAL DE 25 A X 30 MA - 4 POLOS</v>
      </c>
      <c r="D687" s="91">
        <f>LARGE(Planilha!$O:$O,$A687)</f>
        <v>293.45999999999998</v>
      </c>
      <c r="E687" s="92">
        <f t="shared" si="30"/>
        <v>2.1084003513152825E-5</v>
      </c>
      <c r="F687" s="93">
        <f t="shared" si="31"/>
        <v>0.9974384767811163</v>
      </c>
      <c r="I687" s="73" t="str">
        <v>UNIÃO, PVC, SOLDÁVEL, DN 40MM, INSTALADO EM PRUMADA DE ÁGUA - FORNECIMENTO E INSTALAÇÃO. AF_12/2014</v>
      </c>
    </row>
    <row r="688" spans="1:9" x14ac:dyDescent="0.3">
      <c r="A688" s="88">
        <f t="shared" si="32"/>
        <v>680</v>
      </c>
      <c r="B688" s="89" t="str">
        <f>_xlfn.XLOOKUP(D688,Planilha!O:O,Planilha!C:C)</f>
        <v>02.03.11.06.08</v>
      </c>
      <c r="C688" s="90" t="str">
        <f>_xlfn.XLOOKUP($D688,Planilha!$O:$O,Planilha!F:F)</f>
        <v>DISPOSITIVO DIFERENCIAL RESIDUAL DE 25 A X 30 MA - 4 POLOS</v>
      </c>
      <c r="D688" s="91">
        <f>LARGE(Planilha!$O:$O,$A688)</f>
        <v>293.45999999999998</v>
      </c>
      <c r="E688" s="92">
        <f t="shared" si="30"/>
        <v>2.1084003513152825E-5</v>
      </c>
      <c r="F688" s="93">
        <f t="shared" si="31"/>
        <v>0.9974595607846295</v>
      </c>
      <c r="I688" s="73" t="str">
        <v>JUNÇÃO SIMPLES, PVC, SERIE R, ÁGUA PLUVIAL, DN 40 MM, JUNTA SOLDÁVEL, FORNECIDO E INSTALADO EM RAMAL DE ENCAMINHAMENTO. AF_12/2014</v>
      </c>
    </row>
    <row r="689" spans="1:9" x14ac:dyDescent="0.3">
      <c r="A689" s="88">
        <f t="shared" si="32"/>
        <v>681</v>
      </c>
      <c r="B689" s="89" t="str">
        <f>_xlfn.XLOOKUP(D689,Planilha!O:O,Planilha!C:C)</f>
        <v>02.03.11.06.08</v>
      </c>
      <c r="C689" s="90" t="str">
        <f>_xlfn.XLOOKUP($D689,Planilha!$O:$O,Planilha!F:F)</f>
        <v>DISPOSITIVO DIFERENCIAL RESIDUAL DE 25 A X 30 MA - 4 POLOS</v>
      </c>
      <c r="D689" s="91">
        <f>LARGE(Planilha!$O:$O,$A689)</f>
        <v>293.45999999999998</v>
      </c>
      <c r="E689" s="92">
        <f t="shared" si="30"/>
        <v>2.1084003513152825E-5</v>
      </c>
      <c r="F689" s="93">
        <f t="shared" si="31"/>
        <v>0.99748064478814269</v>
      </c>
      <c r="I689" s="73" t="str">
        <v>TE, PVC, SOLDÁVEL, DN 32MM, INSTALADO EM RAMAL DE DISTRIBUIÇÃO DE ÁGUA - FORNECIMENTO E INSTALAÇÃO. AF_12/2014</v>
      </c>
    </row>
    <row r="690" spans="1:9" x14ac:dyDescent="0.3">
      <c r="A690" s="88">
        <f t="shared" si="32"/>
        <v>682</v>
      </c>
      <c r="B690" s="89" t="str">
        <f>_xlfn.XLOOKUP(D690,Planilha!O:O,Planilha!C:C)</f>
        <v>02.04.03.07.10</v>
      </c>
      <c r="C690" s="90" t="str">
        <f>_xlfn.XLOOKUP($D690,Planilha!$O:$O,Planilha!F:F)</f>
        <v>CONCRETO USINADO, FCK = 30 MPA - PARA BOMBEAMENTO</v>
      </c>
      <c r="D690" s="91">
        <f>LARGE(Planilha!$O:$O,$A690)</f>
        <v>293.23</v>
      </c>
      <c r="E690" s="92">
        <f t="shared" si="30"/>
        <v>2.1067478873310855E-5</v>
      </c>
      <c r="F690" s="93">
        <f t="shared" si="31"/>
        <v>0.99750171226701601</v>
      </c>
      <c r="I690" s="73" t="str">
        <v>BASE COM BRITA GRADUADA, EXCLUSIVE PÓ DE PEDRA E TRANSPORTE DA BRITA)</v>
      </c>
    </row>
    <row r="691" spans="1:9" ht="50.4" x14ac:dyDescent="0.3">
      <c r="A691" s="88">
        <f t="shared" si="32"/>
        <v>683</v>
      </c>
      <c r="B691" s="89" t="str">
        <f>_xlfn.XLOOKUP(D691,Planilha!O:O,Planilha!C:C)</f>
        <v>02.04.02.03.03</v>
      </c>
      <c r="C691" s="90" t="str">
        <f>_xlfn.XLOOKUP($D691,Planilha!$O:$O,Planilha!F:F)</f>
        <v>REGISTRO DE GAVETA BRUTO, LATÃO, ROSCÁVEL, 1", COM ACABAMENTO E CANOPLA CROMADOS - FORNECIMENTO E INSTALAÇÃO. AF_08/2021</v>
      </c>
      <c r="D691" s="91">
        <f>LARGE(Planilha!$O:$O,$A691)</f>
        <v>289.44</v>
      </c>
      <c r="E691" s="92">
        <f t="shared" si="30"/>
        <v>2.0795181547219227E-5</v>
      </c>
      <c r="F691" s="93">
        <f t="shared" si="31"/>
        <v>0.99752250744856319</v>
      </c>
      <c r="I691" s="73" t="str">
        <v>JUNÇÃO SIMPLES, PVC, SERIE NORMAL, ESGOTO PREDIAL, DN 50 X 50 MM, JUNTA ELÁSTICA, FORNECIDO E INSTALADO EM RAMAL DE DESCARGA OU RAMAL DE ESGOTO SANITÁRIO. AF_12/2014</v>
      </c>
    </row>
    <row r="692" spans="1:9" ht="67.2" x14ac:dyDescent="0.3">
      <c r="A692" s="88">
        <f t="shared" si="32"/>
        <v>684</v>
      </c>
      <c r="B692" s="89" t="str">
        <f>_xlfn.XLOOKUP(D692,Planilha!O:O,Planilha!C:C)</f>
        <v>02.01.07.03.11</v>
      </c>
      <c r="C692" s="90" t="str">
        <f>_xlfn.XLOOKUP($D692,Planilha!$O:$O,Planilha!F:F)</f>
        <v>ARMAÇÃO DE PILAR OU VIGA DE UMA ESTRUTURA CONVENCIONAL DE CONCRETO ARMADO EM UMA EDIFICAÇÃO TÉRREA OU SOBRADO UTILIZANDO AÇO CA-50 DE 20,0 MM - MONTAGEM. AF_12/2015</v>
      </c>
      <c r="D692" s="91">
        <f>LARGE(Planilha!$O:$O,$A692)</f>
        <v>288.75</v>
      </c>
      <c r="E692" s="92">
        <f t="shared" si="30"/>
        <v>2.0745607627693311E-5</v>
      </c>
      <c r="F692" s="93">
        <f t="shared" si="31"/>
        <v>0.99754325305619085</v>
      </c>
      <c r="I692" s="73" t="str">
        <v>ELETRODUTO FLEXÍVEL CORRUGADO, PEAD, DN 50 (1 1/2"), PARA REDE ENTERRADA DE DISTRIBUIÇÃO DE ENERGIA ELÉTRICA - FORNECIMENTO E INSTALAÇÃO. AF_12/2021</v>
      </c>
    </row>
    <row r="693" spans="1:9" x14ac:dyDescent="0.3">
      <c r="A693" s="88">
        <f t="shared" si="32"/>
        <v>685</v>
      </c>
      <c r="B693" s="89" t="str">
        <f>_xlfn.XLOOKUP(D693,Planilha!O:O,Planilha!C:C)</f>
        <v>02.03.11.15.14</v>
      </c>
      <c r="C693" s="90" t="str">
        <f>_xlfn.XLOOKUP($D693,Planilha!$O:$O,Planilha!F:F)</f>
        <v>TERMINAL DE PRESSÃO/COMPRESSÃO PARA CABO DE 35 MM²</v>
      </c>
      <c r="D693" s="91">
        <f>LARGE(Planilha!$O:$O,$A693)</f>
        <v>287.2</v>
      </c>
      <c r="E693" s="92">
        <f t="shared" si="30"/>
        <v>2.0634245924410453E-5</v>
      </c>
      <c r="F693" s="93">
        <f t="shared" si="31"/>
        <v>0.9975638873021152</v>
      </c>
      <c r="I693" s="73" t="str">
        <v>ADAPTADOR COM FLANGES LIVRES, PVC, SOLDÁVEL LONGO, DN 32 MM X 1 , INSTALADO EM RESERVAÇÃO DE ÁGUA DE EDIFICAÇÃO QUE POSSUA RESERVATÓRIO DE FIBRA/FIBROCIMENTO   FORNECIMENTO E INSTALAÇÃO. AF_06/2016</v>
      </c>
    </row>
    <row r="694" spans="1:9" x14ac:dyDescent="0.3">
      <c r="A694" s="88">
        <f t="shared" si="32"/>
        <v>686</v>
      </c>
      <c r="B694" s="89" t="str">
        <f>_xlfn.XLOOKUP(D694,Planilha!O:O,Planilha!C:C)</f>
        <v>02.03.09.17</v>
      </c>
      <c r="C694" s="90" t="str">
        <f>_xlfn.XLOOKUP($D694,Planilha!$O:$O,Planilha!F:F)</f>
        <v>CAIXA DE PASSAGEM PVC 20 X 20CM, SISTEMA "X", COM TAMPA</v>
      </c>
      <c r="D694" s="91">
        <f>LARGE(Planilha!$O:$O,$A694)</f>
        <v>286.44</v>
      </c>
      <c r="E694" s="92">
        <f t="shared" si="30"/>
        <v>2.0579642766671764E-5</v>
      </c>
      <c r="F694" s="93">
        <f t="shared" si="31"/>
        <v>0.9975844669448819</v>
      </c>
      <c r="I694" s="73" t="str">
        <v>BUCHA DE REDUÇÃO EM COBRE, DN 35 MM X 28 MM, SEM ANEL DE SOLDA, PONTA X BOLSA, INSTALADO EM PRUMADA  FORNECIMENTO E INSTALAÇÃO. AF_01/2016</v>
      </c>
    </row>
    <row r="695" spans="1:9" ht="50.4" x14ac:dyDescent="0.3">
      <c r="A695" s="88">
        <f t="shared" si="32"/>
        <v>687</v>
      </c>
      <c r="B695" s="89" t="str">
        <f>_xlfn.XLOOKUP(D695,Planilha!O:O,Planilha!C:C)</f>
        <v>02.04.03.01.15</v>
      </c>
      <c r="C695" s="90" t="str">
        <f>_xlfn.XLOOKUP($D695,Planilha!$O:$O,Planilha!F:F)</f>
        <v>JOELHO 45 GRAUS, PVC, SERIE NORMAL, ESGOTO PREDIAL, DN 75 MM, JUNTA ELÁSTICA, FORNECIDO E INSTALADO EM RAMAL DE DESCARGA OU RAMAL DE ESGOTO SANITÁRIO. AF_12/2014</v>
      </c>
      <c r="D695" s="91">
        <f>LARGE(Planilha!$O:$O,$A695)</f>
        <v>280.39999999999998</v>
      </c>
      <c r="E695" s="92">
        <f t="shared" si="30"/>
        <v>2.0145691355169536E-5</v>
      </c>
      <c r="F695" s="93">
        <f t="shared" si="31"/>
        <v>0.99760461263623712</v>
      </c>
      <c r="I695" s="73" t="str">
        <v>DISJUNTOR BIPOLAR TIPO DIN, CORRENTE NOMINAL DE 32A - FORNECIMENTO E INSTALAÇÃO. AF_10/2020</v>
      </c>
    </row>
    <row r="696" spans="1:9" ht="50.4" x14ac:dyDescent="0.3">
      <c r="A696" s="88">
        <f t="shared" si="32"/>
        <v>688</v>
      </c>
      <c r="B696" s="89" t="str">
        <f>_xlfn.XLOOKUP(D696,Planilha!O:O,Planilha!C:C)</f>
        <v>02.03.07.05</v>
      </c>
      <c r="C696" s="90" t="str">
        <f>_xlfn.XLOOKUP($D696,Planilha!$O:$O,Planilha!F:F)</f>
        <v>CAIXA RETANGULAR 4" X 2" BAIXA (0,30 M DO PISO), PVC, INSTALADA EM PAREDE - FORNECIMENTO E INSTALAÇÃO. AF_12/2015</v>
      </c>
      <c r="D696" s="91">
        <f>LARGE(Planilha!$O:$O,$A696)</f>
        <v>278.97000000000003</v>
      </c>
      <c r="E696" s="92">
        <f t="shared" si="30"/>
        <v>2.0042951203108581E-5</v>
      </c>
      <c r="F696" s="93">
        <f t="shared" si="31"/>
        <v>0.99762465558744018</v>
      </c>
      <c r="I696" s="73" t="str">
        <v>FLEXÍVEL PARA TANQUE - 1/2"</v>
      </c>
    </row>
    <row r="697" spans="1:9" x14ac:dyDescent="0.3">
      <c r="A697" s="88">
        <f t="shared" si="32"/>
        <v>689</v>
      </c>
      <c r="B697" s="89" t="str">
        <f>_xlfn.XLOOKUP(D697,Planilha!O:O,Planilha!C:C)</f>
        <v>02.03.11.14.19</v>
      </c>
      <c r="C697" s="90" t="str">
        <f>_xlfn.XLOOKUP($D697,Planilha!$O:$O,Planilha!F:F)</f>
        <v>CAIXA DE PASSAGEM CHAPA TAMPA PARAFUSADA DE 20X20X10 CM</v>
      </c>
      <c r="D697" s="91">
        <f>LARGE(Planilha!$O:$O,$A697)</f>
        <v>278.48</v>
      </c>
      <c r="E697" s="92">
        <f t="shared" si="30"/>
        <v>2.0007746535619164E-5</v>
      </c>
      <c r="F697" s="93">
        <f t="shared" si="31"/>
        <v>0.99764466333397583</v>
      </c>
      <c r="I697" s="73" t="str">
        <v>GRELHA HEMISFÉRICA EM FERRO FUNDIDO DE 3"</v>
      </c>
    </row>
    <row r="698" spans="1:9" ht="33.6" x14ac:dyDescent="0.3">
      <c r="A698" s="88">
        <f t="shared" si="32"/>
        <v>690</v>
      </c>
      <c r="B698" s="89" t="str">
        <f>_xlfn.XLOOKUP(D698,Planilha!O:O,Planilha!C:C)</f>
        <v>02.04.04.06.03</v>
      </c>
      <c r="C698" s="90" t="str">
        <f>_xlfn.XLOOKUP($D698,Planilha!$O:$O,Planilha!F:F)</f>
        <v>MANÔMETRO PARA AUTOMATIZAÇÃO DO SISTEMA DE INCÊNDIO, ESCALA 0 A 100MCA, FABRICANTE DOX.</v>
      </c>
      <c r="D698" s="91">
        <f>LARGE(Planilha!$O:$O,$A698)</f>
        <v>277.95999999999998</v>
      </c>
      <c r="E698" s="92">
        <f t="shared" si="30"/>
        <v>1.9970386480324266E-5</v>
      </c>
      <c r="F698" s="93">
        <f t="shared" si="31"/>
        <v>0.99766463372045611</v>
      </c>
      <c r="I698" s="73" t="str">
        <v>ADAPTADOR CURTO COM BOLSA E ROSCA PARA REGISTRO, PVC, SOLDÁVEL, DN 40MM X 1.1/2, INSTALADO EM PRUMADA DE ÁGUA - FORNECIMENTO E INSTALAÇÃO. AF_12/2014</v>
      </c>
    </row>
    <row r="699" spans="1:9" ht="50.4" x14ac:dyDescent="0.3">
      <c r="A699" s="88">
        <f t="shared" si="32"/>
        <v>691</v>
      </c>
      <c r="B699" s="89" t="str">
        <f>_xlfn.XLOOKUP(D699,Planilha!O:O,Planilha!C:C)</f>
        <v>02.01.07.04.02</v>
      </c>
      <c r="C699" s="90" t="str">
        <f>_xlfn.XLOOKUP($D699,Planilha!$O:$O,Planilha!F:F)</f>
        <v>ESCAVAÇÃO MANUAL PARA BLOCO DE COROAMENTO OU SAPATA (INCLUINDO ESCAVAÇÃO PARA COLOCAÇÃO DE FÔRMAS). AF_06/2017</v>
      </c>
      <c r="D699" s="91">
        <f>LARGE(Planilha!$O:$O,$A699)</f>
        <v>277.79000000000002</v>
      </c>
      <c r="E699" s="92">
        <f t="shared" si="30"/>
        <v>1.9958172616093248E-5</v>
      </c>
      <c r="F699" s="93">
        <f t="shared" si="31"/>
        <v>0.99768459189307224</v>
      </c>
      <c r="I699" s="73" t="str">
        <v>FUSÍVEL DIAZED 4A</v>
      </c>
    </row>
    <row r="700" spans="1:9" x14ac:dyDescent="0.3">
      <c r="A700" s="88">
        <f t="shared" si="32"/>
        <v>692</v>
      </c>
      <c r="B700" s="89" t="str">
        <f>_xlfn.XLOOKUP(D700,Planilha!O:O,Planilha!C:C)</f>
        <v>02.05.01.24</v>
      </c>
      <c r="C700" s="90" t="str">
        <f>_xlfn.XLOOKUP($D700,Planilha!$O:$O,Planilha!F:F)</f>
        <v>CONECTOR COBRE 35MMX1.1/4""</v>
      </c>
      <c r="D700" s="91">
        <f>LARGE(Planilha!$O:$O,$A700)</f>
        <v>276.7</v>
      </c>
      <c r="E700" s="92">
        <f t="shared" si="30"/>
        <v>1.9879860192494332E-5</v>
      </c>
      <c r="F700" s="93">
        <f t="shared" si="31"/>
        <v>0.99770447175326471</v>
      </c>
      <c r="I700" s="73" t="str">
        <v>VÁLVULA DE ESFERA BRUTA, BRONZE, ROSCÁVEL, 3/4'' - FORNECIMENTO E INSTALAÇÃO. AF_08/2021</v>
      </c>
    </row>
    <row r="701" spans="1:9" ht="33.6" x14ac:dyDescent="0.3">
      <c r="A701" s="88">
        <f t="shared" si="32"/>
        <v>693</v>
      </c>
      <c r="B701" s="89" t="str">
        <f>_xlfn.XLOOKUP(D701,Planilha!O:O,Planilha!C:C)</f>
        <v>02.03.03.01.10</v>
      </c>
      <c r="C701" s="90" t="str">
        <f>_xlfn.XLOOKUP($D701,Planilha!$O:$O,Planilha!F:F)</f>
        <v>FORNECIMENTO E INSTALAÇÃO DE PARAFUSO CABEÇA LENTILHA 1/4" X 1/2" (REF. VL 1.68 VALEMAM OU SIMILAR)</v>
      </c>
      <c r="D701" s="91">
        <f>LARGE(Planilha!$O:$O,$A701)</f>
        <v>275.39999999999998</v>
      </c>
      <c r="E701" s="92">
        <f t="shared" si="30"/>
        <v>1.9786460054257097E-5</v>
      </c>
      <c r="F701" s="93">
        <f t="shared" si="31"/>
        <v>0.997724258213319</v>
      </c>
      <c r="I701" s="73" t="str">
        <v>REDUÇÃO EXCENTRICA EM PVC RÍGIDO SOLDÁVEL, PARA ESGOTO PRIMÁRIO, DIÂM = 100 X 50MM</v>
      </c>
    </row>
    <row r="702" spans="1:9" ht="33.6" x14ac:dyDescent="0.3">
      <c r="A702" s="88">
        <f t="shared" si="32"/>
        <v>694</v>
      </c>
      <c r="B702" s="89" t="str">
        <f>_xlfn.XLOOKUP(D702,Planilha!O:O,Planilha!C:C)</f>
        <v>02.03.11.04.04</v>
      </c>
      <c r="C702" s="90" t="str">
        <f>_xlfn.XLOOKUP($D702,Planilha!$O:$O,Planilha!F:F)</f>
        <v>DISJUNTOR MONOPOLAR TIPO DIN, CORRENTE NOMINAL DE 16A - FORNECIMENTO E INSTALAÇÃO. AF_10/2020</v>
      </c>
      <c r="D702" s="91">
        <f>LARGE(Planilha!$O:$O,$A702)</f>
        <v>274.8</v>
      </c>
      <c r="E702" s="92">
        <f t="shared" si="30"/>
        <v>1.9743352298147608E-5</v>
      </c>
      <c r="F702" s="93">
        <f t="shared" si="31"/>
        <v>0.99774400156561716</v>
      </c>
      <c r="I702" s="73" t="str">
        <v>FUSÍVEL DIAZED RETARDADO DE 2 A ATÉ 25 A</v>
      </c>
    </row>
    <row r="703" spans="1:9" ht="33.6" x14ac:dyDescent="0.3">
      <c r="A703" s="88">
        <f t="shared" si="32"/>
        <v>695</v>
      </c>
      <c r="B703" s="89" t="str">
        <f>_xlfn.XLOOKUP(D703,Planilha!O:O,Planilha!C:C)</f>
        <v>02.04.02.03.07</v>
      </c>
      <c r="C703" s="90" t="str">
        <f>_xlfn.XLOOKUP($D703,Planilha!$O:$O,Planilha!F:F)</f>
        <v>VÁLVULA DE ESFERA BRUTA, BRONZE, ROSCÁVEL, 1'' - FORNECIMENTO E INSTALAÇÃO. AF_08/2021</v>
      </c>
      <c r="D703" s="91">
        <f>LARGE(Planilha!$O:$O,$A703)</f>
        <v>273.44</v>
      </c>
      <c r="E703" s="92">
        <f t="shared" si="30"/>
        <v>1.9645641384299423E-5</v>
      </c>
      <c r="F703" s="93">
        <f t="shared" si="31"/>
        <v>0.9977636472070015</v>
      </c>
      <c r="I703" s="73" t="str">
        <v>CAIXA DE PASSAGEM EM PVC TIPO AQUATIC, 100X100X50MM</v>
      </c>
    </row>
    <row r="704" spans="1:9" ht="33.6" x14ac:dyDescent="0.3">
      <c r="A704" s="88">
        <f t="shared" si="32"/>
        <v>696</v>
      </c>
      <c r="B704" s="89" t="str">
        <f>_xlfn.XLOOKUP(D704,Planilha!O:O,Planilha!C:C)</f>
        <v>02.03.11.04.06</v>
      </c>
      <c r="C704" s="90" t="str">
        <f>_xlfn.XLOOKUP($D704,Planilha!$O:$O,Planilha!F:F)</f>
        <v>DISJUNTOR BIPOLAR TIPO DIN, CORRENTE NOMINAL DE 20A - FORNECIMENTO E INSTALAÇÃO. AF_10/2020</v>
      </c>
      <c r="D704" s="91">
        <f>LARGE(Planilha!$O:$O,$A704)</f>
        <v>270.45</v>
      </c>
      <c r="E704" s="92">
        <f t="shared" si="30"/>
        <v>1.9430821066353784E-5</v>
      </c>
      <c r="F704" s="93">
        <f t="shared" si="31"/>
        <v>0.99778307802806787</v>
      </c>
      <c r="I704" s="73" t="str">
        <v>SAIDA LATERAL SIMPLES PARA ELETRODUTO 1""</v>
      </c>
    </row>
    <row r="705" spans="1:9" x14ac:dyDescent="0.3">
      <c r="A705" s="88">
        <f t="shared" si="32"/>
        <v>697</v>
      </c>
      <c r="B705" s="89" t="str">
        <f>_xlfn.XLOOKUP(D705,Planilha!O:O,Planilha!C:C)</f>
        <v>02.03.11.14.17</v>
      </c>
      <c r="C705" s="90" t="str">
        <f>_xlfn.XLOOKUP($D705,Planilha!$O:$O,Planilha!F:F)</f>
        <v>PLACA DE 4´ X 2´</v>
      </c>
      <c r="D705" s="91">
        <f>LARGE(Planilha!$O:$O,$A705)</f>
        <v>270</v>
      </c>
      <c r="E705" s="92">
        <f t="shared" si="30"/>
        <v>1.9398490249271666E-5</v>
      </c>
      <c r="F705" s="93">
        <f t="shared" si="31"/>
        <v>0.99780247651831711</v>
      </c>
      <c r="I705" s="73" t="str">
        <v>TÊ DE REDUÇÃO, PVC, SOLDÁVEL, DN 40MM X 32MM, INSTALADO EM PRUMADA DE ÁGUA - FORNECIMENTO E INSTALAÇÃO. AF_12/2014</v>
      </c>
    </row>
    <row r="706" spans="1:9" ht="67.2" x14ac:dyDescent="0.3">
      <c r="A706" s="88">
        <f t="shared" si="32"/>
        <v>698</v>
      </c>
      <c r="B706" s="89" t="str">
        <f>_xlfn.XLOOKUP(D706,Planilha!O:O,Planilha!C:C)</f>
        <v>02.04.02.01.33</v>
      </c>
      <c r="C706" s="90" t="str">
        <f>_xlfn.XLOOKUP($D706,Planilha!$O:$O,Planilha!F:F)</f>
        <v>ADAPTADOR COM FLANGES LIVRES, PVC, SOLDÁVEL LONGO, DN 40 MM X 1 1/4 , INSTALADO EM RESERVAÇÃO DE ÁGUA DE EDIFICAÇÃO QUE POSSUA RESERVATÓRIO DE FIBRA/FIBROCIMENTO   FORNECIMENTO E INSTALAÇÃO. AF_06/2016</v>
      </c>
      <c r="D706" s="91">
        <f>LARGE(Planilha!$O:$O,$A706)</f>
        <v>269.44</v>
      </c>
      <c r="E706" s="92">
        <f t="shared" si="30"/>
        <v>1.9358256343569472E-5</v>
      </c>
      <c r="F706" s="93">
        <f t="shared" si="31"/>
        <v>0.99782183477466069</v>
      </c>
      <c r="I706" s="73" t="str">
        <v>REDUÇÃO EXCENTRICA EM PVC RÍGIDO SOLDÁVEL, PARA ESGOTO PRIMÁRIO, DIÂM =   75 X 50MM</v>
      </c>
    </row>
    <row r="707" spans="1:9" x14ac:dyDescent="0.3">
      <c r="A707" s="88">
        <f t="shared" si="32"/>
        <v>699</v>
      </c>
      <c r="B707" s="89" t="str">
        <f>_xlfn.XLOOKUP(D707,Planilha!O:O,Planilha!C:C)</f>
        <v>02.03.04.04</v>
      </c>
      <c r="C707" s="90" t="str">
        <f>_xlfn.XLOOKUP($D707,Planilha!$O:$O,Planilha!F:F)</f>
        <v>CAP DE PVC RÍGIDO SOLDAVEL P/ ESGOTO, DIÂM =100MM</v>
      </c>
      <c r="D707" s="91">
        <f>LARGE(Planilha!$O:$O,$A707)</f>
        <v>266.7</v>
      </c>
      <c r="E707" s="92">
        <f t="shared" si="30"/>
        <v>1.9161397590669455E-5</v>
      </c>
      <c r="F707" s="93">
        <f t="shared" si="31"/>
        <v>0.9978409961722513</v>
      </c>
      <c r="I707" s="73" t="str">
        <v>BUCHA DE REDUÇÃO EM COBRE, DN 28 MM X 22 MM, SEM ANEL DE SOLDA, INSTALADO EM RAMAL DE DISTRIBUIÇÃO  FORNECIMENTO E INSTALAÇÃO. AF_01/2016</v>
      </c>
    </row>
    <row r="708" spans="1:9" x14ac:dyDescent="0.3">
      <c r="A708" s="88">
        <f t="shared" si="32"/>
        <v>700</v>
      </c>
      <c r="B708" s="89" t="str">
        <f>_xlfn.XLOOKUP(D708,Planilha!O:O,Planilha!C:C)</f>
        <v>02.04.01.01.26</v>
      </c>
      <c r="C708" s="90" t="str">
        <f>_xlfn.XLOOKUP($D708,Planilha!$O:$O,Planilha!F:F)</f>
        <v>CAP DE PVC RÍGIDO C/ ANÉIS P/ ESGOTO, DIÂM. =150MM</v>
      </c>
      <c r="D708" s="91">
        <f>LARGE(Planilha!$O:$O,$A708)</f>
        <v>266.44</v>
      </c>
      <c r="E708" s="92">
        <f t="shared" si="30"/>
        <v>1.9142717563022009E-5</v>
      </c>
      <c r="F708" s="93">
        <f t="shared" si="31"/>
        <v>0.99786013888981429</v>
      </c>
      <c r="I708" s="73" t="str">
        <v>BUCHA DE REDUÇÃO LONGA DE PVC RÍGIDO SOLDÁVEL, MARROM, DIÂM = 50 X 32MM</v>
      </c>
    </row>
    <row r="709" spans="1:9" ht="67.2" x14ac:dyDescent="0.3">
      <c r="A709" s="88">
        <f t="shared" si="32"/>
        <v>701</v>
      </c>
      <c r="B709" s="89" t="str">
        <f>_xlfn.XLOOKUP(D709,Planilha!O:O,Planilha!C:C)</f>
        <v>02.04.02.01.27</v>
      </c>
      <c r="C709" s="90" t="str">
        <f>_xlfn.XLOOKUP($D709,Planilha!$O:$O,Planilha!F:F)</f>
        <v>ADAPTADOR CURTO COM BOLSA E ROSCA PARA REGISTRO, PVC, SOLDÁVEL, DN 25MM X 3/4, INSTALADO EM RAMAL DE DISTRIBUIÇÃO DE ÁGUA - FORNECIMENTO E INSTALAÇÃO. AF_12/2014</v>
      </c>
      <c r="D709" s="91">
        <f>LARGE(Planilha!$O:$O,$A709)</f>
        <v>265.92</v>
      </c>
      <c r="E709" s="92">
        <f t="shared" si="30"/>
        <v>1.9105357507727118E-5</v>
      </c>
      <c r="F709" s="93">
        <f t="shared" si="31"/>
        <v>0.99787924424732199</v>
      </c>
      <c r="I709" s="73" t="str">
        <v>CURVA HORIZONTAL 150 X 100 MM PARA ELETROCALHA METÁLICA, COM ÂNGULO 90° (REF.: MOPA OU SIMILAR)</v>
      </c>
    </row>
    <row r="710" spans="1:9" ht="33.6" x14ac:dyDescent="0.3">
      <c r="A710" s="88">
        <f t="shared" si="32"/>
        <v>702</v>
      </c>
      <c r="B710" s="89" t="str">
        <f>_xlfn.XLOOKUP(D710,Planilha!O:O,Planilha!C:C)</f>
        <v>02.03.10.01.01</v>
      </c>
      <c r="C710" s="90" t="str">
        <f>_xlfn.XLOOKUP($D710,Planilha!$O:$O,Planilha!F:F)</f>
        <v>CAPTOR TIPO FRANKLIN PARA SPDA - FORNECIMENTO E INSTALAÇÃO. AF_12/2017</v>
      </c>
      <c r="D710" s="91">
        <f>LARGE(Planilha!$O:$O,$A710)</f>
        <v>265.54000000000002</v>
      </c>
      <c r="E710" s="92">
        <f t="shared" si="30"/>
        <v>1.9078055928857773E-5</v>
      </c>
      <c r="F710" s="93">
        <f t="shared" si="31"/>
        <v>0.99789832230325082</v>
      </c>
      <c r="I710" s="73" t="str">
        <v>TOMADA PARA TV, TIPO PINO JACK, COM PLACA</v>
      </c>
    </row>
    <row r="711" spans="1:9" ht="50.4" x14ac:dyDescent="0.3">
      <c r="A711" s="88">
        <f t="shared" si="32"/>
        <v>703</v>
      </c>
      <c r="B711" s="89" t="str">
        <f>_xlfn.XLOOKUP(D711,Planilha!O:O,Planilha!C:C)</f>
        <v>02.03.11.14.13</v>
      </c>
      <c r="C711" s="90" t="str">
        <f>_xlfn.XLOOKUP($D711,Planilha!$O:$O,Planilha!F:F)</f>
        <v>CAIXA RETANGULAR 4" X 4" BAIXA (0,30 M DO PISO), PVC, INSTALADA EM PAREDE - FORNECIMENTO E INSTALAÇÃO. AF_12/2015</v>
      </c>
      <c r="D711" s="91">
        <f>LARGE(Planilha!$O:$O,$A711)</f>
        <v>262.60000000000002</v>
      </c>
      <c r="E711" s="92">
        <f t="shared" si="30"/>
        <v>1.8866827923921259E-5</v>
      </c>
      <c r="F711" s="93">
        <f t="shared" si="31"/>
        <v>0.99791718913117478</v>
      </c>
      <c r="I711" s="73" t="str">
        <v>ANEL BORRACHA TUBO PVC 50MM</v>
      </c>
    </row>
    <row r="712" spans="1:9" x14ac:dyDescent="0.3">
      <c r="A712" s="88">
        <f t="shared" si="32"/>
        <v>704</v>
      </c>
      <c r="B712" s="89" t="str">
        <f>_xlfn.XLOOKUP(D712,Planilha!O:O,Planilha!C:C)</f>
        <v>02.03.10.04.15</v>
      </c>
      <c r="C712" s="90" t="str">
        <f>_xlfn.XLOOKUP($D712,Planilha!$O:$O,Planilha!F:F)</f>
        <v>CONECTOR SPLIT-BOLT PARA CABO DE 50 MM², LATÃO, SIMPLES</v>
      </c>
      <c r="D712" s="91">
        <f>LARGE(Planilha!$O:$O,$A712)</f>
        <v>262.36</v>
      </c>
      <c r="E712" s="92">
        <f t="shared" si="30"/>
        <v>1.8849584821477461E-5</v>
      </c>
      <c r="F712" s="93">
        <f t="shared" si="31"/>
        <v>0.99793603871599623</v>
      </c>
      <c r="I712" s="73" t="str">
        <v>TÊ DE REDUÇÃO, PVC, SOLDÁVEL, DN 50MM X 40MM, INSTALADO EM PRUMADA DE ÁGUA - FORNECIMENTO E INSTALAÇÃO. AF_12/2014</v>
      </c>
    </row>
    <row r="713" spans="1:9" x14ac:dyDescent="0.3">
      <c r="A713" s="88">
        <f t="shared" si="32"/>
        <v>705</v>
      </c>
      <c r="B713" s="89" t="str">
        <f>_xlfn.XLOOKUP(D713,Planilha!O:O,Planilha!C:C)</f>
        <v>02.03.07.06</v>
      </c>
      <c r="C713" s="90" t="str">
        <f>_xlfn.XLOOKUP($D713,Planilha!$O:$O,Planilha!F:F)</f>
        <v>CAIXA DE TOMADA EM ALUMÍNIO PARA PISO 4´ X 4´</v>
      </c>
      <c r="D713" s="91">
        <f>LARGE(Planilha!$O:$O,$A713)</f>
        <v>262.29000000000002</v>
      </c>
      <c r="E713" s="92">
        <f t="shared" ref="E713:E776" si="33">D713/$D$933</f>
        <v>1.8844555583264688E-5</v>
      </c>
      <c r="F713" s="93">
        <f t="shared" ref="F713:F776" si="34">+E713+F712</f>
        <v>0.99795488327157955</v>
      </c>
      <c r="I713" s="73" t="str">
        <v>TUBO, PVC, SOLDÁVEL, DN 25MM, INSTALADO EM RAMAL DE DISTRIBUIÇÃO DE ÁGUA - FORNECIMENTO E INSTALAÇÃO. AF_12/2014</v>
      </c>
    </row>
    <row r="714" spans="1:9" ht="33.6" x14ac:dyDescent="0.3">
      <c r="A714" s="88">
        <f t="shared" si="32"/>
        <v>706</v>
      </c>
      <c r="B714" s="89" t="str">
        <f>_xlfn.XLOOKUP(D714,Planilha!O:O,Planilha!C:C)</f>
        <v>02.03.11.09.09</v>
      </c>
      <c r="C714" s="90" t="str">
        <f>_xlfn.XLOOKUP($D714,Planilha!$O:$O,Planilha!F:F)</f>
        <v>DISJUNTOR TRIPOLAR TIPO DIN, CORRENTE NOMINAL DE 16A - FORNECIMENTO E INSTALAÇÃO. AF_10/2020</v>
      </c>
      <c r="D714" s="91">
        <f>LARGE(Planilha!$O:$O,$A714)</f>
        <v>261.68</v>
      </c>
      <c r="E714" s="92">
        <f t="shared" si="33"/>
        <v>1.8800729364553369E-5</v>
      </c>
      <c r="F714" s="93">
        <f t="shared" si="34"/>
        <v>0.99797368400094411</v>
      </c>
      <c r="I714" s="73" t="str">
        <v>TÊ DE REDUÇÃO, PVC, SOLDÁVEL, DN 50MM X 32MM, INSTALADO EM PRUMADA DE ÁGUA - FORNECIMENTO E INSTALAÇÃO. AF_12/2014</v>
      </c>
    </row>
    <row r="715" spans="1:9" x14ac:dyDescent="0.3">
      <c r="A715" s="88">
        <f t="shared" ref="A715:A778" si="35">+A714+1</f>
        <v>707</v>
      </c>
      <c r="B715" s="89" t="str">
        <f>_xlfn.XLOOKUP(D715,Planilha!O:O,Planilha!C:C)</f>
        <v>02.03.02.01.19</v>
      </c>
      <c r="C715" s="90" t="str">
        <f>_xlfn.XLOOKUP($D715,Planilha!$O:$O,Planilha!F:F)</f>
        <v>SAIDA HORIZONTAL PARA ELETRODUTO 1""</v>
      </c>
      <c r="D715" s="91">
        <f>LARGE(Planilha!$O:$O,$A715)</f>
        <v>261.63</v>
      </c>
      <c r="E715" s="92">
        <f t="shared" si="33"/>
        <v>1.8797137051544243E-5</v>
      </c>
      <c r="F715" s="93">
        <f t="shared" si="34"/>
        <v>0.99799248113799566</v>
      </c>
      <c r="I715" s="73" t="str">
        <v>BUCHA DE REDUÇÃO LONGA DE PVC RÍGIDO SOLDÁVEL, MARROM, DIÂM = 60 X 40MM</v>
      </c>
    </row>
    <row r="716" spans="1:9" ht="33.6" x14ac:dyDescent="0.3">
      <c r="A716" s="88">
        <f t="shared" si="35"/>
        <v>708</v>
      </c>
      <c r="B716" s="89" t="str">
        <f>_xlfn.XLOOKUP(D716,Planilha!O:O,Planilha!C:C)</f>
        <v>02.03.11.08.05</v>
      </c>
      <c r="C716" s="90" t="str">
        <f>_xlfn.XLOOKUP($D716,Planilha!$O:$O,Planilha!F:F)</f>
        <v>DISJUNTOR BIPOLAR TIPO DIN, CORRENTE NOMINAL DE 16A - FORNECIMENTO E INSTALAÇÃO. AF_10/2020</v>
      </c>
      <c r="D716" s="91">
        <f>LARGE(Planilha!$O:$O,$A716)</f>
        <v>258.64999999999998</v>
      </c>
      <c r="E716" s="92">
        <f t="shared" si="33"/>
        <v>1.8583035196200431E-5</v>
      </c>
      <c r="F716" s="93">
        <f t="shared" si="34"/>
        <v>0.99801106417319185</v>
      </c>
      <c r="I716" s="73" t="str">
        <v>BUCHA DE REDUÇÃO DE COBRE, JUNTAS SOLDADAS, DIÂM = 35MM X 22MM</v>
      </c>
    </row>
    <row r="717" spans="1:9" ht="50.4" x14ac:dyDescent="0.3">
      <c r="A717" s="88">
        <f t="shared" si="35"/>
        <v>709</v>
      </c>
      <c r="B717" s="89" t="str">
        <f>_xlfn.XLOOKUP(D717,Planilha!O:O,Planilha!C:C)</f>
        <v>02.03.08.06</v>
      </c>
      <c r="C717" s="90" t="str">
        <f>_xlfn.XLOOKUP($D717,Planilha!$O:$O,Planilha!F:F)</f>
        <v>ELETRODUTO DE AÇO GALVANIZADO, CLASSE LEVE, DN 20 MM (3/4), APARENTE, INSTALADO EM TETO - FORNECIMENTO E INSTALAÇÃO. AF_11/2016_P</v>
      </c>
      <c r="D717" s="91">
        <f>LARGE(Planilha!$O:$O,$A717)</f>
        <v>257.12</v>
      </c>
      <c r="E717" s="92">
        <f t="shared" si="33"/>
        <v>1.8473110418121224E-5</v>
      </c>
      <c r="F717" s="93">
        <f t="shared" si="34"/>
        <v>0.99802953728360999</v>
      </c>
      <c r="I717" s="73" t="str">
        <v>SIFÃO EM PVC PARA TANQUE 2"</v>
      </c>
    </row>
    <row r="718" spans="1:9" ht="33.6" x14ac:dyDescent="0.3">
      <c r="A718" s="88">
        <f t="shared" si="35"/>
        <v>710</v>
      </c>
      <c r="B718" s="89" t="str">
        <f>_xlfn.XLOOKUP(D718,Planilha!O:O,Planilha!C:C)</f>
        <v>02.03.10.02.08</v>
      </c>
      <c r="C718" s="90" t="str">
        <f>_xlfn.XLOOKUP($D718,Planilha!$O:$O,Planilha!F:F)</f>
        <v>CONECTOR SPLIT-BOLT PARA CABO DE 35 MM², LATÃO, COM RABICHO</v>
      </c>
      <c r="D718" s="91">
        <f>LARGE(Planilha!$O:$O,$A718)</f>
        <v>255.6</v>
      </c>
      <c r="E718" s="92">
        <f t="shared" si="33"/>
        <v>1.8363904102643842E-5</v>
      </c>
      <c r="F718" s="93">
        <f t="shared" si="34"/>
        <v>0.99804790118771258</v>
      </c>
      <c r="I718" s="73" t="str">
        <v>ARRUELA DE PRESSÃO 1/4"</v>
      </c>
    </row>
    <row r="719" spans="1:9" ht="33.6" x14ac:dyDescent="0.3">
      <c r="A719" s="88">
        <f t="shared" si="35"/>
        <v>711</v>
      </c>
      <c r="B719" s="89" t="str">
        <f>_xlfn.XLOOKUP(D719,Planilha!O:O,Planilha!C:C)</f>
        <v>02.03.11.12.12</v>
      </c>
      <c r="C719" s="90" t="str">
        <f>_xlfn.XLOOKUP($D719,Planilha!$O:$O,Planilha!F:F)</f>
        <v>BOTÃO DE COMANDO DUPLO COM SINALEIRA - SIEMENS OU SIMILAR</v>
      </c>
      <c r="D719" s="91">
        <f>LARGE(Planilha!$O:$O,$A719)</f>
        <v>254.18</v>
      </c>
      <c r="E719" s="92">
        <f t="shared" si="33"/>
        <v>1.8261882413184711E-5</v>
      </c>
      <c r="F719" s="93">
        <f t="shared" si="34"/>
        <v>0.99806616307012574</v>
      </c>
      <c r="I719" s="73" t="str">
        <v>LUVA SOLDÁVEL E COM ROSCA, PVC, SOLDÁVEL, DN 25MM X 3/4, INSTALADO EM RAMAL OU SUB-RAMAL DE ÁGUA - FORNECIMENTO E INSTALAÇÃO. AF_12/2014</v>
      </c>
    </row>
    <row r="720" spans="1:9" ht="67.2" x14ac:dyDescent="0.3">
      <c r="A720" s="88">
        <f t="shared" si="35"/>
        <v>712</v>
      </c>
      <c r="B720" s="89" t="str">
        <f>_xlfn.XLOOKUP(D720,Planilha!O:O,Planilha!C:C)</f>
        <v>02.04.02.01.35</v>
      </c>
      <c r="C720" s="90" t="str">
        <f>_xlfn.XLOOKUP($D720,Planilha!$O:$O,Planilha!F:F)</f>
        <v>ADAPTADOR COM FLANGES LIVRES, PVC, SOLDÁVEL LONGO, DN 60 MM X 2 , INSTALADO EM RESERVAÇÃO DE ÁGUA DE EDIFICAÇÃO QUE POSSUA RESERVATÓRIO DE FIBRA/FIBROCIMENTO   FORNECIMENTO E INSTALAÇÃO. AF_06/2016</v>
      </c>
      <c r="D720" s="91">
        <f>LARGE(Planilha!$O:$O,$A720)</f>
        <v>253.44</v>
      </c>
      <c r="E720" s="92">
        <f t="shared" si="33"/>
        <v>1.8208716180649669E-5</v>
      </c>
      <c r="F720" s="93">
        <f t="shared" si="34"/>
        <v>0.99808437178630638</v>
      </c>
      <c r="I720" s="73" t="str">
        <v>SAIDA HORIZONTAL PARA ELETRODUTO 2""</v>
      </c>
    </row>
    <row r="721" spans="1:9" ht="50.4" x14ac:dyDescent="0.3">
      <c r="A721" s="88">
        <f t="shared" si="35"/>
        <v>713</v>
      </c>
      <c r="B721" s="89" t="str">
        <f>_xlfn.XLOOKUP(D721,Planilha!O:O,Planilha!C:C)</f>
        <v>02.04.04.04.02</v>
      </c>
      <c r="C721" s="90" t="str">
        <f>_xlfn.XLOOKUP($D721,Planilha!$O:$O,Planilha!F:F)</f>
        <v>REGISTRO OU VÁLVULA GLOBO ANGULAR EM LATÃO, PARA HIDRANTES EM INSTALAÇÃO PREDIAL DE INCÊNDIO, 45 GRAUS, 2 1/2" - FORNECIMENTO E INSTALAÇÃO. AF_08/2021</v>
      </c>
      <c r="D721" s="91">
        <f>LARGE(Planilha!$O:$O,$A721)</f>
        <v>252.02</v>
      </c>
      <c r="E721" s="92">
        <f t="shared" si="33"/>
        <v>1.8106694491190538E-5</v>
      </c>
      <c r="F721" s="93">
        <f t="shared" si="34"/>
        <v>0.99810247848079758</v>
      </c>
      <c r="I721" s="73" t="str">
        <v>REDUÇÃO EXCENTRICA EM PVC RÍGIDO SOLDÁVEL, PARA ESGOTO PRIMÁRIO, DIÂM = 100 X 75MM</v>
      </c>
    </row>
    <row r="722" spans="1:9" ht="50.4" x14ac:dyDescent="0.3">
      <c r="A722" s="88">
        <f t="shared" si="35"/>
        <v>714</v>
      </c>
      <c r="B722" s="89" t="str">
        <f>_xlfn.XLOOKUP(D722,Planilha!O:O,Planilha!C:C)</f>
        <v>02.04.03.01.14</v>
      </c>
      <c r="C722" s="90" t="str">
        <f>_xlfn.XLOOKUP($D722,Planilha!$O:$O,Planilha!F:F)</f>
        <v>JOELHO 45 GRAUS, PVC, SERIE NORMAL, ESGOTO PREDIAL, DN 50 MM, JUNTA ELÁSTICA, FORNECIDO E INSTALADO EM RAMAL DE DESCARGA OU RAMAL DE ESGOTO SANITÁRIO. AF_12/2014</v>
      </c>
      <c r="D722" s="91">
        <f>LARGE(Planilha!$O:$O,$A722)</f>
        <v>249.86</v>
      </c>
      <c r="E722" s="92">
        <f t="shared" si="33"/>
        <v>1.7951506569196365E-5</v>
      </c>
      <c r="F722" s="93">
        <f t="shared" si="34"/>
        <v>0.99812042998736683</v>
      </c>
      <c r="I722" s="73" t="str">
        <v>CURVA VERTICAL 150 X 100 MM PARA ELETROCALHA METÁLICA, COM ÂNGULO 90° (REF.: MOPA OU SIMILAR)</v>
      </c>
    </row>
    <row r="723" spans="1:9" ht="50.4" x14ac:dyDescent="0.3">
      <c r="A723" s="88">
        <f t="shared" si="35"/>
        <v>715</v>
      </c>
      <c r="B723" s="89" t="str">
        <f>_xlfn.XLOOKUP(D723,Planilha!O:O,Planilha!C:C)</f>
        <v>02.03.09.24</v>
      </c>
      <c r="C723" s="90" t="str">
        <f>_xlfn.XLOOKUP($D723,Planilha!$O:$O,Planilha!F:F)</f>
        <v>CONECTOR RETO DE ALUMINIO PARA ELETRODUTO DE 3/4", PARA ADAPTAR ENTRADA DE ELETRODUTO METALICO FLEXIVEL EM QUADROS - FORNECIMENTO E INSTALAÇÃO</v>
      </c>
      <c r="D723" s="91">
        <f>LARGE(Planilha!$O:$O,$A723)</f>
        <v>249.15</v>
      </c>
      <c r="E723" s="92">
        <f t="shared" si="33"/>
        <v>1.7900495724466797E-5</v>
      </c>
      <c r="F723" s="93">
        <f t="shared" si="34"/>
        <v>0.99813833048309131</v>
      </c>
    </row>
    <row r="724" spans="1:9" ht="33.6" x14ac:dyDescent="0.3">
      <c r="A724" s="88">
        <f t="shared" si="35"/>
        <v>716</v>
      </c>
      <c r="B724" s="89" t="str">
        <f>_xlfn.XLOOKUP(D724,Planilha!O:O,Planilha!C:C)</f>
        <v>02.04.03.07.12</v>
      </c>
      <c r="C724" s="90" t="str">
        <f>_xlfn.XLOOKUP($D724,Planilha!$O:$O,Planilha!F:F)</f>
        <v>LANÇAMENTO E ADENSAMENTO DE CONCRETO OU MASSA EM FUNDAÇÃO</v>
      </c>
      <c r="D724" s="91">
        <f>LARGE(Planilha!$O:$O,$A724)</f>
        <v>249</v>
      </c>
      <c r="E724" s="92">
        <f t="shared" si="33"/>
        <v>1.7889718785439424E-5</v>
      </c>
      <c r="F724" s="93">
        <f t="shared" si="34"/>
        <v>0.99815622020187678</v>
      </c>
    </row>
    <row r="725" spans="1:9" ht="50.4" x14ac:dyDescent="0.3">
      <c r="A725" s="88">
        <f t="shared" si="35"/>
        <v>717</v>
      </c>
      <c r="B725" s="89" t="str">
        <f>_xlfn.XLOOKUP(D725,Planilha!O:O,Planilha!C:C)</f>
        <v>02.05.01.10</v>
      </c>
      <c r="C725" s="90" t="str">
        <f>_xlfn.XLOOKUP($D725,Planilha!$O:$O,Planilha!F:F)</f>
        <v>COTOVELO EM COBRE, DN 22 MM, 90 GRAUS, SEM ANEL DE SOLDA, INSTALADO EM RAMAL DE DISTRIBUIÇÃO DE HIDRÁULICA PREDIAL - FORNECIMENTO E INSTALAÇÃO. AF_04/2022</v>
      </c>
      <c r="D725" s="91">
        <f>LARGE(Planilha!$O:$O,$A725)</f>
        <v>240.84</v>
      </c>
      <c r="E725" s="92">
        <f t="shared" si="33"/>
        <v>1.7303453302350328E-5</v>
      </c>
      <c r="F725" s="93">
        <f t="shared" si="34"/>
        <v>0.99817352365517908</v>
      </c>
    </row>
    <row r="726" spans="1:9" x14ac:dyDescent="0.3">
      <c r="A726" s="88">
        <f t="shared" si="35"/>
        <v>718</v>
      </c>
      <c r="B726" s="89" t="str">
        <f>_xlfn.XLOOKUP(D726,Planilha!O:O,Planilha!C:C)</f>
        <v>02.03.02.01.24</v>
      </c>
      <c r="C726" s="90" t="str">
        <f>_xlfn.XLOOKUP($D726,Planilha!$O:$O,Planilha!F:F)</f>
        <v>CONJUNTO PARA JUNTA INTERNA "L"</v>
      </c>
      <c r="D726" s="91">
        <f>LARGE(Planilha!$O:$O,$A726)</f>
        <v>239.88</v>
      </c>
      <c r="E726" s="92">
        <f t="shared" si="33"/>
        <v>1.7234480892575138E-5</v>
      </c>
      <c r="F726" s="93">
        <f t="shared" si="34"/>
        <v>0.99819075813607161</v>
      </c>
    </row>
    <row r="727" spans="1:9" ht="50.4" x14ac:dyDescent="0.3">
      <c r="A727" s="88">
        <f t="shared" si="35"/>
        <v>719</v>
      </c>
      <c r="B727" s="89" t="str">
        <f>_xlfn.XLOOKUP(D727,Planilha!O:O,Planilha!C:C)</f>
        <v>02.04.01.01.23</v>
      </c>
      <c r="C727" s="90" t="str">
        <f>_xlfn.XLOOKUP($D727,Planilha!$O:$O,Planilha!F:F)</f>
        <v>REDUÇÃO EXCÊNTRICA, PVC, SERIE R, ÁGUA PLUVIAL, DN 100 X 75 MM, JUNTA ELÁSTICA, FORNECIDO E INSTALADO EM CONDUTORES VERTICAIS DE ÁGUAS PLUVIAIS. AF_12/2014</v>
      </c>
      <c r="D727" s="91">
        <f>LARGE(Planilha!$O:$O,$A727)</f>
        <v>239.58</v>
      </c>
      <c r="E727" s="92">
        <f t="shared" si="33"/>
        <v>1.7212927014520394E-5</v>
      </c>
      <c r="F727" s="93">
        <f t="shared" si="34"/>
        <v>0.99820797106308612</v>
      </c>
    </row>
    <row r="728" spans="1:9" ht="33.6" x14ac:dyDescent="0.3">
      <c r="A728" s="88">
        <f t="shared" si="35"/>
        <v>720</v>
      </c>
      <c r="B728" s="89" t="str">
        <f>_xlfn.XLOOKUP(D728,Planilha!O:O,Planilha!C:C)</f>
        <v>02.03.03.03.39</v>
      </c>
      <c r="C728" s="90" t="str">
        <f>_xlfn.XLOOKUP($D728,Planilha!$O:$O,Planilha!F:F)</f>
        <v>CAIXA DE PASSAGEM Nº 3 PADRÃO TELEBRÁS DIM. (40 X 40 X 12) CM EM CHAPA DE AÇO GALVANIZADO</v>
      </c>
      <c r="D728" s="91">
        <f>LARGE(Planilha!$O:$O,$A728)</f>
        <v>236.9</v>
      </c>
      <c r="E728" s="92">
        <f t="shared" si="33"/>
        <v>1.7020379037231326E-5</v>
      </c>
      <c r="F728" s="93">
        <f t="shared" si="34"/>
        <v>0.9982249914421234</v>
      </c>
    </row>
    <row r="729" spans="1:9" ht="50.4" x14ac:dyDescent="0.3">
      <c r="A729" s="88">
        <f t="shared" si="35"/>
        <v>721</v>
      </c>
      <c r="B729" s="89" t="str">
        <f>_xlfn.XLOOKUP(D729,Planilha!O:O,Planilha!C:C)</f>
        <v>02.03.05.01</v>
      </c>
      <c r="C729" s="90" t="str">
        <f>_xlfn.XLOOKUP($D729,Planilha!$O:$O,Planilha!F:F)</f>
        <v>ELETRODUTO DE AÇO GALVANIZADO, CLASSE LEVE, DN 20 MM (3/4), APARENTE, INSTALADO EM PAREDE - FORNECIMENTO E INSTALAÇÃO. AF_11/2016_P</v>
      </c>
      <c r="D729" s="91">
        <f>LARGE(Planilha!$O:$O,$A729)</f>
        <v>236.16</v>
      </c>
      <c r="E729" s="92">
        <f t="shared" si="33"/>
        <v>1.6967212804696284E-5</v>
      </c>
      <c r="F729" s="93">
        <f t="shared" si="34"/>
        <v>0.99824195865492804</v>
      </c>
    </row>
    <row r="730" spans="1:9" ht="33.6" x14ac:dyDescent="0.3">
      <c r="A730" s="88">
        <f t="shared" si="35"/>
        <v>722</v>
      </c>
      <c r="B730" s="89" t="str">
        <f>_xlfn.XLOOKUP(D730,Planilha!O:O,Planilha!C:C)</f>
        <v>02.02.14.22</v>
      </c>
      <c r="C730" s="90" t="str">
        <f>_xlfn.XLOOKUP($D730,Planilha!$O:$O,Planilha!F:F)</f>
        <v>TORNEIRA CROMADA 1/2 OU 3/4 PARA TANQUE, PADRÃO MÉDIO - FORNECIMENTO E INSTALAÇÃO. AF_01/2020</v>
      </c>
      <c r="D730" s="91">
        <f>LARGE(Planilha!$O:$O,$A730)</f>
        <v>236.08</v>
      </c>
      <c r="E730" s="92">
        <f t="shared" si="33"/>
        <v>1.6961465103881687E-5</v>
      </c>
      <c r="F730" s="93">
        <f t="shared" si="34"/>
        <v>0.99825892012003192</v>
      </c>
    </row>
    <row r="731" spans="1:9" x14ac:dyDescent="0.3">
      <c r="A731" s="88">
        <f t="shared" si="35"/>
        <v>723</v>
      </c>
      <c r="B731" s="89" t="str">
        <f>_xlfn.XLOOKUP(D731,Planilha!O:O,Planilha!C:C)</f>
        <v>02.02.08.02</v>
      </c>
      <c r="C731" s="90" t="str">
        <f>_xlfn.XLOOKUP($D731,Planilha!$O:$O,Planilha!F:F)</f>
        <v>GRM.01 - PLANTIO DE GRAMA SÃO CARLOS EM PLACAS</v>
      </c>
      <c r="D731" s="91">
        <f>LARGE(Planilha!$O:$O,$A731)</f>
        <v>233.22</v>
      </c>
      <c r="E731" s="92">
        <f t="shared" si="33"/>
        <v>1.6755984799759771E-5</v>
      </c>
      <c r="F731" s="93">
        <f t="shared" si="34"/>
        <v>0.9982756761048317</v>
      </c>
    </row>
    <row r="732" spans="1:9" ht="33.6" x14ac:dyDescent="0.3">
      <c r="A732" s="88">
        <f t="shared" si="35"/>
        <v>724</v>
      </c>
      <c r="B732" s="89" t="str">
        <f>_xlfn.XLOOKUP(D732,Planilha!O:O,Planilha!C:C)</f>
        <v>02.01.07.05.08</v>
      </c>
      <c r="C732" s="90" t="str">
        <f>_xlfn.XLOOKUP($D732,Planilha!$O:$O,Planilha!F:F)</f>
        <v>FORMA PLANA PARA SAPATAS, EM MADEIRA MACIÇA, 02 USOS, INCLUSIVE ESCORAMENTO</v>
      </c>
      <c r="D732" s="91">
        <f>LARGE(Planilha!$O:$O,$A732)</f>
        <v>233.06</v>
      </c>
      <c r="E732" s="92">
        <f t="shared" si="33"/>
        <v>1.6744489398130573E-5</v>
      </c>
      <c r="F732" s="93">
        <f t="shared" si="34"/>
        <v>0.99829242059422985</v>
      </c>
    </row>
    <row r="733" spans="1:9" ht="33.6" x14ac:dyDescent="0.3">
      <c r="A733" s="88">
        <f t="shared" si="35"/>
        <v>725</v>
      </c>
      <c r="B733" s="89" t="str">
        <f>_xlfn.XLOOKUP(D733,Planilha!O:O,Planilha!C:C)</f>
        <v>02.03.11.04.07</v>
      </c>
      <c r="C733" s="90" t="str">
        <f>_xlfn.XLOOKUP($D733,Planilha!$O:$O,Planilha!F:F)</f>
        <v>DISJUNTOR BIPOLAR DR 40 A  - DISPOSITIVO RESIDUAL DIFERENCIAL, TIPO AC, 30MA, REF.5SM1 314-OMB, SIEMENS OU SIMILAR</v>
      </c>
      <c r="D733" s="91">
        <f>LARGE(Planilha!$O:$O,$A733)</f>
        <v>231.6</v>
      </c>
      <c r="E733" s="92">
        <f t="shared" si="33"/>
        <v>1.663959385826414E-5</v>
      </c>
      <c r="F733" s="93">
        <f t="shared" si="34"/>
        <v>0.99830906018808807</v>
      </c>
    </row>
    <row r="734" spans="1:9" ht="50.4" x14ac:dyDescent="0.3">
      <c r="A734" s="88">
        <f t="shared" si="35"/>
        <v>726</v>
      </c>
      <c r="B734" s="89" t="str">
        <f>_xlfn.XLOOKUP(D734,Planilha!O:O,Planilha!C:C)</f>
        <v>02.04.03.01.12</v>
      </c>
      <c r="C734" s="90" t="str">
        <f>_xlfn.XLOOKUP($D734,Planilha!$O:$O,Planilha!F:F)</f>
        <v>JOELHO 90 GRAUS, PVC, SERIE NORMAL, ESGOTO PREDIAL, DN 100 MM, JUNTA ELÁSTICA, FORNECIDO E INSTALADO EM RAMAL DE DESCARGA OU RAMAL DE ESGOTO SANITÁRIO. AF_12/2014</v>
      </c>
      <c r="D734" s="91">
        <f>LARGE(Planilha!$O:$O,$A734)</f>
        <v>229.6</v>
      </c>
      <c r="E734" s="92">
        <f t="shared" si="33"/>
        <v>1.6495901337899164E-5</v>
      </c>
      <c r="F734" s="93">
        <f t="shared" si="34"/>
        <v>0.99832555608942597</v>
      </c>
    </row>
    <row r="735" spans="1:9" ht="33.6" x14ac:dyDescent="0.3">
      <c r="A735" s="88">
        <f t="shared" si="35"/>
        <v>727</v>
      </c>
      <c r="B735" s="89" t="str">
        <f>_xlfn.XLOOKUP(D735,Planilha!O:O,Planilha!C:C)</f>
        <v>02.03.11.08.04</v>
      </c>
      <c r="C735" s="90" t="str">
        <f>_xlfn.XLOOKUP($D735,Planilha!$O:$O,Planilha!F:F)</f>
        <v>DISJUNTOR MONOPOLAR TIPO DIN, CORRENTE NOMINAL DE 16A - FORNECIMENTO E INSTALAÇÃO. AF_10/2020</v>
      </c>
      <c r="D735" s="91">
        <f>LARGE(Planilha!$O:$O,$A735)</f>
        <v>229</v>
      </c>
      <c r="E735" s="92">
        <f t="shared" si="33"/>
        <v>1.6452793581789672E-5</v>
      </c>
      <c r="F735" s="93">
        <f t="shared" si="34"/>
        <v>0.99834200888300773</v>
      </c>
    </row>
    <row r="736" spans="1:9" x14ac:dyDescent="0.3">
      <c r="A736" s="88">
        <f t="shared" si="35"/>
        <v>728</v>
      </c>
      <c r="B736" s="89" t="str">
        <f>_xlfn.XLOOKUP(D736,Planilha!O:O,Planilha!C:C)</f>
        <v>02.04.01.01.04</v>
      </c>
      <c r="C736" s="90" t="str">
        <f>_xlfn.XLOOKUP($D736,Planilha!$O:$O,Planilha!F:F)</f>
        <v>ANEL BORRACHA TUBO PVC 75MM</v>
      </c>
      <c r="D736" s="91">
        <f>LARGE(Planilha!$O:$O,$A736)</f>
        <v>228.58</v>
      </c>
      <c r="E736" s="92">
        <f t="shared" si="33"/>
        <v>1.6422618152513029E-5</v>
      </c>
      <c r="F736" s="93">
        <f t="shared" si="34"/>
        <v>0.99835843150116022</v>
      </c>
    </row>
    <row r="737" spans="1:6" ht="50.4" x14ac:dyDescent="0.3">
      <c r="A737" s="88">
        <f t="shared" si="35"/>
        <v>729</v>
      </c>
      <c r="B737" s="89" t="str">
        <f>_xlfn.XLOOKUP(D737,Planilha!O:O,Planilha!C:C)</f>
        <v>02.02.14.14</v>
      </c>
      <c r="C737" s="90" t="str">
        <f>_xlfn.XLOOKUP($D737,Planilha!$O:$O,Planilha!F:F)</f>
        <v>REGISTRO DE PRESSÃO BRUTO, LATÃO, ROSCÁVEL, 3/4", COM ACABAMENTO E CANOPLA CROMADOS - FORNECIMENTO E INSTALAÇÃO. AF_08/2021</v>
      </c>
      <c r="D737" s="91">
        <f>LARGE(Planilha!$O:$O,$A737)</f>
        <v>227.73</v>
      </c>
      <c r="E737" s="92">
        <f t="shared" si="33"/>
        <v>1.6361548831357912E-5</v>
      </c>
      <c r="F737" s="93">
        <f t="shared" si="34"/>
        <v>0.99837479304999155</v>
      </c>
    </row>
    <row r="738" spans="1:6" ht="50.4" x14ac:dyDescent="0.3">
      <c r="A738" s="88">
        <f t="shared" si="35"/>
        <v>730</v>
      </c>
      <c r="B738" s="89" t="str">
        <f>_xlfn.XLOOKUP(D738,Planilha!O:O,Planilha!C:C)</f>
        <v>02.02.14.14</v>
      </c>
      <c r="C738" s="90" t="str">
        <f>_xlfn.XLOOKUP($D738,Planilha!$O:$O,Planilha!F:F)</f>
        <v>REGISTRO DE PRESSÃO BRUTO, LATÃO, ROSCÁVEL, 3/4", COM ACABAMENTO E CANOPLA CROMADOS - FORNECIMENTO E INSTALAÇÃO. AF_08/2021</v>
      </c>
      <c r="D738" s="91">
        <f>LARGE(Planilha!$O:$O,$A738)</f>
        <v>227.73</v>
      </c>
      <c r="E738" s="92">
        <f t="shared" si="33"/>
        <v>1.6361548831357912E-5</v>
      </c>
      <c r="F738" s="93">
        <f t="shared" si="34"/>
        <v>0.99839115459882288</v>
      </c>
    </row>
    <row r="739" spans="1:6" ht="33.6" x14ac:dyDescent="0.3">
      <c r="A739" s="88">
        <f t="shared" si="35"/>
        <v>731</v>
      </c>
      <c r="B739" s="89" t="str">
        <f>_xlfn.XLOOKUP(D739,Planilha!O:O,Planilha!C:C)</f>
        <v>02.04.02.02.08</v>
      </c>
      <c r="C739" s="90" t="str">
        <f>_xlfn.XLOOKUP($D739,Planilha!$O:$O,Planilha!F:F)</f>
        <v>FORNECIMENTO E ASSENTAMENTO DE UNIÃO DE FERRO GALVANIZADO ASSENTO BRONZE DE 1 1/2"</v>
      </c>
      <c r="D739" s="91">
        <f>LARGE(Planilha!$O:$O,$A739)</f>
        <v>226.62</v>
      </c>
      <c r="E739" s="92">
        <f t="shared" si="33"/>
        <v>1.6281799482555352E-5</v>
      </c>
      <c r="F739" s="93">
        <f t="shared" si="34"/>
        <v>0.99840743639830543</v>
      </c>
    </row>
    <row r="740" spans="1:6" ht="33.6" x14ac:dyDescent="0.3">
      <c r="A740" s="88">
        <f t="shared" si="35"/>
        <v>732</v>
      </c>
      <c r="B740" s="89" t="str">
        <f>_xlfn.XLOOKUP(D740,Planilha!O:O,Planilha!C:C)</f>
        <v>02.04.02.01.09</v>
      </c>
      <c r="C740" s="90" t="str">
        <f>_xlfn.XLOOKUP($D740,Planilha!$O:$O,Planilha!F:F)</f>
        <v>JOELHO 90 GRAUS, PVC, SOLDÁVEL, DN 40MM, INSTALADO EM PRUMADA DE ÁGUA - FORNECIMENTO E INSTALAÇÃO. AF_12/2014</v>
      </c>
      <c r="D740" s="91">
        <f>LARGE(Planilha!$O:$O,$A740)</f>
        <v>225.68</v>
      </c>
      <c r="E740" s="92">
        <f t="shared" si="33"/>
        <v>1.6214263997983814E-5</v>
      </c>
      <c r="F740" s="93">
        <f t="shared" si="34"/>
        <v>0.99842365066230343</v>
      </c>
    </row>
    <row r="741" spans="1:6" x14ac:dyDescent="0.3">
      <c r="A741" s="88">
        <f t="shared" si="35"/>
        <v>733</v>
      </c>
      <c r="B741" s="89" t="str">
        <f>_xlfn.XLOOKUP(D741,Planilha!O:O,Planilha!C:C)</f>
        <v>02.04.02.04.01</v>
      </c>
      <c r="C741" s="90" t="str">
        <f>_xlfn.XLOOKUP($D741,Planilha!$O:$O,Planilha!F:F)</f>
        <v>FLEXÍVEL PARA LAVATÓRIO - 1/2"</v>
      </c>
      <c r="D741" s="91">
        <f>LARGE(Planilha!$O:$O,$A741)</f>
        <v>223.16</v>
      </c>
      <c r="E741" s="92">
        <f t="shared" si="33"/>
        <v>1.6033211422323944E-5</v>
      </c>
      <c r="F741" s="93">
        <f t="shared" si="34"/>
        <v>0.99843968387372573</v>
      </c>
    </row>
    <row r="742" spans="1:6" x14ac:dyDescent="0.3">
      <c r="A742" s="88">
        <f t="shared" si="35"/>
        <v>734</v>
      </c>
      <c r="B742" s="89" t="str">
        <f>_xlfn.XLOOKUP(D742,Planilha!O:O,Planilha!C:C)</f>
        <v>02.04.02.04.01</v>
      </c>
      <c r="C742" s="90" t="str">
        <f>_xlfn.XLOOKUP($D742,Planilha!$O:$O,Planilha!F:F)</f>
        <v>FLEXÍVEL PARA LAVATÓRIO - 1/2"</v>
      </c>
      <c r="D742" s="91">
        <f>LARGE(Planilha!$O:$O,$A742)</f>
        <v>223.16</v>
      </c>
      <c r="E742" s="92">
        <f t="shared" si="33"/>
        <v>1.6033211422323944E-5</v>
      </c>
      <c r="F742" s="93">
        <f t="shared" si="34"/>
        <v>0.99845571708514802</v>
      </c>
    </row>
    <row r="743" spans="1:6" ht="33.6" x14ac:dyDescent="0.3">
      <c r="A743" s="88">
        <f t="shared" si="35"/>
        <v>735</v>
      </c>
      <c r="B743" s="89" t="str">
        <f>_xlfn.XLOOKUP(D743,Planilha!O:O,Planilha!C:C)</f>
        <v>02.04.04.01.07</v>
      </c>
      <c r="C743" s="90" t="str">
        <f>_xlfn.XLOOKUP($D743,Planilha!$O:$O,Planilha!F:F)</f>
        <v>FORNECIMENTO E ASSENTAMENTO DE TE DE REDUÇÃO DE FERRO GALVANIZADO DE 3" X 2 1/2"</v>
      </c>
      <c r="D743" s="91">
        <f>LARGE(Planilha!$O:$O,$A743)</f>
        <v>223.02</v>
      </c>
      <c r="E743" s="92">
        <f t="shared" si="33"/>
        <v>1.6023152945898397E-5</v>
      </c>
      <c r="F743" s="93">
        <f t="shared" si="34"/>
        <v>0.99847174023809393</v>
      </c>
    </row>
    <row r="744" spans="1:6" ht="50.4" x14ac:dyDescent="0.3">
      <c r="A744" s="88">
        <f t="shared" si="35"/>
        <v>736</v>
      </c>
      <c r="B744" s="89" t="str">
        <f>_xlfn.XLOOKUP(D744,Planilha!O:O,Planilha!C:C)</f>
        <v>02.03.03.02.17</v>
      </c>
      <c r="C744" s="90" t="str">
        <f>_xlfn.XLOOKUP($D744,Planilha!$O:$O,Planilha!F:F)</f>
        <v>ELETRODUTO DE AÇO GALVANIZADO, CLASSE LEVE, DN 25 MM (1), APARENTE, INSTALADO EM PAREDE - FORNECIMENTO E INSTALAÇÃO. AF_11/2016_P</v>
      </c>
      <c r="D744" s="91">
        <f>LARGE(Planilha!$O:$O,$A744)</f>
        <v>222.4</v>
      </c>
      <c r="E744" s="92">
        <f t="shared" si="33"/>
        <v>1.5978608264585254E-5</v>
      </c>
      <c r="F744" s="93">
        <f t="shared" si="34"/>
        <v>0.99848771884635856</v>
      </c>
    </row>
    <row r="745" spans="1:6" x14ac:dyDescent="0.3">
      <c r="A745" s="88">
        <f t="shared" si="35"/>
        <v>737</v>
      </c>
      <c r="B745" s="89" t="str">
        <f>_xlfn.XLOOKUP(D745,Planilha!O:O,Planilha!C:C)</f>
        <v>02.04.02.03.05</v>
      </c>
      <c r="C745" s="90" t="str">
        <f>_xlfn.XLOOKUP($D745,Planilha!$O:$O,Planilha!F:F)</f>
        <v>TORNEIRA DE BÓIA P/CAIXA D'AGUA D= 3/4" (DECA OU SIMILAR)</v>
      </c>
      <c r="D745" s="91">
        <f>LARGE(Planilha!$O:$O,$A745)</f>
        <v>220.44</v>
      </c>
      <c r="E745" s="92">
        <f t="shared" si="33"/>
        <v>1.5837789594627577E-5</v>
      </c>
      <c r="F745" s="93">
        <f t="shared" si="34"/>
        <v>0.99850355663595314</v>
      </c>
    </row>
    <row r="746" spans="1:6" ht="50.4" x14ac:dyDescent="0.3">
      <c r="A746" s="88">
        <f t="shared" si="35"/>
        <v>738</v>
      </c>
      <c r="B746" s="89" t="str">
        <f>_xlfn.XLOOKUP(D746,Planilha!O:O,Planilha!C:C)</f>
        <v>02.04.01.01.16</v>
      </c>
      <c r="C746" s="90" t="str">
        <f>_xlfn.XLOOKUP($D746,Planilha!$O:$O,Planilha!F:F)</f>
        <v>JUNÇÃO SIMPLES, PVC, SERIE R, ÁGUA PLUVIAL, DN 150 X 100 MM, JUNTA ELÁSTICA, FORNECIDO E INSTALADO EM CONDUTORES VERTICAIS DE ÁGUAS PLUVIAIS. AF_12/2014</v>
      </c>
      <c r="D746" s="91">
        <f>LARGE(Planilha!$O:$O,$A746)</f>
        <v>217.76</v>
      </c>
      <c r="E746" s="92">
        <f t="shared" si="33"/>
        <v>1.5645241617338509E-5</v>
      </c>
      <c r="F746" s="93">
        <f t="shared" si="34"/>
        <v>0.99851920187757048</v>
      </c>
    </row>
    <row r="747" spans="1:6" ht="33.6" x14ac:dyDescent="0.3">
      <c r="A747" s="88">
        <f t="shared" si="35"/>
        <v>739</v>
      </c>
      <c r="B747" s="89" t="str">
        <f>_xlfn.XLOOKUP(D747,Planilha!O:O,Planilha!C:C)</f>
        <v>02.03.11.07.04</v>
      </c>
      <c r="C747" s="90" t="str">
        <f>_xlfn.XLOOKUP($D747,Planilha!$O:$O,Planilha!F:F)</f>
        <v>DISJUNTOR MONOPOLAR TIPO DIN, CORRENTE NOMINAL DE 16A - FORNECIMENTO E INSTALAÇÃO. AF_10/2020</v>
      </c>
      <c r="D747" s="91">
        <f>LARGE(Planilha!$O:$O,$A747)</f>
        <v>217.55</v>
      </c>
      <c r="E747" s="92">
        <f t="shared" si="33"/>
        <v>1.5630153902700189E-5</v>
      </c>
      <c r="F747" s="93">
        <f t="shared" si="34"/>
        <v>0.9985348320314732</v>
      </c>
    </row>
    <row r="748" spans="1:6" ht="33.6" x14ac:dyDescent="0.3">
      <c r="A748" s="88">
        <f t="shared" si="35"/>
        <v>740</v>
      </c>
      <c r="B748" s="89" t="str">
        <f>_xlfn.XLOOKUP(D748,Planilha!O:O,Planilha!C:C)</f>
        <v>02.03.11.09.06</v>
      </c>
      <c r="C748" s="90" t="str">
        <f>_xlfn.XLOOKUP($D748,Planilha!$O:$O,Planilha!F:F)</f>
        <v>DISJUNTOR BIPOLAR TIPO DIN, CORRENTE NOMINAL DE 20A - FORNECIMENTO E INSTALAÇÃO. AF_10/2020</v>
      </c>
      <c r="D748" s="91">
        <f>LARGE(Planilha!$O:$O,$A748)</f>
        <v>216.36</v>
      </c>
      <c r="E748" s="92">
        <f t="shared" si="33"/>
        <v>1.5544656853083029E-5</v>
      </c>
      <c r="F748" s="93">
        <f t="shared" si="34"/>
        <v>0.99855037668832625</v>
      </c>
    </row>
    <row r="749" spans="1:6" ht="33.6" x14ac:dyDescent="0.3">
      <c r="A749" s="88">
        <f t="shared" si="35"/>
        <v>741</v>
      </c>
      <c r="B749" s="89" t="str">
        <f>_xlfn.XLOOKUP(D749,Planilha!O:O,Planilha!C:C)</f>
        <v>02.04.02.01.19</v>
      </c>
      <c r="C749" s="90" t="str">
        <f>_xlfn.XLOOKUP($D749,Planilha!$O:$O,Planilha!F:F)</f>
        <v>TE, PVC, SOLDÁVEL, DN 60MM, INSTALADO EM PRUMADA DE ÁGUA - FORNECIMENTO E INSTALAÇÃO. AF_12/2014</v>
      </c>
      <c r="D749" s="91">
        <f>LARGE(Planilha!$O:$O,$A749)</f>
        <v>215.16</v>
      </c>
      <c r="E749" s="92">
        <f t="shared" si="33"/>
        <v>1.5458441340864042E-5</v>
      </c>
      <c r="F749" s="93">
        <f t="shared" si="34"/>
        <v>0.99856583512966712</v>
      </c>
    </row>
    <row r="750" spans="1:6" ht="50.4" x14ac:dyDescent="0.3">
      <c r="A750" s="88">
        <f t="shared" si="35"/>
        <v>742</v>
      </c>
      <c r="B750" s="89" t="str">
        <f>_xlfn.XLOOKUP(D750,Planilha!O:O,Planilha!C:C)</f>
        <v>02.04.03.01.16</v>
      </c>
      <c r="C750" s="90" t="str">
        <f>_xlfn.XLOOKUP($D750,Planilha!$O:$O,Planilha!F:F)</f>
        <v>JOELHO 45 GRAUS, PVC, SERIE NORMAL, ESGOTO PREDIAL, DN 100 MM, JUNTA ELÁSTICA, FORNECIDO E INSTALADO EM PRUMADA DE ESGOTO SANITÁRIO OU VENTILAÇÃO. AF_12/2014</v>
      </c>
      <c r="D750" s="91">
        <f>LARGE(Planilha!$O:$O,$A750)</f>
        <v>213.06</v>
      </c>
      <c r="E750" s="92">
        <f t="shared" si="33"/>
        <v>1.5307564194480818E-5</v>
      </c>
      <c r="F750" s="93">
        <f t="shared" si="34"/>
        <v>0.99858114269386156</v>
      </c>
    </row>
    <row r="751" spans="1:6" ht="33.6" x14ac:dyDescent="0.3">
      <c r="A751" s="88">
        <f t="shared" si="35"/>
        <v>743</v>
      </c>
      <c r="B751" s="89" t="str">
        <f>_xlfn.XLOOKUP(D751,Planilha!O:O,Planilha!C:C)</f>
        <v>02.04.03.01.21</v>
      </c>
      <c r="C751" s="90" t="str">
        <f>_xlfn.XLOOKUP($D751,Planilha!$O:$O,Planilha!F:F)</f>
        <v>JUNÇÃO SIMPLES EM PVC RÍGIDO SOLDÁVEL, PARA ESGOTO PRIMÁRIO, DIÂM = 75 X 50MM</v>
      </c>
      <c r="D751" s="91">
        <f>LARGE(Planilha!$O:$O,$A751)</f>
        <v>212.64</v>
      </c>
      <c r="E751" s="92">
        <f t="shared" si="33"/>
        <v>1.5277388765204172E-5</v>
      </c>
      <c r="F751" s="93">
        <f t="shared" si="34"/>
        <v>0.99859642008262672</v>
      </c>
    </row>
    <row r="752" spans="1:6" ht="67.2" x14ac:dyDescent="0.3">
      <c r="A752" s="88">
        <f t="shared" si="35"/>
        <v>744</v>
      </c>
      <c r="B752" s="89" t="str">
        <f>_xlfn.XLOOKUP(D752,Planilha!O:O,Planilha!C:C)</f>
        <v>02.04.02.01.21</v>
      </c>
      <c r="C752" s="90" t="str">
        <f>_xlfn.XLOOKUP($D752,Planilha!$O:$O,Planilha!F:F)</f>
        <v>TÊ DE REDUÇÃO, PVC, SOLDÁVEL, DN 40 MM X 32 MM, INSTALADO EM RESERVAÇÃO DE ÁGUA DE EDIFICAÇÃO QUE POSSUA RESERVATÓRIO DE FIBRA/FIBROCIMENTO   FORNECIMENTO E INSTALAÇÃO. AF_06/2016</v>
      </c>
      <c r="D752" s="91">
        <f>LARGE(Planilha!$O:$O,$A752)</f>
        <v>211.1</v>
      </c>
      <c r="E752" s="92">
        <f t="shared" si="33"/>
        <v>1.5166745524523143E-5</v>
      </c>
      <c r="F752" s="93">
        <f t="shared" si="34"/>
        <v>0.99861158682815121</v>
      </c>
    </row>
    <row r="753" spans="1:6" ht="50.4" x14ac:dyDescent="0.3">
      <c r="A753" s="88">
        <f t="shared" si="35"/>
        <v>745</v>
      </c>
      <c r="B753" s="89" t="str">
        <f>_xlfn.XLOOKUP(D753,Planilha!O:O,Planilha!C:C)</f>
        <v>02.03.03.01.07</v>
      </c>
      <c r="C753" s="90" t="str">
        <f>_xlfn.XLOOKUP($D753,Planilha!$O:$O,Planilha!F:F)</f>
        <v>CONECTOR RETO DE ALUMINIO PARA ELETRODUTO DE 1", PARA ADAPTAR ENTRADA DE ELETRODUTO METALICO FLEXIVEL EM QUADROS - FORNECIMENTO E INSTALAÇÃO</v>
      </c>
      <c r="D753" s="91">
        <f>LARGE(Planilha!$O:$O,$A753)</f>
        <v>210</v>
      </c>
      <c r="E753" s="92">
        <f t="shared" si="33"/>
        <v>1.5087714638322407E-5</v>
      </c>
      <c r="F753" s="93">
        <f t="shared" si="34"/>
        <v>0.99862667454278953</v>
      </c>
    </row>
    <row r="754" spans="1:6" x14ac:dyDescent="0.3">
      <c r="A754" s="88">
        <f t="shared" si="35"/>
        <v>746</v>
      </c>
      <c r="B754" s="89" t="str">
        <f>_xlfn.XLOOKUP(D754,Planilha!O:O,Planilha!C:C)</f>
        <v>02.04.01.05.03</v>
      </c>
      <c r="C754" s="90" t="str">
        <f>_xlfn.XLOOKUP($D754,Planilha!$O:$O,Planilha!F:F)</f>
        <v>GRELHA HEMISFÉRICA EM FERRO FUNDIDO DE 6"</v>
      </c>
      <c r="D754" s="91">
        <f>LARGE(Planilha!$O:$O,$A754)</f>
        <v>209.76</v>
      </c>
      <c r="E754" s="92">
        <f t="shared" si="33"/>
        <v>1.5070471535878609E-5</v>
      </c>
      <c r="F754" s="93">
        <f t="shared" si="34"/>
        <v>0.99864174501432545</v>
      </c>
    </row>
    <row r="755" spans="1:6" x14ac:dyDescent="0.3">
      <c r="A755" s="88">
        <f t="shared" si="35"/>
        <v>747</v>
      </c>
      <c r="B755" s="89" t="str">
        <f>_xlfn.XLOOKUP(D755,Planilha!O:O,Planilha!C:C)</f>
        <v>02.03.02.01.03</v>
      </c>
      <c r="C755" s="90" t="str">
        <f>_xlfn.XLOOKUP($D755,Planilha!$O:$O,Planilha!F:F)</f>
        <v>CAIXA DE PASSAGEM COM TAMPA APARAFUSADA 20 X 20 X 10 CM</v>
      </c>
      <c r="D755" s="91">
        <f>LARGE(Planilha!$O:$O,$A755)</f>
        <v>208.86</v>
      </c>
      <c r="E755" s="92">
        <f t="shared" si="33"/>
        <v>1.5005809901714371E-5</v>
      </c>
      <c r="F755" s="93">
        <f t="shared" si="34"/>
        <v>0.99865675082422722</v>
      </c>
    </row>
    <row r="756" spans="1:6" x14ac:dyDescent="0.3">
      <c r="A756" s="88">
        <f t="shared" si="35"/>
        <v>748</v>
      </c>
      <c r="B756" s="89" t="str">
        <f>_xlfn.XLOOKUP(D756,Planilha!O:O,Planilha!C:C)</f>
        <v>02.03.11.14.07</v>
      </c>
      <c r="C756" s="90" t="str">
        <f>_xlfn.XLOOKUP($D756,Planilha!$O:$O,Planilha!F:F)</f>
        <v>CURVA ELETRODUTO GALVANIZADO 2""</v>
      </c>
      <c r="D756" s="91">
        <f>LARGE(Planilha!$O:$O,$A756)</f>
        <v>207.62</v>
      </c>
      <c r="E756" s="92">
        <f t="shared" si="33"/>
        <v>1.4916720539088087E-5</v>
      </c>
      <c r="F756" s="93">
        <f t="shared" si="34"/>
        <v>0.99867166754476633</v>
      </c>
    </row>
    <row r="757" spans="1:6" ht="50.4" x14ac:dyDescent="0.3">
      <c r="A757" s="88">
        <f t="shared" si="35"/>
        <v>749</v>
      </c>
      <c r="B757" s="89" t="str">
        <f>_xlfn.XLOOKUP(D757,Planilha!O:O,Planilha!C:C)</f>
        <v>02.02.01.02</v>
      </c>
      <c r="C757" s="90" t="str">
        <f>_xlfn.XLOOKUP($D757,Planilha!$O:$O,Planilha!F:F)</f>
        <v>BLC.02 - ALVENARIA DE VEDAÇÃO DE BLOCOS VAZADOS DE CONCRETO APARENTE DE 19X14X39 CM (ESPESSURA 14 CM) E ARGAMASSA DE ASSENTAMENTO COM PREPARO EM BETONEIRA.</v>
      </c>
      <c r="D757" s="91">
        <f>LARGE(Planilha!$O:$O,$A757)</f>
        <v>206.5</v>
      </c>
      <c r="E757" s="92">
        <f t="shared" si="33"/>
        <v>1.48362527276837E-5</v>
      </c>
      <c r="F757" s="93">
        <f t="shared" si="34"/>
        <v>0.99868650379749402</v>
      </c>
    </row>
    <row r="758" spans="1:6" ht="33.6" x14ac:dyDescent="0.3">
      <c r="A758" s="88">
        <f t="shared" si="35"/>
        <v>750</v>
      </c>
      <c r="B758" s="89" t="str">
        <f>_xlfn.XLOOKUP(D758,Planilha!O:O,Planilha!C:C)</f>
        <v>02.03.03.01.09</v>
      </c>
      <c r="C758" s="90" t="str">
        <f>_xlfn.XLOOKUP($D758,Planilha!$O:$O,Planilha!F:F)</f>
        <v>FORNECIMENTO E INSTALAÇÃO DE SAÍDA HORIZONTAL PARA ELETRODUTO 1" (REF. VL 33 VALEMAM OU SIMILAR)</v>
      </c>
      <c r="D758" s="91">
        <f>LARGE(Planilha!$O:$O,$A758)</f>
        <v>205.8</v>
      </c>
      <c r="E758" s="92">
        <f t="shared" si="33"/>
        <v>1.478596034555596E-5</v>
      </c>
      <c r="F758" s="93">
        <f t="shared" si="34"/>
        <v>0.99870128975783956</v>
      </c>
    </row>
    <row r="759" spans="1:6" x14ac:dyDescent="0.3">
      <c r="A759" s="88">
        <f t="shared" si="35"/>
        <v>751</v>
      </c>
      <c r="B759" s="89" t="str">
        <f>_xlfn.XLOOKUP(D759,Planilha!O:O,Planilha!C:C)</f>
        <v>02.03.11.11.10</v>
      </c>
      <c r="C759" s="90" t="str">
        <f>_xlfn.XLOOKUP($D759,Planilha!$O:$O,Planilha!F:F)</f>
        <v>LÂMPADA DE SINALIZAÇÃO 220V, COR VERMELHA</v>
      </c>
      <c r="D759" s="91">
        <f>LARGE(Planilha!$O:$O,$A759)</f>
        <v>205.65</v>
      </c>
      <c r="E759" s="92">
        <f t="shared" si="33"/>
        <v>1.4775183406528586E-5</v>
      </c>
      <c r="F759" s="93">
        <f t="shared" si="34"/>
        <v>0.9987160649412461</v>
      </c>
    </row>
    <row r="760" spans="1:6" ht="67.2" x14ac:dyDescent="0.3">
      <c r="A760" s="88">
        <f t="shared" si="35"/>
        <v>752</v>
      </c>
      <c r="B760" s="89" t="str">
        <f>_xlfn.XLOOKUP(D760,Planilha!O:O,Planilha!C:C)</f>
        <v>02.04.03.01.27</v>
      </c>
      <c r="C760" s="90" t="str">
        <f>_xlfn.XLOOKUP($D760,Planilha!$O:$O,Planilha!F:F)</f>
        <v>TÊ DE REDUÇÃO, PVC, SOLDÁVEL, DN 110 MM X 60 MM, INSTALADO EM RESERVAÇÃO DE ÁGUA DE EDIFICAÇÃO QUE POSSUA RESERVATÓRIO DE FIBRA/FIBROCIMENTO   FORNECIMENTO E INSTALAÇÃO. AF_06/2016</v>
      </c>
      <c r="D760" s="91">
        <f>LARGE(Planilha!$O:$O,$A760)</f>
        <v>205.44</v>
      </c>
      <c r="E760" s="92">
        <f t="shared" si="33"/>
        <v>1.4760095691890263E-5</v>
      </c>
      <c r="F760" s="93">
        <f t="shared" si="34"/>
        <v>0.998730825036938</v>
      </c>
    </row>
    <row r="761" spans="1:6" ht="33.6" x14ac:dyDescent="0.3">
      <c r="A761" s="88">
        <f t="shared" si="35"/>
        <v>753</v>
      </c>
      <c r="B761" s="89" t="str">
        <f>_xlfn.XLOOKUP(D761,Planilha!O:O,Planilha!C:C)</f>
        <v>02.03.11.12.01</v>
      </c>
      <c r="C761" s="90" t="str">
        <f>_xlfn.XLOOKUP($D761,Planilha!$O:$O,Planilha!F:F)</f>
        <v>CHAVE SECCIONADORA TRIPOLAR 40A, MANOBRA C/ CARGA ACIONAMENTO POR ALAVANCA P/ QUADRO DE DIST DE ENERGIA</v>
      </c>
      <c r="D761" s="91">
        <f>LARGE(Planilha!$O:$O,$A761)</f>
        <v>205.05</v>
      </c>
      <c r="E761" s="92">
        <f t="shared" si="33"/>
        <v>1.4732075650419094E-5</v>
      </c>
      <c r="F761" s="93">
        <f t="shared" si="34"/>
        <v>0.99874555711258839</v>
      </c>
    </row>
    <row r="762" spans="1:6" x14ac:dyDescent="0.3">
      <c r="A762" s="88">
        <f t="shared" si="35"/>
        <v>754</v>
      </c>
      <c r="B762" s="89" t="str">
        <f>_xlfn.XLOOKUP(D762,Planilha!O:O,Planilha!C:C)</f>
        <v>02.03.11.15.12</v>
      </c>
      <c r="C762" s="90" t="str">
        <f>_xlfn.XLOOKUP($D762,Planilha!$O:$O,Planilha!F:F)</f>
        <v>TERMINAL DE PRESSÃO/COMPRESSÃO PARA CABO DE 16 MM²</v>
      </c>
      <c r="D762" s="91">
        <f>LARGE(Planilha!$O:$O,$A762)</f>
        <v>202.56</v>
      </c>
      <c r="E762" s="92">
        <f t="shared" si="33"/>
        <v>1.4553178462564699E-5</v>
      </c>
      <c r="F762" s="93">
        <f t="shared" si="34"/>
        <v>0.99876011029105094</v>
      </c>
    </row>
    <row r="763" spans="1:6" ht="50.4" x14ac:dyDescent="0.3">
      <c r="A763" s="88">
        <f t="shared" si="35"/>
        <v>755</v>
      </c>
      <c r="B763" s="89" t="str">
        <f>_xlfn.XLOOKUP(D763,Planilha!O:O,Planilha!C:C)</f>
        <v>02.04.01.01.15</v>
      </c>
      <c r="C763" s="90" t="str">
        <f>_xlfn.XLOOKUP($D763,Planilha!$O:$O,Planilha!F:F)</f>
        <v>JUNÇÃO SIMPLES, PVC, SERIE R, ÁGUA PLUVIAL, DN 100 X 100 MM, JUNTA ELÁSTICA, FORNECIDO E INSTALADO EM CONDUTORES VERTICAIS DE ÁGUAS PLUVIAIS. AF_12/2014</v>
      </c>
      <c r="D763" s="91">
        <f>LARGE(Planilha!$O:$O,$A763)</f>
        <v>201.52</v>
      </c>
      <c r="E763" s="92">
        <f t="shared" si="33"/>
        <v>1.4478458351974913E-5</v>
      </c>
      <c r="F763" s="93">
        <f t="shared" si="34"/>
        <v>0.99877458874940295</v>
      </c>
    </row>
    <row r="764" spans="1:6" ht="50.4" x14ac:dyDescent="0.3">
      <c r="A764" s="88">
        <f t="shared" si="35"/>
        <v>756</v>
      </c>
      <c r="B764" s="89" t="str">
        <f>_xlfn.XLOOKUP(D764,Planilha!O:O,Planilha!C:C)</f>
        <v>02.04.01.01.20</v>
      </c>
      <c r="C764" s="90" t="str">
        <f>_xlfn.XLOOKUP($D764,Planilha!$O:$O,Planilha!F:F)</f>
        <v>LUVA SIMPLES, PVC, SERIE R, ÁGUA PLUVIAL, DN 75 MM, JUNTA ELÁSTICA, FORNECIDO E INSTALADO EM CONDUTORES VERTICAIS DE ÁGUAS PLUVIAIS. AF_12/2014</v>
      </c>
      <c r="D764" s="91">
        <f>LARGE(Planilha!$O:$O,$A764)</f>
        <v>201.46</v>
      </c>
      <c r="E764" s="92">
        <f t="shared" si="33"/>
        <v>1.4474147576363963E-5</v>
      </c>
      <c r="F764" s="93">
        <f t="shared" si="34"/>
        <v>0.99878906289697933</v>
      </c>
    </row>
    <row r="765" spans="1:6" ht="33.6" x14ac:dyDescent="0.3">
      <c r="A765" s="88">
        <f t="shared" si="35"/>
        <v>757</v>
      </c>
      <c r="B765" s="89" t="str">
        <f>_xlfn.XLOOKUP(D765,Planilha!O:O,Planilha!C:C)</f>
        <v>02.03.10.01.05</v>
      </c>
      <c r="C765" s="90" t="str">
        <f>_xlfn.XLOOKUP($D765,Planilha!$O:$O,Planilha!F:F)</f>
        <v>ISOLADOR GALVANIZADO PARA MASTRO DE DIÂMETRO 2´, REFORÇADO COM 2 DESCIDAS</v>
      </c>
      <c r="D765" s="91">
        <f>LARGE(Planilha!$O:$O,$A765)</f>
        <v>201.12</v>
      </c>
      <c r="E765" s="92">
        <f t="shared" si="33"/>
        <v>1.4449719847901917E-5</v>
      </c>
      <c r="F765" s="93">
        <f t="shared" si="34"/>
        <v>0.9988035126168272</v>
      </c>
    </row>
    <row r="766" spans="1:6" ht="67.2" x14ac:dyDescent="0.3">
      <c r="A766" s="88">
        <f t="shared" si="35"/>
        <v>758</v>
      </c>
      <c r="B766" s="89" t="str">
        <f>_xlfn.XLOOKUP(D766,Planilha!O:O,Planilha!C:C)</f>
        <v>02.03.07.03</v>
      </c>
      <c r="C766" s="90" t="str">
        <f>_xlfn.XLOOKUP($D766,Planilha!$O:$O,Planilha!F:F)</f>
        <v>CURVA 90 GRAUS, CPVC, SOLDÁVEL, DN 28 MM, INSTALADO EM RESERVAÇÃO DE ÁGUA DE EDIFICAÇÃO QUE POSSUA RESERVATÓRIO DE FIBRA/FIBROCIMENTO  FORNECIMENTO E INSTALAÇÃO. AF_06/2016</v>
      </c>
      <c r="D766" s="91">
        <f>LARGE(Planilha!$O:$O,$A766)</f>
        <v>201.04</v>
      </c>
      <c r="E766" s="92">
        <f t="shared" si="33"/>
        <v>1.4443972147087316E-5</v>
      </c>
      <c r="F766" s="93">
        <f t="shared" si="34"/>
        <v>0.99881795658897432</v>
      </c>
    </row>
    <row r="767" spans="1:6" ht="33.6" x14ac:dyDescent="0.3">
      <c r="A767" s="88">
        <f t="shared" si="35"/>
        <v>759</v>
      </c>
      <c r="B767" s="89" t="str">
        <f>_xlfn.XLOOKUP(D767,Planilha!O:O,Planilha!C:C)</f>
        <v>02.03.11.09.08</v>
      </c>
      <c r="C767" s="90" t="str">
        <f>_xlfn.XLOOKUP($D767,Planilha!$O:$O,Planilha!F:F)</f>
        <v>DISJUNTOR BIPOLAR TIPO DIN, CORRENTE NOMINAL DE 40A - FORNECIMENTO E INSTALAÇÃO. AF_10/2020</v>
      </c>
      <c r="D767" s="91">
        <f>LARGE(Planilha!$O:$O,$A767)</f>
        <v>199.32</v>
      </c>
      <c r="E767" s="92">
        <f t="shared" si="33"/>
        <v>1.4320396579573438E-5</v>
      </c>
      <c r="F767" s="93">
        <f t="shared" si="34"/>
        <v>0.99883227698555388</v>
      </c>
    </row>
    <row r="768" spans="1:6" ht="33.6" x14ac:dyDescent="0.3">
      <c r="A768" s="88">
        <f t="shared" si="35"/>
        <v>760</v>
      </c>
      <c r="B768" s="89" t="str">
        <f>_xlfn.XLOOKUP(D768,Planilha!O:O,Planilha!C:C)</f>
        <v>02.03.11.09.08</v>
      </c>
      <c r="C768" s="90" t="str">
        <f>_xlfn.XLOOKUP($D768,Planilha!$O:$O,Planilha!F:F)</f>
        <v>DISJUNTOR BIPOLAR TIPO DIN, CORRENTE NOMINAL DE 40A - FORNECIMENTO E INSTALAÇÃO. AF_10/2020</v>
      </c>
      <c r="D768" s="91">
        <f>LARGE(Planilha!$O:$O,$A768)</f>
        <v>199.32</v>
      </c>
      <c r="E768" s="92">
        <f t="shared" si="33"/>
        <v>1.4320396579573438E-5</v>
      </c>
      <c r="F768" s="93">
        <f t="shared" si="34"/>
        <v>0.99884659738213344</v>
      </c>
    </row>
    <row r="769" spans="1:6" x14ac:dyDescent="0.3">
      <c r="A769" s="88">
        <f t="shared" si="35"/>
        <v>761</v>
      </c>
      <c r="B769" s="89" t="str">
        <f>_xlfn.XLOOKUP(D769,Planilha!O:O,Planilha!C:C)</f>
        <v>02.03.03.03.30</v>
      </c>
      <c r="C769" s="90" t="str">
        <f>_xlfn.XLOOKUP($D769,Planilha!$O:$O,Planilha!F:F)</f>
        <v>SAIDA HORIZONTAL PARA ELETRODUTO 1""</v>
      </c>
      <c r="D769" s="91">
        <f>LARGE(Planilha!$O:$O,$A769)</f>
        <v>192.78</v>
      </c>
      <c r="E769" s="92">
        <f t="shared" si="33"/>
        <v>1.3850522037979969E-5</v>
      </c>
      <c r="F769" s="93">
        <f t="shared" si="34"/>
        <v>0.99886044790417139</v>
      </c>
    </row>
    <row r="770" spans="1:6" ht="50.4" x14ac:dyDescent="0.3">
      <c r="A770" s="88">
        <f t="shared" si="35"/>
        <v>762</v>
      </c>
      <c r="B770" s="89" t="str">
        <f>_xlfn.XLOOKUP(D770,Planilha!O:O,Planilha!C:C)</f>
        <v>02.03.08.03</v>
      </c>
      <c r="C770" s="90" t="str">
        <f>_xlfn.XLOOKUP($D770,Planilha!$O:$O,Planilha!F:F)</f>
        <v>ELETRODUTO FLEXÍVEL CORRUGADO REFORÇADO, PVC, DN 25 MM (3/4"), PARA CIRCUITOS TERMINAIS, INSTALADO EM FORRO - FORNECIMENTO E INSTALAÇÃO. AF_12/2015</v>
      </c>
      <c r="D770" s="91">
        <f>LARGE(Planilha!$O:$O,$A770)</f>
        <v>191.28</v>
      </c>
      <c r="E770" s="92">
        <f t="shared" si="33"/>
        <v>1.3742752647706237E-5</v>
      </c>
      <c r="F770" s="93">
        <f t="shared" si="34"/>
        <v>0.99887419065681915</v>
      </c>
    </row>
    <row r="771" spans="1:6" ht="33.6" x14ac:dyDescent="0.3">
      <c r="A771" s="88">
        <f t="shared" si="35"/>
        <v>763</v>
      </c>
      <c r="B771" s="89" t="str">
        <f>_xlfn.XLOOKUP(D771,Planilha!O:O,Planilha!C:C)</f>
        <v>02.04.02.02.07</v>
      </c>
      <c r="C771" s="90" t="str">
        <f>_xlfn.XLOOKUP($D771,Planilha!$O:$O,Planilha!F:F)</f>
        <v>FORNECIMENTO E ASSENTAMENTO DE UNIÃO DE FERRO GALVANIZADO ASSENTO BRONZE DE 1 1/4"</v>
      </c>
      <c r="D771" s="91">
        <f>LARGE(Planilha!$O:$O,$A771)</f>
        <v>187.72</v>
      </c>
      <c r="E771" s="92">
        <f t="shared" si="33"/>
        <v>1.3486979961456582E-5</v>
      </c>
      <c r="F771" s="93">
        <f t="shared" si="34"/>
        <v>0.99888767763678066</v>
      </c>
    </row>
    <row r="772" spans="1:6" ht="50.4" x14ac:dyDescent="0.3">
      <c r="A772" s="88">
        <f t="shared" si="35"/>
        <v>764</v>
      </c>
      <c r="B772" s="89" t="str">
        <f>_xlfn.XLOOKUP(D772,Planilha!O:O,Planilha!C:C)</f>
        <v>02.03.08.05</v>
      </c>
      <c r="C772" s="90" t="str">
        <f>_xlfn.XLOOKUP($D772,Planilha!$O:$O,Planilha!F:F)</f>
        <v>CURVA 90 GRAUS, EM AÇO, CONEXÃO SOLDADA, DN 20 (3/4"), INSTALADO EM RAMAIS E SUB-RAMAIS DE GÁS - FORNECIMENTO E INSTALAÇÃO. AF_10/2020</v>
      </c>
      <c r="D772" s="91">
        <f>LARGE(Planilha!$O:$O,$A772)</f>
        <v>187.5</v>
      </c>
      <c r="E772" s="92">
        <f t="shared" si="33"/>
        <v>1.3471173784216435E-5</v>
      </c>
      <c r="F772" s="93">
        <f t="shared" si="34"/>
        <v>0.99890114881056491</v>
      </c>
    </row>
    <row r="773" spans="1:6" ht="50.4" x14ac:dyDescent="0.3">
      <c r="A773" s="88">
        <f t="shared" si="35"/>
        <v>765</v>
      </c>
      <c r="B773" s="89" t="str">
        <f>_xlfn.XLOOKUP(D773,Planilha!O:O,Planilha!C:C)</f>
        <v>02.02.14.10</v>
      </c>
      <c r="C773" s="90" t="str">
        <f>_xlfn.XLOOKUP($D773,Planilha!$O:$O,Planilha!F:F)</f>
        <v>BARRA DE APOIO LATERAL PARA LAVATÓRIO, PARA PESSOAS COM MOBILIDADE REDUZIDA, EM TUBO DE AÇO INOXIDÁVEL DE 1.1/4", COMPRIMENTO 25 A 30 CM</v>
      </c>
      <c r="D773" s="91">
        <f>LARGE(Planilha!$O:$O,$A773)</f>
        <v>187.42</v>
      </c>
      <c r="E773" s="92">
        <f t="shared" si="33"/>
        <v>1.3465426083401835E-5</v>
      </c>
      <c r="F773" s="93">
        <f t="shared" si="34"/>
        <v>0.99891461423664829</v>
      </c>
    </row>
    <row r="774" spans="1:6" ht="50.4" x14ac:dyDescent="0.3">
      <c r="A774" s="88">
        <f t="shared" si="35"/>
        <v>766</v>
      </c>
      <c r="B774" s="89" t="str">
        <f>_xlfn.XLOOKUP(D774,Planilha!O:O,Planilha!C:C)</f>
        <v>02.04.02.01.16</v>
      </c>
      <c r="C774" s="90" t="str">
        <f>_xlfn.XLOOKUP($D774,Planilha!$O:$O,Planilha!F:F)</f>
        <v>TE, PVC, SOLDÁVEL, DN 25MM, INSTALADO EM RAMAL DE DISTRIBUIÇÃO DE ÁGUA - FORNECIMENTO E INSTALAÇÃO. AF_12/2014</v>
      </c>
      <c r="D774" s="91">
        <f>LARGE(Planilha!$O:$O,$A774)</f>
        <v>182.93</v>
      </c>
      <c r="E774" s="92">
        <f t="shared" si="33"/>
        <v>1.3142836375182467E-5</v>
      </c>
      <c r="F774" s="93">
        <f t="shared" si="34"/>
        <v>0.9989277570730235</v>
      </c>
    </row>
    <row r="775" spans="1:6" x14ac:dyDescent="0.3">
      <c r="A775" s="88">
        <f t="shared" si="35"/>
        <v>767</v>
      </c>
      <c r="B775" s="89" t="str">
        <f>_xlfn.XLOOKUP(D775,Planilha!O:O,Planilha!C:C)</f>
        <v>02.04.02.01.26</v>
      </c>
      <c r="C775" s="90" t="str">
        <f>_xlfn.XLOOKUP($D775,Planilha!$O:$O,Planilha!F:F)</f>
        <v>TE DE REDUCAO 90 PVC SOLDAVEL 60 X 50MM</v>
      </c>
      <c r="D775" s="91">
        <f>LARGE(Planilha!$O:$O,$A775)</f>
        <v>182.55</v>
      </c>
      <c r="E775" s="92">
        <f t="shared" si="33"/>
        <v>1.3115534796313122E-5</v>
      </c>
      <c r="F775" s="93">
        <f t="shared" si="34"/>
        <v>0.99894087260781983</v>
      </c>
    </row>
    <row r="776" spans="1:6" x14ac:dyDescent="0.3">
      <c r="A776" s="88">
        <f t="shared" si="35"/>
        <v>768</v>
      </c>
      <c r="B776" s="89" t="str">
        <f>_xlfn.XLOOKUP(D776,Planilha!O:O,Planilha!C:C)</f>
        <v>02.03.11.15.16</v>
      </c>
      <c r="C776" s="90" t="str">
        <f>_xlfn.XLOOKUP($D776,Planilha!$O:$O,Planilha!F:F)</f>
        <v>TERMINAL DE PRESSÃO/COMPRESSÃO PARA CABO DE 120 MM²</v>
      </c>
      <c r="D776" s="91">
        <f>LARGE(Planilha!$O:$O,$A776)</f>
        <v>177.04</v>
      </c>
      <c r="E776" s="92">
        <f t="shared" si="33"/>
        <v>1.2719661902707613E-5</v>
      </c>
      <c r="F776" s="93">
        <f t="shared" si="34"/>
        <v>0.99895359226972258</v>
      </c>
    </row>
    <row r="777" spans="1:6" ht="67.2" x14ac:dyDescent="0.3">
      <c r="A777" s="88">
        <f t="shared" si="35"/>
        <v>769</v>
      </c>
      <c r="B777" s="89" t="str">
        <f>_xlfn.XLOOKUP(D777,Planilha!O:O,Planilha!C:C)</f>
        <v>02.04.02.01.34</v>
      </c>
      <c r="C777" s="90" t="str">
        <f>_xlfn.XLOOKUP($D777,Planilha!$O:$O,Planilha!F:F)</f>
        <v>ADAPTADOR COM FLANGES LIVRES, PVC, SOLDÁVEL LONGO, DN 50 MM X 1 1/2 , INSTALADO EM RESERVAÇÃO DE ÁGUA DE EDIFICAÇÃO QUE POSSUA RESERVATÓRIO DE FIBRA/FIBROCIMENTO   FORNECIMENTO E INSTALAÇÃO. AF_06/2016</v>
      </c>
      <c r="D777" s="91">
        <f>LARGE(Planilha!$O:$O,$A777)</f>
        <v>175.14</v>
      </c>
      <c r="E777" s="92">
        <f t="shared" ref="E777:E840" si="36">D777/$D$933</f>
        <v>1.2583154008360887E-5</v>
      </c>
      <c r="F777" s="93">
        <f t="shared" ref="F777:F840" si="37">+E777+F776</f>
        <v>0.9989661754237309</v>
      </c>
    </row>
    <row r="778" spans="1:6" ht="50.4" x14ac:dyDescent="0.3">
      <c r="A778" s="88">
        <f t="shared" si="35"/>
        <v>770</v>
      </c>
      <c r="B778" s="89" t="str">
        <f>_xlfn.XLOOKUP(D778,Planilha!O:O,Planilha!C:C)</f>
        <v>02.05.01.05</v>
      </c>
      <c r="C778" s="90" t="str">
        <f>_xlfn.XLOOKUP($D778,Planilha!$O:$O,Planilha!F:F)</f>
        <v>LUVA EM COBRE, DN 15 MM, SEM ANEL DE SOLDA, INSTALADO EM RAMAL DE DISTRIBUIÇÃO DE HIDRÁULICA PREDIAL - FORNECIMENTO E INSTALAÇÃO. AF_04/2022</v>
      </c>
      <c r="D778" s="91">
        <f>LARGE(Planilha!$O:$O,$A778)</f>
        <v>171</v>
      </c>
      <c r="E778" s="92">
        <f t="shared" si="36"/>
        <v>1.2285710491205388E-5</v>
      </c>
      <c r="F778" s="93">
        <f t="shared" si="37"/>
        <v>0.99897846113422206</v>
      </c>
    </row>
    <row r="779" spans="1:6" ht="50.4" x14ac:dyDescent="0.3">
      <c r="A779" s="88">
        <f t="shared" ref="A779:A829" si="38">+A778+1</f>
        <v>771</v>
      </c>
      <c r="B779" s="89" t="str">
        <f>_xlfn.XLOOKUP(D779,Planilha!O:O,Planilha!C:C)</f>
        <v>02.04.03.02.02</v>
      </c>
      <c r="C779" s="90" t="str">
        <f>_xlfn.XLOOKUP($D779,Planilha!$O:$O,Planilha!F:F)</f>
        <v>BUCHA DE REDUÇÃO, PPR, 40 X 25, CLASSE PN 25, INSTALADO EM RAMAL DE DISTRIBUIÇÃO DE ÁGUA  FORNECIMENTO E INSTALAÇÃO . AF_06/2015</v>
      </c>
      <c r="D779" s="91">
        <f>LARGE(Planilha!$O:$O,$A779)</f>
        <v>167.6</v>
      </c>
      <c r="E779" s="92">
        <f t="shared" si="36"/>
        <v>1.204143320658493E-5</v>
      </c>
      <c r="F779" s="93">
        <f t="shared" si="37"/>
        <v>0.99899050256742861</v>
      </c>
    </row>
    <row r="780" spans="1:6" ht="33.6" x14ac:dyDescent="0.3">
      <c r="A780" s="88">
        <f t="shared" si="38"/>
        <v>772</v>
      </c>
      <c r="B780" s="89" t="str">
        <f>_xlfn.XLOOKUP(D780,Planilha!O:O,Planilha!C:C)</f>
        <v>02.04.03.07.02</v>
      </c>
      <c r="C780" s="90" t="str">
        <f>_xlfn.XLOOKUP($D780,Planilha!$O:$O,Planilha!F:F)</f>
        <v>REATERRO MANUAL DE VALAS COM COMPACTAÇÃO MECANIZADA. AF_04/2016</v>
      </c>
      <c r="D780" s="91">
        <f>LARGE(Planilha!$O:$O,$A780)</f>
        <v>166.19</v>
      </c>
      <c r="E780" s="92">
        <f t="shared" si="36"/>
        <v>1.1940129979727623E-5</v>
      </c>
      <c r="F780" s="93">
        <f t="shared" si="37"/>
        <v>0.99900244269740834</v>
      </c>
    </row>
    <row r="781" spans="1:6" ht="50.4" x14ac:dyDescent="0.3">
      <c r="A781" s="88">
        <f t="shared" si="38"/>
        <v>773</v>
      </c>
      <c r="B781" s="89" t="str">
        <f>_xlfn.XLOOKUP(D781,Planilha!O:O,Planilha!C:C)</f>
        <v>02.04.02.01.30</v>
      </c>
      <c r="C781" s="90" t="str">
        <f>_xlfn.XLOOKUP($D781,Planilha!$O:$O,Planilha!F:F)</f>
        <v>ADAPTADOR CURTO COM BOLSA E ROSCA PARA REGISTRO, PVC, SOLDÁVEL, DN 50MM X 1.1/2, INSTALADO EM PRUMADA DE ÁGUA - FORNECIMENTO E INSTALAÇÃO. AF_12/2014</v>
      </c>
      <c r="D781" s="91">
        <f>LARGE(Planilha!$O:$O,$A781)</f>
        <v>164.19</v>
      </c>
      <c r="E781" s="92">
        <f t="shared" si="36"/>
        <v>1.1796437459362648E-5</v>
      </c>
      <c r="F781" s="93">
        <f t="shared" si="37"/>
        <v>0.99901423913486775</v>
      </c>
    </row>
    <row r="782" spans="1:6" ht="33.6" x14ac:dyDescent="0.3">
      <c r="A782" s="88">
        <f t="shared" si="38"/>
        <v>774</v>
      </c>
      <c r="B782" s="89" t="str">
        <f>_xlfn.XLOOKUP(D782,Planilha!O:O,Planilha!C:C)</f>
        <v>02.03.11.07.07</v>
      </c>
      <c r="C782" s="90" t="str">
        <f>_xlfn.XLOOKUP($D782,Planilha!$O:$O,Planilha!F:F)</f>
        <v>DISJUNTOR BIPOLAR TIPO DIN, CORRENTE NOMINAL DE 20A - FORNECIMENTO E INSTALAÇÃO. AF_10/2020</v>
      </c>
      <c r="D782" s="91">
        <f>LARGE(Planilha!$O:$O,$A782)</f>
        <v>162.27000000000001</v>
      </c>
      <c r="E782" s="92">
        <f t="shared" si="36"/>
        <v>1.1658492639812273E-5</v>
      </c>
      <c r="F782" s="93">
        <f t="shared" si="37"/>
        <v>0.9990258976275076</v>
      </c>
    </row>
    <row r="783" spans="1:6" ht="33.6" x14ac:dyDescent="0.3">
      <c r="A783" s="88">
        <f t="shared" si="38"/>
        <v>775</v>
      </c>
      <c r="B783" s="89" t="str">
        <f>_xlfn.XLOOKUP(D783,Planilha!O:O,Planilha!C:C)</f>
        <v>02.03.11.07.07</v>
      </c>
      <c r="C783" s="90" t="str">
        <f>_xlfn.XLOOKUP($D783,Planilha!$O:$O,Planilha!F:F)</f>
        <v>DISJUNTOR BIPOLAR TIPO DIN, CORRENTE NOMINAL DE 20A - FORNECIMENTO E INSTALAÇÃO. AF_10/2020</v>
      </c>
      <c r="D783" s="91">
        <f>LARGE(Planilha!$O:$O,$A783)</f>
        <v>162.27000000000001</v>
      </c>
      <c r="E783" s="92">
        <f t="shared" si="36"/>
        <v>1.1658492639812273E-5</v>
      </c>
      <c r="F783" s="93">
        <f t="shared" si="37"/>
        <v>0.99903755612014744</v>
      </c>
    </row>
    <row r="784" spans="1:6" ht="33.6" x14ac:dyDescent="0.3">
      <c r="A784" s="88">
        <f t="shared" si="38"/>
        <v>776</v>
      </c>
      <c r="B784" s="89" t="str">
        <f>_xlfn.XLOOKUP(D784,Planilha!O:O,Planilha!C:C)</f>
        <v>02.03.11.13.15</v>
      </c>
      <c r="C784" s="90" t="str">
        <f>_xlfn.XLOOKUP($D784,Planilha!$O:$O,Planilha!F:F)</f>
        <v>BOTOEIRA LIGA-DESLIGA PARA BOMBA DE INCÊNDIO MODELO BLD-1, MARCA VERIN  OU SIMILAR</v>
      </c>
      <c r="D784" s="91">
        <f>LARGE(Planilha!$O:$O,$A784)</f>
        <v>160.63999999999999</v>
      </c>
      <c r="E784" s="92">
        <f t="shared" si="36"/>
        <v>1.1541383235714815E-5</v>
      </c>
      <c r="F784" s="93">
        <f t="shared" si="37"/>
        <v>0.99904909750338311</v>
      </c>
    </row>
    <row r="785" spans="1:6" ht="33.6" x14ac:dyDescent="0.3">
      <c r="A785" s="88">
        <f t="shared" si="38"/>
        <v>777</v>
      </c>
      <c r="B785" s="89" t="str">
        <f>_xlfn.XLOOKUP(D785,Planilha!O:O,Planilha!C:C)</f>
        <v>02.03.11.13.15</v>
      </c>
      <c r="C785" s="90" t="str">
        <f>_xlfn.XLOOKUP($D785,Planilha!$O:$O,Planilha!F:F)</f>
        <v>BOTOEIRA LIGA-DESLIGA PARA BOMBA DE INCÊNDIO MODELO BLD-1, MARCA VERIN  OU SIMILAR</v>
      </c>
      <c r="D785" s="91">
        <f>LARGE(Planilha!$O:$O,$A785)</f>
        <v>160.63999999999999</v>
      </c>
      <c r="E785" s="92">
        <f t="shared" si="36"/>
        <v>1.1541383235714815E-5</v>
      </c>
      <c r="F785" s="93">
        <f t="shared" si="37"/>
        <v>0.99906063888661878</v>
      </c>
    </row>
    <row r="786" spans="1:6" ht="33.6" x14ac:dyDescent="0.3">
      <c r="A786" s="88">
        <f t="shared" si="38"/>
        <v>778</v>
      </c>
      <c r="B786" s="89" t="str">
        <f>_xlfn.XLOOKUP(D786,Planilha!O:O,Planilha!C:C)</f>
        <v>02.03.11.03.10</v>
      </c>
      <c r="C786" s="90" t="str">
        <f>_xlfn.XLOOKUP($D786,Planilha!$O:$O,Planilha!F:F)</f>
        <v>DISJUNTOR TRIPOLAR TIPO NEMA, CORRENTE NOMINAL DE 60 ATÉ 100A - FORNECIMENTO E INSTALAÇÃO. AF_10/2020</v>
      </c>
      <c r="D786" s="91">
        <f>LARGE(Planilha!$O:$O,$A786)</f>
        <v>158.59</v>
      </c>
      <c r="E786" s="92">
        <f t="shared" si="36"/>
        <v>1.1394098402340717E-5</v>
      </c>
      <c r="F786" s="93">
        <f t="shared" si="37"/>
        <v>0.99907203298502112</v>
      </c>
    </row>
    <row r="787" spans="1:6" ht="33.6" x14ac:dyDescent="0.3">
      <c r="A787" s="88">
        <f t="shared" si="38"/>
        <v>779</v>
      </c>
      <c r="B787" s="89" t="str">
        <f>_xlfn.XLOOKUP(D787,Planilha!O:O,Planilha!C:C)</f>
        <v>02.03.11.03.10</v>
      </c>
      <c r="C787" s="90" t="str">
        <f>_xlfn.XLOOKUP($D787,Planilha!$O:$O,Planilha!F:F)</f>
        <v>DISJUNTOR TRIPOLAR TIPO NEMA, CORRENTE NOMINAL DE 60 ATÉ 100A - FORNECIMENTO E INSTALAÇÃO. AF_10/2020</v>
      </c>
      <c r="D787" s="91">
        <f>LARGE(Planilha!$O:$O,$A787)</f>
        <v>158.59</v>
      </c>
      <c r="E787" s="92">
        <f t="shared" si="36"/>
        <v>1.1394098402340717E-5</v>
      </c>
      <c r="F787" s="93">
        <f t="shared" si="37"/>
        <v>0.99908342708342346</v>
      </c>
    </row>
    <row r="788" spans="1:6" ht="33.6" x14ac:dyDescent="0.3">
      <c r="A788" s="88">
        <f t="shared" si="38"/>
        <v>780</v>
      </c>
      <c r="B788" s="89" t="str">
        <f>_xlfn.XLOOKUP(D788,Planilha!O:O,Planilha!C:C)</f>
        <v>02.04.02.01.14</v>
      </c>
      <c r="C788" s="90" t="str">
        <f>_xlfn.XLOOKUP($D788,Planilha!$O:$O,Planilha!F:F)</f>
        <v>JOELHO DE REDUÇÃO 90º DE PVC RÍGIDO SOLDÁVEL, MARROM  DIÂM = 25 X 20MM</v>
      </c>
      <c r="D788" s="91">
        <f>LARGE(Planilha!$O:$O,$A788)</f>
        <v>156.80000000000001</v>
      </c>
      <c r="E788" s="92">
        <f t="shared" si="36"/>
        <v>1.1265493596614065E-5</v>
      </c>
      <c r="F788" s="93">
        <f t="shared" si="37"/>
        <v>0.9990946925770201</v>
      </c>
    </row>
    <row r="789" spans="1:6" ht="50.4" x14ac:dyDescent="0.3">
      <c r="A789" s="88">
        <f t="shared" si="38"/>
        <v>781</v>
      </c>
      <c r="B789" s="89" t="str">
        <f>_xlfn.XLOOKUP(D789,Planilha!O:O,Planilha!C:C)</f>
        <v>02.05.01.14</v>
      </c>
      <c r="C789" s="90" t="str">
        <f>_xlfn.XLOOKUP($D789,Planilha!$O:$O,Planilha!F:F)</f>
        <v>TE EM COBRE, DN 35 MM, SEM ANEL DE SOLDA, INSTALADO EM PRUMADA DE HIDRÁULICA PREDIAL - FORNECIMENTO E INSTALAÇÃO. AF_04/2022</v>
      </c>
      <c r="D789" s="91">
        <f>LARGE(Planilha!$O:$O,$A789)</f>
        <v>156.62</v>
      </c>
      <c r="E789" s="92">
        <f t="shared" si="36"/>
        <v>1.1252561269781216E-5</v>
      </c>
      <c r="F789" s="93">
        <f t="shared" si="37"/>
        <v>0.99910594513828987</v>
      </c>
    </row>
    <row r="790" spans="1:6" ht="33.6" x14ac:dyDescent="0.3">
      <c r="A790" s="88">
        <f t="shared" si="38"/>
        <v>782</v>
      </c>
      <c r="B790" s="89" t="str">
        <f>_xlfn.XLOOKUP(D790,Planilha!O:O,Planilha!C:C)</f>
        <v>02.03.11.10.04</v>
      </c>
      <c r="C790" s="90" t="str">
        <f>_xlfn.XLOOKUP($D790,Planilha!$O:$O,Planilha!F:F)</f>
        <v>DISJUNTOR BIPOLAR TIPO DIN, CORRENTE NOMINAL DE 16A - FORNECIMENTO E INSTALAÇÃO. AF_10/2020</v>
      </c>
      <c r="D790" s="91">
        <f>LARGE(Planilha!$O:$O,$A790)</f>
        <v>155.19</v>
      </c>
      <c r="E790" s="92">
        <f t="shared" si="36"/>
        <v>1.1149821117720258E-5</v>
      </c>
      <c r="F790" s="93">
        <f t="shared" si="37"/>
        <v>0.99911709495940759</v>
      </c>
    </row>
    <row r="791" spans="1:6" x14ac:dyDescent="0.3">
      <c r="A791" s="88">
        <f t="shared" si="38"/>
        <v>783</v>
      </c>
      <c r="B791" s="89" t="str">
        <f>_xlfn.XLOOKUP(D791,Planilha!O:O,Planilha!C:C)</f>
        <v>02.02.14.20</v>
      </c>
      <c r="C791" s="90" t="str">
        <f>_xlfn.XLOOKUP($D791,Planilha!$O:$O,Planilha!F:F)</f>
        <v>SIFÃO DE METAL CROMADO DE 1 1/2´ X 2´</v>
      </c>
      <c r="D791" s="91">
        <f>LARGE(Planilha!$O:$O,$A791)</f>
        <v>152.47999999999999</v>
      </c>
      <c r="E791" s="92">
        <f t="shared" si="36"/>
        <v>1.0955117752625717E-5</v>
      </c>
      <c r="F791" s="93">
        <f t="shared" si="37"/>
        <v>0.99912805007716021</v>
      </c>
    </row>
    <row r="792" spans="1:6" x14ac:dyDescent="0.3">
      <c r="A792" s="88">
        <f t="shared" si="38"/>
        <v>784</v>
      </c>
      <c r="B792" s="89" t="str">
        <f>_xlfn.XLOOKUP(D792,Planilha!O:O,Planilha!C:C)</f>
        <v>02.03.03.04.42</v>
      </c>
      <c r="C792" s="90" t="str">
        <f>_xlfn.XLOOKUP($D792,Planilha!$O:$O,Planilha!F:F)</f>
        <v>CAP DE PVC RÍGIDO SOLDAVEL P/ ESGOTO, DIÂM =100MM</v>
      </c>
      <c r="D792" s="91">
        <f>LARGE(Planilha!$O:$O,$A792)</f>
        <v>152.4</v>
      </c>
      <c r="E792" s="92">
        <f t="shared" si="36"/>
        <v>1.0949370051811118E-5</v>
      </c>
      <c r="F792" s="93">
        <f t="shared" si="37"/>
        <v>0.99913899944721207</v>
      </c>
    </row>
    <row r="793" spans="1:6" ht="33.6" x14ac:dyDescent="0.3">
      <c r="A793" s="88">
        <f t="shared" si="38"/>
        <v>785</v>
      </c>
      <c r="B793" s="89" t="str">
        <f>_xlfn.XLOOKUP(D793,Planilha!O:O,Planilha!C:C)</f>
        <v>02.05.01.20</v>
      </c>
      <c r="C793" s="90" t="str">
        <f>_xlfn.XLOOKUP($D793,Planilha!$O:$O,Planilha!F:F)</f>
        <v>BUCHA DE REDUÇÃO DE COBRE, JUNTAS SOLDADAS, DIÂM = 28MM X 15MM</v>
      </c>
      <c r="D793" s="91">
        <f>LARGE(Planilha!$O:$O,$A793)</f>
        <v>152.24</v>
      </c>
      <c r="E793" s="92">
        <f t="shared" si="36"/>
        <v>1.0937874650181921E-5</v>
      </c>
      <c r="F793" s="93">
        <f t="shared" si="37"/>
        <v>0.9991499373218623</v>
      </c>
    </row>
    <row r="794" spans="1:6" x14ac:dyDescent="0.3">
      <c r="A794" s="88">
        <f t="shared" si="38"/>
        <v>786</v>
      </c>
      <c r="B794" s="89" t="str">
        <f>_xlfn.XLOOKUP(D794,Planilha!O:O,Planilha!C:C)</f>
        <v>02.03.11.14.18</v>
      </c>
      <c r="C794" s="90" t="str">
        <f>_xlfn.XLOOKUP($D794,Planilha!$O:$O,Planilha!F:F)</f>
        <v>PLACA DE 4´ X 4´</v>
      </c>
      <c r="D794" s="91">
        <f>LARGE(Planilha!$O:$O,$A794)</f>
        <v>149.5</v>
      </c>
      <c r="E794" s="92">
        <f t="shared" si="36"/>
        <v>1.0741015897281903E-5</v>
      </c>
      <c r="F794" s="93">
        <f t="shared" si="37"/>
        <v>0.99916067833775957</v>
      </c>
    </row>
    <row r="795" spans="1:6" ht="50.4" x14ac:dyDescent="0.3">
      <c r="A795" s="88">
        <f t="shared" si="38"/>
        <v>787</v>
      </c>
      <c r="B795" s="89" t="str">
        <f>_xlfn.XLOOKUP(D795,Planilha!O:O,Planilha!C:C)</f>
        <v>02.03.05.03</v>
      </c>
      <c r="C795" s="90" t="str">
        <f>_xlfn.XLOOKUP($D795,Planilha!$O:$O,Planilha!F:F)</f>
        <v>ELETRODUTO FLEXÍVEL CORRUGADO REFORÇADO, PVC, DN 25 MM (3/4"), PARA CIRCUITOS TERMINAIS, INSTALADO EM FORRO - FORNECIMENTO E INSTALAÇÃO. AF_12/2015</v>
      </c>
      <c r="D795" s="91">
        <f>LARGE(Planilha!$O:$O,$A795)</f>
        <v>143.46</v>
      </c>
      <c r="E795" s="92">
        <f t="shared" si="36"/>
        <v>1.0307064485779678E-5</v>
      </c>
      <c r="F795" s="93">
        <f t="shared" si="37"/>
        <v>0.99917098540224536</v>
      </c>
    </row>
    <row r="796" spans="1:6" ht="50.4" x14ac:dyDescent="0.3">
      <c r="A796" s="88">
        <f t="shared" si="38"/>
        <v>788</v>
      </c>
      <c r="B796" s="89" t="str">
        <f>_xlfn.XLOOKUP(D796,Planilha!O:O,Planilha!C:C)</f>
        <v>02.03.05.03</v>
      </c>
      <c r="C796" s="90" t="str">
        <f>_xlfn.XLOOKUP($D796,Planilha!$O:$O,Planilha!F:F)</f>
        <v>ELETRODUTO FLEXÍVEL CORRUGADO REFORÇADO, PVC, DN 25 MM (3/4"), PARA CIRCUITOS TERMINAIS, INSTALADO EM FORRO - FORNECIMENTO E INSTALAÇÃO. AF_12/2015</v>
      </c>
      <c r="D796" s="91">
        <f>LARGE(Planilha!$O:$O,$A796)</f>
        <v>143.46</v>
      </c>
      <c r="E796" s="92">
        <f t="shared" si="36"/>
        <v>1.0307064485779678E-5</v>
      </c>
      <c r="F796" s="93">
        <f t="shared" si="37"/>
        <v>0.99918129246673115</v>
      </c>
    </row>
    <row r="797" spans="1:6" x14ac:dyDescent="0.3">
      <c r="A797" s="88">
        <f t="shared" si="38"/>
        <v>789</v>
      </c>
      <c r="B797" s="89" t="str">
        <f>_xlfn.XLOOKUP(D797,Planilha!O:O,Planilha!C:C)</f>
        <v>02.03.09.27</v>
      </c>
      <c r="C797" s="90" t="str">
        <f>_xlfn.XLOOKUP($D797,Planilha!$O:$O,Planilha!F:F)</f>
        <v>CABO DE COBRE PP CORDPLAST 2 X 1,5 MM2, 450/750V</v>
      </c>
      <c r="D797" s="91">
        <f>LARGE(Planilha!$O:$O,$A797)</f>
        <v>143.1</v>
      </c>
      <c r="E797" s="92">
        <f t="shared" si="36"/>
        <v>1.0281199832113983E-5</v>
      </c>
      <c r="F797" s="93">
        <f t="shared" si="37"/>
        <v>0.9991915736665633</v>
      </c>
    </row>
    <row r="798" spans="1:6" ht="33.6" x14ac:dyDescent="0.3">
      <c r="A798" s="88">
        <f t="shared" si="38"/>
        <v>790</v>
      </c>
      <c r="B798" s="89" t="str">
        <f>_xlfn.XLOOKUP(D798,Planilha!O:O,Planilha!C:C)</f>
        <v>02.03.11.11.02</v>
      </c>
      <c r="C798" s="90" t="str">
        <f>_xlfn.XLOOKUP($D798,Planilha!$O:$O,Planilha!F:F)</f>
        <v>DISJUNTOR TRIPOLAR TIPO DIN, CORRENTE NOMINAL DE 20A - FORNECIMENTO E INSTALAÇÃO. AF_10/2020</v>
      </c>
      <c r="D798" s="91">
        <f>LARGE(Planilha!$O:$O,$A798)</f>
        <v>137.91999999999999</v>
      </c>
      <c r="E798" s="92">
        <f t="shared" si="36"/>
        <v>9.9090362043686956E-6</v>
      </c>
      <c r="F798" s="93">
        <f t="shared" si="37"/>
        <v>0.99920148270276765</v>
      </c>
    </row>
    <row r="799" spans="1:6" ht="33.6" x14ac:dyDescent="0.3">
      <c r="A799" s="88">
        <f t="shared" si="38"/>
        <v>791</v>
      </c>
      <c r="B799" s="89" t="str">
        <f>_xlfn.XLOOKUP(D799,Planilha!O:O,Planilha!C:C)</f>
        <v>02.01.07.05.12</v>
      </c>
      <c r="C799" s="90" t="str">
        <f>_xlfn.XLOOKUP($D799,Planilha!$O:$O,Planilha!F:F)</f>
        <v>LANÇAMENTO E ADENSAMENTO DE CONCRETO OU MASSA EM ESTRUTURA</v>
      </c>
      <c r="D799" s="91">
        <f>LARGE(Planilha!$O:$O,$A799)</f>
        <v>137.59</v>
      </c>
      <c r="E799" s="92">
        <f t="shared" si="36"/>
        <v>9.8853269385084766E-6</v>
      </c>
      <c r="F799" s="93">
        <f t="shared" si="37"/>
        <v>0.99921136802970612</v>
      </c>
    </row>
    <row r="800" spans="1:6" x14ac:dyDescent="0.3">
      <c r="A800" s="88">
        <f t="shared" si="38"/>
        <v>792</v>
      </c>
      <c r="B800" s="89" t="str">
        <f>_xlfn.XLOOKUP(D800,Planilha!O:O,Planilha!C:C)</f>
        <v>02.03.11.12.11</v>
      </c>
      <c r="C800" s="90" t="str">
        <f>_xlfn.XLOOKUP($D800,Planilha!$O:$O,Planilha!F:F)</f>
        <v>LÂMPADA DE SINALIZAÇÃO 220V, COR VERMELHA</v>
      </c>
      <c r="D800" s="91">
        <f>LARGE(Planilha!$O:$O,$A800)</f>
        <v>137.1</v>
      </c>
      <c r="E800" s="92">
        <f t="shared" si="36"/>
        <v>9.8501222710190565E-6</v>
      </c>
      <c r="F800" s="93">
        <f t="shared" si="37"/>
        <v>0.99922121815197718</v>
      </c>
    </row>
    <row r="801" spans="1:6" ht="33.6" x14ac:dyDescent="0.3">
      <c r="A801" s="88">
        <f t="shared" si="38"/>
        <v>793</v>
      </c>
      <c r="B801" s="89" t="str">
        <f>_xlfn.XLOOKUP(D801,Planilha!O:O,Planilha!C:C)</f>
        <v>02.04.03.04.01</v>
      </c>
      <c r="C801" s="90" t="str">
        <f>_xlfn.XLOOKUP($D801,Planilha!$O:$O,Planilha!F:F)</f>
        <v>JOELHO 87° 30´ EM FERRO FUNDIDO, LINHA PREDIAL TRADICIONAL, DN= 50 MM</v>
      </c>
      <c r="D801" s="91">
        <f>LARGE(Planilha!$O:$O,$A801)</f>
        <v>137</v>
      </c>
      <c r="E801" s="92">
        <f t="shared" si="36"/>
        <v>9.8429376450008084E-6</v>
      </c>
      <c r="F801" s="93">
        <f t="shared" si="37"/>
        <v>0.99923106108962223</v>
      </c>
    </row>
    <row r="802" spans="1:6" ht="50.4" x14ac:dyDescent="0.3">
      <c r="A802" s="88">
        <f t="shared" si="38"/>
        <v>794</v>
      </c>
      <c r="B802" s="89" t="str">
        <f>_xlfn.XLOOKUP(D802,Planilha!O:O,Planilha!C:C)</f>
        <v>02.04.03.01.19</v>
      </c>
      <c r="C802" s="90" t="str">
        <f>_xlfn.XLOOKUP($D802,Planilha!$O:$O,Planilha!F:F)</f>
        <v>JUNÇÃO SIMPLES, PVC, SERIE R, ÁGUA PLUVIAL, DN 75 X 75 MM, JUNTA ELÁSTICA, FORNECIDO E INSTALADO EM CONDUTORES VERTICAIS DE ÁGUAS PLUVIAIS. AF_12/2014</v>
      </c>
      <c r="D802" s="91">
        <f>LARGE(Planilha!$O:$O,$A802)</f>
        <v>136.41999999999999</v>
      </c>
      <c r="E802" s="92">
        <f t="shared" si="36"/>
        <v>9.801266814094964E-6</v>
      </c>
      <c r="F802" s="93">
        <f t="shared" si="37"/>
        <v>0.99924086235643628</v>
      </c>
    </row>
    <row r="803" spans="1:6" x14ac:dyDescent="0.3">
      <c r="A803" s="88">
        <f t="shared" si="38"/>
        <v>795</v>
      </c>
      <c r="B803" s="89" t="str">
        <f>_xlfn.XLOOKUP(D803,Planilha!O:O,Planilha!C:C)</f>
        <v>02.03.10.01.03</v>
      </c>
      <c r="C803" s="90" t="str">
        <f>_xlfn.XLOOKUP($D803,Planilha!$O:$O,Planilha!F:F)</f>
        <v>BASE PARA MASTRO DE DIÂMETRO 2´</v>
      </c>
      <c r="D803" s="91">
        <f>LARGE(Planilha!$O:$O,$A803)</f>
        <v>135.04</v>
      </c>
      <c r="E803" s="92">
        <f t="shared" si="36"/>
        <v>9.7021189750431315E-6</v>
      </c>
      <c r="F803" s="93">
        <f t="shared" si="37"/>
        <v>0.99925056447541127</v>
      </c>
    </row>
    <row r="804" spans="1:6" x14ac:dyDescent="0.3">
      <c r="A804" s="88">
        <f t="shared" si="38"/>
        <v>796</v>
      </c>
      <c r="B804" s="89" t="str">
        <f>_xlfn.XLOOKUP(D804,Planilha!O:O,Planilha!C:C)</f>
        <v>02.03.10.04.12</v>
      </c>
      <c r="C804" s="90" t="str">
        <f>_xlfn.XLOOKUP($D804,Planilha!$O:$O,Planilha!F:F)</f>
        <v>CONECTOR OLHAL CABO/HASTE DE 5/8´</v>
      </c>
      <c r="D804" s="91">
        <f>LARGE(Planilha!$O:$O,$A804)</f>
        <v>131.74</v>
      </c>
      <c r="E804" s="92">
        <f t="shared" si="36"/>
        <v>9.465026316440924E-6</v>
      </c>
      <c r="F804" s="93">
        <f t="shared" si="37"/>
        <v>0.99926002950172776</v>
      </c>
    </row>
    <row r="805" spans="1:6" ht="33.6" x14ac:dyDescent="0.3">
      <c r="A805" s="88">
        <f t="shared" si="38"/>
        <v>797</v>
      </c>
      <c r="B805" s="89" t="str">
        <f>_xlfn.XLOOKUP(D805,Planilha!O:O,Planilha!C:C)</f>
        <v>02.04.03.01.31</v>
      </c>
      <c r="C805" s="90" t="str">
        <f>_xlfn.XLOOKUP($D805,Planilha!$O:$O,Planilha!F:F)</f>
        <v>LUVA DE CORRER EM PVC RÍGIDO SOLDÁVEL, PARA ESGOTO SECUNDÁRIO, DIÂM = 40MM</v>
      </c>
      <c r="D805" s="91">
        <f>LARGE(Planilha!$O:$O,$A805)</f>
        <v>131.36000000000001</v>
      </c>
      <c r="E805" s="92">
        <f t="shared" si="36"/>
        <v>9.4377247375715792E-6</v>
      </c>
      <c r="F805" s="93">
        <f t="shared" si="37"/>
        <v>0.99926946722646537</v>
      </c>
    </row>
    <row r="806" spans="1:6" x14ac:dyDescent="0.3">
      <c r="A806" s="88">
        <f t="shared" si="38"/>
        <v>798</v>
      </c>
      <c r="B806" s="89" t="str">
        <f>_xlfn.XLOOKUP(D806,Planilha!O:O,Planilha!C:C)</f>
        <v>02.05.01.18</v>
      </c>
      <c r="C806" s="90" t="str">
        <f>_xlfn.XLOOKUP($D806,Planilha!$O:$O,Planilha!F:F)</f>
        <v>TE REDUCAO COBRE 35X22MM</v>
      </c>
      <c r="D806" s="91">
        <f>LARGE(Planilha!$O:$O,$A806)</f>
        <v>131.15</v>
      </c>
      <c r="E806" s="92">
        <f t="shared" si="36"/>
        <v>9.4226370229332559E-6</v>
      </c>
      <c r="F806" s="93">
        <f t="shared" si="37"/>
        <v>0.99927888986348834</v>
      </c>
    </row>
    <row r="807" spans="1:6" ht="50.4" x14ac:dyDescent="0.3">
      <c r="A807" s="88">
        <f t="shared" si="38"/>
        <v>799</v>
      </c>
      <c r="B807" s="89" t="str">
        <f>_xlfn.XLOOKUP(D807,Planilha!O:O,Planilha!C:C)</f>
        <v>02.04.02.02.05</v>
      </c>
      <c r="C807" s="90" t="str">
        <f>_xlfn.XLOOKUP($D807,Planilha!$O:$O,Planilha!F:F)</f>
        <v>CURVA EM COBRE, DN 35 MM, 45 GRAUS, SEM ANEL DE SOLDA, BOLSA X BOLSA, INSTALADO EM PRUMADA DE HIDRÁULICA PREDIAL -  FORNECIMENTO E INSTALAÇÃO. AF_04/2022</v>
      </c>
      <c r="D807" s="91">
        <f>LARGE(Planilha!$O:$O,$A807)</f>
        <v>129.16</v>
      </c>
      <c r="E807" s="92">
        <f t="shared" si="36"/>
        <v>9.2796629651701042E-6</v>
      </c>
      <c r="F807" s="93">
        <f t="shared" si="37"/>
        <v>0.9992881695264535</v>
      </c>
    </row>
    <row r="808" spans="1:6" ht="33.6" x14ac:dyDescent="0.3">
      <c r="A808" s="88">
        <f t="shared" si="38"/>
        <v>800</v>
      </c>
      <c r="B808" s="89" t="str">
        <f>_xlfn.XLOOKUP(D808,Planilha!O:O,Planilha!C:C)</f>
        <v>02.03.03.03.40</v>
      </c>
      <c r="C808" s="90" t="str">
        <f>_xlfn.XLOOKUP($D808,Planilha!$O:$O,Planilha!F:F)</f>
        <v>CAIXA DE PASSAGEM PARA ELETRICIDADE EM ALUMINIO, DIM: 50 X 50 X 15 CM</v>
      </c>
      <c r="D808" s="91">
        <f>LARGE(Planilha!$O:$O,$A808)</f>
        <v>128.91999999999999</v>
      </c>
      <c r="E808" s="92">
        <f t="shared" si="36"/>
        <v>9.2624198627263078E-6</v>
      </c>
      <c r="F808" s="93">
        <f t="shared" si="37"/>
        <v>0.99929743194631626</v>
      </c>
    </row>
    <row r="809" spans="1:6" ht="33.6" x14ac:dyDescent="0.3">
      <c r="A809" s="88">
        <f t="shared" si="38"/>
        <v>801</v>
      </c>
      <c r="B809" s="89" t="str">
        <f>_xlfn.XLOOKUP(D809,Planilha!O:O,Planilha!C:C)</f>
        <v>02.03.09.03</v>
      </c>
      <c r="C809" s="90" t="str">
        <f>_xlfn.XLOOKUP($D809,Planilha!$O:$O,Planilha!F:F)</f>
        <v>CONECTOR RETO BITOLA 3/4" FERRO GALV OU ALUMINIO PARA ADAPTACAO DE ENTRADAS</v>
      </c>
      <c r="D809" s="91">
        <f>LARGE(Planilha!$O:$O,$A809)</f>
        <v>128.47999999999999</v>
      </c>
      <c r="E809" s="92">
        <f t="shared" si="36"/>
        <v>9.2308075082460134E-6</v>
      </c>
      <c r="F809" s="93">
        <f t="shared" si="37"/>
        <v>0.99930666275382452</v>
      </c>
    </row>
    <row r="810" spans="1:6" ht="33.6" x14ac:dyDescent="0.3">
      <c r="A810" s="88">
        <f t="shared" si="38"/>
        <v>802</v>
      </c>
      <c r="B810" s="89" t="str">
        <f>_xlfn.XLOOKUP(D810,Planilha!O:O,Planilha!C:C)</f>
        <v>02.03.07.07</v>
      </c>
      <c r="C810" s="90" t="str">
        <f>_xlfn.XLOOKUP($D810,Planilha!$O:$O,Planilha!F:F)</f>
        <v>CAIXA DE PASSAGEM EM ALUMÍNIO PARA PISO 4" X 2" - FORNECIMENTO E ASSENTAMENTO</v>
      </c>
      <c r="D810" s="91">
        <f>LARGE(Planilha!$O:$O,$A810)</f>
        <v>128.19999999999999</v>
      </c>
      <c r="E810" s="92">
        <f t="shared" si="36"/>
        <v>9.2106905553949167E-6</v>
      </c>
      <c r="F810" s="93">
        <f t="shared" si="37"/>
        <v>0.99931587344437989</v>
      </c>
    </row>
    <row r="811" spans="1:6" x14ac:dyDescent="0.3">
      <c r="A811" s="88">
        <f t="shared" si="38"/>
        <v>803</v>
      </c>
      <c r="B811" s="89" t="str">
        <f>_xlfn.XLOOKUP(D811,Planilha!O:O,Planilha!C:C)</f>
        <v>02.04.01.05.02</v>
      </c>
      <c r="C811" s="90" t="str">
        <f>_xlfn.XLOOKUP($D811,Planilha!$O:$O,Planilha!F:F)</f>
        <v>GRELHA HEMISFÉRICA EM FERRO FUNDIDO DE 4"</v>
      </c>
      <c r="D811" s="91">
        <f>LARGE(Planilha!$O:$O,$A811)</f>
        <v>128</v>
      </c>
      <c r="E811" s="92">
        <f t="shared" si="36"/>
        <v>9.1963213033584188E-6</v>
      </c>
      <c r="F811" s="93">
        <f t="shared" si="37"/>
        <v>0.99932506976568325</v>
      </c>
    </row>
    <row r="812" spans="1:6" ht="33.6" x14ac:dyDescent="0.3">
      <c r="A812" s="88">
        <f t="shared" si="38"/>
        <v>804</v>
      </c>
      <c r="B812" s="89" t="str">
        <f>_xlfn.XLOOKUP(D812,Planilha!O:O,Planilha!C:C)</f>
        <v>02.03.11.09.04</v>
      </c>
      <c r="C812" s="90" t="str">
        <f>_xlfn.XLOOKUP($D812,Planilha!$O:$O,Planilha!F:F)</f>
        <v>DISJUNTOR MONOPOLAR TIPO DIN, CORRENTE NOMINAL DE 16A - FORNECIMENTO E INSTALAÇÃO. AF_10/2020</v>
      </c>
      <c r="D812" s="91">
        <f>LARGE(Planilha!$O:$O,$A812)</f>
        <v>125.95</v>
      </c>
      <c r="E812" s="92">
        <f t="shared" si="36"/>
        <v>9.0490364699843193E-6</v>
      </c>
      <c r="F812" s="93">
        <f t="shared" si="37"/>
        <v>0.99933411880215328</v>
      </c>
    </row>
    <row r="813" spans="1:6" ht="50.4" x14ac:dyDescent="0.3">
      <c r="A813" s="88">
        <f t="shared" si="38"/>
        <v>805</v>
      </c>
      <c r="B813" s="89" t="str">
        <f>_xlfn.XLOOKUP(D813,Planilha!O:O,Planilha!C:C)</f>
        <v>02.03.05.02</v>
      </c>
      <c r="C813" s="90" t="str">
        <f>_xlfn.XLOOKUP($D813,Planilha!$O:$O,Planilha!F:F)</f>
        <v>CURVA 90 GRAUS, EM AÇO, CONEXÃO SOLDADA, DN 20 (3/4"), INSTALADO EM RAMAIS E SUB-RAMAIS DE GÁS - FORNECIMENTO E INSTALAÇÃO. AF_10/2020</v>
      </c>
      <c r="D813" s="91">
        <f>LARGE(Planilha!$O:$O,$A813)</f>
        <v>125</v>
      </c>
      <c r="E813" s="92">
        <f t="shared" si="36"/>
        <v>8.9807825228109557E-6</v>
      </c>
      <c r="F813" s="93">
        <f t="shared" si="37"/>
        <v>0.99934309958467604</v>
      </c>
    </row>
    <row r="814" spans="1:6" ht="33.6" x14ac:dyDescent="0.3">
      <c r="A814" s="88">
        <f t="shared" si="38"/>
        <v>806</v>
      </c>
      <c r="B814" s="89" t="str">
        <f>_xlfn.XLOOKUP(D814,Planilha!O:O,Planilha!C:C)</f>
        <v>02.04.04.04.01</v>
      </c>
      <c r="C814" s="90" t="str">
        <f>_xlfn.XLOOKUP($D814,Planilha!$O:$O,Planilha!F:F)</f>
        <v>TAMPÃO DE ENGATE RÁPIDO EM LATÃO, DN= 2 1/2´, COM CORRENTE</v>
      </c>
      <c r="D814" s="91">
        <f>LARGE(Planilha!$O:$O,$A814)</f>
        <v>123.65</v>
      </c>
      <c r="E814" s="92">
        <f t="shared" si="36"/>
        <v>8.8837900715645979E-6</v>
      </c>
      <c r="F814" s="93">
        <f t="shared" si="37"/>
        <v>0.99935198337474762</v>
      </c>
    </row>
    <row r="815" spans="1:6" ht="50.4" x14ac:dyDescent="0.3">
      <c r="A815" s="88">
        <f t="shared" si="38"/>
        <v>807</v>
      </c>
      <c r="B815" s="89" t="str">
        <f>_xlfn.XLOOKUP(D815,Planilha!O:O,Planilha!C:C)</f>
        <v>02.05.01.19</v>
      </c>
      <c r="C815" s="90" t="str">
        <f>_xlfn.XLOOKUP($D815,Planilha!$O:$O,Planilha!F:F)</f>
        <v>BUCHA DE REDUÇÃO EM COBRE, DN 22 MM X 15 MM, SEM ANEL DE SOLDA, PONTA X BOLSA, INSTALADO EM RAMAL E SUB-RAMAL  FORNECIMENTO E INSTALAÇÃO. AF_01/2016</v>
      </c>
      <c r="D815" s="91">
        <f>LARGE(Planilha!$O:$O,$A815)</f>
        <v>120.54</v>
      </c>
      <c r="E815" s="92">
        <f t="shared" si="36"/>
        <v>8.6603482023970612E-6</v>
      </c>
      <c r="F815" s="93">
        <f t="shared" si="37"/>
        <v>0.99936064372294997</v>
      </c>
    </row>
    <row r="816" spans="1:6" x14ac:dyDescent="0.3">
      <c r="A816" s="88">
        <f t="shared" si="38"/>
        <v>808</v>
      </c>
      <c r="B816" s="89" t="str">
        <f>_xlfn.XLOOKUP(D816,Planilha!O:O,Planilha!C:C)</f>
        <v>02.03.11.11.08</v>
      </c>
      <c r="C816" s="90" t="str">
        <f>_xlfn.XLOOKUP($D816,Planilha!$O:$O,Planilha!F:F)</f>
        <v xml:space="preserve">CHAVE COMUTADORA Ø 30,5 </v>
      </c>
      <c r="D816" s="91">
        <f>LARGE(Planilha!$O:$O,$A816)</f>
        <v>120.45</v>
      </c>
      <c r="E816" s="92">
        <f t="shared" si="36"/>
        <v>8.6538820389806385E-6</v>
      </c>
      <c r="F816" s="93">
        <f t="shared" si="37"/>
        <v>0.99936929760498894</v>
      </c>
    </row>
    <row r="817" spans="1:6" x14ac:dyDescent="0.3">
      <c r="A817" s="88">
        <f t="shared" si="38"/>
        <v>809</v>
      </c>
      <c r="B817" s="89" t="str">
        <f>_xlfn.XLOOKUP(D817,Planilha!O:O,Planilha!C:C)</f>
        <v>02.03.07.08</v>
      </c>
      <c r="C817" s="90" t="str">
        <f>_xlfn.XLOOKUP($D817,Planilha!$O:$O,Planilha!F:F)</f>
        <v>PLACA DE 4´ X 2´</v>
      </c>
      <c r="D817" s="91">
        <f>LARGE(Planilha!$O:$O,$A817)</f>
        <v>120</v>
      </c>
      <c r="E817" s="92">
        <f t="shared" si="36"/>
        <v>8.6215512218985187E-6</v>
      </c>
      <c r="F817" s="93">
        <f t="shared" si="37"/>
        <v>0.99937791915621088</v>
      </c>
    </row>
    <row r="818" spans="1:6" ht="50.4" x14ac:dyDescent="0.3">
      <c r="A818" s="88">
        <f t="shared" si="38"/>
        <v>810</v>
      </c>
      <c r="B818" s="89" t="str">
        <f>_xlfn.XLOOKUP(D818,Planilha!O:O,Planilha!C:C)</f>
        <v>02.04.01.01.18</v>
      </c>
      <c r="C818" s="90" t="str">
        <f>_xlfn.XLOOKUP($D818,Planilha!$O:$O,Planilha!F:F)</f>
        <v>TÊ, PVC, SERIE R, ÁGUA PLUVIAL, DN 75 X 75 MM, JUNTA ELÁSTICA, FORNECIDO E INSTALADO EM CONDUTORES VERTICAIS DE ÁGUAS PLUVIAIS. AF_12/2014</v>
      </c>
      <c r="D818" s="91">
        <f>LARGE(Planilha!$O:$O,$A818)</f>
        <v>118.8</v>
      </c>
      <c r="E818" s="92">
        <f t="shared" si="36"/>
        <v>8.5353357096795331E-6</v>
      </c>
      <c r="F818" s="93">
        <f t="shared" si="37"/>
        <v>0.99938645449192054</v>
      </c>
    </row>
    <row r="819" spans="1:6" x14ac:dyDescent="0.3">
      <c r="A819" s="88">
        <f t="shared" si="38"/>
        <v>811</v>
      </c>
      <c r="B819" s="89" t="str">
        <f>_xlfn.XLOOKUP(D819,Planilha!O:O,Planilha!C:C)</f>
        <v>02.04.03.07.08</v>
      </c>
      <c r="C819" s="90" t="str">
        <f>_xlfn.XLOOKUP($D819,Planilha!$O:$O,Planilha!F:F)</f>
        <v>FORMA EM MADEIRA COMUM PARA FUNDAÇÃO</v>
      </c>
      <c r="D819" s="91">
        <f>LARGE(Planilha!$O:$O,$A819)</f>
        <v>118.36</v>
      </c>
      <c r="E819" s="92">
        <f t="shared" si="36"/>
        <v>8.5037233551992388E-6</v>
      </c>
      <c r="F819" s="93">
        <f t="shared" si="37"/>
        <v>0.99939495821527569</v>
      </c>
    </row>
    <row r="820" spans="1:6" ht="50.4" x14ac:dyDescent="0.3">
      <c r="A820" s="88">
        <f t="shared" si="38"/>
        <v>812</v>
      </c>
      <c r="B820" s="89" t="str">
        <f>_xlfn.XLOOKUP(D820,Planilha!O:O,Planilha!C:C)</f>
        <v>02.04.03.01.24</v>
      </c>
      <c r="C820" s="90" t="str">
        <f>_xlfn.XLOOKUP($D820,Planilha!$O:$O,Planilha!F:F)</f>
        <v>TE, PVC, SERIE NORMAL, ESGOTO PREDIAL, DN 40 X 40 MM, JUNTA SOLDÁVEL, FORNECIDO E INSTALADO EM RAMAL DE DESCARGA OU RAMAL DE ESGOTO SANITÁRIO. AF_12/2014</v>
      </c>
      <c r="D820" s="91">
        <f>LARGE(Planilha!$O:$O,$A820)</f>
        <v>117.72</v>
      </c>
      <c r="E820" s="92">
        <f t="shared" si="36"/>
        <v>8.4577417486824466E-6</v>
      </c>
      <c r="F820" s="93">
        <f t="shared" si="37"/>
        <v>0.99940341595702442</v>
      </c>
    </row>
    <row r="821" spans="1:6" x14ac:dyDescent="0.3">
      <c r="A821" s="88">
        <f t="shared" si="38"/>
        <v>813</v>
      </c>
      <c r="B821" s="89" t="str">
        <f>_xlfn.XLOOKUP(D821,Planilha!O:O,Planilha!C:C)</f>
        <v>02.03.03.01.08</v>
      </c>
      <c r="C821" s="90" t="str">
        <f>_xlfn.XLOOKUP($D821,Planilha!$O:$O,Planilha!F:F)</f>
        <v>BUCHA DE ALUMINIO PARA ELETRODUTO 1""</v>
      </c>
      <c r="D821" s="91">
        <f>LARGE(Planilha!$O:$O,$A821)</f>
        <v>113.7</v>
      </c>
      <c r="E821" s="92">
        <f t="shared" si="36"/>
        <v>8.1689197827488464E-6</v>
      </c>
      <c r="F821" s="93">
        <f t="shared" si="37"/>
        <v>0.99941158487680715</v>
      </c>
    </row>
    <row r="822" spans="1:6" ht="50.4" x14ac:dyDescent="0.3">
      <c r="A822" s="88">
        <f t="shared" si="38"/>
        <v>814</v>
      </c>
      <c r="B822" s="89" t="str">
        <f>_xlfn.XLOOKUP(D822,Planilha!O:O,Planilha!C:C)</f>
        <v>02.04.01.01.14</v>
      </c>
      <c r="C822" s="90" t="str">
        <f>_xlfn.XLOOKUP($D822,Planilha!$O:$O,Planilha!F:F)</f>
        <v>JUNÇÃO SIMPLES, PVC, SERIE R, ÁGUA PLUVIAL, DN 100 X 75 MM, JUNTA ELÁSTICA, FORNECIDO E INSTALADO EM CONDUTORES VERTICAIS DE ÁGUAS PLUVIAIS. AF_12/2014</v>
      </c>
      <c r="D822" s="91">
        <f>LARGE(Planilha!$O:$O,$A822)</f>
        <v>112.17</v>
      </c>
      <c r="E822" s="92">
        <f t="shared" si="36"/>
        <v>8.05899500466964E-6</v>
      </c>
      <c r="F822" s="93">
        <f t="shared" si="37"/>
        <v>0.99941964387181181</v>
      </c>
    </row>
    <row r="823" spans="1:6" ht="50.4" x14ac:dyDescent="0.3">
      <c r="A823" s="88">
        <f t="shared" si="38"/>
        <v>815</v>
      </c>
      <c r="B823" s="89" t="str">
        <f>_xlfn.XLOOKUP(D823,Planilha!O:O,Planilha!C:C)</f>
        <v>02.05.01.06</v>
      </c>
      <c r="C823" s="90" t="str">
        <f>_xlfn.XLOOKUP($D823,Planilha!$O:$O,Planilha!F:F)</f>
        <v>LUVA EM COBRE, DN 22 MM, SEM ANEL DE SOLDA, INSTALADO EM RAMAL DE DISTRIBUIÇÃO DE HIDRÁULICA PREDIAL - FORNECIMENTO E INSTALAÇÃO. AF_04/2022</v>
      </c>
      <c r="D823" s="91">
        <f>LARGE(Planilha!$O:$O,$A823)</f>
        <v>112</v>
      </c>
      <c r="E823" s="92">
        <f t="shared" si="36"/>
        <v>8.0467811404386169E-6</v>
      </c>
      <c r="F823" s="93">
        <f t="shared" si="37"/>
        <v>0.99942769065295223</v>
      </c>
    </row>
    <row r="824" spans="1:6" x14ac:dyDescent="0.3">
      <c r="A824" s="88">
        <f t="shared" si="38"/>
        <v>816</v>
      </c>
      <c r="B824" s="89" t="str">
        <f>_xlfn.XLOOKUP(D824,Planilha!O:O,Planilha!C:C)</f>
        <v>02.05.01.17</v>
      </c>
      <c r="C824" s="90" t="str">
        <f>_xlfn.XLOOKUP($D824,Planilha!$O:$O,Planilha!F:F)</f>
        <v>TE REDUCAO COBRE 38X15MM</v>
      </c>
      <c r="D824" s="91">
        <f>LARGE(Planilha!$O:$O,$A824)</f>
        <v>110.62</v>
      </c>
      <c r="E824" s="92">
        <f t="shared" si="36"/>
        <v>7.9476333013867844E-6</v>
      </c>
      <c r="F824" s="93">
        <f t="shared" si="37"/>
        <v>0.99943563828625359</v>
      </c>
    </row>
    <row r="825" spans="1:6" ht="33.6" x14ac:dyDescent="0.3">
      <c r="A825" s="88">
        <f t="shared" si="38"/>
        <v>817</v>
      </c>
      <c r="B825" s="89" t="str">
        <f>_xlfn.XLOOKUP(D825,Planilha!O:O,Planilha!C:C)</f>
        <v>02.04.02.01.18</v>
      </c>
      <c r="C825" s="90" t="str">
        <f>_xlfn.XLOOKUP($D825,Planilha!$O:$O,Planilha!F:F)</f>
        <v>TE, PVC, SOLDÁVEL, DN 50MM, INSTALADO EM PRUMADA DE ÁGUA - FORNECIMENTO E INSTALAÇÃO. AF_12/2014</v>
      </c>
      <c r="D825" s="91">
        <f>LARGE(Planilha!$O:$O,$A825)</f>
        <v>110.28</v>
      </c>
      <c r="E825" s="92">
        <f t="shared" si="36"/>
        <v>7.9232055729247382E-6</v>
      </c>
      <c r="F825" s="93">
        <f t="shared" si="37"/>
        <v>0.99944356149182656</v>
      </c>
    </row>
    <row r="826" spans="1:6" ht="33.6" x14ac:dyDescent="0.3">
      <c r="A826" s="88">
        <f t="shared" si="38"/>
        <v>818</v>
      </c>
      <c r="B826" s="89" t="str">
        <f>_xlfn.XLOOKUP(D826,Planilha!O:O,Planilha!C:C)</f>
        <v>02.03.11.06.06</v>
      </c>
      <c r="C826" s="90" t="str">
        <f>_xlfn.XLOOKUP($D826,Planilha!$O:$O,Planilha!F:F)</f>
        <v>DISJUNTOR BIPOLAR TIPO DIN, CORRENTE NOMINAL DE 20A - FORNECIMENTO E INSTALAÇÃO. AF_10/2020</v>
      </c>
      <c r="D826" s="91">
        <f>LARGE(Planilha!$O:$O,$A826)</f>
        <v>108.18</v>
      </c>
      <c r="E826" s="92">
        <f t="shared" si="36"/>
        <v>7.7723284265415146E-6</v>
      </c>
      <c r="F826" s="93">
        <f t="shared" si="37"/>
        <v>0.99945133382025308</v>
      </c>
    </row>
    <row r="827" spans="1:6" ht="33.6" x14ac:dyDescent="0.3">
      <c r="A827" s="88">
        <f t="shared" si="38"/>
        <v>819</v>
      </c>
      <c r="B827" s="89" t="str">
        <f>_xlfn.XLOOKUP(D827,Planilha!O:O,Planilha!C:C)</f>
        <v>02.04.03.07.07</v>
      </c>
      <c r="C827" s="90" t="str">
        <f>_xlfn.XLOOKUP($D827,Planilha!$O:$O,Planilha!F:F)</f>
        <v>LASTRO DE CONCRETO MAGRO, APLICADO EM BLOCOS DE COROAMENTO OU SAPATAS. AF_08/2017</v>
      </c>
      <c r="D827" s="91">
        <f>LARGE(Planilha!$O:$O,$A827)</f>
        <v>107.27</v>
      </c>
      <c r="E827" s="92">
        <f t="shared" si="36"/>
        <v>7.7069483297754495E-6</v>
      </c>
      <c r="F827" s="93">
        <f t="shared" si="37"/>
        <v>0.99945904076858283</v>
      </c>
    </row>
    <row r="828" spans="1:6" ht="50.4" x14ac:dyDescent="0.3">
      <c r="A828" s="88">
        <f t="shared" si="38"/>
        <v>820</v>
      </c>
      <c r="B828" s="89" t="str">
        <f>_xlfn.XLOOKUP(D828,Planilha!O:O,Planilha!C:C)</f>
        <v>02.03.03.02.16</v>
      </c>
      <c r="C828" s="90" t="str">
        <f>_xlfn.XLOOKUP($D828,Planilha!$O:$O,Planilha!F:F)</f>
        <v>CURVA 90 GRAUS, EM AÇO, CONEXÃO SOLDADA, DN 25 (1"), INSTALADO EM RAMAIS E SUB-RAMAIS DE GÁS - FORNECIMENTO E INSTALAÇÃO. AF_10/2020</v>
      </c>
      <c r="D828" s="91">
        <f>LARGE(Planilha!$O:$O,$A828)</f>
        <v>106.85</v>
      </c>
      <c r="E828" s="92">
        <f t="shared" si="36"/>
        <v>7.6767729004988044E-6</v>
      </c>
      <c r="F828" s="93">
        <f t="shared" si="37"/>
        <v>0.99946671754148331</v>
      </c>
    </row>
    <row r="829" spans="1:6" ht="50.4" x14ac:dyDescent="0.3">
      <c r="A829" s="88">
        <f t="shared" si="38"/>
        <v>821</v>
      </c>
      <c r="B829" s="89" t="str">
        <f>_xlfn.XLOOKUP(D829,Planilha!O:O,Planilha!C:C)</f>
        <v>02.03.09.09</v>
      </c>
      <c r="C829" s="90" t="str">
        <f>_xlfn.XLOOKUP($D829,Planilha!$O:$O,Planilha!F:F)</f>
        <v>CAIXA DE LIGAÇÃO/PASSAGEM EM PVC RÍGIDO PARA ELETRODUTO, DIMENSÕES 4"X4", EMBUTIDA EM PAREDE DE GESSO ACARTONADO (DRY-WALL) - FORNECIMENTO E INSTALAÇÃO</v>
      </c>
      <c r="D829" s="91">
        <f>LARGE(Planilha!$O:$O,$A829)</f>
        <v>105.9</v>
      </c>
      <c r="E829" s="92">
        <f t="shared" si="36"/>
        <v>7.6085189533254425E-6</v>
      </c>
      <c r="F829" s="93">
        <f t="shared" si="37"/>
        <v>0.99947432606043662</v>
      </c>
    </row>
    <row r="830" spans="1:6" ht="50.4" x14ac:dyDescent="0.3">
      <c r="A830" s="88">
        <f t="shared" ref="A830:A844" si="39">+A829+1</f>
        <v>822</v>
      </c>
      <c r="B830" s="89" t="str">
        <f>_xlfn.XLOOKUP(D830,Planilha!O:O,Planilha!C:C)</f>
        <v>02.03.09.09</v>
      </c>
      <c r="C830" s="90" t="str">
        <f>_xlfn.XLOOKUP($D830,Planilha!$O:$O,Planilha!F:F)</f>
        <v>CAIXA DE LIGAÇÃO/PASSAGEM EM PVC RÍGIDO PARA ELETRODUTO, DIMENSÕES 4"X4", EMBUTIDA EM PAREDE DE GESSO ACARTONADO (DRY-WALL) - FORNECIMENTO E INSTALAÇÃO</v>
      </c>
      <c r="D830" s="91">
        <f>LARGE(Planilha!$O:$O,$A830)</f>
        <v>105.9</v>
      </c>
      <c r="E830" s="92">
        <f t="shared" si="36"/>
        <v>7.6085189533254425E-6</v>
      </c>
      <c r="F830" s="93">
        <f t="shared" si="37"/>
        <v>0.99948193457938994</v>
      </c>
    </row>
    <row r="831" spans="1:6" ht="33.6" x14ac:dyDescent="0.3">
      <c r="A831" s="88">
        <f t="shared" si="39"/>
        <v>823</v>
      </c>
      <c r="B831" s="89" t="str">
        <f>_xlfn.XLOOKUP(D831,Planilha!O:O,Planilha!C:C)</f>
        <v>02.04.02.01.38</v>
      </c>
      <c r="C831" s="90" t="str">
        <f>_xlfn.XLOOKUP($D831,Planilha!$O:$O,Planilha!F:F)</f>
        <v>BUCHA DE REDUÇÃO, PPR, 32 X 25, CLASSE PN 25, INSTALADO EM PRUMADA DE ÁGUA  FORNECIMENTO E INSTALAÇÃO . AF_06/2015</v>
      </c>
      <c r="D831" s="91">
        <f>LARGE(Planilha!$O:$O,$A831)</f>
        <v>105.7</v>
      </c>
      <c r="E831" s="92">
        <f t="shared" si="36"/>
        <v>7.5941497012889446E-6</v>
      </c>
      <c r="F831" s="93">
        <f t="shared" si="37"/>
        <v>0.99948952872909125</v>
      </c>
    </row>
    <row r="832" spans="1:6" ht="33.6" x14ac:dyDescent="0.3">
      <c r="A832" s="88">
        <f t="shared" si="39"/>
        <v>824</v>
      </c>
      <c r="B832" s="89" t="str">
        <f>_xlfn.XLOOKUP(D832,Planilha!O:O,Planilha!C:C)</f>
        <v>02.03.09.15</v>
      </c>
      <c r="C832" s="90" t="str">
        <f>_xlfn.XLOOKUP($D832,Planilha!$O:$O,Planilha!F:F)</f>
        <v>CONECTOR RETO BITOLA 3/4" FERRO GALV OU ALUMINIO PARA ADAPTACAO DE ENTRADAS</v>
      </c>
      <c r="D832" s="91">
        <f>LARGE(Planilha!$O:$O,$A832)</f>
        <v>105.12</v>
      </c>
      <c r="E832" s="92">
        <f t="shared" si="36"/>
        <v>7.5524788703831019E-6</v>
      </c>
      <c r="F832" s="93">
        <f t="shared" si="37"/>
        <v>0.99949708120796166</v>
      </c>
    </row>
    <row r="833" spans="1:6" x14ac:dyDescent="0.3">
      <c r="A833" s="88">
        <f t="shared" si="39"/>
        <v>825</v>
      </c>
      <c r="B833" s="89" t="str">
        <f>_xlfn.XLOOKUP(D833,Planilha!O:O,Planilha!C:C)</f>
        <v>02.03.11.14.20</v>
      </c>
      <c r="C833" s="90" t="str">
        <f>_xlfn.XLOOKUP($D833,Planilha!$O:$O,Planilha!F:F)</f>
        <v>CAIXA DE PASSAGEM CHAPA TAMPA PARAFUSADA DE 30X30X12 CM</v>
      </c>
      <c r="D833" s="91">
        <f>LARGE(Planilha!$O:$O,$A833)</f>
        <v>104.93</v>
      </c>
      <c r="E833" s="92">
        <f t="shared" si="36"/>
        <v>7.5388280809484295E-6</v>
      </c>
      <c r="F833" s="93">
        <f t="shared" si="37"/>
        <v>0.99950462003604257</v>
      </c>
    </row>
    <row r="834" spans="1:6" ht="33.6" x14ac:dyDescent="0.3">
      <c r="A834" s="88">
        <f t="shared" si="39"/>
        <v>826</v>
      </c>
      <c r="B834" s="89" t="str">
        <f>_xlfn.XLOOKUP(D834,Planilha!O:O,Planilha!C:C)</f>
        <v>02.03.11.09.05</v>
      </c>
      <c r="C834" s="90" t="str">
        <f>_xlfn.XLOOKUP($D834,Planilha!$O:$O,Planilha!F:F)</f>
        <v>DISJUNTOR BIPOLAR TIPO DIN, CORRENTE NOMINAL DE 16A - FORNECIMENTO E INSTALAÇÃO. AF_10/2020</v>
      </c>
      <c r="D834" s="91">
        <f>LARGE(Planilha!$O:$O,$A834)</f>
        <v>103.46</v>
      </c>
      <c r="E834" s="92">
        <f t="shared" si="36"/>
        <v>7.4332140784801718E-6</v>
      </c>
      <c r="F834" s="93">
        <f t="shared" si="37"/>
        <v>0.99951205325012105</v>
      </c>
    </row>
    <row r="835" spans="1:6" ht="50.4" x14ac:dyDescent="0.3">
      <c r="A835" s="88">
        <f t="shared" si="39"/>
        <v>827</v>
      </c>
      <c r="B835" s="89" t="str">
        <f>_xlfn.XLOOKUP(D835,Planilha!O:O,Planilha!C:C)</f>
        <v>02.03.02.01.06</v>
      </c>
      <c r="C835" s="90" t="str">
        <f>_xlfn.XLOOKUP($D835,Planilha!$O:$O,Planilha!F:F)</f>
        <v>CONDULETE DE ALUMÍNIO, TIPO T, PARA ELETRODUTO DE AÇO GALVANIZADO DN 25 MM (1''), APARENTE - FORNECIMENTO E INSTALAÇÃO. AF_11/2016_P</v>
      </c>
      <c r="D835" s="91">
        <f>LARGE(Planilha!$O:$O,$A835)</f>
        <v>103.4</v>
      </c>
      <c r="E835" s="92">
        <f t="shared" si="36"/>
        <v>7.4289033028692231E-6</v>
      </c>
      <c r="F835" s="93">
        <f t="shared" si="37"/>
        <v>0.9995194821534239</v>
      </c>
    </row>
    <row r="836" spans="1:6" ht="33.6" x14ac:dyDescent="0.3">
      <c r="A836" s="88">
        <f t="shared" si="39"/>
        <v>828</v>
      </c>
      <c r="B836" s="89" t="str">
        <f>_xlfn.XLOOKUP(D836,Planilha!O:O,Planilha!C:C)</f>
        <v>02.03.11.06.04</v>
      </c>
      <c r="C836" s="90" t="str">
        <f>_xlfn.XLOOKUP($D836,Planilha!$O:$O,Planilha!F:F)</f>
        <v>DISJUNTOR MONOPOLAR TIPO DIN, CORRENTE NOMINAL DE 16A - FORNECIMENTO E INSTALAÇÃO. AF_10/2020</v>
      </c>
      <c r="D836" s="91">
        <f>LARGE(Planilha!$O:$O,$A836)</f>
        <v>103.05</v>
      </c>
      <c r="E836" s="92">
        <f t="shared" si="36"/>
        <v>7.4037571118053523E-6</v>
      </c>
      <c r="F836" s="93">
        <f t="shared" si="37"/>
        <v>0.99952688591053573</v>
      </c>
    </row>
    <row r="837" spans="1:6" x14ac:dyDescent="0.3">
      <c r="A837" s="88">
        <f t="shared" si="39"/>
        <v>829</v>
      </c>
      <c r="B837" s="89" t="str">
        <f>_xlfn.XLOOKUP(D837,Planilha!O:O,Planilha!C:C)</f>
        <v>02.03.11.12.04</v>
      </c>
      <c r="C837" s="90" t="str">
        <f>_xlfn.XLOOKUP($D837,Planilha!$O:$O,Planilha!F:F)</f>
        <v>FUSÍVEL DIAZED RETARDADO DE 35 A ATÉ 63 A</v>
      </c>
      <c r="D837" s="91">
        <f>LARGE(Planilha!$O:$O,$A837)</f>
        <v>101.34</v>
      </c>
      <c r="E837" s="92">
        <f t="shared" si="36"/>
        <v>7.280900006893299E-6</v>
      </c>
      <c r="F837" s="93">
        <f t="shared" si="37"/>
        <v>0.99953416681054263</v>
      </c>
    </row>
    <row r="838" spans="1:6" ht="33.6" x14ac:dyDescent="0.3">
      <c r="A838" s="88">
        <f t="shared" si="39"/>
        <v>830</v>
      </c>
      <c r="B838" s="89" t="str">
        <f>_xlfn.XLOOKUP(D838,Planilha!O:O,Planilha!C:C)</f>
        <v>02.03.11.03.13</v>
      </c>
      <c r="C838" s="90" t="str">
        <f>_xlfn.XLOOKUP($D838,Planilha!$O:$O,Planilha!F:F)</f>
        <v>DISJUNTOR TRIPOLAR TIPO DIN, CORRENTE NOMINAL DE 50A - FORNECIMENTO E INSTALAÇÃO. AF_10/2020</v>
      </c>
      <c r="D838" s="91">
        <f>LARGE(Planilha!$O:$O,$A838)</f>
        <v>100.79</v>
      </c>
      <c r="E838" s="92">
        <f t="shared" si="36"/>
        <v>7.2413845637929311E-6</v>
      </c>
      <c r="F838" s="93">
        <f t="shared" si="37"/>
        <v>0.9995414081951064</v>
      </c>
    </row>
    <row r="839" spans="1:6" x14ac:dyDescent="0.3">
      <c r="A839" s="88">
        <f t="shared" si="39"/>
        <v>831</v>
      </c>
      <c r="B839" s="89" t="str">
        <f>_xlfn.XLOOKUP(D839,Planilha!O:O,Planilha!C:C)</f>
        <v>02.03.11.12.10</v>
      </c>
      <c r="C839" s="90" t="str">
        <f>_xlfn.XLOOKUP($D839,Planilha!$O:$O,Planilha!F:F)</f>
        <v>BOTÃO DE COMANDO DUPLO SEM SINALIZADOR</v>
      </c>
      <c r="D839" s="91">
        <f>LARGE(Planilha!$O:$O,$A839)</f>
        <v>96.44</v>
      </c>
      <c r="E839" s="92">
        <f t="shared" si="36"/>
        <v>6.9288533319991093E-6</v>
      </c>
      <c r="F839" s="93">
        <f t="shared" si="37"/>
        <v>0.99954833704843837</v>
      </c>
    </row>
    <row r="840" spans="1:6" ht="33.6" x14ac:dyDescent="0.3">
      <c r="A840" s="88">
        <f t="shared" si="39"/>
        <v>832</v>
      </c>
      <c r="B840" s="89" t="str">
        <f>_xlfn.XLOOKUP(D840,Planilha!O:O,Planilha!C:C)</f>
        <v>02.04.02.02.06</v>
      </c>
      <c r="C840" s="90" t="str">
        <f>_xlfn.XLOOKUP($D840,Planilha!$O:$O,Planilha!F:F)</f>
        <v>TE EM COBRE, DN 28 MM, SEM ANEL DE SOLDA, INSTALADO EM PRUMADA  FORNECIMENTO E INSTALAÇÃO. AF_12/2015</v>
      </c>
      <c r="D840" s="91">
        <f>LARGE(Planilha!$O:$O,$A840)</f>
        <v>95.76</v>
      </c>
      <c r="E840" s="92">
        <f t="shared" si="36"/>
        <v>6.8799978750750177E-6</v>
      </c>
      <c r="F840" s="93">
        <f t="shared" si="37"/>
        <v>0.99955521704631345</v>
      </c>
    </row>
    <row r="841" spans="1:6" ht="33.6" x14ac:dyDescent="0.3">
      <c r="A841" s="88">
        <f t="shared" si="39"/>
        <v>833</v>
      </c>
      <c r="B841" s="89" t="str">
        <f>_xlfn.XLOOKUP(D841,Planilha!O:O,Planilha!C:C)</f>
        <v>02.04.03.05.04</v>
      </c>
      <c r="C841" s="90" t="str">
        <f>_xlfn.XLOOKUP($D841,Planilha!$O:$O,Planilha!F:F)</f>
        <v>VEDAÇÃO PARA SAÍDA DE VASO SANITÁRIO EM  PVC RÍGIDO SOLDÁVEL, PARA ESGOTO PRIMÁRIO, DIÂM = 100MM</v>
      </c>
      <c r="D841" s="91">
        <f>LARGE(Planilha!$O:$O,$A841)</f>
        <v>94.8</v>
      </c>
      <c r="E841" s="92">
        <f t="shared" ref="E841:E904" si="40">D841/$D$933</f>
        <v>6.8110254652998294E-6</v>
      </c>
      <c r="F841" s="93">
        <f t="shared" ref="F841:F904" si="41">+E841+F840</f>
        <v>0.99956202807177874</v>
      </c>
    </row>
    <row r="842" spans="1:6" ht="67.2" x14ac:dyDescent="0.3">
      <c r="A842" s="88">
        <f t="shared" si="39"/>
        <v>834</v>
      </c>
      <c r="B842" s="89" t="str">
        <f>_xlfn.XLOOKUP(D842,Planilha!O:O,Planilha!C:C)</f>
        <v>02.04.02.01.31</v>
      </c>
      <c r="C842" s="90" t="str">
        <f>_xlfn.XLOOKUP($D842,Planilha!$O:$O,Planilha!F:F)</f>
        <v>ADAPTADOR CURTO COM BOLSA E ROSCA PARA REGISTRO, PVC, SOLDÁVEL, DN 60 MM X 2 , INSTALADO EM RESERVAÇÃO DE ÁGUA DE EDIFICAÇÃO QUE POSSUA RESERVATÓRIO DE FIBRA/FIBROCIMENTO   FORNECIMENTO E INSTALAÇÃO. AF_06/2016</v>
      </c>
      <c r="D842" s="91">
        <f>LARGE(Planilha!$O:$O,$A842)</f>
        <v>93.48</v>
      </c>
      <c r="E842" s="92">
        <f t="shared" si="40"/>
        <v>6.7161884018589455E-6</v>
      </c>
      <c r="F842" s="93">
        <f t="shared" si="41"/>
        <v>0.99956874426018061</v>
      </c>
    </row>
    <row r="843" spans="1:6" ht="50.4" x14ac:dyDescent="0.3">
      <c r="A843" s="88">
        <f t="shared" si="39"/>
        <v>835</v>
      </c>
      <c r="B843" s="89" t="str">
        <f>_xlfn.XLOOKUP(D843,Planilha!O:O,Planilha!C:C)</f>
        <v>02.04.03.02.03</v>
      </c>
      <c r="C843" s="90" t="str">
        <f>_xlfn.XLOOKUP($D843,Planilha!$O:$O,Planilha!F:F)</f>
        <v>LUVA COM BUCHA DE LATÃO, PVC, SOLDÁVEL, DN 25MM X 3/4, INSTALADO EM PRUMADA DE ÁGUA - FORNECIMENTO E INSTALAÇÃO. AF_12/2014</v>
      </c>
      <c r="D843" s="91">
        <f>LARGE(Planilha!$O:$O,$A843)</f>
        <v>89.04</v>
      </c>
      <c r="E843" s="92">
        <f t="shared" si="40"/>
        <v>6.3971910066487012E-6</v>
      </c>
      <c r="F843" s="93">
        <f t="shared" si="41"/>
        <v>0.99957514145118731</v>
      </c>
    </row>
    <row r="844" spans="1:6" x14ac:dyDescent="0.3">
      <c r="A844" s="88">
        <f t="shared" si="39"/>
        <v>836</v>
      </c>
      <c r="B844" s="89" t="str">
        <f>_xlfn.XLOOKUP(D844,Planilha!O:O,Planilha!C:C)</f>
        <v>02.03.11.03.01</v>
      </c>
      <c r="C844" s="90" t="str">
        <f>_xlfn.XLOOKUP($D844,Planilha!$O:$O,Planilha!F:F)</f>
        <v>DISJUNTOR TRIPOLAR IN=40A</v>
      </c>
      <c r="D844" s="91">
        <f>LARGE(Planilha!$O:$O,$A844)</f>
        <v>88.52</v>
      </c>
      <c r="E844" s="92">
        <f t="shared" si="40"/>
        <v>6.3598309513538063E-6</v>
      </c>
      <c r="F844" s="93">
        <f t="shared" si="41"/>
        <v>0.99958150128213863</v>
      </c>
    </row>
    <row r="845" spans="1:6" x14ac:dyDescent="0.3">
      <c r="A845" s="88">
        <f t="shared" ref="A845:A868" si="42">+A844+1</f>
        <v>837</v>
      </c>
      <c r="B845" s="89" t="str">
        <f>_xlfn.XLOOKUP(D845,Planilha!O:O,Planilha!C:C)</f>
        <v>02.03.11.03.01</v>
      </c>
      <c r="C845" s="90" t="str">
        <f>_xlfn.XLOOKUP($D845,Planilha!$O:$O,Planilha!F:F)</f>
        <v>DISJUNTOR TRIPOLAR IN=40A</v>
      </c>
      <c r="D845" s="91">
        <f>LARGE(Planilha!$O:$O,$A845)</f>
        <v>88.52</v>
      </c>
      <c r="E845" s="92">
        <f t="shared" si="40"/>
        <v>6.3598309513538063E-6</v>
      </c>
      <c r="F845" s="93">
        <f t="shared" si="41"/>
        <v>0.99958786111308995</v>
      </c>
    </row>
    <row r="846" spans="1:6" x14ac:dyDescent="0.3">
      <c r="A846" s="88">
        <f t="shared" si="42"/>
        <v>838</v>
      </c>
      <c r="B846" s="89" t="str">
        <f>_xlfn.XLOOKUP(D846,Planilha!O:O,Planilha!C:C)</f>
        <v>02.03.11.03.01</v>
      </c>
      <c r="C846" s="90" t="str">
        <f>_xlfn.XLOOKUP($D846,Planilha!$O:$O,Planilha!F:F)</f>
        <v>DISJUNTOR TRIPOLAR IN=40A</v>
      </c>
      <c r="D846" s="91">
        <f>LARGE(Planilha!$O:$O,$A846)</f>
        <v>88.52</v>
      </c>
      <c r="E846" s="92">
        <f t="shared" si="40"/>
        <v>6.3598309513538063E-6</v>
      </c>
      <c r="F846" s="93">
        <f t="shared" si="41"/>
        <v>0.99959422094404127</v>
      </c>
    </row>
    <row r="847" spans="1:6" x14ac:dyDescent="0.3">
      <c r="A847" s="88">
        <f t="shared" si="42"/>
        <v>839</v>
      </c>
      <c r="B847" s="89" t="str">
        <f>_xlfn.XLOOKUP(D847,Planilha!O:O,Planilha!C:C)</f>
        <v>02.03.11.03.01</v>
      </c>
      <c r="C847" s="90" t="str">
        <f>_xlfn.XLOOKUP($D847,Planilha!$O:$O,Planilha!F:F)</f>
        <v>DISJUNTOR TRIPOLAR IN=40A</v>
      </c>
      <c r="D847" s="91">
        <f>LARGE(Planilha!$O:$O,$A847)</f>
        <v>88.52</v>
      </c>
      <c r="E847" s="92">
        <f t="shared" si="40"/>
        <v>6.3598309513538063E-6</v>
      </c>
      <c r="F847" s="93">
        <f t="shared" si="41"/>
        <v>0.99960058077499259</v>
      </c>
    </row>
    <row r="848" spans="1:6" x14ac:dyDescent="0.3">
      <c r="A848" s="88">
        <f t="shared" si="42"/>
        <v>840</v>
      </c>
      <c r="B848" s="89" t="str">
        <f>_xlfn.XLOOKUP(D848,Planilha!O:O,Planilha!C:C)</f>
        <v>02.03.11.03.01</v>
      </c>
      <c r="C848" s="90" t="str">
        <f>_xlfn.XLOOKUP($D848,Planilha!$O:$O,Planilha!F:F)</f>
        <v>DISJUNTOR TRIPOLAR IN=40A</v>
      </c>
      <c r="D848" s="91">
        <f>LARGE(Planilha!$O:$O,$A848)</f>
        <v>88.52</v>
      </c>
      <c r="E848" s="92">
        <f t="shared" si="40"/>
        <v>6.3598309513538063E-6</v>
      </c>
      <c r="F848" s="93">
        <f t="shared" si="41"/>
        <v>0.99960694060594391</v>
      </c>
    </row>
    <row r="849" spans="1:6" x14ac:dyDescent="0.3">
      <c r="A849" s="88">
        <f t="shared" si="42"/>
        <v>841</v>
      </c>
      <c r="B849" s="89" t="str">
        <f>_xlfn.XLOOKUP(D849,Planilha!O:O,Planilha!C:C)</f>
        <v>02.03.11.03.01</v>
      </c>
      <c r="C849" s="90" t="str">
        <f>_xlfn.XLOOKUP($D849,Planilha!$O:$O,Planilha!F:F)</f>
        <v>DISJUNTOR TRIPOLAR IN=40A</v>
      </c>
      <c r="D849" s="91">
        <f>LARGE(Planilha!$O:$O,$A849)</f>
        <v>88.52</v>
      </c>
      <c r="E849" s="92">
        <f t="shared" si="40"/>
        <v>6.3598309513538063E-6</v>
      </c>
      <c r="F849" s="93">
        <f t="shared" si="41"/>
        <v>0.99961330043689522</v>
      </c>
    </row>
    <row r="850" spans="1:6" x14ac:dyDescent="0.3">
      <c r="A850" s="88">
        <f t="shared" si="42"/>
        <v>842</v>
      </c>
      <c r="B850" s="89" t="str">
        <f>_xlfn.XLOOKUP(D850,Planilha!O:O,Planilha!C:C)</f>
        <v>02.03.11.03.01</v>
      </c>
      <c r="C850" s="90" t="str">
        <f>_xlfn.XLOOKUP($D850,Planilha!$O:$O,Planilha!F:F)</f>
        <v>DISJUNTOR TRIPOLAR IN=40A</v>
      </c>
      <c r="D850" s="91">
        <f>LARGE(Planilha!$O:$O,$A850)</f>
        <v>88.52</v>
      </c>
      <c r="E850" s="92">
        <f t="shared" si="40"/>
        <v>6.3598309513538063E-6</v>
      </c>
      <c r="F850" s="93">
        <f t="shared" si="41"/>
        <v>0.99961966026784654</v>
      </c>
    </row>
    <row r="851" spans="1:6" x14ac:dyDescent="0.3">
      <c r="A851" s="88">
        <f t="shared" si="42"/>
        <v>843</v>
      </c>
      <c r="B851" s="89" t="str">
        <f>_xlfn.XLOOKUP(D851,Planilha!O:O,Planilha!C:C)</f>
        <v>02.03.11.03.01</v>
      </c>
      <c r="C851" s="90" t="str">
        <f>_xlfn.XLOOKUP($D851,Planilha!$O:$O,Planilha!F:F)</f>
        <v>DISJUNTOR TRIPOLAR IN=40A</v>
      </c>
      <c r="D851" s="91">
        <f>LARGE(Planilha!$O:$O,$A851)</f>
        <v>88.52</v>
      </c>
      <c r="E851" s="92">
        <f t="shared" si="40"/>
        <v>6.3598309513538063E-6</v>
      </c>
      <c r="F851" s="93">
        <f t="shared" si="41"/>
        <v>0.99962602009879786</v>
      </c>
    </row>
    <row r="852" spans="1:6" x14ac:dyDescent="0.3">
      <c r="A852" s="88">
        <f t="shared" si="42"/>
        <v>844</v>
      </c>
      <c r="B852" s="89" t="str">
        <f>_xlfn.XLOOKUP(D852,Planilha!O:O,Planilha!C:C)</f>
        <v>02.03.11.03.01</v>
      </c>
      <c r="C852" s="90" t="str">
        <f>_xlfn.XLOOKUP($D852,Planilha!$O:$O,Planilha!F:F)</f>
        <v>DISJUNTOR TRIPOLAR IN=40A</v>
      </c>
      <c r="D852" s="91">
        <f>LARGE(Planilha!$O:$O,$A852)</f>
        <v>88.52</v>
      </c>
      <c r="E852" s="92">
        <f t="shared" si="40"/>
        <v>6.3598309513538063E-6</v>
      </c>
      <c r="F852" s="93">
        <f t="shared" si="41"/>
        <v>0.99963237992974918</v>
      </c>
    </row>
    <row r="853" spans="1:6" x14ac:dyDescent="0.3">
      <c r="A853" s="88">
        <f t="shared" si="42"/>
        <v>845</v>
      </c>
      <c r="B853" s="89" t="str">
        <f>_xlfn.XLOOKUP(D853,Planilha!O:O,Planilha!C:C)</f>
        <v>02.03.11.03.01</v>
      </c>
      <c r="C853" s="90" t="str">
        <f>_xlfn.XLOOKUP($D853,Planilha!$O:$O,Planilha!F:F)</f>
        <v>DISJUNTOR TRIPOLAR IN=40A</v>
      </c>
      <c r="D853" s="91">
        <f>LARGE(Planilha!$O:$O,$A853)</f>
        <v>88.52</v>
      </c>
      <c r="E853" s="92">
        <f t="shared" si="40"/>
        <v>6.3598309513538063E-6</v>
      </c>
      <c r="F853" s="93">
        <f t="shared" si="41"/>
        <v>0.9996387397607005</v>
      </c>
    </row>
    <row r="854" spans="1:6" x14ac:dyDescent="0.3">
      <c r="A854" s="88">
        <f t="shared" si="42"/>
        <v>846</v>
      </c>
      <c r="B854" s="89" t="str">
        <f>_xlfn.XLOOKUP(D854,Planilha!O:O,Planilha!C:C)</f>
        <v>02.03.11.03.01</v>
      </c>
      <c r="C854" s="90" t="str">
        <f>_xlfn.XLOOKUP($D854,Planilha!$O:$O,Planilha!F:F)</f>
        <v>DISJUNTOR TRIPOLAR IN=40A</v>
      </c>
      <c r="D854" s="91">
        <f>LARGE(Planilha!$O:$O,$A854)</f>
        <v>88.52</v>
      </c>
      <c r="E854" s="92">
        <f t="shared" si="40"/>
        <v>6.3598309513538063E-6</v>
      </c>
      <c r="F854" s="93">
        <f t="shared" si="41"/>
        <v>0.99964509959165182</v>
      </c>
    </row>
    <row r="855" spans="1:6" ht="33.6" x14ac:dyDescent="0.3">
      <c r="A855" s="88">
        <f t="shared" si="42"/>
        <v>847</v>
      </c>
      <c r="B855" s="89" t="str">
        <f>_xlfn.XLOOKUP(D855,Planilha!O:O,Planilha!C:C)</f>
        <v>02.04.02.01.20</v>
      </c>
      <c r="C855" s="90" t="str">
        <f>_xlfn.XLOOKUP($D855,Planilha!$O:$O,Planilha!F:F)</f>
        <v>TE, PVC, SOLDÁVEL, DN 75MM, INSTALADO EM PRUMADA DE ÁGUA - FORNECIMENTO E INSTALAÇÃO. AF_12/2014</v>
      </c>
      <c r="D855" s="91">
        <f>LARGE(Planilha!$O:$O,$A855)</f>
        <v>88.17</v>
      </c>
      <c r="E855" s="92">
        <f t="shared" si="40"/>
        <v>6.3346847602899363E-6</v>
      </c>
      <c r="F855" s="93">
        <f t="shared" si="41"/>
        <v>0.99965143427641212</v>
      </c>
    </row>
    <row r="856" spans="1:6" x14ac:dyDescent="0.3">
      <c r="A856" s="88">
        <f t="shared" si="42"/>
        <v>848</v>
      </c>
      <c r="B856" s="89" t="str">
        <f>_xlfn.XLOOKUP(D856,Planilha!O:O,Planilha!C:C)</f>
        <v>02.03.08.15</v>
      </c>
      <c r="C856" s="90" t="str">
        <f>_xlfn.XLOOKUP($D856,Planilha!$O:$O,Planilha!F:F)</f>
        <v>CAIXA DE TOMADA EM ALUMÍNIO PARA PISO 4´ X 4´</v>
      </c>
      <c r="D856" s="91">
        <f>LARGE(Planilha!$O:$O,$A856)</f>
        <v>87.43</v>
      </c>
      <c r="E856" s="92">
        <f t="shared" si="40"/>
        <v>6.281518527754896E-6</v>
      </c>
      <c r="F856" s="93">
        <f t="shared" si="41"/>
        <v>0.99965771579493989</v>
      </c>
    </row>
    <row r="857" spans="1:6" ht="50.4" x14ac:dyDescent="0.3">
      <c r="A857" s="88">
        <f t="shared" si="42"/>
        <v>849</v>
      </c>
      <c r="B857" s="89" t="str">
        <f>_xlfn.XLOOKUP(D857,Planilha!O:O,Planilha!C:C)</f>
        <v>02.04.02.01.06</v>
      </c>
      <c r="C857" s="90" t="str">
        <f>_xlfn.XLOOKUP($D857,Planilha!$O:$O,Planilha!F:F)</f>
        <v>TUBO, PVC, SOLDÁVEL, DN 85 MM, INSTALADO EM RESERVAÇÃO DE ÁGUA DE EDIFICAÇÃO QUE POSSUA RESERVATÓRIO DE FIBRA/FIBROCIMENTO   FORNECIMENTO E INSTALAÇÃO. AF_06/2016</v>
      </c>
      <c r="D857" s="91">
        <f>LARGE(Planilha!$O:$O,$A857)</f>
        <v>85.07</v>
      </c>
      <c r="E857" s="92">
        <f t="shared" si="40"/>
        <v>6.1119613537242242E-6</v>
      </c>
      <c r="F857" s="93">
        <f t="shared" si="41"/>
        <v>0.99966382775629359</v>
      </c>
    </row>
    <row r="858" spans="1:6" ht="50.4" x14ac:dyDescent="0.3">
      <c r="A858" s="88">
        <f t="shared" si="42"/>
        <v>850</v>
      </c>
      <c r="B858" s="89" t="str">
        <f>_xlfn.XLOOKUP(D858,Planilha!O:O,Planilha!C:C)</f>
        <v>02.03.02.01.04</v>
      </c>
      <c r="C858" s="90" t="str">
        <f>_xlfn.XLOOKUP($D858,Planilha!$O:$O,Planilha!F:F)</f>
        <v>CONDULETE DE ALUMÍNIO, TIPO T, PARA ELETRODUTO DE AÇO GALVANIZADO DN 20 MM (3/4''), APARENTE - FORNECIMENTO E INSTALAÇÃO. AF_11/2016_P</v>
      </c>
      <c r="D858" s="91">
        <f>LARGE(Planilha!$O:$O,$A858)</f>
        <v>84.82</v>
      </c>
      <c r="E858" s="92">
        <f t="shared" si="40"/>
        <v>6.0939997886786022E-6</v>
      </c>
      <c r="F858" s="93">
        <f t="shared" si="41"/>
        <v>0.99966992175608227</v>
      </c>
    </row>
    <row r="859" spans="1:6" ht="33.6" x14ac:dyDescent="0.3">
      <c r="A859" s="88">
        <f t="shared" si="42"/>
        <v>851</v>
      </c>
      <c r="B859" s="89" t="str">
        <f>_xlfn.XLOOKUP(D859,Planilha!O:O,Planilha!C:C)</f>
        <v>02.04.02.04.06</v>
      </c>
      <c r="C859" s="90" t="str">
        <f>_xlfn.XLOOKUP($D859,Planilha!$O:$O,Planilha!F:F)</f>
        <v>TORNEIRA CROMADA PARA TANQUE/JARDIM, 1/2", REF.1153 C39, DECA OU SIMILAR</v>
      </c>
      <c r="D859" s="91">
        <f>LARGE(Planilha!$O:$O,$A859)</f>
        <v>82.48</v>
      </c>
      <c r="E859" s="92">
        <f t="shared" si="40"/>
        <v>5.9258795398515814E-6</v>
      </c>
      <c r="F859" s="93">
        <f t="shared" si="41"/>
        <v>0.99967584763562212</v>
      </c>
    </row>
    <row r="860" spans="1:6" ht="50.4" x14ac:dyDescent="0.3">
      <c r="A860" s="88">
        <f t="shared" si="42"/>
        <v>852</v>
      </c>
      <c r="B860" s="89" t="str">
        <f>_xlfn.XLOOKUP(D860,Planilha!O:O,Planilha!C:C)</f>
        <v>02.04.02.01.28</v>
      </c>
      <c r="C860" s="90" t="str">
        <f>_xlfn.XLOOKUP($D860,Planilha!$O:$O,Planilha!F:F)</f>
        <v>ADAPTADOR CURTO COM BOLSA E ROSCA PARA REGISTRO, PVC, SOLDÁVEL, DN 32MM X 1, INSTALADO EM RAMAL OU SUB-RAMAL DE ÁGUA - FORNECIMENTO E INSTALAÇÃO. AF_12/2014</v>
      </c>
      <c r="D860" s="91">
        <f>LARGE(Planilha!$O:$O,$A860)</f>
        <v>81.55</v>
      </c>
      <c r="E860" s="92">
        <f t="shared" si="40"/>
        <v>5.8590625178818678E-6</v>
      </c>
      <c r="F860" s="93">
        <f t="shared" si="41"/>
        <v>0.99968170669814005</v>
      </c>
    </row>
    <row r="861" spans="1:6" ht="33.6" x14ac:dyDescent="0.3">
      <c r="A861" s="88">
        <f t="shared" si="42"/>
        <v>853</v>
      </c>
      <c r="B861" s="89" t="str">
        <f>_xlfn.XLOOKUP(D861,Planilha!O:O,Planilha!C:C)</f>
        <v>02.03.09.33</v>
      </c>
      <c r="C861" s="90" t="str">
        <f>_xlfn.XLOOKUP($D861,Planilha!$O:$O,Planilha!F:F)</f>
        <v>FORNECIMENTO E INSTALAÇÃO DE FONTE DE ALIMENTAÇÃO  12V / 10A (OU SIMILAR)</v>
      </c>
      <c r="D861" s="91">
        <f>LARGE(Planilha!$O:$O,$A861)</f>
        <v>80.989999999999995</v>
      </c>
      <c r="E861" s="92">
        <f t="shared" si="40"/>
        <v>5.8188286121796744E-6</v>
      </c>
      <c r="F861" s="93">
        <f t="shared" si="41"/>
        <v>0.99968752552675222</v>
      </c>
    </row>
    <row r="862" spans="1:6" ht="33.6" x14ac:dyDescent="0.3">
      <c r="A862" s="88">
        <f t="shared" si="42"/>
        <v>854</v>
      </c>
      <c r="B862" s="89" t="str">
        <f>_xlfn.XLOOKUP(D862,Planilha!O:O,Planilha!C:C)</f>
        <v>02.03.11.03.11</v>
      </c>
      <c r="C862" s="90" t="str">
        <f>_xlfn.XLOOKUP($D862,Planilha!$O:$O,Planilha!F:F)</f>
        <v>DISJUNTOR TRIPOLAR TIPO DIN, CORRENTE NOMINAL DE 32A - FORNECIMENTO E INSTALAÇÃO. AF_10/2020</v>
      </c>
      <c r="D862" s="91">
        <f>LARGE(Planilha!$O:$O,$A862)</f>
        <v>78.89</v>
      </c>
      <c r="E862" s="92">
        <f t="shared" si="40"/>
        <v>5.6679514657964509E-6</v>
      </c>
      <c r="F862" s="93">
        <f t="shared" si="41"/>
        <v>0.99969319347821806</v>
      </c>
    </row>
    <row r="863" spans="1:6" ht="33.6" x14ac:dyDescent="0.3">
      <c r="A863" s="88">
        <f t="shared" si="42"/>
        <v>855</v>
      </c>
      <c r="B863" s="89" t="str">
        <f>_xlfn.XLOOKUP(D863,Planilha!O:O,Planilha!C:C)</f>
        <v>02.03.11.03.11</v>
      </c>
      <c r="C863" s="90" t="str">
        <f>_xlfn.XLOOKUP($D863,Planilha!$O:$O,Planilha!F:F)</f>
        <v>DISJUNTOR TRIPOLAR TIPO DIN, CORRENTE NOMINAL DE 32A - FORNECIMENTO E INSTALAÇÃO. AF_10/2020</v>
      </c>
      <c r="D863" s="91">
        <f>LARGE(Planilha!$O:$O,$A863)</f>
        <v>78.89</v>
      </c>
      <c r="E863" s="92">
        <f t="shared" si="40"/>
        <v>5.6679514657964509E-6</v>
      </c>
      <c r="F863" s="93">
        <f t="shared" si="41"/>
        <v>0.99969886142968389</v>
      </c>
    </row>
    <row r="864" spans="1:6" ht="33.6" x14ac:dyDescent="0.3">
      <c r="A864" s="88">
        <f t="shared" si="42"/>
        <v>856</v>
      </c>
      <c r="B864" s="89" t="str">
        <f>_xlfn.XLOOKUP(D864,Planilha!O:O,Planilha!C:C)</f>
        <v>02.03.11.03.11</v>
      </c>
      <c r="C864" s="90" t="str">
        <f>_xlfn.XLOOKUP($D864,Planilha!$O:$O,Planilha!F:F)</f>
        <v>DISJUNTOR TRIPOLAR TIPO DIN, CORRENTE NOMINAL DE 32A - FORNECIMENTO E INSTALAÇÃO. AF_10/2020</v>
      </c>
      <c r="D864" s="91">
        <f>LARGE(Planilha!$O:$O,$A864)</f>
        <v>78.89</v>
      </c>
      <c r="E864" s="92">
        <f t="shared" si="40"/>
        <v>5.6679514657964509E-6</v>
      </c>
      <c r="F864" s="93">
        <f t="shared" si="41"/>
        <v>0.99970452938114973</v>
      </c>
    </row>
    <row r="865" spans="1:6" ht="50.4" x14ac:dyDescent="0.3">
      <c r="A865" s="88">
        <f t="shared" si="42"/>
        <v>857</v>
      </c>
      <c r="B865" s="89" t="str">
        <f>_xlfn.XLOOKUP(D865,Planilha!O:O,Planilha!C:C)</f>
        <v>02.04.01.01.10</v>
      </c>
      <c r="C865" s="90" t="str">
        <f>_xlfn.XLOOKUP($D865,Planilha!$O:$O,Planilha!F:F)</f>
        <v>JOELHO 45 GRAUS, PVC, SERIE R, ÁGUA PLUVIAL, DN 75 MM, JUNTA ELÁSTICA, FORNECIDO E INSTALADO EM CONDUTORES VERTICAIS DE ÁGUAS PLUVIAIS. AF_12/2014</v>
      </c>
      <c r="D865" s="91">
        <f>LARGE(Planilha!$O:$O,$A865)</f>
        <v>78.14</v>
      </c>
      <c r="E865" s="92">
        <f t="shared" si="40"/>
        <v>5.6140667706595851E-6</v>
      </c>
      <c r="F865" s="93">
        <f t="shared" si="41"/>
        <v>0.99971014344792042</v>
      </c>
    </row>
    <row r="866" spans="1:6" x14ac:dyDescent="0.3">
      <c r="A866" s="88">
        <f t="shared" si="42"/>
        <v>858</v>
      </c>
      <c r="B866" s="89" t="str">
        <f>_xlfn.XLOOKUP(D866,Planilha!O:O,Planilha!C:C)</f>
        <v>02.03.11.12.09</v>
      </c>
      <c r="C866" s="90" t="str">
        <f>_xlfn.XLOOKUP($D866,Planilha!$O:$O,Planilha!F:F)</f>
        <v>BOTÃO Ø 22MM LIGA A BOMBA</v>
      </c>
      <c r="D866" s="91">
        <f>LARGE(Planilha!$O:$O,$A866)</f>
        <v>77.27</v>
      </c>
      <c r="E866" s="92">
        <f t="shared" si="40"/>
        <v>5.5515605243008202E-6</v>
      </c>
      <c r="F866" s="93">
        <f t="shared" si="41"/>
        <v>0.9997156950084447</v>
      </c>
    </row>
    <row r="867" spans="1:6" ht="33.6" x14ac:dyDescent="0.3">
      <c r="A867" s="88">
        <f t="shared" si="42"/>
        <v>859</v>
      </c>
      <c r="B867" s="89" t="str">
        <f>_xlfn.XLOOKUP(D867,Planilha!O:O,Planilha!C:C)</f>
        <v>02.04.02.01.44</v>
      </c>
      <c r="C867" s="90" t="str">
        <f>_xlfn.XLOOKUP($D867,Planilha!$O:$O,Planilha!F:F)</f>
        <v>UNIÃO, PVC, SOLDÁVEL, DN 50MM, INSTALADO EM PRUMADA DE ÁGUA - FORNECIMENTO E INSTALAÇÃO. AF_12/2014</v>
      </c>
      <c r="D867" s="91">
        <f>LARGE(Planilha!$O:$O,$A867)</f>
        <v>77.02</v>
      </c>
      <c r="E867" s="92">
        <f t="shared" si="40"/>
        <v>5.5335989592551983E-6</v>
      </c>
      <c r="F867" s="93">
        <f t="shared" si="41"/>
        <v>0.99972122860740398</v>
      </c>
    </row>
    <row r="868" spans="1:6" ht="33.6" x14ac:dyDescent="0.3">
      <c r="A868" s="88">
        <f t="shared" si="42"/>
        <v>860</v>
      </c>
      <c r="B868" s="89" t="str">
        <f>_xlfn.XLOOKUP(D868,Planilha!O:O,Planilha!C:C)</f>
        <v>02.03.11.05.09</v>
      </c>
      <c r="C868" s="90" t="str">
        <f>_xlfn.XLOOKUP($D868,Planilha!$O:$O,Planilha!F:F)</f>
        <v>DISJUNTOR TRIPOLAR TIPO DIN, CORRENTE NOMINAL DE 25A - FORNECIMENTO E INSTALAÇÃO. AF_10/2020</v>
      </c>
      <c r="D868" s="91">
        <f>LARGE(Planilha!$O:$O,$A868)</f>
        <v>72.88</v>
      </c>
      <c r="E868" s="92">
        <f t="shared" si="40"/>
        <v>5.2361554420996999E-6</v>
      </c>
      <c r="F868" s="93">
        <f t="shared" si="41"/>
        <v>0.9997264647628461</v>
      </c>
    </row>
    <row r="869" spans="1:6" ht="50.4" x14ac:dyDescent="0.3">
      <c r="A869" s="88">
        <f t="shared" ref="A869:A884" si="43">+A868+1</f>
        <v>861</v>
      </c>
      <c r="B869" s="89" t="str">
        <f>_xlfn.XLOOKUP(D869,Planilha!O:O,Planilha!C:C)</f>
        <v>02.04.03.07.05</v>
      </c>
      <c r="C869" s="90" t="str">
        <f>_xlfn.XLOOKUP($D869,Planilha!$O:$O,Planilha!F:F)</f>
        <v>TRANSPORTE COM CAMINHÃO BASCULANTE DE 10 M³, EM VIA URBANA PAVIMENTADA, ADICIONAL PARA DMT EXCEDENTE A 30 KM (UNIDADE: M3XKM). AF_07/2020</v>
      </c>
      <c r="D869" s="91">
        <f>LARGE(Planilha!$O:$O,$A869)</f>
        <v>72.56</v>
      </c>
      <c r="E869" s="92">
        <f t="shared" si="40"/>
        <v>5.2131646388413038E-6</v>
      </c>
      <c r="F869" s="93">
        <f t="shared" si="41"/>
        <v>0.99973167792748496</v>
      </c>
    </row>
    <row r="870" spans="1:6" ht="33.6" x14ac:dyDescent="0.3">
      <c r="A870" s="88">
        <f t="shared" si="43"/>
        <v>862</v>
      </c>
      <c r="B870" s="89" t="str">
        <f>_xlfn.XLOOKUP(D870,Planilha!O:O,Planilha!C:C)</f>
        <v>02.04.03.05.05</v>
      </c>
      <c r="C870" s="90" t="str">
        <f>_xlfn.XLOOKUP($D870,Planilha!$O:$O,Planilha!F:F)</f>
        <v>TERMINAL DE VENTILAÇÃO EM PVC RÍGIDO SOLDÁVEL, PARA ESGOTO PRIMÁRIO, DIÂM = 50MM</v>
      </c>
      <c r="D870" s="91">
        <f>LARGE(Planilha!$O:$O,$A870)</f>
        <v>71.55</v>
      </c>
      <c r="E870" s="92">
        <f t="shared" si="40"/>
        <v>5.1405999160569914E-6</v>
      </c>
      <c r="F870" s="93">
        <f t="shared" si="41"/>
        <v>0.99973681852740104</v>
      </c>
    </row>
    <row r="871" spans="1:6" ht="50.4" x14ac:dyDescent="0.3">
      <c r="A871" s="88">
        <f t="shared" si="43"/>
        <v>863</v>
      </c>
      <c r="B871" s="89" t="str">
        <f>_xlfn.XLOOKUP(D871,Planilha!O:O,Planilha!C:C)</f>
        <v>02.04.02.01.23</v>
      </c>
      <c r="C871" s="90" t="str">
        <f>_xlfn.XLOOKUP($D871,Planilha!$O:$O,Planilha!F:F)</f>
        <v>TÊ DE REDUÇÃO, PVC, SOLDÁVEL, DN 50MM X 25MM, INSTALADO EM PRUMADA DE ÁGUA - FORNECIMENTO E INSTALAÇÃO. AF_12/2014</v>
      </c>
      <c r="D871" s="91">
        <f>LARGE(Planilha!$O:$O,$A871)</f>
        <v>71.52</v>
      </c>
      <c r="E871" s="92">
        <f t="shared" si="40"/>
        <v>5.1384445282515167E-6</v>
      </c>
      <c r="F871" s="93">
        <f t="shared" si="41"/>
        <v>0.99974195697192925</v>
      </c>
    </row>
    <row r="872" spans="1:6" x14ac:dyDescent="0.3">
      <c r="A872" s="88">
        <f t="shared" si="43"/>
        <v>864</v>
      </c>
      <c r="B872" s="89" t="str">
        <f>_xlfn.XLOOKUP(D872,Planilha!O:O,Planilha!C:C)</f>
        <v>02.03.08.04</v>
      </c>
      <c r="C872" s="90" t="str">
        <f>_xlfn.XLOOKUP($D872,Planilha!$O:$O,Planilha!F:F)</f>
        <v>LUVA DE ALUMÍNIO Ø3/4"</v>
      </c>
      <c r="D872" s="91">
        <f>LARGE(Planilha!$O:$O,$A872)</f>
        <v>71.12</v>
      </c>
      <c r="E872" s="92">
        <f t="shared" si="40"/>
        <v>5.1097060241785217E-6</v>
      </c>
      <c r="F872" s="93">
        <f t="shared" si="41"/>
        <v>0.99974706667795343</v>
      </c>
    </row>
    <row r="873" spans="1:6" ht="50.4" x14ac:dyDescent="0.3">
      <c r="A873" s="88">
        <f t="shared" si="43"/>
        <v>865</v>
      </c>
      <c r="B873" s="89" t="str">
        <f>_xlfn.XLOOKUP(D873,Planilha!O:O,Planilha!C:C)</f>
        <v>02.05.01.13</v>
      </c>
      <c r="C873" s="90" t="str">
        <f>_xlfn.XLOOKUP($D873,Planilha!$O:$O,Planilha!F:F)</f>
        <v>TE EM COBRE, DN 22 MM, SEM ANEL DE SOLDA, INSTALADO EM RAMAL DE DISTRIBUIÇÃO DE HIDRÁULICA PREDIAL - FORNECIMENTO E INSTALAÇÃO. AF_04/2022</v>
      </c>
      <c r="D873" s="91">
        <f>LARGE(Planilha!$O:$O,$A873)</f>
        <v>70.72</v>
      </c>
      <c r="E873" s="92">
        <f t="shared" si="40"/>
        <v>5.0809675201055268E-6</v>
      </c>
      <c r="F873" s="93">
        <f t="shared" si="41"/>
        <v>0.99975214764547349</v>
      </c>
    </row>
    <row r="874" spans="1:6" ht="50.4" x14ac:dyDescent="0.3">
      <c r="A874" s="88">
        <f t="shared" si="43"/>
        <v>866</v>
      </c>
      <c r="B874" s="89" t="str">
        <f>_xlfn.XLOOKUP(D874,Planilha!O:O,Planilha!C:C)</f>
        <v>02.05.01.07</v>
      </c>
      <c r="C874" s="90" t="str">
        <f>_xlfn.XLOOKUP($D874,Planilha!$O:$O,Planilha!F:F)</f>
        <v>LUVA EM COBRE, DN 28 MM, SEM ANEL DE SOLDA, INSTALADO EM RAMAL DE DISTRIBUIÇÃO DE HIDRÁULICA PREDIAL - FORNECIMENTO E INSTALAÇÃO. AF_04/2022</v>
      </c>
      <c r="D874" s="91">
        <f>LARGE(Planilha!$O:$O,$A874)</f>
        <v>70.23</v>
      </c>
      <c r="E874" s="92">
        <f t="shared" si="40"/>
        <v>5.0457628526161084E-6</v>
      </c>
      <c r="F874" s="93">
        <f t="shared" si="41"/>
        <v>0.99975719340832614</v>
      </c>
    </row>
    <row r="875" spans="1:6" ht="33.6" x14ac:dyDescent="0.3">
      <c r="A875" s="88">
        <f t="shared" si="43"/>
        <v>867</v>
      </c>
      <c r="B875" s="89" t="str">
        <f>_xlfn.XLOOKUP(D875,Planilha!O:O,Planilha!C:C)</f>
        <v>02.03.11.05.08</v>
      </c>
      <c r="C875" s="90" t="str">
        <f>_xlfn.XLOOKUP($D875,Planilha!$O:$O,Planilha!F:F)</f>
        <v>DISJUNTOR TRIPOLAR TIPO DIN, CORRENTE NOMINAL DE 20A - FORNECIMENTO E INSTALAÇÃO. AF_10/2020</v>
      </c>
      <c r="D875" s="91">
        <f>LARGE(Planilha!$O:$O,$A875)</f>
        <v>68.959999999999994</v>
      </c>
      <c r="E875" s="92">
        <f t="shared" si="40"/>
        <v>4.9545181021843478E-6</v>
      </c>
      <c r="F875" s="93">
        <f t="shared" si="41"/>
        <v>0.99976214792642837</v>
      </c>
    </row>
    <row r="876" spans="1:6" ht="33.6" x14ac:dyDescent="0.3">
      <c r="A876" s="88">
        <f t="shared" si="43"/>
        <v>868</v>
      </c>
      <c r="B876" s="89" t="str">
        <f>_xlfn.XLOOKUP(D876,Planilha!O:O,Planilha!C:C)</f>
        <v>02.03.11.05.08</v>
      </c>
      <c r="C876" s="90" t="str">
        <f>_xlfn.XLOOKUP($D876,Planilha!$O:$O,Planilha!F:F)</f>
        <v>DISJUNTOR TRIPOLAR TIPO DIN, CORRENTE NOMINAL DE 20A - FORNECIMENTO E INSTALAÇÃO. AF_10/2020</v>
      </c>
      <c r="D876" s="91">
        <f>LARGE(Planilha!$O:$O,$A876)</f>
        <v>68.959999999999994</v>
      </c>
      <c r="E876" s="92">
        <f t="shared" si="40"/>
        <v>4.9545181021843478E-6</v>
      </c>
      <c r="F876" s="93">
        <f t="shared" si="41"/>
        <v>0.9997671024445306</v>
      </c>
    </row>
    <row r="877" spans="1:6" ht="33.6" x14ac:dyDescent="0.3">
      <c r="A877" s="88">
        <f t="shared" si="43"/>
        <v>869</v>
      </c>
      <c r="B877" s="89" t="str">
        <f>_xlfn.XLOOKUP(D877,Planilha!O:O,Planilha!C:C)</f>
        <v>02.03.11.05.08</v>
      </c>
      <c r="C877" s="90" t="str">
        <f>_xlfn.XLOOKUP($D877,Planilha!$O:$O,Planilha!F:F)</f>
        <v>DISJUNTOR TRIPOLAR TIPO DIN, CORRENTE NOMINAL DE 20A - FORNECIMENTO E INSTALAÇÃO. AF_10/2020</v>
      </c>
      <c r="D877" s="91">
        <f>LARGE(Planilha!$O:$O,$A877)</f>
        <v>68.959999999999994</v>
      </c>
      <c r="E877" s="92">
        <f t="shared" si="40"/>
        <v>4.9545181021843478E-6</v>
      </c>
      <c r="F877" s="93">
        <f t="shared" si="41"/>
        <v>0.99977205696263283</v>
      </c>
    </row>
    <row r="878" spans="1:6" ht="33.6" x14ac:dyDescent="0.3">
      <c r="A878" s="88">
        <f t="shared" si="43"/>
        <v>870</v>
      </c>
      <c r="B878" s="89" t="str">
        <f>_xlfn.XLOOKUP(D878,Planilha!O:O,Planilha!C:C)</f>
        <v>02.04.02.01.43</v>
      </c>
      <c r="C878" s="90" t="str">
        <f>_xlfn.XLOOKUP($D878,Planilha!$O:$O,Planilha!F:F)</f>
        <v>UNIÃO, PVC, SOLDÁVEL, DN 40MM, INSTALADO EM PRUMADA DE ÁGUA - FORNECIMENTO E INSTALAÇÃO. AF_12/2014</v>
      </c>
      <c r="D878" s="91">
        <f>LARGE(Planilha!$O:$O,$A878)</f>
        <v>68.900000000000006</v>
      </c>
      <c r="E878" s="92">
        <f t="shared" si="40"/>
        <v>4.9502073265734E-6</v>
      </c>
      <c r="F878" s="93">
        <f t="shared" si="41"/>
        <v>0.99977700716995943</v>
      </c>
    </row>
    <row r="879" spans="1:6" x14ac:dyDescent="0.3">
      <c r="A879" s="88">
        <f t="shared" si="43"/>
        <v>871</v>
      </c>
      <c r="B879" s="89" t="str">
        <f>_xlfn.XLOOKUP(D879,Planilha!O:O,Planilha!C:C)</f>
        <v>02.03.07.01</v>
      </c>
      <c r="C879" s="90" t="str">
        <f>_xlfn.XLOOKUP($D879,Planilha!$O:$O,Planilha!F:F)</f>
        <v>SAIDA HORIZONTAL PARA ELETRODUTO 1""</v>
      </c>
      <c r="D879" s="91">
        <f>LARGE(Planilha!$O:$O,$A879)</f>
        <v>68.849999999999994</v>
      </c>
      <c r="E879" s="92">
        <f t="shared" si="40"/>
        <v>4.9466150135642742E-6</v>
      </c>
      <c r="F879" s="93">
        <f t="shared" si="41"/>
        <v>0.99978195378497303</v>
      </c>
    </row>
    <row r="880" spans="1:6" x14ac:dyDescent="0.3">
      <c r="A880" s="88">
        <f t="shared" si="43"/>
        <v>872</v>
      </c>
      <c r="B880" s="89" t="str">
        <f>_xlfn.XLOOKUP(D880,Planilha!O:O,Planilha!C:C)</f>
        <v>02.03.11.13.13</v>
      </c>
      <c r="C880" s="90" t="str">
        <f>_xlfn.XLOOKUP($D880,Planilha!$O:$O,Planilha!F:F)</f>
        <v>LÂMPADA DE SINALIZAÇÃO 220V, COR VERMELHA</v>
      </c>
      <c r="D880" s="91">
        <f>LARGE(Planilha!$O:$O,$A880)</f>
        <v>68.55</v>
      </c>
      <c r="E880" s="92">
        <f t="shared" si="40"/>
        <v>4.9250611355095282E-6</v>
      </c>
      <c r="F880" s="93">
        <f t="shared" si="41"/>
        <v>0.99978687884610851</v>
      </c>
    </row>
    <row r="881" spans="1:6" ht="50.4" x14ac:dyDescent="0.3">
      <c r="A881" s="88">
        <f t="shared" si="43"/>
        <v>873</v>
      </c>
      <c r="B881" s="89" t="str">
        <f>_xlfn.XLOOKUP(D881,Planilha!O:O,Planilha!C:C)</f>
        <v>02.04.03.01.17</v>
      </c>
      <c r="C881" s="90" t="str">
        <f>_xlfn.XLOOKUP($D881,Planilha!$O:$O,Planilha!F:F)</f>
        <v>JUNÇÃO SIMPLES, PVC, SERIE R, ÁGUA PLUVIAL, DN 40 MM, JUNTA SOLDÁVEL, FORNECIDO E INSTALADO EM RAMAL DE ENCAMINHAMENTO. AF_12/2014</v>
      </c>
      <c r="D881" s="91">
        <f>LARGE(Planilha!$O:$O,$A881)</f>
        <v>68.319999999999993</v>
      </c>
      <c r="E881" s="92">
        <f t="shared" si="40"/>
        <v>4.9085364956675556E-6</v>
      </c>
      <c r="F881" s="93">
        <f t="shared" si="41"/>
        <v>0.99979178738260421</v>
      </c>
    </row>
    <row r="882" spans="1:6" ht="50.4" x14ac:dyDescent="0.3">
      <c r="A882" s="88">
        <f t="shared" si="43"/>
        <v>874</v>
      </c>
      <c r="B882" s="89" t="str">
        <f>_xlfn.XLOOKUP(D882,Planilha!O:O,Planilha!C:C)</f>
        <v>02.04.01.01.13</v>
      </c>
      <c r="C882" s="90" t="str">
        <f>_xlfn.XLOOKUP($D882,Planilha!$O:$O,Planilha!F:F)</f>
        <v>JUNÇÃO SIMPLES, PVC, SERIE R, ÁGUA PLUVIAL, DN 75 X 75 MM, JUNTA ELÁSTICA, FORNECIDO E INSTALADO EM CONDUTORES VERTICAIS DE ÁGUAS PLUVIAIS. AF_12/2014</v>
      </c>
      <c r="D882" s="91">
        <f>LARGE(Planilha!$O:$O,$A882)</f>
        <v>68.209999999999994</v>
      </c>
      <c r="E882" s="92">
        <f t="shared" si="40"/>
        <v>4.900633407047482E-6</v>
      </c>
      <c r="F882" s="93">
        <f t="shared" si="41"/>
        <v>0.99979668801601129</v>
      </c>
    </row>
    <row r="883" spans="1:6" ht="67.2" x14ac:dyDescent="0.3">
      <c r="A883" s="88">
        <f t="shared" si="43"/>
        <v>875</v>
      </c>
      <c r="B883" s="89" t="str">
        <f>_xlfn.XLOOKUP(D883,Planilha!O:O,Planilha!C:C)</f>
        <v>02.04.03.07.03</v>
      </c>
      <c r="C883" s="90" t="str">
        <f>_xlfn.XLOOKUP($D883,Planilha!$O:$O,Planilha!F:F)</f>
        <v>CARGA, MANOBRA E DESCARGA DE ENTULHO EM CAMINHÃO BASCULANTE 6 M³ - CARGA COM ESCAVADEIRA HIDRÁULICA  (CAÇAMBA DE 0,80 M³ / 111 HP) E DESCARGA LIVRE (UNIDADE: M3). AF_07/2020</v>
      </c>
      <c r="D883" s="91">
        <f>LARGE(Planilha!$O:$O,$A883)</f>
        <v>67.959999999999994</v>
      </c>
      <c r="E883" s="92">
        <f t="shared" si="40"/>
        <v>4.8826718420018601E-6</v>
      </c>
      <c r="F883" s="93">
        <f t="shared" si="41"/>
        <v>0.99980157068785325</v>
      </c>
    </row>
    <row r="884" spans="1:6" ht="50.4" x14ac:dyDescent="0.3">
      <c r="A884" s="88">
        <f t="shared" si="43"/>
        <v>876</v>
      </c>
      <c r="B884" s="89" t="str">
        <f>_xlfn.XLOOKUP(D884,Planilha!O:O,Planilha!C:C)</f>
        <v>02.04.02.01.17</v>
      </c>
      <c r="C884" s="90" t="str">
        <f>_xlfn.XLOOKUP($D884,Planilha!$O:$O,Planilha!F:F)</f>
        <v>TE, PVC, SOLDÁVEL, DN 32MM, INSTALADO EM RAMAL DE DISTRIBUIÇÃO DE ÁGUA - FORNECIMENTO E INSTALAÇÃO. AF_12/2014</v>
      </c>
      <c r="D884" s="91">
        <f>LARGE(Planilha!$O:$O,$A884)</f>
        <v>67.8</v>
      </c>
      <c r="E884" s="92">
        <f t="shared" si="40"/>
        <v>4.8711764403726624E-6</v>
      </c>
      <c r="F884" s="93">
        <f t="shared" si="41"/>
        <v>0.99980644186429357</v>
      </c>
    </row>
    <row r="885" spans="1:6" ht="33.6" x14ac:dyDescent="0.3">
      <c r="A885" s="88">
        <f t="shared" ref="A885:A899" si="44">+A884+1</f>
        <v>877</v>
      </c>
      <c r="B885" s="89" t="str">
        <f>_xlfn.XLOOKUP(D885,Planilha!O:O,Planilha!C:C)</f>
        <v>02.01.07.05.06</v>
      </c>
      <c r="C885" s="90" t="str">
        <f>_xlfn.XLOOKUP($D885,Planilha!$O:$O,Planilha!F:F)</f>
        <v>BASE COM BRITA GRADUADA, EXCLUSIVE PÓ DE PEDRA E TRANSPORTE DA BRITA)</v>
      </c>
      <c r="D885" s="91">
        <f>LARGE(Planilha!$O:$O,$A885)</f>
        <v>66.150000000000006</v>
      </c>
      <c r="E885" s="92">
        <f t="shared" si="40"/>
        <v>4.7526301110715587E-6</v>
      </c>
      <c r="F885" s="93">
        <f t="shared" si="41"/>
        <v>0.9998111944944047</v>
      </c>
    </row>
    <row r="886" spans="1:6" ht="50.4" x14ac:dyDescent="0.3">
      <c r="A886" s="88">
        <f t="shared" si="44"/>
        <v>878</v>
      </c>
      <c r="B886" s="89" t="str">
        <f>_xlfn.XLOOKUP(D886,Planilha!O:O,Planilha!C:C)</f>
        <v>02.03.02.01.01</v>
      </c>
      <c r="C886" s="90" t="str">
        <f>_xlfn.XLOOKUP($D886,Planilha!$O:$O,Planilha!F:F)</f>
        <v>CAIXA RETANGULAR 4" X 2" BAIXA (0,30 M DO PISO), PVC, INSTALADA EM PAREDE - FORNECIMENTO E INSTALAÇÃO. AF_12/2015</v>
      </c>
      <c r="D886" s="91">
        <f>LARGE(Planilha!$O:$O,$A886)</f>
        <v>65.64</v>
      </c>
      <c r="E886" s="92">
        <f t="shared" si="40"/>
        <v>4.7159885183784894E-6</v>
      </c>
      <c r="F886" s="93">
        <f t="shared" si="41"/>
        <v>0.99981591048292306</v>
      </c>
    </row>
    <row r="887" spans="1:6" ht="33.6" x14ac:dyDescent="0.3">
      <c r="A887" s="88">
        <f t="shared" si="44"/>
        <v>879</v>
      </c>
      <c r="B887" s="89" t="str">
        <f>_xlfn.XLOOKUP(D887,Planilha!O:O,Planilha!C:C)</f>
        <v>02.03.11.05.07</v>
      </c>
      <c r="C887" s="90" t="str">
        <f>_xlfn.XLOOKUP($D887,Planilha!$O:$O,Planilha!F:F)</f>
        <v>DISJUNTOR TRIPOLAR TIPO DIN, CORRENTE NOMINAL DE 16A - FORNECIMENTO E INSTALAÇÃO. AF_10/2020</v>
      </c>
      <c r="D887" s="91">
        <f>LARGE(Planilha!$O:$O,$A887)</f>
        <v>65.42</v>
      </c>
      <c r="E887" s="92">
        <f t="shared" si="40"/>
        <v>4.7001823411383422E-6</v>
      </c>
      <c r="F887" s="93">
        <f t="shared" si="41"/>
        <v>0.99982061066526418</v>
      </c>
    </row>
    <row r="888" spans="1:6" ht="50.4" x14ac:dyDescent="0.3">
      <c r="A888" s="88">
        <f t="shared" si="44"/>
        <v>880</v>
      </c>
      <c r="B888" s="89" t="str">
        <f>_xlfn.XLOOKUP(D888,Planilha!O:O,Planilha!C:C)</f>
        <v>02.04.03.01.18</v>
      </c>
      <c r="C888" s="90" t="str">
        <f>_xlfn.XLOOKUP($D888,Planilha!$O:$O,Planilha!F:F)</f>
        <v>JUNÇÃO SIMPLES, PVC, SERIE NORMAL, ESGOTO PREDIAL, DN 50 X 50 MM, JUNTA ELÁSTICA, FORNECIDO E INSTALADO EM RAMAL DE DESCARGA OU RAMAL DE ESGOTO SANITÁRIO. AF_12/2014</v>
      </c>
      <c r="D888" s="91">
        <f>LARGE(Planilha!$O:$O,$A888)</f>
        <v>63.18</v>
      </c>
      <c r="E888" s="92">
        <f t="shared" si="40"/>
        <v>4.5392467183295695E-6</v>
      </c>
      <c r="F888" s="93">
        <f t="shared" si="41"/>
        <v>0.99982514991198246</v>
      </c>
    </row>
    <row r="889" spans="1:6" ht="50.4" x14ac:dyDescent="0.3">
      <c r="A889" s="88">
        <f t="shared" si="44"/>
        <v>881</v>
      </c>
      <c r="B889" s="89" t="str">
        <f>_xlfn.XLOOKUP(D889,Planilha!O:O,Planilha!C:C)</f>
        <v>02.03.08.13</v>
      </c>
      <c r="C889" s="90" t="str">
        <f>_xlfn.XLOOKUP($D889,Planilha!$O:$O,Planilha!F:F)</f>
        <v>ELETRODUTO FLEXÍVEL CORRUGADO, PEAD, DN 50 (1 1/2"), PARA REDE ENTERRADA DE DISTRIBUIÇÃO DE ENERGIA ELÉTRICA - FORNECIMENTO E INSTALAÇÃO. AF_12/2021</v>
      </c>
      <c r="D889" s="91">
        <f>LARGE(Planilha!$O:$O,$A889)</f>
        <v>61.32</v>
      </c>
      <c r="E889" s="92">
        <f t="shared" si="40"/>
        <v>4.4056126743901432E-6</v>
      </c>
      <c r="F889" s="93">
        <f t="shared" si="41"/>
        <v>0.9998295555246568</v>
      </c>
    </row>
    <row r="890" spans="1:6" ht="67.2" x14ac:dyDescent="0.3">
      <c r="A890" s="88">
        <f t="shared" si="44"/>
        <v>882</v>
      </c>
      <c r="B890" s="89" t="str">
        <f>_xlfn.XLOOKUP(D890,Planilha!O:O,Planilha!C:C)</f>
        <v>02.04.02.01.32</v>
      </c>
      <c r="C890" s="90" t="str">
        <f>_xlfn.XLOOKUP($D890,Planilha!$O:$O,Planilha!F:F)</f>
        <v>ADAPTADOR COM FLANGES LIVRES, PVC, SOLDÁVEL LONGO, DN 32 MM X 1 , INSTALADO EM RESERVAÇÃO DE ÁGUA DE EDIFICAÇÃO QUE POSSUA RESERVATÓRIO DE FIBRA/FIBROCIMENTO   FORNECIMENTO E INSTALAÇÃO. AF_06/2016</v>
      </c>
      <c r="D890" s="91">
        <f>LARGE(Planilha!$O:$O,$A890)</f>
        <v>61.24</v>
      </c>
      <c r="E890" s="92">
        <f t="shared" si="40"/>
        <v>4.3998649735755435E-6</v>
      </c>
      <c r="F890" s="93">
        <f t="shared" si="41"/>
        <v>0.99983395538963038</v>
      </c>
    </row>
    <row r="891" spans="1:6" ht="50.4" x14ac:dyDescent="0.3">
      <c r="A891" s="88">
        <f t="shared" si="44"/>
        <v>883</v>
      </c>
      <c r="B891" s="89" t="str">
        <f>_xlfn.XLOOKUP(D891,Planilha!O:O,Planilha!C:C)</f>
        <v>02.05.01.23</v>
      </c>
      <c r="C891" s="90" t="str">
        <f>_xlfn.XLOOKUP($D891,Planilha!$O:$O,Planilha!F:F)</f>
        <v>BUCHA DE REDUÇÃO EM COBRE, DN 35 MM X 28 MM, SEM ANEL DE SOLDA, PONTA X BOLSA, INSTALADO EM PRUMADA  FORNECIMENTO E INSTALAÇÃO. AF_01/2016</v>
      </c>
      <c r="D891" s="91">
        <f>LARGE(Planilha!$O:$O,$A891)</f>
        <v>61.06</v>
      </c>
      <c r="E891" s="92">
        <f t="shared" si="40"/>
        <v>4.3869326467426958E-6</v>
      </c>
      <c r="F891" s="93">
        <f t="shared" si="41"/>
        <v>0.99983834232227708</v>
      </c>
    </row>
    <row r="892" spans="1:6" ht="33.6" x14ac:dyDescent="0.3">
      <c r="A892" s="88">
        <f t="shared" si="44"/>
        <v>884</v>
      </c>
      <c r="B892" s="89" t="str">
        <f>_xlfn.XLOOKUP(D892,Planilha!O:O,Planilha!C:C)</f>
        <v>02.03.11.09.07</v>
      </c>
      <c r="C892" s="90" t="str">
        <f>_xlfn.XLOOKUP($D892,Planilha!$O:$O,Planilha!F:F)</f>
        <v>DISJUNTOR BIPOLAR TIPO DIN, CORRENTE NOMINAL DE 32A - FORNECIMENTO E INSTALAÇÃO. AF_10/2020</v>
      </c>
      <c r="D892" s="91">
        <f>LARGE(Planilha!$O:$O,$A892)</f>
        <v>60.71</v>
      </c>
      <c r="E892" s="92">
        <f t="shared" si="40"/>
        <v>4.3617864556788258E-6</v>
      </c>
      <c r="F892" s="93">
        <f t="shared" si="41"/>
        <v>0.99984270410873277</v>
      </c>
    </row>
    <row r="893" spans="1:6" ht="33.6" x14ac:dyDescent="0.3">
      <c r="A893" s="88">
        <f t="shared" si="44"/>
        <v>885</v>
      </c>
      <c r="B893" s="89" t="str">
        <f>_xlfn.XLOOKUP(D893,Planilha!O:O,Planilha!C:C)</f>
        <v>02.03.11.09.07</v>
      </c>
      <c r="C893" s="90" t="str">
        <f>_xlfn.XLOOKUP($D893,Planilha!$O:$O,Planilha!F:F)</f>
        <v>DISJUNTOR BIPOLAR TIPO DIN, CORRENTE NOMINAL DE 32A - FORNECIMENTO E INSTALAÇÃO. AF_10/2020</v>
      </c>
      <c r="D893" s="91">
        <f>LARGE(Planilha!$O:$O,$A893)</f>
        <v>60.71</v>
      </c>
      <c r="E893" s="92">
        <f t="shared" si="40"/>
        <v>4.3617864556788258E-6</v>
      </c>
      <c r="F893" s="93">
        <f t="shared" si="41"/>
        <v>0.99984706589518846</v>
      </c>
    </row>
    <row r="894" spans="1:6" ht="33.6" x14ac:dyDescent="0.3">
      <c r="A894" s="88">
        <f t="shared" si="44"/>
        <v>886</v>
      </c>
      <c r="B894" s="89" t="str">
        <f>_xlfn.XLOOKUP(D894,Planilha!O:O,Planilha!C:C)</f>
        <v>02.01.07.05.13</v>
      </c>
      <c r="C894" s="90" t="str">
        <f>_xlfn.XLOOKUP($D894,Planilha!$O:$O,Planilha!F:F)</f>
        <v>IMPERMEABILIZAÇÃO EM MANTA ASFÁLTICA COM ARMADURA, TIPO III-B, ESPESSURA DE 3 MM</v>
      </c>
      <c r="D894" s="91">
        <f>LARGE(Planilha!$O:$O,$A894)</f>
        <v>60.37</v>
      </c>
      <c r="E894" s="92">
        <f t="shared" si="40"/>
        <v>4.3373587272167795E-6</v>
      </c>
      <c r="F894" s="93">
        <f t="shared" si="41"/>
        <v>0.99985140325391564</v>
      </c>
    </row>
    <row r="895" spans="1:6" x14ac:dyDescent="0.3">
      <c r="A895" s="88">
        <f t="shared" si="44"/>
        <v>887</v>
      </c>
      <c r="B895" s="89" t="str">
        <f>_xlfn.XLOOKUP(D895,Planilha!O:O,Planilha!C:C)</f>
        <v>02.03.07.09</v>
      </c>
      <c r="C895" s="90" t="str">
        <f>_xlfn.XLOOKUP($D895,Planilha!$O:$O,Planilha!F:F)</f>
        <v>PLACA DE 4´ X 4´</v>
      </c>
      <c r="D895" s="91">
        <f>LARGE(Planilha!$O:$O,$A895)</f>
        <v>57.5</v>
      </c>
      <c r="E895" s="92">
        <f t="shared" si="40"/>
        <v>4.13115996049304E-6</v>
      </c>
      <c r="F895" s="93">
        <f t="shared" si="41"/>
        <v>0.99985553441387609</v>
      </c>
    </row>
    <row r="896" spans="1:6" x14ac:dyDescent="0.3">
      <c r="A896" s="88">
        <f t="shared" si="44"/>
        <v>888</v>
      </c>
      <c r="B896" s="89" t="str">
        <f>_xlfn.XLOOKUP(D896,Planilha!O:O,Planilha!C:C)</f>
        <v>02.04.02.04.03</v>
      </c>
      <c r="C896" s="90" t="str">
        <f>_xlfn.XLOOKUP($D896,Planilha!$O:$O,Planilha!F:F)</f>
        <v>FLEXÍVEL PARA TANQUE - 1/2"</v>
      </c>
      <c r="D896" s="91">
        <f>LARGE(Planilha!$O:$O,$A896)</f>
        <v>55.79</v>
      </c>
      <c r="E896" s="92">
        <f t="shared" si="40"/>
        <v>4.0083028555809859E-6</v>
      </c>
      <c r="F896" s="93">
        <f t="shared" si="41"/>
        <v>0.99985954271673172</v>
      </c>
    </row>
    <row r="897" spans="1:6" x14ac:dyDescent="0.3">
      <c r="A897" s="88">
        <f t="shared" si="44"/>
        <v>889</v>
      </c>
      <c r="B897" s="89" t="str">
        <f>_xlfn.XLOOKUP(D897,Planilha!O:O,Planilha!C:C)</f>
        <v>02.04.02.04.03</v>
      </c>
      <c r="C897" s="90" t="str">
        <f>_xlfn.XLOOKUP($D897,Planilha!$O:$O,Planilha!F:F)</f>
        <v>FLEXÍVEL PARA TANQUE - 1/2"</v>
      </c>
      <c r="D897" s="91">
        <f>LARGE(Planilha!$O:$O,$A897)</f>
        <v>55.79</v>
      </c>
      <c r="E897" s="92">
        <f t="shared" si="40"/>
        <v>4.0083028555809859E-6</v>
      </c>
      <c r="F897" s="93">
        <f t="shared" si="41"/>
        <v>0.99986355101958735</v>
      </c>
    </row>
    <row r="898" spans="1:6" x14ac:dyDescent="0.3">
      <c r="A898" s="88">
        <f t="shared" si="44"/>
        <v>890</v>
      </c>
      <c r="B898" s="89" t="str">
        <f>_xlfn.XLOOKUP(D898,Planilha!O:O,Planilha!C:C)</f>
        <v>02.04.01.05.01</v>
      </c>
      <c r="C898" s="90" t="str">
        <f>_xlfn.XLOOKUP($D898,Planilha!$O:$O,Planilha!F:F)</f>
        <v>GRELHA HEMISFÉRICA EM FERRO FUNDIDO DE 3"</v>
      </c>
      <c r="D898" s="91">
        <f>LARGE(Planilha!$O:$O,$A898)</f>
        <v>55.12</v>
      </c>
      <c r="E898" s="92">
        <f t="shared" si="40"/>
        <v>3.960165861258719E-6</v>
      </c>
      <c r="F898" s="93">
        <f t="shared" si="41"/>
        <v>0.99986751118544859</v>
      </c>
    </row>
    <row r="899" spans="1:6" ht="50.4" x14ac:dyDescent="0.3">
      <c r="A899" s="88">
        <f t="shared" si="44"/>
        <v>891</v>
      </c>
      <c r="B899" s="89" t="str">
        <f>_xlfn.XLOOKUP(D899,Planilha!O:O,Planilha!C:C)</f>
        <v>02.04.02.01.29</v>
      </c>
      <c r="C899" s="90" t="str">
        <f>_xlfn.XLOOKUP($D899,Planilha!$O:$O,Planilha!F:F)</f>
        <v>ADAPTADOR CURTO COM BOLSA E ROSCA PARA REGISTRO, PVC, SOLDÁVEL, DN 40MM X 1.1/2, INSTALADO EM PRUMADA DE ÁGUA - FORNECIMENTO E INSTALAÇÃO. AF_12/2014</v>
      </c>
      <c r="D899" s="91">
        <f>LARGE(Planilha!$O:$O,$A899)</f>
        <v>53.48</v>
      </c>
      <c r="E899" s="92">
        <f t="shared" si="40"/>
        <v>3.842337994559439E-6</v>
      </c>
      <c r="F899" s="93">
        <f t="shared" si="41"/>
        <v>0.99987135352344314</v>
      </c>
    </row>
    <row r="900" spans="1:6" x14ac:dyDescent="0.3">
      <c r="A900" s="88">
        <f t="shared" ref="A900:A916" si="45">+A899+1</f>
        <v>892</v>
      </c>
      <c r="B900" s="89" t="str">
        <f>_xlfn.XLOOKUP(D900,Planilha!O:O,Planilha!C:C)</f>
        <v>02.03.11.11.09</v>
      </c>
      <c r="C900" s="90" t="str">
        <f>_xlfn.XLOOKUP($D900,Planilha!$O:$O,Planilha!F:F)</f>
        <v>FUSÍVEL DIAZED 4A</v>
      </c>
      <c r="D900" s="91">
        <f>LARGE(Planilha!$O:$O,$A900)</f>
        <v>52.72</v>
      </c>
      <c r="E900" s="92">
        <f t="shared" si="40"/>
        <v>3.787734836820749E-6</v>
      </c>
      <c r="F900" s="93">
        <f t="shared" si="41"/>
        <v>0.99987514125827992</v>
      </c>
    </row>
    <row r="901" spans="1:6" x14ac:dyDescent="0.3">
      <c r="A901" s="88">
        <f t="shared" si="45"/>
        <v>893</v>
      </c>
      <c r="B901" s="89" t="str">
        <f>_xlfn.XLOOKUP(D901,Planilha!O:O,Planilha!C:C)</f>
        <v>02.03.08.09</v>
      </c>
      <c r="C901" s="90" t="str">
        <f>_xlfn.XLOOKUP($D901,Planilha!$O:$O,Planilha!F:F)</f>
        <v>SAIDA LATERAL SIMPLES PARA ELETRODUTO 3/4""</v>
      </c>
      <c r="D901" s="91">
        <f>LARGE(Planilha!$O:$O,$A901)</f>
        <v>52.1</v>
      </c>
      <c r="E901" s="92">
        <f t="shared" si="40"/>
        <v>3.7431901555076069E-6</v>
      </c>
      <c r="F901" s="93">
        <f t="shared" si="41"/>
        <v>0.99987888444843542</v>
      </c>
    </row>
    <row r="902" spans="1:6" ht="33.6" x14ac:dyDescent="0.3">
      <c r="A902" s="88">
        <f t="shared" si="45"/>
        <v>894</v>
      </c>
      <c r="B902" s="89" t="str">
        <f>_xlfn.XLOOKUP(D902,Planilha!O:O,Planilha!C:C)</f>
        <v>02.03.11.13.07</v>
      </c>
      <c r="C902" s="90" t="str">
        <f>_xlfn.XLOOKUP($D902,Planilha!$O:$O,Planilha!F:F)</f>
        <v>DISJUNTOR BIPOLAR TIPO DIN, CORRENTE NOMINAL DE 16A - FORNECIMENTO E INSTALAÇÃO. AF_10/2020</v>
      </c>
      <c r="D902" s="91">
        <f>LARGE(Planilha!$O:$O,$A902)</f>
        <v>51.73</v>
      </c>
      <c r="E902" s="92">
        <f t="shared" si="40"/>
        <v>3.7166070392400859E-6</v>
      </c>
      <c r="F902" s="93">
        <f t="shared" si="41"/>
        <v>0.99988260105547466</v>
      </c>
    </row>
    <row r="903" spans="1:6" ht="33.6" x14ac:dyDescent="0.3">
      <c r="A903" s="88">
        <f t="shared" si="45"/>
        <v>895</v>
      </c>
      <c r="B903" s="89" t="str">
        <f>_xlfn.XLOOKUP(D903,Planilha!O:O,Planilha!C:C)</f>
        <v>02.04.02.03.06</v>
      </c>
      <c r="C903" s="90" t="str">
        <f>_xlfn.XLOOKUP($D903,Planilha!$O:$O,Planilha!F:F)</f>
        <v>VÁLVULA DE ESFERA BRUTA, BRONZE, ROSCÁVEL, 3/4'' - FORNECIMENTO E INSTALAÇÃO. AF_08/2021</v>
      </c>
      <c r="D903" s="91">
        <f>LARGE(Planilha!$O:$O,$A903)</f>
        <v>50.66</v>
      </c>
      <c r="E903" s="92">
        <f t="shared" si="40"/>
        <v>3.639731540844824E-6</v>
      </c>
      <c r="F903" s="93">
        <f t="shared" si="41"/>
        <v>0.99988624078701549</v>
      </c>
    </row>
    <row r="904" spans="1:6" ht="33.6" x14ac:dyDescent="0.3">
      <c r="A904" s="88">
        <f t="shared" si="45"/>
        <v>896</v>
      </c>
      <c r="B904" s="89" t="str">
        <f>_xlfn.XLOOKUP(D904,Planilha!O:O,Planilha!C:C)</f>
        <v>02.04.03.01.33</v>
      </c>
      <c r="C904" s="90" t="str">
        <f>_xlfn.XLOOKUP($D904,Planilha!$O:$O,Planilha!F:F)</f>
        <v>REDUÇÃO EXCENTRICA EM PVC RÍGIDO SOLDÁVEL, PARA ESGOTO PRIMÁRIO, DIÂM = 100 X 50MM</v>
      </c>
      <c r="D904" s="91">
        <f>LARGE(Planilha!$O:$O,$A904)</f>
        <v>49.44</v>
      </c>
      <c r="E904" s="92">
        <f t="shared" si="40"/>
        <v>3.5520791034221891E-6</v>
      </c>
      <c r="F904" s="93">
        <f t="shared" si="41"/>
        <v>0.9998897928661189</v>
      </c>
    </row>
    <row r="905" spans="1:6" ht="50.4" x14ac:dyDescent="0.3">
      <c r="A905" s="88">
        <f t="shared" si="45"/>
        <v>897</v>
      </c>
      <c r="B905" s="89" t="str">
        <f>_xlfn.XLOOKUP(D905,Planilha!O:O,Planilha!C:C)</f>
        <v>02.01.07.05.05</v>
      </c>
      <c r="C905" s="90" t="str">
        <f>_xlfn.XLOOKUP($D905,Planilha!$O:$O,Planilha!F:F)</f>
        <v>TRANSPORTE COM CAMINHÃO BASCULANTE DE 10 M³, EM VIA URBANA PAVIMENTADA, ADICIONAL PARA DMT EXCEDENTE A 30 KM (UNIDADE: M3XKM). AF_07/2020</v>
      </c>
      <c r="D905" s="91">
        <f>LARGE(Planilha!$O:$O,$A905)</f>
        <v>48.82</v>
      </c>
      <c r="E905" s="92">
        <f t="shared" ref="E905:E931" si="46">D905/$D$933</f>
        <v>3.507534422109047E-6</v>
      </c>
      <c r="F905" s="93">
        <f t="shared" ref="F905" si="47">+E905+F904</f>
        <v>0.99989330040054103</v>
      </c>
    </row>
    <row r="906" spans="1:6" x14ac:dyDescent="0.3">
      <c r="A906" s="88">
        <f t="shared" si="45"/>
        <v>898</v>
      </c>
      <c r="B906" s="89" t="str">
        <f>_xlfn.XLOOKUP(D906,Planilha!O:O,Planilha!C:C)</f>
        <v>02.03.06.11</v>
      </c>
      <c r="C906" s="90" t="str">
        <f>_xlfn.XLOOKUP($D906,Planilha!$O:$O,Planilha!F:F)</f>
        <v>CAIXA DE PASSAGEM PVC 20 X 20CM, SISTEMA "X", COM TAMPA</v>
      </c>
      <c r="D906" s="91">
        <f>LARGE(Planilha!$O:$O,$A906)</f>
        <v>47.74</v>
      </c>
      <c r="E906" s="92">
        <f t="shared" si="46"/>
        <v>3.4299404611119605E-6</v>
      </c>
      <c r="F906" s="93">
        <f t="shared" ref="F906:F916" si="48">+E906+F905</f>
        <v>0.99989673034100213</v>
      </c>
    </row>
    <row r="907" spans="1:6" x14ac:dyDescent="0.3">
      <c r="A907" s="88">
        <f t="shared" si="45"/>
        <v>899</v>
      </c>
      <c r="B907" s="89" t="str">
        <f>_xlfn.XLOOKUP(D907,Planilha!O:O,Planilha!C:C)</f>
        <v>02.03.11.03.03</v>
      </c>
      <c r="C907" s="90" t="str">
        <f>_xlfn.XLOOKUP($D907,Planilha!$O:$O,Planilha!F:F)</f>
        <v>FUSÍVEL DIAZED RETARDADO DE 2 A ATÉ 25 A</v>
      </c>
      <c r="D907" s="91">
        <f>LARGE(Planilha!$O:$O,$A907)</f>
        <v>46.83</v>
      </c>
      <c r="E907" s="92">
        <f t="shared" si="46"/>
        <v>3.3645603643458966E-6</v>
      </c>
      <c r="F907" s="93">
        <f t="shared" si="48"/>
        <v>0.99990009490136644</v>
      </c>
    </row>
    <row r="908" spans="1:6" ht="67.2" x14ac:dyDescent="0.3">
      <c r="A908" s="88">
        <f t="shared" si="45"/>
        <v>900</v>
      </c>
      <c r="B908" s="89" t="str">
        <f>_xlfn.XLOOKUP(D908,Planilha!O:O,Planilha!C:C)</f>
        <v>02.01.07.05.03</v>
      </c>
      <c r="C908" s="90" t="str">
        <f>_xlfn.XLOOKUP($D908,Planilha!$O:$O,Planilha!F:F)</f>
        <v>CARGA, MANOBRA E DESCARGA DE ENTULHO EM CAMINHÃO BASCULANTE 6 M³ - CARGA COM ESCAVADEIRA HIDRÁULICA  (CAÇAMBA DE 0,80 M³ / 111 HP) E DESCARGA LIVRE (UNIDADE: M3). AF_07/2020</v>
      </c>
      <c r="D908" s="91">
        <f>LARGE(Planilha!$O:$O,$A908)</f>
        <v>45.72</v>
      </c>
      <c r="E908" s="92">
        <f t="shared" si="46"/>
        <v>3.2848110155433353E-6</v>
      </c>
      <c r="F908" s="93">
        <f t="shared" si="48"/>
        <v>0.99990337971238197</v>
      </c>
    </row>
    <row r="909" spans="1:6" x14ac:dyDescent="0.3">
      <c r="A909" s="88">
        <f t="shared" si="45"/>
        <v>901</v>
      </c>
      <c r="B909" s="89" t="str">
        <f>_xlfn.XLOOKUP(D909,Planilha!O:O,Planilha!C:C)</f>
        <v>02.03.06.12</v>
      </c>
      <c r="C909" s="90" t="str">
        <f>_xlfn.XLOOKUP($D909,Planilha!$O:$O,Planilha!F:F)</f>
        <v>CAIXA DE PASSAGEM EM PVC TIPO AQUATIC, 100X100X50MM</v>
      </c>
      <c r="D909" s="91">
        <f>LARGE(Planilha!$O:$O,$A909)</f>
        <v>45.7</v>
      </c>
      <c r="E909" s="92">
        <f t="shared" si="46"/>
        <v>3.2833740903396861E-6</v>
      </c>
      <c r="F909" s="93">
        <f t="shared" si="48"/>
        <v>0.99990666308647236</v>
      </c>
    </row>
    <row r="910" spans="1:6" x14ac:dyDescent="0.3">
      <c r="A910" s="88">
        <f t="shared" si="45"/>
        <v>902</v>
      </c>
      <c r="B910" s="89" t="str">
        <f>_xlfn.XLOOKUP(D910,Planilha!O:O,Planilha!C:C)</f>
        <v>02.03.02.01.22</v>
      </c>
      <c r="C910" s="90" t="str">
        <f>_xlfn.XLOOKUP($D910,Planilha!$O:$O,Planilha!F:F)</f>
        <v>SAIDA LATERAL SIMPLES PARA ELETRODUTO 1""</v>
      </c>
      <c r="D910" s="91">
        <f>LARGE(Planilha!$O:$O,$A910)</f>
        <v>44.16</v>
      </c>
      <c r="E910" s="92">
        <f t="shared" si="46"/>
        <v>3.1727308496586546E-6</v>
      </c>
      <c r="F910" s="93">
        <f t="shared" si="48"/>
        <v>0.99990983581732207</v>
      </c>
    </row>
    <row r="911" spans="1:6" ht="50.4" x14ac:dyDescent="0.3">
      <c r="A911" s="88">
        <f t="shared" si="45"/>
        <v>903</v>
      </c>
      <c r="B911" s="89" t="str">
        <f>_xlfn.XLOOKUP(D911,Planilha!O:O,Planilha!C:C)</f>
        <v>02.04.02.01.22</v>
      </c>
      <c r="C911" s="90" t="str">
        <f>_xlfn.XLOOKUP($D911,Planilha!$O:$O,Planilha!F:F)</f>
        <v>TÊ DE REDUÇÃO, PVC, SOLDÁVEL, DN 40MM X 32MM, INSTALADO EM PRUMADA DE ÁGUA - FORNECIMENTO E INSTALAÇÃO. AF_12/2014</v>
      </c>
      <c r="D911" s="91">
        <f>LARGE(Planilha!$O:$O,$A911)</f>
        <v>42.98</v>
      </c>
      <c r="E911" s="92">
        <f t="shared" si="46"/>
        <v>3.0879522626433192E-6</v>
      </c>
      <c r="F911" s="93">
        <f t="shared" si="48"/>
        <v>0.99991292376958474</v>
      </c>
    </row>
    <row r="912" spans="1:6" ht="33.6" x14ac:dyDescent="0.3">
      <c r="A912" s="88">
        <f t="shared" si="45"/>
        <v>904</v>
      </c>
      <c r="B912" s="89" t="str">
        <f>_xlfn.XLOOKUP(D912,Planilha!O:O,Planilha!C:C)</f>
        <v>02.04.03.01.32</v>
      </c>
      <c r="C912" s="90" t="str">
        <f>_xlfn.XLOOKUP($D912,Planilha!$O:$O,Planilha!F:F)</f>
        <v>REDUÇÃO EXCENTRICA EM PVC RÍGIDO SOLDÁVEL, PARA ESGOTO PRIMÁRIO, DIÂM =   75 X 50MM</v>
      </c>
      <c r="D912" s="91">
        <f>LARGE(Planilha!$O:$O,$A912)</f>
        <v>40.880000000000003</v>
      </c>
      <c r="E912" s="92">
        <f t="shared" si="46"/>
        <v>2.9370751162600952E-6</v>
      </c>
      <c r="F912" s="93">
        <f t="shared" si="48"/>
        <v>0.99991586084470097</v>
      </c>
    </row>
    <row r="913" spans="1:6" ht="50.4" x14ac:dyDescent="0.3">
      <c r="A913" s="88">
        <f t="shared" si="45"/>
        <v>905</v>
      </c>
      <c r="B913" s="89" t="str">
        <f>_xlfn.XLOOKUP(D913,Planilha!O:O,Planilha!C:C)</f>
        <v>02.05.01.21</v>
      </c>
      <c r="C913" s="90" t="str">
        <f>_xlfn.XLOOKUP($D913,Planilha!$O:$O,Planilha!F:F)</f>
        <v>BUCHA DE REDUÇÃO EM COBRE, DN 28 MM X 22 MM, SEM ANEL DE SOLDA, INSTALADO EM RAMAL DE DISTRIBUIÇÃO  FORNECIMENTO E INSTALAÇÃO. AF_01/2016</v>
      </c>
      <c r="D913" s="91">
        <f>LARGE(Planilha!$O:$O,$A913)</f>
        <v>40.72</v>
      </c>
      <c r="E913" s="92">
        <f t="shared" si="46"/>
        <v>2.9255797146308971E-6</v>
      </c>
      <c r="F913" s="93">
        <f t="shared" si="48"/>
        <v>0.99991878642441556</v>
      </c>
    </row>
    <row r="914" spans="1:6" ht="50.4" x14ac:dyDescent="0.3">
      <c r="A914" s="88">
        <f t="shared" si="45"/>
        <v>906</v>
      </c>
      <c r="B914" s="89" t="str">
        <f>_xlfn.XLOOKUP(D914,Planilha!O:O,Planilha!C:C)</f>
        <v>02.03.08.02</v>
      </c>
      <c r="C914" s="90" t="str">
        <f>_xlfn.XLOOKUP($D914,Planilha!$O:$O,Planilha!F:F)</f>
        <v>CAIXA RETANGULAR 4" X 4" BAIXA (0,30 M DO PISO), PVC, INSTALADA EM PAREDE - FORNECIMENTO E INSTALAÇÃO. AF_12/2015</v>
      </c>
      <c r="D914" s="91">
        <f>LARGE(Planilha!$O:$O,$A914)</f>
        <v>40.4</v>
      </c>
      <c r="E914" s="92">
        <f t="shared" si="46"/>
        <v>2.902588911372501E-6</v>
      </c>
      <c r="F914" s="93">
        <f t="shared" si="48"/>
        <v>0.9999216890133269</v>
      </c>
    </row>
    <row r="915" spans="1:6" ht="33.6" x14ac:dyDescent="0.3">
      <c r="A915" s="88">
        <f t="shared" si="45"/>
        <v>907</v>
      </c>
      <c r="B915" s="89" t="str">
        <f>_xlfn.XLOOKUP(D915,Planilha!O:O,Planilha!C:C)</f>
        <v>02.04.02.01.41</v>
      </c>
      <c r="C915" s="90" t="str">
        <f>_xlfn.XLOOKUP($D915,Planilha!$O:$O,Planilha!F:F)</f>
        <v>BUCHA DE REDUÇÃO LONGA DE PVC RÍGIDO SOLDÁVEL, MARROM, DIÂM = 50 X 32MM</v>
      </c>
      <c r="D915" s="91">
        <f>LARGE(Planilha!$O:$O,$A915)</f>
        <v>40.18</v>
      </c>
      <c r="E915" s="92">
        <f t="shared" si="46"/>
        <v>2.8867827341323539E-6</v>
      </c>
      <c r="F915" s="93">
        <f t="shared" si="48"/>
        <v>0.99992457579606098</v>
      </c>
    </row>
    <row r="916" spans="1:6" ht="33.6" x14ac:dyDescent="0.3">
      <c r="A916" s="88">
        <f t="shared" si="45"/>
        <v>908</v>
      </c>
      <c r="B916" s="89" t="str">
        <f>_xlfn.XLOOKUP(D916,Planilha!O:O,Planilha!C:C)</f>
        <v>02.03.02.01.16</v>
      </c>
      <c r="C916" s="90" t="str">
        <f>_xlfn.XLOOKUP($D916,Planilha!$O:$O,Planilha!F:F)</f>
        <v>CURVA HORIZONTAL 150 X 100 MM PARA ELETROCALHA METÁLICA, COM ÂNGULO 90° (REF.: MOPA OU SIMILAR)</v>
      </c>
      <c r="D916" s="91">
        <f>LARGE(Planilha!$O:$O,$A916)</f>
        <v>38.71</v>
      </c>
      <c r="E916" s="92">
        <f t="shared" si="46"/>
        <v>2.781168731664097E-6</v>
      </c>
      <c r="F916" s="93">
        <f t="shared" si="48"/>
        <v>0.99992735696479262</v>
      </c>
    </row>
    <row r="917" spans="1:6" ht="33.6" x14ac:dyDescent="0.3">
      <c r="A917" s="88">
        <f t="shared" ref="A917:A931" si="49">+A916+1</f>
        <v>909</v>
      </c>
      <c r="B917" s="89" t="str">
        <f>_xlfn.XLOOKUP(D917,Planilha!O:O,Planilha!C:C)</f>
        <v>02.03.02.01.16</v>
      </c>
      <c r="C917" s="90" t="str">
        <f>_xlfn.XLOOKUP($D917,Planilha!$O:$O,Planilha!F:F)</f>
        <v>CURVA HORIZONTAL 150 X 100 MM PARA ELETROCALHA METÁLICA, COM ÂNGULO 90° (REF.: MOPA OU SIMILAR)</v>
      </c>
      <c r="D917" s="91">
        <f>LARGE(Planilha!$O:$O,$A917)</f>
        <v>38.71</v>
      </c>
      <c r="E917" s="92">
        <f t="shared" si="46"/>
        <v>2.781168731664097E-6</v>
      </c>
      <c r="F917" s="93">
        <f t="shared" ref="F917:F929" si="50">+E917+F916</f>
        <v>0.99993013813352427</v>
      </c>
    </row>
    <row r="918" spans="1:6" x14ac:dyDescent="0.3">
      <c r="A918" s="88">
        <f t="shared" si="49"/>
        <v>910</v>
      </c>
      <c r="B918" s="89" t="str">
        <f>_xlfn.XLOOKUP(D918,Planilha!O:O,Planilha!C:C)</f>
        <v>02.03.08.17</v>
      </c>
      <c r="C918" s="90" t="str">
        <f>_xlfn.XLOOKUP($D918,Planilha!$O:$O,Planilha!F:F)</f>
        <v>TOMADA PARA TV, TIPO PINO JACK, COM PLACA</v>
      </c>
      <c r="D918" s="91">
        <f>LARGE(Planilha!$O:$O,$A918)</f>
        <v>38.700000000000003</v>
      </c>
      <c r="E918" s="92">
        <f t="shared" si="46"/>
        <v>2.7804502690622724E-6</v>
      </c>
      <c r="F918" s="93">
        <f t="shared" si="50"/>
        <v>0.9999329185837933</v>
      </c>
    </row>
    <row r="919" spans="1:6" x14ac:dyDescent="0.3">
      <c r="A919" s="88">
        <f t="shared" si="49"/>
        <v>911</v>
      </c>
      <c r="B919" s="89" t="str">
        <f>_xlfn.XLOOKUP(D919,Planilha!O:O,Planilha!C:C)</f>
        <v>02.04.03.01.05</v>
      </c>
      <c r="C919" s="90" t="str">
        <f>_xlfn.XLOOKUP($D919,Planilha!$O:$O,Planilha!F:F)</f>
        <v>ANEL BORRACHA TUBO PVC 50MM</v>
      </c>
      <c r="D919" s="91">
        <f>LARGE(Planilha!$O:$O,$A919)</f>
        <v>34.65</v>
      </c>
      <c r="E919" s="92">
        <f t="shared" si="46"/>
        <v>2.489472915323197E-6</v>
      </c>
      <c r="F919" s="93">
        <f t="shared" si="50"/>
        <v>0.99993540805670866</v>
      </c>
    </row>
    <row r="920" spans="1:6" ht="50.4" x14ac:dyDescent="0.3">
      <c r="A920" s="88">
        <f t="shared" si="49"/>
        <v>912</v>
      </c>
      <c r="B920" s="89" t="str">
        <f>_xlfn.XLOOKUP(D920,Planilha!O:O,Planilha!C:C)</f>
        <v>02.04.02.01.25</v>
      </c>
      <c r="C920" s="90" t="str">
        <f>_xlfn.XLOOKUP($D920,Planilha!$O:$O,Planilha!F:F)</f>
        <v>TÊ DE REDUÇÃO, PVC, SOLDÁVEL, DN 50MM X 40MM, INSTALADO EM PRUMADA DE ÁGUA - FORNECIMENTO E INSTALAÇÃO. AF_12/2014</v>
      </c>
      <c r="D920" s="91">
        <f>LARGE(Planilha!$O:$O,$A920)</f>
        <v>34.520000000000003</v>
      </c>
      <c r="E920" s="92">
        <f t="shared" si="46"/>
        <v>2.4801329014994742E-6</v>
      </c>
      <c r="F920" s="93">
        <f t="shared" si="50"/>
        <v>0.99993788818961016</v>
      </c>
    </row>
    <row r="921" spans="1:6" ht="50.4" x14ac:dyDescent="0.3">
      <c r="A921" s="88">
        <f t="shared" si="49"/>
        <v>913</v>
      </c>
      <c r="B921" s="89" t="str">
        <f>_xlfn.XLOOKUP(D921,Planilha!O:O,Planilha!C:C)</f>
        <v>02.03.05.04</v>
      </c>
      <c r="C921" s="90" t="str">
        <f>_xlfn.XLOOKUP($D921,Planilha!$O:$O,Planilha!F:F)</f>
        <v>CAIXA RETANGULAR 4" X 2" BAIXA (0,30 M DO PISO), PVC, INSTALADA EM PAREDE - FORNECIMENTO E INSTALAÇÃO. AF_12/2015</v>
      </c>
      <c r="D921" s="91">
        <f>LARGE(Planilha!$O:$O,$A921)</f>
        <v>32.82</v>
      </c>
      <c r="E921" s="92">
        <f t="shared" si="46"/>
        <v>2.3579942591892447E-6</v>
      </c>
      <c r="F921" s="93">
        <f t="shared" si="50"/>
        <v>0.99994024618386934</v>
      </c>
    </row>
    <row r="922" spans="1:6" ht="50.4" x14ac:dyDescent="0.3">
      <c r="A922" s="88">
        <f t="shared" si="49"/>
        <v>914</v>
      </c>
      <c r="B922" s="89" t="str">
        <f>_xlfn.XLOOKUP(D922,Planilha!O:O,Planilha!C:C)</f>
        <v>02.04.03.02.01</v>
      </c>
      <c r="C922" s="90" t="str">
        <f>_xlfn.XLOOKUP($D922,Planilha!$O:$O,Planilha!F:F)</f>
        <v>TUBO, PVC, SOLDÁVEL, DN 25MM, INSTALADO EM RAMAL DE DISTRIBUIÇÃO DE ÁGUA - FORNECIMENTO E INSTALAÇÃO. AF_12/2014</v>
      </c>
      <c r="D922" s="91">
        <f>LARGE(Planilha!$O:$O,$A922)</f>
        <v>32.68</v>
      </c>
      <c r="E922" s="92">
        <f t="shared" si="46"/>
        <v>2.3479357827636963E-6</v>
      </c>
      <c r="F922" s="93">
        <f t="shared" si="50"/>
        <v>0.99994259411965214</v>
      </c>
    </row>
    <row r="923" spans="1:6" ht="50.4" x14ac:dyDescent="0.3">
      <c r="A923" s="88">
        <f t="shared" si="49"/>
        <v>915</v>
      </c>
      <c r="B923" s="89" t="str">
        <f>_xlfn.XLOOKUP(D923,Planilha!O:O,Planilha!C:C)</f>
        <v>02.04.02.01.24</v>
      </c>
      <c r="C923" s="90" t="str">
        <f>_xlfn.XLOOKUP($D923,Planilha!$O:$O,Planilha!F:F)</f>
        <v>TÊ DE REDUÇÃO, PVC, SOLDÁVEL, DN 50MM X 32MM, INSTALADO EM PRUMADA DE ÁGUA - FORNECIMENTO E INSTALAÇÃO. AF_12/2014</v>
      </c>
      <c r="D923" s="91">
        <f>LARGE(Planilha!$O:$O,$A923)</f>
        <v>32.61</v>
      </c>
      <c r="E923" s="92">
        <f t="shared" si="46"/>
        <v>2.3429065445509222E-6</v>
      </c>
      <c r="F923" s="93">
        <f t="shared" si="50"/>
        <v>0.99994493702619669</v>
      </c>
    </row>
    <row r="924" spans="1:6" ht="33.6" x14ac:dyDescent="0.3">
      <c r="A924" s="88">
        <f t="shared" si="49"/>
        <v>916</v>
      </c>
      <c r="B924" s="89" t="str">
        <f>_xlfn.XLOOKUP(D924,Planilha!O:O,Planilha!C:C)</f>
        <v>02.04.02.01.42</v>
      </c>
      <c r="C924" s="90" t="str">
        <f>_xlfn.XLOOKUP($D924,Planilha!$O:$O,Planilha!F:F)</f>
        <v>BUCHA DE REDUÇÃO LONGA DE PVC RÍGIDO SOLDÁVEL, MARROM, DIÂM = 60 X 40MM</v>
      </c>
      <c r="D924" s="91">
        <f>LARGE(Planilha!$O:$O,$A924)</f>
        <v>31.68</v>
      </c>
      <c r="E924" s="92">
        <f t="shared" si="46"/>
        <v>2.2760895225812086E-6</v>
      </c>
      <c r="F924" s="93">
        <f t="shared" si="50"/>
        <v>0.99994721311571932</v>
      </c>
    </row>
    <row r="925" spans="1:6" ht="33.6" x14ac:dyDescent="0.3">
      <c r="A925" s="88">
        <f t="shared" si="49"/>
        <v>917</v>
      </c>
      <c r="B925" s="89" t="str">
        <f>_xlfn.XLOOKUP(D925,Planilha!O:O,Planilha!C:C)</f>
        <v>02.05.01.22</v>
      </c>
      <c r="C925" s="90" t="str">
        <f>_xlfn.XLOOKUP($D925,Planilha!$O:$O,Planilha!F:F)</f>
        <v>BUCHA DE REDUÇÃO DE COBRE, JUNTAS SOLDADAS, DIÂM = 35MM X 22MM</v>
      </c>
      <c r="D925" s="91">
        <f>LARGE(Planilha!$O:$O,$A925)</f>
        <v>30.76</v>
      </c>
      <c r="E925" s="92">
        <f t="shared" si="46"/>
        <v>2.2099909632133201E-6</v>
      </c>
      <c r="F925" s="93">
        <f t="shared" si="50"/>
        <v>0.99994942310668256</v>
      </c>
    </row>
    <row r="926" spans="1:6" x14ac:dyDescent="0.3">
      <c r="A926" s="88">
        <f t="shared" si="49"/>
        <v>918</v>
      </c>
      <c r="B926" s="89" t="str">
        <f>_xlfn.XLOOKUP(D926,Planilha!O:O,Planilha!C:C)</f>
        <v>02.04.03.05.03</v>
      </c>
      <c r="C926" s="90" t="str">
        <f>_xlfn.XLOOKUP($D926,Planilha!$O:$O,Planilha!F:F)</f>
        <v>SIFÃO EM PVC PARA TANQUE 2"</v>
      </c>
      <c r="D926" s="91">
        <f>LARGE(Planilha!$O:$O,$A926)</f>
        <v>30.63</v>
      </c>
      <c r="E926" s="92">
        <f t="shared" si="46"/>
        <v>2.2006509493895968E-6</v>
      </c>
      <c r="F926" s="93">
        <f t="shared" si="50"/>
        <v>0.99995162375763191</v>
      </c>
    </row>
    <row r="927" spans="1:6" x14ac:dyDescent="0.3">
      <c r="A927" s="88">
        <f t="shared" si="49"/>
        <v>919</v>
      </c>
      <c r="B927" s="89" t="str">
        <f>_xlfn.XLOOKUP(D927,Planilha!O:O,Planilha!C:C)</f>
        <v>02.03.03.01.12</v>
      </c>
      <c r="C927" s="90" t="str">
        <f>_xlfn.XLOOKUP($D927,Planilha!$O:$O,Planilha!F:F)</f>
        <v>ARRUELA DE PRESSÃO 1/4"</v>
      </c>
      <c r="D927" s="91">
        <f>LARGE(Planilha!$O:$O,$A927)</f>
        <v>29.4</v>
      </c>
      <c r="E927" s="92">
        <f t="shared" si="46"/>
        <v>2.1122800493651369E-6</v>
      </c>
      <c r="F927" s="93">
        <f t="shared" si="50"/>
        <v>0.99995373603768123</v>
      </c>
    </row>
    <row r="928" spans="1:6" ht="50.4" x14ac:dyDescent="0.3">
      <c r="A928" s="88">
        <f t="shared" si="49"/>
        <v>920</v>
      </c>
      <c r="B928" s="89" t="str">
        <f>_xlfn.XLOOKUP(D928,Planilha!O:O,Planilha!C:C)</f>
        <v>02.04.02.01.37</v>
      </c>
      <c r="C928" s="90" t="str">
        <f>_xlfn.XLOOKUP($D928,Planilha!$O:$O,Planilha!F:F)</f>
        <v>LUVA SOLDÁVEL E COM ROSCA, PVC, SOLDÁVEL, DN 25MM X 3/4, INSTALADO EM RAMAL OU SUB-RAMAL DE ÁGUA - FORNECIMENTO E INSTALAÇÃO. AF_12/2014</v>
      </c>
      <c r="D928" s="91">
        <f>LARGE(Planilha!$O:$O,$A928)</f>
        <v>29.13</v>
      </c>
      <c r="E928" s="92">
        <f t="shared" si="46"/>
        <v>2.0928815591158652E-6</v>
      </c>
      <c r="F928" s="93">
        <f t="shared" si="50"/>
        <v>0.9999558289192404</v>
      </c>
    </row>
    <row r="929" spans="1:6" x14ac:dyDescent="0.3">
      <c r="A929" s="88">
        <f t="shared" si="49"/>
        <v>921</v>
      </c>
      <c r="B929" s="89" t="str">
        <f>_xlfn.XLOOKUP(D929,Planilha!O:O,Planilha!C:C)</f>
        <v>02.03.03.03.31</v>
      </c>
      <c r="C929" s="90" t="str">
        <f>_xlfn.XLOOKUP($D929,Planilha!$O:$O,Planilha!F:F)</f>
        <v>SAIDA HORIZONTAL PARA ELETRODUTO 2""</v>
      </c>
      <c r="D929" s="91">
        <f>LARGE(Planilha!$O:$O,$A929)</f>
        <v>27.54</v>
      </c>
      <c r="E929" s="92">
        <f t="shared" si="46"/>
        <v>1.9786460054257098E-6</v>
      </c>
      <c r="F929" s="93">
        <f t="shared" si="50"/>
        <v>0.99995780756524577</v>
      </c>
    </row>
    <row r="930" spans="1:6" ht="33.6" x14ac:dyDescent="0.3">
      <c r="A930" s="88">
        <f t="shared" si="49"/>
        <v>922</v>
      </c>
      <c r="B930" s="89" t="str">
        <f>_xlfn.XLOOKUP(D930,Planilha!O:O,Planilha!C:C)</f>
        <v>02.04.03.01.34</v>
      </c>
      <c r="C930" s="90" t="str">
        <f>_xlfn.XLOOKUP($D930,Planilha!$O:$O,Planilha!F:F)</f>
        <v>REDUÇÃO EXCENTRICA EM PVC RÍGIDO SOLDÁVEL, PARA ESGOTO PRIMÁRIO, DIÂM = 100 X 75MM</v>
      </c>
      <c r="D930" s="91">
        <f>LARGE(Planilha!$O:$O,$A930)</f>
        <v>27.41</v>
      </c>
      <c r="E930" s="92">
        <f t="shared" si="46"/>
        <v>1.9693059916019865E-6</v>
      </c>
      <c r="F930" s="93">
        <f t="shared" ref="F930:F931" si="51">+E930+F929</f>
        <v>0.99995977687123738</v>
      </c>
    </row>
    <row r="931" spans="1:6" ht="33.6" x14ac:dyDescent="0.3">
      <c r="A931" s="88">
        <f t="shared" si="49"/>
        <v>923</v>
      </c>
      <c r="B931" s="89" t="str">
        <f>_xlfn.XLOOKUP(D931,Planilha!O:O,Planilha!C:C)</f>
        <v>02.03.02.01.17</v>
      </c>
      <c r="C931" s="90" t="str">
        <f>_xlfn.XLOOKUP($D931,Planilha!$O:$O,Planilha!F:F)</f>
        <v>CURVA VERTICAL 150 X 100 MM PARA ELETROCALHA METÁLICA, COM ÂNGULO 90° (REF.: MOPA OU SIMILAR)</v>
      </c>
      <c r="D931" s="91">
        <f>LARGE(Planilha!$O:$O,$A931)</f>
        <v>26.76</v>
      </c>
      <c r="E931" s="92">
        <f t="shared" si="46"/>
        <v>1.9226059224833696E-6</v>
      </c>
      <c r="F931" s="93">
        <f t="shared" si="51"/>
        <v>0.99996169947715985</v>
      </c>
    </row>
    <row r="932" spans="1:6" x14ac:dyDescent="0.3">
      <c r="A932" s="88"/>
      <c r="B932" s="89"/>
      <c r="C932" s="90"/>
      <c r="D932" s="89"/>
      <c r="E932" s="89"/>
      <c r="F932" s="94"/>
    </row>
    <row r="933" spans="1:6" s="98" customFormat="1" ht="21" thickBot="1" x14ac:dyDescent="0.35">
      <c r="A933" s="611" t="s">
        <v>3309</v>
      </c>
      <c r="B933" s="612"/>
      <c r="C933" s="612"/>
      <c r="D933" s="95">
        <f>Planilha!M1196</f>
        <v>13918608.949999982</v>
      </c>
      <c r="E933" s="96">
        <f>D933/D933</f>
        <v>1</v>
      </c>
      <c r="F933" s="97"/>
    </row>
  </sheetData>
  <autoFilter ref="A8:F933" xr:uid="{0B4F2ACD-47BF-4E39-AFC7-2E465E8DB5C4}"/>
  <mergeCells count="6">
    <mergeCell ref="A2:F2"/>
    <mergeCell ref="B6:C6"/>
    <mergeCell ref="A933:C933"/>
    <mergeCell ref="B4:C4"/>
    <mergeCell ref="B5:C5"/>
    <mergeCell ref="B7:C7"/>
  </mergeCells>
  <pageMargins left="0.51181102362204722" right="0.51181102362204722" top="0.78740157480314965" bottom="0.78740157480314965" header="0.31496062992125984" footer="0.31496062992125984"/>
  <pageSetup paperSize="9" scale="68" fitToHeight="0" orientation="portrait"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79452-1574-4B54-B854-538A022B6393}">
  <sheetPr>
    <tabColor rgb="FFFFFF00"/>
    <outlinePr summaryBelow="0" summaryRight="0"/>
    <pageSetUpPr fitToPage="1"/>
  </sheetPr>
  <dimension ref="B2:S211"/>
  <sheetViews>
    <sheetView showGridLines="0" zoomScale="85" zoomScaleNormal="85" zoomScaleSheetLayoutView="85" workbookViewId="0">
      <pane xSplit="4" ySplit="12" topLeftCell="E190" activePane="bottomRight" state="frozen"/>
      <selection activeCell="G14" sqref="G14"/>
      <selection pane="topRight" activeCell="G14" sqref="G14"/>
      <selection pane="bottomLeft" activeCell="G14" sqref="G14"/>
      <selection pane="bottomRight" activeCell="D29" sqref="D29:D31"/>
    </sheetView>
  </sheetViews>
  <sheetFormatPr defaultColWidth="9.109375" defaultRowHeight="16.8" outlineLevelRow="1" outlineLevelCol="2" x14ac:dyDescent="0.4"/>
  <cols>
    <col min="1" max="1" width="3.44140625" style="41" customWidth="1"/>
    <col min="2" max="2" width="14.6640625" style="41" customWidth="1" outlineLevel="1"/>
    <col min="3" max="3" width="76.6640625" style="41" customWidth="1" outlineLevel="1"/>
    <col min="4" max="4" width="19.6640625" style="41" customWidth="1" outlineLevel="1"/>
    <col min="5" max="5" width="9.109375" style="41" outlineLevel="1"/>
    <col min="6" max="13" width="14.109375" style="41" customWidth="1" outlineLevel="2"/>
    <col min="14" max="14" width="22.33203125" style="41" customWidth="1" outlineLevel="1"/>
    <col min="15" max="15" width="18.33203125" style="41" customWidth="1"/>
    <col min="16" max="16" width="14.33203125" style="41" bestFit="1" customWidth="1"/>
    <col min="17" max="17" width="9.109375" style="41"/>
    <col min="18" max="18" width="12.109375" style="41" bestFit="1" customWidth="1"/>
    <col min="19" max="19" width="12.109375" style="41" customWidth="1"/>
    <col min="20" max="16384" width="9.109375" style="41"/>
  </cols>
  <sheetData>
    <row r="2" spans="2:19" ht="20.399999999999999" x14ac:dyDescent="0.4">
      <c r="B2" s="284" t="s">
        <v>8442</v>
      </c>
      <c r="C2" s="284"/>
      <c r="D2" s="284"/>
      <c r="E2" s="284"/>
      <c r="F2" s="284"/>
      <c r="G2" s="284"/>
      <c r="H2" s="284"/>
      <c r="I2" s="284"/>
      <c r="J2" s="284"/>
      <c r="K2" s="284"/>
      <c r="L2" s="284"/>
      <c r="M2" s="284"/>
      <c r="N2" s="284"/>
      <c r="O2" s="76"/>
      <c r="P2" s="76"/>
      <c r="Q2" s="76"/>
      <c r="R2" s="76"/>
    </row>
    <row r="3" spans="2:19" ht="21" thickBot="1" x14ac:dyDescent="0.45">
      <c r="B3" s="42"/>
      <c r="C3" s="42"/>
      <c r="D3" s="42"/>
      <c r="E3" s="42"/>
      <c r="F3" s="42"/>
      <c r="G3" s="42"/>
      <c r="H3" s="42"/>
      <c r="I3" s="42"/>
      <c r="J3" s="42"/>
      <c r="K3" s="42"/>
      <c r="L3" s="42"/>
      <c r="M3" s="42"/>
      <c r="N3" s="42"/>
      <c r="O3" s="42"/>
      <c r="P3" s="42"/>
      <c r="Q3" s="42"/>
      <c r="R3" s="42"/>
    </row>
    <row r="4" spans="2:19" ht="20.399999999999999" x14ac:dyDescent="0.4">
      <c r="B4" s="615"/>
      <c r="C4" s="99" t="str">
        <f>+Resumo!C4</f>
        <v>LITOTECA URCA/RJ</v>
      </c>
      <c r="D4" s="100"/>
      <c r="E4" s="100"/>
      <c r="F4" s="100"/>
      <c r="G4" s="100"/>
      <c r="H4" s="100"/>
      <c r="I4" s="100"/>
      <c r="J4" s="100"/>
      <c r="K4" s="100"/>
      <c r="L4" s="100"/>
      <c r="M4" s="100"/>
      <c r="N4" s="101"/>
      <c r="O4" s="42"/>
      <c r="P4" s="42"/>
      <c r="Q4" s="42"/>
      <c r="R4" s="42"/>
    </row>
    <row r="5" spans="2:19" ht="20.399999999999999" x14ac:dyDescent="0.4">
      <c r="B5" s="615"/>
      <c r="C5" s="102" t="s">
        <v>3293</v>
      </c>
      <c r="D5" s="103"/>
      <c r="E5" s="103"/>
      <c r="F5" s="103"/>
      <c r="G5" s="103"/>
      <c r="H5" s="103"/>
      <c r="I5" s="103"/>
      <c r="J5" s="103"/>
      <c r="K5" s="103"/>
      <c r="L5" s="103"/>
      <c r="M5" s="103"/>
      <c r="N5" s="104"/>
      <c r="O5" s="42"/>
      <c r="P5" s="42"/>
      <c r="Q5" s="42"/>
      <c r="R5" s="42"/>
    </row>
    <row r="6" spans="2:19" ht="20.399999999999999" x14ac:dyDescent="0.4">
      <c r="B6" s="615"/>
      <c r="C6" s="102" t="str">
        <f>+Resumo!C6</f>
        <v>REFERÊNCIA: BANCOS DE DADOS INFORMADOS NO RESUMO</v>
      </c>
      <c r="D6" s="103"/>
      <c r="E6" s="103"/>
      <c r="F6" s="103"/>
      <c r="G6" s="103"/>
      <c r="H6" s="103"/>
      <c r="I6" s="103"/>
      <c r="J6" s="103"/>
      <c r="K6" s="103"/>
      <c r="L6" s="103"/>
      <c r="M6" s="103"/>
      <c r="N6" s="104"/>
      <c r="O6" s="42"/>
      <c r="P6" s="42"/>
      <c r="Q6" s="42"/>
      <c r="R6" s="42"/>
    </row>
    <row r="7" spans="2:19" ht="21" thickBot="1" x14ac:dyDescent="0.45">
      <c r="B7" s="615"/>
      <c r="C7" s="105" t="str">
        <f>+Planilha!D9</f>
        <v>URCA - RIO DE JANEIRO - RJ</v>
      </c>
      <c r="D7" s="106"/>
      <c r="E7" s="106"/>
      <c r="F7" s="106"/>
      <c r="G7" s="106"/>
      <c r="H7" s="106"/>
      <c r="I7" s="106"/>
      <c r="J7" s="106"/>
      <c r="K7" s="106"/>
      <c r="L7" s="106"/>
      <c r="M7" s="106"/>
      <c r="N7" s="107"/>
      <c r="O7" s="42"/>
      <c r="P7" s="42"/>
      <c r="Q7" s="42"/>
      <c r="R7" s="42"/>
    </row>
    <row r="8" spans="2:19" ht="17.399999999999999" thickBot="1" x14ac:dyDescent="0.45"/>
    <row r="9" spans="2:19" ht="25.2" thickBot="1" x14ac:dyDescent="0.45">
      <c r="B9" s="672" t="s">
        <v>3293</v>
      </c>
      <c r="C9" s="673"/>
      <c r="D9" s="673"/>
      <c r="E9" s="673"/>
      <c r="F9" s="673"/>
      <c r="G9" s="673"/>
      <c r="H9" s="673"/>
      <c r="I9" s="673"/>
      <c r="J9" s="673"/>
      <c r="K9" s="673"/>
      <c r="L9" s="673"/>
      <c r="M9" s="673"/>
      <c r="N9" s="674"/>
    </row>
    <row r="10" spans="2:19" x14ac:dyDescent="0.4">
      <c r="B10" s="668" t="s">
        <v>160</v>
      </c>
      <c r="C10" s="670" t="s">
        <v>165</v>
      </c>
      <c r="D10" s="108" t="s">
        <v>3294</v>
      </c>
      <c r="E10" s="670" t="s">
        <v>3295</v>
      </c>
      <c r="F10" s="677" t="s">
        <v>3295</v>
      </c>
      <c r="G10" s="677"/>
      <c r="H10" s="677"/>
      <c r="I10" s="677"/>
      <c r="J10" s="677"/>
      <c r="K10" s="677"/>
      <c r="L10" s="677"/>
      <c r="M10" s="677"/>
      <c r="N10" s="675" t="s">
        <v>3304</v>
      </c>
    </row>
    <row r="11" spans="2:19" x14ac:dyDescent="0.4">
      <c r="B11" s="669"/>
      <c r="C11" s="671"/>
      <c r="D11" s="110" t="s">
        <v>3305</v>
      </c>
      <c r="E11" s="671"/>
      <c r="F11" s="667" t="s">
        <v>3296</v>
      </c>
      <c r="G11" s="667" t="s">
        <v>3297</v>
      </c>
      <c r="H11" s="667" t="s">
        <v>3298</v>
      </c>
      <c r="I11" s="667" t="s">
        <v>3299</v>
      </c>
      <c r="J11" s="667" t="s">
        <v>3300</v>
      </c>
      <c r="K11" s="667" t="s">
        <v>3301</v>
      </c>
      <c r="L11" s="667" t="s">
        <v>3302</v>
      </c>
      <c r="M11" s="667" t="s">
        <v>3303</v>
      </c>
      <c r="N11" s="676"/>
    </row>
    <row r="12" spans="2:19" x14ac:dyDescent="0.4">
      <c r="B12" s="669"/>
      <c r="C12" s="671"/>
      <c r="D12" s="109" t="s">
        <v>3306</v>
      </c>
      <c r="E12" s="671"/>
      <c r="F12" s="667"/>
      <c r="G12" s="667"/>
      <c r="H12" s="667"/>
      <c r="I12" s="667"/>
      <c r="J12" s="667"/>
      <c r="K12" s="667"/>
      <c r="L12" s="667"/>
      <c r="M12" s="667"/>
      <c r="N12" s="676"/>
    </row>
    <row r="13" spans="2:19" ht="6" customHeight="1" x14ac:dyDescent="0.4">
      <c r="B13" s="111"/>
      <c r="C13" s="112"/>
      <c r="D13" s="112"/>
      <c r="E13" s="112"/>
      <c r="F13" s="113"/>
      <c r="G13" s="113"/>
      <c r="H13" s="113"/>
      <c r="I13" s="113"/>
      <c r="J13" s="113"/>
      <c r="K13" s="113"/>
      <c r="L13" s="113"/>
      <c r="M13" s="113"/>
      <c r="N13" s="114"/>
    </row>
    <row r="14" spans="2:19" x14ac:dyDescent="0.4">
      <c r="B14" s="655" t="s">
        <v>3743</v>
      </c>
      <c r="C14" s="658" t="str">
        <f>_xlfn.XLOOKUP($B14,Planilha!$C:$C,Planilha!$F:$F)</f>
        <v>ADMINISTRAÇÃO, CANTEIRO DE OBRAS E LOGÍSTICA</v>
      </c>
      <c r="D14" s="664">
        <f>_xlfn.XLOOKUP($B14,Planilha!$C:$C,Planilha!$M:$M)</f>
        <v>1701213.4399999997</v>
      </c>
      <c r="E14" s="115" t="s">
        <v>3307</v>
      </c>
      <c r="F14" s="116">
        <f>+F16/$D$14</f>
        <v>0.52189648922007115</v>
      </c>
      <c r="G14" s="116">
        <f t="shared" ref="G14:M14" si="0">+G16/$D$14</f>
        <v>6.8300501539989858E-2</v>
      </c>
      <c r="H14" s="116">
        <f t="shared" si="0"/>
        <v>6.8300501539989858E-2</v>
      </c>
      <c r="I14" s="116">
        <f t="shared" si="0"/>
        <v>6.8300501539989858E-2</v>
      </c>
      <c r="J14" s="116">
        <f t="shared" si="0"/>
        <v>6.8300501539989858E-2</v>
      </c>
      <c r="K14" s="116">
        <f t="shared" si="0"/>
        <v>6.8300501539989858E-2</v>
      </c>
      <c r="L14" s="116">
        <f t="shared" si="0"/>
        <v>6.8300501539989858E-2</v>
      </c>
      <c r="M14" s="116">
        <f t="shared" si="0"/>
        <v>6.8300501539989858E-2</v>
      </c>
      <c r="N14" s="117">
        <f>SUM(F14:M14)</f>
        <v>1.0000000000000004</v>
      </c>
      <c r="O14" s="118"/>
      <c r="P14" s="159" t="e">
        <f t="shared" ref="P14" si="1">+N14-D12</f>
        <v>#VALUE!</v>
      </c>
      <c r="S14" s="416">
        <f>SUM(F14:M14)</f>
        <v>1.0000000000000004</v>
      </c>
    </row>
    <row r="15" spans="2:19" x14ac:dyDescent="0.4">
      <c r="B15" s="656"/>
      <c r="C15" s="659"/>
      <c r="D15" s="665"/>
      <c r="E15" s="119" t="s">
        <v>3308</v>
      </c>
      <c r="F15" s="120">
        <f>IF(F14&lt;&gt;0,1,0)</f>
        <v>1</v>
      </c>
      <c r="G15" s="120">
        <f t="shared" ref="G15:M15" si="2">IF(G14&lt;&gt;0,1,0)</f>
        <v>1</v>
      </c>
      <c r="H15" s="120">
        <f t="shared" si="2"/>
        <v>1</v>
      </c>
      <c r="I15" s="120">
        <f t="shared" si="2"/>
        <v>1</v>
      </c>
      <c r="J15" s="120">
        <f t="shared" si="2"/>
        <v>1</v>
      </c>
      <c r="K15" s="120">
        <f t="shared" si="2"/>
        <v>1</v>
      </c>
      <c r="L15" s="120">
        <f t="shared" si="2"/>
        <v>1</v>
      </c>
      <c r="M15" s="120">
        <f t="shared" si="2"/>
        <v>1</v>
      </c>
      <c r="N15" s="121"/>
      <c r="P15" s="159"/>
      <c r="S15" s="416"/>
    </row>
    <row r="16" spans="2:19" x14ac:dyDescent="0.4">
      <c r="B16" s="657"/>
      <c r="C16" s="660"/>
      <c r="D16" s="666"/>
      <c r="E16" s="122" t="s">
        <v>166</v>
      </c>
      <c r="F16" s="123">
        <f>+F19+F22+F25+F28+F31</f>
        <v>887857.32175</v>
      </c>
      <c r="G16" s="123">
        <f t="shared" ref="G16:M16" si="3">+G19+G22+G25+G28+G31</f>
        <v>116193.73117857143</v>
      </c>
      <c r="H16" s="123">
        <f t="shared" si="3"/>
        <v>116193.73117857143</v>
      </c>
      <c r="I16" s="123">
        <f t="shared" si="3"/>
        <v>116193.73117857143</v>
      </c>
      <c r="J16" s="123">
        <f t="shared" si="3"/>
        <v>116193.73117857143</v>
      </c>
      <c r="K16" s="123">
        <f t="shared" si="3"/>
        <v>116193.73117857143</v>
      </c>
      <c r="L16" s="123">
        <f t="shared" si="3"/>
        <v>116193.73117857143</v>
      </c>
      <c r="M16" s="123">
        <f t="shared" si="3"/>
        <v>116193.73117857143</v>
      </c>
      <c r="N16" s="124">
        <f>SUM(F16:M16)</f>
        <v>1701213.4400000002</v>
      </c>
      <c r="O16" s="159"/>
      <c r="P16" s="159"/>
      <c r="R16" s="159"/>
      <c r="S16" s="416"/>
    </row>
    <row r="17" spans="2:19" outlineLevel="1" x14ac:dyDescent="0.4">
      <c r="B17" s="627" t="s">
        <v>3744</v>
      </c>
      <c r="C17" s="630" t="str">
        <f>_xlfn.XLOOKUP($B17,Planilha!$C:$C,Planilha!$F:$F)</f>
        <v>ADMINISTRAÇÃO LOCAL DA OBRA</v>
      </c>
      <c r="D17" s="646">
        <f>_xlfn.XLOOKUP($B17,Planilha!$C:$C,Planilha!$M:$M)</f>
        <v>684453</v>
      </c>
      <c r="E17" s="125" t="s">
        <v>3307</v>
      </c>
      <c r="F17" s="126">
        <v>0.125</v>
      </c>
      <c r="G17" s="126">
        <v>0.125</v>
      </c>
      <c r="H17" s="126">
        <v>0.125</v>
      </c>
      <c r="I17" s="126">
        <v>0.125</v>
      </c>
      <c r="J17" s="126">
        <v>0.125</v>
      </c>
      <c r="K17" s="126">
        <v>0.125</v>
      </c>
      <c r="L17" s="126">
        <v>0.125</v>
      </c>
      <c r="M17" s="126">
        <v>0.125</v>
      </c>
      <c r="N17" s="127">
        <f>SUM(F17:M17)</f>
        <v>1</v>
      </c>
      <c r="P17" s="159"/>
      <c r="S17" s="416"/>
    </row>
    <row r="18" spans="2:19" outlineLevel="1" x14ac:dyDescent="0.4">
      <c r="B18" s="628"/>
      <c r="C18" s="631"/>
      <c r="D18" s="647"/>
      <c r="E18" s="128" t="s">
        <v>3308</v>
      </c>
      <c r="F18" s="129">
        <f t="shared" ref="F18:M18" si="4">IF(F17&lt;&gt;0,1,0)</f>
        <v>1</v>
      </c>
      <c r="G18" s="129">
        <f t="shared" si="4"/>
        <v>1</v>
      </c>
      <c r="H18" s="129">
        <f t="shared" si="4"/>
        <v>1</v>
      </c>
      <c r="I18" s="129">
        <f t="shared" si="4"/>
        <v>1</v>
      </c>
      <c r="J18" s="129">
        <f t="shared" si="4"/>
        <v>1</v>
      </c>
      <c r="K18" s="129">
        <f t="shared" si="4"/>
        <v>1</v>
      </c>
      <c r="L18" s="129">
        <f t="shared" si="4"/>
        <v>1</v>
      </c>
      <c r="M18" s="129">
        <f t="shared" si="4"/>
        <v>1</v>
      </c>
      <c r="N18" s="130"/>
      <c r="P18" s="159"/>
      <c r="S18" s="416"/>
    </row>
    <row r="19" spans="2:19" outlineLevel="1" x14ac:dyDescent="0.4">
      <c r="B19" s="629"/>
      <c r="C19" s="632"/>
      <c r="D19" s="648"/>
      <c r="E19" s="131" t="s">
        <v>166</v>
      </c>
      <c r="F19" s="132">
        <f t="shared" ref="F19:M19" si="5">IF(F17&lt;&gt;0,$D17*F17,0)</f>
        <v>85556.625</v>
      </c>
      <c r="G19" s="132">
        <f t="shared" si="5"/>
        <v>85556.625</v>
      </c>
      <c r="H19" s="132">
        <f t="shared" si="5"/>
        <v>85556.625</v>
      </c>
      <c r="I19" s="132">
        <f t="shared" si="5"/>
        <v>85556.625</v>
      </c>
      <c r="J19" s="132">
        <f t="shared" si="5"/>
        <v>85556.625</v>
      </c>
      <c r="K19" s="132">
        <f t="shared" si="5"/>
        <v>85556.625</v>
      </c>
      <c r="L19" s="132">
        <f t="shared" si="5"/>
        <v>85556.625</v>
      </c>
      <c r="M19" s="132">
        <f t="shared" si="5"/>
        <v>85556.625</v>
      </c>
      <c r="N19" s="133"/>
      <c r="O19" s="159"/>
      <c r="P19" s="159"/>
      <c r="S19" s="416"/>
    </row>
    <row r="20" spans="2:19" outlineLevel="1" x14ac:dyDescent="0.4">
      <c r="B20" s="627" t="s">
        <v>3745</v>
      </c>
      <c r="C20" s="630" t="str">
        <f>_xlfn.XLOOKUP($B20,Planilha!$C:$C,Planilha!$F:$F)</f>
        <v>IMPLANTAÇÃO E MANUTENÇÃO DO CANTEIRO DE OBRAS</v>
      </c>
      <c r="D20" s="646">
        <f>_xlfn.XLOOKUP($B20,Planilha!$C:$C,Planilha!$M:$M)</f>
        <v>149661.6</v>
      </c>
      <c r="E20" s="125" t="s">
        <v>3307</v>
      </c>
      <c r="F20" s="126">
        <v>0.13</v>
      </c>
      <c r="G20" s="134">
        <f t="shared" ref="G20:M20" si="6">87/7/100</f>
        <v>0.12428571428571429</v>
      </c>
      <c r="H20" s="134">
        <f t="shared" si="6"/>
        <v>0.12428571428571429</v>
      </c>
      <c r="I20" s="134">
        <f t="shared" si="6"/>
        <v>0.12428571428571429</v>
      </c>
      <c r="J20" s="134">
        <f t="shared" si="6"/>
        <v>0.12428571428571429</v>
      </c>
      <c r="K20" s="134">
        <f t="shared" si="6"/>
        <v>0.12428571428571429</v>
      </c>
      <c r="L20" s="134">
        <f t="shared" si="6"/>
        <v>0.12428571428571429</v>
      </c>
      <c r="M20" s="134">
        <f t="shared" si="6"/>
        <v>0.12428571428571429</v>
      </c>
      <c r="N20" s="127">
        <f>SUM(F20:M20)</f>
        <v>1.0000000000000002</v>
      </c>
      <c r="P20" s="159"/>
      <c r="S20" s="416"/>
    </row>
    <row r="21" spans="2:19" outlineLevel="1" x14ac:dyDescent="0.4">
      <c r="B21" s="628"/>
      <c r="C21" s="631"/>
      <c r="D21" s="647"/>
      <c r="E21" s="128" t="s">
        <v>3308</v>
      </c>
      <c r="F21" s="129">
        <f t="shared" ref="F21:M21" si="7">IF(F20&lt;&gt;0,1,0)</f>
        <v>1</v>
      </c>
      <c r="G21" s="129">
        <f t="shared" si="7"/>
        <v>1</v>
      </c>
      <c r="H21" s="129">
        <f t="shared" si="7"/>
        <v>1</v>
      </c>
      <c r="I21" s="129">
        <f t="shared" si="7"/>
        <v>1</v>
      </c>
      <c r="J21" s="129">
        <f t="shared" si="7"/>
        <v>1</v>
      </c>
      <c r="K21" s="129">
        <f t="shared" si="7"/>
        <v>1</v>
      </c>
      <c r="L21" s="129">
        <f t="shared" si="7"/>
        <v>1</v>
      </c>
      <c r="M21" s="129">
        <f t="shared" si="7"/>
        <v>1</v>
      </c>
      <c r="N21" s="130"/>
      <c r="P21" s="159"/>
      <c r="S21" s="416"/>
    </row>
    <row r="22" spans="2:19" outlineLevel="1" x14ac:dyDescent="0.4">
      <c r="B22" s="629"/>
      <c r="C22" s="632"/>
      <c r="D22" s="648"/>
      <c r="E22" s="131" t="s">
        <v>166</v>
      </c>
      <c r="F22" s="132">
        <f t="shared" ref="F22:M22" si="8">IF(F20&lt;&gt;0,$D20*F20,0)</f>
        <v>19456.008000000002</v>
      </c>
      <c r="G22" s="132">
        <f>IF(G20&lt;&gt;0,$D20*G20,0)</f>
        <v>18600.798857142858</v>
      </c>
      <c r="H22" s="132">
        <f t="shared" si="8"/>
        <v>18600.798857142858</v>
      </c>
      <c r="I22" s="132">
        <f t="shared" si="8"/>
        <v>18600.798857142858</v>
      </c>
      <c r="J22" s="132">
        <f t="shared" si="8"/>
        <v>18600.798857142858</v>
      </c>
      <c r="K22" s="132">
        <f t="shared" si="8"/>
        <v>18600.798857142858</v>
      </c>
      <c r="L22" s="132">
        <f t="shared" si="8"/>
        <v>18600.798857142858</v>
      </c>
      <c r="M22" s="132">
        <f t="shared" si="8"/>
        <v>18600.798857142858</v>
      </c>
      <c r="N22" s="133"/>
      <c r="O22" s="159"/>
      <c r="P22" s="159"/>
      <c r="S22" s="416"/>
    </row>
    <row r="23" spans="2:19" outlineLevel="1" x14ac:dyDescent="0.4">
      <c r="B23" s="627" t="s">
        <v>3746</v>
      </c>
      <c r="C23" s="630" t="str">
        <f>_xlfn.XLOOKUP($B23,Planilha!$C:$C,Planilha!$F:$F)</f>
        <v>MÁQUINAS, EQUIPAMENTOS E VEÍCULOS</v>
      </c>
      <c r="D23" s="646">
        <f>_xlfn.XLOOKUP($B23,Planilha!$C:$C,Planilha!$M:$M)</f>
        <v>67217.27</v>
      </c>
      <c r="E23" s="125" t="s">
        <v>3307</v>
      </c>
      <c r="F23" s="126">
        <v>0.125</v>
      </c>
      <c r="G23" s="126">
        <v>0.125</v>
      </c>
      <c r="H23" s="126">
        <v>0.125</v>
      </c>
      <c r="I23" s="126">
        <v>0.125</v>
      </c>
      <c r="J23" s="126">
        <v>0.125</v>
      </c>
      <c r="K23" s="126">
        <v>0.125</v>
      </c>
      <c r="L23" s="126">
        <v>0.125</v>
      </c>
      <c r="M23" s="126">
        <v>0.125</v>
      </c>
      <c r="N23" s="127">
        <f>SUM(F23:M23)</f>
        <v>1</v>
      </c>
      <c r="P23" s="159"/>
      <c r="S23" s="416"/>
    </row>
    <row r="24" spans="2:19" outlineLevel="1" x14ac:dyDescent="0.4">
      <c r="B24" s="628"/>
      <c r="C24" s="631"/>
      <c r="D24" s="647"/>
      <c r="E24" s="128" t="s">
        <v>3308</v>
      </c>
      <c r="F24" s="129">
        <f t="shared" ref="F24:M24" si="9">IF(F23&lt;&gt;0,1,0)</f>
        <v>1</v>
      </c>
      <c r="G24" s="129">
        <f t="shared" si="9"/>
        <v>1</v>
      </c>
      <c r="H24" s="129">
        <f t="shared" si="9"/>
        <v>1</v>
      </c>
      <c r="I24" s="129">
        <f t="shared" si="9"/>
        <v>1</v>
      </c>
      <c r="J24" s="129">
        <f t="shared" si="9"/>
        <v>1</v>
      </c>
      <c r="K24" s="129">
        <f t="shared" si="9"/>
        <v>1</v>
      </c>
      <c r="L24" s="129">
        <f t="shared" si="9"/>
        <v>1</v>
      </c>
      <c r="M24" s="129">
        <f t="shared" si="9"/>
        <v>1</v>
      </c>
      <c r="N24" s="130"/>
      <c r="P24" s="159"/>
      <c r="S24" s="416"/>
    </row>
    <row r="25" spans="2:19" outlineLevel="1" x14ac:dyDescent="0.4">
      <c r="B25" s="629"/>
      <c r="C25" s="632"/>
      <c r="D25" s="648"/>
      <c r="E25" s="131" t="s">
        <v>166</v>
      </c>
      <c r="F25" s="132">
        <f t="shared" ref="F25:M25" si="10">IF(F23&lt;&gt;0,$D23*F23,0)</f>
        <v>8402.1587500000005</v>
      </c>
      <c r="G25" s="132">
        <f t="shared" si="10"/>
        <v>8402.1587500000005</v>
      </c>
      <c r="H25" s="132">
        <f t="shared" si="10"/>
        <v>8402.1587500000005</v>
      </c>
      <c r="I25" s="132">
        <f t="shared" si="10"/>
        <v>8402.1587500000005</v>
      </c>
      <c r="J25" s="132">
        <f t="shared" si="10"/>
        <v>8402.1587500000005</v>
      </c>
      <c r="K25" s="132">
        <f t="shared" si="10"/>
        <v>8402.1587500000005</v>
      </c>
      <c r="L25" s="132">
        <f t="shared" si="10"/>
        <v>8402.1587500000005</v>
      </c>
      <c r="M25" s="132">
        <f t="shared" si="10"/>
        <v>8402.1587500000005</v>
      </c>
      <c r="N25" s="133"/>
      <c r="O25" s="159"/>
      <c r="P25" s="159"/>
      <c r="S25" s="416"/>
    </row>
    <row r="26" spans="2:19" outlineLevel="1" x14ac:dyDescent="0.4">
      <c r="B26" s="627" t="s">
        <v>3747</v>
      </c>
      <c r="C26" s="630" t="str">
        <f>_xlfn.XLOOKUP($B26,Planilha!$C:$C,Planilha!$F:$F)</f>
        <v>DESPESAS GERAIS E DE CONSUMO</v>
      </c>
      <c r="D26" s="646">
        <f>_xlfn.XLOOKUP($B26,Planilha!$C:$C,Planilha!$M:$M)</f>
        <v>31798.799999999996</v>
      </c>
      <c r="E26" s="125" t="s">
        <v>3307</v>
      </c>
      <c r="F26" s="134">
        <v>0.2</v>
      </c>
      <c r="G26" s="126">
        <v>0.11428571428571428</v>
      </c>
      <c r="H26" s="126">
        <v>0.11428571428571428</v>
      </c>
      <c r="I26" s="126">
        <v>0.11428571428571428</v>
      </c>
      <c r="J26" s="126">
        <v>0.11428571428571428</v>
      </c>
      <c r="K26" s="126">
        <v>0.11428571428571428</v>
      </c>
      <c r="L26" s="126">
        <v>0.11428571428571428</v>
      </c>
      <c r="M26" s="126">
        <v>0.11428571428571428</v>
      </c>
      <c r="N26" s="127">
        <f>SUM(F26:M26)</f>
        <v>1</v>
      </c>
      <c r="P26" s="159"/>
      <c r="S26" s="416"/>
    </row>
    <row r="27" spans="2:19" outlineLevel="1" x14ac:dyDescent="0.4">
      <c r="B27" s="628"/>
      <c r="C27" s="631"/>
      <c r="D27" s="647"/>
      <c r="E27" s="128" t="s">
        <v>3308</v>
      </c>
      <c r="F27" s="129">
        <f t="shared" ref="F27:M27" si="11">IF(F26&lt;&gt;0,1,0)</f>
        <v>1</v>
      </c>
      <c r="G27" s="129">
        <f t="shared" si="11"/>
        <v>1</v>
      </c>
      <c r="H27" s="129">
        <f t="shared" si="11"/>
        <v>1</v>
      </c>
      <c r="I27" s="129">
        <f t="shared" si="11"/>
        <v>1</v>
      </c>
      <c r="J27" s="129">
        <f t="shared" si="11"/>
        <v>1</v>
      </c>
      <c r="K27" s="129">
        <f t="shared" si="11"/>
        <v>1</v>
      </c>
      <c r="L27" s="129">
        <f t="shared" si="11"/>
        <v>1</v>
      </c>
      <c r="M27" s="129">
        <f t="shared" si="11"/>
        <v>1</v>
      </c>
      <c r="N27" s="130"/>
      <c r="P27" s="159"/>
      <c r="S27" s="416"/>
    </row>
    <row r="28" spans="2:19" outlineLevel="1" x14ac:dyDescent="0.4">
      <c r="B28" s="629"/>
      <c r="C28" s="632"/>
      <c r="D28" s="648"/>
      <c r="E28" s="131" t="s">
        <v>166</v>
      </c>
      <c r="F28" s="132">
        <f t="shared" ref="F28:M28" si="12">IF(F26&lt;&gt;0,$D26*F26,0)</f>
        <v>6359.7599999999993</v>
      </c>
      <c r="G28" s="132">
        <f t="shared" si="12"/>
        <v>3634.1485714285709</v>
      </c>
      <c r="H28" s="132">
        <f t="shared" si="12"/>
        <v>3634.1485714285709</v>
      </c>
      <c r="I28" s="132">
        <f t="shared" si="12"/>
        <v>3634.1485714285709</v>
      </c>
      <c r="J28" s="132">
        <f t="shared" si="12"/>
        <v>3634.1485714285709</v>
      </c>
      <c r="K28" s="132">
        <f t="shared" si="12"/>
        <v>3634.1485714285709</v>
      </c>
      <c r="L28" s="132">
        <f t="shared" si="12"/>
        <v>3634.1485714285709</v>
      </c>
      <c r="M28" s="132">
        <f t="shared" si="12"/>
        <v>3634.1485714285709</v>
      </c>
      <c r="N28" s="133"/>
      <c r="O28" s="159"/>
      <c r="P28" s="159"/>
      <c r="S28" s="416"/>
    </row>
    <row r="29" spans="2:19" outlineLevel="1" x14ac:dyDescent="0.4">
      <c r="B29" s="627" t="s">
        <v>3748</v>
      </c>
      <c r="C29" s="630" t="str">
        <f>_xlfn.XLOOKUP($B29,Planilha!$C:$C,Planilha!$F:$F)</f>
        <v>DEMOLIÇÃO</v>
      </c>
      <c r="D29" s="646">
        <f>_xlfn.XLOOKUP($B29,Planilha!$C:$C,Planilha!$M:$M)</f>
        <v>768082.77</v>
      </c>
      <c r="E29" s="125" t="s">
        <v>3307</v>
      </c>
      <c r="F29" s="126">
        <v>1</v>
      </c>
      <c r="G29" s="126"/>
      <c r="H29" s="126"/>
      <c r="I29" s="126"/>
      <c r="J29" s="126"/>
      <c r="K29" s="126"/>
      <c r="L29" s="126"/>
      <c r="M29" s="126"/>
      <c r="N29" s="127">
        <f>SUM(F29:M29)</f>
        <v>1</v>
      </c>
      <c r="P29" s="159"/>
      <c r="S29" s="416"/>
    </row>
    <row r="30" spans="2:19" outlineLevel="1" x14ac:dyDescent="0.4">
      <c r="B30" s="628"/>
      <c r="C30" s="631"/>
      <c r="D30" s="647"/>
      <c r="E30" s="128" t="s">
        <v>3308</v>
      </c>
      <c r="F30" s="129">
        <f t="shared" ref="F30:M30" si="13">IF(F29&lt;&gt;0,1,0)</f>
        <v>1</v>
      </c>
      <c r="G30" s="129">
        <f t="shared" si="13"/>
        <v>0</v>
      </c>
      <c r="H30" s="129">
        <f t="shared" si="13"/>
        <v>0</v>
      </c>
      <c r="I30" s="129">
        <f t="shared" si="13"/>
        <v>0</v>
      </c>
      <c r="J30" s="129">
        <f t="shared" si="13"/>
        <v>0</v>
      </c>
      <c r="K30" s="129">
        <f t="shared" si="13"/>
        <v>0</v>
      </c>
      <c r="L30" s="129">
        <f t="shared" si="13"/>
        <v>0</v>
      </c>
      <c r="M30" s="129">
        <f t="shared" si="13"/>
        <v>0</v>
      </c>
      <c r="N30" s="130"/>
      <c r="P30" s="159"/>
      <c r="S30" s="416"/>
    </row>
    <row r="31" spans="2:19" outlineLevel="1" x14ac:dyDescent="0.4">
      <c r="B31" s="629"/>
      <c r="C31" s="632"/>
      <c r="D31" s="648"/>
      <c r="E31" s="131" t="s">
        <v>166</v>
      </c>
      <c r="F31" s="132">
        <f t="shared" ref="F31:M31" si="14">IF(F29&lt;&gt;0,$D29*F29,0)</f>
        <v>768082.77</v>
      </c>
      <c r="G31" s="132">
        <f t="shared" si="14"/>
        <v>0</v>
      </c>
      <c r="H31" s="132">
        <f t="shared" si="14"/>
        <v>0</v>
      </c>
      <c r="I31" s="132">
        <f t="shared" si="14"/>
        <v>0</v>
      </c>
      <c r="J31" s="132">
        <f t="shared" si="14"/>
        <v>0</v>
      </c>
      <c r="K31" s="132">
        <f t="shared" si="14"/>
        <v>0</v>
      </c>
      <c r="L31" s="132">
        <f t="shared" si="14"/>
        <v>0</v>
      </c>
      <c r="M31" s="132">
        <f t="shared" si="14"/>
        <v>0</v>
      </c>
      <c r="N31" s="133">
        <f>SUM(F31:M31)</f>
        <v>768082.77</v>
      </c>
      <c r="O31" s="159"/>
      <c r="P31" s="159"/>
      <c r="S31" s="416"/>
    </row>
    <row r="32" spans="2:19" collapsed="1" x14ac:dyDescent="0.4">
      <c r="B32" s="655" t="s">
        <v>3749</v>
      </c>
      <c r="C32" s="658" t="str">
        <f>_xlfn.XLOOKUP($B32,Planilha!$C:$C,Planilha!$F:$F)</f>
        <v>OBRAS EM GERAL</v>
      </c>
      <c r="D32" s="661">
        <f>_xlfn.XLOOKUP($B32,Planilha!$C:$C,Planilha!$M:$M)</f>
        <v>12217395.509999985</v>
      </c>
      <c r="E32" s="115" t="s">
        <v>3307</v>
      </c>
      <c r="F32" s="116">
        <f>IFERROR(F34/$D32,0)</f>
        <v>2.2155184529996472E-2</v>
      </c>
      <c r="G32" s="116">
        <f t="shared" ref="G32:M32" si="15">IFERROR(G34/$D32,0)</f>
        <v>7.7252577132947489E-2</v>
      </c>
      <c r="H32" s="116">
        <f t="shared" si="15"/>
        <v>0.11957320811987053</v>
      </c>
      <c r="I32" s="116">
        <f t="shared" si="15"/>
        <v>0.11548400118872813</v>
      </c>
      <c r="J32" s="116">
        <f t="shared" si="15"/>
        <v>0.25554089847910672</v>
      </c>
      <c r="K32" s="116">
        <f t="shared" si="15"/>
        <v>0.2466108287346428</v>
      </c>
      <c r="L32" s="116">
        <f t="shared" si="15"/>
        <v>8.7082195393378178E-2</v>
      </c>
      <c r="M32" s="116">
        <f t="shared" si="15"/>
        <v>7.6301106421330964E-2</v>
      </c>
      <c r="N32" s="117">
        <f>SUM(F32:M32)</f>
        <v>1.0000000000000013</v>
      </c>
      <c r="O32" s="118"/>
      <c r="P32" s="159"/>
      <c r="S32" s="416"/>
    </row>
    <row r="33" spans="2:19" x14ac:dyDescent="0.4">
      <c r="B33" s="656"/>
      <c r="C33" s="659"/>
      <c r="D33" s="662"/>
      <c r="E33" s="119" t="s">
        <v>3308</v>
      </c>
      <c r="F33" s="120">
        <f>IF(F32&lt;&gt;0,1,0)</f>
        <v>1</v>
      </c>
      <c r="G33" s="120">
        <f t="shared" ref="G33:M33" si="16">IF(G32&lt;&gt;0,1,0)</f>
        <v>1</v>
      </c>
      <c r="H33" s="120">
        <f t="shared" si="16"/>
        <v>1</v>
      </c>
      <c r="I33" s="120">
        <f t="shared" si="16"/>
        <v>1</v>
      </c>
      <c r="J33" s="120">
        <f t="shared" si="16"/>
        <v>1</v>
      </c>
      <c r="K33" s="120">
        <f t="shared" si="16"/>
        <v>1</v>
      </c>
      <c r="L33" s="120">
        <f t="shared" si="16"/>
        <v>1</v>
      </c>
      <c r="M33" s="120">
        <f t="shared" si="16"/>
        <v>1</v>
      </c>
      <c r="N33" s="121"/>
      <c r="P33" s="159"/>
      <c r="S33" s="416"/>
    </row>
    <row r="34" spans="2:19" x14ac:dyDescent="0.4">
      <c r="B34" s="657"/>
      <c r="C34" s="660"/>
      <c r="D34" s="663"/>
      <c r="E34" s="122" t="s">
        <v>166</v>
      </c>
      <c r="F34" s="123">
        <f>+F37+F64+F118+F154+F169+F187+F193</f>
        <v>270678.652</v>
      </c>
      <c r="G34" s="123">
        <f t="shared" ref="G34:M34" si="17">+G37+G64+G118+G154+G169+G187+G193</f>
        <v>943825.28900000011</v>
      </c>
      <c r="H34" s="123">
        <f t="shared" si="17"/>
        <v>1460873.176</v>
      </c>
      <c r="I34" s="123">
        <f t="shared" si="17"/>
        <v>1410913.7176000001</v>
      </c>
      <c r="J34" s="123">
        <f t="shared" si="17"/>
        <v>3122044.2257000003</v>
      </c>
      <c r="K34" s="123">
        <f t="shared" si="17"/>
        <v>3012942.0317000002</v>
      </c>
      <c r="L34" s="123">
        <f t="shared" si="17"/>
        <v>1063917.6229999999</v>
      </c>
      <c r="M34" s="123">
        <f t="shared" si="17"/>
        <v>932200.79499999993</v>
      </c>
      <c r="N34" s="124">
        <f>SUM(F34:M34)</f>
        <v>12217395.51</v>
      </c>
      <c r="O34" s="159"/>
      <c r="P34" s="159"/>
      <c r="S34" s="416"/>
    </row>
    <row r="35" spans="2:19" x14ac:dyDescent="0.4">
      <c r="B35" s="649" t="s">
        <v>3750</v>
      </c>
      <c r="C35" s="636" t="str">
        <f>_xlfn.XLOOKUP($B35,Planilha!$C:$C,Planilha!$F:$F)</f>
        <v>FUNDAÇÕES E ESTRUTURA</v>
      </c>
      <c r="D35" s="639">
        <f>_xlfn.XLOOKUP($B35,Planilha!$C:$C,Planilha!$M:$M)</f>
        <v>5112970.3100000015</v>
      </c>
      <c r="E35" s="135" t="s">
        <v>3307</v>
      </c>
      <c r="F35" s="136">
        <f>IFERROR(F37/$D35,0)</f>
        <v>5.2939609578918113E-2</v>
      </c>
      <c r="G35" s="136">
        <f t="shared" ref="G35:M35" si="18">IFERROR(G37/$D35,0)</f>
        <v>0.18459432223849542</v>
      </c>
      <c r="H35" s="136">
        <f t="shared" si="18"/>
        <v>0.24242657317523122</v>
      </c>
      <c r="I35" s="136">
        <f t="shared" si="18"/>
        <v>0.15233589388865432</v>
      </c>
      <c r="J35" s="136">
        <f t="shared" si="18"/>
        <v>0.18449097657678354</v>
      </c>
      <c r="K35" s="136">
        <f t="shared" si="18"/>
        <v>0.18321262454191714</v>
      </c>
      <c r="L35" s="136">
        <f t="shared" si="18"/>
        <v>0</v>
      </c>
      <c r="M35" s="136">
        <f t="shared" si="18"/>
        <v>0</v>
      </c>
      <c r="N35" s="137">
        <f>SUM(F35:M35)</f>
        <v>0.99999999999999967</v>
      </c>
      <c r="O35" s="118"/>
      <c r="P35" s="159"/>
      <c r="S35" s="416"/>
    </row>
    <row r="36" spans="2:19" x14ac:dyDescent="0.4">
      <c r="B36" s="650"/>
      <c r="C36" s="637"/>
      <c r="D36" s="640"/>
      <c r="E36" s="138" t="s">
        <v>3308</v>
      </c>
      <c r="F36" s="139">
        <f>IF(F35&lt;&gt;0,1,0)</f>
        <v>1</v>
      </c>
      <c r="G36" s="139">
        <f t="shared" ref="G36:M36" si="19">IF(G35&lt;&gt;0,1,0)</f>
        <v>1</v>
      </c>
      <c r="H36" s="139">
        <f t="shared" si="19"/>
        <v>1</v>
      </c>
      <c r="I36" s="139">
        <f t="shared" si="19"/>
        <v>1</v>
      </c>
      <c r="J36" s="139">
        <f t="shared" si="19"/>
        <v>1</v>
      </c>
      <c r="K36" s="139">
        <f t="shared" si="19"/>
        <v>1</v>
      </c>
      <c r="L36" s="139">
        <f t="shared" si="19"/>
        <v>0</v>
      </c>
      <c r="M36" s="139">
        <f t="shared" si="19"/>
        <v>0</v>
      </c>
      <c r="N36" s="140"/>
      <c r="P36" s="159"/>
      <c r="S36" s="416"/>
    </row>
    <row r="37" spans="2:19" x14ac:dyDescent="0.4">
      <c r="B37" s="651"/>
      <c r="C37" s="638"/>
      <c r="D37" s="641"/>
      <c r="E37" s="141" t="s">
        <v>166</v>
      </c>
      <c r="F37" s="142">
        <f>+F40+F43+F46+F49+F52+F55+F58+F61</f>
        <v>270678.652</v>
      </c>
      <c r="G37" s="142">
        <f t="shared" ref="G37:M37" si="20">+G40+G43+G46+G49+G52+G55+G58+G61</f>
        <v>943825.28900000011</v>
      </c>
      <c r="H37" s="142">
        <f t="shared" si="20"/>
        <v>1239519.871</v>
      </c>
      <c r="I37" s="142">
        <f t="shared" si="20"/>
        <v>778888.90260000015</v>
      </c>
      <c r="J37" s="142">
        <f t="shared" si="20"/>
        <v>943296.88569999998</v>
      </c>
      <c r="K37" s="142">
        <f t="shared" si="20"/>
        <v>936760.70970000001</v>
      </c>
      <c r="L37" s="142">
        <f t="shared" si="20"/>
        <v>0</v>
      </c>
      <c r="M37" s="142">
        <f t="shared" si="20"/>
        <v>0</v>
      </c>
      <c r="N37" s="143">
        <f>SUM(F37:M37)</f>
        <v>5112970.3100000005</v>
      </c>
      <c r="O37" s="159"/>
      <c r="P37" s="159"/>
      <c r="S37" s="416"/>
    </row>
    <row r="38" spans="2:19" outlineLevel="1" x14ac:dyDescent="0.4">
      <c r="B38" s="627" t="s">
        <v>9765</v>
      </c>
      <c r="C38" s="630" t="str">
        <f>_xlfn.XLOOKUP($B38,Planilha!$C:$C,Planilha!$F:$F)</f>
        <v>SERVIÇOS PRELIMINARES</v>
      </c>
      <c r="D38" s="646">
        <f>_xlfn.XLOOKUP($B38,Planilha!$C:$C,Planilha!$M:$M)</f>
        <v>17074</v>
      </c>
      <c r="E38" s="125" t="s">
        <v>3307</v>
      </c>
      <c r="F38" s="126">
        <v>0.8</v>
      </c>
      <c r="G38" s="126">
        <v>0.2</v>
      </c>
      <c r="H38" s="126"/>
      <c r="I38" s="126"/>
      <c r="J38" s="126"/>
      <c r="K38" s="126"/>
      <c r="L38" s="126"/>
      <c r="M38" s="126"/>
      <c r="N38" s="127">
        <f>SUM(F38:M38)</f>
        <v>1</v>
      </c>
      <c r="P38" s="159"/>
      <c r="S38" s="416"/>
    </row>
    <row r="39" spans="2:19" outlineLevel="1" x14ac:dyDescent="0.4">
      <c r="B39" s="628"/>
      <c r="C39" s="631"/>
      <c r="D39" s="647"/>
      <c r="E39" s="128" t="s">
        <v>3308</v>
      </c>
      <c r="F39" s="129">
        <f t="shared" ref="F39:M39" si="21">IF(F38&lt;&gt;0,1,0)</f>
        <v>1</v>
      </c>
      <c r="G39" s="129">
        <f t="shared" si="21"/>
        <v>1</v>
      </c>
      <c r="H39" s="129">
        <f t="shared" si="21"/>
        <v>0</v>
      </c>
      <c r="I39" s="129">
        <f t="shared" si="21"/>
        <v>0</v>
      </c>
      <c r="J39" s="129">
        <f t="shared" si="21"/>
        <v>0</v>
      </c>
      <c r="K39" s="129">
        <f t="shared" si="21"/>
        <v>0</v>
      </c>
      <c r="L39" s="129">
        <f t="shared" si="21"/>
        <v>0</v>
      </c>
      <c r="M39" s="129">
        <f t="shared" si="21"/>
        <v>0</v>
      </c>
      <c r="N39" s="130"/>
      <c r="P39" s="159"/>
      <c r="S39" s="416"/>
    </row>
    <row r="40" spans="2:19" outlineLevel="1" x14ac:dyDescent="0.4">
      <c r="B40" s="629"/>
      <c r="C40" s="632"/>
      <c r="D40" s="648"/>
      <c r="E40" s="131" t="s">
        <v>166</v>
      </c>
      <c r="F40" s="132">
        <f t="shared" ref="F40:M40" si="22">IF(F38&lt;&gt;0,$D38*F38,0)</f>
        <v>13659.2</v>
      </c>
      <c r="G40" s="132">
        <f t="shared" si="22"/>
        <v>3414.8</v>
      </c>
      <c r="H40" s="132">
        <f t="shared" si="22"/>
        <v>0</v>
      </c>
      <c r="I40" s="132">
        <f t="shared" si="22"/>
        <v>0</v>
      </c>
      <c r="J40" s="132">
        <f t="shared" si="22"/>
        <v>0</v>
      </c>
      <c r="K40" s="132">
        <f t="shared" si="22"/>
        <v>0</v>
      </c>
      <c r="L40" s="132">
        <f t="shared" si="22"/>
        <v>0</v>
      </c>
      <c r="M40" s="132">
        <f t="shared" si="22"/>
        <v>0</v>
      </c>
      <c r="N40" s="133">
        <f>SUM(F40:M40)</f>
        <v>17074</v>
      </c>
      <c r="O40" s="159"/>
      <c r="P40" s="159"/>
      <c r="S40" s="416"/>
    </row>
    <row r="41" spans="2:19" outlineLevel="1" x14ac:dyDescent="0.4">
      <c r="B41" s="627" t="s">
        <v>9767</v>
      </c>
      <c r="C41" s="630" t="str">
        <f>_xlfn.XLOOKUP($B41,Planilha!$C:$C,Planilha!$F:$F)</f>
        <v>MOVIMENTO DE TERRA E BOTA-FORA</v>
      </c>
      <c r="D41" s="646">
        <f>_xlfn.XLOOKUP($B41,Planilha!$C:$C,Planilha!$M:$M)</f>
        <v>642548.63</v>
      </c>
      <c r="E41" s="125" t="s">
        <v>3307</v>
      </c>
      <c r="F41" s="126">
        <v>0.4</v>
      </c>
      <c r="G41" s="126">
        <v>0.6</v>
      </c>
      <c r="H41" s="126"/>
      <c r="I41" s="126"/>
      <c r="J41" s="126"/>
      <c r="K41" s="126"/>
      <c r="L41" s="126"/>
      <c r="M41" s="126"/>
      <c r="N41" s="127">
        <f>SUM(F41:M41)</f>
        <v>1</v>
      </c>
      <c r="P41" s="159"/>
      <c r="S41" s="416"/>
    </row>
    <row r="42" spans="2:19" outlineLevel="1" x14ac:dyDescent="0.4">
      <c r="B42" s="628"/>
      <c r="C42" s="631"/>
      <c r="D42" s="647"/>
      <c r="E42" s="128" t="s">
        <v>3308</v>
      </c>
      <c r="F42" s="129">
        <f t="shared" ref="F42:M42" si="23">IF(F41&lt;&gt;0,1,0)</f>
        <v>1</v>
      </c>
      <c r="G42" s="129">
        <f t="shared" si="23"/>
        <v>1</v>
      </c>
      <c r="H42" s="129">
        <f t="shared" si="23"/>
        <v>0</v>
      </c>
      <c r="I42" s="129">
        <f t="shared" si="23"/>
        <v>0</v>
      </c>
      <c r="J42" s="129">
        <f t="shared" si="23"/>
        <v>0</v>
      </c>
      <c r="K42" s="129">
        <f t="shared" si="23"/>
        <v>0</v>
      </c>
      <c r="L42" s="129">
        <f t="shared" si="23"/>
        <v>0</v>
      </c>
      <c r="M42" s="129">
        <f t="shared" si="23"/>
        <v>0</v>
      </c>
      <c r="N42" s="130"/>
      <c r="P42" s="159"/>
      <c r="S42" s="416"/>
    </row>
    <row r="43" spans="2:19" outlineLevel="1" x14ac:dyDescent="0.4">
      <c r="B43" s="629"/>
      <c r="C43" s="632"/>
      <c r="D43" s="648"/>
      <c r="E43" s="131" t="s">
        <v>166</v>
      </c>
      <c r="F43" s="132">
        <f t="shared" ref="F43:M43" si="24">IF(F41&lt;&gt;0,$D41*F41,0)</f>
        <v>257019.45200000002</v>
      </c>
      <c r="G43" s="132">
        <f t="shared" si="24"/>
        <v>385529.17800000001</v>
      </c>
      <c r="H43" s="132">
        <f t="shared" si="24"/>
        <v>0</v>
      </c>
      <c r="I43" s="132">
        <f t="shared" si="24"/>
        <v>0</v>
      </c>
      <c r="J43" s="132">
        <f t="shared" si="24"/>
        <v>0</v>
      </c>
      <c r="K43" s="132">
        <f t="shared" si="24"/>
        <v>0</v>
      </c>
      <c r="L43" s="132">
        <f t="shared" si="24"/>
        <v>0</v>
      </c>
      <c r="M43" s="132">
        <f t="shared" si="24"/>
        <v>0</v>
      </c>
      <c r="N43" s="133">
        <f>SUM(F43:M43)</f>
        <v>642548.63</v>
      </c>
      <c r="O43" s="159"/>
      <c r="P43" s="159"/>
      <c r="S43" s="416"/>
    </row>
    <row r="44" spans="2:19" ht="15.75" customHeight="1" outlineLevel="1" x14ac:dyDescent="0.4">
      <c r="B44" s="627" t="s">
        <v>9774</v>
      </c>
      <c r="C44" s="630" t="str">
        <f>_xlfn.XLOOKUP($B44,Planilha!$C:$C,Planilha!$F:$F)</f>
        <v>EXECUÇÃO DE ESTACAS  (GALPÃO)</v>
      </c>
      <c r="D44" s="646">
        <f>_xlfn.XLOOKUP($B44,Planilha!$C:$C,Planilha!$M:$M)</f>
        <v>147839.30000000002</v>
      </c>
      <c r="E44" s="125" t="s">
        <v>3307</v>
      </c>
      <c r="F44" s="126"/>
      <c r="G44" s="126">
        <v>1</v>
      </c>
      <c r="H44" s="126"/>
      <c r="I44" s="126"/>
      <c r="J44" s="126"/>
      <c r="K44" s="126"/>
      <c r="L44" s="126"/>
      <c r="M44" s="126"/>
      <c r="N44" s="127">
        <f>SUM(F44:M44)</f>
        <v>1</v>
      </c>
      <c r="P44" s="159"/>
      <c r="S44" s="416"/>
    </row>
    <row r="45" spans="2:19" outlineLevel="1" x14ac:dyDescent="0.4">
      <c r="B45" s="628"/>
      <c r="C45" s="631"/>
      <c r="D45" s="647"/>
      <c r="E45" s="128" t="s">
        <v>3308</v>
      </c>
      <c r="F45" s="129">
        <f t="shared" ref="F45:M45" si="25">IF(F44&lt;&gt;0,1,0)</f>
        <v>0</v>
      </c>
      <c r="G45" s="129">
        <f t="shared" si="25"/>
        <v>1</v>
      </c>
      <c r="H45" s="129">
        <f t="shared" si="25"/>
        <v>0</v>
      </c>
      <c r="I45" s="129">
        <f t="shared" si="25"/>
        <v>0</v>
      </c>
      <c r="J45" s="129">
        <f t="shared" si="25"/>
        <v>0</v>
      </c>
      <c r="K45" s="129">
        <f t="shared" si="25"/>
        <v>0</v>
      </c>
      <c r="L45" s="129">
        <f t="shared" si="25"/>
        <v>0</v>
      </c>
      <c r="M45" s="129">
        <f t="shared" si="25"/>
        <v>0</v>
      </c>
      <c r="N45" s="130"/>
      <c r="P45" s="159"/>
      <c r="S45" s="416"/>
    </row>
    <row r="46" spans="2:19" outlineLevel="1" x14ac:dyDescent="0.4">
      <c r="B46" s="629"/>
      <c r="C46" s="632"/>
      <c r="D46" s="648"/>
      <c r="E46" s="131" t="s">
        <v>166</v>
      </c>
      <c r="F46" s="132">
        <f t="shared" ref="F46:M46" si="26">IF(F44&lt;&gt;0,$D44*F44,0)</f>
        <v>0</v>
      </c>
      <c r="G46" s="132">
        <f t="shared" si="26"/>
        <v>147839.30000000002</v>
      </c>
      <c r="H46" s="132">
        <f t="shared" si="26"/>
        <v>0</v>
      </c>
      <c r="I46" s="132">
        <f t="shared" si="26"/>
        <v>0</v>
      </c>
      <c r="J46" s="132">
        <f t="shared" si="26"/>
        <v>0</v>
      </c>
      <c r="K46" s="132">
        <f t="shared" si="26"/>
        <v>0</v>
      </c>
      <c r="L46" s="132">
        <f t="shared" si="26"/>
        <v>0</v>
      </c>
      <c r="M46" s="132">
        <f t="shared" si="26"/>
        <v>0</v>
      </c>
      <c r="N46" s="133">
        <f>SUM(F46:M46)</f>
        <v>147839.30000000002</v>
      </c>
      <c r="O46" s="159"/>
      <c r="P46" s="159"/>
      <c r="S46" s="416"/>
    </row>
    <row r="47" spans="2:19" outlineLevel="1" x14ac:dyDescent="0.4">
      <c r="B47" s="627" t="s">
        <v>9782</v>
      </c>
      <c r="C47" s="630" t="str">
        <f>_xlfn.XLOOKUP($B47,Planilha!$C:$C,Planilha!$F:$F)</f>
        <v>BLOCOS, SAPATAS E BALDRAMES</v>
      </c>
      <c r="D47" s="646">
        <f>_xlfn.XLOOKUP($B47,Planilha!$C:$C,Planilha!$M:$M)</f>
        <v>801011.67</v>
      </c>
      <c r="E47" s="125" t="s">
        <v>3307</v>
      </c>
      <c r="F47" s="126"/>
      <c r="G47" s="126">
        <v>0.5</v>
      </c>
      <c r="H47" s="126">
        <v>0.5</v>
      </c>
      <c r="I47" s="126"/>
      <c r="J47" s="126"/>
      <c r="K47" s="126"/>
      <c r="L47" s="126"/>
      <c r="M47" s="126"/>
      <c r="N47" s="127">
        <f>SUM(F47:M47)</f>
        <v>1</v>
      </c>
      <c r="P47" s="159"/>
      <c r="S47" s="416"/>
    </row>
    <row r="48" spans="2:19" outlineLevel="1" x14ac:dyDescent="0.4">
      <c r="B48" s="628"/>
      <c r="C48" s="631"/>
      <c r="D48" s="647"/>
      <c r="E48" s="128" t="s">
        <v>3308</v>
      </c>
      <c r="F48" s="129">
        <f t="shared" ref="F48:M48" si="27">IF(F47&lt;&gt;0,1,0)</f>
        <v>0</v>
      </c>
      <c r="G48" s="129">
        <f t="shared" si="27"/>
        <v>1</v>
      </c>
      <c r="H48" s="129">
        <f t="shared" si="27"/>
        <v>1</v>
      </c>
      <c r="I48" s="129">
        <f t="shared" si="27"/>
        <v>0</v>
      </c>
      <c r="J48" s="129">
        <f t="shared" si="27"/>
        <v>0</v>
      </c>
      <c r="K48" s="129">
        <f t="shared" si="27"/>
        <v>0</v>
      </c>
      <c r="L48" s="129">
        <f t="shared" si="27"/>
        <v>0</v>
      </c>
      <c r="M48" s="129">
        <f t="shared" si="27"/>
        <v>0</v>
      </c>
      <c r="N48" s="130"/>
      <c r="P48" s="159"/>
      <c r="S48" s="416"/>
    </row>
    <row r="49" spans="2:19" outlineLevel="1" x14ac:dyDescent="0.4">
      <c r="B49" s="629"/>
      <c r="C49" s="632"/>
      <c r="D49" s="648"/>
      <c r="E49" s="131" t="s">
        <v>166</v>
      </c>
      <c r="F49" s="132">
        <f t="shared" ref="F49:M49" si="28">IF(F47&lt;&gt;0,$D47*F47,0)</f>
        <v>0</v>
      </c>
      <c r="G49" s="132">
        <f t="shared" si="28"/>
        <v>400505.83500000002</v>
      </c>
      <c r="H49" s="132">
        <f t="shared" si="28"/>
        <v>400505.83500000002</v>
      </c>
      <c r="I49" s="132">
        <f t="shared" si="28"/>
        <v>0</v>
      </c>
      <c r="J49" s="132">
        <f t="shared" si="28"/>
        <v>0</v>
      </c>
      <c r="K49" s="132">
        <f t="shared" si="28"/>
        <v>0</v>
      </c>
      <c r="L49" s="132">
        <f t="shared" si="28"/>
        <v>0</v>
      </c>
      <c r="M49" s="132">
        <f t="shared" si="28"/>
        <v>0</v>
      </c>
      <c r="N49" s="133">
        <f>SUM(F49:M49)</f>
        <v>801011.67</v>
      </c>
      <c r="O49" s="159"/>
      <c r="P49" s="159"/>
      <c r="S49" s="416"/>
    </row>
    <row r="50" spans="2:19" outlineLevel="1" x14ac:dyDescent="0.4">
      <c r="B50" s="627" t="s">
        <v>9795</v>
      </c>
      <c r="C50" s="630" t="str">
        <f>_xlfn.XLOOKUP($B50,Planilha!$C:$C,Planilha!$F:$F)</f>
        <v>PAREDES DE CONTENÇÃO</v>
      </c>
      <c r="D50" s="646">
        <f>_xlfn.XLOOKUP($B50,Planilha!$C:$C,Planilha!$M:$M)</f>
        <v>469761.38</v>
      </c>
      <c r="E50" s="125" t="s">
        <v>3307</v>
      </c>
      <c r="F50" s="126"/>
      <c r="G50" s="126"/>
      <c r="H50" s="126">
        <v>1</v>
      </c>
      <c r="I50" s="126"/>
      <c r="J50" s="126"/>
      <c r="K50" s="126"/>
      <c r="L50" s="126"/>
      <c r="M50" s="126"/>
      <c r="N50" s="127">
        <f>SUM(F50:M50)</f>
        <v>1</v>
      </c>
      <c r="P50" s="159"/>
      <c r="S50" s="416"/>
    </row>
    <row r="51" spans="2:19" outlineLevel="1" x14ac:dyDescent="0.4">
      <c r="B51" s="628"/>
      <c r="C51" s="631"/>
      <c r="D51" s="647"/>
      <c r="E51" s="128" t="s">
        <v>3308</v>
      </c>
      <c r="F51" s="129">
        <f t="shared" ref="F51:M51" si="29">IF(F50&lt;&gt;0,1,0)</f>
        <v>0</v>
      </c>
      <c r="G51" s="129">
        <f t="shared" si="29"/>
        <v>0</v>
      </c>
      <c r="H51" s="129">
        <f t="shared" si="29"/>
        <v>1</v>
      </c>
      <c r="I51" s="129">
        <f t="shared" si="29"/>
        <v>0</v>
      </c>
      <c r="J51" s="129">
        <f t="shared" si="29"/>
        <v>0</v>
      </c>
      <c r="K51" s="129">
        <f t="shared" si="29"/>
        <v>0</v>
      </c>
      <c r="L51" s="129">
        <f t="shared" si="29"/>
        <v>0</v>
      </c>
      <c r="M51" s="129">
        <f t="shared" si="29"/>
        <v>0</v>
      </c>
      <c r="N51" s="130"/>
      <c r="P51" s="159"/>
      <c r="S51" s="416"/>
    </row>
    <row r="52" spans="2:19" outlineLevel="1" x14ac:dyDescent="0.4">
      <c r="B52" s="629"/>
      <c r="C52" s="632"/>
      <c r="D52" s="648"/>
      <c r="E52" s="131" t="s">
        <v>166</v>
      </c>
      <c r="F52" s="132">
        <f t="shared" ref="F52:M52" si="30">IF(F50&lt;&gt;0,$D50*F50,0)</f>
        <v>0</v>
      </c>
      <c r="G52" s="132">
        <f t="shared" si="30"/>
        <v>0</v>
      </c>
      <c r="H52" s="132">
        <f t="shared" si="30"/>
        <v>469761.38</v>
      </c>
      <c r="I52" s="132">
        <f t="shared" si="30"/>
        <v>0</v>
      </c>
      <c r="J52" s="132">
        <f t="shared" si="30"/>
        <v>0</v>
      </c>
      <c r="K52" s="132">
        <f t="shared" si="30"/>
        <v>0</v>
      </c>
      <c r="L52" s="132">
        <f t="shared" si="30"/>
        <v>0</v>
      </c>
      <c r="M52" s="132">
        <f t="shared" si="30"/>
        <v>0</v>
      </c>
      <c r="N52" s="133">
        <f>SUM(F52:M52)</f>
        <v>469761.38</v>
      </c>
      <c r="O52" s="159"/>
      <c r="P52" s="159"/>
      <c r="S52" s="416"/>
    </row>
    <row r="53" spans="2:19" outlineLevel="1" x14ac:dyDescent="0.4">
      <c r="B53" s="627" t="s">
        <v>9807</v>
      </c>
      <c r="C53" s="630" t="str">
        <f>_xlfn.XLOOKUP($B53,Planilha!$C:$C,Planilha!$F:$F)</f>
        <v>TIRANTES</v>
      </c>
      <c r="D53" s="646">
        <f>_xlfn.XLOOKUP($B53,Planilha!$C:$C,Planilha!$M:$M)</f>
        <v>32680.880000000001</v>
      </c>
      <c r="E53" s="125" t="s">
        <v>3307</v>
      </c>
      <c r="F53" s="126"/>
      <c r="G53" s="126">
        <v>0.2</v>
      </c>
      <c r="H53" s="126">
        <v>0.3</v>
      </c>
      <c r="I53" s="126">
        <v>0.3</v>
      </c>
      <c r="J53" s="126">
        <v>0.2</v>
      </c>
      <c r="K53" s="126"/>
      <c r="L53" s="126"/>
      <c r="M53" s="126"/>
      <c r="N53" s="127">
        <f>SUM(F53:M53)</f>
        <v>1</v>
      </c>
      <c r="P53" s="159"/>
      <c r="S53" s="416"/>
    </row>
    <row r="54" spans="2:19" outlineLevel="1" x14ac:dyDescent="0.4">
      <c r="B54" s="628"/>
      <c r="C54" s="631"/>
      <c r="D54" s="647"/>
      <c r="E54" s="128" t="s">
        <v>3308</v>
      </c>
      <c r="F54" s="129">
        <f t="shared" ref="F54:M54" si="31">IF(F53&lt;&gt;0,1,0)</f>
        <v>0</v>
      </c>
      <c r="G54" s="129">
        <f t="shared" si="31"/>
        <v>1</v>
      </c>
      <c r="H54" s="129">
        <f t="shared" si="31"/>
        <v>1</v>
      </c>
      <c r="I54" s="129">
        <f t="shared" si="31"/>
        <v>1</v>
      </c>
      <c r="J54" s="129">
        <f t="shared" si="31"/>
        <v>1</v>
      </c>
      <c r="K54" s="129">
        <f t="shared" si="31"/>
        <v>0</v>
      </c>
      <c r="L54" s="129">
        <f t="shared" si="31"/>
        <v>0</v>
      </c>
      <c r="M54" s="129">
        <f t="shared" si="31"/>
        <v>0</v>
      </c>
      <c r="N54" s="130"/>
      <c r="P54" s="159"/>
      <c r="S54" s="416"/>
    </row>
    <row r="55" spans="2:19" outlineLevel="1" x14ac:dyDescent="0.4">
      <c r="B55" s="629"/>
      <c r="C55" s="632"/>
      <c r="D55" s="648"/>
      <c r="E55" s="131" t="s">
        <v>166</v>
      </c>
      <c r="F55" s="132">
        <f t="shared" ref="F55:M55" si="32">IF(F53&lt;&gt;0,$D53*F53,0)</f>
        <v>0</v>
      </c>
      <c r="G55" s="132">
        <f t="shared" si="32"/>
        <v>6536.1760000000004</v>
      </c>
      <c r="H55" s="132">
        <f t="shared" si="32"/>
        <v>9804.2639999999992</v>
      </c>
      <c r="I55" s="132">
        <f t="shared" si="32"/>
        <v>9804.2639999999992</v>
      </c>
      <c r="J55" s="132">
        <f t="shared" si="32"/>
        <v>6536.1760000000004</v>
      </c>
      <c r="K55" s="132">
        <f t="shared" si="32"/>
        <v>0</v>
      </c>
      <c r="L55" s="132">
        <f t="shared" si="32"/>
        <v>0</v>
      </c>
      <c r="M55" s="132">
        <f t="shared" si="32"/>
        <v>0</v>
      </c>
      <c r="N55" s="133">
        <f>SUM(F55:M55)</f>
        <v>32680.879999999997</v>
      </c>
      <c r="O55" s="159"/>
      <c r="P55" s="159"/>
      <c r="S55" s="416"/>
    </row>
    <row r="56" spans="2:19" outlineLevel="1" x14ac:dyDescent="0.4">
      <c r="B56" s="627" t="s">
        <v>9815</v>
      </c>
      <c r="C56" s="630" t="str">
        <f>_xlfn.XLOOKUP($B56,Planilha!$C:$C,Planilha!$F:$F)</f>
        <v>CONCRETO ARMADO</v>
      </c>
      <c r="D56" s="646">
        <f>_xlfn.XLOOKUP($B56,Planilha!$C:$C,Planilha!$M:$M)</f>
        <v>1797241.9600000002</v>
      </c>
      <c r="E56" s="125" t="s">
        <v>3307</v>
      </c>
      <c r="F56" s="126"/>
      <c r="G56" s="126"/>
      <c r="H56" s="126">
        <v>0.2</v>
      </c>
      <c r="I56" s="126">
        <v>0.2</v>
      </c>
      <c r="J56" s="126">
        <v>0.3</v>
      </c>
      <c r="K56" s="126">
        <v>0.3</v>
      </c>
      <c r="L56" s="126"/>
      <c r="M56" s="126"/>
      <c r="N56" s="127">
        <f>SUM(F56:M56)</f>
        <v>1</v>
      </c>
      <c r="P56" s="159"/>
      <c r="S56" s="416"/>
    </row>
    <row r="57" spans="2:19" outlineLevel="1" x14ac:dyDescent="0.4">
      <c r="B57" s="628"/>
      <c r="C57" s="631"/>
      <c r="D57" s="647"/>
      <c r="E57" s="128" t="s">
        <v>3308</v>
      </c>
      <c r="F57" s="129">
        <f t="shared" ref="F57:M57" si="33">IF(F56&lt;&gt;0,1,0)</f>
        <v>0</v>
      </c>
      <c r="G57" s="129">
        <f t="shared" si="33"/>
        <v>0</v>
      </c>
      <c r="H57" s="129">
        <f t="shared" si="33"/>
        <v>1</v>
      </c>
      <c r="I57" s="129">
        <f t="shared" si="33"/>
        <v>1</v>
      </c>
      <c r="J57" s="129">
        <f t="shared" si="33"/>
        <v>1</v>
      </c>
      <c r="K57" s="129">
        <f t="shared" si="33"/>
        <v>1</v>
      </c>
      <c r="L57" s="129">
        <f t="shared" si="33"/>
        <v>0</v>
      </c>
      <c r="M57" s="129">
        <f t="shared" si="33"/>
        <v>0</v>
      </c>
      <c r="N57" s="130"/>
      <c r="P57" s="159"/>
      <c r="S57" s="416"/>
    </row>
    <row r="58" spans="2:19" outlineLevel="1" x14ac:dyDescent="0.4">
      <c r="B58" s="629"/>
      <c r="C58" s="632"/>
      <c r="D58" s="648"/>
      <c r="E58" s="131" t="s">
        <v>166</v>
      </c>
      <c r="F58" s="132">
        <f t="shared" ref="F58:M58" si="34">IF(F56&lt;&gt;0,$D56*F56,0)</f>
        <v>0</v>
      </c>
      <c r="G58" s="132">
        <f t="shared" si="34"/>
        <v>0</v>
      </c>
      <c r="H58" s="132">
        <f t="shared" si="34"/>
        <v>359448.39200000005</v>
      </c>
      <c r="I58" s="132">
        <f t="shared" si="34"/>
        <v>359448.39200000005</v>
      </c>
      <c r="J58" s="132">
        <f t="shared" si="34"/>
        <v>539172.58799999999</v>
      </c>
      <c r="K58" s="132">
        <f t="shared" si="34"/>
        <v>539172.58799999999</v>
      </c>
      <c r="L58" s="132">
        <f t="shared" si="34"/>
        <v>0</v>
      </c>
      <c r="M58" s="132">
        <f t="shared" si="34"/>
        <v>0</v>
      </c>
      <c r="N58" s="133">
        <f>SUM(F58:M58)</f>
        <v>1797241.96</v>
      </c>
      <c r="O58" s="159"/>
      <c r="P58" s="159"/>
      <c r="S58" s="416"/>
    </row>
    <row r="59" spans="2:19" outlineLevel="1" x14ac:dyDescent="0.4">
      <c r="B59" s="627" t="s">
        <v>9864</v>
      </c>
      <c r="C59" s="630" t="str">
        <f>_xlfn.XLOOKUP($B59,Planilha!$C:$C,Planilha!$F:$F)</f>
        <v>ESTRUTURA METÁLICA</v>
      </c>
      <c r="D59" s="646">
        <f>_xlfn.XLOOKUP($B59,Planilha!$C:$C,Planilha!$M:$M)</f>
        <v>1204812.49</v>
      </c>
      <c r="E59" s="125" t="s">
        <v>3307</v>
      </c>
      <c r="F59" s="126"/>
      <c r="G59" s="126"/>
      <c r="H59" s="126"/>
      <c r="I59" s="126">
        <v>0.34</v>
      </c>
      <c r="J59" s="126">
        <v>0.33</v>
      </c>
      <c r="K59" s="126">
        <v>0.33</v>
      </c>
      <c r="L59" s="126"/>
      <c r="M59" s="126"/>
      <c r="N59" s="127">
        <f>SUM(F59:M59)</f>
        <v>1</v>
      </c>
      <c r="P59" s="159"/>
      <c r="S59" s="416"/>
    </row>
    <row r="60" spans="2:19" outlineLevel="1" x14ac:dyDescent="0.4">
      <c r="B60" s="628"/>
      <c r="C60" s="631"/>
      <c r="D60" s="647"/>
      <c r="E60" s="128" t="s">
        <v>3308</v>
      </c>
      <c r="F60" s="129">
        <f t="shared" ref="F60:M60" si="35">IF(F59&lt;&gt;0,1,0)</f>
        <v>0</v>
      </c>
      <c r="G60" s="129">
        <f t="shared" si="35"/>
        <v>0</v>
      </c>
      <c r="H60" s="129">
        <f t="shared" si="35"/>
        <v>0</v>
      </c>
      <c r="I60" s="129">
        <f t="shared" si="35"/>
        <v>1</v>
      </c>
      <c r="J60" s="129">
        <f t="shared" si="35"/>
        <v>1</v>
      </c>
      <c r="K60" s="129">
        <f t="shared" si="35"/>
        <v>1</v>
      </c>
      <c r="L60" s="129">
        <f t="shared" si="35"/>
        <v>0</v>
      </c>
      <c r="M60" s="129">
        <f t="shared" si="35"/>
        <v>0</v>
      </c>
      <c r="N60" s="130"/>
      <c r="P60" s="159"/>
      <c r="S60" s="416"/>
    </row>
    <row r="61" spans="2:19" outlineLevel="1" x14ac:dyDescent="0.4">
      <c r="B61" s="629"/>
      <c r="C61" s="632"/>
      <c r="D61" s="648"/>
      <c r="E61" s="131" t="s">
        <v>166</v>
      </c>
      <c r="F61" s="132">
        <f t="shared" ref="F61:M61" si="36">IF(F59&lt;&gt;0,$D59*F59,0)</f>
        <v>0</v>
      </c>
      <c r="G61" s="132">
        <f t="shared" si="36"/>
        <v>0</v>
      </c>
      <c r="H61" s="132">
        <f t="shared" si="36"/>
        <v>0</v>
      </c>
      <c r="I61" s="132">
        <f>IF(I59&lt;&gt;0,$D59*I59,0)</f>
        <v>409636.24660000001</v>
      </c>
      <c r="J61" s="132">
        <f t="shared" si="36"/>
        <v>397588.12170000002</v>
      </c>
      <c r="K61" s="132">
        <f t="shared" si="36"/>
        <v>397588.12170000002</v>
      </c>
      <c r="L61" s="132">
        <f t="shared" si="36"/>
        <v>0</v>
      </c>
      <c r="M61" s="132">
        <f t="shared" si="36"/>
        <v>0</v>
      </c>
      <c r="N61" s="133">
        <f>SUM(F61:M61)</f>
        <v>1204812.49</v>
      </c>
      <c r="O61" s="159"/>
      <c r="P61" s="159"/>
      <c r="S61" s="416"/>
    </row>
    <row r="62" spans="2:19" collapsed="1" x14ac:dyDescent="0.4">
      <c r="B62" s="649" t="s">
        <v>3751</v>
      </c>
      <c r="C62" s="636" t="str">
        <f>_xlfn.XLOOKUP($B62,Planilha!$C:$C,Planilha!$F:$F)</f>
        <v>ARQUITETURA</v>
      </c>
      <c r="D62" s="639">
        <f>_xlfn.XLOOKUP($B62,Planilha!$C:$C,Planilha!$M:$M)</f>
        <v>5117932.2100000028</v>
      </c>
      <c r="E62" s="135" t="s">
        <v>3307</v>
      </c>
      <c r="F62" s="136">
        <f>IFERROR(F64/$D62,0)</f>
        <v>0</v>
      </c>
      <c r="G62" s="136">
        <f t="shared" ref="G62:M62" si="37">IFERROR(G64/$D62,0)</f>
        <v>0</v>
      </c>
      <c r="H62" s="136">
        <f t="shared" si="37"/>
        <v>4.5059563225437853E-3</v>
      </c>
      <c r="I62" s="136">
        <f t="shared" si="37"/>
        <v>6.5637066927855967E-2</v>
      </c>
      <c r="J62" s="136">
        <f t="shared" si="37"/>
        <v>0.36114758815846038</v>
      </c>
      <c r="K62" s="136">
        <f t="shared" si="37"/>
        <v>0.31986076150078574</v>
      </c>
      <c r="L62" s="136">
        <f t="shared" si="37"/>
        <v>0.12368335277344357</v>
      </c>
      <c r="M62" s="136">
        <f t="shared" si="37"/>
        <v>0.12516527431691005</v>
      </c>
      <c r="N62" s="137">
        <f>SUM(F62:M62)</f>
        <v>0.99999999999999956</v>
      </c>
      <c r="O62" s="118"/>
      <c r="P62" s="159"/>
      <c r="S62" s="416"/>
    </row>
    <row r="63" spans="2:19" x14ac:dyDescent="0.4">
      <c r="B63" s="650"/>
      <c r="C63" s="637"/>
      <c r="D63" s="640"/>
      <c r="E63" s="138" t="s">
        <v>3308</v>
      </c>
      <c r="F63" s="139">
        <f>IF(F62&lt;&gt;0,1,0)</f>
        <v>0</v>
      </c>
      <c r="G63" s="139">
        <f t="shared" ref="G63:M63" si="38">IF(G62&lt;&gt;0,1,0)</f>
        <v>0</v>
      </c>
      <c r="H63" s="139">
        <f t="shared" si="38"/>
        <v>1</v>
      </c>
      <c r="I63" s="139">
        <f t="shared" si="38"/>
        <v>1</v>
      </c>
      <c r="J63" s="139">
        <f t="shared" si="38"/>
        <v>1</v>
      </c>
      <c r="K63" s="139">
        <f t="shared" si="38"/>
        <v>1</v>
      </c>
      <c r="L63" s="139">
        <f t="shared" si="38"/>
        <v>1</v>
      </c>
      <c r="M63" s="139">
        <f t="shared" si="38"/>
        <v>1</v>
      </c>
      <c r="N63" s="140"/>
      <c r="P63" s="159"/>
      <c r="S63" s="416"/>
    </row>
    <row r="64" spans="2:19" x14ac:dyDescent="0.4">
      <c r="B64" s="651"/>
      <c r="C64" s="638"/>
      <c r="D64" s="641"/>
      <c r="E64" s="141" t="s">
        <v>166</v>
      </c>
      <c r="F64" s="142">
        <f>+F67+F70+F73+F76+F79+F82+F85+F88+F91+F94+F97+F100+F103+F106+F109+F112+F115</f>
        <v>0</v>
      </c>
      <c r="G64" s="142">
        <f t="shared" ref="G64:M64" si="39">+G67+G70+G73+G76+G79+G82+G85+G88+G91+G94+G97+G100+G103+G106+G109+G112+G115</f>
        <v>0</v>
      </c>
      <c r="H64" s="142">
        <f t="shared" si="39"/>
        <v>23061.179</v>
      </c>
      <c r="I64" s="142">
        <f t="shared" si="39"/>
        <v>335926.05900000001</v>
      </c>
      <c r="J64" s="142">
        <f t="shared" si="39"/>
        <v>1848328.8740000001</v>
      </c>
      <c r="K64" s="142">
        <f t="shared" si="39"/>
        <v>1637025.6940000001</v>
      </c>
      <c r="L64" s="142">
        <f t="shared" si="39"/>
        <v>633003.01500000001</v>
      </c>
      <c r="M64" s="142">
        <f t="shared" si="39"/>
        <v>640587.38899999997</v>
      </c>
      <c r="N64" s="143">
        <f>SUM(F64:M64)</f>
        <v>5117932.2100000009</v>
      </c>
      <c r="O64" s="159"/>
      <c r="P64" s="159"/>
      <c r="S64" s="416"/>
    </row>
    <row r="65" spans="2:19" outlineLevel="1" x14ac:dyDescent="0.4">
      <c r="B65" s="627" t="s">
        <v>9868</v>
      </c>
      <c r="C65" s="630" t="str">
        <f>_xlfn.XLOOKUP($B65,Planilha!$C:$C,Planilha!$F:$F)</f>
        <v>PAREDES E PAINEIS</v>
      </c>
      <c r="D65" s="646">
        <f>_xlfn.XLOOKUP($B65,Planilha!$C:$C,Planilha!$M:$M)</f>
        <v>230611.78999999998</v>
      </c>
      <c r="E65" s="125" t="s">
        <v>3307</v>
      </c>
      <c r="F65" s="126"/>
      <c r="G65" s="126"/>
      <c r="H65" s="126">
        <v>0.1</v>
      </c>
      <c r="I65" s="126">
        <v>0.2</v>
      </c>
      <c r="J65" s="126">
        <v>0.4</v>
      </c>
      <c r="K65" s="126">
        <v>0.3</v>
      </c>
      <c r="L65" s="126"/>
      <c r="M65" s="126"/>
      <c r="N65" s="127">
        <f>SUM(F65:M65)</f>
        <v>1</v>
      </c>
      <c r="P65" s="159"/>
      <c r="S65" s="416"/>
    </row>
    <row r="66" spans="2:19" outlineLevel="1" x14ac:dyDescent="0.4">
      <c r="B66" s="628"/>
      <c r="C66" s="631"/>
      <c r="D66" s="647"/>
      <c r="E66" s="128" t="s">
        <v>3308</v>
      </c>
      <c r="F66" s="129">
        <f t="shared" ref="F66:M66" si="40">IF(F65&lt;&gt;0,1,0)</f>
        <v>0</v>
      </c>
      <c r="G66" s="129">
        <f t="shared" si="40"/>
        <v>0</v>
      </c>
      <c r="H66" s="129">
        <f t="shared" si="40"/>
        <v>1</v>
      </c>
      <c r="I66" s="129">
        <f t="shared" si="40"/>
        <v>1</v>
      </c>
      <c r="J66" s="129">
        <f t="shared" si="40"/>
        <v>1</v>
      </c>
      <c r="K66" s="129">
        <f t="shared" si="40"/>
        <v>1</v>
      </c>
      <c r="L66" s="129">
        <f t="shared" si="40"/>
        <v>0</v>
      </c>
      <c r="M66" s="129">
        <f t="shared" si="40"/>
        <v>0</v>
      </c>
      <c r="N66" s="130"/>
      <c r="P66" s="159"/>
      <c r="S66" s="416"/>
    </row>
    <row r="67" spans="2:19" outlineLevel="1" x14ac:dyDescent="0.4">
      <c r="B67" s="629"/>
      <c r="C67" s="632"/>
      <c r="D67" s="648"/>
      <c r="E67" s="131" t="s">
        <v>166</v>
      </c>
      <c r="F67" s="132">
        <f t="shared" ref="F67:M67" si="41">IF(F65&lt;&gt;0,$D65*F65,0)</f>
        <v>0</v>
      </c>
      <c r="G67" s="132">
        <f t="shared" si="41"/>
        <v>0</v>
      </c>
      <c r="H67" s="132">
        <f t="shared" si="41"/>
        <v>23061.179</v>
      </c>
      <c r="I67" s="132">
        <f t="shared" si="41"/>
        <v>46122.358</v>
      </c>
      <c r="J67" s="132">
        <f t="shared" si="41"/>
        <v>92244.716</v>
      </c>
      <c r="K67" s="132">
        <f t="shared" si="41"/>
        <v>69183.536999999997</v>
      </c>
      <c r="L67" s="132">
        <f t="shared" si="41"/>
        <v>0</v>
      </c>
      <c r="M67" s="132">
        <f t="shared" si="41"/>
        <v>0</v>
      </c>
      <c r="N67" s="133">
        <f>SUM(F67:M67)</f>
        <v>230611.78999999998</v>
      </c>
      <c r="O67" s="159"/>
      <c r="P67" s="159"/>
      <c r="S67" s="416"/>
    </row>
    <row r="68" spans="2:19" outlineLevel="1" x14ac:dyDescent="0.4">
      <c r="B68" s="627" t="s">
        <v>9878</v>
      </c>
      <c r="C68" s="630" t="str">
        <f>_xlfn.XLOOKUP($B68,Planilha!$C:$C,Planilha!$F:$F)</f>
        <v>DIVISÓRIAS</v>
      </c>
      <c r="D68" s="646">
        <f>_xlfn.XLOOKUP($B68,Planilha!$C:$C,Planilha!$M:$M)</f>
        <v>27449.350000000002</v>
      </c>
      <c r="E68" s="125" t="s">
        <v>3307</v>
      </c>
      <c r="F68" s="126"/>
      <c r="G68" s="126"/>
      <c r="H68" s="126"/>
      <c r="I68" s="126"/>
      <c r="J68" s="126"/>
      <c r="K68" s="126"/>
      <c r="L68" s="126">
        <v>1</v>
      </c>
      <c r="M68" s="126"/>
      <c r="N68" s="127">
        <f>SUM(F68:M68)</f>
        <v>1</v>
      </c>
      <c r="P68" s="159"/>
      <c r="S68" s="416"/>
    </row>
    <row r="69" spans="2:19" outlineLevel="1" x14ac:dyDescent="0.4">
      <c r="B69" s="628"/>
      <c r="C69" s="631"/>
      <c r="D69" s="647"/>
      <c r="E69" s="128" t="s">
        <v>3308</v>
      </c>
      <c r="F69" s="129">
        <f t="shared" ref="F69:M69" si="42">IF(F68&lt;&gt;0,1,0)</f>
        <v>0</v>
      </c>
      <c r="G69" s="129">
        <f t="shared" si="42"/>
        <v>0</v>
      </c>
      <c r="H69" s="129">
        <f t="shared" si="42"/>
        <v>0</v>
      </c>
      <c r="I69" s="129">
        <f t="shared" si="42"/>
        <v>0</v>
      </c>
      <c r="J69" s="129">
        <f t="shared" si="42"/>
        <v>0</v>
      </c>
      <c r="K69" s="129">
        <f t="shared" si="42"/>
        <v>0</v>
      </c>
      <c r="L69" s="129">
        <f t="shared" si="42"/>
        <v>1</v>
      </c>
      <c r="M69" s="129">
        <f t="shared" si="42"/>
        <v>0</v>
      </c>
      <c r="N69" s="130"/>
      <c r="P69" s="159"/>
      <c r="S69" s="416"/>
    </row>
    <row r="70" spans="2:19" outlineLevel="1" x14ac:dyDescent="0.4">
      <c r="B70" s="629"/>
      <c r="C70" s="632"/>
      <c r="D70" s="648"/>
      <c r="E70" s="131" t="s">
        <v>166</v>
      </c>
      <c r="F70" s="132">
        <f t="shared" ref="F70:M70" si="43">IF(F68&lt;&gt;0,$D68*F68,0)</f>
        <v>0</v>
      </c>
      <c r="G70" s="132">
        <f t="shared" si="43"/>
        <v>0</v>
      </c>
      <c r="H70" s="132">
        <f t="shared" si="43"/>
        <v>0</v>
      </c>
      <c r="I70" s="132">
        <f t="shared" si="43"/>
        <v>0</v>
      </c>
      <c r="J70" s="132">
        <f t="shared" si="43"/>
        <v>0</v>
      </c>
      <c r="K70" s="132">
        <f t="shared" si="43"/>
        <v>0</v>
      </c>
      <c r="L70" s="132">
        <f t="shared" si="43"/>
        <v>27449.350000000002</v>
      </c>
      <c r="M70" s="132">
        <f t="shared" si="43"/>
        <v>0</v>
      </c>
      <c r="N70" s="477">
        <f>SUM(F70:M70)</f>
        <v>27449.350000000002</v>
      </c>
      <c r="O70" s="159"/>
      <c r="P70" s="159"/>
      <c r="S70" s="416"/>
    </row>
    <row r="71" spans="2:19" ht="15.75" customHeight="1" outlineLevel="1" x14ac:dyDescent="0.4">
      <c r="B71" s="627" t="s">
        <v>9884</v>
      </c>
      <c r="C71" s="630" t="str">
        <f>_xlfn.XLOOKUP($B71,Planilha!$C:$C,Planilha!$F:$F)</f>
        <v>REVESTIMENTOS</v>
      </c>
      <c r="D71" s="646">
        <f>_xlfn.XLOOKUP($B71,Planilha!$C:$C,Planilha!$M:$M)</f>
        <v>195041.31</v>
      </c>
      <c r="E71" s="125" t="s">
        <v>3307</v>
      </c>
      <c r="F71" s="126"/>
      <c r="G71" s="126"/>
      <c r="H71" s="126"/>
      <c r="I71" s="126">
        <v>0.1</v>
      </c>
      <c r="J71" s="126">
        <v>0.3</v>
      </c>
      <c r="K71" s="126">
        <v>0.3</v>
      </c>
      <c r="L71" s="126">
        <v>0.3</v>
      </c>
      <c r="M71" s="126"/>
      <c r="N71" s="127">
        <f>SUM(F71:M71)</f>
        <v>1</v>
      </c>
      <c r="P71" s="159"/>
      <c r="S71" s="416"/>
    </row>
    <row r="72" spans="2:19" outlineLevel="1" x14ac:dyDescent="0.4">
      <c r="B72" s="628"/>
      <c r="C72" s="631"/>
      <c r="D72" s="647"/>
      <c r="E72" s="128" t="s">
        <v>3308</v>
      </c>
      <c r="F72" s="129">
        <f t="shared" ref="F72:M72" si="44">IF(F71&lt;&gt;0,1,0)</f>
        <v>0</v>
      </c>
      <c r="G72" s="129">
        <f t="shared" si="44"/>
        <v>0</v>
      </c>
      <c r="H72" s="129">
        <f t="shared" si="44"/>
        <v>0</v>
      </c>
      <c r="I72" s="129">
        <f t="shared" si="44"/>
        <v>1</v>
      </c>
      <c r="J72" s="129">
        <f t="shared" si="44"/>
        <v>1</v>
      </c>
      <c r="K72" s="129">
        <f t="shared" si="44"/>
        <v>1</v>
      </c>
      <c r="L72" s="129">
        <f t="shared" si="44"/>
        <v>1</v>
      </c>
      <c r="M72" s="129">
        <f t="shared" si="44"/>
        <v>0</v>
      </c>
      <c r="N72" s="130"/>
      <c r="P72" s="159"/>
      <c r="S72" s="416"/>
    </row>
    <row r="73" spans="2:19" outlineLevel="1" x14ac:dyDescent="0.4">
      <c r="B73" s="629"/>
      <c r="C73" s="632"/>
      <c r="D73" s="648"/>
      <c r="E73" s="131" t="s">
        <v>166</v>
      </c>
      <c r="F73" s="132">
        <f t="shared" ref="F73:M73" si="45">IF(F71&lt;&gt;0,$D71*F71,0)</f>
        <v>0</v>
      </c>
      <c r="G73" s="132">
        <f t="shared" si="45"/>
        <v>0</v>
      </c>
      <c r="H73" s="132">
        <f t="shared" si="45"/>
        <v>0</v>
      </c>
      <c r="I73" s="132">
        <f t="shared" si="45"/>
        <v>19504.131000000001</v>
      </c>
      <c r="J73" s="132">
        <f t="shared" si="45"/>
        <v>58512.392999999996</v>
      </c>
      <c r="K73" s="132">
        <f t="shared" si="45"/>
        <v>58512.392999999996</v>
      </c>
      <c r="L73" s="132">
        <f t="shared" si="45"/>
        <v>58512.392999999996</v>
      </c>
      <c r="M73" s="132">
        <f t="shared" si="45"/>
        <v>0</v>
      </c>
      <c r="N73" s="133">
        <f>SUM(F73:M73)</f>
        <v>195041.31</v>
      </c>
      <c r="O73" s="159"/>
      <c r="P73" s="159"/>
      <c r="S73" s="416"/>
    </row>
    <row r="74" spans="2:19" outlineLevel="1" x14ac:dyDescent="0.4">
      <c r="B74" s="627" t="s">
        <v>9894</v>
      </c>
      <c r="C74" s="630" t="str">
        <f>_xlfn.XLOOKUP($B74,Planilha!$C:$C,Planilha!$F:$F)</f>
        <v>PINTURA</v>
      </c>
      <c r="D74" s="646">
        <f>_xlfn.XLOOKUP($B74,Planilha!$C:$C,Planilha!$M:$M)</f>
        <v>177749.48</v>
      </c>
      <c r="E74" s="125" t="s">
        <v>3307</v>
      </c>
      <c r="F74" s="126"/>
      <c r="G74" s="126"/>
      <c r="H74" s="126"/>
      <c r="I74" s="126"/>
      <c r="J74" s="126"/>
      <c r="K74" s="126"/>
      <c r="L74" s="126">
        <v>0.3</v>
      </c>
      <c r="M74" s="126">
        <v>0.7</v>
      </c>
      <c r="N74" s="127">
        <f>SUM(F74:M74)</f>
        <v>1</v>
      </c>
      <c r="P74" s="159"/>
      <c r="S74" s="416"/>
    </row>
    <row r="75" spans="2:19" outlineLevel="1" x14ac:dyDescent="0.4">
      <c r="B75" s="628"/>
      <c r="C75" s="631"/>
      <c r="D75" s="647"/>
      <c r="E75" s="128" t="s">
        <v>3308</v>
      </c>
      <c r="F75" s="129">
        <f t="shared" ref="F75:M75" si="46">IF(F74&lt;&gt;0,1,0)</f>
        <v>0</v>
      </c>
      <c r="G75" s="129">
        <f t="shared" si="46"/>
        <v>0</v>
      </c>
      <c r="H75" s="129">
        <f t="shared" si="46"/>
        <v>0</v>
      </c>
      <c r="I75" s="129">
        <f t="shared" si="46"/>
        <v>0</v>
      </c>
      <c r="J75" s="129">
        <f t="shared" si="46"/>
        <v>0</v>
      </c>
      <c r="K75" s="129">
        <f t="shared" si="46"/>
        <v>0</v>
      </c>
      <c r="L75" s="129">
        <f t="shared" si="46"/>
        <v>1</v>
      </c>
      <c r="M75" s="129">
        <f t="shared" si="46"/>
        <v>1</v>
      </c>
      <c r="N75" s="130"/>
      <c r="P75" s="159"/>
      <c r="S75" s="416"/>
    </row>
    <row r="76" spans="2:19" outlineLevel="1" x14ac:dyDescent="0.4">
      <c r="B76" s="629"/>
      <c r="C76" s="632"/>
      <c r="D76" s="648"/>
      <c r="E76" s="131" t="s">
        <v>166</v>
      </c>
      <c r="F76" s="132">
        <f t="shared" ref="F76:M76" si="47">IF(F74&lt;&gt;0,$D74*F74,0)</f>
        <v>0</v>
      </c>
      <c r="G76" s="132">
        <f t="shared" si="47"/>
        <v>0</v>
      </c>
      <c r="H76" s="132">
        <f t="shared" si="47"/>
        <v>0</v>
      </c>
      <c r="I76" s="132">
        <f t="shared" si="47"/>
        <v>0</v>
      </c>
      <c r="J76" s="132">
        <f t="shared" si="47"/>
        <v>0</v>
      </c>
      <c r="K76" s="132">
        <f t="shared" si="47"/>
        <v>0</v>
      </c>
      <c r="L76" s="132">
        <f t="shared" si="47"/>
        <v>53324.844000000005</v>
      </c>
      <c r="M76" s="132">
        <f t="shared" si="47"/>
        <v>124424.636</v>
      </c>
      <c r="N76" s="133">
        <f>SUM(F76:M76)</f>
        <v>177749.48</v>
      </c>
      <c r="O76" s="159"/>
      <c r="P76" s="159"/>
      <c r="S76" s="416"/>
    </row>
    <row r="77" spans="2:19" outlineLevel="1" x14ac:dyDescent="0.4">
      <c r="B77" s="627" t="s">
        <v>9901</v>
      </c>
      <c r="C77" s="630" t="str">
        <f>_xlfn.XLOOKUP($B77,Planilha!$C:$C,Planilha!$F:$F)</f>
        <v>PISOS</v>
      </c>
      <c r="D77" s="646">
        <f>_xlfn.XLOOKUP($B77,Planilha!$C:$C,Planilha!$M:$M)</f>
        <v>46110.03</v>
      </c>
      <c r="E77" s="125" t="s">
        <v>3307</v>
      </c>
      <c r="F77" s="126"/>
      <c r="G77" s="126"/>
      <c r="H77" s="126"/>
      <c r="I77" s="126"/>
      <c r="J77" s="126">
        <v>1</v>
      </c>
      <c r="K77" s="126"/>
      <c r="L77" s="126"/>
      <c r="M77" s="126"/>
      <c r="N77" s="127">
        <f>SUM(F77:M77)</f>
        <v>1</v>
      </c>
      <c r="P77" s="159"/>
      <c r="S77" s="416"/>
    </row>
    <row r="78" spans="2:19" outlineLevel="1" x14ac:dyDescent="0.4">
      <c r="B78" s="628"/>
      <c r="C78" s="631"/>
      <c r="D78" s="647"/>
      <c r="E78" s="128" t="s">
        <v>3308</v>
      </c>
      <c r="F78" s="129">
        <f t="shared" ref="F78:M78" si="48">IF(F77&lt;&gt;0,1,0)</f>
        <v>0</v>
      </c>
      <c r="G78" s="129">
        <f t="shared" si="48"/>
        <v>0</v>
      </c>
      <c r="H78" s="129">
        <f t="shared" si="48"/>
        <v>0</v>
      </c>
      <c r="I78" s="129">
        <f t="shared" si="48"/>
        <v>0</v>
      </c>
      <c r="J78" s="129">
        <f t="shared" si="48"/>
        <v>1</v>
      </c>
      <c r="K78" s="129">
        <f t="shared" si="48"/>
        <v>0</v>
      </c>
      <c r="L78" s="129">
        <f t="shared" si="48"/>
        <v>0</v>
      </c>
      <c r="M78" s="129">
        <f t="shared" si="48"/>
        <v>0</v>
      </c>
      <c r="N78" s="130"/>
      <c r="P78" s="159"/>
      <c r="S78" s="416"/>
    </row>
    <row r="79" spans="2:19" outlineLevel="1" x14ac:dyDescent="0.4">
      <c r="B79" s="629"/>
      <c r="C79" s="632"/>
      <c r="D79" s="648"/>
      <c r="E79" s="131" t="s">
        <v>166</v>
      </c>
      <c r="F79" s="132">
        <f t="shared" ref="F79:M79" si="49">IF(F77&lt;&gt;0,$D77*F77,0)</f>
        <v>0</v>
      </c>
      <c r="G79" s="132">
        <f t="shared" si="49"/>
        <v>0</v>
      </c>
      <c r="H79" s="132">
        <f t="shared" si="49"/>
        <v>0</v>
      </c>
      <c r="I79" s="132">
        <f t="shared" si="49"/>
        <v>0</v>
      </c>
      <c r="J79" s="132">
        <f t="shared" si="49"/>
        <v>46110.03</v>
      </c>
      <c r="K79" s="132">
        <f t="shared" si="49"/>
        <v>0</v>
      </c>
      <c r="L79" s="132">
        <f t="shared" si="49"/>
        <v>0</v>
      </c>
      <c r="M79" s="132">
        <f t="shared" si="49"/>
        <v>0</v>
      </c>
      <c r="N79" s="133">
        <f>SUM(F79:M79)</f>
        <v>46110.03</v>
      </c>
      <c r="O79" s="159"/>
      <c r="P79" s="159"/>
      <c r="S79" s="416"/>
    </row>
    <row r="80" spans="2:19" outlineLevel="1" x14ac:dyDescent="0.4">
      <c r="B80" s="627" t="s">
        <v>9907</v>
      </c>
      <c r="C80" s="630" t="str">
        <f>_xlfn.XLOOKUP($B80,Planilha!$C:$C,Planilha!$F:$F)</f>
        <v>PAVIMENTAÇÃO (PISO ARMADO) TIPO 1</v>
      </c>
      <c r="D80" s="646">
        <f>_xlfn.XLOOKUP($B80,Planilha!$C:$C,Planilha!$M:$M)</f>
        <v>372542.77</v>
      </c>
      <c r="E80" s="125" t="s">
        <v>3307</v>
      </c>
      <c r="F80" s="126"/>
      <c r="G80" s="126"/>
      <c r="H80" s="126"/>
      <c r="I80" s="126">
        <v>0.5</v>
      </c>
      <c r="J80" s="126">
        <v>0.5</v>
      </c>
      <c r="K80" s="126"/>
      <c r="L80" s="126"/>
      <c r="M80" s="126"/>
      <c r="N80" s="127">
        <f>SUM(F80:M80)</f>
        <v>1</v>
      </c>
      <c r="P80" s="159"/>
      <c r="S80" s="416"/>
    </row>
    <row r="81" spans="2:19" outlineLevel="1" x14ac:dyDescent="0.4">
      <c r="B81" s="653"/>
      <c r="C81" s="631"/>
      <c r="D81" s="647"/>
      <c r="E81" s="128" t="s">
        <v>3308</v>
      </c>
      <c r="F81" s="129">
        <f t="shared" ref="F81:M81" si="50">IF(F80&lt;&gt;0,1,0)</f>
        <v>0</v>
      </c>
      <c r="G81" s="129">
        <f t="shared" si="50"/>
        <v>0</v>
      </c>
      <c r="H81" s="129">
        <f t="shared" si="50"/>
        <v>0</v>
      </c>
      <c r="I81" s="129">
        <f t="shared" si="50"/>
        <v>1</v>
      </c>
      <c r="J81" s="129">
        <f t="shared" si="50"/>
        <v>1</v>
      </c>
      <c r="K81" s="129">
        <f t="shared" si="50"/>
        <v>0</v>
      </c>
      <c r="L81" s="129">
        <f t="shared" si="50"/>
        <v>0</v>
      </c>
      <c r="M81" s="129">
        <f t="shared" si="50"/>
        <v>0</v>
      </c>
      <c r="N81" s="130"/>
      <c r="P81" s="159"/>
      <c r="S81" s="416"/>
    </row>
    <row r="82" spans="2:19" outlineLevel="1" x14ac:dyDescent="0.4">
      <c r="B82" s="654"/>
      <c r="C82" s="632"/>
      <c r="D82" s="648"/>
      <c r="E82" s="131" t="s">
        <v>166</v>
      </c>
      <c r="F82" s="132">
        <f t="shared" ref="F82:M82" si="51">IF(F80&lt;&gt;0,$D80*F80,0)</f>
        <v>0</v>
      </c>
      <c r="G82" s="132">
        <f t="shared" si="51"/>
        <v>0</v>
      </c>
      <c r="H82" s="132">
        <f t="shared" si="51"/>
        <v>0</v>
      </c>
      <c r="I82" s="132">
        <f t="shared" si="51"/>
        <v>186271.38500000001</v>
      </c>
      <c r="J82" s="132">
        <f t="shared" si="51"/>
        <v>186271.38500000001</v>
      </c>
      <c r="K82" s="132">
        <f t="shared" si="51"/>
        <v>0</v>
      </c>
      <c r="L82" s="132">
        <f t="shared" si="51"/>
        <v>0</v>
      </c>
      <c r="M82" s="132">
        <f t="shared" si="51"/>
        <v>0</v>
      </c>
      <c r="N82" s="133">
        <f>SUM(F82:M82)</f>
        <v>372542.77</v>
      </c>
      <c r="O82" s="159"/>
      <c r="P82" s="159"/>
      <c r="S82" s="416"/>
    </row>
    <row r="83" spans="2:19" outlineLevel="1" x14ac:dyDescent="0.4">
      <c r="B83" s="627" t="s">
        <v>9918</v>
      </c>
      <c r="C83" s="630" t="str">
        <f>_xlfn.XLOOKUP($B83,Planilha!$C:$C,Planilha!$F:$F)</f>
        <v>PISOS ACABAMENTOS INTERNOS</v>
      </c>
      <c r="D83" s="646">
        <f>_xlfn.XLOOKUP($B83,Planilha!$C:$C,Planilha!$M:$M)</f>
        <v>278429.01999999996</v>
      </c>
      <c r="E83" s="125" t="s">
        <v>3307</v>
      </c>
      <c r="F83" s="126"/>
      <c r="G83" s="126"/>
      <c r="H83" s="126"/>
      <c r="I83" s="126"/>
      <c r="J83" s="126">
        <v>0.3</v>
      </c>
      <c r="K83" s="126">
        <v>0.3</v>
      </c>
      <c r="L83" s="126">
        <v>0.3</v>
      </c>
      <c r="M83" s="126">
        <v>0.1</v>
      </c>
      <c r="N83" s="127">
        <f>SUM(F83:M83)</f>
        <v>0.99999999999999989</v>
      </c>
      <c r="P83" s="159"/>
      <c r="S83" s="416"/>
    </row>
    <row r="84" spans="2:19" outlineLevel="1" x14ac:dyDescent="0.4">
      <c r="B84" s="628"/>
      <c r="C84" s="631"/>
      <c r="D84" s="647"/>
      <c r="E84" s="128" t="s">
        <v>3308</v>
      </c>
      <c r="F84" s="129">
        <f t="shared" ref="F84:M84" si="52">IF(F83&lt;&gt;0,1,0)</f>
        <v>0</v>
      </c>
      <c r="G84" s="129">
        <f t="shared" si="52"/>
        <v>0</v>
      </c>
      <c r="H84" s="129">
        <f t="shared" si="52"/>
        <v>0</v>
      </c>
      <c r="I84" s="129">
        <f t="shared" si="52"/>
        <v>0</v>
      </c>
      <c r="J84" s="129">
        <f t="shared" si="52"/>
        <v>1</v>
      </c>
      <c r="K84" s="129">
        <f t="shared" si="52"/>
        <v>1</v>
      </c>
      <c r="L84" s="129">
        <f t="shared" si="52"/>
        <v>1</v>
      </c>
      <c r="M84" s="129">
        <f t="shared" si="52"/>
        <v>1</v>
      </c>
      <c r="N84" s="130"/>
      <c r="P84" s="159"/>
      <c r="S84" s="416"/>
    </row>
    <row r="85" spans="2:19" outlineLevel="1" x14ac:dyDescent="0.4">
      <c r="B85" s="629"/>
      <c r="C85" s="632"/>
      <c r="D85" s="648"/>
      <c r="E85" s="131" t="s">
        <v>166</v>
      </c>
      <c r="F85" s="132">
        <f t="shared" ref="F85:M85" si="53">IF(F83&lt;&gt;0,$D83*F83,0)</f>
        <v>0</v>
      </c>
      <c r="G85" s="132">
        <f t="shared" si="53"/>
        <v>0</v>
      </c>
      <c r="H85" s="132">
        <f t="shared" si="53"/>
        <v>0</v>
      </c>
      <c r="I85" s="132">
        <f t="shared" si="53"/>
        <v>0</v>
      </c>
      <c r="J85" s="132">
        <f t="shared" si="53"/>
        <v>83528.705999999991</v>
      </c>
      <c r="K85" s="132">
        <f t="shared" si="53"/>
        <v>83528.705999999991</v>
      </c>
      <c r="L85" s="132">
        <f t="shared" si="53"/>
        <v>83528.705999999991</v>
      </c>
      <c r="M85" s="132">
        <f t="shared" si="53"/>
        <v>27842.901999999998</v>
      </c>
      <c r="N85" s="133">
        <f>SUM(F85:M85)</f>
        <v>278429.01999999996</v>
      </c>
      <c r="O85" s="159"/>
      <c r="P85" s="159"/>
      <c r="S85" s="416"/>
    </row>
    <row r="86" spans="2:19" outlineLevel="1" x14ac:dyDescent="0.4">
      <c r="B86" s="627" t="s">
        <v>9930</v>
      </c>
      <c r="C86" s="630" t="str">
        <f>_xlfn.XLOOKUP($B86,Planilha!$C:$C,Planilha!$F:$F)</f>
        <v>PISOS ACABAMENTOS EXTERNOS</v>
      </c>
      <c r="D86" s="646">
        <f>_xlfn.XLOOKUP($B86,Planilha!$C:$C,Planilha!$M:$M)</f>
        <v>65084.28</v>
      </c>
      <c r="E86" s="125" t="s">
        <v>3307</v>
      </c>
      <c r="F86" s="126"/>
      <c r="G86" s="126"/>
      <c r="H86" s="126"/>
      <c r="I86" s="126"/>
      <c r="J86" s="126"/>
      <c r="K86" s="126">
        <v>0.5</v>
      </c>
      <c r="L86" s="126">
        <v>0.4</v>
      </c>
      <c r="M86" s="126">
        <v>0.1</v>
      </c>
      <c r="N86" s="127">
        <f>SUM(F86:M86)</f>
        <v>1</v>
      </c>
      <c r="P86" s="159"/>
      <c r="S86" s="416"/>
    </row>
    <row r="87" spans="2:19" outlineLevel="1" x14ac:dyDescent="0.4">
      <c r="B87" s="628"/>
      <c r="C87" s="631"/>
      <c r="D87" s="647"/>
      <c r="E87" s="128" t="s">
        <v>3308</v>
      </c>
      <c r="F87" s="129">
        <f t="shared" ref="F87:M87" si="54">IF(F86&lt;&gt;0,1,0)</f>
        <v>0</v>
      </c>
      <c r="G87" s="129">
        <f t="shared" si="54"/>
        <v>0</v>
      </c>
      <c r="H87" s="129">
        <f t="shared" si="54"/>
        <v>0</v>
      </c>
      <c r="I87" s="129">
        <f t="shared" si="54"/>
        <v>0</v>
      </c>
      <c r="J87" s="129">
        <f t="shared" si="54"/>
        <v>0</v>
      </c>
      <c r="K87" s="129">
        <f t="shared" si="54"/>
        <v>1</v>
      </c>
      <c r="L87" s="129">
        <f t="shared" si="54"/>
        <v>1</v>
      </c>
      <c r="M87" s="129">
        <f t="shared" si="54"/>
        <v>1</v>
      </c>
      <c r="N87" s="130"/>
      <c r="P87" s="159"/>
      <c r="S87" s="416"/>
    </row>
    <row r="88" spans="2:19" outlineLevel="1" x14ac:dyDescent="0.4">
      <c r="B88" s="629"/>
      <c r="C88" s="632"/>
      <c r="D88" s="648"/>
      <c r="E88" s="131" t="s">
        <v>166</v>
      </c>
      <c r="F88" s="132">
        <f t="shared" ref="F88:M88" si="55">IF(F86&lt;&gt;0,$D86*F86,0)</f>
        <v>0</v>
      </c>
      <c r="G88" s="132">
        <f t="shared" si="55"/>
        <v>0</v>
      </c>
      <c r="H88" s="132">
        <f t="shared" si="55"/>
        <v>0</v>
      </c>
      <c r="I88" s="132">
        <f t="shared" si="55"/>
        <v>0</v>
      </c>
      <c r="J88" s="132">
        <f t="shared" si="55"/>
        <v>0</v>
      </c>
      <c r="K88" s="132">
        <f t="shared" si="55"/>
        <v>32542.14</v>
      </c>
      <c r="L88" s="132">
        <f t="shared" si="55"/>
        <v>26033.712</v>
      </c>
      <c r="M88" s="132">
        <f t="shared" si="55"/>
        <v>6508.4279999999999</v>
      </c>
      <c r="N88" s="133">
        <f>SUM(F88:M88)</f>
        <v>65084.28</v>
      </c>
      <c r="O88" s="159"/>
      <c r="P88" s="159"/>
      <c r="S88" s="416"/>
    </row>
    <row r="89" spans="2:19" outlineLevel="1" x14ac:dyDescent="0.4">
      <c r="B89" s="627" t="s">
        <v>9935</v>
      </c>
      <c r="C89" s="630" t="str">
        <f>_xlfn.XLOOKUP($B89,Planilha!$C:$C,Planilha!$F:$F)</f>
        <v>IMPERMEABILIZAÇÃO</v>
      </c>
      <c r="D89" s="646">
        <f>_xlfn.XLOOKUP($B89,Planilha!$C:$C,Planilha!$M:$M)</f>
        <v>168056.37</v>
      </c>
      <c r="E89" s="125" t="s">
        <v>3307</v>
      </c>
      <c r="F89" s="126"/>
      <c r="G89" s="126"/>
      <c r="H89" s="126"/>
      <c r="I89" s="126">
        <v>0.5</v>
      </c>
      <c r="J89" s="126">
        <v>0.5</v>
      </c>
      <c r="K89" s="126"/>
      <c r="L89" s="126"/>
      <c r="M89" s="126"/>
      <c r="N89" s="127">
        <f>SUM(F89:M89)</f>
        <v>1</v>
      </c>
      <c r="P89" s="159"/>
      <c r="S89" s="416"/>
    </row>
    <row r="90" spans="2:19" outlineLevel="1" x14ac:dyDescent="0.4">
      <c r="B90" s="628"/>
      <c r="C90" s="631"/>
      <c r="D90" s="647"/>
      <c r="E90" s="128" t="s">
        <v>3308</v>
      </c>
      <c r="F90" s="129">
        <f t="shared" ref="F90:M90" si="56">IF(F89&lt;&gt;0,1,0)</f>
        <v>0</v>
      </c>
      <c r="G90" s="129">
        <f t="shared" si="56"/>
        <v>0</v>
      </c>
      <c r="H90" s="129">
        <f t="shared" si="56"/>
        <v>0</v>
      </c>
      <c r="I90" s="129">
        <f t="shared" si="56"/>
        <v>1</v>
      </c>
      <c r="J90" s="129">
        <f t="shared" si="56"/>
        <v>1</v>
      </c>
      <c r="K90" s="129">
        <f t="shared" si="56"/>
        <v>0</v>
      </c>
      <c r="L90" s="129">
        <f t="shared" si="56"/>
        <v>0</v>
      </c>
      <c r="M90" s="129">
        <f t="shared" si="56"/>
        <v>0</v>
      </c>
      <c r="N90" s="130"/>
      <c r="P90" s="159"/>
      <c r="S90" s="416"/>
    </row>
    <row r="91" spans="2:19" outlineLevel="1" x14ac:dyDescent="0.4">
      <c r="B91" s="629"/>
      <c r="C91" s="632"/>
      <c r="D91" s="648"/>
      <c r="E91" s="131" t="s">
        <v>166</v>
      </c>
      <c r="F91" s="132">
        <f t="shared" ref="F91:M91" si="57">IF(F89&lt;&gt;0,$D89*F89,0)</f>
        <v>0</v>
      </c>
      <c r="G91" s="132">
        <f t="shared" si="57"/>
        <v>0</v>
      </c>
      <c r="H91" s="132">
        <f t="shared" si="57"/>
        <v>0</v>
      </c>
      <c r="I91" s="132">
        <f t="shared" si="57"/>
        <v>84028.184999999998</v>
      </c>
      <c r="J91" s="132">
        <f t="shared" si="57"/>
        <v>84028.184999999998</v>
      </c>
      <c r="K91" s="132">
        <f t="shared" si="57"/>
        <v>0</v>
      </c>
      <c r="L91" s="132">
        <f t="shared" si="57"/>
        <v>0</v>
      </c>
      <c r="M91" s="132">
        <f t="shared" si="57"/>
        <v>0</v>
      </c>
      <c r="N91" s="133">
        <f>SUM(F91:M91)</f>
        <v>168056.37</v>
      </c>
      <c r="O91" s="159"/>
      <c r="P91" s="159"/>
      <c r="S91" s="416"/>
    </row>
    <row r="92" spans="2:19" outlineLevel="1" x14ac:dyDescent="0.4">
      <c r="B92" s="627" t="s">
        <v>9939</v>
      </c>
      <c r="C92" s="630" t="str">
        <f>_xlfn.XLOOKUP($B92,Planilha!$C:$C,Planilha!$F:$F)</f>
        <v>FORROS</v>
      </c>
      <c r="D92" s="646">
        <f>_xlfn.XLOOKUP($B92,Planilha!$C:$C,Planilha!$M:$M)</f>
        <v>55151.61</v>
      </c>
      <c r="E92" s="125" t="s">
        <v>3307</v>
      </c>
      <c r="F92" s="126"/>
      <c r="G92" s="126"/>
      <c r="H92" s="126"/>
      <c r="I92" s="126"/>
      <c r="J92" s="126"/>
      <c r="K92" s="126">
        <v>0.4</v>
      </c>
      <c r="L92" s="126">
        <v>0.4</v>
      </c>
      <c r="M92" s="126">
        <v>0.2</v>
      </c>
      <c r="N92" s="127">
        <f>SUM(F92:M92)</f>
        <v>1</v>
      </c>
      <c r="P92" s="159"/>
      <c r="S92" s="416"/>
    </row>
    <row r="93" spans="2:19" outlineLevel="1" x14ac:dyDescent="0.4">
      <c r="B93" s="628"/>
      <c r="C93" s="631"/>
      <c r="D93" s="647"/>
      <c r="E93" s="128" t="s">
        <v>3308</v>
      </c>
      <c r="F93" s="129">
        <f t="shared" ref="F93:M93" si="58">IF(F92&lt;&gt;0,1,0)</f>
        <v>0</v>
      </c>
      <c r="G93" s="129">
        <f t="shared" si="58"/>
        <v>0</v>
      </c>
      <c r="H93" s="129">
        <f t="shared" si="58"/>
        <v>0</v>
      </c>
      <c r="I93" s="129">
        <f t="shared" si="58"/>
        <v>0</v>
      </c>
      <c r="J93" s="129">
        <f t="shared" si="58"/>
        <v>0</v>
      </c>
      <c r="K93" s="129">
        <f t="shared" si="58"/>
        <v>1</v>
      </c>
      <c r="L93" s="129">
        <f t="shared" si="58"/>
        <v>1</v>
      </c>
      <c r="M93" s="129">
        <f t="shared" si="58"/>
        <v>1</v>
      </c>
      <c r="N93" s="130"/>
      <c r="P93" s="159"/>
      <c r="S93" s="416"/>
    </row>
    <row r="94" spans="2:19" outlineLevel="1" x14ac:dyDescent="0.4">
      <c r="B94" s="629"/>
      <c r="C94" s="632"/>
      <c r="D94" s="648"/>
      <c r="E94" s="131" t="s">
        <v>166</v>
      </c>
      <c r="F94" s="132">
        <f t="shared" ref="F94:M94" si="59">IF(F92&lt;&gt;0,$D92*F92,0)</f>
        <v>0</v>
      </c>
      <c r="G94" s="132">
        <f t="shared" si="59"/>
        <v>0</v>
      </c>
      <c r="H94" s="132">
        <f t="shared" si="59"/>
        <v>0</v>
      </c>
      <c r="I94" s="132">
        <f t="shared" si="59"/>
        <v>0</v>
      </c>
      <c r="J94" s="132">
        <f t="shared" si="59"/>
        <v>0</v>
      </c>
      <c r="K94" s="132">
        <f t="shared" si="59"/>
        <v>22060.644</v>
      </c>
      <c r="L94" s="132">
        <f t="shared" si="59"/>
        <v>22060.644</v>
      </c>
      <c r="M94" s="132">
        <f t="shared" si="59"/>
        <v>11030.322</v>
      </c>
      <c r="N94" s="133">
        <f>SUM(F94:M94)</f>
        <v>55151.61</v>
      </c>
      <c r="O94" s="159"/>
      <c r="P94" s="159"/>
      <c r="S94" s="416"/>
    </row>
    <row r="95" spans="2:19" ht="15.75" customHeight="1" outlineLevel="1" x14ac:dyDescent="0.4">
      <c r="B95" s="627" t="s">
        <v>9943</v>
      </c>
      <c r="C95" s="630" t="str">
        <f>_xlfn.XLOOKUP($B95,Planilha!$C:$C,Planilha!$F:$F)</f>
        <v>COBERTURAS E FECHAMENTOS</v>
      </c>
      <c r="D95" s="646">
        <f>_xlfn.XLOOKUP($B95,Planilha!$C:$C,Planilha!$M:$M)</f>
        <v>1872061.6300000001</v>
      </c>
      <c r="E95" s="125" t="s">
        <v>3307</v>
      </c>
      <c r="F95" s="126"/>
      <c r="G95" s="126"/>
      <c r="H95" s="126"/>
      <c r="I95" s="126"/>
      <c r="J95" s="126">
        <v>0.5</v>
      </c>
      <c r="K95" s="126">
        <v>0.5</v>
      </c>
      <c r="L95" s="126"/>
      <c r="M95" s="126"/>
      <c r="N95" s="127">
        <f>SUM(F95:M95)</f>
        <v>1</v>
      </c>
      <c r="P95" s="159"/>
      <c r="S95" s="416"/>
    </row>
    <row r="96" spans="2:19" outlineLevel="1" x14ac:dyDescent="0.4">
      <c r="B96" s="628"/>
      <c r="C96" s="631"/>
      <c r="D96" s="647"/>
      <c r="E96" s="128" t="s">
        <v>3308</v>
      </c>
      <c r="F96" s="129">
        <f t="shared" ref="F96:M96" si="60">IF(F95&lt;&gt;0,1,0)</f>
        <v>0</v>
      </c>
      <c r="G96" s="129">
        <f t="shared" si="60"/>
        <v>0</v>
      </c>
      <c r="H96" s="129">
        <f t="shared" si="60"/>
        <v>0</v>
      </c>
      <c r="I96" s="129">
        <f t="shared" si="60"/>
        <v>0</v>
      </c>
      <c r="J96" s="129">
        <f t="shared" si="60"/>
        <v>1</v>
      </c>
      <c r="K96" s="129">
        <f t="shared" si="60"/>
        <v>1</v>
      </c>
      <c r="L96" s="129">
        <f t="shared" si="60"/>
        <v>0</v>
      </c>
      <c r="M96" s="129">
        <f t="shared" si="60"/>
        <v>0</v>
      </c>
      <c r="N96" s="130"/>
      <c r="P96" s="159"/>
      <c r="S96" s="416"/>
    </row>
    <row r="97" spans="2:19" outlineLevel="1" x14ac:dyDescent="0.4">
      <c r="B97" s="629"/>
      <c r="C97" s="632"/>
      <c r="D97" s="648"/>
      <c r="E97" s="131" t="s">
        <v>166</v>
      </c>
      <c r="F97" s="132">
        <f t="shared" ref="F97:M97" si="61">IF(F95&lt;&gt;0,$D95*F95,0)</f>
        <v>0</v>
      </c>
      <c r="G97" s="132">
        <f t="shared" si="61"/>
        <v>0</v>
      </c>
      <c r="H97" s="132">
        <f t="shared" si="61"/>
        <v>0</v>
      </c>
      <c r="I97" s="132">
        <f t="shared" si="61"/>
        <v>0</v>
      </c>
      <c r="J97" s="132">
        <f t="shared" si="61"/>
        <v>936030.81500000006</v>
      </c>
      <c r="K97" s="132">
        <f t="shared" si="61"/>
        <v>936030.81500000006</v>
      </c>
      <c r="L97" s="132">
        <f t="shared" si="61"/>
        <v>0</v>
      </c>
      <c r="M97" s="132">
        <f t="shared" si="61"/>
        <v>0</v>
      </c>
      <c r="N97" s="133">
        <f>SUM(F97:M97)</f>
        <v>1872061.6300000001</v>
      </c>
      <c r="O97" s="159"/>
      <c r="P97" s="159"/>
      <c r="S97" s="416"/>
    </row>
    <row r="98" spans="2:19" outlineLevel="1" x14ac:dyDescent="0.4">
      <c r="B98" s="627" t="s">
        <v>9969</v>
      </c>
      <c r="C98" s="630" t="str">
        <f>_xlfn.XLOOKUP($B98,Planilha!$C:$C,Planilha!$F:$F)</f>
        <v>LOUÇAS E METAIS</v>
      </c>
      <c r="D98" s="646">
        <f>_xlfn.XLOOKUP($B98,Planilha!$C:$C,Planilha!$M:$M)</f>
        <v>9161.76</v>
      </c>
      <c r="E98" s="125" t="s">
        <v>3307</v>
      </c>
      <c r="F98" s="126"/>
      <c r="G98" s="126"/>
      <c r="H98" s="126"/>
      <c r="I98" s="126"/>
      <c r="J98" s="126"/>
      <c r="K98" s="126"/>
      <c r="L98" s="126">
        <v>0.4</v>
      </c>
      <c r="M98" s="126">
        <v>0.6</v>
      </c>
      <c r="N98" s="127">
        <f>SUM(F98:M98)</f>
        <v>1</v>
      </c>
      <c r="P98" s="159"/>
      <c r="S98" s="416"/>
    </row>
    <row r="99" spans="2:19" outlineLevel="1" x14ac:dyDescent="0.4">
      <c r="B99" s="628"/>
      <c r="C99" s="631"/>
      <c r="D99" s="647"/>
      <c r="E99" s="128" t="s">
        <v>3308</v>
      </c>
      <c r="F99" s="129">
        <f t="shared" ref="F99:M99" si="62">IF(F98&lt;&gt;0,1,0)</f>
        <v>0</v>
      </c>
      <c r="G99" s="129">
        <f t="shared" si="62"/>
        <v>0</v>
      </c>
      <c r="H99" s="129">
        <f t="shared" si="62"/>
        <v>0</v>
      </c>
      <c r="I99" s="129">
        <f t="shared" si="62"/>
        <v>0</v>
      </c>
      <c r="J99" s="129">
        <f t="shared" si="62"/>
        <v>0</v>
      </c>
      <c r="K99" s="129">
        <f t="shared" si="62"/>
        <v>0</v>
      </c>
      <c r="L99" s="129">
        <f t="shared" si="62"/>
        <v>1</v>
      </c>
      <c r="M99" s="129">
        <f t="shared" si="62"/>
        <v>1</v>
      </c>
      <c r="N99" s="130"/>
      <c r="P99" s="159"/>
      <c r="S99" s="416"/>
    </row>
    <row r="100" spans="2:19" outlineLevel="1" x14ac:dyDescent="0.4">
      <c r="B100" s="629"/>
      <c r="C100" s="632"/>
      <c r="D100" s="648"/>
      <c r="E100" s="131" t="s">
        <v>166</v>
      </c>
      <c r="F100" s="132">
        <f t="shared" ref="F100:M100" si="63">IF(F98&lt;&gt;0,$D98*F98,0)</f>
        <v>0</v>
      </c>
      <c r="G100" s="132">
        <f t="shared" si="63"/>
        <v>0</v>
      </c>
      <c r="H100" s="132">
        <f t="shared" si="63"/>
        <v>0</v>
      </c>
      <c r="I100" s="132">
        <f t="shared" si="63"/>
        <v>0</v>
      </c>
      <c r="J100" s="132">
        <f t="shared" si="63"/>
        <v>0</v>
      </c>
      <c r="K100" s="132">
        <f t="shared" si="63"/>
        <v>0</v>
      </c>
      <c r="L100" s="132">
        <f t="shared" si="63"/>
        <v>3664.7040000000002</v>
      </c>
      <c r="M100" s="132">
        <f t="shared" si="63"/>
        <v>5497.0559999999996</v>
      </c>
      <c r="N100" s="133">
        <f>SUM(F100:M100)</f>
        <v>9161.76</v>
      </c>
      <c r="O100" s="159"/>
      <c r="P100" s="159"/>
      <c r="S100" s="416"/>
    </row>
    <row r="101" spans="2:19" outlineLevel="1" x14ac:dyDescent="0.4">
      <c r="B101" s="627" t="s">
        <v>9975</v>
      </c>
      <c r="C101" s="630" t="str">
        <f>_xlfn.XLOOKUP($B101,Planilha!$C:$C,Planilha!$F:$F)</f>
        <v>BANCADAS E PRATELEIRAS</v>
      </c>
      <c r="D101" s="646">
        <f>_xlfn.XLOOKUP($B101,Planilha!$C:$C,Planilha!$M:$M)</f>
        <v>4052.05</v>
      </c>
      <c r="E101" s="125" t="s">
        <v>3307</v>
      </c>
      <c r="F101" s="126"/>
      <c r="G101" s="126"/>
      <c r="H101" s="126"/>
      <c r="I101" s="126"/>
      <c r="J101" s="126"/>
      <c r="K101" s="126"/>
      <c r="L101" s="126">
        <v>0.4</v>
      </c>
      <c r="M101" s="126">
        <v>0.6</v>
      </c>
      <c r="N101" s="127">
        <f>SUM(F101:M101)</f>
        <v>1</v>
      </c>
      <c r="P101" s="159"/>
      <c r="S101" s="416"/>
    </row>
    <row r="102" spans="2:19" outlineLevel="1" x14ac:dyDescent="0.4">
      <c r="B102" s="628"/>
      <c r="C102" s="631"/>
      <c r="D102" s="647"/>
      <c r="E102" s="128" t="s">
        <v>3308</v>
      </c>
      <c r="F102" s="129">
        <f t="shared" ref="F102:M102" si="64">IF(F101&lt;&gt;0,1,0)</f>
        <v>0</v>
      </c>
      <c r="G102" s="129">
        <f t="shared" si="64"/>
        <v>0</v>
      </c>
      <c r="H102" s="129">
        <f t="shared" si="64"/>
        <v>0</v>
      </c>
      <c r="I102" s="129">
        <f t="shared" si="64"/>
        <v>0</v>
      </c>
      <c r="J102" s="129">
        <f t="shared" si="64"/>
        <v>0</v>
      </c>
      <c r="K102" s="129">
        <f t="shared" si="64"/>
        <v>0</v>
      </c>
      <c r="L102" s="129">
        <f t="shared" si="64"/>
        <v>1</v>
      </c>
      <c r="M102" s="129">
        <f t="shared" si="64"/>
        <v>1</v>
      </c>
      <c r="N102" s="130"/>
      <c r="P102" s="159"/>
      <c r="S102" s="416"/>
    </row>
    <row r="103" spans="2:19" outlineLevel="1" x14ac:dyDescent="0.4">
      <c r="B103" s="629"/>
      <c r="C103" s="632"/>
      <c r="D103" s="648"/>
      <c r="E103" s="131" t="s">
        <v>166</v>
      </c>
      <c r="F103" s="132">
        <f t="shared" ref="F103:M103" si="65">IF(F101&lt;&gt;0,$D101*F101,0)</f>
        <v>0</v>
      </c>
      <c r="G103" s="132">
        <f t="shared" si="65"/>
        <v>0</v>
      </c>
      <c r="H103" s="132">
        <f t="shared" si="65"/>
        <v>0</v>
      </c>
      <c r="I103" s="132">
        <f t="shared" si="65"/>
        <v>0</v>
      </c>
      <c r="J103" s="132">
        <f t="shared" si="65"/>
        <v>0</v>
      </c>
      <c r="K103" s="132">
        <f t="shared" si="65"/>
        <v>0</v>
      </c>
      <c r="L103" s="132">
        <f t="shared" si="65"/>
        <v>1620.8200000000002</v>
      </c>
      <c r="M103" s="132">
        <f t="shared" si="65"/>
        <v>2431.23</v>
      </c>
      <c r="N103" s="133">
        <f>SUM(F103:M103)</f>
        <v>4052.05</v>
      </c>
      <c r="O103" s="159"/>
      <c r="P103" s="159"/>
      <c r="S103" s="416"/>
    </row>
    <row r="104" spans="2:19" outlineLevel="1" x14ac:dyDescent="0.4">
      <c r="B104" s="627" t="s">
        <v>9979</v>
      </c>
      <c r="C104" s="630" t="str">
        <f>_xlfn.XLOOKUP($B104,Planilha!$C:$C,Planilha!$F:$F)</f>
        <v>ACESSÓRIOS</v>
      </c>
      <c r="D104" s="646">
        <f>_xlfn.XLOOKUP($B104,Planilha!$C:$C,Planilha!$M:$M)</f>
        <v>20478.820000000003</v>
      </c>
      <c r="E104" s="125" t="s">
        <v>3307</v>
      </c>
      <c r="F104" s="126"/>
      <c r="G104" s="126"/>
      <c r="H104" s="126"/>
      <c r="I104" s="126"/>
      <c r="J104" s="126"/>
      <c r="K104" s="126"/>
      <c r="L104" s="126">
        <v>0.4</v>
      </c>
      <c r="M104" s="126">
        <v>0.6</v>
      </c>
      <c r="N104" s="127">
        <f>SUM(F104:M104)</f>
        <v>1</v>
      </c>
      <c r="P104" s="159"/>
      <c r="S104" s="416"/>
    </row>
    <row r="105" spans="2:19" outlineLevel="1" x14ac:dyDescent="0.4">
      <c r="B105" s="628"/>
      <c r="C105" s="631"/>
      <c r="D105" s="647"/>
      <c r="E105" s="128" t="s">
        <v>3308</v>
      </c>
      <c r="F105" s="129">
        <f t="shared" ref="F105:M105" si="66">IF(F104&lt;&gt;0,1,0)</f>
        <v>0</v>
      </c>
      <c r="G105" s="129">
        <f t="shared" si="66"/>
        <v>0</v>
      </c>
      <c r="H105" s="129">
        <f t="shared" si="66"/>
        <v>0</v>
      </c>
      <c r="I105" s="129">
        <f t="shared" si="66"/>
        <v>0</v>
      </c>
      <c r="J105" s="129">
        <f t="shared" si="66"/>
        <v>0</v>
      </c>
      <c r="K105" s="129">
        <f t="shared" si="66"/>
        <v>0</v>
      </c>
      <c r="L105" s="129">
        <f t="shared" si="66"/>
        <v>1</v>
      </c>
      <c r="M105" s="129">
        <f t="shared" si="66"/>
        <v>1</v>
      </c>
      <c r="N105" s="130"/>
      <c r="P105" s="159"/>
      <c r="S105" s="416"/>
    </row>
    <row r="106" spans="2:19" outlineLevel="1" x14ac:dyDescent="0.4">
      <c r="B106" s="629"/>
      <c r="C106" s="632"/>
      <c r="D106" s="648"/>
      <c r="E106" s="131" t="s">
        <v>166</v>
      </c>
      <c r="F106" s="132">
        <f t="shared" ref="F106:M106" si="67">IF(F104&lt;&gt;0,$D104*F104,0)</f>
        <v>0</v>
      </c>
      <c r="G106" s="132">
        <f t="shared" si="67"/>
        <v>0</v>
      </c>
      <c r="H106" s="132">
        <f t="shared" si="67"/>
        <v>0</v>
      </c>
      <c r="I106" s="132">
        <f t="shared" si="67"/>
        <v>0</v>
      </c>
      <c r="J106" s="132">
        <f t="shared" si="67"/>
        <v>0</v>
      </c>
      <c r="K106" s="132">
        <f t="shared" si="67"/>
        <v>0</v>
      </c>
      <c r="L106" s="132">
        <f t="shared" si="67"/>
        <v>8191.5280000000021</v>
      </c>
      <c r="M106" s="132">
        <f t="shared" si="67"/>
        <v>12287.292000000001</v>
      </c>
      <c r="N106" s="133">
        <f>SUM(F106:M106)</f>
        <v>20478.820000000003</v>
      </c>
      <c r="O106" s="159"/>
      <c r="P106" s="159"/>
      <c r="S106" s="416"/>
    </row>
    <row r="107" spans="2:19" outlineLevel="1" x14ac:dyDescent="0.4">
      <c r="B107" s="627" t="s">
        <v>10002</v>
      </c>
      <c r="C107" s="630" t="str">
        <f>_xlfn.XLOOKUP($B107,Planilha!$C:$C,Planilha!$F:$F)</f>
        <v>ESQUADRIAS</v>
      </c>
      <c r="D107" s="646">
        <f>_xlfn.XLOOKUP($B107,Planilha!$C:$C,Planilha!$M:$M)</f>
        <v>904006.61000000034</v>
      </c>
      <c r="E107" s="125" t="s">
        <v>3307</v>
      </c>
      <c r="F107" s="126"/>
      <c r="G107" s="126"/>
      <c r="H107" s="126"/>
      <c r="I107" s="126"/>
      <c r="J107" s="126">
        <v>0.4</v>
      </c>
      <c r="K107" s="126">
        <v>0.4</v>
      </c>
      <c r="L107" s="126">
        <v>0.2</v>
      </c>
      <c r="M107" s="126"/>
      <c r="N107" s="127">
        <f>SUM(F107:M107)</f>
        <v>1</v>
      </c>
      <c r="P107" s="159"/>
      <c r="S107" s="416"/>
    </row>
    <row r="108" spans="2:19" outlineLevel="1" x14ac:dyDescent="0.4">
      <c r="B108" s="628"/>
      <c r="C108" s="631"/>
      <c r="D108" s="647"/>
      <c r="E108" s="128" t="s">
        <v>3308</v>
      </c>
      <c r="F108" s="129">
        <f t="shared" ref="F108:M108" si="68">IF(F107&lt;&gt;0,1,0)</f>
        <v>0</v>
      </c>
      <c r="G108" s="129">
        <f t="shared" si="68"/>
        <v>0</v>
      </c>
      <c r="H108" s="129">
        <f t="shared" si="68"/>
        <v>0</v>
      </c>
      <c r="I108" s="129">
        <f t="shared" si="68"/>
        <v>0</v>
      </c>
      <c r="J108" s="129">
        <f t="shared" si="68"/>
        <v>1</v>
      </c>
      <c r="K108" s="129">
        <f t="shared" si="68"/>
        <v>1</v>
      </c>
      <c r="L108" s="129">
        <f t="shared" si="68"/>
        <v>1</v>
      </c>
      <c r="M108" s="129">
        <f t="shared" si="68"/>
        <v>0</v>
      </c>
      <c r="N108" s="130"/>
      <c r="P108" s="159"/>
      <c r="S108" s="416"/>
    </row>
    <row r="109" spans="2:19" outlineLevel="1" x14ac:dyDescent="0.4">
      <c r="B109" s="629"/>
      <c r="C109" s="632"/>
      <c r="D109" s="648"/>
      <c r="E109" s="131" t="s">
        <v>166</v>
      </c>
      <c r="F109" s="132">
        <f t="shared" ref="F109:M109" si="69">IF(F107&lt;&gt;0,$D107*F107,0)</f>
        <v>0</v>
      </c>
      <c r="G109" s="132">
        <f t="shared" si="69"/>
        <v>0</v>
      </c>
      <c r="H109" s="132">
        <f t="shared" si="69"/>
        <v>0</v>
      </c>
      <c r="I109" s="132">
        <f t="shared" si="69"/>
        <v>0</v>
      </c>
      <c r="J109" s="132">
        <f t="shared" si="69"/>
        <v>361602.64400000015</v>
      </c>
      <c r="K109" s="132">
        <f t="shared" si="69"/>
        <v>361602.64400000015</v>
      </c>
      <c r="L109" s="132">
        <f t="shared" si="69"/>
        <v>180801.32200000007</v>
      </c>
      <c r="M109" s="132">
        <f t="shared" si="69"/>
        <v>0</v>
      </c>
      <c r="N109" s="133">
        <f>SUM(F109:M109)</f>
        <v>904006.61000000034</v>
      </c>
      <c r="O109" s="159"/>
      <c r="P109" s="159"/>
      <c r="S109" s="416"/>
    </row>
    <row r="110" spans="2:19" outlineLevel="1" x14ac:dyDescent="0.4">
      <c r="B110" s="627" t="s">
        <v>10076</v>
      </c>
      <c r="C110" s="630" t="str">
        <f>_xlfn.XLOOKUP($B110,Planilha!$C:$C,Planilha!$F:$F)</f>
        <v>ESQUADRIAS DE FERRO</v>
      </c>
      <c r="D110" s="646">
        <f>_xlfn.XLOOKUP($B110,Planilha!$C:$C,Planilha!$M:$M)</f>
        <v>147129.63</v>
      </c>
      <c r="E110" s="125" t="s">
        <v>3307</v>
      </c>
      <c r="F110" s="126"/>
      <c r="G110" s="126"/>
      <c r="H110" s="126"/>
      <c r="I110" s="126"/>
      <c r="J110" s="126"/>
      <c r="K110" s="126">
        <v>0.5</v>
      </c>
      <c r="L110" s="126">
        <v>0.4</v>
      </c>
      <c r="M110" s="126">
        <v>0.1</v>
      </c>
      <c r="N110" s="127">
        <f>SUM(F110:M110)</f>
        <v>1</v>
      </c>
      <c r="P110" s="159"/>
      <c r="S110" s="416"/>
    </row>
    <row r="111" spans="2:19" outlineLevel="1" x14ac:dyDescent="0.4">
      <c r="B111" s="628"/>
      <c r="C111" s="631"/>
      <c r="D111" s="647"/>
      <c r="E111" s="128" t="s">
        <v>3308</v>
      </c>
      <c r="F111" s="129">
        <f t="shared" ref="F111:M111" si="70">IF(F110&lt;&gt;0,1,0)</f>
        <v>0</v>
      </c>
      <c r="G111" s="129">
        <f t="shared" si="70"/>
        <v>0</v>
      </c>
      <c r="H111" s="129">
        <f t="shared" si="70"/>
        <v>0</v>
      </c>
      <c r="I111" s="129">
        <f t="shared" si="70"/>
        <v>0</v>
      </c>
      <c r="J111" s="129">
        <f t="shared" si="70"/>
        <v>0</v>
      </c>
      <c r="K111" s="129">
        <f t="shared" si="70"/>
        <v>1</v>
      </c>
      <c r="L111" s="129">
        <f t="shared" si="70"/>
        <v>1</v>
      </c>
      <c r="M111" s="129">
        <f t="shared" si="70"/>
        <v>1</v>
      </c>
      <c r="N111" s="130"/>
      <c r="P111" s="159"/>
      <c r="S111" s="416"/>
    </row>
    <row r="112" spans="2:19" outlineLevel="1" x14ac:dyDescent="0.4">
      <c r="B112" s="629"/>
      <c r="C112" s="632"/>
      <c r="D112" s="648"/>
      <c r="E112" s="131" t="s">
        <v>166</v>
      </c>
      <c r="F112" s="132">
        <f t="shared" ref="F112:M112" si="71">IF(F110&lt;&gt;0,$D110*F110,0)</f>
        <v>0</v>
      </c>
      <c r="G112" s="132">
        <f t="shared" si="71"/>
        <v>0</v>
      </c>
      <c r="H112" s="132">
        <f t="shared" si="71"/>
        <v>0</v>
      </c>
      <c r="I112" s="132">
        <f t="shared" si="71"/>
        <v>0</v>
      </c>
      <c r="J112" s="132">
        <f t="shared" si="71"/>
        <v>0</v>
      </c>
      <c r="K112" s="132">
        <f t="shared" si="71"/>
        <v>73564.815000000002</v>
      </c>
      <c r="L112" s="132">
        <f t="shared" si="71"/>
        <v>58851.852000000006</v>
      </c>
      <c r="M112" s="132">
        <f t="shared" si="71"/>
        <v>14712.963000000002</v>
      </c>
      <c r="N112" s="133">
        <f>SUM(F112:M112)</f>
        <v>147129.63</v>
      </c>
      <c r="O112" s="159"/>
      <c r="P112" s="159"/>
      <c r="S112" s="416"/>
    </row>
    <row r="113" spans="2:19" outlineLevel="1" x14ac:dyDescent="0.4">
      <c r="B113" s="627" t="s">
        <v>10082</v>
      </c>
      <c r="C113" s="630" t="str">
        <f>_xlfn.XLOOKUP($B113,Planilha!$C:$C,Planilha!$F:$F)</f>
        <v xml:space="preserve">MOBILIÁRIO </v>
      </c>
      <c r="D113" s="646">
        <f>_xlfn.XLOOKUP($B113,Planilha!$C:$C,Planilha!$M:$M)</f>
        <v>544815.69999999995</v>
      </c>
      <c r="E113" s="125" t="s">
        <v>3307</v>
      </c>
      <c r="F113" s="126"/>
      <c r="G113" s="126"/>
      <c r="H113" s="126"/>
      <c r="I113" s="126"/>
      <c r="J113" s="126"/>
      <c r="K113" s="126"/>
      <c r="L113" s="126">
        <v>0.2</v>
      </c>
      <c r="M113" s="126">
        <v>0.8</v>
      </c>
      <c r="N113" s="127">
        <f>SUM(F113:M113)</f>
        <v>1</v>
      </c>
      <c r="P113" s="159"/>
      <c r="S113" s="416"/>
    </row>
    <row r="114" spans="2:19" outlineLevel="1" x14ac:dyDescent="0.4">
      <c r="B114" s="628"/>
      <c r="C114" s="631"/>
      <c r="D114" s="647"/>
      <c r="E114" s="128" t="s">
        <v>3308</v>
      </c>
      <c r="F114" s="129">
        <f t="shared" ref="F114:M114" si="72">IF(F113&lt;&gt;0,1,0)</f>
        <v>0</v>
      </c>
      <c r="G114" s="129">
        <f t="shared" si="72"/>
        <v>0</v>
      </c>
      <c r="H114" s="129">
        <f t="shared" si="72"/>
        <v>0</v>
      </c>
      <c r="I114" s="129">
        <f t="shared" si="72"/>
        <v>0</v>
      </c>
      <c r="J114" s="129">
        <f t="shared" si="72"/>
        <v>0</v>
      </c>
      <c r="K114" s="129">
        <f t="shared" si="72"/>
        <v>0</v>
      </c>
      <c r="L114" s="129">
        <f t="shared" si="72"/>
        <v>1</v>
      </c>
      <c r="M114" s="129">
        <f t="shared" si="72"/>
        <v>1</v>
      </c>
      <c r="N114" s="130"/>
      <c r="P114" s="159"/>
      <c r="S114" s="416"/>
    </row>
    <row r="115" spans="2:19" outlineLevel="1" x14ac:dyDescent="0.4">
      <c r="B115" s="629"/>
      <c r="C115" s="632"/>
      <c r="D115" s="648"/>
      <c r="E115" s="131" t="s">
        <v>166</v>
      </c>
      <c r="F115" s="132">
        <f t="shared" ref="F115:M115" si="73">IF(F113&lt;&gt;0,$D113*F113,0)</f>
        <v>0</v>
      </c>
      <c r="G115" s="132">
        <f t="shared" si="73"/>
        <v>0</v>
      </c>
      <c r="H115" s="132">
        <f t="shared" si="73"/>
        <v>0</v>
      </c>
      <c r="I115" s="132">
        <f t="shared" si="73"/>
        <v>0</v>
      </c>
      <c r="J115" s="132">
        <f t="shared" si="73"/>
        <v>0</v>
      </c>
      <c r="K115" s="132">
        <f t="shared" si="73"/>
        <v>0</v>
      </c>
      <c r="L115" s="132">
        <f t="shared" si="73"/>
        <v>108963.14</v>
      </c>
      <c r="M115" s="132">
        <f t="shared" si="73"/>
        <v>435852.56</v>
      </c>
      <c r="N115" s="133">
        <f>SUM(F115:M115)</f>
        <v>544815.69999999995</v>
      </c>
      <c r="O115" s="159"/>
      <c r="P115" s="159"/>
      <c r="S115" s="416"/>
    </row>
    <row r="116" spans="2:19" ht="15.75" customHeight="1" x14ac:dyDescent="0.4">
      <c r="B116" s="649" t="s">
        <v>3752</v>
      </c>
      <c r="C116" s="636" t="str">
        <f>_xlfn.XLOOKUP($B116,Planilha!$C:$C,Planilha!$F:$F)</f>
        <v>INSTALAÇÕES ELÉTRICAS, LUMINOTÉCNICA E SPDA</v>
      </c>
      <c r="D116" s="639">
        <f>_xlfn.XLOOKUP($B116,Planilha!$C:$C,Planilha!$M:$M)</f>
        <v>1176389.71</v>
      </c>
      <c r="E116" s="135" t="s">
        <v>3307</v>
      </c>
      <c r="F116" s="136">
        <f t="shared" ref="F116:M116" si="74">IFERROR(F118/$D116,0)</f>
        <v>0</v>
      </c>
      <c r="G116" s="136">
        <f t="shared" si="74"/>
        <v>0</v>
      </c>
      <c r="H116" s="136">
        <f t="shared" si="74"/>
        <v>0.13938613590899226</v>
      </c>
      <c r="I116" s="136">
        <f t="shared" si="74"/>
        <v>0.18584818121198973</v>
      </c>
      <c r="J116" s="136">
        <f t="shared" si="74"/>
        <v>0.18584818121198973</v>
      </c>
      <c r="K116" s="136">
        <f t="shared" si="74"/>
        <v>0.19856362055394045</v>
      </c>
      <c r="L116" s="136">
        <f t="shared" si="74"/>
        <v>0.22194591790504528</v>
      </c>
      <c r="M116" s="136">
        <f t="shared" si="74"/>
        <v>6.8407963208042696E-2</v>
      </c>
      <c r="N116" s="137">
        <f>SUM(F116:M116)</f>
        <v>1</v>
      </c>
      <c r="P116" s="159"/>
      <c r="S116" s="416"/>
    </row>
    <row r="117" spans="2:19" x14ac:dyDescent="0.4">
      <c r="B117" s="650"/>
      <c r="C117" s="637"/>
      <c r="D117" s="640"/>
      <c r="E117" s="138" t="s">
        <v>3308</v>
      </c>
      <c r="F117" s="139">
        <f t="shared" ref="F117:M117" si="75">IF(F116&lt;&gt;0,1,0)</f>
        <v>0</v>
      </c>
      <c r="G117" s="139">
        <f t="shared" si="75"/>
        <v>0</v>
      </c>
      <c r="H117" s="139">
        <f t="shared" si="75"/>
        <v>1</v>
      </c>
      <c r="I117" s="139">
        <f t="shared" si="75"/>
        <v>1</v>
      </c>
      <c r="J117" s="139">
        <f t="shared" si="75"/>
        <v>1</v>
      </c>
      <c r="K117" s="139">
        <f t="shared" si="75"/>
        <v>1</v>
      </c>
      <c r="L117" s="139">
        <f t="shared" si="75"/>
        <v>1</v>
      </c>
      <c r="M117" s="139">
        <f t="shared" si="75"/>
        <v>1</v>
      </c>
      <c r="N117" s="140"/>
      <c r="P117" s="159"/>
      <c r="S117" s="416"/>
    </row>
    <row r="118" spans="2:19" x14ac:dyDescent="0.4">
      <c r="B118" s="651"/>
      <c r="C118" s="638"/>
      <c r="D118" s="641"/>
      <c r="E118" s="141" t="s">
        <v>166</v>
      </c>
      <c r="F118" s="142">
        <f>+F121+F124+F127+F130+F133+F136+F139+F142+F145+F148+F151</f>
        <v>0</v>
      </c>
      <c r="G118" s="142">
        <f t="shared" ref="G118:M118" si="76">+G121+G124+G127+G130+G133+G136+G139+G142+G145+G148+G151</f>
        <v>0</v>
      </c>
      <c r="H118" s="142">
        <f t="shared" si="76"/>
        <v>163972.416</v>
      </c>
      <c r="I118" s="142">
        <f t="shared" si="76"/>
        <v>218629.88800000004</v>
      </c>
      <c r="J118" s="142">
        <f t="shared" si="76"/>
        <v>218629.88800000004</v>
      </c>
      <c r="K118" s="142">
        <f t="shared" si="76"/>
        <v>233588.20000000004</v>
      </c>
      <c r="L118" s="142">
        <f t="shared" si="76"/>
        <v>261094.89400000003</v>
      </c>
      <c r="M118" s="142">
        <f t="shared" si="76"/>
        <v>80474.424000000014</v>
      </c>
      <c r="N118" s="143">
        <f>SUM(F118:M118)</f>
        <v>1176389.7100000002</v>
      </c>
      <c r="O118" s="159"/>
      <c r="P118" s="159"/>
      <c r="S118" s="416"/>
    </row>
    <row r="119" spans="2:19" outlineLevel="1" x14ac:dyDescent="0.4">
      <c r="B119" s="627" t="s">
        <v>10110</v>
      </c>
      <c r="C119" s="630" t="str">
        <f>_xlfn.XLOOKUP($B119,Planilha!$C:$C,Planilha!$F:$F)</f>
        <v>LUMINÁRIAS</v>
      </c>
      <c r="D119" s="633">
        <f>_xlfn.XLOOKUP($B119,Planilha!$C:$C,Planilha!$M:$M)</f>
        <v>45844.490000000005</v>
      </c>
      <c r="E119" s="125" t="s">
        <v>3307</v>
      </c>
      <c r="F119" s="126"/>
      <c r="G119" s="126"/>
      <c r="H119" s="126"/>
      <c r="I119" s="126"/>
      <c r="J119" s="126"/>
      <c r="K119" s="126"/>
      <c r="L119" s="126">
        <v>0.6</v>
      </c>
      <c r="M119" s="126">
        <v>0.4</v>
      </c>
      <c r="N119" s="127">
        <f>SUM(F119:M119)</f>
        <v>1</v>
      </c>
      <c r="P119" s="159"/>
      <c r="S119" s="416"/>
    </row>
    <row r="120" spans="2:19" outlineLevel="1" x14ac:dyDescent="0.4">
      <c r="B120" s="628"/>
      <c r="C120" s="631"/>
      <c r="D120" s="634"/>
      <c r="E120" s="128" t="s">
        <v>3308</v>
      </c>
      <c r="F120" s="129">
        <f t="shared" ref="F120:M120" si="77">IF(F119&lt;&gt;0,1,0)</f>
        <v>0</v>
      </c>
      <c r="G120" s="129">
        <f t="shared" si="77"/>
        <v>0</v>
      </c>
      <c r="H120" s="129">
        <f t="shared" si="77"/>
        <v>0</v>
      </c>
      <c r="I120" s="129">
        <f t="shared" si="77"/>
        <v>0</v>
      </c>
      <c r="J120" s="129">
        <f t="shared" si="77"/>
        <v>0</v>
      </c>
      <c r="K120" s="129">
        <f t="shared" si="77"/>
        <v>0</v>
      </c>
      <c r="L120" s="129">
        <f t="shared" si="77"/>
        <v>1</v>
      </c>
      <c r="M120" s="129">
        <f t="shared" si="77"/>
        <v>1</v>
      </c>
      <c r="N120" s="130"/>
      <c r="P120" s="159"/>
      <c r="S120" s="416"/>
    </row>
    <row r="121" spans="2:19" outlineLevel="1" x14ac:dyDescent="0.4">
      <c r="B121" s="629"/>
      <c r="C121" s="632"/>
      <c r="D121" s="635"/>
      <c r="E121" s="131" t="s">
        <v>166</v>
      </c>
      <c r="F121" s="144">
        <f t="shared" ref="F121:M121" si="78">IF(F119&lt;&gt;0,$D119*F119,0)</f>
        <v>0</v>
      </c>
      <c r="G121" s="144">
        <f t="shared" si="78"/>
        <v>0</v>
      </c>
      <c r="H121" s="144">
        <f t="shared" si="78"/>
        <v>0</v>
      </c>
      <c r="I121" s="144">
        <f t="shared" si="78"/>
        <v>0</v>
      </c>
      <c r="J121" s="144">
        <f t="shared" si="78"/>
        <v>0</v>
      </c>
      <c r="K121" s="144">
        <f t="shared" si="78"/>
        <v>0</v>
      </c>
      <c r="L121" s="144">
        <f t="shared" si="78"/>
        <v>27506.694000000003</v>
      </c>
      <c r="M121" s="144">
        <f t="shared" si="78"/>
        <v>18337.796000000002</v>
      </c>
      <c r="N121" s="133">
        <f>SUM(F121:M121)</f>
        <v>45844.490000000005</v>
      </c>
      <c r="O121" s="159"/>
      <c r="P121" s="159"/>
      <c r="S121" s="416"/>
    </row>
    <row r="122" spans="2:19" outlineLevel="1" x14ac:dyDescent="0.4">
      <c r="B122" s="627" t="s">
        <v>10118</v>
      </c>
      <c r="C122" s="630" t="str">
        <f>_xlfn.XLOOKUP($B122,Planilha!$C:$C,Planilha!$F:$F)</f>
        <v>INSTALAÇÕES E ILUMINAÇÃO</v>
      </c>
      <c r="D122" s="646">
        <f>_xlfn.XLOOKUP($B122,Planilha!$C:$C,Planilha!$M:$M)</f>
        <v>196906.57</v>
      </c>
      <c r="E122" s="125" t="s">
        <v>3307</v>
      </c>
      <c r="F122" s="126"/>
      <c r="G122" s="126"/>
      <c r="H122" s="126">
        <v>0.15</v>
      </c>
      <c r="I122" s="126">
        <v>0.2</v>
      </c>
      <c r="J122" s="126">
        <v>0.2</v>
      </c>
      <c r="K122" s="126">
        <v>0.2</v>
      </c>
      <c r="L122" s="126">
        <v>0.2</v>
      </c>
      <c r="M122" s="126">
        <v>0.05</v>
      </c>
      <c r="N122" s="127">
        <f>SUM(F122:M122)</f>
        <v>1</v>
      </c>
      <c r="P122" s="159"/>
      <c r="S122" s="416"/>
    </row>
    <row r="123" spans="2:19" outlineLevel="1" x14ac:dyDescent="0.4">
      <c r="B123" s="628"/>
      <c r="C123" s="631"/>
      <c r="D123" s="647"/>
      <c r="E123" s="128" t="s">
        <v>3308</v>
      </c>
      <c r="F123" s="129">
        <f t="shared" ref="F123:M123" si="79">IF(F122&lt;&gt;0,1,0)</f>
        <v>0</v>
      </c>
      <c r="G123" s="129">
        <f t="shared" si="79"/>
        <v>0</v>
      </c>
      <c r="H123" s="129">
        <f t="shared" si="79"/>
        <v>1</v>
      </c>
      <c r="I123" s="129">
        <f t="shared" si="79"/>
        <v>1</v>
      </c>
      <c r="J123" s="129">
        <f t="shared" si="79"/>
        <v>1</v>
      </c>
      <c r="K123" s="129">
        <f t="shared" si="79"/>
        <v>1</v>
      </c>
      <c r="L123" s="129">
        <f t="shared" si="79"/>
        <v>1</v>
      </c>
      <c r="M123" s="129">
        <f t="shared" si="79"/>
        <v>1</v>
      </c>
      <c r="N123" s="130"/>
      <c r="P123" s="159"/>
      <c r="S123" s="416"/>
    </row>
    <row r="124" spans="2:19" outlineLevel="1" x14ac:dyDescent="0.4">
      <c r="B124" s="629"/>
      <c r="C124" s="632"/>
      <c r="D124" s="648"/>
      <c r="E124" s="131" t="s">
        <v>166</v>
      </c>
      <c r="F124" s="132">
        <f t="shared" ref="F124:M124" si="80">IF(F122&lt;&gt;0,$D122*F122,0)</f>
        <v>0</v>
      </c>
      <c r="G124" s="132">
        <f t="shared" si="80"/>
        <v>0</v>
      </c>
      <c r="H124" s="132">
        <f t="shared" si="80"/>
        <v>29535.985499999999</v>
      </c>
      <c r="I124" s="132">
        <f t="shared" si="80"/>
        <v>39381.314000000006</v>
      </c>
      <c r="J124" s="132">
        <f t="shared" si="80"/>
        <v>39381.314000000006</v>
      </c>
      <c r="K124" s="132">
        <f t="shared" si="80"/>
        <v>39381.314000000006</v>
      </c>
      <c r="L124" s="132">
        <f t="shared" si="80"/>
        <v>39381.314000000006</v>
      </c>
      <c r="M124" s="132">
        <f t="shared" si="80"/>
        <v>9845.3285000000014</v>
      </c>
      <c r="N124" s="133">
        <f>SUM(F124:M124)</f>
        <v>196906.57000000004</v>
      </c>
      <c r="O124" s="159"/>
      <c r="P124" s="159"/>
      <c r="S124" s="416"/>
    </row>
    <row r="125" spans="2:19" outlineLevel="1" x14ac:dyDescent="0.4">
      <c r="B125" s="627" t="s">
        <v>10159</v>
      </c>
      <c r="C125" s="630" t="str">
        <f>_xlfn.XLOOKUP($B125,Planilha!$C:$C,Planilha!$F:$F)</f>
        <v>VOZ E DADOS</v>
      </c>
      <c r="D125" s="633">
        <f>_xlfn.XLOOKUP($B125,Planilha!$C:$C,Planilha!$M:$M)</f>
        <v>48924.030000000013</v>
      </c>
      <c r="E125" s="125" t="s">
        <v>3307</v>
      </c>
      <c r="F125" s="126"/>
      <c r="G125" s="126"/>
      <c r="H125" s="126">
        <v>0.15</v>
      </c>
      <c r="I125" s="126">
        <v>0.2</v>
      </c>
      <c r="J125" s="126">
        <v>0.2</v>
      </c>
      <c r="K125" s="126">
        <v>0.2</v>
      </c>
      <c r="L125" s="126">
        <v>0.2</v>
      </c>
      <c r="M125" s="126">
        <v>0.05</v>
      </c>
      <c r="N125" s="127">
        <f>SUM(F125:M125)</f>
        <v>1</v>
      </c>
      <c r="P125" s="159"/>
      <c r="S125" s="416"/>
    </row>
    <row r="126" spans="2:19" outlineLevel="1" x14ac:dyDescent="0.4">
      <c r="B126" s="628"/>
      <c r="C126" s="631"/>
      <c r="D126" s="634"/>
      <c r="E126" s="128" t="s">
        <v>3308</v>
      </c>
      <c r="F126" s="129">
        <f t="shared" ref="F126:M126" si="81">IF(F125&lt;&gt;0,1,0)</f>
        <v>0</v>
      </c>
      <c r="G126" s="129">
        <f t="shared" si="81"/>
        <v>0</v>
      </c>
      <c r="H126" s="129">
        <f t="shared" si="81"/>
        <v>1</v>
      </c>
      <c r="I126" s="129">
        <f t="shared" si="81"/>
        <v>1</v>
      </c>
      <c r="J126" s="129">
        <f t="shared" si="81"/>
        <v>1</v>
      </c>
      <c r="K126" s="129">
        <f t="shared" si="81"/>
        <v>1</v>
      </c>
      <c r="L126" s="129">
        <f t="shared" si="81"/>
        <v>1</v>
      </c>
      <c r="M126" s="129">
        <f t="shared" si="81"/>
        <v>1</v>
      </c>
      <c r="N126" s="130"/>
      <c r="P126" s="159"/>
      <c r="S126" s="416"/>
    </row>
    <row r="127" spans="2:19" outlineLevel="1" x14ac:dyDescent="0.4">
      <c r="B127" s="629"/>
      <c r="C127" s="632"/>
      <c r="D127" s="635"/>
      <c r="E127" s="131" t="s">
        <v>166</v>
      </c>
      <c r="F127" s="132">
        <f t="shared" ref="F127:M127" si="82">IF(F125&lt;&gt;0,$D125*F125,0)</f>
        <v>0</v>
      </c>
      <c r="G127" s="132">
        <f t="shared" si="82"/>
        <v>0</v>
      </c>
      <c r="H127" s="132">
        <f t="shared" si="82"/>
        <v>7338.6045000000022</v>
      </c>
      <c r="I127" s="132">
        <f t="shared" si="82"/>
        <v>9784.8060000000023</v>
      </c>
      <c r="J127" s="132">
        <f t="shared" si="82"/>
        <v>9784.8060000000023</v>
      </c>
      <c r="K127" s="132">
        <f t="shared" si="82"/>
        <v>9784.8060000000023</v>
      </c>
      <c r="L127" s="132">
        <f t="shared" si="82"/>
        <v>9784.8060000000023</v>
      </c>
      <c r="M127" s="132">
        <f t="shared" si="82"/>
        <v>2446.2015000000006</v>
      </c>
      <c r="N127" s="133">
        <f>SUM(F127:M127)</f>
        <v>48924.030000000021</v>
      </c>
      <c r="O127" s="159"/>
      <c r="P127" s="159"/>
      <c r="S127" s="416"/>
    </row>
    <row r="128" spans="2:19" outlineLevel="1" x14ac:dyDescent="0.4">
      <c r="B128" s="627" t="s">
        <v>10206</v>
      </c>
      <c r="C128" s="630" t="str">
        <f>_xlfn.XLOOKUP($B128,Planilha!$C:$C,Planilha!$F:$F)</f>
        <v>FIBRA ÓTICA</v>
      </c>
      <c r="D128" s="646">
        <f>_xlfn.XLOOKUP($B128,Planilha!$C:$C,Planilha!$M:$M)</f>
        <v>6406.88</v>
      </c>
      <c r="E128" s="125" t="s">
        <v>3307</v>
      </c>
      <c r="F128" s="126"/>
      <c r="G128" s="126"/>
      <c r="H128" s="126">
        <v>0.15</v>
      </c>
      <c r="I128" s="126">
        <v>0.2</v>
      </c>
      <c r="J128" s="126">
        <v>0.2</v>
      </c>
      <c r="K128" s="126">
        <v>0.2</v>
      </c>
      <c r="L128" s="126">
        <v>0.2</v>
      </c>
      <c r="M128" s="126">
        <v>0.05</v>
      </c>
      <c r="N128" s="127">
        <f>SUM(F128:M128)</f>
        <v>1</v>
      </c>
      <c r="P128" s="159"/>
      <c r="S128" s="416"/>
    </row>
    <row r="129" spans="2:19" outlineLevel="1" x14ac:dyDescent="0.4">
      <c r="B129" s="628"/>
      <c r="C129" s="631"/>
      <c r="D129" s="647"/>
      <c r="E129" s="128" t="s">
        <v>3308</v>
      </c>
      <c r="F129" s="129">
        <f t="shared" ref="F129:M129" si="83">IF(F128&lt;&gt;0,1,0)</f>
        <v>0</v>
      </c>
      <c r="G129" s="129">
        <f t="shared" si="83"/>
        <v>0</v>
      </c>
      <c r="H129" s="129">
        <f t="shared" si="83"/>
        <v>1</v>
      </c>
      <c r="I129" s="129">
        <f t="shared" si="83"/>
        <v>1</v>
      </c>
      <c r="J129" s="129">
        <f t="shared" si="83"/>
        <v>1</v>
      </c>
      <c r="K129" s="129">
        <f t="shared" si="83"/>
        <v>1</v>
      </c>
      <c r="L129" s="129">
        <f t="shared" si="83"/>
        <v>1</v>
      </c>
      <c r="M129" s="129">
        <f t="shared" si="83"/>
        <v>1</v>
      </c>
      <c r="N129" s="130"/>
      <c r="P129" s="159"/>
      <c r="S129" s="416"/>
    </row>
    <row r="130" spans="2:19" outlineLevel="1" x14ac:dyDescent="0.4">
      <c r="B130" s="629"/>
      <c r="C130" s="632"/>
      <c r="D130" s="648"/>
      <c r="E130" s="131" t="s">
        <v>166</v>
      </c>
      <c r="F130" s="132">
        <f t="shared" ref="F130:M130" si="84">IF(F128&lt;&gt;0,$D128*F128,0)</f>
        <v>0</v>
      </c>
      <c r="G130" s="132">
        <f t="shared" si="84"/>
        <v>0</v>
      </c>
      <c r="H130" s="132">
        <f t="shared" si="84"/>
        <v>961.03199999999993</v>
      </c>
      <c r="I130" s="132">
        <f t="shared" si="84"/>
        <v>1281.3760000000002</v>
      </c>
      <c r="J130" s="132">
        <f t="shared" si="84"/>
        <v>1281.3760000000002</v>
      </c>
      <c r="K130" s="132">
        <f t="shared" si="84"/>
        <v>1281.3760000000002</v>
      </c>
      <c r="L130" s="132">
        <f t="shared" si="84"/>
        <v>1281.3760000000002</v>
      </c>
      <c r="M130" s="132">
        <f t="shared" si="84"/>
        <v>320.34400000000005</v>
      </c>
      <c r="N130" s="133">
        <f>SUM(F130:M130)</f>
        <v>6406.880000000001</v>
      </c>
      <c r="O130" s="159"/>
      <c r="P130" s="159"/>
      <c r="S130" s="416"/>
    </row>
    <row r="131" spans="2:19" outlineLevel="1" x14ac:dyDescent="0.4">
      <c r="B131" s="627" t="s">
        <v>10211</v>
      </c>
      <c r="C131" s="630" t="str">
        <f>_xlfn.XLOOKUP($B131,Planilha!$C:$C,Planilha!$F:$F)</f>
        <v>CHAMADA DE EMERGÊNCIA</v>
      </c>
      <c r="D131" s="646">
        <f>_xlfn.XLOOKUP($B131,Planilha!$C:$C,Planilha!$M:$M)</f>
        <v>581.1400000000001</v>
      </c>
      <c r="E131" s="125" t="s">
        <v>3307</v>
      </c>
      <c r="F131" s="126"/>
      <c r="G131" s="126"/>
      <c r="H131" s="126">
        <v>0.15</v>
      </c>
      <c r="I131" s="126">
        <v>0.2</v>
      </c>
      <c r="J131" s="126">
        <v>0.2</v>
      </c>
      <c r="K131" s="126">
        <v>0.2</v>
      </c>
      <c r="L131" s="126">
        <v>0.2</v>
      </c>
      <c r="M131" s="126">
        <v>0.05</v>
      </c>
      <c r="N131" s="127">
        <f>SUM(F131:M131)</f>
        <v>1</v>
      </c>
      <c r="P131" s="159"/>
      <c r="S131" s="416"/>
    </row>
    <row r="132" spans="2:19" outlineLevel="1" x14ac:dyDescent="0.4">
      <c r="B132" s="628"/>
      <c r="C132" s="631"/>
      <c r="D132" s="647"/>
      <c r="E132" s="128" t="s">
        <v>3308</v>
      </c>
      <c r="F132" s="129">
        <f t="shared" ref="F132:M132" si="85">IF(F131&lt;&gt;0,1,0)</f>
        <v>0</v>
      </c>
      <c r="G132" s="129">
        <f t="shared" si="85"/>
        <v>0</v>
      </c>
      <c r="H132" s="129">
        <f t="shared" si="85"/>
        <v>1</v>
      </c>
      <c r="I132" s="129">
        <f t="shared" si="85"/>
        <v>1</v>
      </c>
      <c r="J132" s="129">
        <f t="shared" si="85"/>
        <v>1</v>
      </c>
      <c r="K132" s="129">
        <f t="shared" si="85"/>
        <v>1</v>
      </c>
      <c r="L132" s="129">
        <f t="shared" si="85"/>
        <v>1</v>
      </c>
      <c r="M132" s="129">
        <f t="shared" si="85"/>
        <v>1</v>
      </c>
      <c r="N132" s="130"/>
      <c r="P132" s="159"/>
      <c r="S132" s="416"/>
    </row>
    <row r="133" spans="2:19" outlineLevel="1" x14ac:dyDescent="0.4">
      <c r="B133" s="629"/>
      <c r="C133" s="632"/>
      <c r="D133" s="648"/>
      <c r="E133" s="131" t="s">
        <v>166</v>
      </c>
      <c r="F133" s="132">
        <f t="shared" ref="F133:M133" si="86">IF(F131&lt;&gt;0,$D131*F131,0)</f>
        <v>0</v>
      </c>
      <c r="G133" s="132">
        <f t="shared" si="86"/>
        <v>0</v>
      </c>
      <c r="H133" s="132">
        <f t="shared" si="86"/>
        <v>87.171000000000006</v>
      </c>
      <c r="I133" s="132">
        <f t="shared" si="86"/>
        <v>116.22800000000002</v>
      </c>
      <c r="J133" s="132">
        <f t="shared" si="86"/>
        <v>116.22800000000002</v>
      </c>
      <c r="K133" s="132">
        <f t="shared" si="86"/>
        <v>116.22800000000002</v>
      </c>
      <c r="L133" s="132">
        <f t="shared" si="86"/>
        <v>116.22800000000002</v>
      </c>
      <c r="M133" s="132">
        <f t="shared" si="86"/>
        <v>29.057000000000006</v>
      </c>
      <c r="N133" s="133">
        <f>SUM(F133:M133)</f>
        <v>581.1400000000001</v>
      </c>
      <c r="O133" s="159"/>
      <c r="P133" s="159"/>
      <c r="S133" s="416"/>
    </row>
    <row r="134" spans="2:19" outlineLevel="1" x14ac:dyDescent="0.4">
      <c r="B134" s="627" t="s">
        <v>10219</v>
      </c>
      <c r="C134" s="630" t="str">
        <f>_xlfn.XLOOKUP($B134,Planilha!$C:$C,Planilha!$F:$F)</f>
        <v>CFTV</v>
      </c>
      <c r="D134" s="646">
        <f>_xlfn.XLOOKUP($B134,Planilha!$C:$C,Planilha!$M:$M)</f>
        <v>56153.719999999987</v>
      </c>
      <c r="E134" s="125" t="s">
        <v>3307</v>
      </c>
      <c r="F134" s="126"/>
      <c r="G134" s="126"/>
      <c r="H134" s="126">
        <v>0.15</v>
      </c>
      <c r="I134" s="126">
        <v>0.2</v>
      </c>
      <c r="J134" s="126">
        <v>0.2</v>
      </c>
      <c r="K134" s="126">
        <v>0.2</v>
      </c>
      <c r="L134" s="126">
        <v>0.2</v>
      </c>
      <c r="M134" s="126">
        <v>0.05</v>
      </c>
      <c r="N134" s="127">
        <f>SUM(F134:M134)</f>
        <v>1</v>
      </c>
      <c r="P134" s="159"/>
      <c r="S134" s="416"/>
    </row>
    <row r="135" spans="2:19" outlineLevel="1" x14ac:dyDescent="0.4">
      <c r="B135" s="628"/>
      <c r="C135" s="631"/>
      <c r="D135" s="647"/>
      <c r="E135" s="128" t="s">
        <v>3308</v>
      </c>
      <c r="F135" s="129">
        <f t="shared" ref="F135:M135" si="87">IF(F134&lt;&gt;0,1,0)</f>
        <v>0</v>
      </c>
      <c r="G135" s="129">
        <f t="shared" si="87"/>
        <v>0</v>
      </c>
      <c r="H135" s="129">
        <f t="shared" si="87"/>
        <v>1</v>
      </c>
      <c r="I135" s="129">
        <f t="shared" si="87"/>
        <v>1</v>
      </c>
      <c r="J135" s="129">
        <f t="shared" si="87"/>
        <v>1</v>
      </c>
      <c r="K135" s="129">
        <f t="shared" si="87"/>
        <v>1</v>
      </c>
      <c r="L135" s="129">
        <f t="shared" si="87"/>
        <v>1</v>
      </c>
      <c r="M135" s="129">
        <f t="shared" si="87"/>
        <v>1</v>
      </c>
      <c r="N135" s="130"/>
      <c r="P135" s="159"/>
      <c r="S135" s="416"/>
    </row>
    <row r="136" spans="2:19" outlineLevel="1" x14ac:dyDescent="0.4">
      <c r="B136" s="629"/>
      <c r="C136" s="632"/>
      <c r="D136" s="648"/>
      <c r="E136" s="131" t="s">
        <v>166</v>
      </c>
      <c r="F136" s="132">
        <f t="shared" ref="F136:M136" si="88">IF(F134&lt;&gt;0,$D134*F134,0)</f>
        <v>0</v>
      </c>
      <c r="G136" s="132">
        <f t="shared" si="88"/>
        <v>0</v>
      </c>
      <c r="H136" s="132">
        <f t="shared" si="88"/>
        <v>8423.0579999999973</v>
      </c>
      <c r="I136" s="132">
        <f t="shared" si="88"/>
        <v>11230.743999999999</v>
      </c>
      <c r="J136" s="132">
        <f t="shared" si="88"/>
        <v>11230.743999999999</v>
      </c>
      <c r="K136" s="132">
        <f t="shared" si="88"/>
        <v>11230.743999999999</v>
      </c>
      <c r="L136" s="132">
        <f t="shared" si="88"/>
        <v>11230.743999999999</v>
      </c>
      <c r="M136" s="132">
        <f t="shared" si="88"/>
        <v>2807.6859999999997</v>
      </c>
      <c r="N136" s="133">
        <f>SUM(F136:M136)</f>
        <v>56153.719999999994</v>
      </c>
      <c r="O136" s="159"/>
      <c r="P136" s="159"/>
      <c r="S136" s="416"/>
    </row>
    <row r="137" spans="2:19" outlineLevel="1" x14ac:dyDescent="0.4">
      <c r="B137" s="627" t="s">
        <v>10236</v>
      </c>
      <c r="C137" s="630" t="str">
        <f>_xlfn.XLOOKUP($B137,Planilha!$C:$C,Planilha!$F:$F)</f>
        <v>CONTROLE DE ACESSO</v>
      </c>
      <c r="D137" s="646">
        <f>_xlfn.XLOOKUP($B137,Planilha!$C:$C,Planilha!$M:$M)</f>
        <v>3835.5699999999997</v>
      </c>
      <c r="E137" s="125" t="s">
        <v>3307</v>
      </c>
      <c r="F137" s="126"/>
      <c r="G137" s="126"/>
      <c r="H137" s="126">
        <v>0.15</v>
      </c>
      <c r="I137" s="126">
        <v>0.2</v>
      </c>
      <c r="J137" s="126">
        <v>0.2</v>
      </c>
      <c r="K137" s="126">
        <v>0.2</v>
      </c>
      <c r="L137" s="126">
        <v>0.2</v>
      </c>
      <c r="M137" s="126">
        <v>0.05</v>
      </c>
      <c r="N137" s="127">
        <f>SUM(F137:M137)</f>
        <v>1</v>
      </c>
      <c r="P137" s="159"/>
      <c r="S137" s="416"/>
    </row>
    <row r="138" spans="2:19" outlineLevel="1" x14ac:dyDescent="0.4">
      <c r="B138" s="628"/>
      <c r="C138" s="631"/>
      <c r="D138" s="647"/>
      <c r="E138" s="128" t="s">
        <v>3308</v>
      </c>
      <c r="F138" s="129">
        <f t="shared" ref="F138:M138" si="89">IF(F137&lt;&gt;0,1,0)</f>
        <v>0</v>
      </c>
      <c r="G138" s="129">
        <f t="shared" si="89"/>
        <v>0</v>
      </c>
      <c r="H138" s="129">
        <f t="shared" si="89"/>
        <v>1</v>
      </c>
      <c r="I138" s="129">
        <f t="shared" si="89"/>
        <v>1</v>
      </c>
      <c r="J138" s="129">
        <f t="shared" si="89"/>
        <v>1</v>
      </c>
      <c r="K138" s="129">
        <f t="shared" si="89"/>
        <v>1</v>
      </c>
      <c r="L138" s="129">
        <f t="shared" si="89"/>
        <v>1</v>
      </c>
      <c r="M138" s="129">
        <f t="shared" si="89"/>
        <v>1</v>
      </c>
      <c r="N138" s="130"/>
      <c r="P138" s="159"/>
      <c r="S138" s="416"/>
    </row>
    <row r="139" spans="2:19" outlineLevel="1" x14ac:dyDescent="0.4">
      <c r="B139" s="629"/>
      <c r="C139" s="632"/>
      <c r="D139" s="648"/>
      <c r="E139" s="131" t="s">
        <v>166</v>
      </c>
      <c r="F139" s="132">
        <f t="shared" ref="F139:M139" si="90">IF(F137&lt;&gt;0,$D137*F137,0)</f>
        <v>0</v>
      </c>
      <c r="G139" s="132">
        <f t="shared" si="90"/>
        <v>0</v>
      </c>
      <c r="H139" s="132">
        <f t="shared" si="90"/>
        <v>575.33549999999991</v>
      </c>
      <c r="I139" s="132">
        <f t="shared" si="90"/>
        <v>767.11400000000003</v>
      </c>
      <c r="J139" s="132">
        <f t="shared" si="90"/>
        <v>767.11400000000003</v>
      </c>
      <c r="K139" s="132">
        <f t="shared" si="90"/>
        <v>767.11400000000003</v>
      </c>
      <c r="L139" s="132">
        <f t="shared" si="90"/>
        <v>767.11400000000003</v>
      </c>
      <c r="M139" s="132">
        <f t="shared" si="90"/>
        <v>191.77850000000001</v>
      </c>
      <c r="N139" s="133">
        <f>SUM(F139:M139)</f>
        <v>3835.57</v>
      </c>
      <c r="O139" s="159"/>
      <c r="P139" s="159"/>
      <c r="S139" s="416"/>
    </row>
    <row r="140" spans="2:19" ht="15.75" customHeight="1" outlineLevel="1" x14ac:dyDescent="0.4">
      <c r="B140" s="627" t="s">
        <v>10247</v>
      </c>
      <c r="C140" s="630" t="str">
        <f>_xlfn.XLOOKUP($B140,Planilha!$C:$C,Planilha!$F:$F)</f>
        <v>TV - PAREDES EM ALVENARIA</v>
      </c>
      <c r="D140" s="646">
        <f>_xlfn.XLOOKUP($B140,Planilha!$C:$C,Planilha!$M:$M)</f>
        <v>1542.13</v>
      </c>
      <c r="E140" s="125" t="s">
        <v>3307</v>
      </c>
      <c r="F140" s="126"/>
      <c r="G140" s="126"/>
      <c r="H140" s="126">
        <v>0.15</v>
      </c>
      <c r="I140" s="126">
        <v>0.2</v>
      </c>
      <c r="J140" s="126">
        <v>0.2</v>
      </c>
      <c r="K140" s="126">
        <v>0.2</v>
      </c>
      <c r="L140" s="126">
        <v>0.2</v>
      </c>
      <c r="M140" s="126">
        <v>0.05</v>
      </c>
      <c r="N140" s="127">
        <f>SUM(F140:M140)</f>
        <v>1</v>
      </c>
      <c r="P140" s="159"/>
      <c r="S140" s="416"/>
    </row>
    <row r="141" spans="2:19" outlineLevel="1" x14ac:dyDescent="0.4">
      <c r="B141" s="628"/>
      <c r="C141" s="631"/>
      <c r="D141" s="647"/>
      <c r="E141" s="128" t="s">
        <v>3308</v>
      </c>
      <c r="F141" s="129">
        <f t="shared" ref="F141:M141" si="91">IF(F140&lt;&gt;0,1,0)</f>
        <v>0</v>
      </c>
      <c r="G141" s="129">
        <f t="shared" si="91"/>
        <v>0</v>
      </c>
      <c r="H141" s="129">
        <f t="shared" si="91"/>
        <v>1</v>
      </c>
      <c r="I141" s="129">
        <f t="shared" si="91"/>
        <v>1</v>
      </c>
      <c r="J141" s="129">
        <f t="shared" si="91"/>
        <v>1</v>
      </c>
      <c r="K141" s="129">
        <f t="shared" si="91"/>
        <v>1</v>
      </c>
      <c r="L141" s="129">
        <f t="shared" si="91"/>
        <v>1</v>
      </c>
      <c r="M141" s="129">
        <f t="shared" si="91"/>
        <v>1</v>
      </c>
      <c r="N141" s="130"/>
      <c r="P141" s="159"/>
      <c r="S141" s="416"/>
    </row>
    <row r="142" spans="2:19" outlineLevel="1" x14ac:dyDescent="0.4">
      <c r="B142" s="629"/>
      <c r="C142" s="632"/>
      <c r="D142" s="648"/>
      <c r="E142" s="131" t="s">
        <v>166</v>
      </c>
      <c r="F142" s="132">
        <f t="shared" ref="F142:M142" si="92">IF(F140&lt;&gt;0,$D140*F140,0)</f>
        <v>0</v>
      </c>
      <c r="G142" s="132">
        <f t="shared" si="92"/>
        <v>0</v>
      </c>
      <c r="H142" s="132">
        <f t="shared" si="92"/>
        <v>231.31950000000001</v>
      </c>
      <c r="I142" s="132">
        <f t="shared" si="92"/>
        <v>308.42600000000004</v>
      </c>
      <c r="J142" s="132">
        <f t="shared" si="92"/>
        <v>308.42600000000004</v>
      </c>
      <c r="K142" s="132">
        <f t="shared" si="92"/>
        <v>308.42600000000004</v>
      </c>
      <c r="L142" s="132">
        <f t="shared" si="92"/>
        <v>308.42600000000004</v>
      </c>
      <c r="M142" s="132">
        <f t="shared" si="92"/>
        <v>77.106500000000011</v>
      </c>
      <c r="N142" s="133">
        <f>SUM(F142:M142)</f>
        <v>1542.1300000000003</v>
      </c>
      <c r="O142" s="159"/>
      <c r="P142" s="159"/>
      <c r="S142" s="416"/>
    </row>
    <row r="143" spans="2:19" outlineLevel="1" x14ac:dyDescent="0.4">
      <c r="B143" s="627" t="s">
        <v>10266</v>
      </c>
      <c r="C143" s="630" t="str">
        <f>_xlfn.XLOOKUP($B143,Planilha!$C:$C,Planilha!$F:$F)</f>
        <v>DETECÇÃO  E ALARME</v>
      </c>
      <c r="D143" s="646">
        <f>_xlfn.XLOOKUP($B143,Planilha!$C:$C,Planilha!$M:$M)</f>
        <v>264025.47999999992</v>
      </c>
      <c r="E143" s="125" t="s">
        <v>3307</v>
      </c>
      <c r="F143" s="126"/>
      <c r="G143" s="126"/>
      <c r="H143" s="126">
        <v>0.15</v>
      </c>
      <c r="I143" s="126">
        <v>0.2</v>
      </c>
      <c r="J143" s="126">
        <v>0.2</v>
      </c>
      <c r="K143" s="126">
        <v>0.2</v>
      </c>
      <c r="L143" s="126">
        <v>0.2</v>
      </c>
      <c r="M143" s="126">
        <v>0.05</v>
      </c>
      <c r="N143" s="127">
        <f>SUM(F143:M143)</f>
        <v>1</v>
      </c>
      <c r="P143" s="159"/>
      <c r="S143" s="416"/>
    </row>
    <row r="144" spans="2:19" outlineLevel="1" x14ac:dyDescent="0.4">
      <c r="B144" s="628"/>
      <c r="C144" s="631"/>
      <c r="D144" s="647"/>
      <c r="E144" s="128" t="s">
        <v>3308</v>
      </c>
      <c r="F144" s="129">
        <f t="shared" ref="F144:M144" si="93">IF(F143&lt;&gt;0,1,0)</f>
        <v>0</v>
      </c>
      <c r="G144" s="129">
        <f t="shared" si="93"/>
        <v>0</v>
      </c>
      <c r="H144" s="129">
        <f t="shared" si="93"/>
        <v>1</v>
      </c>
      <c r="I144" s="129">
        <f t="shared" si="93"/>
        <v>1</v>
      </c>
      <c r="J144" s="129">
        <f t="shared" si="93"/>
        <v>1</v>
      </c>
      <c r="K144" s="129">
        <f t="shared" si="93"/>
        <v>1</v>
      </c>
      <c r="L144" s="129">
        <f t="shared" si="93"/>
        <v>1</v>
      </c>
      <c r="M144" s="129">
        <f t="shared" si="93"/>
        <v>1</v>
      </c>
      <c r="N144" s="130"/>
      <c r="P144" s="159"/>
      <c r="S144" s="416"/>
    </row>
    <row r="145" spans="2:19" outlineLevel="1" x14ac:dyDescent="0.4">
      <c r="B145" s="629"/>
      <c r="C145" s="632"/>
      <c r="D145" s="648"/>
      <c r="E145" s="131" t="s">
        <v>166</v>
      </c>
      <c r="F145" s="132">
        <f t="shared" ref="F145:M145" si="94">IF(F143&lt;&gt;0,$D143*F143,0)</f>
        <v>0</v>
      </c>
      <c r="G145" s="132">
        <f t="shared" si="94"/>
        <v>0</v>
      </c>
      <c r="H145" s="132">
        <f t="shared" si="94"/>
        <v>39603.821999999986</v>
      </c>
      <c r="I145" s="132">
        <f t="shared" si="94"/>
        <v>52805.09599999999</v>
      </c>
      <c r="J145" s="132">
        <f t="shared" si="94"/>
        <v>52805.09599999999</v>
      </c>
      <c r="K145" s="132">
        <f t="shared" si="94"/>
        <v>52805.09599999999</v>
      </c>
      <c r="L145" s="132">
        <f t="shared" si="94"/>
        <v>52805.09599999999</v>
      </c>
      <c r="M145" s="132">
        <f t="shared" si="94"/>
        <v>13201.273999999998</v>
      </c>
      <c r="N145" s="133">
        <f>SUM(F145:M145)</f>
        <v>264025.47999999992</v>
      </c>
      <c r="O145" s="159"/>
      <c r="P145" s="159"/>
      <c r="S145" s="416"/>
    </row>
    <row r="146" spans="2:19" outlineLevel="1" x14ac:dyDescent="0.4">
      <c r="B146" s="627" t="s">
        <v>10305</v>
      </c>
      <c r="C146" s="630" t="str">
        <f>_xlfn.XLOOKUP($B146,Planilha!$C:$C,Planilha!$F:$F)</f>
        <v>PARA RAIOS</v>
      </c>
      <c r="D146" s="646">
        <f>_xlfn.XLOOKUP($B146,Planilha!$C:$C,Planilha!$M:$M)</f>
        <v>37395.780000000006</v>
      </c>
      <c r="E146" s="125" t="s">
        <v>3307</v>
      </c>
      <c r="F146" s="126"/>
      <c r="G146" s="126"/>
      <c r="H146" s="126"/>
      <c r="I146" s="126"/>
      <c r="J146" s="126"/>
      <c r="K146" s="126">
        <v>0.4</v>
      </c>
      <c r="L146" s="126">
        <v>0.4</v>
      </c>
      <c r="M146" s="126">
        <v>0.2</v>
      </c>
      <c r="N146" s="127">
        <f>SUM(F146:M146)</f>
        <v>1</v>
      </c>
      <c r="P146" s="159"/>
      <c r="S146" s="416"/>
    </row>
    <row r="147" spans="2:19" outlineLevel="1" x14ac:dyDescent="0.4">
      <c r="B147" s="628"/>
      <c r="C147" s="631"/>
      <c r="D147" s="647"/>
      <c r="E147" s="128" t="s">
        <v>3308</v>
      </c>
      <c r="F147" s="129">
        <f t="shared" ref="F147:M147" si="95">IF(F146&lt;&gt;0,1,0)</f>
        <v>0</v>
      </c>
      <c r="G147" s="129">
        <f t="shared" si="95"/>
        <v>0</v>
      </c>
      <c r="H147" s="129">
        <f t="shared" si="95"/>
        <v>0</v>
      </c>
      <c r="I147" s="129">
        <f t="shared" si="95"/>
        <v>0</v>
      </c>
      <c r="J147" s="129">
        <f t="shared" si="95"/>
        <v>0</v>
      </c>
      <c r="K147" s="129">
        <f t="shared" si="95"/>
        <v>1</v>
      </c>
      <c r="L147" s="129">
        <f t="shared" si="95"/>
        <v>1</v>
      </c>
      <c r="M147" s="129">
        <f t="shared" si="95"/>
        <v>1</v>
      </c>
      <c r="N147" s="130"/>
      <c r="P147" s="159"/>
      <c r="S147" s="416"/>
    </row>
    <row r="148" spans="2:19" outlineLevel="1" x14ac:dyDescent="0.4">
      <c r="B148" s="629"/>
      <c r="C148" s="632"/>
      <c r="D148" s="648"/>
      <c r="E148" s="131" t="s">
        <v>166</v>
      </c>
      <c r="F148" s="132">
        <f t="shared" ref="F148:M148" si="96">IF(F146&lt;&gt;0,$D146*F146,0)</f>
        <v>0</v>
      </c>
      <c r="G148" s="132">
        <f t="shared" si="96"/>
        <v>0</v>
      </c>
      <c r="H148" s="132">
        <f t="shared" si="96"/>
        <v>0</v>
      </c>
      <c r="I148" s="132">
        <f t="shared" si="96"/>
        <v>0</v>
      </c>
      <c r="J148" s="132">
        <f t="shared" si="96"/>
        <v>0</v>
      </c>
      <c r="K148" s="132">
        <f t="shared" si="96"/>
        <v>14958.312000000004</v>
      </c>
      <c r="L148" s="132">
        <f t="shared" si="96"/>
        <v>14958.312000000004</v>
      </c>
      <c r="M148" s="132">
        <f t="shared" si="96"/>
        <v>7479.1560000000018</v>
      </c>
      <c r="N148" s="133">
        <f>SUM(F148:M148)</f>
        <v>37395.780000000006</v>
      </c>
      <c r="O148" s="159"/>
      <c r="P148" s="159"/>
      <c r="S148" s="416"/>
    </row>
    <row r="149" spans="2:19" outlineLevel="1" x14ac:dyDescent="0.4">
      <c r="B149" s="627" t="s">
        <v>10325</v>
      </c>
      <c r="C149" s="630" t="str">
        <f>_xlfn.XLOOKUP($B149,Planilha!$C:$C,Planilha!$F:$F)</f>
        <v>ALIMENTADORES</v>
      </c>
      <c r="D149" s="646">
        <f>_xlfn.XLOOKUP($B149,Planilha!$C:$C,Planilha!$M:$M)</f>
        <v>514773.9200000001</v>
      </c>
      <c r="E149" s="125" t="s">
        <v>3307</v>
      </c>
      <c r="F149" s="126"/>
      <c r="G149" s="126"/>
      <c r="H149" s="126">
        <v>0.15</v>
      </c>
      <c r="I149" s="126">
        <v>0.2</v>
      </c>
      <c r="J149" s="126">
        <v>0.2</v>
      </c>
      <c r="K149" s="126">
        <v>0.2</v>
      </c>
      <c r="L149" s="126">
        <v>0.2</v>
      </c>
      <c r="M149" s="126">
        <v>0.05</v>
      </c>
      <c r="N149" s="127">
        <f>SUM(F149:M149)</f>
        <v>1</v>
      </c>
      <c r="P149" s="159"/>
      <c r="S149" s="416"/>
    </row>
    <row r="150" spans="2:19" outlineLevel="1" x14ac:dyDescent="0.4">
      <c r="B150" s="628"/>
      <c r="C150" s="631"/>
      <c r="D150" s="647"/>
      <c r="E150" s="128" t="s">
        <v>3308</v>
      </c>
      <c r="F150" s="129">
        <f t="shared" ref="F150:M150" si="97">IF(F149&lt;&gt;0,1,0)</f>
        <v>0</v>
      </c>
      <c r="G150" s="129">
        <f t="shared" si="97"/>
        <v>0</v>
      </c>
      <c r="H150" s="129">
        <f t="shared" si="97"/>
        <v>1</v>
      </c>
      <c r="I150" s="129">
        <f t="shared" si="97"/>
        <v>1</v>
      </c>
      <c r="J150" s="129">
        <f t="shared" si="97"/>
        <v>1</v>
      </c>
      <c r="K150" s="129">
        <f t="shared" si="97"/>
        <v>1</v>
      </c>
      <c r="L150" s="129">
        <f t="shared" si="97"/>
        <v>1</v>
      </c>
      <c r="M150" s="129">
        <f t="shared" si="97"/>
        <v>1</v>
      </c>
      <c r="N150" s="130"/>
      <c r="P150" s="159"/>
      <c r="S150" s="416"/>
    </row>
    <row r="151" spans="2:19" outlineLevel="1" x14ac:dyDescent="0.4">
      <c r="B151" s="629"/>
      <c r="C151" s="632"/>
      <c r="D151" s="648"/>
      <c r="E151" s="131" t="s">
        <v>166</v>
      </c>
      <c r="F151" s="132">
        <f t="shared" ref="F151:M151" si="98">IF(F149&lt;&gt;0,$D149*F149,0)</f>
        <v>0</v>
      </c>
      <c r="G151" s="132">
        <f t="shared" si="98"/>
        <v>0</v>
      </c>
      <c r="H151" s="132">
        <f t="shared" si="98"/>
        <v>77216.088000000018</v>
      </c>
      <c r="I151" s="132">
        <f t="shared" si="98"/>
        <v>102954.78400000003</v>
      </c>
      <c r="J151" s="132">
        <f t="shared" si="98"/>
        <v>102954.78400000003</v>
      </c>
      <c r="K151" s="132">
        <f t="shared" si="98"/>
        <v>102954.78400000003</v>
      </c>
      <c r="L151" s="132">
        <f t="shared" si="98"/>
        <v>102954.78400000003</v>
      </c>
      <c r="M151" s="132">
        <f t="shared" si="98"/>
        <v>25738.696000000007</v>
      </c>
      <c r="N151" s="133">
        <f>SUM(F151:M151)</f>
        <v>514773.92000000016</v>
      </c>
      <c r="O151" s="159"/>
      <c r="P151" s="159"/>
      <c r="S151" s="416"/>
    </row>
    <row r="152" spans="2:19" x14ac:dyDescent="0.4">
      <c r="B152" s="649" t="s">
        <v>3753</v>
      </c>
      <c r="C152" s="636" t="str">
        <f>_xlfn.XLOOKUP($B152,Planilha!$C:$C,Planilha!$F:$F)</f>
        <v>INSTALAÇÕES HIDRÁULICA - ÁGUAS PLUVIAIS, ÁGUA FRIA,  ESGOTO,  INCÊNDIO E GASES</v>
      </c>
      <c r="D152" s="639">
        <f>_xlfn.XLOOKUP($B152,Planilha!$C:$C,Planilha!$M:$M)</f>
        <v>343197.10000000003</v>
      </c>
      <c r="E152" s="135" t="s">
        <v>3307</v>
      </c>
      <c r="F152" s="136">
        <f t="shared" ref="F152:M152" si="99">IFERROR(F154/$D152,0)</f>
        <v>0</v>
      </c>
      <c r="G152" s="136">
        <f t="shared" si="99"/>
        <v>0</v>
      </c>
      <c r="H152" s="136">
        <f t="shared" si="99"/>
        <v>0.1</v>
      </c>
      <c r="I152" s="136">
        <f t="shared" si="99"/>
        <v>0.2</v>
      </c>
      <c r="J152" s="136">
        <f t="shared" si="99"/>
        <v>0.3</v>
      </c>
      <c r="K152" s="136">
        <f t="shared" si="99"/>
        <v>0.3</v>
      </c>
      <c r="L152" s="136">
        <f t="shared" si="99"/>
        <v>0.1</v>
      </c>
      <c r="M152" s="136">
        <f t="shared" si="99"/>
        <v>0</v>
      </c>
      <c r="N152" s="137">
        <f>SUM(F152:M152)</f>
        <v>1.0000000000000002</v>
      </c>
      <c r="P152" s="159"/>
      <c r="S152" s="416"/>
    </row>
    <row r="153" spans="2:19" x14ac:dyDescent="0.4">
      <c r="B153" s="650"/>
      <c r="C153" s="637"/>
      <c r="D153" s="640"/>
      <c r="E153" s="138" t="s">
        <v>3308</v>
      </c>
      <c r="F153" s="139">
        <f t="shared" ref="F153:M153" si="100">IF(F152&lt;&gt;0,1,0)</f>
        <v>0</v>
      </c>
      <c r="G153" s="139">
        <f t="shared" si="100"/>
        <v>0</v>
      </c>
      <c r="H153" s="139">
        <f t="shared" si="100"/>
        <v>1</v>
      </c>
      <c r="I153" s="139">
        <f t="shared" si="100"/>
        <v>1</v>
      </c>
      <c r="J153" s="139">
        <f t="shared" si="100"/>
        <v>1</v>
      </c>
      <c r="K153" s="139">
        <f t="shared" si="100"/>
        <v>1</v>
      </c>
      <c r="L153" s="139">
        <f t="shared" si="100"/>
        <v>1</v>
      </c>
      <c r="M153" s="139">
        <f t="shared" si="100"/>
        <v>0</v>
      </c>
      <c r="N153" s="140"/>
      <c r="P153" s="159"/>
      <c r="S153" s="416"/>
    </row>
    <row r="154" spans="2:19" x14ac:dyDescent="0.4">
      <c r="B154" s="651"/>
      <c r="C154" s="638"/>
      <c r="D154" s="641"/>
      <c r="E154" s="141" t="s">
        <v>166</v>
      </c>
      <c r="F154" s="142">
        <f>+F157+F160+F163+F166</f>
        <v>0</v>
      </c>
      <c r="G154" s="142">
        <f t="shared" ref="G154:M154" si="101">+G157+G160+G163+G166</f>
        <v>0</v>
      </c>
      <c r="H154" s="142">
        <f t="shared" si="101"/>
        <v>34319.710000000006</v>
      </c>
      <c r="I154" s="142">
        <f t="shared" si="101"/>
        <v>68639.420000000013</v>
      </c>
      <c r="J154" s="142">
        <f t="shared" si="101"/>
        <v>102959.13</v>
      </c>
      <c r="K154" s="142">
        <f t="shared" si="101"/>
        <v>102959.13</v>
      </c>
      <c r="L154" s="142">
        <f t="shared" si="101"/>
        <v>34319.710000000006</v>
      </c>
      <c r="M154" s="142">
        <f t="shared" si="101"/>
        <v>0</v>
      </c>
      <c r="N154" s="143">
        <f>SUM(F154:M154)</f>
        <v>343197.10000000003</v>
      </c>
      <c r="O154" s="159"/>
      <c r="P154" s="159"/>
      <c r="S154" s="416"/>
    </row>
    <row r="155" spans="2:19" outlineLevel="1" x14ac:dyDescent="0.4">
      <c r="B155" s="627" t="s">
        <v>10511</v>
      </c>
      <c r="C155" s="630" t="str">
        <f>_xlfn.XLOOKUP($B155,Planilha!$C:$C,Planilha!$F:$F)</f>
        <v>ÁGUAS PLUVIAIS</v>
      </c>
      <c r="D155" s="633">
        <f>_xlfn.XLOOKUP($B155,Planilha!$C:$C,Planilha!$M:$M)</f>
        <v>157635.87000000005</v>
      </c>
      <c r="E155" s="125" t="s">
        <v>3307</v>
      </c>
      <c r="F155" s="126"/>
      <c r="G155" s="126"/>
      <c r="H155" s="126">
        <v>0.1</v>
      </c>
      <c r="I155" s="126">
        <v>0.2</v>
      </c>
      <c r="J155" s="126">
        <v>0.3</v>
      </c>
      <c r="K155" s="126">
        <v>0.3</v>
      </c>
      <c r="L155" s="126">
        <v>0.1</v>
      </c>
      <c r="M155" s="126"/>
      <c r="N155" s="127">
        <f>SUM(F155:M155)</f>
        <v>1.0000000000000002</v>
      </c>
      <c r="P155" s="159"/>
      <c r="S155" s="416"/>
    </row>
    <row r="156" spans="2:19" outlineLevel="1" x14ac:dyDescent="0.4">
      <c r="B156" s="628"/>
      <c r="C156" s="631"/>
      <c r="D156" s="634"/>
      <c r="E156" s="128" t="s">
        <v>3308</v>
      </c>
      <c r="F156" s="129">
        <f t="shared" ref="F156:M156" si="102">IF(F155&lt;&gt;0,1,0)</f>
        <v>0</v>
      </c>
      <c r="G156" s="129">
        <f t="shared" si="102"/>
        <v>0</v>
      </c>
      <c r="H156" s="129">
        <f t="shared" si="102"/>
        <v>1</v>
      </c>
      <c r="I156" s="129">
        <f t="shared" si="102"/>
        <v>1</v>
      </c>
      <c r="J156" s="129">
        <f t="shared" si="102"/>
        <v>1</v>
      </c>
      <c r="K156" s="129">
        <f t="shared" si="102"/>
        <v>1</v>
      </c>
      <c r="L156" s="129">
        <f t="shared" si="102"/>
        <v>1</v>
      </c>
      <c r="M156" s="129">
        <f t="shared" si="102"/>
        <v>0</v>
      </c>
      <c r="N156" s="130"/>
      <c r="P156" s="159"/>
      <c r="S156" s="416"/>
    </row>
    <row r="157" spans="2:19" outlineLevel="1" x14ac:dyDescent="0.4">
      <c r="B157" s="629"/>
      <c r="C157" s="632"/>
      <c r="D157" s="635"/>
      <c r="E157" s="131" t="s">
        <v>166</v>
      </c>
      <c r="F157" s="132">
        <f t="shared" ref="F157:M157" si="103">IF(F155&lt;&gt;0,$D155*F155,0)</f>
        <v>0</v>
      </c>
      <c r="G157" s="132">
        <f t="shared" si="103"/>
        <v>0</v>
      </c>
      <c r="H157" s="132">
        <f t="shared" si="103"/>
        <v>15763.587000000007</v>
      </c>
      <c r="I157" s="132">
        <f t="shared" si="103"/>
        <v>31527.174000000014</v>
      </c>
      <c r="J157" s="132">
        <f t="shared" si="103"/>
        <v>47290.761000000013</v>
      </c>
      <c r="K157" s="132">
        <f t="shared" si="103"/>
        <v>47290.761000000013</v>
      </c>
      <c r="L157" s="132">
        <f t="shared" si="103"/>
        <v>15763.587000000007</v>
      </c>
      <c r="M157" s="132">
        <f t="shared" si="103"/>
        <v>0</v>
      </c>
      <c r="N157" s="133">
        <f>SUM(F157:M157)</f>
        <v>157635.87000000005</v>
      </c>
      <c r="O157" s="159"/>
      <c r="P157" s="159"/>
      <c r="S157" s="416"/>
    </row>
    <row r="158" spans="2:19" outlineLevel="1" x14ac:dyDescent="0.4">
      <c r="B158" s="627" t="s">
        <v>10568</v>
      </c>
      <c r="C158" s="630" t="str">
        <f>_xlfn.XLOOKUP($B158,Planilha!$C:$C,Planilha!$F:$F)</f>
        <v>ÁGUA FRIA</v>
      </c>
      <c r="D158" s="646">
        <f>_xlfn.XLOOKUP($B158,Planilha!$C:$C,Planilha!$M:$M)</f>
        <v>67909.969999999987</v>
      </c>
      <c r="E158" s="125" t="s">
        <v>3307</v>
      </c>
      <c r="F158" s="126"/>
      <c r="G158" s="126"/>
      <c r="H158" s="126">
        <v>0.1</v>
      </c>
      <c r="I158" s="126">
        <v>0.2</v>
      </c>
      <c r="J158" s="126">
        <v>0.3</v>
      </c>
      <c r="K158" s="126">
        <v>0.3</v>
      </c>
      <c r="L158" s="126">
        <v>0.1</v>
      </c>
      <c r="M158" s="126"/>
      <c r="N158" s="127">
        <f>SUM(F158:M158)</f>
        <v>1.0000000000000002</v>
      </c>
      <c r="P158" s="159"/>
      <c r="S158" s="416"/>
    </row>
    <row r="159" spans="2:19" outlineLevel="1" x14ac:dyDescent="0.4">
      <c r="B159" s="628"/>
      <c r="C159" s="631"/>
      <c r="D159" s="647"/>
      <c r="E159" s="128" t="s">
        <v>3308</v>
      </c>
      <c r="F159" s="129">
        <f t="shared" ref="F159:M159" si="104">IF(F158&lt;&gt;0,1,0)</f>
        <v>0</v>
      </c>
      <c r="G159" s="129">
        <f t="shared" si="104"/>
        <v>0</v>
      </c>
      <c r="H159" s="129">
        <f t="shared" si="104"/>
        <v>1</v>
      </c>
      <c r="I159" s="129">
        <f t="shared" si="104"/>
        <v>1</v>
      </c>
      <c r="J159" s="129">
        <f t="shared" si="104"/>
        <v>1</v>
      </c>
      <c r="K159" s="129">
        <f t="shared" si="104"/>
        <v>1</v>
      </c>
      <c r="L159" s="129">
        <f t="shared" si="104"/>
        <v>1</v>
      </c>
      <c r="M159" s="129">
        <f t="shared" si="104"/>
        <v>0</v>
      </c>
      <c r="N159" s="130"/>
      <c r="P159" s="159"/>
      <c r="S159" s="416"/>
    </row>
    <row r="160" spans="2:19" outlineLevel="1" x14ac:dyDescent="0.4">
      <c r="B160" s="629"/>
      <c r="C160" s="632"/>
      <c r="D160" s="648"/>
      <c r="E160" s="131" t="s">
        <v>166</v>
      </c>
      <c r="F160" s="132">
        <f t="shared" ref="F160:M160" si="105">IF(F158&lt;&gt;0,$D158*F158,0)</f>
        <v>0</v>
      </c>
      <c r="G160" s="132">
        <f t="shared" si="105"/>
        <v>0</v>
      </c>
      <c r="H160" s="132">
        <f t="shared" si="105"/>
        <v>6790.9969999999994</v>
      </c>
      <c r="I160" s="132">
        <f t="shared" si="105"/>
        <v>13581.993999999999</v>
      </c>
      <c r="J160" s="132">
        <f t="shared" si="105"/>
        <v>20372.990999999995</v>
      </c>
      <c r="K160" s="132">
        <f t="shared" si="105"/>
        <v>20372.990999999995</v>
      </c>
      <c r="L160" s="132">
        <f t="shared" si="105"/>
        <v>6790.9969999999994</v>
      </c>
      <c r="M160" s="132">
        <f t="shared" si="105"/>
        <v>0</v>
      </c>
      <c r="N160" s="133">
        <f>SUM(F160:M160)</f>
        <v>67909.969999999987</v>
      </c>
      <c r="O160" s="159"/>
      <c r="P160" s="159"/>
      <c r="S160" s="416"/>
    </row>
    <row r="161" spans="2:19" outlineLevel="1" x14ac:dyDescent="0.4">
      <c r="B161" s="627" t="s">
        <v>10656</v>
      </c>
      <c r="C161" s="630" t="str">
        <f>_xlfn.XLOOKUP($B161,Planilha!$C:$C,Planilha!$F:$F)</f>
        <v>ESGOTO SANITÁRIO</v>
      </c>
      <c r="D161" s="646">
        <f>_xlfn.XLOOKUP($B161,Planilha!$C:$C,Planilha!$M:$M)</f>
        <v>45677.490000000005</v>
      </c>
      <c r="E161" s="125" t="s">
        <v>3307</v>
      </c>
      <c r="F161" s="126"/>
      <c r="G161" s="126"/>
      <c r="H161" s="126">
        <v>0.1</v>
      </c>
      <c r="I161" s="126">
        <v>0.2</v>
      </c>
      <c r="J161" s="126">
        <v>0.3</v>
      </c>
      <c r="K161" s="126">
        <v>0.3</v>
      </c>
      <c r="L161" s="126">
        <v>0.1</v>
      </c>
      <c r="M161" s="126"/>
      <c r="N161" s="127">
        <f>SUM(F161:M161)</f>
        <v>1.0000000000000002</v>
      </c>
      <c r="P161" s="159"/>
      <c r="S161" s="416"/>
    </row>
    <row r="162" spans="2:19" outlineLevel="1" x14ac:dyDescent="0.4">
      <c r="B162" s="628"/>
      <c r="C162" s="631"/>
      <c r="D162" s="647"/>
      <c r="E162" s="128" t="s">
        <v>3308</v>
      </c>
      <c r="F162" s="129">
        <f t="shared" ref="F162:M162" si="106">IF(F161&lt;&gt;0,1,0)</f>
        <v>0</v>
      </c>
      <c r="G162" s="129">
        <f t="shared" si="106"/>
        <v>0</v>
      </c>
      <c r="H162" s="129">
        <f t="shared" si="106"/>
        <v>1</v>
      </c>
      <c r="I162" s="129">
        <f t="shared" si="106"/>
        <v>1</v>
      </c>
      <c r="J162" s="129">
        <f t="shared" si="106"/>
        <v>1</v>
      </c>
      <c r="K162" s="129">
        <f t="shared" si="106"/>
        <v>1</v>
      </c>
      <c r="L162" s="129">
        <f t="shared" si="106"/>
        <v>1</v>
      </c>
      <c r="M162" s="129">
        <f t="shared" si="106"/>
        <v>0</v>
      </c>
      <c r="N162" s="130"/>
      <c r="P162" s="159"/>
      <c r="S162" s="416"/>
    </row>
    <row r="163" spans="2:19" outlineLevel="1" x14ac:dyDescent="0.4">
      <c r="B163" s="629"/>
      <c r="C163" s="632"/>
      <c r="D163" s="648"/>
      <c r="E163" s="131" t="s">
        <v>166</v>
      </c>
      <c r="F163" s="132">
        <f t="shared" ref="F163:M163" si="107">IF(F161&lt;&gt;0,$D161*F161,0)</f>
        <v>0</v>
      </c>
      <c r="G163" s="132">
        <f t="shared" si="107"/>
        <v>0</v>
      </c>
      <c r="H163" s="132">
        <f t="shared" si="107"/>
        <v>4567.7490000000007</v>
      </c>
      <c r="I163" s="132">
        <f t="shared" si="107"/>
        <v>9135.4980000000014</v>
      </c>
      <c r="J163" s="132">
        <f t="shared" si="107"/>
        <v>13703.247000000001</v>
      </c>
      <c r="K163" s="132">
        <f t="shared" si="107"/>
        <v>13703.247000000001</v>
      </c>
      <c r="L163" s="132">
        <f t="shared" si="107"/>
        <v>4567.7490000000007</v>
      </c>
      <c r="M163" s="132">
        <f t="shared" si="107"/>
        <v>0</v>
      </c>
      <c r="N163" s="133">
        <f>SUM(F163:M163)</f>
        <v>45677.490000000013</v>
      </c>
      <c r="O163" s="159"/>
      <c r="P163" s="159"/>
      <c r="S163" s="416"/>
    </row>
    <row r="164" spans="2:19" ht="15.75" customHeight="1" outlineLevel="1" x14ac:dyDescent="0.4">
      <c r="B164" s="627" t="s">
        <v>10724</v>
      </c>
      <c r="C164" s="630" t="str">
        <f>_xlfn.XLOOKUP($B164,Planilha!$C:$C,Planilha!$F:$F)</f>
        <v>INCÊNDIO</v>
      </c>
      <c r="D164" s="646">
        <f>_xlfn.XLOOKUP($B164,Planilha!$C:$C,Planilha!$M:$M)</f>
        <v>71973.77</v>
      </c>
      <c r="E164" s="125" t="s">
        <v>3307</v>
      </c>
      <c r="F164" s="126"/>
      <c r="G164" s="126"/>
      <c r="H164" s="126">
        <v>0.1</v>
      </c>
      <c r="I164" s="126">
        <v>0.2</v>
      </c>
      <c r="J164" s="126">
        <v>0.3</v>
      </c>
      <c r="K164" s="126">
        <v>0.3</v>
      </c>
      <c r="L164" s="126">
        <v>0.1</v>
      </c>
      <c r="M164" s="126"/>
      <c r="N164" s="127">
        <f>SUM(F164:M164)</f>
        <v>1.0000000000000002</v>
      </c>
      <c r="P164" s="159"/>
      <c r="S164" s="416"/>
    </row>
    <row r="165" spans="2:19" outlineLevel="1" x14ac:dyDescent="0.4">
      <c r="B165" s="628"/>
      <c r="C165" s="631"/>
      <c r="D165" s="647"/>
      <c r="E165" s="128" t="s">
        <v>3308</v>
      </c>
      <c r="F165" s="129">
        <f t="shared" ref="F165:M165" si="108">IF(F164&lt;&gt;0,1,0)</f>
        <v>0</v>
      </c>
      <c r="G165" s="129">
        <f t="shared" si="108"/>
        <v>0</v>
      </c>
      <c r="H165" s="129">
        <f t="shared" si="108"/>
        <v>1</v>
      </c>
      <c r="I165" s="129">
        <f t="shared" si="108"/>
        <v>1</v>
      </c>
      <c r="J165" s="129">
        <f t="shared" si="108"/>
        <v>1</v>
      </c>
      <c r="K165" s="129">
        <f t="shared" si="108"/>
        <v>1</v>
      </c>
      <c r="L165" s="129">
        <f t="shared" si="108"/>
        <v>1</v>
      </c>
      <c r="M165" s="129">
        <f t="shared" si="108"/>
        <v>0</v>
      </c>
      <c r="N165" s="130"/>
      <c r="P165" s="159"/>
      <c r="S165" s="416"/>
    </row>
    <row r="166" spans="2:19" outlineLevel="1" x14ac:dyDescent="0.4">
      <c r="B166" s="629"/>
      <c r="C166" s="632"/>
      <c r="D166" s="648"/>
      <c r="E166" s="131" t="s">
        <v>166</v>
      </c>
      <c r="F166" s="132">
        <f t="shared" ref="F166:M166" si="109">IF(F164&lt;&gt;0,$D164*F164,0)</f>
        <v>0</v>
      </c>
      <c r="G166" s="132">
        <f t="shared" si="109"/>
        <v>0</v>
      </c>
      <c r="H166" s="132">
        <f t="shared" si="109"/>
        <v>7197.3770000000004</v>
      </c>
      <c r="I166" s="132">
        <f t="shared" si="109"/>
        <v>14394.754000000001</v>
      </c>
      <c r="J166" s="132">
        <f t="shared" si="109"/>
        <v>21592.131000000001</v>
      </c>
      <c r="K166" s="132">
        <f t="shared" si="109"/>
        <v>21592.131000000001</v>
      </c>
      <c r="L166" s="132">
        <f t="shared" si="109"/>
        <v>7197.3770000000004</v>
      </c>
      <c r="M166" s="132">
        <f t="shared" si="109"/>
        <v>0</v>
      </c>
      <c r="N166" s="133">
        <f>SUM(F166:M166)</f>
        <v>71973.77</v>
      </c>
      <c r="O166" s="159"/>
      <c r="P166" s="159"/>
      <c r="S166" s="416"/>
    </row>
    <row r="167" spans="2:19" x14ac:dyDescent="0.4">
      <c r="B167" s="649" t="s">
        <v>3754</v>
      </c>
      <c r="C167" s="636" t="str">
        <f>_xlfn.XLOOKUP($B167,Planilha!$C:$C,Planilha!$F:$F)</f>
        <v>GASES</v>
      </c>
      <c r="D167" s="639">
        <f>_xlfn.XLOOKUP($B167,Planilha!$C:$C,Planilha!$M:$M)</f>
        <v>57866.18</v>
      </c>
      <c r="E167" s="135" t="s">
        <v>3307</v>
      </c>
      <c r="F167" s="136">
        <f t="shared" ref="F167:M167" si="110">IFERROR(F169/$D167,0)</f>
        <v>0</v>
      </c>
      <c r="G167" s="136">
        <f t="shared" si="110"/>
        <v>0</v>
      </c>
      <c r="H167" s="136">
        <f t="shared" si="110"/>
        <v>0</v>
      </c>
      <c r="I167" s="136">
        <f t="shared" si="110"/>
        <v>0.1525839099798881</v>
      </c>
      <c r="J167" s="136">
        <f t="shared" si="110"/>
        <v>0.1525839099798881</v>
      </c>
      <c r="K167" s="136">
        <f t="shared" si="110"/>
        <v>0.14094239502244663</v>
      </c>
      <c r="L167" s="136">
        <f t="shared" si="110"/>
        <v>0.49347484143587844</v>
      </c>
      <c r="M167" s="136">
        <f t="shared" si="110"/>
        <v>6.0414943581898785E-2</v>
      </c>
      <c r="N167" s="137">
        <f>SUM(F167:M167)</f>
        <v>1</v>
      </c>
      <c r="P167" s="159"/>
      <c r="S167" s="416"/>
    </row>
    <row r="168" spans="2:19" x14ac:dyDescent="0.4">
      <c r="B168" s="650"/>
      <c r="C168" s="637"/>
      <c r="D168" s="640"/>
      <c r="E168" s="138" t="s">
        <v>3308</v>
      </c>
      <c r="F168" s="139">
        <f t="shared" ref="F168:M168" si="111">IF(F167&lt;&gt;0,1,0)</f>
        <v>0</v>
      </c>
      <c r="G168" s="139">
        <f t="shared" si="111"/>
        <v>0</v>
      </c>
      <c r="H168" s="139">
        <f t="shared" si="111"/>
        <v>0</v>
      </c>
      <c r="I168" s="139">
        <f t="shared" si="111"/>
        <v>1</v>
      </c>
      <c r="J168" s="139">
        <f t="shared" si="111"/>
        <v>1</v>
      </c>
      <c r="K168" s="139">
        <f t="shared" si="111"/>
        <v>1</v>
      </c>
      <c r="L168" s="139">
        <f t="shared" si="111"/>
        <v>1</v>
      </c>
      <c r="M168" s="139">
        <f t="shared" si="111"/>
        <v>1</v>
      </c>
      <c r="N168" s="140"/>
      <c r="P168" s="159"/>
      <c r="S168" s="416"/>
    </row>
    <row r="169" spans="2:19" x14ac:dyDescent="0.4">
      <c r="B169" s="651"/>
      <c r="C169" s="638"/>
      <c r="D169" s="641"/>
      <c r="E169" s="141" t="s">
        <v>166</v>
      </c>
      <c r="F169" s="142">
        <f>+F172+F175+F178+F181+F184</f>
        <v>0</v>
      </c>
      <c r="G169" s="142">
        <f t="shared" ref="G169:M169" si="112">+G172+G175+G178+G181+G184</f>
        <v>0</v>
      </c>
      <c r="H169" s="142">
        <f t="shared" si="112"/>
        <v>0</v>
      </c>
      <c r="I169" s="142">
        <f t="shared" si="112"/>
        <v>8829.4480000000021</v>
      </c>
      <c r="J169" s="142">
        <f t="shared" si="112"/>
        <v>8829.4480000000021</v>
      </c>
      <c r="K169" s="142">
        <f t="shared" si="112"/>
        <v>8155.7980000000007</v>
      </c>
      <c r="L169" s="142">
        <f t="shared" si="112"/>
        <v>28555.504000000001</v>
      </c>
      <c r="M169" s="142">
        <f t="shared" si="112"/>
        <v>3495.982</v>
      </c>
      <c r="N169" s="143">
        <f>SUM(F169:M169)</f>
        <v>57866.180000000008</v>
      </c>
      <c r="O169" s="159"/>
      <c r="P169" s="159"/>
      <c r="S169" s="416"/>
    </row>
    <row r="170" spans="2:19" outlineLevel="1" x14ac:dyDescent="0.4">
      <c r="B170" s="627" t="s">
        <v>10757</v>
      </c>
      <c r="C170" s="630" t="str">
        <f>_xlfn.XLOOKUP($B170,Planilha!$C:$C,Planilha!$F:$F)</f>
        <v>TUBOS E CONEXÕES - COBRE</v>
      </c>
      <c r="D170" s="633">
        <f>_xlfn.XLOOKUP($B170,Planilha!$C:$C,Planilha!$M:$M)</f>
        <v>22073.620000000003</v>
      </c>
      <c r="E170" s="125" t="s">
        <v>3307</v>
      </c>
      <c r="F170" s="126"/>
      <c r="G170" s="126"/>
      <c r="H170" s="126"/>
      <c r="I170" s="126">
        <v>0.4</v>
      </c>
      <c r="J170" s="126">
        <v>0.4</v>
      </c>
      <c r="K170" s="126">
        <v>0.2</v>
      </c>
      <c r="L170" s="126"/>
      <c r="M170" s="126"/>
      <c r="N170" s="127">
        <f>SUM(F170:M170)</f>
        <v>1</v>
      </c>
      <c r="P170" s="159"/>
      <c r="S170" s="416"/>
    </row>
    <row r="171" spans="2:19" outlineLevel="1" x14ac:dyDescent="0.4">
      <c r="B171" s="628"/>
      <c r="C171" s="631"/>
      <c r="D171" s="634"/>
      <c r="E171" s="128" t="s">
        <v>3308</v>
      </c>
      <c r="F171" s="129">
        <f t="shared" ref="F171:M171" si="113">IF(F170&lt;&gt;0,1,0)</f>
        <v>0</v>
      </c>
      <c r="G171" s="129">
        <f t="shared" si="113"/>
        <v>0</v>
      </c>
      <c r="H171" s="129">
        <f t="shared" si="113"/>
        <v>0</v>
      </c>
      <c r="I171" s="129">
        <f t="shared" si="113"/>
        <v>1</v>
      </c>
      <c r="J171" s="129">
        <f t="shared" si="113"/>
        <v>1</v>
      </c>
      <c r="K171" s="129">
        <f t="shared" si="113"/>
        <v>1</v>
      </c>
      <c r="L171" s="129">
        <f t="shared" si="113"/>
        <v>0</v>
      </c>
      <c r="M171" s="129">
        <f t="shared" si="113"/>
        <v>0</v>
      </c>
      <c r="N171" s="130"/>
      <c r="P171" s="159"/>
      <c r="S171" s="416"/>
    </row>
    <row r="172" spans="2:19" outlineLevel="1" x14ac:dyDescent="0.4">
      <c r="B172" s="629"/>
      <c r="C172" s="632"/>
      <c r="D172" s="635"/>
      <c r="E172" s="131" t="s">
        <v>166</v>
      </c>
      <c r="F172" s="132">
        <f t="shared" ref="F172:M172" si="114">IF(F170&lt;&gt;0,$D170*F170,0)</f>
        <v>0</v>
      </c>
      <c r="G172" s="132">
        <f t="shared" si="114"/>
        <v>0</v>
      </c>
      <c r="H172" s="132">
        <f t="shared" si="114"/>
        <v>0</v>
      </c>
      <c r="I172" s="132">
        <f t="shared" si="114"/>
        <v>8829.4480000000021</v>
      </c>
      <c r="J172" s="132">
        <f t="shared" si="114"/>
        <v>8829.4480000000021</v>
      </c>
      <c r="K172" s="132">
        <f t="shared" si="114"/>
        <v>4414.7240000000011</v>
      </c>
      <c r="L172" s="132">
        <f t="shared" si="114"/>
        <v>0</v>
      </c>
      <c r="M172" s="132">
        <f t="shared" si="114"/>
        <v>0</v>
      </c>
      <c r="N172" s="133">
        <f>SUM(F172:M172)</f>
        <v>22073.620000000006</v>
      </c>
      <c r="O172" s="159"/>
      <c r="P172" s="159"/>
      <c r="S172" s="416"/>
    </row>
    <row r="173" spans="2:19" outlineLevel="1" x14ac:dyDescent="0.4">
      <c r="B173" s="627" t="s">
        <v>10782</v>
      </c>
      <c r="C173" s="630" t="str">
        <f>_xlfn.XLOOKUP($B173,Planilha!$C:$C,Planilha!$F:$F)</f>
        <v>VÁLVULAS</v>
      </c>
      <c r="D173" s="633">
        <f>_xlfn.XLOOKUP($B173,Planilha!$C:$C,Planilha!$M:$M)</f>
        <v>3129.71</v>
      </c>
      <c r="E173" s="125" t="s">
        <v>3307</v>
      </c>
      <c r="F173" s="126"/>
      <c r="G173" s="126"/>
      <c r="H173" s="126"/>
      <c r="I173" s="126"/>
      <c r="J173" s="126"/>
      <c r="K173" s="126">
        <v>0.4</v>
      </c>
      <c r="L173" s="126">
        <v>0.4</v>
      </c>
      <c r="M173" s="126">
        <v>0.2</v>
      </c>
      <c r="N173" s="127">
        <f>SUM(F173:M173)</f>
        <v>1</v>
      </c>
      <c r="P173" s="159"/>
      <c r="S173" s="416"/>
    </row>
    <row r="174" spans="2:19" outlineLevel="1" x14ac:dyDescent="0.4">
      <c r="B174" s="628"/>
      <c r="C174" s="631"/>
      <c r="D174" s="634"/>
      <c r="E174" s="128" t="s">
        <v>3308</v>
      </c>
      <c r="F174" s="129">
        <f t="shared" ref="F174:M174" si="115">IF(F173&lt;&gt;0,1,0)</f>
        <v>0</v>
      </c>
      <c r="G174" s="129">
        <f t="shared" si="115"/>
        <v>0</v>
      </c>
      <c r="H174" s="129">
        <f t="shared" si="115"/>
        <v>0</v>
      </c>
      <c r="I174" s="129">
        <f t="shared" si="115"/>
        <v>0</v>
      </c>
      <c r="J174" s="129">
        <f t="shared" si="115"/>
        <v>0</v>
      </c>
      <c r="K174" s="129">
        <f t="shared" si="115"/>
        <v>1</v>
      </c>
      <c r="L174" s="129">
        <f t="shared" si="115"/>
        <v>1</v>
      </c>
      <c r="M174" s="129">
        <f t="shared" si="115"/>
        <v>1</v>
      </c>
      <c r="N174" s="130"/>
      <c r="P174" s="159"/>
      <c r="S174" s="416"/>
    </row>
    <row r="175" spans="2:19" outlineLevel="1" x14ac:dyDescent="0.4">
      <c r="B175" s="629"/>
      <c r="C175" s="632"/>
      <c r="D175" s="635"/>
      <c r="E175" s="131" t="s">
        <v>166</v>
      </c>
      <c r="F175" s="132">
        <f t="shared" ref="F175:M175" si="116">IF(F173&lt;&gt;0,$D173*F173,0)</f>
        <v>0</v>
      </c>
      <c r="G175" s="132">
        <f t="shared" si="116"/>
        <v>0</v>
      </c>
      <c r="H175" s="132">
        <f t="shared" si="116"/>
        <v>0</v>
      </c>
      <c r="I175" s="132">
        <f t="shared" si="116"/>
        <v>0</v>
      </c>
      <c r="J175" s="132">
        <f t="shared" si="116"/>
        <v>0</v>
      </c>
      <c r="K175" s="132">
        <f t="shared" si="116"/>
        <v>1251.884</v>
      </c>
      <c r="L175" s="132">
        <f t="shared" si="116"/>
        <v>1251.884</v>
      </c>
      <c r="M175" s="132">
        <f t="shared" si="116"/>
        <v>625.94200000000001</v>
      </c>
      <c r="N175" s="133">
        <f>SUM(F175:M175)</f>
        <v>3129.71</v>
      </c>
      <c r="O175" s="159"/>
      <c r="P175" s="159"/>
      <c r="S175" s="416"/>
    </row>
    <row r="176" spans="2:19" outlineLevel="1" x14ac:dyDescent="0.4">
      <c r="B176" s="627" t="s">
        <v>10784</v>
      </c>
      <c r="C176" s="630" t="str">
        <f>_xlfn.XLOOKUP($B176,Planilha!$C:$C,Planilha!$F:$F)</f>
        <v>TARUGO DE COBRE</v>
      </c>
      <c r="D176" s="633">
        <f>_xlfn.XLOOKUP($B176,Planilha!$C:$C,Planilha!$M:$M)</f>
        <v>5740.08</v>
      </c>
      <c r="E176" s="125" t="s">
        <v>3307</v>
      </c>
      <c r="F176" s="126"/>
      <c r="G176" s="126"/>
      <c r="H176" s="126"/>
      <c r="I176" s="126"/>
      <c r="J176" s="126"/>
      <c r="K176" s="126"/>
      <c r="L176" s="126">
        <v>0.5</v>
      </c>
      <c r="M176" s="126">
        <v>0.5</v>
      </c>
      <c r="N176" s="127">
        <f>SUM(F176:M176)</f>
        <v>1</v>
      </c>
      <c r="P176" s="159"/>
      <c r="S176" s="416"/>
    </row>
    <row r="177" spans="2:19" outlineLevel="1" x14ac:dyDescent="0.4">
      <c r="B177" s="628"/>
      <c r="C177" s="631"/>
      <c r="D177" s="634"/>
      <c r="E177" s="128" t="s">
        <v>3308</v>
      </c>
      <c r="F177" s="129">
        <f t="shared" ref="F177:M177" si="117">IF(F176&lt;&gt;0,1,0)</f>
        <v>0</v>
      </c>
      <c r="G177" s="129">
        <f t="shared" si="117"/>
        <v>0</v>
      </c>
      <c r="H177" s="129">
        <f t="shared" si="117"/>
        <v>0</v>
      </c>
      <c r="I177" s="129">
        <f t="shared" si="117"/>
        <v>0</v>
      </c>
      <c r="J177" s="129">
        <f t="shared" si="117"/>
        <v>0</v>
      </c>
      <c r="K177" s="129">
        <f t="shared" si="117"/>
        <v>0</v>
      </c>
      <c r="L177" s="129">
        <f t="shared" si="117"/>
        <v>1</v>
      </c>
      <c r="M177" s="129">
        <f t="shared" si="117"/>
        <v>1</v>
      </c>
      <c r="N177" s="130"/>
      <c r="P177" s="159"/>
      <c r="S177" s="416"/>
    </row>
    <row r="178" spans="2:19" outlineLevel="1" x14ac:dyDescent="0.4">
      <c r="B178" s="629"/>
      <c r="C178" s="632"/>
      <c r="D178" s="635"/>
      <c r="E178" s="131" t="s">
        <v>166</v>
      </c>
      <c r="F178" s="132">
        <f t="shared" ref="F178:M178" si="118">IF(F176&lt;&gt;0,$D176*F176,0)</f>
        <v>0</v>
      </c>
      <c r="G178" s="132">
        <f t="shared" si="118"/>
        <v>0</v>
      </c>
      <c r="H178" s="132">
        <f t="shared" si="118"/>
        <v>0</v>
      </c>
      <c r="I178" s="132">
        <f t="shared" si="118"/>
        <v>0</v>
      </c>
      <c r="J178" s="132">
        <f t="shared" si="118"/>
        <v>0</v>
      </c>
      <c r="K178" s="132">
        <f t="shared" si="118"/>
        <v>0</v>
      </c>
      <c r="L178" s="132">
        <f t="shared" si="118"/>
        <v>2870.04</v>
      </c>
      <c r="M178" s="132">
        <f t="shared" si="118"/>
        <v>2870.04</v>
      </c>
      <c r="N178" s="133">
        <f>SUM(F178:M178)</f>
        <v>5740.08</v>
      </c>
      <c r="O178" s="159"/>
      <c r="P178" s="159"/>
      <c r="S178" s="416"/>
    </row>
    <row r="179" spans="2:19" outlineLevel="1" x14ac:dyDescent="0.4">
      <c r="B179" s="627" t="s">
        <v>10786</v>
      </c>
      <c r="C179" s="630" t="str">
        <f>_xlfn.XLOOKUP($B179,Planilha!$C:$C,Planilha!$F:$F)</f>
        <v>POSTOS DE UTILIZAÇÃO EMBUTIDOS (COM ENGATE RAPIDO)</v>
      </c>
      <c r="D179" s="633">
        <f>_xlfn.XLOOKUP($B179,Planilha!$C:$C,Planilha!$M:$M)</f>
        <v>4978.38</v>
      </c>
      <c r="E179" s="125" t="s">
        <v>3307</v>
      </c>
      <c r="F179" s="126"/>
      <c r="G179" s="126"/>
      <c r="H179" s="126"/>
      <c r="I179" s="126"/>
      <c r="J179" s="126"/>
      <c r="K179" s="126">
        <v>0.5</v>
      </c>
      <c r="L179" s="126">
        <v>0.5</v>
      </c>
      <c r="M179" s="126"/>
      <c r="N179" s="127">
        <f>SUM(F179:M179)</f>
        <v>1</v>
      </c>
      <c r="P179" s="159"/>
      <c r="S179" s="416"/>
    </row>
    <row r="180" spans="2:19" outlineLevel="1" x14ac:dyDescent="0.4">
      <c r="B180" s="628"/>
      <c r="C180" s="631"/>
      <c r="D180" s="634"/>
      <c r="E180" s="128" t="s">
        <v>3308</v>
      </c>
      <c r="F180" s="129">
        <f t="shared" ref="F180:M180" si="119">IF(F179&lt;&gt;0,1,0)</f>
        <v>0</v>
      </c>
      <c r="G180" s="129">
        <f t="shared" si="119"/>
        <v>0</v>
      </c>
      <c r="H180" s="129">
        <f t="shared" si="119"/>
        <v>0</v>
      </c>
      <c r="I180" s="129">
        <f t="shared" si="119"/>
        <v>0</v>
      </c>
      <c r="J180" s="129">
        <f t="shared" si="119"/>
        <v>0</v>
      </c>
      <c r="K180" s="129">
        <f t="shared" si="119"/>
        <v>1</v>
      </c>
      <c r="L180" s="129">
        <f t="shared" si="119"/>
        <v>1</v>
      </c>
      <c r="M180" s="129">
        <f t="shared" si="119"/>
        <v>0</v>
      </c>
      <c r="N180" s="130"/>
      <c r="P180" s="159"/>
      <c r="S180" s="416"/>
    </row>
    <row r="181" spans="2:19" outlineLevel="1" x14ac:dyDescent="0.4">
      <c r="B181" s="629"/>
      <c r="C181" s="632"/>
      <c r="D181" s="635"/>
      <c r="E181" s="131" t="s">
        <v>166</v>
      </c>
      <c r="F181" s="132">
        <f t="shared" ref="F181:M181" si="120">IF(F179&lt;&gt;0,$D179*F179,0)</f>
        <v>0</v>
      </c>
      <c r="G181" s="132">
        <f t="shared" si="120"/>
        <v>0</v>
      </c>
      <c r="H181" s="132">
        <f t="shared" si="120"/>
        <v>0</v>
      </c>
      <c r="I181" s="132">
        <f t="shared" si="120"/>
        <v>0</v>
      </c>
      <c r="J181" s="132">
        <f t="shared" si="120"/>
        <v>0</v>
      </c>
      <c r="K181" s="132">
        <f t="shared" si="120"/>
        <v>2489.19</v>
      </c>
      <c r="L181" s="132">
        <f t="shared" si="120"/>
        <v>2489.19</v>
      </c>
      <c r="M181" s="132">
        <f t="shared" si="120"/>
        <v>0</v>
      </c>
      <c r="N181" s="133">
        <f>SUM(F181:M181)</f>
        <v>4978.38</v>
      </c>
      <c r="O181" s="159"/>
      <c r="P181" s="159"/>
      <c r="S181" s="416"/>
    </row>
    <row r="182" spans="2:19" outlineLevel="1" x14ac:dyDescent="0.4">
      <c r="B182" s="627" t="s">
        <v>10788</v>
      </c>
      <c r="C182" s="630" t="str">
        <f>_xlfn.XLOOKUP($B182,Planilha!$C:$C,Planilha!$F:$F)</f>
        <v>COMPRESSOR DE AR</v>
      </c>
      <c r="D182" s="633">
        <f>_xlfn.XLOOKUP($B182,Planilha!$C:$C,Planilha!$M:$M)</f>
        <v>21944.39</v>
      </c>
      <c r="E182" s="125" t="s">
        <v>3307</v>
      </c>
      <c r="F182" s="126"/>
      <c r="G182" s="126"/>
      <c r="H182" s="126"/>
      <c r="I182" s="126"/>
      <c r="J182" s="126"/>
      <c r="K182" s="126"/>
      <c r="L182" s="126">
        <v>1</v>
      </c>
      <c r="M182" s="126"/>
      <c r="N182" s="127">
        <f>SUM(F182:M182)</f>
        <v>1</v>
      </c>
      <c r="P182" s="159"/>
      <c r="S182" s="416"/>
    </row>
    <row r="183" spans="2:19" outlineLevel="1" x14ac:dyDescent="0.4">
      <c r="B183" s="628"/>
      <c r="C183" s="631"/>
      <c r="D183" s="634"/>
      <c r="E183" s="128" t="s">
        <v>3308</v>
      </c>
      <c r="F183" s="129">
        <f t="shared" ref="F183:M183" si="121">IF(F182&lt;&gt;0,1,0)</f>
        <v>0</v>
      </c>
      <c r="G183" s="129">
        <f t="shared" si="121"/>
        <v>0</v>
      </c>
      <c r="H183" s="129">
        <f t="shared" si="121"/>
        <v>0</v>
      </c>
      <c r="I183" s="129">
        <f t="shared" si="121"/>
        <v>0</v>
      </c>
      <c r="J183" s="129">
        <f t="shared" si="121"/>
        <v>0</v>
      </c>
      <c r="K183" s="129">
        <f t="shared" si="121"/>
        <v>0</v>
      </c>
      <c r="L183" s="129">
        <f t="shared" si="121"/>
        <v>1</v>
      </c>
      <c r="M183" s="129">
        <f t="shared" si="121"/>
        <v>0</v>
      </c>
      <c r="N183" s="130"/>
      <c r="P183" s="159"/>
      <c r="S183" s="416"/>
    </row>
    <row r="184" spans="2:19" outlineLevel="1" x14ac:dyDescent="0.4">
      <c r="B184" s="629"/>
      <c r="C184" s="632"/>
      <c r="D184" s="635"/>
      <c r="E184" s="131" t="s">
        <v>166</v>
      </c>
      <c r="F184" s="132">
        <f t="shared" ref="F184:M184" si="122">IF(F182&lt;&gt;0,$D182*F182,0)</f>
        <v>0</v>
      </c>
      <c r="G184" s="132">
        <f t="shared" si="122"/>
        <v>0</v>
      </c>
      <c r="H184" s="132">
        <f t="shared" si="122"/>
        <v>0</v>
      </c>
      <c r="I184" s="132">
        <f t="shared" si="122"/>
        <v>0</v>
      </c>
      <c r="J184" s="132">
        <f t="shared" si="122"/>
        <v>0</v>
      </c>
      <c r="K184" s="132">
        <f t="shared" si="122"/>
        <v>0</v>
      </c>
      <c r="L184" s="132">
        <f t="shared" si="122"/>
        <v>21944.39</v>
      </c>
      <c r="M184" s="132">
        <f t="shared" si="122"/>
        <v>0</v>
      </c>
      <c r="N184" s="133">
        <f>SUM(F184:M184)</f>
        <v>21944.39</v>
      </c>
      <c r="O184" s="159"/>
      <c r="P184" s="159"/>
      <c r="S184" s="416"/>
    </row>
    <row r="185" spans="2:19" x14ac:dyDescent="0.4">
      <c r="B185" s="649" t="s">
        <v>3755</v>
      </c>
      <c r="C185" s="636" t="str">
        <f>_xlfn.XLOOKUP($B185,Planilha!$C:$C,Planilha!$F:$F)</f>
        <v>AR CONDICIONADO</v>
      </c>
      <c r="D185" s="639">
        <f>_xlfn.XLOOKUP($B185,Planilha!$C:$C,Planilha!$M:$M)</f>
        <v>377810</v>
      </c>
      <c r="E185" s="135" t="s">
        <v>3307</v>
      </c>
      <c r="F185" s="136">
        <f t="shared" ref="F185:M185" si="123">IFERROR(F187/$D185,0)</f>
        <v>0</v>
      </c>
      <c r="G185" s="136">
        <f t="shared" si="123"/>
        <v>0</v>
      </c>
      <c r="H185" s="136">
        <f t="shared" si="123"/>
        <v>0</v>
      </c>
      <c r="I185" s="136">
        <f t="shared" si="123"/>
        <v>0</v>
      </c>
      <c r="J185" s="136">
        <f t="shared" si="123"/>
        <v>0</v>
      </c>
      <c r="K185" s="136">
        <f t="shared" si="123"/>
        <v>0.25</v>
      </c>
      <c r="L185" s="136">
        <f t="shared" si="123"/>
        <v>0.25</v>
      </c>
      <c r="M185" s="136">
        <f t="shared" si="123"/>
        <v>0.5</v>
      </c>
      <c r="N185" s="137">
        <f>SUM(F185:M185)</f>
        <v>1</v>
      </c>
      <c r="P185" s="159"/>
      <c r="S185" s="416"/>
    </row>
    <row r="186" spans="2:19" x14ac:dyDescent="0.4">
      <c r="B186" s="650"/>
      <c r="C186" s="637"/>
      <c r="D186" s="640"/>
      <c r="E186" s="138" t="s">
        <v>3308</v>
      </c>
      <c r="F186" s="139">
        <f t="shared" ref="F186:M186" si="124">IF(F185&lt;&gt;0,1,0)</f>
        <v>0</v>
      </c>
      <c r="G186" s="139">
        <f t="shared" si="124"/>
        <v>0</v>
      </c>
      <c r="H186" s="139">
        <f t="shared" si="124"/>
        <v>0</v>
      </c>
      <c r="I186" s="139">
        <f t="shared" si="124"/>
        <v>0</v>
      </c>
      <c r="J186" s="139">
        <f t="shared" si="124"/>
        <v>0</v>
      </c>
      <c r="K186" s="139">
        <f t="shared" si="124"/>
        <v>1</v>
      </c>
      <c r="L186" s="139">
        <f t="shared" si="124"/>
        <v>1</v>
      </c>
      <c r="M186" s="139">
        <f t="shared" si="124"/>
        <v>1</v>
      </c>
      <c r="N186" s="140"/>
      <c r="P186" s="159"/>
      <c r="S186" s="416"/>
    </row>
    <row r="187" spans="2:19" x14ac:dyDescent="0.4">
      <c r="B187" s="651"/>
      <c r="C187" s="638"/>
      <c r="D187" s="641"/>
      <c r="E187" s="141" t="s">
        <v>166</v>
      </c>
      <c r="F187" s="142">
        <f>+F190</f>
        <v>0</v>
      </c>
      <c r="G187" s="142">
        <f t="shared" ref="G187:M187" si="125">+G190</f>
        <v>0</v>
      </c>
      <c r="H187" s="142">
        <f t="shared" si="125"/>
        <v>0</v>
      </c>
      <c r="I187" s="142">
        <f t="shared" si="125"/>
        <v>0</v>
      </c>
      <c r="J187" s="142">
        <f t="shared" si="125"/>
        <v>0</v>
      </c>
      <c r="K187" s="142">
        <f t="shared" si="125"/>
        <v>94452.5</v>
      </c>
      <c r="L187" s="142">
        <f t="shared" si="125"/>
        <v>94452.5</v>
      </c>
      <c r="M187" s="142">
        <f t="shared" si="125"/>
        <v>188905</v>
      </c>
      <c r="N187" s="143">
        <f>SUM(F187:M187)</f>
        <v>377810</v>
      </c>
      <c r="O187" s="159"/>
      <c r="P187" s="159"/>
      <c r="S187" s="416"/>
    </row>
    <row r="188" spans="2:19" outlineLevel="1" x14ac:dyDescent="0.4">
      <c r="B188" s="627" t="s">
        <v>10790</v>
      </c>
      <c r="C188" s="630" t="str">
        <f>_xlfn.XLOOKUP($B188,Planilha!$C:$C,Planilha!$F:$F)</f>
        <v>EQUIPAMENTOS</v>
      </c>
      <c r="D188" s="633">
        <f>_xlfn.XLOOKUP($B188,Planilha!$C:$C,Planilha!$M:$M)</f>
        <v>377810</v>
      </c>
      <c r="E188" s="125" t="s">
        <v>3307</v>
      </c>
      <c r="F188" s="126"/>
      <c r="G188" s="126"/>
      <c r="H188" s="126"/>
      <c r="I188" s="126"/>
      <c r="J188" s="126"/>
      <c r="K188" s="126">
        <v>0.25</v>
      </c>
      <c r="L188" s="126">
        <v>0.25</v>
      </c>
      <c r="M188" s="126">
        <v>0.5</v>
      </c>
      <c r="N188" s="127">
        <f>SUM(F188:M188)</f>
        <v>1</v>
      </c>
      <c r="P188" s="159"/>
      <c r="S188" s="416"/>
    </row>
    <row r="189" spans="2:19" outlineLevel="1" x14ac:dyDescent="0.4">
      <c r="B189" s="628"/>
      <c r="C189" s="631"/>
      <c r="D189" s="634"/>
      <c r="E189" s="128" t="s">
        <v>3308</v>
      </c>
      <c r="F189" s="129">
        <f t="shared" ref="F189:M189" si="126">IF(F188&lt;&gt;0,1,0)</f>
        <v>0</v>
      </c>
      <c r="G189" s="129">
        <f t="shared" si="126"/>
        <v>0</v>
      </c>
      <c r="H189" s="129">
        <f t="shared" si="126"/>
        <v>0</v>
      </c>
      <c r="I189" s="129">
        <f t="shared" si="126"/>
        <v>0</v>
      </c>
      <c r="J189" s="129">
        <f t="shared" si="126"/>
        <v>0</v>
      </c>
      <c r="K189" s="129">
        <f t="shared" si="126"/>
        <v>1</v>
      </c>
      <c r="L189" s="129">
        <f t="shared" si="126"/>
        <v>1</v>
      </c>
      <c r="M189" s="129">
        <f t="shared" si="126"/>
        <v>1</v>
      </c>
      <c r="N189" s="130"/>
      <c r="P189" s="159"/>
      <c r="S189" s="416"/>
    </row>
    <row r="190" spans="2:19" outlineLevel="1" x14ac:dyDescent="0.4">
      <c r="B190" s="629"/>
      <c r="C190" s="632"/>
      <c r="D190" s="635"/>
      <c r="E190" s="131" t="s">
        <v>166</v>
      </c>
      <c r="F190" s="132">
        <f t="shared" ref="F190:M190" si="127">IF(F188&lt;&gt;0,$D188*F188,0)</f>
        <v>0</v>
      </c>
      <c r="G190" s="132">
        <f t="shared" si="127"/>
        <v>0</v>
      </c>
      <c r="H190" s="132">
        <f t="shared" si="127"/>
        <v>0</v>
      </c>
      <c r="I190" s="132">
        <f t="shared" si="127"/>
        <v>0</v>
      </c>
      <c r="J190" s="132">
        <f t="shared" si="127"/>
        <v>0</v>
      </c>
      <c r="K190" s="132">
        <f t="shared" si="127"/>
        <v>94452.5</v>
      </c>
      <c r="L190" s="132">
        <f t="shared" si="127"/>
        <v>94452.5</v>
      </c>
      <c r="M190" s="132">
        <f t="shared" si="127"/>
        <v>188905</v>
      </c>
      <c r="N190" s="133">
        <f>SUM(F190:M190)</f>
        <v>377810</v>
      </c>
      <c r="O190" s="159"/>
      <c r="P190" s="159"/>
      <c r="S190" s="416"/>
    </row>
    <row r="191" spans="2:19" x14ac:dyDescent="0.4">
      <c r="B191" s="649" t="s">
        <v>3756</v>
      </c>
      <c r="C191" s="636" t="str">
        <f>_xlfn.XLOOKUP($B191,Planilha!$C:$C,Planilha!$F:$F)</f>
        <v>LIMPEZA FINAL DA OBRA E BOTA-FORA</v>
      </c>
      <c r="D191" s="639">
        <f>_xlfn.XLOOKUP($B191,Planilha!$C:$C,Planilha!$M:$M)</f>
        <v>31230</v>
      </c>
      <c r="E191" s="135" t="s">
        <v>3307</v>
      </c>
      <c r="F191" s="136">
        <f t="shared" ref="F191:M191" si="128">IFERROR(F193/$D191,0)</f>
        <v>0</v>
      </c>
      <c r="G191" s="136">
        <f t="shared" si="128"/>
        <v>0</v>
      </c>
      <c r="H191" s="136">
        <f t="shared" si="128"/>
        <v>0</v>
      </c>
      <c r="I191" s="136">
        <f t="shared" si="128"/>
        <v>0</v>
      </c>
      <c r="J191" s="136">
        <f t="shared" si="128"/>
        <v>0</v>
      </c>
      <c r="K191" s="136">
        <f t="shared" si="128"/>
        <v>0</v>
      </c>
      <c r="L191" s="136">
        <f t="shared" si="128"/>
        <v>0.4</v>
      </c>
      <c r="M191" s="136">
        <f t="shared" si="128"/>
        <v>0.6</v>
      </c>
      <c r="N191" s="137">
        <f>SUM(F191:M191)</f>
        <v>1</v>
      </c>
      <c r="P191" s="159"/>
      <c r="S191" s="416"/>
    </row>
    <row r="192" spans="2:19" x14ac:dyDescent="0.4">
      <c r="B192" s="650"/>
      <c r="C192" s="637"/>
      <c r="D192" s="640"/>
      <c r="E192" s="138" t="s">
        <v>3308</v>
      </c>
      <c r="F192" s="139">
        <f t="shared" ref="F192:M192" si="129">IF(F191&lt;&gt;0,1,0)</f>
        <v>0</v>
      </c>
      <c r="G192" s="139">
        <f t="shared" si="129"/>
        <v>0</v>
      </c>
      <c r="H192" s="139">
        <f t="shared" si="129"/>
        <v>0</v>
      </c>
      <c r="I192" s="139">
        <f t="shared" si="129"/>
        <v>0</v>
      </c>
      <c r="J192" s="139">
        <f t="shared" si="129"/>
        <v>0</v>
      </c>
      <c r="K192" s="139">
        <f t="shared" si="129"/>
        <v>0</v>
      </c>
      <c r="L192" s="139">
        <f t="shared" si="129"/>
        <v>1</v>
      </c>
      <c r="M192" s="139">
        <f t="shared" si="129"/>
        <v>1</v>
      </c>
      <c r="N192" s="140"/>
      <c r="P192" s="159"/>
      <c r="S192" s="416"/>
    </row>
    <row r="193" spans="2:19" x14ac:dyDescent="0.4">
      <c r="B193" s="651"/>
      <c r="C193" s="638"/>
      <c r="D193" s="641"/>
      <c r="E193" s="141" t="s">
        <v>166</v>
      </c>
      <c r="F193" s="142">
        <f>+F196</f>
        <v>0</v>
      </c>
      <c r="G193" s="142">
        <f t="shared" ref="G193:M193" si="130">+G196</f>
        <v>0</v>
      </c>
      <c r="H193" s="142">
        <f t="shared" si="130"/>
        <v>0</v>
      </c>
      <c r="I193" s="142">
        <f t="shared" si="130"/>
        <v>0</v>
      </c>
      <c r="J193" s="142">
        <f t="shared" si="130"/>
        <v>0</v>
      </c>
      <c r="K193" s="142">
        <f t="shared" si="130"/>
        <v>0</v>
      </c>
      <c r="L193" s="142">
        <f t="shared" si="130"/>
        <v>12492</v>
      </c>
      <c r="M193" s="142">
        <f t="shared" si="130"/>
        <v>18738</v>
      </c>
      <c r="N193" s="143">
        <f>SUM(F193:M193)</f>
        <v>31230</v>
      </c>
      <c r="O193" s="159"/>
      <c r="P193" s="159"/>
      <c r="S193" s="416"/>
    </row>
    <row r="194" spans="2:19" outlineLevel="1" x14ac:dyDescent="0.4">
      <c r="B194" s="627" t="s">
        <v>10797</v>
      </c>
      <c r="C194" s="630" t="str">
        <f>_xlfn.XLOOKUP($B194,Planilha!$C:$C,Planilha!$F:$F)</f>
        <v>LIMPEZA</v>
      </c>
      <c r="D194" s="633">
        <f>_xlfn.XLOOKUP($B194,Planilha!$C:$C,Planilha!$M:$M)</f>
        <v>31230</v>
      </c>
      <c r="E194" s="125" t="s">
        <v>3307</v>
      </c>
      <c r="F194" s="145"/>
      <c r="G194" s="145"/>
      <c r="H194" s="145"/>
      <c r="I194" s="145"/>
      <c r="J194" s="145"/>
      <c r="K194" s="145"/>
      <c r="L194" s="145">
        <v>0.4</v>
      </c>
      <c r="M194" s="145">
        <v>0.6</v>
      </c>
      <c r="N194" s="127">
        <f>SUM(F194:M194)</f>
        <v>1</v>
      </c>
      <c r="P194" s="159"/>
      <c r="S194" s="416"/>
    </row>
    <row r="195" spans="2:19" outlineLevel="1" x14ac:dyDescent="0.4">
      <c r="B195" s="628"/>
      <c r="C195" s="631"/>
      <c r="D195" s="634"/>
      <c r="E195" s="128" t="s">
        <v>3308</v>
      </c>
      <c r="F195" s="129">
        <f t="shared" ref="F195:M195" si="131">IF(F194&lt;&gt;0,1,0)</f>
        <v>0</v>
      </c>
      <c r="G195" s="129">
        <f t="shared" si="131"/>
        <v>0</v>
      </c>
      <c r="H195" s="129">
        <f t="shared" si="131"/>
        <v>0</v>
      </c>
      <c r="I195" s="129">
        <f t="shared" si="131"/>
        <v>0</v>
      </c>
      <c r="J195" s="129">
        <f t="shared" si="131"/>
        <v>0</v>
      </c>
      <c r="K195" s="129">
        <f t="shared" si="131"/>
        <v>0</v>
      </c>
      <c r="L195" s="129">
        <f t="shared" si="131"/>
        <v>1</v>
      </c>
      <c r="M195" s="129">
        <f t="shared" si="131"/>
        <v>1</v>
      </c>
      <c r="N195" s="130"/>
      <c r="P195" s="159"/>
      <c r="S195" s="416"/>
    </row>
    <row r="196" spans="2:19" ht="17.399999999999999" outlineLevel="1" thickBot="1" x14ac:dyDescent="0.45">
      <c r="B196" s="629"/>
      <c r="C196" s="652"/>
      <c r="D196" s="635"/>
      <c r="E196" s="131" t="s">
        <v>166</v>
      </c>
      <c r="F196" s="146">
        <f t="shared" ref="F196:M196" si="132">IF(F194&lt;&gt;0,$D194*F194,0)</f>
        <v>0</v>
      </c>
      <c r="G196" s="146">
        <f t="shared" si="132"/>
        <v>0</v>
      </c>
      <c r="H196" s="146">
        <f t="shared" si="132"/>
        <v>0</v>
      </c>
      <c r="I196" s="146">
        <f t="shared" si="132"/>
        <v>0</v>
      </c>
      <c r="J196" s="146">
        <f t="shared" si="132"/>
        <v>0</v>
      </c>
      <c r="K196" s="146">
        <f t="shared" si="132"/>
        <v>0</v>
      </c>
      <c r="L196" s="146">
        <f t="shared" si="132"/>
        <v>12492</v>
      </c>
      <c r="M196" s="146">
        <f t="shared" si="132"/>
        <v>18738</v>
      </c>
      <c r="N196" s="133">
        <f>SUM(F196:M196)</f>
        <v>31230</v>
      </c>
      <c r="O196" s="159"/>
      <c r="P196" s="159"/>
      <c r="S196" s="416"/>
    </row>
    <row r="197" spans="2:19" collapsed="1" x14ac:dyDescent="0.4">
      <c r="B197" s="642" t="s">
        <v>3760</v>
      </c>
      <c r="C197" s="643"/>
      <c r="D197" s="643"/>
      <c r="E197" s="643"/>
      <c r="F197" s="643"/>
      <c r="G197" s="643"/>
      <c r="H197" s="643"/>
      <c r="I197" s="643"/>
      <c r="J197" s="643"/>
      <c r="K197" s="643"/>
      <c r="L197" s="643"/>
      <c r="M197" s="643"/>
      <c r="N197" s="625">
        <f>+D191+D185+D167+D152+D116+D62+D35+D14</f>
        <v>13918608.950000005</v>
      </c>
      <c r="O197" s="118"/>
    </row>
    <row r="198" spans="2:19" ht="17.399999999999999" thickBot="1" x14ac:dyDescent="0.45">
      <c r="B198" s="644"/>
      <c r="C198" s="645"/>
      <c r="D198" s="645"/>
      <c r="E198" s="645"/>
      <c r="F198" s="645"/>
      <c r="G198" s="645"/>
      <c r="H198" s="645"/>
      <c r="I198" s="645"/>
      <c r="J198" s="645"/>
      <c r="K198" s="645"/>
      <c r="L198" s="645"/>
      <c r="M198" s="645"/>
      <c r="N198" s="626"/>
      <c r="O198" s="118"/>
    </row>
    <row r="199" spans="2:19" x14ac:dyDescent="0.4">
      <c r="B199" s="616" t="s">
        <v>3310</v>
      </c>
      <c r="C199" s="617"/>
      <c r="D199" s="618"/>
      <c r="E199" s="147"/>
      <c r="F199" s="148">
        <f>+F196+F190+F184+F181+F178+F175+F172+F166+F163+F160+F157+F151+F148++F145+F142+F139+F136+F133+F130+F127+F124+F121+F115+F112+F109+F106+F103+F100+F97+F94+F91+F88+F85+F82+F79+F76+F73+F70+F67+F61+F58+F55+F52+F49+F46+F43+F40+F31+F28+F25+F22+F19</f>
        <v>1158535.9737499999</v>
      </c>
      <c r="G199" s="148">
        <f t="shared" ref="G199:M199" si="133">+G196+G190+G184+G181+G178+G175+G172+G166+G163+G160+G157+G151+G148++G145+G142+G139+G136+G133+G130+G127+G124+G121+G115+G112+G109+G106+G103+G100+G97+G94+G91+G88+G85+G82+G79+G76+G73+G70+G67+G61+G58+G55+G52+G49+G46+G43+G40+G31+G28+G25+G22+G19</f>
        <v>1060019.0201785716</v>
      </c>
      <c r="H199" s="148">
        <f t="shared" si="133"/>
        <v>1577066.9071785714</v>
      </c>
      <c r="I199" s="148">
        <f t="shared" si="133"/>
        <v>1527107.4487785716</v>
      </c>
      <c r="J199" s="148">
        <f t="shared" si="133"/>
        <v>3238237.9568785713</v>
      </c>
      <c r="K199" s="148">
        <f t="shared" si="133"/>
        <v>3129135.7628785712</v>
      </c>
      <c r="L199" s="148">
        <f t="shared" si="133"/>
        <v>1180111.3541785714</v>
      </c>
      <c r="M199" s="148">
        <f t="shared" si="133"/>
        <v>1048394.5261785714</v>
      </c>
      <c r="N199" s="149"/>
      <c r="O199" s="118"/>
    </row>
    <row r="200" spans="2:19" x14ac:dyDescent="0.4">
      <c r="B200" s="619" t="s">
        <v>3761</v>
      </c>
      <c r="C200" s="620"/>
      <c r="D200" s="621"/>
      <c r="E200" s="150">
        <f>Resumo!B27</f>
        <v>0.2742</v>
      </c>
      <c r="F200" s="151">
        <f t="shared" ref="F200:M200" si="134">+F199*$E200</f>
        <v>317670.56400224997</v>
      </c>
      <c r="G200" s="151">
        <f t="shared" si="134"/>
        <v>290657.21533296432</v>
      </c>
      <c r="H200" s="151">
        <f t="shared" si="134"/>
        <v>432431.74594836432</v>
      </c>
      <c r="I200" s="151">
        <f t="shared" si="134"/>
        <v>418732.86245508434</v>
      </c>
      <c r="J200" s="151">
        <f t="shared" si="134"/>
        <v>887924.84777610423</v>
      </c>
      <c r="K200" s="151">
        <f t="shared" si="134"/>
        <v>858009.02618130425</v>
      </c>
      <c r="L200" s="151">
        <f t="shared" si="134"/>
        <v>323586.53331576427</v>
      </c>
      <c r="M200" s="151">
        <f t="shared" si="134"/>
        <v>287469.77907816425</v>
      </c>
      <c r="N200" s="152"/>
      <c r="O200" s="118"/>
    </row>
    <row r="201" spans="2:19" x14ac:dyDescent="0.4">
      <c r="B201" s="619" t="s">
        <v>3762</v>
      </c>
      <c r="C201" s="620"/>
      <c r="D201" s="621"/>
      <c r="E201" s="153"/>
      <c r="F201" s="151">
        <f>+F199+F200</f>
        <v>1476206.5377522497</v>
      </c>
      <c r="G201" s="151">
        <f t="shared" ref="G201:M201" si="135">+G199+G200</f>
        <v>1350676.2355115358</v>
      </c>
      <c r="H201" s="151">
        <f t="shared" si="135"/>
        <v>2009498.6531269357</v>
      </c>
      <c r="I201" s="151">
        <f t="shared" si="135"/>
        <v>1945840.311233656</v>
      </c>
      <c r="J201" s="151">
        <f t="shared" si="135"/>
        <v>4126162.8046546755</v>
      </c>
      <c r="K201" s="151">
        <f t="shared" si="135"/>
        <v>3987144.7890598755</v>
      </c>
      <c r="L201" s="151">
        <f t="shared" si="135"/>
        <v>1503697.8874943356</v>
      </c>
      <c r="M201" s="151">
        <f t="shared" si="135"/>
        <v>1335864.3052567355</v>
      </c>
      <c r="N201" s="152"/>
      <c r="O201" s="118"/>
    </row>
    <row r="202" spans="2:19" x14ac:dyDescent="0.4">
      <c r="B202" s="619" t="s">
        <v>3311</v>
      </c>
      <c r="C202" s="620"/>
      <c r="D202" s="621"/>
      <c r="E202" s="153"/>
      <c r="F202" s="151">
        <f>+F199</f>
        <v>1158535.9737499999</v>
      </c>
      <c r="G202" s="151">
        <f t="shared" ref="G202:M203" si="136">+G199+F202</f>
        <v>2218554.9939285712</v>
      </c>
      <c r="H202" s="151">
        <f t="shared" si="136"/>
        <v>3795621.9011071427</v>
      </c>
      <c r="I202" s="151">
        <f t="shared" si="136"/>
        <v>5322729.3498857142</v>
      </c>
      <c r="J202" s="151">
        <f t="shared" si="136"/>
        <v>8560967.306764286</v>
      </c>
      <c r="K202" s="151">
        <f t="shared" si="136"/>
        <v>11690103.069642857</v>
      </c>
      <c r="L202" s="151">
        <f t="shared" si="136"/>
        <v>12870214.423821429</v>
      </c>
      <c r="M202" s="151">
        <f t="shared" si="136"/>
        <v>13918608.949999999</v>
      </c>
      <c r="N202" s="152"/>
      <c r="O202" s="118">
        <f>Resumo!D25-+Cronograma!M202</f>
        <v>-1.4901161193847656E-8</v>
      </c>
    </row>
    <row r="203" spans="2:19" x14ac:dyDescent="0.4">
      <c r="B203" s="619" t="s">
        <v>3763</v>
      </c>
      <c r="C203" s="620"/>
      <c r="D203" s="621"/>
      <c r="E203" s="153"/>
      <c r="F203" s="151">
        <f>+F200</f>
        <v>317670.56400224997</v>
      </c>
      <c r="G203" s="151">
        <f t="shared" si="136"/>
        <v>608327.77933521429</v>
      </c>
      <c r="H203" s="151">
        <f t="shared" si="136"/>
        <v>1040759.5252835786</v>
      </c>
      <c r="I203" s="151">
        <f t="shared" si="136"/>
        <v>1459492.3877386628</v>
      </c>
      <c r="J203" s="151">
        <f t="shared" si="136"/>
        <v>2347417.235514767</v>
      </c>
      <c r="K203" s="151">
        <f t="shared" si="136"/>
        <v>3205426.2616960714</v>
      </c>
      <c r="L203" s="151">
        <f t="shared" si="136"/>
        <v>3529012.7950118356</v>
      </c>
      <c r="M203" s="151">
        <f t="shared" si="136"/>
        <v>3816482.5740899998</v>
      </c>
      <c r="N203" s="152"/>
      <c r="O203" s="118"/>
    </row>
    <row r="204" spans="2:19" ht="17.399999999999999" thickBot="1" x14ac:dyDescent="0.45">
      <c r="B204" s="622" t="s">
        <v>3764</v>
      </c>
      <c r="C204" s="623"/>
      <c r="D204" s="624"/>
      <c r="E204" s="154"/>
      <c r="F204" s="155">
        <f>+F203+F202</f>
        <v>1476206.5377522497</v>
      </c>
      <c r="G204" s="155">
        <f t="shared" ref="G204:M204" si="137">G202+G203</f>
        <v>2826882.7732637855</v>
      </c>
      <c r="H204" s="155">
        <f t="shared" si="137"/>
        <v>4836381.4263907215</v>
      </c>
      <c r="I204" s="155">
        <f t="shared" si="137"/>
        <v>6782221.737624377</v>
      </c>
      <c r="J204" s="155">
        <f t="shared" si="137"/>
        <v>10908384.542279053</v>
      </c>
      <c r="K204" s="155">
        <f t="shared" si="137"/>
        <v>14895529.331338927</v>
      </c>
      <c r="L204" s="155">
        <f t="shared" si="137"/>
        <v>16399227.218833264</v>
      </c>
      <c r="M204" s="155">
        <f t="shared" si="137"/>
        <v>17735091.524089999</v>
      </c>
      <c r="N204" s="156"/>
      <c r="O204" s="118">
        <f>+Resumo!D29-Cronograma!M204</f>
        <v>0</v>
      </c>
    </row>
    <row r="205" spans="2:19" x14ac:dyDescent="0.4">
      <c r="O205" s="157"/>
    </row>
    <row r="206" spans="2:19" x14ac:dyDescent="0.4">
      <c r="F206" s="158"/>
      <c r="G206" s="158"/>
      <c r="H206" s="158"/>
      <c r="I206" s="158"/>
      <c r="J206" s="158"/>
      <c r="K206" s="158"/>
      <c r="L206" s="158"/>
      <c r="M206" s="158"/>
      <c r="N206" s="159"/>
      <c r="O206" s="157"/>
    </row>
    <row r="207" spans="2:19" x14ac:dyDescent="0.4">
      <c r="F207" s="158"/>
      <c r="G207" s="158"/>
      <c r="H207" s="158"/>
      <c r="I207" s="158"/>
      <c r="J207" s="158"/>
      <c r="K207" s="158"/>
      <c r="L207" s="158"/>
      <c r="M207" s="158"/>
      <c r="N207" s="159"/>
      <c r="O207" s="157"/>
    </row>
    <row r="208" spans="2:19" x14ac:dyDescent="0.4">
      <c r="D208" s="159"/>
      <c r="F208" s="158"/>
      <c r="G208" s="158"/>
      <c r="H208" s="158"/>
      <c r="I208" s="158"/>
      <c r="J208" s="158"/>
      <c r="K208" s="158"/>
      <c r="L208" s="158"/>
      <c r="M208" s="158"/>
    </row>
    <row r="209" spans="4:14" x14ac:dyDescent="0.4">
      <c r="D209" s="159"/>
      <c r="F209" s="159"/>
      <c r="G209" s="159"/>
      <c r="H209" s="159"/>
      <c r="I209" s="159"/>
      <c r="J209" s="159"/>
      <c r="K209" s="159"/>
      <c r="L209" s="159"/>
      <c r="M209" s="159"/>
      <c r="N209" s="159"/>
    </row>
    <row r="210" spans="4:14" x14ac:dyDescent="0.4">
      <c r="D210" s="159"/>
      <c r="F210" s="159"/>
      <c r="G210" s="159"/>
      <c r="H210" s="159"/>
      <c r="I210" s="159"/>
      <c r="J210" s="159"/>
      <c r="K210" s="159"/>
      <c r="L210" s="159"/>
      <c r="M210" s="159"/>
      <c r="N210" s="159"/>
    </row>
    <row r="211" spans="4:14" x14ac:dyDescent="0.4">
      <c r="D211" s="159"/>
      <c r="F211" s="159"/>
      <c r="G211" s="159"/>
      <c r="H211" s="159"/>
      <c r="I211" s="159"/>
      <c r="J211" s="159"/>
      <c r="K211" s="159"/>
      <c r="L211" s="159"/>
      <c r="M211" s="159"/>
    </row>
  </sheetData>
  <autoFilter ref="B12:O207" xr:uid="{76B79452-1574-4B54-B854-538A022B6393}"/>
  <mergeCells count="206">
    <mergeCell ref="K11:K12"/>
    <mergeCell ref="J11:J12"/>
    <mergeCell ref="I11:I12"/>
    <mergeCell ref="B10:B12"/>
    <mergeCell ref="C10:C12"/>
    <mergeCell ref="E10:E12"/>
    <mergeCell ref="B9:N9"/>
    <mergeCell ref="M11:M12"/>
    <mergeCell ref="H11:H12"/>
    <mergeCell ref="N10:N12"/>
    <mergeCell ref="F11:F12"/>
    <mergeCell ref="G11:G12"/>
    <mergeCell ref="L11:L12"/>
    <mergeCell ref="F10:M10"/>
    <mergeCell ref="B17:B19"/>
    <mergeCell ref="C17:C19"/>
    <mergeCell ref="D17:D19"/>
    <mergeCell ref="B14:B16"/>
    <mergeCell ref="C14:C16"/>
    <mergeCell ref="D14:D16"/>
    <mergeCell ref="B20:B22"/>
    <mergeCell ref="C20:C22"/>
    <mergeCell ref="D20:D22"/>
    <mergeCell ref="B29:B31"/>
    <mergeCell ref="C29:C31"/>
    <mergeCell ref="D29:D31"/>
    <mergeCell ref="B56:B58"/>
    <mergeCell ref="C56:C58"/>
    <mergeCell ref="D56:D58"/>
    <mergeCell ref="B53:B55"/>
    <mergeCell ref="C53:C55"/>
    <mergeCell ref="D53:D55"/>
    <mergeCell ref="B50:B52"/>
    <mergeCell ref="C50:C52"/>
    <mergeCell ref="D50:D52"/>
    <mergeCell ref="B44:B46"/>
    <mergeCell ref="C44:C46"/>
    <mergeCell ref="D44:D46"/>
    <mergeCell ref="B47:B49"/>
    <mergeCell ref="C47:C49"/>
    <mergeCell ref="D47:D49"/>
    <mergeCell ref="B137:B139"/>
    <mergeCell ref="C137:C139"/>
    <mergeCell ref="D137:D139"/>
    <mergeCell ref="B23:B25"/>
    <mergeCell ref="C23:C25"/>
    <mergeCell ref="D23:D25"/>
    <mergeCell ref="B26:B28"/>
    <mergeCell ref="C26:C28"/>
    <mergeCell ref="D26:D28"/>
    <mergeCell ref="B41:B43"/>
    <mergeCell ref="C41:C43"/>
    <mergeCell ref="D41:D43"/>
    <mergeCell ref="B32:B34"/>
    <mergeCell ref="C32:C34"/>
    <mergeCell ref="D32:D34"/>
    <mergeCell ref="B35:B37"/>
    <mergeCell ref="C35:C37"/>
    <mergeCell ref="D35:D37"/>
    <mergeCell ref="B38:B40"/>
    <mergeCell ref="C38:C40"/>
    <mergeCell ref="D38:D40"/>
    <mergeCell ref="B59:B61"/>
    <mergeCell ref="C59:C61"/>
    <mergeCell ref="D59:D61"/>
    <mergeCell ref="B107:B109"/>
    <mergeCell ref="C107:C109"/>
    <mergeCell ref="D107:D109"/>
    <mergeCell ref="B134:B136"/>
    <mergeCell ref="C134:C136"/>
    <mergeCell ref="D134:D136"/>
    <mergeCell ref="B131:B133"/>
    <mergeCell ref="C131:C133"/>
    <mergeCell ref="D131:D133"/>
    <mergeCell ref="B110:B112"/>
    <mergeCell ref="C110:C112"/>
    <mergeCell ref="D110:D112"/>
    <mergeCell ref="B113:B115"/>
    <mergeCell ref="C113:C115"/>
    <mergeCell ref="D113:D115"/>
    <mergeCell ref="B116:B118"/>
    <mergeCell ref="C116:C118"/>
    <mergeCell ref="D116:D118"/>
    <mergeCell ref="B119:B121"/>
    <mergeCell ref="C119:C121"/>
    <mergeCell ref="D119:D121"/>
    <mergeCell ref="B122:B124"/>
    <mergeCell ref="C122:C124"/>
    <mergeCell ref="D122:D124"/>
    <mergeCell ref="B101:B103"/>
    <mergeCell ref="C101:C103"/>
    <mergeCell ref="D101:D103"/>
    <mergeCell ref="B98:B100"/>
    <mergeCell ref="C98:C100"/>
    <mergeCell ref="D98:D100"/>
    <mergeCell ref="B104:B106"/>
    <mergeCell ref="C104:C106"/>
    <mergeCell ref="D104:D106"/>
    <mergeCell ref="B77:B79"/>
    <mergeCell ref="C77:C79"/>
    <mergeCell ref="D77:D79"/>
    <mergeCell ref="B74:B76"/>
    <mergeCell ref="C74:C76"/>
    <mergeCell ref="D74:D76"/>
    <mergeCell ref="B86:B88"/>
    <mergeCell ref="C86:C88"/>
    <mergeCell ref="D86:D88"/>
    <mergeCell ref="B80:B82"/>
    <mergeCell ref="C80:C82"/>
    <mergeCell ref="D80:D82"/>
    <mergeCell ref="B83:B85"/>
    <mergeCell ref="C83:C85"/>
    <mergeCell ref="D83:D85"/>
    <mergeCell ref="B95:B97"/>
    <mergeCell ref="C95:C97"/>
    <mergeCell ref="D95:D97"/>
    <mergeCell ref="B92:B94"/>
    <mergeCell ref="C92:C94"/>
    <mergeCell ref="D92:D94"/>
    <mergeCell ref="B89:B91"/>
    <mergeCell ref="C89:C91"/>
    <mergeCell ref="D89:D91"/>
    <mergeCell ref="B62:B64"/>
    <mergeCell ref="C62:C64"/>
    <mergeCell ref="D62:D64"/>
    <mergeCell ref="B68:B70"/>
    <mergeCell ref="C68:C70"/>
    <mergeCell ref="D68:D70"/>
    <mergeCell ref="B71:B73"/>
    <mergeCell ref="C71:C73"/>
    <mergeCell ref="D71:D73"/>
    <mergeCell ref="B65:B67"/>
    <mergeCell ref="C65:C67"/>
    <mergeCell ref="D65:D67"/>
    <mergeCell ref="B140:B142"/>
    <mergeCell ref="C140:C142"/>
    <mergeCell ref="D140:D142"/>
    <mergeCell ref="B194:B196"/>
    <mergeCell ref="C194:C196"/>
    <mergeCell ref="D194:D196"/>
    <mergeCell ref="B143:B145"/>
    <mergeCell ref="C143:C145"/>
    <mergeCell ref="D143:D145"/>
    <mergeCell ref="B179:B181"/>
    <mergeCell ref="C179:C181"/>
    <mergeCell ref="D179:D181"/>
    <mergeCell ref="B182:B184"/>
    <mergeCell ref="C182:C184"/>
    <mergeCell ref="D182:D184"/>
    <mergeCell ref="B188:B190"/>
    <mergeCell ref="C188:C190"/>
    <mergeCell ref="D188:D190"/>
    <mergeCell ref="B185:B187"/>
    <mergeCell ref="C185:C187"/>
    <mergeCell ref="D185:D187"/>
    <mergeCell ref="B191:B193"/>
    <mergeCell ref="C158:C160"/>
    <mergeCell ref="D158:D160"/>
    <mergeCell ref="B128:B130"/>
    <mergeCell ref="C128:C130"/>
    <mergeCell ref="D128:D130"/>
    <mergeCell ref="B125:B127"/>
    <mergeCell ref="C125:C127"/>
    <mergeCell ref="D125:D127"/>
    <mergeCell ref="C161:C163"/>
    <mergeCell ref="D161:D163"/>
    <mergeCell ref="B167:B169"/>
    <mergeCell ref="C167:C169"/>
    <mergeCell ref="D167:D169"/>
    <mergeCell ref="B146:B148"/>
    <mergeCell ref="C146:C148"/>
    <mergeCell ref="D146:D148"/>
    <mergeCell ref="B152:B154"/>
    <mergeCell ref="C152:C154"/>
    <mergeCell ref="D152:D154"/>
    <mergeCell ref="B149:B151"/>
    <mergeCell ref="C149:C151"/>
    <mergeCell ref="D149:D151"/>
    <mergeCell ref="B155:B157"/>
    <mergeCell ref="C155:C157"/>
    <mergeCell ref="D155:D157"/>
    <mergeCell ref="B158:B160"/>
    <mergeCell ref="B4:B7"/>
    <mergeCell ref="B199:D199"/>
    <mergeCell ref="B200:D200"/>
    <mergeCell ref="B201:D201"/>
    <mergeCell ref="B202:D202"/>
    <mergeCell ref="B203:D203"/>
    <mergeCell ref="B204:D204"/>
    <mergeCell ref="N197:N198"/>
    <mergeCell ref="B170:B172"/>
    <mergeCell ref="C170:C172"/>
    <mergeCell ref="D170:D172"/>
    <mergeCell ref="B176:B178"/>
    <mergeCell ref="C176:C178"/>
    <mergeCell ref="D176:D178"/>
    <mergeCell ref="B173:B175"/>
    <mergeCell ref="C173:C175"/>
    <mergeCell ref="D173:D175"/>
    <mergeCell ref="C191:C193"/>
    <mergeCell ref="D191:D193"/>
    <mergeCell ref="B197:M198"/>
    <mergeCell ref="B164:B166"/>
    <mergeCell ref="C164:C166"/>
    <mergeCell ref="D164:D166"/>
    <mergeCell ref="B161:B163"/>
  </mergeCells>
  <conditionalFormatting sqref="F15:M15">
    <cfRule type="cellIs" dxfId="60" priority="94" operator="greaterThan">
      <formula>0</formula>
    </cfRule>
  </conditionalFormatting>
  <conditionalFormatting sqref="F18:M18">
    <cfRule type="cellIs" dxfId="59" priority="56" operator="greaterThan">
      <formula>0</formula>
    </cfRule>
  </conditionalFormatting>
  <conditionalFormatting sqref="F21:M21">
    <cfRule type="cellIs" dxfId="58" priority="57" operator="greaterThan">
      <formula>0</formula>
    </cfRule>
  </conditionalFormatting>
  <conditionalFormatting sqref="F24:M24">
    <cfRule type="cellIs" dxfId="57" priority="55" operator="greaterThan">
      <formula>0</formula>
    </cfRule>
  </conditionalFormatting>
  <conditionalFormatting sqref="F27:M27">
    <cfRule type="cellIs" dxfId="56" priority="54" operator="greaterThan">
      <formula>0</formula>
    </cfRule>
  </conditionalFormatting>
  <conditionalFormatting sqref="F30:M30">
    <cfRule type="cellIs" dxfId="55" priority="53" operator="greaterThan">
      <formula>0</formula>
    </cfRule>
  </conditionalFormatting>
  <conditionalFormatting sqref="F33:M33">
    <cfRule type="cellIs" dxfId="54" priority="353" operator="greaterThan">
      <formula>0</formula>
    </cfRule>
  </conditionalFormatting>
  <conditionalFormatting sqref="F36:M36">
    <cfRule type="cellIs" dxfId="53" priority="166" operator="greaterThan">
      <formula>0</formula>
    </cfRule>
  </conditionalFormatting>
  <conditionalFormatting sqref="F39:M39">
    <cfRule type="cellIs" dxfId="52" priority="52" operator="greaterThan">
      <formula>0</formula>
    </cfRule>
  </conditionalFormatting>
  <conditionalFormatting sqref="F42:M42">
    <cfRule type="cellIs" dxfId="51" priority="51" operator="greaterThan">
      <formula>0</formula>
    </cfRule>
  </conditionalFormatting>
  <conditionalFormatting sqref="F45:M45">
    <cfRule type="cellIs" dxfId="50" priority="50" operator="greaterThan">
      <formula>0</formula>
    </cfRule>
  </conditionalFormatting>
  <conditionalFormatting sqref="F48:M48">
    <cfRule type="cellIs" dxfId="49" priority="49" operator="greaterThan">
      <formula>0</formula>
    </cfRule>
  </conditionalFormatting>
  <conditionalFormatting sqref="F51:M51">
    <cfRule type="cellIs" dxfId="48" priority="48" operator="greaterThan">
      <formula>0</formula>
    </cfRule>
  </conditionalFormatting>
  <conditionalFormatting sqref="F54:M54">
    <cfRule type="cellIs" dxfId="47" priority="47" operator="greaterThan">
      <formula>0</formula>
    </cfRule>
  </conditionalFormatting>
  <conditionalFormatting sqref="F57:M57">
    <cfRule type="cellIs" dxfId="46" priority="46" operator="greaterThan">
      <formula>0</formula>
    </cfRule>
  </conditionalFormatting>
  <conditionalFormatting sqref="F60:M60">
    <cfRule type="cellIs" dxfId="45" priority="45" operator="greaterThan">
      <formula>0</formula>
    </cfRule>
  </conditionalFormatting>
  <conditionalFormatting sqref="F63:M63">
    <cfRule type="cellIs" dxfId="44" priority="82" operator="greaterThan">
      <formula>0</formula>
    </cfRule>
  </conditionalFormatting>
  <conditionalFormatting sqref="F66:M66">
    <cfRule type="cellIs" dxfId="43" priority="44" operator="greaterThan">
      <formula>0</formula>
    </cfRule>
  </conditionalFormatting>
  <conditionalFormatting sqref="F69:M69">
    <cfRule type="cellIs" dxfId="42" priority="43" operator="greaterThan">
      <formula>0</formula>
    </cfRule>
  </conditionalFormatting>
  <conditionalFormatting sqref="F72:M72">
    <cfRule type="cellIs" dxfId="41" priority="42" operator="greaterThan">
      <formula>0</formula>
    </cfRule>
  </conditionalFormatting>
  <conditionalFormatting sqref="F75:M75">
    <cfRule type="cellIs" dxfId="40" priority="41" operator="greaterThan">
      <formula>0</formula>
    </cfRule>
  </conditionalFormatting>
  <conditionalFormatting sqref="F78:M78">
    <cfRule type="cellIs" dxfId="39" priority="40" operator="greaterThan">
      <formula>0</formula>
    </cfRule>
  </conditionalFormatting>
  <conditionalFormatting sqref="F81:M81">
    <cfRule type="cellIs" dxfId="38" priority="39" operator="greaterThan">
      <formula>0</formula>
    </cfRule>
  </conditionalFormatting>
  <conditionalFormatting sqref="F84:M84">
    <cfRule type="cellIs" dxfId="37" priority="38" operator="greaterThan">
      <formula>0</formula>
    </cfRule>
  </conditionalFormatting>
  <conditionalFormatting sqref="F87:M87">
    <cfRule type="cellIs" dxfId="36" priority="37" operator="greaterThan">
      <formula>0</formula>
    </cfRule>
  </conditionalFormatting>
  <conditionalFormatting sqref="F90:M90">
    <cfRule type="cellIs" dxfId="35" priority="36" operator="greaterThan">
      <formula>0</formula>
    </cfRule>
  </conditionalFormatting>
  <conditionalFormatting sqref="F93:M93">
    <cfRule type="cellIs" dxfId="34" priority="35" operator="greaterThan">
      <formula>0</formula>
    </cfRule>
  </conditionalFormatting>
  <conditionalFormatting sqref="F96:M96">
    <cfRule type="cellIs" dxfId="33" priority="34" operator="greaterThan">
      <formula>0</formula>
    </cfRule>
  </conditionalFormatting>
  <conditionalFormatting sqref="F99:M99">
    <cfRule type="cellIs" dxfId="32" priority="33" operator="greaterThan">
      <formula>0</formula>
    </cfRule>
  </conditionalFormatting>
  <conditionalFormatting sqref="F102:M102">
    <cfRule type="cellIs" dxfId="31" priority="32" operator="greaterThan">
      <formula>0</formula>
    </cfRule>
  </conditionalFormatting>
  <conditionalFormatting sqref="F105:M105">
    <cfRule type="cellIs" dxfId="30" priority="31" operator="greaterThan">
      <formula>0</formula>
    </cfRule>
  </conditionalFormatting>
  <conditionalFormatting sqref="F108:M108">
    <cfRule type="cellIs" dxfId="29" priority="30" operator="greaterThan">
      <formula>0</formula>
    </cfRule>
  </conditionalFormatting>
  <conditionalFormatting sqref="F111:M111">
    <cfRule type="cellIs" dxfId="28" priority="29" operator="greaterThan">
      <formula>0</formula>
    </cfRule>
  </conditionalFormatting>
  <conditionalFormatting sqref="F114:M114">
    <cfRule type="cellIs" dxfId="27" priority="28" operator="greaterThan">
      <formula>0</formula>
    </cfRule>
  </conditionalFormatting>
  <conditionalFormatting sqref="F117:M117">
    <cfRule type="cellIs" dxfId="26" priority="66" operator="greaterThan">
      <formula>0</formula>
    </cfRule>
  </conditionalFormatting>
  <conditionalFormatting sqref="F120:M120">
    <cfRule type="cellIs" dxfId="25" priority="27" operator="greaterThan">
      <formula>0</formula>
    </cfRule>
  </conditionalFormatting>
  <conditionalFormatting sqref="F123:M123">
    <cfRule type="cellIs" dxfId="24" priority="26" operator="greaterThan">
      <formula>0</formula>
    </cfRule>
  </conditionalFormatting>
  <conditionalFormatting sqref="F126:M126">
    <cfRule type="cellIs" dxfId="23" priority="25" operator="greaterThan">
      <formula>0</formula>
    </cfRule>
  </conditionalFormatting>
  <conditionalFormatting sqref="F129:M129">
    <cfRule type="cellIs" dxfId="22" priority="24" operator="greaterThan">
      <formula>0</formula>
    </cfRule>
  </conditionalFormatting>
  <conditionalFormatting sqref="F132:M132">
    <cfRule type="cellIs" dxfId="21" priority="23" operator="greaterThan">
      <formula>0</formula>
    </cfRule>
  </conditionalFormatting>
  <conditionalFormatting sqref="F135:M135">
    <cfRule type="cellIs" dxfId="20" priority="22" operator="greaterThan">
      <formula>0</formula>
    </cfRule>
  </conditionalFormatting>
  <conditionalFormatting sqref="F138:M138">
    <cfRule type="cellIs" dxfId="19" priority="21" operator="greaterThan">
      <formula>0</formula>
    </cfRule>
  </conditionalFormatting>
  <conditionalFormatting sqref="F141:M141">
    <cfRule type="cellIs" dxfId="18" priority="20" operator="greaterThan">
      <formula>0</formula>
    </cfRule>
  </conditionalFormatting>
  <conditionalFormatting sqref="F144:M144">
    <cfRule type="cellIs" dxfId="17" priority="19" operator="greaterThan">
      <formula>0</formula>
    </cfRule>
  </conditionalFormatting>
  <conditionalFormatting sqref="F147:M147">
    <cfRule type="cellIs" dxfId="16" priority="18" operator="greaterThan">
      <formula>0</formula>
    </cfRule>
  </conditionalFormatting>
  <conditionalFormatting sqref="F150:M150">
    <cfRule type="cellIs" dxfId="15" priority="17" operator="greaterThan">
      <formula>0</formula>
    </cfRule>
  </conditionalFormatting>
  <conditionalFormatting sqref="F153:M153">
    <cfRule type="cellIs" dxfId="14" priority="65" operator="greaterThan">
      <formula>0</formula>
    </cfRule>
  </conditionalFormatting>
  <conditionalFormatting sqref="F156:M156">
    <cfRule type="cellIs" dxfId="13" priority="16" operator="greaterThan">
      <formula>0</formula>
    </cfRule>
  </conditionalFormatting>
  <conditionalFormatting sqref="F159:M159">
    <cfRule type="cellIs" dxfId="12" priority="15" operator="greaterThan">
      <formula>0</formula>
    </cfRule>
  </conditionalFormatting>
  <conditionalFormatting sqref="F162:M162">
    <cfRule type="cellIs" dxfId="11" priority="14" operator="greaterThan">
      <formula>0</formula>
    </cfRule>
  </conditionalFormatting>
  <conditionalFormatting sqref="F165:M165">
    <cfRule type="cellIs" dxfId="10" priority="13" operator="greaterThan">
      <formula>0</formula>
    </cfRule>
  </conditionalFormatting>
  <conditionalFormatting sqref="F168:M168">
    <cfRule type="cellIs" dxfId="9" priority="64" operator="greaterThan">
      <formula>0</formula>
    </cfRule>
  </conditionalFormatting>
  <conditionalFormatting sqref="F171:M171">
    <cfRule type="cellIs" dxfId="8" priority="12" operator="greaterThan">
      <formula>0</formula>
    </cfRule>
  </conditionalFormatting>
  <conditionalFormatting sqref="F174:M174">
    <cfRule type="cellIs" dxfId="7" priority="11" operator="greaterThan">
      <formula>0</formula>
    </cfRule>
  </conditionalFormatting>
  <conditionalFormatting sqref="F177:M177">
    <cfRule type="cellIs" dxfId="6" priority="10" operator="greaterThan">
      <formula>0</formula>
    </cfRule>
  </conditionalFormatting>
  <conditionalFormatting sqref="F180:M180">
    <cfRule type="cellIs" dxfId="5" priority="9" operator="greaterThan">
      <formula>0</formula>
    </cfRule>
  </conditionalFormatting>
  <conditionalFormatting sqref="F183:M183">
    <cfRule type="cellIs" dxfId="4" priority="8" operator="greaterThan">
      <formula>0</formula>
    </cfRule>
  </conditionalFormatting>
  <conditionalFormatting sqref="F186:M186">
    <cfRule type="cellIs" dxfId="3" priority="63" operator="greaterThan">
      <formula>0</formula>
    </cfRule>
  </conditionalFormatting>
  <conditionalFormatting sqref="F189:M189">
    <cfRule type="cellIs" dxfId="2" priority="7" operator="greaterThan">
      <formula>0</formula>
    </cfRule>
  </conditionalFormatting>
  <conditionalFormatting sqref="F192:M192">
    <cfRule type="cellIs" dxfId="1" priority="61" operator="greaterThan">
      <formula>0</formula>
    </cfRule>
  </conditionalFormatting>
  <conditionalFormatting sqref="F195:M195">
    <cfRule type="cellIs" dxfId="0" priority="1" operator="greaterThan">
      <formula>0</formula>
    </cfRule>
  </conditionalFormatting>
  <pageMargins left="0.51181102362204722" right="0.51181102362204722" top="0.78740157480314965" bottom="0.78740157480314965" header="0.31496062992125984" footer="0.31496062992125984"/>
  <pageSetup paperSize="9" scale="53"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C7798-F510-407A-A729-B30186FE0D5E}">
  <sheetPr>
    <tabColor rgb="FFFFFF00"/>
  </sheetPr>
  <dimension ref="B2:E35"/>
  <sheetViews>
    <sheetView showGridLines="0" zoomScale="85" zoomScaleNormal="85" zoomScaleSheetLayoutView="115" workbookViewId="0">
      <pane ySplit="1" topLeftCell="A2" activePane="bottomLeft" state="frozen"/>
      <selection activeCell="G14" sqref="G14"/>
      <selection pane="bottomLeft" activeCell="E29" sqref="E29"/>
    </sheetView>
  </sheetViews>
  <sheetFormatPr defaultColWidth="9.109375" defaultRowHeight="15" x14ac:dyDescent="0.35"/>
  <cols>
    <col min="1" max="1" width="9.109375" style="43"/>
    <col min="2" max="2" width="13.88671875" style="43" customWidth="1"/>
    <col min="3" max="3" width="43" style="43" customWidth="1"/>
    <col min="4" max="5" width="10.109375" style="43" customWidth="1"/>
    <col min="6" max="16384" width="9.109375" style="43"/>
  </cols>
  <sheetData>
    <row r="2" spans="2:5" ht="20.399999999999999" x14ac:dyDescent="0.35">
      <c r="B2" s="609" t="s">
        <v>5900</v>
      </c>
      <c r="C2" s="609"/>
      <c r="D2" s="609"/>
      <c r="E2" s="609"/>
    </row>
    <row r="3" spans="2:5" ht="15.6" thickBot="1" x14ac:dyDescent="0.4"/>
    <row r="4" spans="2:5" ht="14.4" customHeight="1" x14ac:dyDescent="0.35">
      <c r="B4" s="684"/>
      <c r="C4" s="687" t="s">
        <v>8418</v>
      </c>
      <c r="D4" s="688"/>
      <c r="E4" s="689"/>
    </row>
    <row r="5" spans="2:5" ht="16.8" x14ac:dyDescent="0.4">
      <c r="B5" s="685"/>
      <c r="C5" s="690" t="s">
        <v>3716</v>
      </c>
      <c r="D5" s="691"/>
      <c r="E5" s="692"/>
    </row>
    <row r="6" spans="2:5" ht="17.399999999999999" thickBot="1" x14ac:dyDescent="0.45">
      <c r="B6" s="686"/>
      <c r="C6" s="693" t="str">
        <f>+ABC!B7</f>
        <v>OBRA: URCA - RJ</v>
      </c>
      <c r="D6" s="694"/>
      <c r="E6" s="695"/>
    </row>
    <row r="7" spans="2:5" ht="17.399999999999999" thickBot="1" x14ac:dyDescent="0.45">
      <c r="B7" s="41"/>
      <c r="C7" s="41"/>
      <c r="D7" s="41"/>
      <c r="E7" s="41"/>
    </row>
    <row r="8" spans="2:5" ht="16.8" x14ac:dyDescent="0.35">
      <c r="B8" s="678" t="s">
        <v>3314</v>
      </c>
      <c r="C8" s="680" t="s">
        <v>3717</v>
      </c>
      <c r="D8" s="44" t="s">
        <v>163</v>
      </c>
      <c r="E8" s="45" t="s">
        <v>163</v>
      </c>
    </row>
    <row r="9" spans="2:5" ht="15.6" thickBot="1" x14ac:dyDescent="0.4">
      <c r="B9" s="679"/>
      <c r="C9" s="681"/>
      <c r="D9" s="46" t="s">
        <v>3718</v>
      </c>
      <c r="E9" s="47" t="s">
        <v>3719</v>
      </c>
    </row>
    <row r="10" spans="2:5" ht="16.8" x14ac:dyDescent="0.35">
      <c r="B10" s="48"/>
      <c r="C10" s="49"/>
      <c r="D10" s="50"/>
      <c r="E10" s="51"/>
    </row>
    <row r="11" spans="2:5" x14ac:dyDescent="0.35">
      <c r="B11" s="52">
        <v>1</v>
      </c>
      <c r="C11" s="53" t="s">
        <v>302</v>
      </c>
      <c r="D11" s="54" t="s">
        <v>3484</v>
      </c>
      <c r="E11" s="55">
        <v>4</v>
      </c>
    </row>
    <row r="12" spans="2:5" ht="16.8" x14ac:dyDescent="0.35">
      <c r="B12" s="56" t="s">
        <v>3720</v>
      </c>
      <c r="C12" s="57" t="s">
        <v>3721</v>
      </c>
      <c r="D12" s="58" t="s">
        <v>3484</v>
      </c>
      <c r="E12" s="59" t="s">
        <v>3484</v>
      </c>
    </row>
    <row r="13" spans="2:5" ht="16.8" x14ac:dyDescent="0.35">
      <c r="B13" s="56" t="s">
        <v>3722</v>
      </c>
      <c r="C13" s="57" t="s">
        <v>3723</v>
      </c>
      <c r="D13" s="58" t="s">
        <v>3484</v>
      </c>
      <c r="E13" s="59" t="s">
        <v>3484</v>
      </c>
    </row>
    <row r="14" spans="2:5" ht="16.8" x14ac:dyDescent="0.35">
      <c r="B14" s="56" t="s">
        <v>3724</v>
      </c>
      <c r="C14" s="57" t="s">
        <v>3725</v>
      </c>
      <c r="D14" s="58" t="s">
        <v>3484</v>
      </c>
      <c r="E14" s="59" t="s">
        <v>3484</v>
      </c>
    </row>
    <row r="15" spans="2:5" ht="16.8" x14ac:dyDescent="0.35">
      <c r="B15" s="60" t="s">
        <v>3484</v>
      </c>
      <c r="C15" s="57" t="s">
        <v>3484</v>
      </c>
      <c r="D15" s="58" t="s">
        <v>3484</v>
      </c>
      <c r="E15" s="59" t="s">
        <v>3484</v>
      </c>
    </row>
    <row r="16" spans="2:5" x14ac:dyDescent="0.35">
      <c r="B16" s="52">
        <v>2</v>
      </c>
      <c r="C16" s="53" t="s">
        <v>3726</v>
      </c>
      <c r="D16" s="61">
        <f>SUM(D17:D19)</f>
        <v>8.65</v>
      </c>
      <c r="E16" s="62"/>
    </row>
    <row r="17" spans="2:5" ht="16.8" x14ac:dyDescent="0.35">
      <c r="B17" s="56" t="s">
        <v>3727</v>
      </c>
      <c r="C17" s="63" t="s">
        <v>303</v>
      </c>
      <c r="D17" s="58">
        <v>5</v>
      </c>
      <c r="E17" s="59"/>
    </row>
    <row r="18" spans="2:5" ht="16.8" x14ac:dyDescent="0.35">
      <c r="B18" s="56" t="s">
        <v>3728</v>
      </c>
      <c r="C18" s="57" t="s">
        <v>3729</v>
      </c>
      <c r="D18" s="58">
        <v>0.65</v>
      </c>
      <c r="E18" s="59"/>
    </row>
    <row r="19" spans="2:5" ht="16.8" x14ac:dyDescent="0.35">
      <c r="B19" s="56" t="s">
        <v>3730</v>
      </c>
      <c r="C19" s="57" t="s">
        <v>3731</v>
      </c>
      <c r="D19" s="64">
        <v>3</v>
      </c>
      <c r="E19" s="59"/>
    </row>
    <row r="20" spans="2:5" ht="16.8" x14ac:dyDescent="0.35">
      <c r="B20" s="60"/>
      <c r="C20" s="57"/>
      <c r="D20" s="58"/>
      <c r="E20" s="59"/>
    </row>
    <row r="21" spans="2:5" ht="16.8" x14ac:dyDescent="0.35">
      <c r="B21" s="52">
        <v>3</v>
      </c>
      <c r="C21" s="53" t="s">
        <v>3732</v>
      </c>
      <c r="D21" s="65" t="s">
        <v>3484</v>
      </c>
      <c r="E21" s="62">
        <f>SUM(E22:E24)</f>
        <v>2.4700000000000002</v>
      </c>
    </row>
    <row r="22" spans="2:5" ht="16.8" x14ac:dyDescent="0.35">
      <c r="B22" s="56" t="s">
        <v>3733</v>
      </c>
      <c r="C22" s="57" t="s">
        <v>3734</v>
      </c>
      <c r="D22" s="58"/>
      <c r="E22" s="59">
        <v>0.8</v>
      </c>
    </row>
    <row r="23" spans="2:5" ht="16.8" x14ac:dyDescent="0.35">
      <c r="B23" s="56" t="s">
        <v>3735</v>
      </c>
      <c r="C23" s="57" t="s">
        <v>3736</v>
      </c>
      <c r="D23" s="58"/>
      <c r="E23" s="59">
        <v>1.27</v>
      </c>
    </row>
    <row r="24" spans="2:5" ht="16.8" x14ac:dyDescent="0.35">
      <c r="B24" s="56" t="s">
        <v>3735</v>
      </c>
      <c r="C24" s="57" t="s">
        <v>3737</v>
      </c>
      <c r="D24" s="58"/>
      <c r="E24" s="59">
        <v>0.4</v>
      </c>
    </row>
    <row r="25" spans="2:5" ht="16.8" x14ac:dyDescent="0.35">
      <c r="B25" s="60"/>
      <c r="C25" s="57"/>
      <c r="D25" s="58"/>
      <c r="E25" s="59"/>
    </row>
    <row r="26" spans="2:5" ht="16.8" x14ac:dyDescent="0.35">
      <c r="B26" s="52">
        <v>4</v>
      </c>
      <c r="C26" s="53" t="s">
        <v>301</v>
      </c>
      <c r="D26" s="65" t="s">
        <v>3484</v>
      </c>
      <c r="E26" s="62">
        <v>1.23</v>
      </c>
    </row>
    <row r="27" spans="2:5" ht="16.8" x14ac:dyDescent="0.35">
      <c r="B27" s="60"/>
      <c r="C27" s="57"/>
      <c r="D27" s="58"/>
      <c r="E27" s="59"/>
    </row>
    <row r="28" spans="2:5" x14ac:dyDescent="0.35">
      <c r="B28" s="52">
        <v>5</v>
      </c>
      <c r="C28" s="53" t="s">
        <v>161</v>
      </c>
      <c r="D28" s="66"/>
      <c r="E28" s="62">
        <v>8</v>
      </c>
    </row>
    <row r="29" spans="2:5" ht="17.399999999999999" thickBot="1" x14ac:dyDescent="0.4">
      <c r="B29" s="60"/>
      <c r="C29" s="57"/>
      <c r="D29" s="67"/>
      <c r="E29" s="68"/>
    </row>
    <row r="30" spans="2:5" ht="17.399999999999999" thickBot="1" x14ac:dyDescent="0.4">
      <c r="B30" s="69" t="s">
        <v>3484</v>
      </c>
      <c r="C30" s="70" t="s">
        <v>3738</v>
      </c>
      <c r="D30" s="71" t="s">
        <v>3484</v>
      </c>
      <c r="E30" s="72">
        <f>ROUND((((1+(E11%+E22%+E23%+E24%))*(1+E26%)*(1+E28%)/(1-D16%))-(1))*100,2)</f>
        <v>27.42</v>
      </c>
    </row>
    <row r="31" spans="2:5" ht="19.2" x14ac:dyDescent="0.35">
      <c r="B31" s="73"/>
      <c r="C31" s="73"/>
      <c r="D31" s="21"/>
      <c r="E31" s="73"/>
    </row>
    <row r="32" spans="2:5" ht="20.399999999999999" x14ac:dyDescent="0.35">
      <c r="B32" s="74"/>
      <c r="C32" s="74"/>
      <c r="D32" s="74"/>
      <c r="E32" s="74"/>
    </row>
    <row r="33" spans="2:5" ht="20.399999999999999" x14ac:dyDescent="0.35">
      <c r="B33" s="74" t="s">
        <v>3739</v>
      </c>
      <c r="C33" s="74"/>
      <c r="D33" s="75"/>
      <c r="E33" s="73"/>
    </row>
    <row r="34" spans="2:5" ht="16.8" x14ac:dyDescent="0.35">
      <c r="B34" s="682" t="s">
        <v>3484</v>
      </c>
      <c r="C34" s="682"/>
      <c r="D34" s="73"/>
      <c r="E34" s="73"/>
    </row>
    <row r="35" spans="2:5" ht="19.2" x14ac:dyDescent="0.35">
      <c r="B35" s="683" t="s">
        <v>3740</v>
      </c>
      <c r="C35" s="683"/>
      <c r="D35" s="683"/>
      <c r="E35" s="683"/>
    </row>
  </sheetData>
  <mergeCells count="9">
    <mergeCell ref="B8:B9"/>
    <mergeCell ref="C8:C9"/>
    <mergeCell ref="B34:C34"/>
    <mergeCell ref="B35:E35"/>
    <mergeCell ref="B2:E2"/>
    <mergeCell ref="B4:B6"/>
    <mergeCell ref="C4:E4"/>
    <mergeCell ref="C5:E5"/>
    <mergeCell ref="C6:E6"/>
  </mergeCells>
  <printOptions horizontalCentered="1"/>
  <pageMargins left="0.51181102362204722" right="0.51181102362204722" top="0.78740157480314965" bottom="0.39370078740157483" header="0.31496062992125984" footer="0.19685039370078741"/>
  <pageSetup paperSize="9" scale="90" orientation="portrait" r:id="rId1"/>
  <headerFooter>
    <oddFooter>&amp;RPágina &amp;P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4F969-F10A-4E5E-8597-0302FE15D6D3}">
  <dimension ref="B3:J31"/>
  <sheetViews>
    <sheetView showGridLines="0" zoomScale="85" zoomScaleNormal="85" workbookViewId="0">
      <selection activeCell="G14" sqref="G14"/>
    </sheetView>
  </sheetViews>
  <sheetFormatPr defaultColWidth="9.109375" defaultRowHeight="16.8" x14ac:dyDescent="0.4"/>
  <cols>
    <col min="1" max="1" width="9.109375" style="41"/>
    <col min="2" max="2" width="13.33203125" style="41" customWidth="1"/>
    <col min="3" max="16384" width="9.109375" style="41"/>
  </cols>
  <sheetData>
    <row r="3" spans="2:10" ht="17.399999999999999" thickBot="1" x14ac:dyDescent="0.45"/>
    <row r="4" spans="2:10" ht="24.6" x14ac:dyDescent="0.4">
      <c r="B4" s="1"/>
      <c r="C4" s="2"/>
      <c r="D4" s="3"/>
      <c r="E4" s="4"/>
      <c r="F4" s="5"/>
      <c r="G4" s="6"/>
      <c r="H4" s="7"/>
      <c r="I4" s="8"/>
      <c r="J4" s="9"/>
    </row>
    <row r="5" spans="2:10" ht="20.399999999999999" x14ac:dyDescent="0.4">
      <c r="B5" s="10" t="s">
        <v>8419</v>
      </c>
      <c r="C5" s="11">
        <v>9</v>
      </c>
      <c r="D5" s="11">
        <v>243</v>
      </c>
      <c r="E5" s="12">
        <v>34</v>
      </c>
      <c r="F5" s="12">
        <v>80</v>
      </c>
      <c r="G5" s="12">
        <v>168</v>
      </c>
      <c r="H5" s="12">
        <v>230</v>
      </c>
      <c r="I5" s="12">
        <v>245</v>
      </c>
      <c r="J5" s="13">
        <v>248</v>
      </c>
    </row>
    <row r="6" spans="2:10" ht="20.399999999999999" x14ac:dyDescent="0.4">
      <c r="B6" s="14" t="s">
        <v>8420</v>
      </c>
      <c r="C6" s="11">
        <v>109</v>
      </c>
      <c r="D6" s="11">
        <v>231</v>
      </c>
      <c r="E6" s="12">
        <v>140</v>
      </c>
      <c r="F6" s="12">
        <v>80</v>
      </c>
      <c r="G6" s="12">
        <v>213</v>
      </c>
      <c r="H6" s="12">
        <v>126</v>
      </c>
      <c r="I6" s="12">
        <v>245</v>
      </c>
      <c r="J6" s="13">
        <v>200</v>
      </c>
    </row>
    <row r="7" spans="2:10" ht="20.399999999999999" x14ac:dyDescent="0.4">
      <c r="B7" s="15" t="s">
        <v>8421</v>
      </c>
      <c r="C7" s="11">
        <v>32</v>
      </c>
      <c r="D7" s="11">
        <v>197</v>
      </c>
      <c r="E7" s="12">
        <v>66</v>
      </c>
      <c r="F7" s="12">
        <v>80</v>
      </c>
      <c r="G7" s="12">
        <v>186</v>
      </c>
      <c r="H7" s="12">
        <v>34</v>
      </c>
      <c r="I7" s="12">
        <v>245</v>
      </c>
      <c r="J7" s="13">
        <v>24</v>
      </c>
    </row>
    <row r="8" spans="2:10" ht="21" thickBot="1" x14ac:dyDescent="0.45">
      <c r="B8" s="16" t="s">
        <v>8422</v>
      </c>
      <c r="C8" s="17" t="s">
        <v>8423</v>
      </c>
      <c r="D8" s="17" t="s">
        <v>8424</v>
      </c>
      <c r="E8" s="18" t="s">
        <v>8425</v>
      </c>
      <c r="F8" s="18" t="s">
        <v>8426</v>
      </c>
      <c r="G8" s="18" t="s">
        <v>8427</v>
      </c>
      <c r="H8" s="18" t="s">
        <v>8428</v>
      </c>
      <c r="I8" s="18" t="s">
        <v>8429</v>
      </c>
      <c r="J8" s="19" t="s">
        <v>8430</v>
      </c>
    </row>
    <row r="31" spans="4:4" ht="19.2" x14ac:dyDescent="0.45">
      <c r="D31" s="20"/>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4E3C5722CD041ADFF973E1A0888D5" ma:contentTypeVersion="11" ma:contentTypeDescription="Crie um novo documento." ma:contentTypeScope="" ma:versionID="ccc5aae3e7aa9d27efd9e5e5de760a96">
  <xsd:schema xmlns:xsd="http://www.w3.org/2001/XMLSchema" xmlns:xs="http://www.w3.org/2001/XMLSchema" xmlns:p="http://schemas.microsoft.com/office/2006/metadata/properties" xmlns:ns2="826d76c4-66e1-47a5-b4d8-e1be81d29798" xmlns:ns3="6d65f606-3d08-4d79-9dc7-94fbc4f957a1" targetNamespace="http://schemas.microsoft.com/office/2006/metadata/properties" ma:root="true" ma:fieldsID="8225d08eaee439696c4a16aefbb990d0" ns2:_="" ns3:_="">
    <xsd:import namespace="826d76c4-66e1-47a5-b4d8-e1be81d29798"/>
    <xsd:import namespace="6d65f606-3d08-4d79-9dc7-94fbc4f957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d76c4-66e1-47a5-b4d8-e1be81d297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65f606-3d08-4d79-9dc7-94fbc4f957a1"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66CF05-68ED-447D-941A-EDAD77DA8F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d76c4-66e1-47a5-b4d8-e1be81d29798"/>
    <ds:schemaRef ds:uri="6d65f606-3d08-4d79-9dc7-94fbc4f95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1B14CB-B2C0-4BF3-AE47-4348CB5FB2BA}">
  <ds:schemaRefs>
    <ds:schemaRef ds:uri="http://www.w3.org/XML/1998/namespace"/>
    <ds:schemaRef ds:uri="http://purl.org/dc/dcmitype/"/>
    <ds:schemaRef ds:uri="http://purl.org/dc/terms/"/>
    <ds:schemaRef ds:uri="826d76c4-66e1-47a5-b4d8-e1be81d29798"/>
    <ds:schemaRef ds:uri="6d65f606-3d08-4d79-9dc7-94fbc4f957a1"/>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A0F0B70A-81C3-4F48-8857-9332930D82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14</vt:i4>
      </vt:variant>
    </vt:vector>
  </HeadingPairs>
  <TitlesOfParts>
    <vt:vector size="24" baseType="lpstr">
      <vt:lpstr>Resumo</vt:lpstr>
      <vt:lpstr>Planilha</vt:lpstr>
      <vt:lpstr>Fontes</vt:lpstr>
      <vt:lpstr>Mercado</vt:lpstr>
      <vt:lpstr>Insumos</vt:lpstr>
      <vt:lpstr>CPU</vt:lpstr>
      <vt:lpstr>ABC</vt:lpstr>
      <vt:lpstr>Cronograma</vt:lpstr>
      <vt:lpstr>BDI</vt:lpstr>
      <vt:lpstr>Apoio</vt:lpstr>
      <vt:lpstr>ABC!Area_de_impressao</vt:lpstr>
      <vt:lpstr>CPU!Area_de_impressao</vt:lpstr>
      <vt:lpstr>Cronograma!Area_de_impressao</vt:lpstr>
      <vt:lpstr>Insumos!Area_de_impressao</vt:lpstr>
      <vt:lpstr>Mercado!Area_de_impressao</vt:lpstr>
      <vt:lpstr>Planilha!Area_de_impressao</vt:lpstr>
      <vt:lpstr>Resumo!Area_de_impressao</vt:lpstr>
      <vt:lpstr>ABC!Titulos_de_impressao</vt:lpstr>
      <vt:lpstr>CPU!Titulos_de_impressao</vt:lpstr>
      <vt:lpstr>Cronograma!Titulos_de_impressao</vt:lpstr>
      <vt:lpstr>Fontes!Titulos_de_impressao</vt:lpstr>
      <vt:lpstr>Insumos!Titulos_de_impressao</vt:lpstr>
      <vt:lpstr>Mercado!Titulos_de_impressao</vt:lpstr>
      <vt:lpstr>Planilha!Titulos_de_impressao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dc:creator>
  <cp:lastModifiedBy>Celso Giaretton</cp:lastModifiedBy>
  <cp:lastPrinted>2026-08-11T20:19:39Z</cp:lastPrinted>
  <dcterms:created xsi:type="dcterms:W3CDTF">2014-04-30T14:21:51Z</dcterms:created>
  <dcterms:modified xsi:type="dcterms:W3CDTF">2026-08-12T19:47:49Z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0x01010009D4E3C5722CD041ADFF973E1A0888D5</vt:lpwstr>
  </property>
</Properties>
</file>